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Towett\Desktop\projects\products-filter\input\"/>
    </mc:Choice>
  </mc:AlternateContent>
  <xr:revisionPtr revIDLastSave="0" documentId="8_{AE57EB56-68C1-4C94-B7EA-0ECE245B944B}" xr6:coauthVersionLast="47" xr6:coauthVersionMax="47" xr10:uidLastSave="{00000000-0000-0000-0000-000000000000}"/>
  <bookViews>
    <workbookView xWindow="-120" yWindow="-120" windowWidth="24240" windowHeight="13140" xr2:uid="{00000000-000D-0000-FFFF-FFFF00000000}"/>
  </bookViews>
  <sheets>
    <sheet name="Sheet" sheetId="1" r:id="rId1"/>
  </sheets>
  <calcPr calcId="181029"/>
  <fileRecoveryPr repairLoad="1"/>
</workbook>
</file>

<file path=xl/calcChain.xml><?xml version="1.0" encoding="utf-8"?>
<calcChain xmlns="http://schemas.openxmlformats.org/spreadsheetml/2006/main">
  <c r="H4999" i="1" l="1"/>
  <c r="G4999" i="1"/>
  <c r="E4999" i="1"/>
  <c r="B4999" i="1"/>
  <c r="A4999" i="1"/>
  <c r="H4998" i="1"/>
  <c r="G4998" i="1"/>
  <c r="E4998" i="1"/>
  <c r="B4998" i="1"/>
  <c r="A4998" i="1"/>
  <c r="H4997" i="1"/>
  <c r="G4997" i="1"/>
  <c r="E4997" i="1"/>
  <c r="B4997" i="1"/>
  <c r="A4997" i="1"/>
  <c r="H4996" i="1"/>
  <c r="G4996" i="1"/>
  <c r="E4996" i="1"/>
  <c r="B4996" i="1"/>
  <c r="A4996" i="1"/>
  <c r="H4995" i="1"/>
  <c r="G4995" i="1"/>
  <c r="E4995" i="1"/>
  <c r="B4995" i="1"/>
  <c r="A4995" i="1"/>
  <c r="H4994" i="1"/>
  <c r="G4994" i="1"/>
  <c r="E4994" i="1"/>
  <c r="B4994" i="1"/>
  <c r="A4994" i="1"/>
  <c r="H4993" i="1"/>
  <c r="G4993" i="1"/>
  <c r="E4993" i="1"/>
  <c r="B4993" i="1"/>
  <c r="A4993" i="1"/>
  <c r="H4992" i="1"/>
  <c r="G4992" i="1"/>
  <c r="E4992" i="1"/>
  <c r="B4992" i="1"/>
  <c r="A4992" i="1"/>
  <c r="H4991" i="1"/>
  <c r="G4991" i="1"/>
  <c r="E4991" i="1"/>
  <c r="B4991" i="1"/>
  <c r="A4991" i="1"/>
  <c r="H4990" i="1"/>
  <c r="G4990" i="1"/>
  <c r="E4990" i="1"/>
  <c r="B4990" i="1"/>
  <c r="A4990" i="1"/>
  <c r="H4989" i="1"/>
  <c r="G4989" i="1"/>
  <c r="E4989" i="1"/>
  <c r="B4989" i="1"/>
  <c r="A4989" i="1"/>
  <c r="H4988" i="1"/>
  <c r="G4988" i="1"/>
  <c r="E4988" i="1"/>
  <c r="B4988" i="1"/>
  <c r="A4988" i="1"/>
  <c r="H4987" i="1"/>
  <c r="G4987" i="1"/>
  <c r="E4987" i="1"/>
  <c r="B4987" i="1"/>
  <c r="A4987" i="1"/>
  <c r="H4986" i="1"/>
  <c r="G4986" i="1"/>
  <c r="E4986" i="1"/>
  <c r="B4986" i="1"/>
  <c r="A4986" i="1"/>
  <c r="H4985" i="1"/>
  <c r="G4985" i="1"/>
  <c r="E4985" i="1"/>
  <c r="B4985" i="1"/>
  <c r="A4985" i="1"/>
  <c r="H4984" i="1"/>
  <c r="G4984" i="1"/>
  <c r="E4984" i="1"/>
  <c r="B4984" i="1"/>
  <c r="A4984" i="1"/>
  <c r="H4983" i="1"/>
  <c r="G4983" i="1"/>
  <c r="E4983" i="1"/>
  <c r="B4983" i="1"/>
  <c r="A4983" i="1"/>
  <c r="H4982" i="1"/>
  <c r="G4982" i="1"/>
  <c r="E4982" i="1"/>
  <c r="B4982" i="1"/>
  <c r="A4982" i="1"/>
  <c r="H4981" i="1"/>
  <c r="G4981" i="1"/>
  <c r="E4981" i="1"/>
  <c r="B4981" i="1"/>
  <c r="A4981" i="1"/>
  <c r="H4980" i="1"/>
  <c r="G4980" i="1"/>
  <c r="E4980" i="1"/>
  <c r="B4980" i="1"/>
  <c r="A4980" i="1"/>
  <c r="H4979" i="1"/>
  <c r="G4979" i="1"/>
  <c r="E4979" i="1"/>
  <c r="B4979" i="1"/>
  <c r="A4979" i="1"/>
  <c r="H4978" i="1"/>
  <c r="G4978" i="1"/>
  <c r="E4978" i="1"/>
  <c r="B4978" i="1"/>
  <c r="A4978" i="1"/>
  <c r="H4977" i="1"/>
  <c r="G4977" i="1"/>
  <c r="E4977" i="1"/>
  <c r="B4977" i="1"/>
  <c r="A4977" i="1"/>
  <c r="H4976" i="1"/>
  <c r="G4976" i="1"/>
  <c r="E4976" i="1"/>
  <c r="B4976" i="1"/>
  <c r="A4976" i="1"/>
  <c r="H4975" i="1"/>
  <c r="G4975" i="1"/>
  <c r="E4975" i="1"/>
  <c r="B4975" i="1"/>
  <c r="A4975" i="1"/>
  <c r="H4974" i="1"/>
  <c r="G4974" i="1"/>
  <c r="E4974" i="1"/>
  <c r="B4974" i="1"/>
  <c r="A4974" i="1"/>
  <c r="H4973" i="1"/>
  <c r="G4973" i="1"/>
  <c r="E4973" i="1"/>
  <c r="B4973" i="1"/>
  <c r="A4973" i="1"/>
  <c r="H4972" i="1"/>
  <c r="G4972" i="1"/>
  <c r="E4972" i="1"/>
  <c r="B4972" i="1"/>
  <c r="A4972" i="1"/>
  <c r="H4971" i="1"/>
  <c r="G4971" i="1"/>
  <c r="E4971" i="1"/>
  <c r="B4971" i="1"/>
  <c r="A4971" i="1"/>
  <c r="H4970" i="1"/>
  <c r="G4970" i="1"/>
  <c r="E4970" i="1"/>
  <c r="B4970" i="1"/>
  <c r="A4970" i="1"/>
  <c r="H4969" i="1"/>
  <c r="G4969" i="1"/>
  <c r="E4969" i="1"/>
  <c r="B4969" i="1"/>
  <c r="A4969" i="1"/>
  <c r="H4968" i="1"/>
  <c r="G4968" i="1"/>
  <c r="E4968" i="1"/>
  <c r="B4968" i="1"/>
  <c r="A4968" i="1"/>
  <c r="H4967" i="1"/>
  <c r="G4967" i="1"/>
  <c r="E4967" i="1"/>
  <c r="B4967" i="1"/>
  <c r="A4967" i="1"/>
  <c r="H4966" i="1"/>
  <c r="G4966" i="1"/>
  <c r="E4966" i="1"/>
  <c r="B4966" i="1"/>
  <c r="A4966" i="1"/>
  <c r="H4965" i="1"/>
  <c r="G4965" i="1"/>
  <c r="E4965" i="1"/>
  <c r="B4965" i="1"/>
  <c r="A4965" i="1"/>
  <c r="H4964" i="1"/>
  <c r="G4964" i="1"/>
  <c r="E4964" i="1"/>
  <c r="B4964" i="1"/>
  <c r="A4964" i="1"/>
  <c r="H4963" i="1"/>
  <c r="G4963" i="1"/>
  <c r="E4963" i="1"/>
  <c r="B4963" i="1"/>
  <c r="A4963" i="1"/>
  <c r="H4962" i="1"/>
  <c r="G4962" i="1"/>
  <c r="E4962" i="1"/>
  <c r="B4962" i="1"/>
  <c r="A4962" i="1"/>
  <c r="H4961" i="1"/>
  <c r="G4961" i="1"/>
  <c r="B4961" i="1"/>
  <c r="A4961" i="1"/>
  <c r="H4960" i="1"/>
  <c r="G4960" i="1"/>
  <c r="E4960" i="1"/>
  <c r="B4960" i="1"/>
  <c r="A4960" i="1"/>
  <c r="H4959" i="1"/>
  <c r="G4959" i="1"/>
  <c r="E4959" i="1"/>
  <c r="B4959" i="1"/>
  <c r="A4959" i="1"/>
  <c r="H4958" i="1"/>
  <c r="G4958" i="1"/>
  <c r="E4958" i="1"/>
  <c r="B4958" i="1"/>
  <c r="A4958" i="1"/>
  <c r="H4957" i="1"/>
  <c r="G4957" i="1"/>
  <c r="E4957" i="1"/>
  <c r="B4957" i="1"/>
  <c r="A4957" i="1"/>
  <c r="H4956" i="1"/>
  <c r="G4956" i="1"/>
  <c r="E4956" i="1"/>
  <c r="B4956" i="1"/>
  <c r="A4956" i="1"/>
  <c r="H4955" i="1"/>
  <c r="G4955" i="1"/>
  <c r="B4955" i="1"/>
  <c r="A4955" i="1"/>
  <c r="H4954" i="1"/>
  <c r="G4954" i="1"/>
  <c r="B4954" i="1"/>
  <c r="A4954" i="1"/>
  <c r="H4953" i="1"/>
  <c r="G4953" i="1"/>
  <c r="E4953" i="1"/>
  <c r="B4953" i="1"/>
  <c r="A4953" i="1"/>
  <c r="H4952" i="1"/>
  <c r="G4952" i="1"/>
  <c r="E4952" i="1"/>
  <c r="B4952" i="1"/>
  <c r="A4952" i="1"/>
  <c r="H4951" i="1"/>
  <c r="G4951" i="1"/>
  <c r="E4951" i="1"/>
  <c r="B4951" i="1"/>
  <c r="A4951" i="1"/>
  <c r="H4950" i="1"/>
  <c r="G4950" i="1"/>
  <c r="E4950" i="1"/>
  <c r="B4950" i="1"/>
  <c r="A4950" i="1"/>
  <c r="H4949" i="1"/>
  <c r="G4949" i="1"/>
  <c r="E4949" i="1"/>
  <c r="B4949" i="1"/>
  <c r="A4949" i="1"/>
  <c r="H4948" i="1"/>
  <c r="G4948" i="1"/>
  <c r="E4948" i="1"/>
  <c r="B4948" i="1"/>
  <c r="A4948" i="1"/>
  <c r="H4947" i="1"/>
  <c r="G4947" i="1"/>
  <c r="E4947" i="1"/>
  <c r="B4947" i="1"/>
  <c r="A4947" i="1"/>
  <c r="H4946" i="1"/>
  <c r="G4946" i="1"/>
  <c r="E4946" i="1"/>
  <c r="B4946" i="1"/>
  <c r="A4946" i="1"/>
  <c r="H4945" i="1"/>
  <c r="G4945" i="1"/>
  <c r="E4945" i="1"/>
  <c r="B4945" i="1"/>
  <c r="A4945" i="1"/>
  <c r="H4944" i="1"/>
  <c r="G4944" i="1"/>
  <c r="E4944" i="1"/>
  <c r="B4944" i="1"/>
  <c r="A4944" i="1"/>
  <c r="H4943" i="1"/>
  <c r="G4943" i="1"/>
  <c r="E4943" i="1"/>
  <c r="B4943" i="1"/>
  <c r="A4943" i="1"/>
  <c r="H4942" i="1"/>
  <c r="G4942" i="1"/>
  <c r="E4942" i="1"/>
  <c r="B4942" i="1"/>
  <c r="A4942" i="1"/>
  <c r="H4941" i="1"/>
  <c r="G4941" i="1"/>
  <c r="E4941" i="1"/>
  <c r="B4941" i="1"/>
  <c r="A4941" i="1"/>
  <c r="H4940" i="1"/>
  <c r="G4940" i="1"/>
  <c r="E4940" i="1"/>
  <c r="B4940" i="1"/>
  <c r="A4940" i="1"/>
  <c r="H4939" i="1"/>
  <c r="G4939" i="1"/>
  <c r="E4939" i="1"/>
  <c r="B4939" i="1"/>
  <c r="A4939" i="1"/>
  <c r="H4938" i="1"/>
  <c r="G4938" i="1"/>
  <c r="E4938" i="1"/>
  <c r="B4938" i="1"/>
  <c r="A4938" i="1"/>
  <c r="H4937" i="1"/>
  <c r="G4937" i="1"/>
  <c r="E4937" i="1"/>
  <c r="B4937" i="1"/>
  <c r="A4937" i="1"/>
  <c r="H4936" i="1"/>
  <c r="G4936" i="1"/>
  <c r="E4936" i="1"/>
  <c r="B4936" i="1"/>
  <c r="A4936" i="1"/>
  <c r="H4935" i="1"/>
  <c r="G4935" i="1"/>
  <c r="E4935" i="1"/>
  <c r="B4935" i="1"/>
  <c r="A4935" i="1"/>
  <c r="H4934" i="1"/>
  <c r="G4934" i="1"/>
  <c r="E4934" i="1"/>
  <c r="B4934" i="1"/>
  <c r="A4934" i="1"/>
  <c r="H4933" i="1"/>
  <c r="G4933" i="1"/>
  <c r="E4933" i="1"/>
  <c r="B4933" i="1"/>
  <c r="A4933" i="1"/>
  <c r="H4932" i="1"/>
  <c r="G4932" i="1"/>
  <c r="E4932" i="1"/>
  <c r="B4932" i="1"/>
  <c r="A4932" i="1"/>
  <c r="H4931" i="1"/>
  <c r="G4931" i="1"/>
  <c r="E4931" i="1"/>
  <c r="B4931" i="1"/>
  <c r="A4931" i="1"/>
  <c r="H4930" i="1"/>
  <c r="G4930" i="1"/>
  <c r="E4930" i="1"/>
  <c r="B4930" i="1"/>
  <c r="A4930" i="1"/>
  <c r="H4929" i="1"/>
  <c r="G4929" i="1"/>
  <c r="E4929" i="1"/>
  <c r="B4929" i="1"/>
  <c r="A4929" i="1"/>
  <c r="H4928" i="1"/>
  <c r="G4928" i="1"/>
  <c r="E4928" i="1"/>
  <c r="B4928" i="1"/>
  <c r="A4928" i="1"/>
  <c r="H4927" i="1"/>
  <c r="G4927" i="1"/>
  <c r="B4927" i="1"/>
  <c r="A4927" i="1"/>
  <c r="H4926" i="1"/>
  <c r="G4926" i="1"/>
  <c r="E4926" i="1"/>
  <c r="B4926" i="1"/>
  <c r="A4926" i="1"/>
  <c r="H4925" i="1"/>
  <c r="G4925" i="1"/>
  <c r="E4925" i="1"/>
  <c r="B4925" i="1"/>
  <c r="A4925" i="1"/>
  <c r="H4924" i="1"/>
  <c r="G4924" i="1"/>
  <c r="E4924" i="1"/>
  <c r="B4924" i="1"/>
  <c r="A4924" i="1"/>
  <c r="H4923" i="1"/>
  <c r="G4923" i="1"/>
  <c r="E4923" i="1"/>
  <c r="B4923" i="1"/>
  <c r="A4923" i="1"/>
  <c r="H4922" i="1"/>
  <c r="G4922" i="1"/>
  <c r="E4922" i="1"/>
  <c r="B4922" i="1"/>
  <c r="A4922" i="1"/>
  <c r="H4921" i="1"/>
  <c r="G4921" i="1"/>
  <c r="E4921" i="1"/>
  <c r="B4921" i="1"/>
  <c r="A4921" i="1"/>
  <c r="H4920" i="1"/>
  <c r="G4920" i="1"/>
  <c r="E4920" i="1"/>
  <c r="B4920" i="1"/>
  <c r="A4920" i="1"/>
  <c r="H4919" i="1"/>
  <c r="G4919" i="1"/>
  <c r="E4919" i="1"/>
  <c r="B4919" i="1"/>
  <c r="A4919" i="1"/>
  <c r="H4918" i="1"/>
  <c r="G4918" i="1"/>
  <c r="E4918" i="1"/>
  <c r="B4918" i="1"/>
  <c r="A4918" i="1"/>
  <c r="H4917" i="1"/>
  <c r="G4917" i="1"/>
  <c r="E4917" i="1"/>
  <c r="B4917" i="1"/>
  <c r="A4917" i="1"/>
  <c r="H4916" i="1"/>
  <c r="G4916" i="1"/>
  <c r="E4916" i="1"/>
  <c r="B4916" i="1"/>
  <c r="A4916" i="1"/>
  <c r="H4915" i="1"/>
  <c r="G4915" i="1"/>
  <c r="E4915" i="1"/>
  <c r="B4915" i="1"/>
  <c r="A4915" i="1"/>
  <c r="H4914" i="1"/>
  <c r="G4914" i="1"/>
  <c r="E4914" i="1"/>
  <c r="B4914" i="1"/>
  <c r="A4914" i="1"/>
  <c r="H4913" i="1"/>
  <c r="G4913" i="1"/>
  <c r="E4913" i="1"/>
  <c r="B4913" i="1"/>
  <c r="A4913" i="1"/>
  <c r="H4912" i="1"/>
  <c r="G4912" i="1"/>
  <c r="E4912" i="1"/>
  <c r="B4912" i="1"/>
  <c r="A4912" i="1"/>
  <c r="H4911" i="1"/>
  <c r="G4911" i="1"/>
  <c r="E4911" i="1"/>
  <c r="B4911" i="1"/>
  <c r="A4911" i="1"/>
  <c r="H4910" i="1"/>
  <c r="G4910" i="1"/>
  <c r="E4910" i="1"/>
  <c r="B4910" i="1"/>
  <c r="A4910" i="1"/>
  <c r="H4909" i="1"/>
  <c r="G4909" i="1"/>
  <c r="E4909" i="1"/>
  <c r="B4909" i="1"/>
  <c r="A4909" i="1"/>
  <c r="H4908" i="1"/>
  <c r="G4908" i="1"/>
  <c r="E4908" i="1"/>
  <c r="B4908" i="1"/>
  <c r="A4908" i="1"/>
  <c r="H4907" i="1"/>
  <c r="G4907" i="1"/>
  <c r="E4907" i="1"/>
  <c r="B4907" i="1"/>
  <c r="A4907" i="1"/>
  <c r="H4906" i="1"/>
  <c r="G4906" i="1"/>
  <c r="E4906" i="1"/>
  <c r="B4906" i="1"/>
  <c r="A4906" i="1"/>
  <c r="H4905" i="1"/>
  <c r="G4905" i="1"/>
  <c r="E4905" i="1"/>
  <c r="B4905" i="1"/>
  <c r="A4905" i="1"/>
  <c r="H4904" i="1"/>
  <c r="G4904" i="1"/>
  <c r="E4904" i="1"/>
  <c r="B4904" i="1"/>
  <c r="A4904" i="1"/>
  <c r="H4903" i="1"/>
  <c r="G4903" i="1"/>
  <c r="E4903" i="1"/>
  <c r="B4903" i="1"/>
  <c r="A4903" i="1"/>
  <c r="H4902" i="1"/>
  <c r="G4902" i="1"/>
  <c r="E4902" i="1"/>
  <c r="B4902" i="1"/>
  <c r="A4902" i="1"/>
  <c r="H4901" i="1"/>
  <c r="G4901" i="1"/>
  <c r="E4901" i="1"/>
  <c r="B4901" i="1"/>
  <c r="A4901" i="1"/>
  <c r="H4900" i="1"/>
  <c r="G4900" i="1"/>
  <c r="E4900" i="1"/>
  <c r="B4900" i="1"/>
  <c r="A4900" i="1"/>
  <c r="H4899" i="1"/>
  <c r="G4899" i="1"/>
  <c r="E4899" i="1"/>
  <c r="B4899" i="1"/>
  <c r="A4899" i="1"/>
  <c r="H4898" i="1"/>
  <c r="G4898" i="1"/>
  <c r="B4898" i="1"/>
  <c r="A4898" i="1"/>
  <c r="H4897" i="1"/>
  <c r="G4897" i="1"/>
  <c r="E4897" i="1"/>
  <c r="B4897" i="1"/>
  <c r="A4897" i="1"/>
  <c r="H4896" i="1"/>
  <c r="G4896" i="1"/>
  <c r="E4896" i="1"/>
  <c r="B4896" i="1"/>
  <c r="A4896" i="1"/>
  <c r="H4895" i="1"/>
  <c r="G4895" i="1"/>
  <c r="E4895" i="1"/>
  <c r="B4895" i="1"/>
  <c r="A4895" i="1"/>
  <c r="H4894" i="1"/>
  <c r="G4894" i="1"/>
  <c r="E4894" i="1"/>
  <c r="B4894" i="1"/>
  <c r="A4894" i="1"/>
  <c r="H4893" i="1"/>
  <c r="G4893" i="1"/>
  <c r="E4893" i="1"/>
  <c r="B4893" i="1"/>
  <c r="A4893" i="1"/>
  <c r="H4892" i="1"/>
  <c r="G4892" i="1"/>
  <c r="E4892" i="1"/>
  <c r="B4892" i="1"/>
  <c r="A4892" i="1"/>
  <c r="H4891" i="1"/>
  <c r="G4891" i="1"/>
  <c r="E4891" i="1"/>
  <c r="B4891" i="1"/>
  <c r="A4891" i="1"/>
  <c r="H4890" i="1"/>
  <c r="G4890" i="1"/>
  <c r="E4890" i="1"/>
  <c r="B4890" i="1"/>
  <c r="A4890" i="1"/>
  <c r="H4889" i="1"/>
  <c r="G4889" i="1"/>
  <c r="E4889" i="1"/>
  <c r="B4889" i="1"/>
  <c r="A4889" i="1"/>
  <c r="H4888" i="1"/>
  <c r="G4888" i="1"/>
  <c r="E4888" i="1"/>
  <c r="B4888" i="1"/>
  <c r="A4888" i="1"/>
  <c r="H4887" i="1"/>
  <c r="G4887" i="1"/>
  <c r="E4887" i="1"/>
  <c r="B4887" i="1"/>
  <c r="A4887" i="1"/>
  <c r="H4886" i="1"/>
  <c r="G4886" i="1"/>
  <c r="E4886" i="1"/>
  <c r="B4886" i="1"/>
  <c r="A4886" i="1"/>
  <c r="H4885" i="1"/>
  <c r="G4885" i="1"/>
  <c r="E4885" i="1"/>
  <c r="B4885" i="1"/>
  <c r="A4885" i="1"/>
  <c r="H4884" i="1"/>
  <c r="G4884" i="1"/>
  <c r="E4884" i="1"/>
  <c r="B4884" i="1"/>
  <c r="A4884" i="1"/>
  <c r="H4883" i="1"/>
  <c r="G4883" i="1"/>
  <c r="E4883" i="1"/>
  <c r="B4883" i="1"/>
  <c r="A4883" i="1"/>
  <c r="H4882" i="1"/>
  <c r="G4882" i="1"/>
  <c r="E4882" i="1"/>
  <c r="B4882" i="1"/>
  <c r="A4882" i="1"/>
  <c r="H4881" i="1"/>
  <c r="G4881" i="1"/>
  <c r="E4881" i="1"/>
  <c r="B4881" i="1"/>
  <c r="A4881" i="1"/>
  <c r="H4880" i="1"/>
  <c r="G4880" i="1"/>
  <c r="E4880" i="1"/>
  <c r="B4880" i="1"/>
  <c r="A4880" i="1"/>
  <c r="H4879" i="1"/>
  <c r="G4879" i="1"/>
  <c r="E4879" i="1"/>
  <c r="B4879" i="1"/>
  <c r="A4879" i="1"/>
  <c r="H4878" i="1"/>
  <c r="G4878" i="1"/>
  <c r="E4878" i="1"/>
  <c r="B4878" i="1"/>
  <c r="A4878" i="1"/>
  <c r="H4877" i="1"/>
  <c r="G4877" i="1"/>
  <c r="E4877" i="1"/>
  <c r="B4877" i="1"/>
  <c r="A4877" i="1"/>
  <c r="H4876" i="1"/>
  <c r="G4876" i="1"/>
  <c r="E4876" i="1"/>
  <c r="B4876" i="1"/>
  <c r="A4876" i="1"/>
  <c r="H4875" i="1"/>
  <c r="G4875" i="1"/>
  <c r="E4875" i="1"/>
  <c r="B4875" i="1"/>
  <c r="A4875" i="1"/>
  <c r="H4874" i="1"/>
  <c r="G4874" i="1"/>
  <c r="E4874" i="1"/>
  <c r="B4874" i="1"/>
  <c r="A4874" i="1"/>
  <c r="H4873" i="1"/>
  <c r="G4873" i="1"/>
  <c r="E4873" i="1"/>
  <c r="B4873" i="1"/>
  <c r="A4873" i="1"/>
  <c r="H4872" i="1"/>
  <c r="G4872" i="1"/>
  <c r="E4872" i="1"/>
  <c r="B4872" i="1"/>
  <c r="A4872" i="1"/>
  <c r="H4871" i="1"/>
  <c r="G4871" i="1"/>
  <c r="E4871" i="1"/>
  <c r="B4871" i="1"/>
  <c r="A4871" i="1"/>
  <c r="H4870" i="1"/>
  <c r="G4870" i="1"/>
  <c r="E4870" i="1"/>
  <c r="B4870" i="1"/>
  <c r="A4870" i="1"/>
  <c r="H4869" i="1"/>
  <c r="G4869" i="1"/>
  <c r="E4869" i="1"/>
  <c r="B4869" i="1"/>
  <c r="A4869" i="1"/>
  <c r="H4868" i="1"/>
  <c r="G4868" i="1"/>
  <c r="E4868" i="1"/>
  <c r="B4868" i="1"/>
  <c r="A4868" i="1"/>
  <c r="H4867" i="1"/>
  <c r="G4867" i="1"/>
  <c r="E4867" i="1"/>
  <c r="B4867" i="1"/>
  <c r="A4867" i="1"/>
  <c r="H4866" i="1"/>
  <c r="G4866" i="1"/>
  <c r="E4866" i="1"/>
  <c r="B4866" i="1"/>
  <c r="A4866" i="1"/>
  <c r="H4865" i="1"/>
  <c r="G4865" i="1"/>
  <c r="E4865" i="1"/>
  <c r="B4865" i="1"/>
  <c r="A4865" i="1"/>
  <c r="H4864" i="1"/>
  <c r="G4864" i="1"/>
  <c r="E4864" i="1"/>
  <c r="B4864" i="1"/>
  <c r="A4864" i="1"/>
  <c r="H4863" i="1"/>
  <c r="G4863" i="1"/>
  <c r="E4863" i="1"/>
  <c r="B4863" i="1"/>
  <c r="A4863" i="1"/>
  <c r="H4862" i="1"/>
  <c r="G4862" i="1"/>
  <c r="E4862" i="1"/>
  <c r="B4862" i="1"/>
  <c r="A4862" i="1"/>
  <c r="H4861" i="1"/>
  <c r="G4861" i="1"/>
  <c r="E4861" i="1"/>
  <c r="B4861" i="1"/>
  <c r="A4861" i="1"/>
  <c r="H4860" i="1"/>
  <c r="G4860" i="1"/>
  <c r="E4860" i="1"/>
  <c r="B4860" i="1"/>
  <c r="A4860" i="1"/>
  <c r="H4859" i="1"/>
  <c r="G4859" i="1"/>
  <c r="E4859" i="1"/>
  <c r="B4859" i="1"/>
  <c r="A4859" i="1"/>
  <c r="H4858" i="1"/>
  <c r="G4858" i="1"/>
  <c r="E4858" i="1"/>
  <c r="B4858" i="1"/>
  <c r="A4858" i="1"/>
  <c r="H4857" i="1"/>
  <c r="G4857" i="1"/>
  <c r="E4857" i="1"/>
  <c r="B4857" i="1"/>
  <c r="A4857" i="1"/>
  <c r="H4856" i="1"/>
  <c r="G4856" i="1"/>
  <c r="E4856" i="1"/>
  <c r="B4856" i="1"/>
  <c r="A4856" i="1"/>
  <c r="H4855" i="1"/>
  <c r="G4855" i="1"/>
  <c r="E4855" i="1"/>
  <c r="B4855" i="1"/>
  <c r="A4855" i="1"/>
  <c r="H4854" i="1"/>
  <c r="G4854" i="1"/>
  <c r="E4854" i="1"/>
  <c r="B4854" i="1"/>
  <c r="A4854" i="1"/>
  <c r="H4853" i="1"/>
  <c r="G4853" i="1"/>
  <c r="E4853" i="1"/>
  <c r="B4853" i="1"/>
  <c r="A4853" i="1"/>
  <c r="H4852" i="1"/>
  <c r="G4852" i="1"/>
  <c r="E4852" i="1"/>
  <c r="B4852" i="1"/>
  <c r="A4852" i="1"/>
  <c r="H4851" i="1"/>
  <c r="G4851" i="1"/>
  <c r="E4851" i="1"/>
  <c r="B4851" i="1"/>
  <c r="A4851" i="1"/>
  <c r="H4850" i="1"/>
  <c r="G4850" i="1"/>
  <c r="E4850" i="1"/>
  <c r="B4850" i="1"/>
  <c r="A4850" i="1"/>
  <c r="H4849" i="1"/>
  <c r="G4849" i="1"/>
  <c r="E4849" i="1"/>
  <c r="B4849" i="1"/>
  <c r="A4849" i="1"/>
  <c r="H4848" i="1"/>
  <c r="G4848" i="1"/>
  <c r="E4848" i="1"/>
  <c r="B4848" i="1"/>
  <c r="A4848" i="1"/>
  <c r="H4847" i="1"/>
  <c r="G4847" i="1"/>
  <c r="E4847" i="1"/>
  <c r="B4847" i="1"/>
  <c r="A4847" i="1"/>
  <c r="H4846" i="1"/>
  <c r="G4846" i="1"/>
  <c r="E4846" i="1"/>
  <c r="B4846" i="1"/>
  <c r="A4846" i="1"/>
  <c r="H4845" i="1"/>
  <c r="G4845" i="1"/>
  <c r="E4845" i="1"/>
  <c r="B4845" i="1"/>
  <c r="A4845" i="1"/>
  <c r="H4844" i="1"/>
  <c r="G4844" i="1"/>
  <c r="E4844" i="1"/>
  <c r="B4844" i="1"/>
  <c r="A4844" i="1"/>
  <c r="H4843" i="1"/>
  <c r="G4843" i="1"/>
  <c r="E4843" i="1"/>
  <c r="B4843" i="1"/>
  <c r="A4843" i="1"/>
  <c r="H4842" i="1"/>
  <c r="G4842" i="1"/>
  <c r="E4842" i="1"/>
  <c r="B4842" i="1"/>
  <c r="A4842" i="1"/>
  <c r="H4841" i="1"/>
  <c r="G4841" i="1"/>
  <c r="E4841" i="1"/>
  <c r="B4841" i="1"/>
  <c r="A4841" i="1"/>
  <c r="H4840" i="1"/>
  <c r="G4840" i="1"/>
  <c r="E4840" i="1"/>
  <c r="B4840" i="1"/>
  <c r="A4840" i="1"/>
  <c r="H4839" i="1"/>
  <c r="G4839" i="1"/>
  <c r="E4839" i="1"/>
  <c r="B4839" i="1"/>
  <c r="A4839" i="1"/>
  <c r="H4838" i="1"/>
  <c r="G4838" i="1"/>
  <c r="E4838" i="1"/>
  <c r="B4838" i="1"/>
  <c r="A4838" i="1"/>
  <c r="H4837" i="1"/>
  <c r="G4837" i="1"/>
  <c r="E4837" i="1"/>
  <c r="B4837" i="1"/>
  <c r="A4837" i="1"/>
  <c r="H4836" i="1"/>
  <c r="G4836" i="1"/>
  <c r="E4836" i="1"/>
  <c r="B4836" i="1"/>
  <c r="A4836" i="1"/>
  <c r="H4835" i="1"/>
  <c r="G4835" i="1"/>
  <c r="E4835" i="1"/>
  <c r="B4835" i="1"/>
  <c r="A4835" i="1"/>
  <c r="H4834" i="1"/>
  <c r="G4834" i="1"/>
  <c r="E4834" i="1"/>
  <c r="B4834" i="1"/>
  <c r="A4834" i="1"/>
  <c r="H4833" i="1"/>
  <c r="G4833" i="1"/>
  <c r="E4833" i="1"/>
  <c r="B4833" i="1"/>
  <c r="A4833" i="1"/>
  <c r="H4832" i="1"/>
  <c r="G4832" i="1"/>
  <c r="E4832" i="1"/>
  <c r="B4832" i="1"/>
  <c r="A4832" i="1"/>
  <c r="H4831" i="1"/>
  <c r="G4831" i="1"/>
  <c r="E4831" i="1"/>
  <c r="B4831" i="1"/>
  <c r="A4831" i="1"/>
  <c r="H4830" i="1"/>
  <c r="G4830" i="1"/>
  <c r="E4830" i="1"/>
  <c r="B4830" i="1"/>
  <c r="A4830" i="1"/>
  <c r="H4829" i="1"/>
  <c r="G4829" i="1"/>
  <c r="E4829" i="1"/>
  <c r="B4829" i="1"/>
  <c r="A4829" i="1"/>
  <c r="H4828" i="1"/>
  <c r="G4828" i="1"/>
  <c r="E4828" i="1"/>
  <c r="B4828" i="1"/>
  <c r="A4828" i="1"/>
  <c r="H4827" i="1"/>
  <c r="G4827" i="1"/>
  <c r="E4827" i="1"/>
  <c r="B4827" i="1"/>
  <c r="A4827" i="1"/>
  <c r="H4826" i="1"/>
  <c r="G4826" i="1"/>
  <c r="E4826" i="1"/>
  <c r="B4826" i="1"/>
  <c r="A4826" i="1"/>
  <c r="H4825" i="1"/>
  <c r="G4825" i="1"/>
  <c r="E4825" i="1"/>
  <c r="B4825" i="1"/>
  <c r="A4825" i="1"/>
  <c r="H4824" i="1"/>
  <c r="G4824" i="1"/>
  <c r="E4824" i="1"/>
  <c r="B4824" i="1"/>
  <c r="A4824" i="1"/>
  <c r="H4823" i="1"/>
  <c r="G4823" i="1"/>
  <c r="E4823" i="1"/>
  <c r="B4823" i="1"/>
  <c r="A4823" i="1"/>
  <c r="H4822" i="1"/>
  <c r="G4822" i="1"/>
  <c r="E4822" i="1"/>
  <c r="B4822" i="1"/>
  <c r="A4822" i="1"/>
  <c r="H4821" i="1"/>
  <c r="G4821" i="1"/>
  <c r="E4821" i="1"/>
  <c r="B4821" i="1"/>
  <c r="A4821" i="1"/>
  <c r="H4820" i="1"/>
  <c r="G4820" i="1"/>
  <c r="B4820" i="1"/>
  <c r="A4820" i="1"/>
  <c r="H4819" i="1"/>
  <c r="G4819" i="1"/>
  <c r="E4819" i="1"/>
  <c r="B4819" i="1"/>
  <c r="A4819" i="1"/>
  <c r="H4818" i="1"/>
  <c r="G4818" i="1"/>
  <c r="E4818" i="1"/>
  <c r="B4818" i="1"/>
  <c r="A4818" i="1"/>
  <c r="H4817" i="1"/>
  <c r="G4817" i="1"/>
  <c r="E4817" i="1"/>
  <c r="B4817" i="1"/>
  <c r="A4817" i="1"/>
  <c r="H4816" i="1"/>
  <c r="G4816" i="1"/>
  <c r="E4816" i="1"/>
  <c r="B4816" i="1"/>
  <c r="A4816" i="1"/>
  <c r="H4815" i="1"/>
  <c r="G4815" i="1"/>
  <c r="E4815" i="1"/>
  <c r="B4815" i="1"/>
  <c r="A4815" i="1"/>
  <c r="H4814" i="1"/>
  <c r="G4814" i="1"/>
  <c r="E4814" i="1"/>
  <c r="B4814" i="1"/>
  <c r="A4814" i="1"/>
  <c r="H4813" i="1"/>
  <c r="G4813" i="1"/>
  <c r="E4813" i="1"/>
  <c r="B4813" i="1"/>
  <c r="A4813" i="1"/>
  <c r="H4812" i="1"/>
  <c r="G4812" i="1"/>
  <c r="E4812" i="1"/>
  <c r="B4812" i="1"/>
  <c r="A4812" i="1"/>
  <c r="H4811" i="1"/>
  <c r="G4811" i="1"/>
  <c r="E4811" i="1"/>
  <c r="B4811" i="1"/>
  <c r="A4811" i="1"/>
  <c r="H4810" i="1"/>
  <c r="G4810" i="1"/>
  <c r="E4810" i="1"/>
  <c r="B4810" i="1"/>
  <c r="A4810" i="1"/>
  <c r="H4809" i="1"/>
  <c r="G4809" i="1"/>
  <c r="E4809" i="1"/>
  <c r="B4809" i="1"/>
  <c r="A4809" i="1"/>
  <c r="H4808" i="1"/>
  <c r="G4808" i="1"/>
  <c r="E4808" i="1"/>
  <c r="B4808" i="1"/>
  <c r="A4808" i="1"/>
  <c r="H4807" i="1"/>
  <c r="G4807" i="1"/>
  <c r="E4807" i="1"/>
  <c r="B4807" i="1"/>
  <c r="A4807" i="1"/>
  <c r="H4806" i="1"/>
  <c r="G4806" i="1"/>
  <c r="E4806" i="1"/>
  <c r="B4806" i="1"/>
  <c r="A4806" i="1"/>
  <c r="H4805" i="1"/>
  <c r="G4805" i="1"/>
  <c r="E4805" i="1"/>
  <c r="B4805" i="1"/>
  <c r="A4805" i="1"/>
  <c r="H4804" i="1"/>
  <c r="G4804" i="1"/>
  <c r="B4804" i="1"/>
  <c r="A4804" i="1"/>
  <c r="H4803" i="1"/>
  <c r="G4803" i="1"/>
  <c r="E4803" i="1"/>
  <c r="B4803" i="1"/>
  <c r="A4803" i="1"/>
  <c r="H4802" i="1"/>
  <c r="G4802" i="1"/>
  <c r="E4802" i="1"/>
  <c r="B4802" i="1"/>
  <c r="A4802" i="1"/>
  <c r="H4801" i="1"/>
  <c r="G4801" i="1"/>
  <c r="E4801" i="1"/>
  <c r="B4801" i="1"/>
  <c r="A4801" i="1"/>
  <c r="H4800" i="1"/>
  <c r="G4800" i="1"/>
  <c r="E4800" i="1"/>
  <c r="B4800" i="1"/>
  <c r="A4800" i="1"/>
  <c r="H4799" i="1"/>
  <c r="G4799" i="1"/>
  <c r="E4799" i="1"/>
  <c r="B4799" i="1"/>
  <c r="A4799" i="1"/>
  <c r="H4798" i="1"/>
  <c r="G4798" i="1"/>
  <c r="E4798" i="1"/>
  <c r="B4798" i="1"/>
  <c r="A4798" i="1"/>
  <c r="H4797" i="1"/>
  <c r="G4797" i="1"/>
  <c r="E4797" i="1"/>
  <c r="B4797" i="1"/>
  <c r="A4797" i="1"/>
  <c r="H4796" i="1"/>
  <c r="G4796" i="1"/>
  <c r="E4796" i="1"/>
  <c r="B4796" i="1"/>
  <c r="A4796" i="1"/>
  <c r="H4795" i="1"/>
  <c r="G4795" i="1"/>
  <c r="E4795" i="1"/>
  <c r="B4795" i="1"/>
  <c r="A4795" i="1"/>
  <c r="H4794" i="1"/>
  <c r="G4794" i="1"/>
  <c r="E4794" i="1"/>
  <c r="B4794" i="1"/>
  <c r="A4794" i="1"/>
  <c r="H4793" i="1"/>
  <c r="G4793" i="1"/>
  <c r="E4793" i="1"/>
  <c r="B4793" i="1"/>
  <c r="A4793" i="1"/>
  <c r="H4792" i="1"/>
  <c r="G4792" i="1"/>
  <c r="E4792" i="1"/>
  <c r="B4792" i="1"/>
  <c r="A4792" i="1"/>
  <c r="H4791" i="1"/>
  <c r="G4791" i="1"/>
  <c r="E4791" i="1"/>
  <c r="B4791" i="1"/>
  <c r="A4791" i="1"/>
  <c r="H4790" i="1"/>
  <c r="G4790" i="1"/>
  <c r="E4790" i="1"/>
  <c r="B4790" i="1"/>
  <c r="A4790" i="1"/>
  <c r="H4789" i="1"/>
  <c r="G4789" i="1"/>
  <c r="E4789" i="1"/>
  <c r="B4789" i="1"/>
  <c r="A4789" i="1"/>
  <c r="H4788" i="1"/>
  <c r="G4788" i="1"/>
  <c r="E4788" i="1"/>
  <c r="B4788" i="1"/>
  <c r="A4788" i="1"/>
  <c r="H4787" i="1"/>
  <c r="G4787" i="1"/>
  <c r="E4787" i="1"/>
  <c r="B4787" i="1"/>
  <c r="A4787" i="1"/>
  <c r="H4786" i="1"/>
  <c r="G4786" i="1"/>
  <c r="E4786" i="1"/>
  <c r="B4786" i="1"/>
  <c r="A4786" i="1"/>
  <c r="H4785" i="1"/>
  <c r="G4785" i="1"/>
  <c r="E4785" i="1"/>
  <c r="B4785" i="1"/>
  <c r="A4785" i="1"/>
  <c r="H4784" i="1"/>
  <c r="G4784" i="1"/>
  <c r="E4784" i="1"/>
  <c r="B4784" i="1"/>
  <c r="A4784" i="1"/>
  <c r="H4783" i="1"/>
  <c r="G4783" i="1"/>
  <c r="E4783" i="1"/>
  <c r="B4783" i="1"/>
  <c r="A4783" i="1"/>
  <c r="H4782" i="1"/>
  <c r="G4782" i="1"/>
  <c r="E4782" i="1"/>
  <c r="B4782" i="1"/>
  <c r="A4782" i="1"/>
  <c r="H4781" i="1"/>
  <c r="G4781" i="1"/>
  <c r="E4781" i="1"/>
  <c r="B4781" i="1"/>
  <c r="A4781" i="1"/>
  <c r="H4780" i="1"/>
  <c r="G4780" i="1"/>
  <c r="E4780" i="1"/>
  <c r="B4780" i="1"/>
  <c r="A4780" i="1"/>
  <c r="H4779" i="1"/>
  <c r="G4779" i="1"/>
  <c r="E4779" i="1"/>
  <c r="B4779" i="1"/>
  <c r="A4779" i="1"/>
  <c r="H4778" i="1"/>
  <c r="G4778" i="1"/>
  <c r="E4778" i="1"/>
  <c r="B4778" i="1"/>
  <c r="A4778" i="1"/>
  <c r="H4777" i="1"/>
  <c r="G4777" i="1"/>
  <c r="E4777" i="1"/>
  <c r="B4777" i="1"/>
  <c r="A4777" i="1"/>
  <c r="H4776" i="1"/>
  <c r="G4776" i="1"/>
  <c r="E4776" i="1"/>
  <c r="B4776" i="1"/>
  <c r="A4776" i="1"/>
  <c r="H4775" i="1"/>
  <c r="G4775" i="1"/>
  <c r="E4775" i="1"/>
  <c r="B4775" i="1"/>
  <c r="A4775" i="1"/>
  <c r="H4774" i="1"/>
  <c r="G4774" i="1"/>
  <c r="E4774" i="1"/>
  <c r="B4774" i="1"/>
  <c r="A4774" i="1"/>
  <c r="H4773" i="1"/>
  <c r="G4773" i="1"/>
  <c r="E4773" i="1"/>
  <c r="B4773" i="1"/>
  <c r="A4773" i="1"/>
  <c r="H4772" i="1"/>
  <c r="G4772" i="1"/>
  <c r="E4772" i="1"/>
  <c r="B4772" i="1"/>
  <c r="A4772" i="1"/>
  <c r="H4771" i="1"/>
  <c r="G4771" i="1"/>
  <c r="E4771" i="1"/>
  <c r="B4771" i="1"/>
  <c r="A4771" i="1"/>
  <c r="H4770" i="1"/>
  <c r="G4770" i="1"/>
  <c r="B4770" i="1"/>
  <c r="A4770" i="1"/>
  <c r="H4769" i="1"/>
  <c r="G4769" i="1"/>
  <c r="E4769" i="1"/>
  <c r="B4769" i="1"/>
  <c r="A4769" i="1"/>
  <c r="H4768" i="1"/>
  <c r="G4768" i="1"/>
  <c r="B4768" i="1"/>
  <c r="A4768" i="1"/>
  <c r="H4767" i="1"/>
  <c r="G4767" i="1"/>
  <c r="E4767" i="1"/>
  <c r="B4767" i="1"/>
  <c r="A4767" i="1"/>
  <c r="H4766" i="1"/>
  <c r="G4766" i="1"/>
  <c r="E4766" i="1"/>
  <c r="B4766" i="1"/>
  <c r="A4766" i="1"/>
  <c r="H4765" i="1"/>
  <c r="G4765" i="1"/>
  <c r="E4765" i="1"/>
  <c r="B4765" i="1"/>
  <c r="A4765" i="1"/>
  <c r="H4764" i="1"/>
  <c r="G4764" i="1"/>
  <c r="E4764" i="1"/>
  <c r="B4764" i="1"/>
  <c r="A4764" i="1"/>
  <c r="H4763" i="1"/>
  <c r="G4763" i="1"/>
  <c r="E4763" i="1"/>
  <c r="B4763" i="1"/>
  <c r="A4763" i="1"/>
  <c r="H4762" i="1"/>
  <c r="G4762" i="1"/>
  <c r="E4762" i="1"/>
  <c r="B4762" i="1"/>
  <c r="A4762" i="1"/>
  <c r="H4761" i="1"/>
  <c r="G4761" i="1"/>
  <c r="E4761" i="1"/>
  <c r="B4761" i="1"/>
  <c r="A4761" i="1"/>
  <c r="H4760" i="1"/>
  <c r="G4760" i="1"/>
  <c r="E4760" i="1"/>
  <c r="B4760" i="1"/>
  <c r="A4760" i="1"/>
  <c r="H4759" i="1"/>
  <c r="G4759" i="1"/>
  <c r="E4759" i="1"/>
  <c r="B4759" i="1"/>
  <c r="A4759" i="1"/>
  <c r="H4758" i="1"/>
  <c r="G4758" i="1"/>
  <c r="E4758" i="1"/>
  <c r="B4758" i="1"/>
  <c r="A4758" i="1"/>
  <c r="H4757" i="1"/>
  <c r="G4757" i="1"/>
  <c r="E4757" i="1"/>
  <c r="B4757" i="1"/>
  <c r="A4757" i="1"/>
  <c r="H4756" i="1"/>
  <c r="G4756" i="1"/>
  <c r="E4756" i="1"/>
  <c r="B4756" i="1"/>
  <c r="A4756" i="1"/>
  <c r="H4755" i="1"/>
  <c r="G4755" i="1"/>
  <c r="E4755" i="1"/>
  <c r="B4755" i="1"/>
  <c r="A4755" i="1"/>
  <c r="H4754" i="1"/>
  <c r="G4754" i="1"/>
  <c r="E4754" i="1"/>
  <c r="B4754" i="1"/>
  <c r="A4754" i="1"/>
  <c r="H4753" i="1"/>
  <c r="G4753" i="1"/>
  <c r="E4753" i="1"/>
  <c r="B4753" i="1"/>
  <c r="A4753" i="1"/>
  <c r="H4752" i="1"/>
  <c r="G4752" i="1"/>
  <c r="E4752" i="1"/>
  <c r="B4752" i="1"/>
  <c r="A4752" i="1"/>
  <c r="H4751" i="1"/>
  <c r="G4751" i="1"/>
  <c r="E4751" i="1"/>
  <c r="B4751" i="1"/>
  <c r="A4751" i="1"/>
  <c r="H4750" i="1"/>
  <c r="G4750" i="1"/>
  <c r="E4750" i="1"/>
  <c r="B4750" i="1"/>
  <c r="A4750" i="1"/>
  <c r="H4749" i="1"/>
  <c r="G4749" i="1"/>
  <c r="E4749" i="1"/>
  <c r="B4749" i="1"/>
  <c r="A4749" i="1"/>
  <c r="H4748" i="1"/>
  <c r="G4748" i="1"/>
  <c r="E4748" i="1"/>
  <c r="B4748" i="1"/>
  <c r="A4748" i="1"/>
  <c r="H4747" i="1"/>
  <c r="G4747" i="1"/>
  <c r="E4747" i="1"/>
  <c r="B4747" i="1"/>
  <c r="A4747" i="1"/>
  <c r="H4746" i="1"/>
  <c r="G4746" i="1"/>
  <c r="E4746" i="1"/>
  <c r="B4746" i="1"/>
  <c r="A4746" i="1"/>
  <c r="H4745" i="1"/>
  <c r="G4745" i="1"/>
  <c r="E4745" i="1"/>
  <c r="B4745" i="1"/>
  <c r="A4745" i="1"/>
  <c r="H4744" i="1"/>
  <c r="G4744" i="1"/>
  <c r="E4744" i="1"/>
  <c r="B4744" i="1"/>
  <c r="A4744" i="1"/>
  <c r="H4743" i="1"/>
  <c r="G4743" i="1"/>
  <c r="E4743" i="1"/>
  <c r="B4743" i="1"/>
  <c r="A4743" i="1"/>
  <c r="H4742" i="1"/>
  <c r="G4742" i="1"/>
  <c r="E4742" i="1"/>
  <c r="B4742" i="1"/>
  <c r="A4742" i="1"/>
  <c r="H4741" i="1"/>
  <c r="G4741" i="1"/>
  <c r="E4741" i="1"/>
  <c r="B4741" i="1"/>
  <c r="A4741" i="1"/>
  <c r="H4740" i="1"/>
  <c r="G4740" i="1"/>
  <c r="E4740" i="1"/>
  <c r="B4740" i="1"/>
  <c r="A4740" i="1"/>
  <c r="H4739" i="1"/>
  <c r="G4739" i="1"/>
  <c r="E4739" i="1"/>
  <c r="B4739" i="1"/>
  <c r="A4739" i="1"/>
  <c r="H4738" i="1"/>
  <c r="G4738" i="1"/>
  <c r="E4738" i="1"/>
  <c r="B4738" i="1"/>
  <c r="A4738" i="1"/>
  <c r="H4737" i="1"/>
  <c r="G4737" i="1"/>
  <c r="E4737" i="1"/>
  <c r="B4737" i="1"/>
  <c r="A4737" i="1"/>
  <c r="H4736" i="1"/>
  <c r="G4736" i="1"/>
  <c r="E4736" i="1"/>
  <c r="B4736" i="1"/>
  <c r="A4736" i="1"/>
  <c r="H4735" i="1"/>
  <c r="G4735" i="1"/>
  <c r="E4735" i="1"/>
  <c r="B4735" i="1"/>
  <c r="A4735" i="1"/>
  <c r="H4734" i="1"/>
  <c r="G4734" i="1"/>
  <c r="E4734" i="1"/>
  <c r="B4734" i="1"/>
  <c r="A4734" i="1"/>
  <c r="H4733" i="1"/>
  <c r="G4733" i="1"/>
  <c r="E4733" i="1"/>
  <c r="B4733" i="1"/>
  <c r="A4733" i="1"/>
  <c r="H4732" i="1"/>
  <c r="G4732" i="1"/>
  <c r="E4732" i="1"/>
  <c r="B4732" i="1"/>
  <c r="A4732" i="1"/>
  <c r="H4731" i="1"/>
  <c r="G4731" i="1"/>
  <c r="E4731" i="1"/>
  <c r="B4731" i="1"/>
  <c r="A4731" i="1"/>
  <c r="H4730" i="1"/>
  <c r="G4730" i="1"/>
  <c r="E4730" i="1"/>
  <c r="B4730" i="1"/>
  <c r="A4730" i="1"/>
  <c r="H4729" i="1"/>
  <c r="G4729" i="1"/>
  <c r="B4729" i="1"/>
  <c r="A4729" i="1"/>
  <c r="H4728" i="1"/>
  <c r="G4728" i="1"/>
  <c r="E4728" i="1"/>
  <c r="B4728" i="1"/>
  <c r="A4728" i="1"/>
  <c r="H4727" i="1"/>
  <c r="G4727" i="1"/>
  <c r="E4727" i="1"/>
  <c r="B4727" i="1"/>
  <c r="A4727" i="1"/>
  <c r="H4726" i="1"/>
  <c r="G4726" i="1"/>
  <c r="E4726" i="1"/>
  <c r="B4726" i="1"/>
  <c r="A4726" i="1"/>
  <c r="H4725" i="1"/>
  <c r="G4725" i="1"/>
  <c r="E4725" i="1"/>
  <c r="B4725" i="1"/>
  <c r="A4725" i="1"/>
  <c r="H4724" i="1"/>
  <c r="G4724" i="1"/>
  <c r="E4724" i="1"/>
  <c r="B4724" i="1"/>
  <c r="A4724" i="1"/>
  <c r="H4723" i="1"/>
  <c r="G4723" i="1"/>
  <c r="E4723" i="1"/>
  <c r="B4723" i="1"/>
  <c r="A4723" i="1"/>
  <c r="H4722" i="1"/>
  <c r="G4722" i="1"/>
  <c r="E4722" i="1"/>
  <c r="B4722" i="1"/>
  <c r="A4722" i="1"/>
  <c r="H4721" i="1"/>
  <c r="G4721" i="1"/>
  <c r="E4721" i="1"/>
  <c r="B4721" i="1"/>
  <c r="A4721" i="1"/>
  <c r="H4720" i="1"/>
  <c r="G4720" i="1"/>
  <c r="E4720" i="1"/>
  <c r="B4720" i="1"/>
  <c r="A4720" i="1"/>
  <c r="H4719" i="1"/>
  <c r="G4719" i="1"/>
  <c r="E4719" i="1"/>
  <c r="B4719" i="1"/>
  <c r="A4719" i="1"/>
  <c r="H4718" i="1"/>
  <c r="G4718" i="1"/>
  <c r="E4718" i="1"/>
  <c r="B4718" i="1"/>
  <c r="A4718" i="1"/>
  <c r="H4717" i="1"/>
  <c r="G4717" i="1"/>
  <c r="E4717" i="1"/>
  <c r="B4717" i="1"/>
  <c r="A4717" i="1"/>
  <c r="H4716" i="1"/>
  <c r="G4716" i="1"/>
  <c r="E4716" i="1"/>
  <c r="B4716" i="1"/>
  <c r="A4716" i="1"/>
  <c r="H4715" i="1"/>
  <c r="G4715" i="1"/>
  <c r="E4715" i="1"/>
  <c r="B4715" i="1"/>
  <c r="A4715" i="1"/>
  <c r="H4714" i="1"/>
  <c r="G4714" i="1"/>
  <c r="E4714" i="1"/>
  <c r="B4714" i="1"/>
  <c r="A4714" i="1"/>
  <c r="H4713" i="1"/>
  <c r="G4713" i="1"/>
  <c r="E4713" i="1"/>
  <c r="B4713" i="1"/>
  <c r="A4713" i="1"/>
  <c r="H4712" i="1"/>
  <c r="G4712" i="1"/>
  <c r="E4712" i="1"/>
  <c r="B4712" i="1"/>
  <c r="A4712" i="1"/>
  <c r="H4711" i="1"/>
  <c r="G4711" i="1"/>
  <c r="E4711" i="1"/>
  <c r="B4711" i="1"/>
  <c r="A4711" i="1"/>
  <c r="H4710" i="1"/>
  <c r="G4710" i="1"/>
  <c r="E4710" i="1"/>
  <c r="B4710" i="1"/>
  <c r="A4710" i="1"/>
  <c r="H4709" i="1"/>
  <c r="G4709" i="1"/>
  <c r="E4709" i="1"/>
  <c r="B4709" i="1"/>
  <c r="A4709" i="1"/>
  <c r="H4708" i="1"/>
  <c r="G4708" i="1"/>
  <c r="E4708" i="1"/>
  <c r="B4708" i="1"/>
  <c r="A4708" i="1"/>
  <c r="H4707" i="1"/>
  <c r="G4707" i="1"/>
  <c r="E4707" i="1"/>
  <c r="B4707" i="1"/>
  <c r="A4707" i="1"/>
  <c r="H4706" i="1"/>
  <c r="G4706" i="1"/>
  <c r="E4706" i="1"/>
  <c r="B4706" i="1"/>
  <c r="A4706" i="1"/>
  <c r="H4705" i="1"/>
  <c r="G4705" i="1"/>
  <c r="E4705" i="1"/>
  <c r="B4705" i="1"/>
  <c r="A4705" i="1"/>
  <c r="H4704" i="1"/>
  <c r="G4704" i="1"/>
  <c r="E4704" i="1"/>
  <c r="B4704" i="1"/>
  <c r="A4704" i="1"/>
  <c r="H4703" i="1"/>
  <c r="G4703" i="1"/>
  <c r="E4703" i="1"/>
  <c r="B4703" i="1"/>
  <c r="A4703" i="1"/>
  <c r="H4702" i="1"/>
  <c r="G4702" i="1"/>
  <c r="E4702" i="1"/>
  <c r="B4702" i="1"/>
  <c r="A4702" i="1"/>
  <c r="H4701" i="1"/>
  <c r="G4701" i="1"/>
  <c r="E4701" i="1"/>
  <c r="B4701" i="1"/>
  <c r="A4701" i="1"/>
  <c r="H4700" i="1"/>
  <c r="G4700" i="1"/>
  <c r="E4700" i="1"/>
  <c r="B4700" i="1"/>
  <c r="A4700" i="1"/>
  <c r="H4699" i="1"/>
  <c r="G4699" i="1"/>
  <c r="E4699" i="1"/>
  <c r="B4699" i="1"/>
  <c r="A4699" i="1"/>
  <c r="H4698" i="1"/>
  <c r="G4698" i="1"/>
  <c r="E4698" i="1"/>
  <c r="B4698" i="1"/>
  <c r="A4698" i="1"/>
  <c r="H4697" i="1"/>
  <c r="G4697" i="1"/>
  <c r="E4697" i="1"/>
  <c r="B4697" i="1"/>
  <c r="A4697" i="1"/>
  <c r="H4696" i="1"/>
  <c r="G4696" i="1"/>
  <c r="E4696" i="1"/>
  <c r="B4696" i="1"/>
  <c r="A4696" i="1"/>
  <c r="H4695" i="1"/>
  <c r="G4695" i="1"/>
  <c r="E4695" i="1"/>
  <c r="B4695" i="1"/>
  <c r="A4695" i="1"/>
  <c r="H4694" i="1"/>
  <c r="G4694" i="1"/>
  <c r="E4694" i="1"/>
  <c r="B4694" i="1"/>
  <c r="A4694" i="1"/>
  <c r="H4693" i="1"/>
  <c r="G4693" i="1"/>
  <c r="E4693" i="1"/>
  <c r="B4693" i="1"/>
  <c r="A4693" i="1"/>
  <c r="H4692" i="1"/>
  <c r="G4692" i="1"/>
  <c r="E4692" i="1"/>
  <c r="B4692" i="1"/>
  <c r="A4692" i="1"/>
  <c r="H4691" i="1"/>
  <c r="G4691" i="1"/>
  <c r="E4691" i="1"/>
  <c r="B4691" i="1"/>
  <c r="A4691" i="1"/>
  <c r="H4690" i="1"/>
  <c r="G4690" i="1"/>
  <c r="E4690" i="1"/>
  <c r="B4690" i="1"/>
  <c r="A4690" i="1"/>
  <c r="H4689" i="1"/>
  <c r="G4689" i="1"/>
  <c r="E4689" i="1"/>
  <c r="B4689" i="1"/>
  <c r="A4689" i="1"/>
  <c r="H4688" i="1"/>
  <c r="G4688" i="1"/>
  <c r="E4688" i="1"/>
  <c r="B4688" i="1"/>
  <c r="A4688" i="1"/>
  <c r="H4687" i="1"/>
  <c r="G4687" i="1"/>
  <c r="E4687" i="1"/>
  <c r="B4687" i="1"/>
  <c r="A4687" i="1"/>
  <c r="H4686" i="1"/>
  <c r="G4686" i="1"/>
  <c r="E4686" i="1"/>
  <c r="B4686" i="1"/>
  <c r="A4686" i="1"/>
  <c r="H4685" i="1"/>
  <c r="G4685" i="1"/>
  <c r="E4685" i="1"/>
  <c r="B4685" i="1"/>
  <c r="A4685" i="1"/>
  <c r="H4684" i="1"/>
  <c r="G4684" i="1"/>
  <c r="E4684" i="1"/>
  <c r="B4684" i="1"/>
  <c r="A4684" i="1"/>
  <c r="H4683" i="1"/>
  <c r="G4683" i="1"/>
  <c r="E4683" i="1"/>
  <c r="B4683" i="1"/>
  <c r="A4683" i="1"/>
  <c r="H4682" i="1"/>
  <c r="G4682" i="1"/>
  <c r="E4682" i="1"/>
  <c r="B4682" i="1"/>
  <c r="A4682" i="1"/>
  <c r="H4681" i="1"/>
  <c r="G4681" i="1"/>
  <c r="E4681" i="1"/>
  <c r="B4681" i="1"/>
  <c r="A4681" i="1"/>
  <c r="H4680" i="1"/>
  <c r="G4680" i="1"/>
  <c r="E4680" i="1"/>
  <c r="B4680" i="1"/>
  <c r="A4680" i="1"/>
  <c r="H4679" i="1"/>
  <c r="G4679" i="1"/>
  <c r="E4679" i="1"/>
  <c r="B4679" i="1"/>
  <c r="A4679" i="1"/>
  <c r="H4678" i="1"/>
  <c r="G4678" i="1"/>
  <c r="E4678" i="1"/>
  <c r="B4678" i="1"/>
  <c r="A4678" i="1"/>
  <c r="H4677" i="1"/>
  <c r="G4677" i="1"/>
  <c r="E4677" i="1"/>
  <c r="B4677" i="1"/>
  <c r="A4677" i="1"/>
  <c r="H4676" i="1"/>
  <c r="G4676" i="1"/>
  <c r="E4676" i="1"/>
  <c r="B4676" i="1"/>
  <c r="A4676" i="1"/>
  <c r="H4675" i="1"/>
  <c r="G4675" i="1"/>
  <c r="E4675" i="1"/>
  <c r="B4675" i="1"/>
  <c r="A4675" i="1"/>
  <c r="H4674" i="1"/>
  <c r="G4674" i="1"/>
  <c r="E4674" i="1"/>
  <c r="B4674" i="1"/>
  <c r="A4674" i="1"/>
  <c r="H4673" i="1"/>
  <c r="G4673" i="1"/>
  <c r="E4673" i="1"/>
  <c r="B4673" i="1"/>
  <c r="A4673" i="1"/>
  <c r="H4672" i="1"/>
  <c r="G4672" i="1"/>
  <c r="E4672" i="1"/>
  <c r="B4672" i="1"/>
  <c r="A4672" i="1"/>
  <c r="H4671" i="1"/>
  <c r="G4671" i="1"/>
  <c r="E4671" i="1"/>
  <c r="B4671" i="1"/>
  <c r="A4671" i="1"/>
  <c r="H4670" i="1"/>
  <c r="G4670" i="1"/>
  <c r="E4670" i="1"/>
  <c r="B4670" i="1"/>
  <c r="A4670" i="1"/>
  <c r="H4669" i="1"/>
  <c r="G4669" i="1"/>
  <c r="E4669" i="1"/>
  <c r="B4669" i="1"/>
  <c r="A4669" i="1"/>
  <c r="H4668" i="1"/>
  <c r="G4668" i="1"/>
  <c r="E4668" i="1"/>
  <c r="B4668" i="1"/>
  <c r="A4668" i="1"/>
  <c r="H4667" i="1"/>
  <c r="G4667" i="1"/>
  <c r="E4667" i="1"/>
  <c r="B4667" i="1"/>
  <c r="A4667" i="1"/>
  <c r="H4666" i="1"/>
  <c r="G4666" i="1"/>
  <c r="E4666" i="1"/>
  <c r="B4666" i="1"/>
  <c r="A4666" i="1"/>
  <c r="H4665" i="1"/>
  <c r="G4665" i="1"/>
  <c r="E4665" i="1"/>
  <c r="B4665" i="1"/>
  <c r="A4665" i="1"/>
  <c r="H4664" i="1"/>
  <c r="G4664" i="1"/>
  <c r="E4664" i="1"/>
  <c r="B4664" i="1"/>
  <c r="A4664" i="1"/>
  <c r="H4663" i="1"/>
  <c r="G4663" i="1"/>
  <c r="E4663" i="1"/>
  <c r="B4663" i="1"/>
  <c r="A4663" i="1"/>
  <c r="H4662" i="1"/>
  <c r="G4662" i="1"/>
  <c r="E4662" i="1"/>
  <c r="B4662" i="1"/>
  <c r="A4662" i="1"/>
  <c r="H4661" i="1"/>
  <c r="G4661" i="1"/>
  <c r="E4661" i="1"/>
  <c r="B4661" i="1"/>
  <c r="A4661" i="1"/>
  <c r="H4660" i="1"/>
  <c r="G4660" i="1"/>
  <c r="E4660" i="1"/>
  <c r="B4660" i="1"/>
  <c r="A4660" i="1"/>
  <c r="H4659" i="1"/>
  <c r="G4659" i="1"/>
  <c r="E4659" i="1"/>
  <c r="B4659" i="1"/>
  <c r="A4659" i="1"/>
  <c r="H4658" i="1"/>
  <c r="G4658" i="1"/>
  <c r="B4658" i="1"/>
  <c r="A4658" i="1"/>
  <c r="H4657" i="1"/>
  <c r="G4657" i="1"/>
  <c r="E4657" i="1"/>
  <c r="B4657" i="1"/>
  <c r="A4657" i="1"/>
  <c r="H4656" i="1"/>
  <c r="G4656" i="1"/>
  <c r="E4656" i="1"/>
  <c r="B4656" i="1"/>
  <c r="A4656" i="1"/>
  <c r="H4655" i="1"/>
  <c r="G4655" i="1"/>
  <c r="E4655" i="1"/>
  <c r="B4655" i="1"/>
  <c r="A4655" i="1"/>
  <c r="H4654" i="1"/>
  <c r="G4654" i="1"/>
  <c r="E4654" i="1"/>
  <c r="B4654" i="1"/>
  <c r="A4654" i="1"/>
  <c r="H4653" i="1"/>
  <c r="G4653" i="1"/>
  <c r="E4653" i="1"/>
  <c r="B4653" i="1"/>
  <c r="A4653" i="1"/>
  <c r="H4652" i="1"/>
  <c r="G4652" i="1"/>
  <c r="E4652" i="1"/>
  <c r="B4652" i="1"/>
  <c r="A4652" i="1"/>
  <c r="H4651" i="1"/>
  <c r="G4651" i="1"/>
  <c r="E4651" i="1"/>
  <c r="B4651" i="1"/>
  <c r="A4651" i="1"/>
  <c r="H4650" i="1"/>
  <c r="G4650" i="1"/>
  <c r="E4650" i="1"/>
  <c r="B4650" i="1"/>
  <c r="A4650" i="1"/>
  <c r="H4649" i="1"/>
  <c r="G4649" i="1"/>
  <c r="E4649" i="1"/>
  <c r="B4649" i="1"/>
  <c r="A4649" i="1"/>
  <c r="H4648" i="1"/>
  <c r="G4648" i="1"/>
  <c r="E4648" i="1"/>
  <c r="B4648" i="1"/>
  <c r="A4648" i="1"/>
  <c r="H4647" i="1"/>
  <c r="G4647" i="1"/>
  <c r="E4647" i="1"/>
  <c r="B4647" i="1"/>
  <c r="A4647" i="1"/>
  <c r="H4646" i="1"/>
  <c r="G4646" i="1"/>
  <c r="E4646" i="1"/>
  <c r="B4646" i="1"/>
  <c r="A4646" i="1"/>
  <c r="H4645" i="1"/>
  <c r="G4645" i="1"/>
  <c r="E4645" i="1"/>
  <c r="B4645" i="1"/>
  <c r="A4645" i="1"/>
  <c r="H4644" i="1"/>
  <c r="G4644" i="1"/>
  <c r="E4644" i="1"/>
  <c r="B4644" i="1"/>
  <c r="A4644" i="1"/>
  <c r="H4643" i="1"/>
  <c r="G4643" i="1"/>
  <c r="E4643" i="1"/>
  <c r="B4643" i="1"/>
  <c r="A4643" i="1"/>
  <c r="H4642" i="1"/>
  <c r="G4642" i="1"/>
  <c r="E4642" i="1"/>
  <c r="B4642" i="1"/>
  <c r="A4642" i="1"/>
  <c r="H4641" i="1"/>
  <c r="G4641" i="1"/>
  <c r="B4641" i="1"/>
  <c r="A4641" i="1"/>
  <c r="H4640" i="1"/>
  <c r="G4640" i="1"/>
  <c r="E4640" i="1"/>
  <c r="B4640" i="1"/>
  <c r="A4640" i="1"/>
  <c r="H4639" i="1"/>
  <c r="G4639" i="1"/>
  <c r="E4639" i="1"/>
  <c r="B4639" i="1"/>
  <c r="A4639" i="1"/>
  <c r="H4638" i="1"/>
  <c r="G4638" i="1"/>
  <c r="E4638" i="1"/>
  <c r="B4638" i="1"/>
  <c r="A4638" i="1"/>
  <c r="H4637" i="1"/>
  <c r="G4637" i="1"/>
  <c r="E4637" i="1"/>
  <c r="B4637" i="1"/>
  <c r="A4637" i="1"/>
  <c r="H4636" i="1"/>
  <c r="G4636" i="1"/>
  <c r="E4636" i="1"/>
  <c r="B4636" i="1"/>
  <c r="A4636" i="1"/>
  <c r="H4635" i="1"/>
  <c r="G4635" i="1"/>
  <c r="E4635" i="1"/>
  <c r="B4635" i="1"/>
  <c r="A4635" i="1"/>
  <c r="H4634" i="1"/>
  <c r="G4634" i="1"/>
  <c r="E4634" i="1"/>
  <c r="B4634" i="1"/>
  <c r="A4634" i="1"/>
  <c r="H4633" i="1"/>
  <c r="G4633" i="1"/>
  <c r="E4633" i="1"/>
  <c r="B4633" i="1"/>
  <c r="A4633" i="1"/>
  <c r="H4632" i="1"/>
  <c r="G4632" i="1"/>
  <c r="E4632" i="1"/>
  <c r="B4632" i="1"/>
  <c r="A4632" i="1"/>
  <c r="H4631" i="1"/>
  <c r="G4631" i="1"/>
  <c r="E4631" i="1"/>
  <c r="B4631" i="1"/>
  <c r="A4631" i="1"/>
  <c r="H4630" i="1"/>
  <c r="G4630" i="1"/>
  <c r="E4630" i="1"/>
  <c r="B4630" i="1"/>
  <c r="A4630" i="1"/>
  <c r="H4629" i="1"/>
  <c r="G4629" i="1"/>
  <c r="E4629" i="1"/>
  <c r="B4629" i="1"/>
  <c r="A4629" i="1"/>
  <c r="H4628" i="1"/>
  <c r="G4628" i="1"/>
  <c r="E4628" i="1"/>
  <c r="B4628" i="1"/>
  <c r="A4628" i="1"/>
  <c r="H4627" i="1"/>
  <c r="G4627" i="1"/>
  <c r="E4627" i="1"/>
  <c r="B4627" i="1"/>
  <c r="A4627" i="1"/>
  <c r="H4626" i="1"/>
  <c r="G4626" i="1"/>
  <c r="E4626" i="1"/>
  <c r="B4626" i="1"/>
  <c r="A4626" i="1"/>
  <c r="H4625" i="1"/>
  <c r="G4625" i="1"/>
  <c r="E4625" i="1"/>
  <c r="B4625" i="1"/>
  <c r="A4625" i="1"/>
  <c r="H4624" i="1"/>
  <c r="G4624" i="1"/>
  <c r="E4624" i="1"/>
  <c r="B4624" i="1"/>
  <c r="A4624" i="1"/>
  <c r="H4623" i="1"/>
  <c r="G4623" i="1"/>
  <c r="E4623" i="1"/>
  <c r="B4623" i="1"/>
  <c r="A4623" i="1"/>
  <c r="H4622" i="1"/>
  <c r="G4622" i="1"/>
  <c r="E4622" i="1"/>
  <c r="B4622" i="1"/>
  <c r="A4622" i="1"/>
  <c r="H4621" i="1"/>
  <c r="G4621" i="1"/>
  <c r="E4621" i="1"/>
  <c r="B4621" i="1"/>
  <c r="A4621" i="1"/>
  <c r="H4620" i="1"/>
  <c r="G4620" i="1"/>
  <c r="E4620" i="1"/>
  <c r="B4620" i="1"/>
  <c r="A4620" i="1"/>
  <c r="H4619" i="1"/>
  <c r="G4619" i="1"/>
  <c r="E4619" i="1"/>
  <c r="B4619" i="1"/>
  <c r="A4619" i="1"/>
  <c r="H4618" i="1"/>
  <c r="G4618" i="1"/>
  <c r="E4618" i="1"/>
  <c r="B4618" i="1"/>
  <c r="A4618" i="1"/>
  <c r="H4617" i="1"/>
  <c r="G4617" i="1"/>
  <c r="E4617" i="1"/>
  <c r="B4617" i="1"/>
  <c r="A4617" i="1"/>
  <c r="H4616" i="1"/>
  <c r="G4616" i="1"/>
  <c r="E4616" i="1"/>
  <c r="B4616" i="1"/>
  <c r="A4616" i="1"/>
  <c r="H4615" i="1"/>
  <c r="G4615" i="1"/>
  <c r="E4615" i="1"/>
  <c r="B4615" i="1"/>
  <c r="A4615" i="1"/>
  <c r="H4614" i="1"/>
  <c r="G4614" i="1"/>
  <c r="E4614" i="1"/>
  <c r="B4614" i="1"/>
  <c r="A4614" i="1"/>
  <c r="H4613" i="1"/>
  <c r="G4613" i="1"/>
  <c r="E4613" i="1"/>
  <c r="B4613" i="1"/>
  <c r="A4613" i="1"/>
  <c r="H4612" i="1"/>
  <c r="G4612" i="1"/>
  <c r="E4612" i="1"/>
  <c r="B4612" i="1"/>
  <c r="A4612" i="1"/>
  <c r="H4611" i="1"/>
  <c r="G4611" i="1"/>
  <c r="E4611" i="1"/>
  <c r="B4611" i="1"/>
  <c r="A4611" i="1"/>
  <c r="H4610" i="1"/>
  <c r="G4610" i="1"/>
  <c r="E4610" i="1"/>
  <c r="B4610" i="1"/>
  <c r="A4610" i="1"/>
  <c r="H4609" i="1"/>
  <c r="G4609" i="1"/>
  <c r="E4609" i="1"/>
  <c r="B4609" i="1"/>
  <c r="A4609" i="1"/>
  <c r="H4608" i="1"/>
  <c r="G4608" i="1"/>
  <c r="E4608" i="1"/>
  <c r="B4608" i="1"/>
  <c r="A4608" i="1"/>
  <c r="H4607" i="1"/>
  <c r="G4607" i="1"/>
  <c r="E4607" i="1"/>
  <c r="B4607" i="1"/>
  <c r="A4607" i="1"/>
  <c r="H4606" i="1"/>
  <c r="G4606" i="1"/>
  <c r="E4606" i="1"/>
  <c r="B4606" i="1"/>
  <c r="A4606" i="1"/>
  <c r="H4605" i="1"/>
  <c r="G4605" i="1"/>
  <c r="E4605" i="1"/>
  <c r="B4605" i="1"/>
  <c r="A4605" i="1"/>
  <c r="H4604" i="1"/>
  <c r="G4604" i="1"/>
  <c r="E4604" i="1"/>
  <c r="B4604" i="1"/>
  <c r="A4604" i="1"/>
  <c r="H4603" i="1"/>
  <c r="G4603" i="1"/>
  <c r="E4603" i="1"/>
  <c r="B4603" i="1"/>
  <c r="A4603" i="1"/>
  <c r="H4602" i="1"/>
  <c r="G4602" i="1"/>
  <c r="E4602" i="1"/>
  <c r="B4602" i="1"/>
  <c r="A4602" i="1"/>
  <c r="H4601" i="1"/>
  <c r="G4601" i="1"/>
  <c r="E4601" i="1"/>
  <c r="B4601" i="1"/>
  <c r="A4601" i="1"/>
  <c r="H4600" i="1"/>
  <c r="G4600" i="1"/>
  <c r="E4600" i="1"/>
  <c r="B4600" i="1"/>
  <c r="A4600" i="1"/>
  <c r="H4599" i="1"/>
  <c r="G4599" i="1"/>
  <c r="E4599" i="1"/>
  <c r="B4599" i="1"/>
  <c r="A4599" i="1"/>
  <c r="H4598" i="1"/>
  <c r="G4598" i="1"/>
  <c r="E4598" i="1"/>
  <c r="B4598" i="1"/>
  <c r="A4598" i="1"/>
  <c r="H4597" i="1"/>
  <c r="G4597" i="1"/>
  <c r="E4597" i="1"/>
  <c r="B4597" i="1"/>
  <c r="A4597" i="1"/>
  <c r="H4596" i="1"/>
  <c r="G4596" i="1"/>
  <c r="E4596" i="1"/>
  <c r="B4596" i="1"/>
  <c r="A4596" i="1"/>
  <c r="H4595" i="1"/>
  <c r="G4595" i="1"/>
  <c r="E4595" i="1"/>
  <c r="B4595" i="1"/>
  <c r="A4595" i="1"/>
  <c r="H4594" i="1"/>
  <c r="G4594" i="1"/>
  <c r="E4594" i="1"/>
  <c r="B4594" i="1"/>
  <c r="A4594" i="1"/>
  <c r="H4593" i="1"/>
  <c r="G4593" i="1"/>
  <c r="E4593" i="1"/>
  <c r="B4593" i="1"/>
  <c r="A4593" i="1"/>
  <c r="H4592" i="1"/>
  <c r="G4592" i="1"/>
  <c r="E4592" i="1"/>
  <c r="B4592" i="1"/>
  <c r="A4592" i="1"/>
  <c r="H4591" i="1"/>
  <c r="G4591" i="1"/>
  <c r="E4591" i="1"/>
  <c r="B4591" i="1"/>
  <c r="A4591" i="1"/>
  <c r="H4590" i="1"/>
  <c r="G4590" i="1"/>
  <c r="E4590" i="1"/>
  <c r="B4590" i="1"/>
  <c r="A4590" i="1"/>
  <c r="H4589" i="1"/>
  <c r="G4589" i="1"/>
  <c r="E4589" i="1"/>
  <c r="B4589" i="1"/>
  <c r="A4589" i="1"/>
  <c r="H4588" i="1"/>
  <c r="G4588" i="1"/>
  <c r="E4588" i="1"/>
  <c r="B4588" i="1"/>
  <c r="A4588" i="1"/>
  <c r="H4587" i="1"/>
  <c r="G4587" i="1"/>
  <c r="E4587" i="1"/>
  <c r="B4587" i="1"/>
  <c r="A4587" i="1"/>
  <c r="H4586" i="1"/>
  <c r="G4586" i="1"/>
  <c r="E4586" i="1"/>
  <c r="B4586" i="1"/>
  <c r="A4586" i="1"/>
  <c r="H4585" i="1"/>
  <c r="G4585" i="1"/>
  <c r="E4585" i="1"/>
  <c r="B4585" i="1"/>
  <c r="A4585" i="1"/>
  <c r="H4584" i="1"/>
  <c r="G4584" i="1"/>
  <c r="E4584" i="1"/>
  <c r="B4584" i="1"/>
  <c r="A4584" i="1"/>
  <c r="H4583" i="1"/>
  <c r="G4583" i="1"/>
  <c r="E4583" i="1"/>
  <c r="B4583" i="1"/>
  <c r="A4583" i="1"/>
  <c r="H4582" i="1"/>
  <c r="G4582" i="1"/>
  <c r="E4582" i="1"/>
  <c r="B4582" i="1"/>
  <c r="A4582" i="1"/>
  <c r="H4581" i="1"/>
  <c r="G4581" i="1"/>
  <c r="E4581" i="1"/>
  <c r="B4581" i="1"/>
  <c r="A4581" i="1"/>
  <c r="H4580" i="1"/>
  <c r="G4580" i="1"/>
  <c r="E4580" i="1"/>
  <c r="B4580" i="1"/>
  <c r="A4580" i="1"/>
  <c r="H4579" i="1"/>
  <c r="G4579" i="1"/>
  <c r="E4579" i="1"/>
  <c r="B4579" i="1"/>
  <c r="A4579" i="1"/>
  <c r="H4578" i="1"/>
  <c r="G4578" i="1"/>
  <c r="E4578" i="1"/>
  <c r="B4578" i="1"/>
  <c r="A4578" i="1"/>
  <c r="H4577" i="1"/>
  <c r="G4577" i="1"/>
  <c r="E4577" i="1"/>
  <c r="B4577" i="1"/>
  <c r="A4577" i="1"/>
  <c r="H4576" i="1"/>
  <c r="G4576" i="1"/>
  <c r="E4576" i="1"/>
  <c r="B4576" i="1"/>
  <c r="A4576" i="1"/>
  <c r="H4575" i="1"/>
  <c r="G4575" i="1"/>
  <c r="E4575" i="1"/>
  <c r="B4575" i="1"/>
  <c r="A4575" i="1"/>
  <c r="H4574" i="1"/>
  <c r="G4574" i="1"/>
  <c r="E4574" i="1"/>
  <c r="B4574" i="1"/>
  <c r="A4574" i="1"/>
  <c r="H4573" i="1"/>
  <c r="G4573" i="1"/>
  <c r="E4573" i="1"/>
  <c r="B4573" i="1"/>
  <c r="A4573" i="1"/>
  <c r="H4572" i="1"/>
  <c r="G4572" i="1"/>
  <c r="E4572" i="1"/>
  <c r="B4572" i="1"/>
  <c r="A4572" i="1"/>
  <c r="H4571" i="1"/>
  <c r="G4571" i="1"/>
  <c r="E4571" i="1"/>
  <c r="B4571" i="1"/>
  <c r="A4571" i="1"/>
  <c r="H4570" i="1"/>
  <c r="G4570" i="1"/>
  <c r="E4570" i="1"/>
  <c r="B4570" i="1"/>
  <c r="A4570" i="1"/>
  <c r="H4569" i="1"/>
  <c r="G4569" i="1"/>
  <c r="E4569" i="1"/>
  <c r="B4569" i="1"/>
  <c r="A4569" i="1"/>
  <c r="H4568" i="1"/>
  <c r="G4568" i="1"/>
  <c r="E4568" i="1"/>
  <c r="B4568" i="1"/>
  <c r="A4568" i="1"/>
  <c r="H4567" i="1"/>
  <c r="G4567" i="1"/>
  <c r="E4567" i="1"/>
  <c r="B4567" i="1"/>
  <c r="A4567" i="1"/>
  <c r="H4566" i="1"/>
  <c r="G4566" i="1"/>
  <c r="E4566" i="1"/>
  <c r="B4566" i="1"/>
  <c r="A4566" i="1"/>
  <c r="H4565" i="1"/>
  <c r="G4565" i="1"/>
  <c r="E4565" i="1"/>
  <c r="B4565" i="1"/>
  <c r="A4565" i="1"/>
  <c r="H4564" i="1"/>
  <c r="G4564" i="1"/>
  <c r="E4564" i="1"/>
  <c r="B4564" i="1"/>
  <c r="A4564" i="1"/>
  <c r="H4563" i="1"/>
  <c r="G4563" i="1"/>
  <c r="E4563" i="1"/>
  <c r="B4563" i="1"/>
  <c r="A4563" i="1"/>
  <c r="H4562" i="1"/>
  <c r="G4562" i="1"/>
  <c r="E4562" i="1"/>
  <c r="B4562" i="1"/>
  <c r="A4562" i="1"/>
  <c r="H4561" i="1"/>
  <c r="G4561" i="1"/>
  <c r="E4561" i="1"/>
  <c r="B4561" i="1"/>
  <c r="A4561" i="1"/>
  <c r="H4560" i="1"/>
  <c r="G4560" i="1"/>
  <c r="E4560" i="1"/>
  <c r="B4560" i="1"/>
  <c r="A4560" i="1"/>
  <c r="H4559" i="1"/>
  <c r="G4559" i="1"/>
  <c r="E4559" i="1"/>
  <c r="B4559" i="1"/>
  <c r="A4559" i="1"/>
  <c r="H4558" i="1"/>
  <c r="G4558" i="1"/>
  <c r="E4558" i="1"/>
  <c r="B4558" i="1"/>
  <c r="A4558" i="1"/>
  <c r="H4557" i="1"/>
  <c r="G4557" i="1"/>
  <c r="E4557" i="1"/>
  <c r="B4557" i="1"/>
  <c r="A4557" i="1"/>
  <c r="H4556" i="1"/>
  <c r="G4556" i="1"/>
  <c r="E4556" i="1"/>
  <c r="B4556" i="1"/>
  <c r="A4556" i="1"/>
  <c r="H4555" i="1"/>
  <c r="G4555" i="1"/>
  <c r="E4555" i="1"/>
  <c r="B4555" i="1"/>
  <c r="A4555" i="1"/>
  <c r="H4554" i="1"/>
  <c r="G4554" i="1"/>
  <c r="E4554" i="1"/>
  <c r="B4554" i="1"/>
  <c r="A4554" i="1"/>
  <c r="H4553" i="1"/>
  <c r="G4553" i="1"/>
  <c r="E4553" i="1"/>
  <c r="B4553" i="1"/>
  <c r="A4553" i="1"/>
  <c r="H4552" i="1"/>
  <c r="G4552" i="1"/>
  <c r="E4552" i="1"/>
  <c r="B4552" i="1"/>
  <c r="A4552" i="1"/>
  <c r="H4551" i="1"/>
  <c r="G4551" i="1"/>
  <c r="E4551" i="1"/>
  <c r="B4551" i="1"/>
  <c r="A4551" i="1"/>
  <c r="H4550" i="1"/>
  <c r="G4550" i="1"/>
  <c r="E4550" i="1"/>
  <c r="B4550" i="1"/>
  <c r="A4550" i="1"/>
  <c r="H4549" i="1"/>
  <c r="G4549" i="1"/>
  <c r="E4549" i="1"/>
  <c r="B4549" i="1"/>
  <c r="A4549" i="1"/>
  <c r="H4548" i="1"/>
  <c r="G4548" i="1"/>
  <c r="E4548" i="1"/>
  <c r="B4548" i="1"/>
  <c r="A4548" i="1"/>
  <c r="H4547" i="1"/>
  <c r="G4547" i="1"/>
  <c r="E4547" i="1"/>
  <c r="B4547" i="1"/>
  <c r="A4547" i="1"/>
  <c r="H4546" i="1"/>
  <c r="G4546" i="1"/>
  <c r="E4546" i="1"/>
  <c r="B4546" i="1"/>
  <c r="A4546" i="1"/>
  <c r="H4545" i="1"/>
  <c r="G4545" i="1"/>
  <c r="E4545" i="1"/>
  <c r="B4545" i="1"/>
  <c r="A4545" i="1"/>
  <c r="H4544" i="1"/>
  <c r="G4544" i="1"/>
  <c r="E4544" i="1"/>
  <c r="B4544" i="1"/>
  <c r="A4544" i="1"/>
  <c r="H4543" i="1"/>
  <c r="G4543" i="1"/>
  <c r="E4543" i="1"/>
  <c r="B4543" i="1"/>
  <c r="A4543" i="1"/>
  <c r="H4542" i="1"/>
  <c r="G4542" i="1"/>
  <c r="E4542" i="1"/>
  <c r="B4542" i="1"/>
  <c r="A4542" i="1"/>
  <c r="H4541" i="1"/>
  <c r="G4541" i="1"/>
  <c r="E4541" i="1"/>
  <c r="B4541" i="1"/>
  <c r="A4541" i="1"/>
  <c r="H4540" i="1"/>
  <c r="G4540" i="1"/>
  <c r="E4540" i="1"/>
  <c r="B4540" i="1"/>
  <c r="A4540" i="1"/>
  <c r="H4539" i="1"/>
  <c r="G4539" i="1"/>
  <c r="E4539" i="1"/>
  <c r="B4539" i="1"/>
  <c r="A4539" i="1"/>
  <c r="H4538" i="1"/>
  <c r="G4538" i="1"/>
  <c r="E4538" i="1"/>
  <c r="B4538" i="1"/>
  <c r="A4538" i="1"/>
  <c r="H4537" i="1"/>
  <c r="G4537" i="1"/>
  <c r="E4537" i="1"/>
  <c r="B4537" i="1"/>
  <c r="A4537" i="1"/>
  <c r="H4536" i="1"/>
  <c r="G4536" i="1"/>
  <c r="B4536" i="1"/>
  <c r="A4536" i="1"/>
  <c r="H4535" i="1"/>
  <c r="G4535" i="1"/>
  <c r="E4535" i="1"/>
  <c r="B4535" i="1"/>
  <c r="A4535" i="1"/>
  <c r="H4534" i="1"/>
  <c r="G4534" i="1"/>
  <c r="E4534" i="1"/>
  <c r="B4534" i="1"/>
  <c r="A4534" i="1"/>
  <c r="H4533" i="1"/>
  <c r="G4533" i="1"/>
  <c r="E4533" i="1"/>
  <c r="B4533" i="1"/>
  <c r="A4533" i="1"/>
  <c r="H4532" i="1"/>
  <c r="G4532" i="1"/>
  <c r="E4532" i="1"/>
  <c r="B4532" i="1"/>
  <c r="A4532" i="1"/>
  <c r="H4531" i="1"/>
  <c r="G4531" i="1"/>
  <c r="E4531" i="1"/>
  <c r="B4531" i="1"/>
  <c r="A4531" i="1"/>
  <c r="H4530" i="1"/>
  <c r="G4530" i="1"/>
  <c r="E4530" i="1"/>
  <c r="B4530" i="1"/>
  <c r="A4530" i="1"/>
  <c r="H4529" i="1"/>
  <c r="G4529" i="1"/>
  <c r="E4529" i="1"/>
  <c r="B4529" i="1"/>
  <c r="A4529" i="1"/>
  <c r="H4528" i="1"/>
  <c r="G4528" i="1"/>
  <c r="E4528" i="1"/>
  <c r="B4528" i="1"/>
  <c r="A4528" i="1"/>
  <c r="H4527" i="1"/>
  <c r="G4527" i="1"/>
  <c r="E4527" i="1"/>
  <c r="B4527" i="1"/>
  <c r="A4527" i="1"/>
  <c r="H4526" i="1"/>
  <c r="G4526" i="1"/>
  <c r="B4526" i="1"/>
  <c r="A4526" i="1"/>
  <c r="H4525" i="1"/>
  <c r="G4525" i="1"/>
  <c r="E4525" i="1"/>
  <c r="B4525" i="1"/>
  <c r="A4525" i="1"/>
  <c r="H4524" i="1"/>
  <c r="G4524" i="1"/>
  <c r="E4524" i="1"/>
  <c r="B4524" i="1"/>
  <c r="A4524" i="1"/>
  <c r="H4523" i="1"/>
  <c r="G4523" i="1"/>
  <c r="E4523" i="1"/>
  <c r="B4523" i="1"/>
  <c r="A4523" i="1"/>
  <c r="H4522" i="1"/>
  <c r="G4522" i="1"/>
  <c r="E4522" i="1"/>
  <c r="B4522" i="1"/>
  <c r="A4522" i="1"/>
  <c r="H4521" i="1"/>
  <c r="G4521" i="1"/>
  <c r="E4521" i="1"/>
  <c r="B4521" i="1"/>
  <c r="A4521" i="1"/>
  <c r="H4520" i="1"/>
  <c r="G4520" i="1"/>
  <c r="E4520" i="1"/>
  <c r="B4520" i="1"/>
  <c r="A4520" i="1"/>
  <c r="H4519" i="1"/>
  <c r="G4519" i="1"/>
  <c r="E4519" i="1"/>
  <c r="B4519" i="1"/>
  <c r="A4519" i="1"/>
  <c r="H4518" i="1"/>
  <c r="G4518" i="1"/>
  <c r="E4518" i="1"/>
  <c r="B4518" i="1"/>
  <c r="A4518" i="1"/>
  <c r="H4517" i="1"/>
  <c r="G4517" i="1"/>
  <c r="E4517" i="1"/>
  <c r="B4517" i="1"/>
  <c r="A4517" i="1"/>
  <c r="H4516" i="1"/>
  <c r="G4516" i="1"/>
  <c r="E4516" i="1"/>
  <c r="B4516" i="1"/>
  <c r="A4516" i="1"/>
  <c r="H4515" i="1"/>
  <c r="G4515" i="1"/>
  <c r="E4515" i="1"/>
  <c r="B4515" i="1"/>
  <c r="A4515" i="1"/>
  <c r="H4514" i="1"/>
  <c r="G4514" i="1"/>
  <c r="E4514" i="1"/>
  <c r="B4514" i="1"/>
  <c r="A4514" i="1"/>
  <c r="H4513" i="1"/>
  <c r="G4513" i="1"/>
  <c r="E4513" i="1"/>
  <c r="B4513" i="1"/>
  <c r="A4513" i="1"/>
  <c r="H4512" i="1"/>
  <c r="G4512" i="1"/>
  <c r="E4512" i="1"/>
  <c r="B4512" i="1"/>
  <c r="A4512" i="1"/>
  <c r="H4511" i="1"/>
  <c r="G4511" i="1"/>
  <c r="E4511" i="1"/>
  <c r="B4511" i="1"/>
  <c r="A4511" i="1"/>
  <c r="H4510" i="1"/>
  <c r="G4510" i="1"/>
  <c r="E4510" i="1"/>
  <c r="B4510" i="1"/>
  <c r="A4510" i="1"/>
  <c r="H4509" i="1"/>
  <c r="G4509" i="1"/>
  <c r="E4509" i="1"/>
  <c r="B4509" i="1"/>
  <c r="A4509" i="1"/>
  <c r="H4508" i="1"/>
  <c r="G4508" i="1"/>
  <c r="B4508" i="1"/>
  <c r="A4508" i="1"/>
  <c r="H4507" i="1"/>
  <c r="G4507" i="1"/>
  <c r="E4507" i="1"/>
  <c r="B4507" i="1"/>
  <c r="A4507" i="1"/>
  <c r="H4506" i="1"/>
  <c r="G4506" i="1"/>
  <c r="E4506" i="1"/>
  <c r="B4506" i="1"/>
  <c r="A4506" i="1"/>
  <c r="H4505" i="1"/>
  <c r="G4505" i="1"/>
  <c r="E4505" i="1"/>
  <c r="B4505" i="1"/>
  <c r="A4505" i="1"/>
  <c r="H4504" i="1"/>
  <c r="G4504" i="1"/>
  <c r="E4504" i="1"/>
  <c r="B4504" i="1"/>
  <c r="A4504" i="1"/>
  <c r="H4503" i="1"/>
  <c r="G4503" i="1"/>
  <c r="E4503" i="1"/>
  <c r="B4503" i="1"/>
  <c r="A4503" i="1"/>
  <c r="H4502" i="1"/>
  <c r="G4502" i="1"/>
  <c r="E4502" i="1"/>
  <c r="B4502" i="1"/>
  <c r="A4502" i="1"/>
  <c r="H4501" i="1"/>
  <c r="G4501" i="1"/>
  <c r="E4501" i="1"/>
  <c r="B4501" i="1"/>
  <c r="A4501" i="1"/>
  <c r="H4500" i="1"/>
  <c r="G4500" i="1"/>
  <c r="E4500" i="1"/>
  <c r="B4500" i="1"/>
  <c r="A4500" i="1"/>
  <c r="H4499" i="1"/>
  <c r="G4499" i="1"/>
  <c r="E4499" i="1"/>
  <c r="B4499" i="1"/>
  <c r="A4499" i="1"/>
  <c r="H4498" i="1"/>
  <c r="G4498" i="1"/>
  <c r="E4498" i="1"/>
  <c r="B4498" i="1"/>
  <c r="A4498" i="1"/>
  <c r="H4497" i="1"/>
  <c r="G4497" i="1"/>
  <c r="E4497" i="1"/>
  <c r="B4497" i="1"/>
  <c r="A4497" i="1"/>
  <c r="H4496" i="1"/>
  <c r="G4496" i="1"/>
  <c r="E4496" i="1"/>
  <c r="B4496" i="1"/>
  <c r="A4496" i="1"/>
  <c r="H4495" i="1"/>
  <c r="G4495" i="1"/>
  <c r="E4495" i="1"/>
  <c r="B4495" i="1"/>
  <c r="A4495" i="1"/>
  <c r="H4494" i="1"/>
  <c r="G4494" i="1"/>
  <c r="E4494" i="1"/>
  <c r="B4494" i="1"/>
  <c r="A4494" i="1"/>
  <c r="H4493" i="1"/>
  <c r="G4493" i="1"/>
  <c r="E4493" i="1"/>
  <c r="B4493" i="1"/>
  <c r="A4493" i="1"/>
  <c r="H4492" i="1"/>
  <c r="G4492" i="1"/>
  <c r="E4492" i="1"/>
  <c r="B4492" i="1"/>
  <c r="A4492" i="1"/>
  <c r="H4491" i="1"/>
  <c r="G4491" i="1"/>
  <c r="E4491" i="1"/>
  <c r="B4491" i="1"/>
  <c r="A4491" i="1"/>
  <c r="H4490" i="1"/>
  <c r="G4490" i="1"/>
  <c r="E4490" i="1"/>
  <c r="B4490" i="1"/>
  <c r="A4490" i="1"/>
  <c r="H4489" i="1"/>
  <c r="G4489" i="1"/>
  <c r="E4489" i="1"/>
  <c r="B4489" i="1"/>
  <c r="A4489" i="1"/>
  <c r="H4488" i="1"/>
  <c r="G4488" i="1"/>
  <c r="E4488" i="1"/>
  <c r="B4488" i="1"/>
  <c r="A4488" i="1"/>
  <c r="H4487" i="1"/>
  <c r="G4487" i="1"/>
  <c r="E4487" i="1"/>
  <c r="B4487" i="1"/>
  <c r="A4487" i="1"/>
  <c r="H4486" i="1"/>
  <c r="G4486" i="1"/>
  <c r="E4486" i="1"/>
  <c r="B4486" i="1"/>
  <c r="A4486" i="1"/>
  <c r="H4485" i="1"/>
  <c r="G4485" i="1"/>
  <c r="E4485" i="1"/>
  <c r="B4485" i="1"/>
  <c r="A4485" i="1"/>
  <c r="H4484" i="1"/>
  <c r="G4484" i="1"/>
  <c r="E4484" i="1"/>
  <c r="B4484" i="1"/>
  <c r="A4484" i="1"/>
  <c r="H4483" i="1"/>
  <c r="G4483" i="1"/>
  <c r="E4483" i="1"/>
  <c r="B4483" i="1"/>
  <c r="A4483" i="1"/>
  <c r="H4482" i="1"/>
  <c r="G4482" i="1"/>
  <c r="E4482" i="1"/>
  <c r="B4482" i="1"/>
  <c r="A4482" i="1"/>
  <c r="H4481" i="1"/>
  <c r="G4481" i="1"/>
  <c r="E4481" i="1"/>
  <c r="B4481" i="1"/>
  <c r="A4481" i="1"/>
  <c r="H4480" i="1"/>
  <c r="G4480" i="1"/>
  <c r="E4480" i="1"/>
  <c r="B4480" i="1"/>
  <c r="A4480" i="1"/>
  <c r="H4479" i="1"/>
  <c r="G4479" i="1"/>
  <c r="E4479" i="1"/>
  <c r="B4479" i="1"/>
  <c r="A4479" i="1"/>
  <c r="H4478" i="1"/>
  <c r="G4478" i="1"/>
  <c r="E4478" i="1"/>
  <c r="B4478" i="1"/>
  <c r="A4478" i="1"/>
  <c r="H4477" i="1"/>
  <c r="G4477" i="1"/>
  <c r="E4477" i="1"/>
  <c r="B4477" i="1"/>
  <c r="A4477" i="1"/>
  <c r="H4476" i="1"/>
  <c r="G4476" i="1"/>
  <c r="E4476" i="1"/>
  <c r="B4476" i="1"/>
  <c r="A4476" i="1"/>
  <c r="H4475" i="1"/>
  <c r="G4475" i="1"/>
  <c r="E4475" i="1"/>
  <c r="B4475" i="1"/>
  <c r="A4475" i="1"/>
  <c r="H4474" i="1"/>
  <c r="G4474" i="1"/>
  <c r="E4474" i="1"/>
  <c r="B4474" i="1"/>
  <c r="A4474" i="1"/>
  <c r="H4473" i="1"/>
  <c r="G4473" i="1"/>
  <c r="E4473" i="1"/>
  <c r="B4473" i="1"/>
  <c r="A4473" i="1"/>
  <c r="H4472" i="1"/>
  <c r="G4472" i="1"/>
  <c r="E4472" i="1"/>
  <c r="B4472" i="1"/>
  <c r="A4472" i="1"/>
  <c r="H4471" i="1"/>
  <c r="G4471" i="1"/>
  <c r="E4471" i="1"/>
  <c r="B4471" i="1"/>
  <c r="A4471" i="1"/>
  <c r="H4470" i="1"/>
  <c r="G4470" i="1"/>
  <c r="E4470" i="1"/>
  <c r="B4470" i="1"/>
  <c r="A4470" i="1"/>
  <c r="H4469" i="1"/>
  <c r="G4469" i="1"/>
  <c r="E4469" i="1"/>
  <c r="B4469" i="1"/>
  <c r="A4469" i="1"/>
  <c r="H4468" i="1"/>
  <c r="G4468" i="1"/>
  <c r="E4468" i="1"/>
  <c r="B4468" i="1"/>
  <c r="A4468" i="1"/>
  <c r="H4467" i="1"/>
  <c r="G4467" i="1"/>
  <c r="E4467" i="1"/>
  <c r="B4467" i="1"/>
  <c r="A4467" i="1"/>
  <c r="H4466" i="1"/>
  <c r="G4466" i="1"/>
  <c r="E4466" i="1"/>
  <c r="B4466" i="1"/>
  <c r="A4466" i="1"/>
  <c r="H4465" i="1"/>
  <c r="G4465" i="1"/>
  <c r="E4465" i="1"/>
  <c r="B4465" i="1"/>
  <c r="A4465" i="1"/>
  <c r="H4464" i="1"/>
  <c r="G4464" i="1"/>
  <c r="E4464" i="1"/>
  <c r="B4464" i="1"/>
  <c r="A4464" i="1"/>
  <c r="H4463" i="1"/>
  <c r="G4463" i="1"/>
  <c r="E4463" i="1"/>
  <c r="B4463" i="1"/>
  <c r="A4463" i="1"/>
  <c r="H4462" i="1"/>
  <c r="G4462" i="1"/>
  <c r="E4462" i="1"/>
  <c r="B4462" i="1"/>
  <c r="A4462" i="1"/>
  <c r="H4461" i="1"/>
  <c r="G4461" i="1"/>
  <c r="B4461" i="1"/>
  <c r="A4461" i="1"/>
  <c r="H4460" i="1"/>
  <c r="G4460" i="1"/>
  <c r="E4460" i="1"/>
  <c r="B4460" i="1"/>
  <c r="A4460" i="1"/>
  <c r="H4459" i="1"/>
  <c r="G4459" i="1"/>
  <c r="E4459" i="1"/>
  <c r="B4459" i="1"/>
  <c r="A4459" i="1"/>
  <c r="H4458" i="1"/>
  <c r="G4458" i="1"/>
  <c r="E4458" i="1"/>
  <c r="B4458" i="1"/>
  <c r="A4458" i="1"/>
  <c r="H4457" i="1"/>
  <c r="G4457" i="1"/>
  <c r="E4457" i="1"/>
  <c r="B4457" i="1"/>
  <c r="A4457" i="1"/>
  <c r="H4456" i="1"/>
  <c r="G4456" i="1"/>
  <c r="E4456" i="1"/>
  <c r="B4456" i="1"/>
  <c r="A4456" i="1"/>
  <c r="H4455" i="1"/>
  <c r="G4455" i="1"/>
  <c r="E4455" i="1"/>
  <c r="B4455" i="1"/>
  <c r="A4455" i="1"/>
  <c r="H4454" i="1"/>
  <c r="G4454" i="1"/>
  <c r="E4454" i="1"/>
  <c r="B4454" i="1"/>
  <c r="A4454" i="1"/>
  <c r="H4453" i="1"/>
  <c r="G4453" i="1"/>
  <c r="E4453" i="1"/>
  <c r="B4453" i="1"/>
  <c r="A4453" i="1"/>
  <c r="H4452" i="1"/>
  <c r="G4452" i="1"/>
  <c r="E4452" i="1"/>
  <c r="B4452" i="1"/>
  <c r="A4452" i="1"/>
  <c r="H4451" i="1"/>
  <c r="G4451" i="1"/>
  <c r="E4451" i="1"/>
  <c r="B4451" i="1"/>
  <c r="A4451" i="1"/>
  <c r="H4450" i="1"/>
  <c r="G4450" i="1"/>
  <c r="E4450" i="1"/>
  <c r="B4450" i="1"/>
  <c r="A4450" i="1"/>
  <c r="H4449" i="1"/>
  <c r="G4449" i="1"/>
  <c r="E4449" i="1"/>
  <c r="B4449" i="1"/>
  <c r="A4449" i="1"/>
  <c r="H4448" i="1"/>
  <c r="G4448" i="1"/>
  <c r="E4448" i="1"/>
  <c r="B4448" i="1"/>
  <c r="A4448" i="1"/>
  <c r="H4447" i="1"/>
  <c r="G4447" i="1"/>
  <c r="E4447" i="1"/>
  <c r="B4447" i="1"/>
  <c r="A4447" i="1"/>
  <c r="H4446" i="1"/>
  <c r="G4446" i="1"/>
  <c r="E4446" i="1"/>
  <c r="B4446" i="1"/>
  <c r="A4446" i="1"/>
  <c r="H4445" i="1"/>
  <c r="G4445" i="1"/>
  <c r="E4445" i="1"/>
  <c r="B4445" i="1"/>
  <c r="A4445" i="1"/>
  <c r="H4444" i="1"/>
  <c r="G4444" i="1"/>
  <c r="E4444" i="1"/>
  <c r="B4444" i="1"/>
  <c r="A4444" i="1"/>
  <c r="H4443" i="1"/>
  <c r="G4443" i="1"/>
  <c r="E4443" i="1"/>
  <c r="B4443" i="1"/>
  <c r="A4443" i="1"/>
  <c r="H4442" i="1"/>
  <c r="G4442" i="1"/>
  <c r="E4442" i="1"/>
  <c r="B4442" i="1"/>
  <c r="A4442" i="1"/>
  <c r="H4441" i="1"/>
  <c r="G4441" i="1"/>
  <c r="E4441" i="1"/>
  <c r="B4441" i="1"/>
  <c r="A4441" i="1"/>
  <c r="H4440" i="1"/>
  <c r="G4440" i="1"/>
  <c r="E4440" i="1"/>
  <c r="B4440" i="1"/>
  <c r="A4440" i="1"/>
  <c r="H4439" i="1"/>
  <c r="G4439" i="1"/>
  <c r="E4439" i="1"/>
  <c r="B4439" i="1"/>
  <c r="A4439" i="1"/>
  <c r="H4438" i="1"/>
  <c r="G4438" i="1"/>
  <c r="E4438" i="1"/>
  <c r="B4438" i="1"/>
  <c r="A4438" i="1"/>
  <c r="H4437" i="1"/>
  <c r="G4437" i="1"/>
  <c r="E4437" i="1"/>
  <c r="B4437" i="1"/>
  <c r="A4437" i="1"/>
  <c r="H4436" i="1"/>
  <c r="G4436" i="1"/>
  <c r="E4436" i="1"/>
  <c r="B4436" i="1"/>
  <c r="A4436" i="1"/>
  <c r="H4435" i="1"/>
  <c r="G4435" i="1"/>
  <c r="E4435" i="1"/>
  <c r="B4435" i="1"/>
  <c r="A4435" i="1"/>
  <c r="H4434" i="1"/>
  <c r="G4434" i="1"/>
  <c r="E4434" i="1"/>
  <c r="B4434" i="1"/>
  <c r="A4434" i="1"/>
  <c r="H4433" i="1"/>
  <c r="G4433" i="1"/>
  <c r="B4433" i="1"/>
  <c r="A4433" i="1"/>
  <c r="H4432" i="1"/>
  <c r="G4432" i="1"/>
  <c r="E4432" i="1"/>
  <c r="B4432" i="1"/>
  <c r="A4432" i="1"/>
  <c r="H4431" i="1"/>
  <c r="G4431" i="1"/>
  <c r="E4431" i="1"/>
  <c r="B4431" i="1"/>
  <c r="A4431" i="1"/>
  <c r="H4430" i="1"/>
  <c r="G4430" i="1"/>
  <c r="E4430" i="1"/>
  <c r="B4430" i="1"/>
  <c r="A4430" i="1"/>
  <c r="H4429" i="1"/>
  <c r="G4429" i="1"/>
  <c r="E4429" i="1"/>
  <c r="B4429" i="1"/>
  <c r="A4429" i="1"/>
  <c r="H4428" i="1"/>
  <c r="G4428" i="1"/>
  <c r="E4428" i="1"/>
  <c r="B4428" i="1"/>
  <c r="A4428" i="1"/>
  <c r="H4427" i="1"/>
  <c r="G4427" i="1"/>
  <c r="E4427" i="1"/>
  <c r="B4427" i="1"/>
  <c r="A4427" i="1"/>
  <c r="H4426" i="1"/>
  <c r="G4426" i="1"/>
  <c r="E4426" i="1"/>
  <c r="B4426" i="1"/>
  <c r="A4426" i="1"/>
  <c r="H4425" i="1"/>
  <c r="G4425" i="1"/>
  <c r="E4425" i="1"/>
  <c r="B4425" i="1"/>
  <c r="A4425" i="1"/>
  <c r="H4424" i="1"/>
  <c r="G4424" i="1"/>
  <c r="E4424" i="1"/>
  <c r="B4424" i="1"/>
  <c r="A4424" i="1"/>
  <c r="H4423" i="1"/>
  <c r="G4423" i="1"/>
  <c r="E4423" i="1"/>
  <c r="B4423" i="1"/>
  <c r="A4423" i="1"/>
  <c r="H4422" i="1"/>
  <c r="G4422" i="1"/>
  <c r="E4422" i="1"/>
  <c r="B4422" i="1"/>
  <c r="A4422" i="1"/>
  <c r="H4421" i="1"/>
  <c r="G4421" i="1"/>
  <c r="E4421" i="1"/>
  <c r="B4421" i="1"/>
  <c r="A4421" i="1"/>
  <c r="H4420" i="1"/>
  <c r="G4420" i="1"/>
  <c r="E4420" i="1"/>
  <c r="B4420" i="1"/>
  <c r="A4420" i="1"/>
  <c r="H4419" i="1"/>
  <c r="G4419" i="1"/>
  <c r="E4419" i="1"/>
  <c r="B4419" i="1"/>
  <c r="A4419" i="1"/>
  <c r="H4418" i="1"/>
  <c r="G4418" i="1"/>
  <c r="E4418" i="1"/>
  <c r="B4418" i="1"/>
  <c r="A4418" i="1"/>
  <c r="H4417" i="1"/>
  <c r="G4417" i="1"/>
  <c r="E4417" i="1"/>
  <c r="B4417" i="1"/>
  <c r="A4417" i="1"/>
  <c r="H4416" i="1"/>
  <c r="G4416" i="1"/>
  <c r="E4416" i="1"/>
  <c r="B4416" i="1"/>
  <c r="A4416" i="1"/>
  <c r="H4415" i="1"/>
  <c r="G4415" i="1"/>
  <c r="E4415" i="1"/>
  <c r="B4415" i="1"/>
  <c r="A4415" i="1"/>
  <c r="H4414" i="1"/>
  <c r="G4414" i="1"/>
  <c r="E4414" i="1"/>
  <c r="B4414" i="1"/>
  <c r="A4414" i="1"/>
  <c r="H4413" i="1"/>
  <c r="G4413" i="1"/>
  <c r="E4413" i="1"/>
  <c r="B4413" i="1"/>
  <c r="A4413" i="1"/>
  <c r="H4412" i="1"/>
  <c r="G4412" i="1"/>
  <c r="E4412" i="1"/>
  <c r="B4412" i="1"/>
  <c r="A4412" i="1"/>
  <c r="H4411" i="1"/>
  <c r="G4411" i="1"/>
  <c r="E4411" i="1"/>
  <c r="B4411" i="1"/>
  <c r="A4411" i="1"/>
  <c r="H4410" i="1"/>
  <c r="G4410" i="1"/>
  <c r="E4410" i="1"/>
  <c r="B4410" i="1"/>
  <c r="A4410" i="1"/>
  <c r="H4409" i="1"/>
  <c r="G4409" i="1"/>
  <c r="E4409" i="1"/>
  <c r="B4409" i="1"/>
  <c r="A4409" i="1"/>
  <c r="H4408" i="1"/>
  <c r="G4408" i="1"/>
  <c r="E4408" i="1"/>
  <c r="B4408" i="1"/>
  <c r="A4408" i="1"/>
  <c r="H4407" i="1"/>
  <c r="G4407" i="1"/>
  <c r="E4407" i="1"/>
  <c r="B4407" i="1"/>
  <c r="A4407" i="1"/>
  <c r="H4406" i="1"/>
  <c r="G4406" i="1"/>
  <c r="E4406" i="1"/>
  <c r="B4406" i="1"/>
  <c r="A4406" i="1"/>
  <c r="H4405" i="1"/>
  <c r="G4405" i="1"/>
  <c r="E4405" i="1"/>
  <c r="B4405" i="1"/>
  <c r="A4405" i="1"/>
  <c r="H4404" i="1"/>
  <c r="G4404" i="1"/>
  <c r="E4404" i="1"/>
  <c r="B4404" i="1"/>
  <c r="A4404" i="1"/>
  <c r="H4403" i="1"/>
  <c r="G4403" i="1"/>
  <c r="E4403" i="1"/>
  <c r="B4403" i="1"/>
  <c r="A4403" i="1"/>
  <c r="H4402" i="1"/>
  <c r="G4402" i="1"/>
  <c r="E4402" i="1"/>
  <c r="B4402" i="1"/>
  <c r="A4402" i="1"/>
  <c r="H4401" i="1"/>
  <c r="G4401" i="1"/>
  <c r="E4401" i="1"/>
  <c r="B4401" i="1"/>
  <c r="A4401" i="1"/>
  <c r="H4400" i="1"/>
  <c r="G4400" i="1"/>
  <c r="E4400" i="1"/>
  <c r="B4400" i="1"/>
  <c r="A4400" i="1"/>
  <c r="H4399" i="1"/>
  <c r="G4399" i="1"/>
  <c r="E4399" i="1"/>
  <c r="B4399" i="1"/>
  <c r="A4399" i="1"/>
  <c r="H4398" i="1"/>
  <c r="G4398" i="1"/>
  <c r="E4398" i="1"/>
  <c r="B4398" i="1"/>
  <c r="A4398" i="1"/>
  <c r="H4397" i="1"/>
  <c r="G4397" i="1"/>
  <c r="E4397" i="1"/>
  <c r="B4397" i="1"/>
  <c r="A4397" i="1"/>
  <c r="H4396" i="1"/>
  <c r="G4396" i="1"/>
  <c r="E4396" i="1"/>
  <c r="B4396" i="1"/>
  <c r="A4396" i="1"/>
  <c r="H4395" i="1"/>
  <c r="G4395" i="1"/>
  <c r="E4395" i="1"/>
  <c r="B4395" i="1"/>
  <c r="A4395" i="1"/>
  <c r="H4394" i="1"/>
  <c r="G4394" i="1"/>
  <c r="E4394" i="1"/>
  <c r="B4394" i="1"/>
  <c r="A4394" i="1"/>
  <c r="H4393" i="1"/>
  <c r="G4393" i="1"/>
  <c r="E4393" i="1"/>
  <c r="B4393" i="1"/>
  <c r="A4393" i="1"/>
  <c r="H4392" i="1"/>
  <c r="G4392" i="1"/>
  <c r="E4392" i="1"/>
  <c r="B4392" i="1"/>
  <c r="A4392" i="1"/>
  <c r="H4391" i="1"/>
  <c r="G4391" i="1"/>
  <c r="E4391" i="1"/>
  <c r="B4391" i="1"/>
  <c r="A4391" i="1"/>
  <c r="H4390" i="1"/>
  <c r="G4390" i="1"/>
  <c r="E4390" i="1"/>
  <c r="B4390" i="1"/>
  <c r="A4390" i="1"/>
  <c r="H4389" i="1"/>
  <c r="G4389" i="1"/>
  <c r="E4389" i="1"/>
  <c r="B4389" i="1"/>
  <c r="A4389" i="1"/>
  <c r="H4388" i="1"/>
  <c r="G4388" i="1"/>
  <c r="E4388" i="1"/>
  <c r="B4388" i="1"/>
  <c r="A4388" i="1"/>
  <c r="H4387" i="1"/>
  <c r="G4387" i="1"/>
  <c r="E4387" i="1"/>
  <c r="B4387" i="1"/>
  <c r="A4387" i="1"/>
  <c r="H4386" i="1"/>
  <c r="G4386" i="1"/>
  <c r="E4386" i="1"/>
  <c r="B4386" i="1"/>
  <c r="A4386" i="1"/>
  <c r="H4385" i="1"/>
  <c r="G4385" i="1"/>
  <c r="E4385" i="1"/>
  <c r="B4385" i="1"/>
  <c r="A4385" i="1"/>
  <c r="H4384" i="1"/>
  <c r="G4384" i="1"/>
  <c r="E4384" i="1"/>
  <c r="B4384" i="1"/>
  <c r="A4384" i="1"/>
  <c r="H4383" i="1"/>
  <c r="G4383" i="1"/>
  <c r="E4383" i="1"/>
  <c r="B4383" i="1"/>
  <c r="A4383" i="1"/>
  <c r="H4382" i="1"/>
  <c r="G4382" i="1"/>
  <c r="E4382" i="1"/>
  <c r="B4382" i="1"/>
  <c r="A4382" i="1"/>
  <c r="H4381" i="1"/>
  <c r="G4381" i="1"/>
  <c r="E4381" i="1"/>
  <c r="B4381" i="1"/>
  <c r="A4381" i="1"/>
  <c r="H4380" i="1"/>
  <c r="G4380" i="1"/>
  <c r="E4380" i="1"/>
  <c r="B4380" i="1"/>
  <c r="A4380" i="1"/>
  <c r="H4379" i="1"/>
  <c r="G4379" i="1"/>
  <c r="E4379" i="1"/>
  <c r="B4379" i="1"/>
  <c r="A4379" i="1"/>
  <c r="H4378" i="1"/>
  <c r="G4378" i="1"/>
  <c r="E4378" i="1"/>
  <c r="B4378" i="1"/>
  <c r="A4378" i="1"/>
  <c r="H4377" i="1"/>
  <c r="G4377" i="1"/>
  <c r="E4377" i="1"/>
  <c r="B4377" i="1"/>
  <c r="A4377" i="1"/>
  <c r="H4376" i="1"/>
  <c r="G4376" i="1"/>
  <c r="E4376" i="1"/>
  <c r="B4376" i="1"/>
  <c r="A4376" i="1"/>
  <c r="H4375" i="1"/>
  <c r="G4375" i="1"/>
  <c r="E4375" i="1"/>
  <c r="B4375" i="1"/>
  <c r="A4375" i="1"/>
  <c r="H4374" i="1"/>
  <c r="G4374" i="1"/>
  <c r="E4374" i="1"/>
  <c r="B4374" i="1"/>
  <c r="A4374" i="1"/>
  <c r="H4373" i="1"/>
  <c r="G4373" i="1"/>
  <c r="E4373" i="1"/>
  <c r="B4373" i="1"/>
  <c r="A4373" i="1"/>
  <c r="H4372" i="1"/>
  <c r="G4372" i="1"/>
  <c r="E4372" i="1"/>
  <c r="B4372" i="1"/>
  <c r="A4372" i="1"/>
  <c r="H4371" i="1"/>
  <c r="G4371" i="1"/>
  <c r="E4371" i="1"/>
  <c r="B4371" i="1"/>
  <c r="A4371" i="1"/>
  <c r="H4370" i="1"/>
  <c r="G4370" i="1"/>
  <c r="E4370" i="1"/>
  <c r="B4370" i="1"/>
  <c r="A4370" i="1"/>
  <c r="H4369" i="1"/>
  <c r="G4369" i="1"/>
  <c r="E4369" i="1"/>
  <c r="B4369" i="1"/>
  <c r="A4369" i="1"/>
  <c r="H4368" i="1"/>
  <c r="G4368" i="1"/>
  <c r="E4368" i="1"/>
  <c r="B4368" i="1"/>
  <c r="A4368" i="1"/>
  <c r="H4367" i="1"/>
  <c r="G4367" i="1"/>
  <c r="E4367" i="1"/>
  <c r="B4367" i="1"/>
  <c r="A4367" i="1"/>
  <c r="H4366" i="1"/>
  <c r="G4366" i="1"/>
  <c r="E4366" i="1"/>
  <c r="B4366" i="1"/>
  <c r="A4366" i="1"/>
  <c r="H4365" i="1"/>
  <c r="G4365" i="1"/>
  <c r="E4365" i="1"/>
  <c r="B4365" i="1"/>
  <c r="A4365" i="1"/>
  <c r="H4364" i="1"/>
  <c r="G4364" i="1"/>
  <c r="E4364" i="1"/>
  <c r="B4364" i="1"/>
  <c r="A4364" i="1"/>
  <c r="H4363" i="1"/>
  <c r="G4363" i="1"/>
  <c r="E4363" i="1"/>
  <c r="B4363" i="1"/>
  <c r="A4363" i="1"/>
  <c r="H4362" i="1"/>
  <c r="G4362" i="1"/>
  <c r="E4362" i="1"/>
  <c r="B4362" i="1"/>
  <c r="A4362" i="1"/>
  <c r="H4361" i="1"/>
  <c r="G4361" i="1"/>
  <c r="E4361" i="1"/>
  <c r="B4361" i="1"/>
  <c r="A4361" i="1"/>
  <c r="H4360" i="1"/>
  <c r="G4360" i="1"/>
  <c r="E4360" i="1"/>
  <c r="B4360" i="1"/>
  <c r="A4360" i="1"/>
  <c r="H4359" i="1"/>
  <c r="G4359" i="1"/>
  <c r="E4359" i="1"/>
  <c r="B4359" i="1"/>
  <c r="A4359" i="1"/>
  <c r="H4358" i="1"/>
  <c r="G4358" i="1"/>
  <c r="E4358" i="1"/>
  <c r="B4358" i="1"/>
  <c r="A4358" i="1"/>
  <c r="H4357" i="1"/>
  <c r="G4357" i="1"/>
  <c r="E4357" i="1"/>
  <c r="B4357" i="1"/>
  <c r="A4357" i="1"/>
  <c r="H4356" i="1"/>
  <c r="G4356" i="1"/>
  <c r="E4356" i="1"/>
  <c r="B4356" i="1"/>
  <c r="A4356" i="1"/>
  <c r="H4355" i="1"/>
  <c r="G4355" i="1"/>
  <c r="E4355" i="1"/>
  <c r="B4355" i="1"/>
  <c r="A4355" i="1"/>
  <c r="H4354" i="1"/>
  <c r="G4354" i="1"/>
  <c r="E4354" i="1"/>
  <c r="B4354" i="1"/>
  <c r="A4354" i="1"/>
  <c r="H4353" i="1"/>
  <c r="G4353" i="1"/>
  <c r="E4353" i="1"/>
  <c r="B4353" i="1"/>
  <c r="A4353" i="1"/>
  <c r="H4352" i="1"/>
  <c r="G4352" i="1"/>
  <c r="B4352" i="1"/>
  <c r="A4352" i="1"/>
  <c r="H4351" i="1"/>
  <c r="G4351" i="1"/>
  <c r="E4351" i="1"/>
  <c r="B4351" i="1"/>
  <c r="A4351" i="1"/>
  <c r="H4350" i="1"/>
  <c r="G4350" i="1"/>
  <c r="E4350" i="1"/>
  <c r="B4350" i="1"/>
  <c r="A4350" i="1"/>
  <c r="H4349" i="1"/>
  <c r="G4349" i="1"/>
  <c r="E4349" i="1"/>
  <c r="B4349" i="1"/>
  <c r="A4349" i="1"/>
  <c r="H4348" i="1"/>
  <c r="G4348" i="1"/>
  <c r="E4348" i="1"/>
  <c r="B4348" i="1"/>
  <c r="A4348" i="1"/>
  <c r="H4347" i="1"/>
  <c r="G4347" i="1"/>
  <c r="E4347" i="1"/>
  <c r="B4347" i="1"/>
  <c r="A4347" i="1"/>
  <c r="H4346" i="1"/>
  <c r="G4346" i="1"/>
  <c r="E4346" i="1"/>
  <c r="B4346" i="1"/>
  <c r="A4346" i="1"/>
  <c r="H4345" i="1"/>
  <c r="G4345" i="1"/>
  <c r="E4345" i="1"/>
  <c r="B4345" i="1"/>
  <c r="A4345" i="1"/>
  <c r="H4344" i="1"/>
  <c r="G4344" i="1"/>
  <c r="E4344" i="1"/>
  <c r="B4344" i="1"/>
  <c r="A4344" i="1"/>
  <c r="H4343" i="1"/>
  <c r="G4343" i="1"/>
  <c r="E4343" i="1"/>
  <c r="B4343" i="1"/>
  <c r="A4343" i="1"/>
  <c r="H4342" i="1"/>
  <c r="G4342" i="1"/>
  <c r="E4342" i="1"/>
  <c r="B4342" i="1"/>
  <c r="A4342" i="1"/>
  <c r="H4341" i="1"/>
  <c r="G4341" i="1"/>
  <c r="E4341" i="1"/>
  <c r="B4341" i="1"/>
  <c r="A4341" i="1"/>
  <c r="H4340" i="1"/>
  <c r="G4340" i="1"/>
  <c r="E4340" i="1"/>
  <c r="B4340" i="1"/>
  <c r="A4340" i="1"/>
  <c r="H4339" i="1"/>
  <c r="G4339" i="1"/>
  <c r="E4339" i="1"/>
  <c r="B4339" i="1"/>
  <c r="A4339" i="1"/>
  <c r="H4338" i="1"/>
  <c r="G4338" i="1"/>
  <c r="E4338" i="1"/>
  <c r="B4338" i="1"/>
  <c r="A4338" i="1"/>
  <c r="H4337" i="1"/>
  <c r="G4337" i="1"/>
  <c r="E4337" i="1"/>
  <c r="B4337" i="1"/>
  <c r="A4337" i="1"/>
  <c r="H4336" i="1"/>
  <c r="G4336" i="1"/>
  <c r="E4336" i="1"/>
  <c r="B4336" i="1"/>
  <c r="A4336" i="1"/>
  <c r="H4335" i="1"/>
  <c r="G4335" i="1"/>
  <c r="E4335" i="1"/>
  <c r="B4335" i="1"/>
  <c r="A4335" i="1"/>
  <c r="H4334" i="1"/>
  <c r="G4334" i="1"/>
  <c r="E4334" i="1"/>
  <c r="B4334" i="1"/>
  <c r="A4334" i="1"/>
  <c r="H4333" i="1"/>
  <c r="G4333" i="1"/>
  <c r="E4333" i="1"/>
  <c r="B4333" i="1"/>
  <c r="A4333" i="1"/>
  <c r="H4332" i="1"/>
  <c r="G4332" i="1"/>
  <c r="E4332" i="1"/>
  <c r="B4332" i="1"/>
  <c r="A4332" i="1"/>
  <c r="H4331" i="1"/>
  <c r="G4331" i="1"/>
  <c r="E4331" i="1"/>
  <c r="B4331" i="1"/>
  <c r="A4331" i="1"/>
  <c r="H4330" i="1"/>
  <c r="G4330" i="1"/>
  <c r="E4330" i="1"/>
  <c r="B4330" i="1"/>
  <c r="A4330" i="1"/>
  <c r="H4329" i="1"/>
  <c r="G4329" i="1"/>
  <c r="E4329" i="1"/>
  <c r="B4329" i="1"/>
  <c r="A4329" i="1"/>
  <c r="H4328" i="1"/>
  <c r="G4328" i="1"/>
  <c r="E4328" i="1"/>
  <c r="B4328" i="1"/>
  <c r="A4328" i="1"/>
  <c r="H4327" i="1"/>
  <c r="G4327" i="1"/>
  <c r="E4327" i="1"/>
  <c r="B4327" i="1"/>
  <c r="A4327" i="1"/>
  <c r="H4326" i="1"/>
  <c r="G4326" i="1"/>
  <c r="E4326" i="1"/>
  <c r="B4326" i="1"/>
  <c r="A4326" i="1"/>
  <c r="H4325" i="1"/>
  <c r="G4325" i="1"/>
  <c r="E4325" i="1"/>
  <c r="B4325" i="1"/>
  <c r="A4325" i="1"/>
  <c r="H4324" i="1"/>
  <c r="G4324" i="1"/>
  <c r="E4324" i="1"/>
  <c r="B4324" i="1"/>
  <c r="A4324" i="1"/>
  <c r="H4323" i="1"/>
  <c r="G4323" i="1"/>
  <c r="E4323" i="1"/>
  <c r="B4323" i="1"/>
  <c r="A4323" i="1"/>
  <c r="H4322" i="1"/>
  <c r="G4322" i="1"/>
  <c r="E4322" i="1"/>
  <c r="B4322" i="1"/>
  <c r="A4322" i="1"/>
  <c r="H4321" i="1"/>
  <c r="G4321" i="1"/>
  <c r="E4321" i="1"/>
  <c r="B4321" i="1"/>
  <c r="A4321" i="1"/>
  <c r="H4320" i="1"/>
  <c r="G4320" i="1"/>
  <c r="E4320" i="1"/>
  <c r="B4320" i="1"/>
  <c r="A4320" i="1"/>
  <c r="H4319" i="1"/>
  <c r="G4319" i="1"/>
  <c r="E4319" i="1"/>
  <c r="B4319" i="1"/>
  <c r="A4319" i="1"/>
  <c r="H4318" i="1"/>
  <c r="G4318" i="1"/>
  <c r="E4318" i="1"/>
  <c r="B4318" i="1"/>
  <c r="A4318" i="1"/>
  <c r="H4317" i="1"/>
  <c r="G4317" i="1"/>
  <c r="E4317" i="1"/>
  <c r="B4317" i="1"/>
  <c r="A4317" i="1"/>
  <c r="H4316" i="1"/>
  <c r="G4316" i="1"/>
  <c r="E4316" i="1"/>
  <c r="B4316" i="1"/>
  <c r="A4316" i="1"/>
  <c r="H4315" i="1"/>
  <c r="G4315" i="1"/>
  <c r="E4315" i="1"/>
  <c r="B4315" i="1"/>
  <c r="A4315" i="1"/>
  <c r="H4314" i="1"/>
  <c r="G4314" i="1"/>
  <c r="E4314" i="1"/>
  <c r="B4314" i="1"/>
  <c r="A4314" i="1"/>
  <c r="H4313" i="1"/>
  <c r="G4313" i="1"/>
  <c r="E4313" i="1"/>
  <c r="B4313" i="1"/>
  <c r="A4313" i="1"/>
  <c r="H4312" i="1"/>
  <c r="G4312" i="1"/>
  <c r="E4312" i="1"/>
  <c r="B4312" i="1"/>
  <c r="A4312" i="1"/>
  <c r="H4311" i="1"/>
  <c r="G4311" i="1"/>
  <c r="E4311" i="1"/>
  <c r="B4311" i="1"/>
  <c r="A4311" i="1"/>
  <c r="H4310" i="1"/>
  <c r="G4310" i="1"/>
  <c r="E4310" i="1"/>
  <c r="B4310" i="1"/>
  <c r="A4310" i="1"/>
  <c r="H4309" i="1"/>
  <c r="G4309" i="1"/>
  <c r="E4309" i="1"/>
  <c r="B4309" i="1"/>
  <c r="A4309" i="1"/>
  <c r="H4308" i="1"/>
  <c r="G4308" i="1"/>
  <c r="E4308" i="1"/>
  <c r="B4308" i="1"/>
  <c r="A4308" i="1"/>
  <c r="H4307" i="1"/>
  <c r="G4307" i="1"/>
  <c r="E4307" i="1"/>
  <c r="B4307" i="1"/>
  <c r="A4307" i="1"/>
  <c r="H4306" i="1"/>
  <c r="G4306" i="1"/>
  <c r="E4306" i="1"/>
  <c r="B4306" i="1"/>
  <c r="A4306" i="1"/>
  <c r="H4305" i="1"/>
  <c r="G4305" i="1"/>
  <c r="E4305" i="1"/>
  <c r="B4305" i="1"/>
  <c r="A4305" i="1"/>
  <c r="H4304" i="1"/>
  <c r="G4304" i="1"/>
  <c r="E4304" i="1"/>
  <c r="B4304" i="1"/>
  <c r="A4304" i="1"/>
  <c r="H4303" i="1"/>
  <c r="G4303" i="1"/>
  <c r="B4303" i="1"/>
  <c r="A4303" i="1"/>
  <c r="H4302" i="1"/>
  <c r="G4302" i="1"/>
  <c r="E4302" i="1"/>
  <c r="B4302" i="1"/>
  <c r="A4302" i="1"/>
  <c r="H4301" i="1"/>
  <c r="G4301" i="1"/>
  <c r="E4301" i="1"/>
  <c r="B4301" i="1"/>
  <c r="A4301" i="1"/>
  <c r="H4300" i="1"/>
  <c r="G4300" i="1"/>
  <c r="E4300" i="1"/>
  <c r="B4300" i="1"/>
  <c r="A4300" i="1"/>
  <c r="H4299" i="1"/>
  <c r="G4299" i="1"/>
  <c r="E4299" i="1"/>
  <c r="B4299" i="1"/>
  <c r="A4299" i="1"/>
  <c r="H4298" i="1"/>
  <c r="G4298" i="1"/>
  <c r="B4298" i="1"/>
  <c r="A4298" i="1"/>
  <c r="H4297" i="1"/>
  <c r="G4297" i="1"/>
  <c r="E4297" i="1"/>
  <c r="B4297" i="1"/>
  <c r="A4297" i="1"/>
  <c r="H4296" i="1"/>
  <c r="G4296" i="1"/>
  <c r="E4296" i="1"/>
  <c r="B4296" i="1"/>
  <c r="A4296" i="1"/>
  <c r="H4295" i="1"/>
  <c r="G4295" i="1"/>
  <c r="E4295" i="1"/>
  <c r="B4295" i="1"/>
  <c r="A4295" i="1"/>
  <c r="H4294" i="1"/>
  <c r="G4294" i="1"/>
  <c r="E4294" i="1"/>
  <c r="B4294" i="1"/>
  <c r="A4294" i="1"/>
  <c r="H4293" i="1"/>
  <c r="G4293" i="1"/>
  <c r="E4293" i="1"/>
  <c r="B4293" i="1"/>
  <c r="A4293" i="1"/>
  <c r="H4292" i="1"/>
  <c r="G4292" i="1"/>
  <c r="E4292" i="1"/>
  <c r="B4292" i="1"/>
  <c r="A4292" i="1"/>
  <c r="H4291" i="1"/>
  <c r="G4291" i="1"/>
  <c r="E4291" i="1"/>
  <c r="B4291" i="1"/>
  <c r="A4291" i="1"/>
  <c r="H4290" i="1"/>
  <c r="G4290" i="1"/>
  <c r="E4290" i="1"/>
  <c r="B4290" i="1"/>
  <c r="A4290" i="1"/>
  <c r="H4289" i="1"/>
  <c r="G4289" i="1"/>
  <c r="E4289" i="1"/>
  <c r="B4289" i="1"/>
  <c r="A4289" i="1"/>
  <c r="H4288" i="1"/>
  <c r="G4288" i="1"/>
  <c r="E4288" i="1"/>
  <c r="B4288" i="1"/>
  <c r="A4288" i="1"/>
  <c r="H4287" i="1"/>
  <c r="G4287" i="1"/>
  <c r="E4287" i="1"/>
  <c r="B4287" i="1"/>
  <c r="A4287" i="1"/>
  <c r="H4286" i="1"/>
  <c r="G4286" i="1"/>
  <c r="E4286" i="1"/>
  <c r="B4286" i="1"/>
  <c r="A4286" i="1"/>
  <c r="H4285" i="1"/>
  <c r="G4285" i="1"/>
  <c r="E4285" i="1"/>
  <c r="B4285" i="1"/>
  <c r="A4285" i="1"/>
  <c r="H4284" i="1"/>
  <c r="G4284" i="1"/>
  <c r="E4284" i="1"/>
  <c r="B4284" i="1"/>
  <c r="A4284" i="1"/>
  <c r="H4283" i="1"/>
  <c r="G4283" i="1"/>
  <c r="E4283" i="1"/>
  <c r="B4283" i="1"/>
  <c r="A4283" i="1"/>
  <c r="H4282" i="1"/>
  <c r="G4282" i="1"/>
  <c r="E4282" i="1"/>
  <c r="B4282" i="1"/>
  <c r="A4282" i="1"/>
  <c r="H4281" i="1"/>
  <c r="G4281" i="1"/>
  <c r="E4281" i="1"/>
  <c r="B4281" i="1"/>
  <c r="A4281" i="1"/>
  <c r="H4280" i="1"/>
  <c r="G4280" i="1"/>
  <c r="E4280" i="1"/>
  <c r="B4280" i="1"/>
  <c r="A4280" i="1"/>
  <c r="H4279" i="1"/>
  <c r="G4279" i="1"/>
  <c r="E4279" i="1"/>
  <c r="B4279" i="1"/>
  <c r="A4279" i="1"/>
  <c r="H4278" i="1"/>
  <c r="G4278" i="1"/>
  <c r="E4278" i="1"/>
  <c r="B4278" i="1"/>
  <c r="A4278" i="1"/>
  <c r="H4277" i="1"/>
  <c r="G4277" i="1"/>
  <c r="E4277" i="1"/>
  <c r="B4277" i="1"/>
  <c r="A4277" i="1"/>
  <c r="H4276" i="1"/>
  <c r="G4276" i="1"/>
  <c r="E4276" i="1"/>
  <c r="B4276" i="1"/>
  <c r="A4276" i="1"/>
  <c r="H4275" i="1"/>
  <c r="G4275" i="1"/>
  <c r="E4275" i="1"/>
  <c r="B4275" i="1"/>
  <c r="A4275" i="1"/>
  <c r="H4274" i="1"/>
  <c r="G4274" i="1"/>
  <c r="E4274" i="1"/>
  <c r="B4274" i="1"/>
  <c r="A4274" i="1"/>
  <c r="H4273" i="1"/>
  <c r="G4273" i="1"/>
  <c r="E4273" i="1"/>
  <c r="B4273" i="1"/>
  <c r="A4273" i="1"/>
  <c r="H4272" i="1"/>
  <c r="G4272" i="1"/>
  <c r="E4272" i="1"/>
  <c r="B4272" i="1"/>
  <c r="A4272" i="1"/>
  <c r="H4271" i="1"/>
  <c r="G4271" i="1"/>
  <c r="E4271" i="1"/>
  <c r="B4271" i="1"/>
  <c r="A4271" i="1"/>
  <c r="H4270" i="1"/>
  <c r="G4270" i="1"/>
  <c r="E4270" i="1"/>
  <c r="B4270" i="1"/>
  <c r="A4270" i="1"/>
  <c r="H4269" i="1"/>
  <c r="G4269" i="1"/>
  <c r="E4269" i="1"/>
  <c r="B4269" i="1"/>
  <c r="A4269" i="1"/>
  <c r="H4268" i="1"/>
  <c r="G4268" i="1"/>
  <c r="E4268" i="1"/>
  <c r="B4268" i="1"/>
  <c r="A4268" i="1"/>
  <c r="H4267" i="1"/>
  <c r="G4267" i="1"/>
  <c r="E4267" i="1"/>
  <c r="B4267" i="1"/>
  <c r="A4267" i="1"/>
  <c r="H4266" i="1"/>
  <c r="G4266" i="1"/>
  <c r="E4266" i="1"/>
  <c r="B4266" i="1"/>
  <c r="A4266" i="1"/>
  <c r="H4265" i="1"/>
  <c r="G4265" i="1"/>
  <c r="E4265" i="1"/>
  <c r="B4265" i="1"/>
  <c r="A4265" i="1"/>
  <c r="H4264" i="1"/>
  <c r="G4264" i="1"/>
  <c r="E4264" i="1"/>
  <c r="B4264" i="1"/>
  <c r="A4264" i="1"/>
  <c r="H4263" i="1"/>
  <c r="G4263" i="1"/>
  <c r="B4263" i="1"/>
  <c r="A4263" i="1"/>
  <c r="H4262" i="1"/>
  <c r="G4262" i="1"/>
  <c r="B4262" i="1"/>
  <c r="A4262" i="1"/>
  <c r="H4261" i="1"/>
  <c r="G4261" i="1"/>
  <c r="E4261" i="1"/>
  <c r="B4261" i="1"/>
  <c r="A4261" i="1"/>
  <c r="H4260" i="1"/>
  <c r="G4260" i="1"/>
  <c r="E4260" i="1"/>
  <c r="B4260" i="1"/>
  <c r="A4260" i="1"/>
  <c r="H4259" i="1"/>
  <c r="G4259" i="1"/>
  <c r="E4259" i="1"/>
  <c r="B4259" i="1"/>
  <c r="A4259" i="1"/>
  <c r="H4258" i="1"/>
  <c r="G4258" i="1"/>
  <c r="E4258" i="1"/>
  <c r="B4258" i="1"/>
  <c r="A4258" i="1"/>
  <c r="H4257" i="1"/>
  <c r="G4257" i="1"/>
  <c r="E4257" i="1"/>
  <c r="B4257" i="1"/>
  <c r="A4257" i="1"/>
  <c r="H4256" i="1"/>
  <c r="G4256" i="1"/>
  <c r="E4256" i="1"/>
  <c r="B4256" i="1"/>
  <c r="A4256" i="1"/>
  <c r="H4255" i="1"/>
  <c r="G4255" i="1"/>
  <c r="E4255" i="1"/>
  <c r="B4255" i="1"/>
  <c r="A4255" i="1"/>
  <c r="H4254" i="1"/>
  <c r="G4254" i="1"/>
  <c r="E4254" i="1"/>
  <c r="B4254" i="1"/>
  <c r="A4254" i="1"/>
  <c r="H4253" i="1"/>
  <c r="G4253" i="1"/>
  <c r="E4253" i="1"/>
  <c r="B4253" i="1"/>
  <c r="A4253" i="1"/>
  <c r="H4252" i="1"/>
  <c r="G4252" i="1"/>
  <c r="E4252" i="1"/>
  <c r="B4252" i="1"/>
  <c r="A4252" i="1"/>
  <c r="H4251" i="1"/>
  <c r="G4251" i="1"/>
  <c r="E4251" i="1"/>
  <c r="B4251" i="1"/>
  <c r="A4251" i="1"/>
  <c r="H4250" i="1"/>
  <c r="G4250" i="1"/>
  <c r="E4250" i="1"/>
  <c r="B4250" i="1"/>
  <c r="A4250" i="1"/>
  <c r="H4249" i="1"/>
  <c r="G4249" i="1"/>
  <c r="E4249" i="1"/>
  <c r="B4249" i="1"/>
  <c r="A4249" i="1"/>
  <c r="H4248" i="1"/>
  <c r="G4248" i="1"/>
  <c r="E4248" i="1"/>
  <c r="B4248" i="1"/>
  <c r="A4248" i="1"/>
  <c r="H4247" i="1"/>
  <c r="G4247" i="1"/>
  <c r="E4247" i="1"/>
  <c r="B4247" i="1"/>
  <c r="A4247" i="1"/>
  <c r="H4246" i="1"/>
  <c r="G4246" i="1"/>
  <c r="E4246" i="1"/>
  <c r="B4246" i="1"/>
  <c r="A4246" i="1"/>
  <c r="H4245" i="1"/>
  <c r="G4245" i="1"/>
  <c r="E4245" i="1"/>
  <c r="B4245" i="1"/>
  <c r="A4245" i="1"/>
  <c r="H4244" i="1"/>
  <c r="G4244" i="1"/>
  <c r="E4244" i="1"/>
  <c r="B4244" i="1"/>
  <c r="A4244" i="1"/>
  <c r="H4243" i="1"/>
  <c r="G4243" i="1"/>
  <c r="E4243" i="1"/>
  <c r="B4243" i="1"/>
  <c r="A4243" i="1"/>
  <c r="H4242" i="1"/>
  <c r="G4242" i="1"/>
  <c r="E4242" i="1"/>
  <c r="B4242" i="1"/>
  <c r="A4242" i="1"/>
  <c r="H4241" i="1"/>
  <c r="G4241" i="1"/>
  <c r="E4241" i="1"/>
  <c r="B4241" i="1"/>
  <c r="A4241" i="1"/>
  <c r="H4240" i="1"/>
  <c r="G4240" i="1"/>
  <c r="E4240" i="1"/>
  <c r="B4240" i="1"/>
  <c r="A4240" i="1"/>
  <c r="H4239" i="1"/>
  <c r="G4239" i="1"/>
  <c r="E4239" i="1"/>
  <c r="B4239" i="1"/>
  <c r="A4239" i="1"/>
  <c r="H4238" i="1"/>
  <c r="G4238" i="1"/>
  <c r="E4238" i="1"/>
  <c r="B4238" i="1"/>
  <c r="A4238" i="1"/>
  <c r="H4237" i="1"/>
  <c r="G4237" i="1"/>
  <c r="E4237" i="1"/>
  <c r="B4237" i="1"/>
  <c r="A4237" i="1"/>
  <c r="H4236" i="1"/>
  <c r="G4236" i="1"/>
  <c r="E4236" i="1"/>
  <c r="B4236" i="1"/>
  <c r="A4236" i="1"/>
  <c r="H4235" i="1"/>
  <c r="G4235" i="1"/>
  <c r="E4235" i="1"/>
  <c r="B4235" i="1"/>
  <c r="A4235" i="1"/>
  <c r="H4234" i="1"/>
  <c r="G4234" i="1"/>
  <c r="E4234" i="1"/>
  <c r="B4234" i="1"/>
  <c r="A4234" i="1"/>
  <c r="H4233" i="1"/>
  <c r="G4233" i="1"/>
  <c r="E4233" i="1"/>
  <c r="B4233" i="1"/>
  <c r="A4233" i="1"/>
  <c r="H4232" i="1"/>
  <c r="G4232" i="1"/>
  <c r="E4232" i="1"/>
  <c r="B4232" i="1"/>
  <c r="A4232" i="1"/>
  <c r="H4231" i="1"/>
  <c r="G4231" i="1"/>
  <c r="E4231" i="1"/>
  <c r="B4231" i="1"/>
  <c r="A4231" i="1"/>
  <c r="H4230" i="1"/>
  <c r="G4230" i="1"/>
  <c r="E4230" i="1"/>
  <c r="B4230" i="1"/>
  <c r="A4230" i="1"/>
  <c r="H4229" i="1"/>
  <c r="G4229" i="1"/>
  <c r="E4229" i="1"/>
  <c r="B4229" i="1"/>
  <c r="A4229" i="1"/>
  <c r="H4228" i="1"/>
  <c r="G4228" i="1"/>
  <c r="E4228" i="1"/>
  <c r="B4228" i="1"/>
  <c r="A4228" i="1"/>
  <c r="H4227" i="1"/>
  <c r="G4227" i="1"/>
  <c r="E4227" i="1"/>
  <c r="B4227" i="1"/>
  <c r="A4227" i="1"/>
  <c r="H4226" i="1"/>
  <c r="G4226" i="1"/>
  <c r="E4226" i="1"/>
  <c r="B4226" i="1"/>
  <c r="A4226" i="1"/>
  <c r="H4225" i="1"/>
  <c r="G4225" i="1"/>
  <c r="E4225" i="1"/>
  <c r="B4225" i="1"/>
  <c r="A4225" i="1"/>
  <c r="H4224" i="1"/>
  <c r="G4224" i="1"/>
  <c r="E4224" i="1"/>
  <c r="B4224" i="1"/>
  <c r="A4224" i="1"/>
  <c r="H4223" i="1"/>
  <c r="G4223" i="1"/>
  <c r="E4223" i="1"/>
  <c r="B4223" i="1"/>
  <c r="A4223" i="1"/>
  <c r="H4222" i="1"/>
  <c r="G4222" i="1"/>
  <c r="E4222" i="1"/>
  <c r="B4222" i="1"/>
  <c r="A4222" i="1"/>
  <c r="H4221" i="1"/>
  <c r="G4221" i="1"/>
  <c r="E4221" i="1"/>
  <c r="B4221" i="1"/>
  <c r="A4221" i="1"/>
  <c r="H4220" i="1"/>
  <c r="G4220" i="1"/>
  <c r="E4220" i="1"/>
  <c r="B4220" i="1"/>
  <c r="A4220" i="1"/>
  <c r="H4219" i="1"/>
  <c r="G4219" i="1"/>
  <c r="E4219" i="1"/>
  <c r="B4219" i="1"/>
  <c r="A4219" i="1"/>
  <c r="H4218" i="1"/>
  <c r="G4218" i="1"/>
  <c r="E4218" i="1"/>
  <c r="B4218" i="1"/>
  <c r="A4218" i="1"/>
  <c r="H4217" i="1"/>
  <c r="G4217" i="1"/>
  <c r="E4217" i="1"/>
  <c r="B4217" i="1"/>
  <c r="A4217" i="1"/>
  <c r="H4216" i="1"/>
  <c r="G4216" i="1"/>
  <c r="E4216" i="1"/>
  <c r="B4216" i="1"/>
  <c r="A4216" i="1"/>
  <c r="H4215" i="1"/>
  <c r="G4215" i="1"/>
  <c r="E4215" i="1"/>
  <c r="B4215" i="1"/>
  <c r="A4215" i="1"/>
  <c r="H4214" i="1"/>
  <c r="G4214" i="1"/>
  <c r="E4214" i="1"/>
  <c r="B4214" i="1"/>
  <c r="A4214" i="1"/>
  <c r="H4213" i="1"/>
  <c r="G4213" i="1"/>
  <c r="E4213" i="1"/>
  <c r="B4213" i="1"/>
  <c r="A4213" i="1"/>
  <c r="H4212" i="1"/>
  <c r="G4212" i="1"/>
  <c r="E4212" i="1"/>
  <c r="B4212" i="1"/>
  <c r="A4212" i="1"/>
  <c r="H4211" i="1"/>
  <c r="G4211" i="1"/>
  <c r="E4211" i="1"/>
  <c r="B4211" i="1"/>
  <c r="A4211" i="1"/>
  <c r="H4210" i="1"/>
  <c r="G4210" i="1"/>
  <c r="E4210" i="1"/>
  <c r="B4210" i="1"/>
  <c r="A4210" i="1"/>
  <c r="H4209" i="1"/>
  <c r="G4209" i="1"/>
  <c r="E4209" i="1"/>
  <c r="B4209" i="1"/>
  <c r="A4209" i="1"/>
  <c r="H4208" i="1"/>
  <c r="G4208" i="1"/>
  <c r="E4208" i="1"/>
  <c r="B4208" i="1"/>
  <c r="A4208" i="1"/>
  <c r="H4207" i="1"/>
  <c r="G4207" i="1"/>
  <c r="E4207" i="1"/>
  <c r="B4207" i="1"/>
  <c r="A4207" i="1"/>
  <c r="H4206" i="1"/>
  <c r="G4206" i="1"/>
  <c r="E4206" i="1"/>
  <c r="B4206" i="1"/>
  <c r="A4206" i="1"/>
  <c r="H4205" i="1"/>
  <c r="G4205" i="1"/>
  <c r="E4205" i="1"/>
  <c r="B4205" i="1"/>
  <c r="A4205" i="1"/>
  <c r="H4204" i="1"/>
  <c r="G4204" i="1"/>
  <c r="E4204" i="1"/>
  <c r="B4204" i="1"/>
  <c r="A4204" i="1"/>
  <c r="H4203" i="1"/>
  <c r="G4203" i="1"/>
  <c r="E4203" i="1"/>
  <c r="B4203" i="1"/>
  <c r="A4203" i="1"/>
  <c r="H4202" i="1"/>
  <c r="G4202" i="1"/>
  <c r="E4202" i="1"/>
  <c r="B4202" i="1"/>
  <c r="A4202" i="1"/>
  <c r="H4201" i="1"/>
  <c r="G4201" i="1"/>
  <c r="E4201" i="1"/>
  <c r="B4201" i="1"/>
  <c r="A4201" i="1"/>
  <c r="H4200" i="1"/>
  <c r="G4200" i="1"/>
  <c r="E4200" i="1"/>
  <c r="B4200" i="1"/>
  <c r="A4200" i="1"/>
  <c r="H4199" i="1"/>
  <c r="G4199" i="1"/>
  <c r="E4199" i="1"/>
  <c r="B4199" i="1"/>
  <c r="A4199" i="1"/>
  <c r="H4198" i="1"/>
  <c r="G4198" i="1"/>
  <c r="E4198" i="1"/>
  <c r="B4198" i="1"/>
  <c r="A4198" i="1"/>
  <c r="H4197" i="1"/>
  <c r="G4197" i="1"/>
  <c r="E4197" i="1"/>
  <c r="B4197" i="1"/>
  <c r="A4197" i="1"/>
  <c r="H4196" i="1"/>
  <c r="G4196" i="1"/>
  <c r="E4196" i="1"/>
  <c r="B4196" i="1"/>
  <c r="A4196" i="1"/>
  <c r="H4195" i="1"/>
  <c r="G4195" i="1"/>
  <c r="E4195" i="1"/>
  <c r="B4195" i="1"/>
  <c r="A4195" i="1"/>
  <c r="H4194" i="1"/>
  <c r="G4194" i="1"/>
  <c r="E4194" i="1"/>
  <c r="B4194" i="1"/>
  <c r="A4194" i="1"/>
  <c r="H4193" i="1"/>
  <c r="G4193" i="1"/>
  <c r="E4193" i="1"/>
  <c r="B4193" i="1"/>
  <c r="A4193" i="1"/>
  <c r="H4192" i="1"/>
  <c r="G4192" i="1"/>
  <c r="E4192" i="1"/>
  <c r="B4192" i="1"/>
  <c r="A4192" i="1"/>
  <c r="H4191" i="1"/>
  <c r="G4191" i="1"/>
  <c r="E4191" i="1"/>
  <c r="B4191" i="1"/>
  <c r="A4191" i="1"/>
  <c r="H4190" i="1"/>
  <c r="G4190" i="1"/>
  <c r="E4190" i="1"/>
  <c r="B4190" i="1"/>
  <c r="A4190" i="1"/>
  <c r="H4189" i="1"/>
  <c r="G4189" i="1"/>
  <c r="E4189" i="1"/>
  <c r="B4189" i="1"/>
  <c r="A4189" i="1"/>
  <c r="H4188" i="1"/>
  <c r="G4188" i="1"/>
  <c r="E4188" i="1"/>
  <c r="B4188" i="1"/>
  <c r="A4188" i="1"/>
  <c r="H4187" i="1"/>
  <c r="G4187" i="1"/>
  <c r="E4187" i="1"/>
  <c r="B4187" i="1"/>
  <c r="A4187" i="1"/>
  <c r="H4186" i="1"/>
  <c r="G4186" i="1"/>
  <c r="E4186" i="1"/>
  <c r="B4186" i="1"/>
  <c r="A4186" i="1"/>
  <c r="H4185" i="1"/>
  <c r="G4185" i="1"/>
  <c r="E4185" i="1"/>
  <c r="B4185" i="1"/>
  <c r="A4185" i="1"/>
  <c r="H4184" i="1"/>
  <c r="G4184" i="1"/>
  <c r="B4184" i="1"/>
  <c r="A4184" i="1"/>
  <c r="H4183" i="1"/>
  <c r="G4183" i="1"/>
  <c r="B4183" i="1"/>
  <c r="A4183" i="1"/>
  <c r="H4182" i="1"/>
  <c r="G4182" i="1"/>
  <c r="E4182" i="1"/>
  <c r="B4182" i="1"/>
  <c r="A4182" i="1"/>
  <c r="H4181" i="1"/>
  <c r="G4181" i="1"/>
  <c r="E4181" i="1"/>
  <c r="B4181" i="1"/>
  <c r="A4181" i="1"/>
  <c r="H4180" i="1"/>
  <c r="G4180" i="1"/>
  <c r="E4180" i="1"/>
  <c r="B4180" i="1"/>
  <c r="A4180" i="1"/>
  <c r="H4179" i="1"/>
  <c r="G4179" i="1"/>
  <c r="E4179" i="1"/>
  <c r="B4179" i="1"/>
  <c r="A4179" i="1"/>
  <c r="H4178" i="1"/>
  <c r="G4178" i="1"/>
  <c r="E4178" i="1"/>
  <c r="B4178" i="1"/>
  <c r="A4178" i="1"/>
  <c r="H4177" i="1"/>
  <c r="G4177" i="1"/>
  <c r="E4177" i="1"/>
  <c r="B4177" i="1"/>
  <c r="A4177" i="1"/>
  <c r="H4176" i="1"/>
  <c r="G4176" i="1"/>
  <c r="E4176" i="1"/>
  <c r="B4176" i="1"/>
  <c r="A4176" i="1"/>
  <c r="H4175" i="1"/>
  <c r="G4175" i="1"/>
  <c r="E4175" i="1"/>
  <c r="B4175" i="1"/>
  <c r="A4175" i="1"/>
  <c r="H4174" i="1"/>
  <c r="G4174" i="1"/>
  <c r="E4174" i="1"/>
  <c r="B4174" i="1"/>
  <c r="A4174" i="1"/>
  <c r="H4173" i="1"/>
  <c r="G4173" i="1"/>
  <c r="B4173" i="1"/>
  <c r="A4173" i="1"/>
  <c r="H4172" i="1"/>
  <c r="G4172" i="1"/>
  <c r="B4172" i="1"/>
  <c r="A4172" i="1"/>
  <c r="H4171" i="1"/>
  <c r="G4171" i="1"/>
  <c r="E4171" i="1"/>
  <c r="B4171" i="1"/>
  <c r="A4171" i="1"/>
  <c r="H4170" i="1"/>
  <c r="G4170" i="1"/>
  <c r="E4170" i="1"/>
  <c r="B4170" i="1"/>
  <c r="A4170" i="1"/>
  <c r="H4169" i="1"/>
  <c r="G4169" i="1"/>
  <c r="E4169" i="1"/>
  <c r="B4169" i="1"/>
  <c r="A4169" i="1"/>
  <c r="H4168" i="1"/>
  <c r="G4168" i="1"/>
  <c r="E4168" i="1"/>
  <c r="B4168" i="1"/>
  <c r="A4168" i="1"/>
  <c r="H4167" i="1"/>
  <c r="G4167" i="1"/>
  <c r="E4167" i="1"/>
  <c r="B4167" i="1"/>
  <c r="A4167" i="1"/>
  <c r="H4166" i="1"/>
  <c r="G4166" i="1"/>
  <c r="E4166" i="1"/>
  <c r="B4166" i="1"/>
  <c r="A4166" i="1"/>
  <c r="H4165" i="1"/>
  <c r="G4165" i="1"/>
  <c r="E4165" i="1"/>
  <c r="B4165" i="1"/>
  <c r="A4165" i="1"/>
  <c r="H4164" i="1"/>
  <c r="G4164" i="1"/>
  <c r="E4164" i="1"/>
  <c r="B4164" i="1"/>
  <c r="A4164" i="1"/>
  <c r="H4163" i="1"/>
  <c r="G4163" i="1"/>
  <c r="E4163" i="1"/>
  <c r="B4163" i="1"/>
  <c r="A4163" i="1"/>
  <c r="H4162" i="1"/>
  <c r="G4162" i="1"/>
  <c r="E4162" i="1"/>
  <c r="B4162" i="1"/>
  <c r="A4162" i="1"/>
  <c r="H4161" i="1"/>
  <c r="G4161" i="1"/>
  <c r="E4161" i="1"/>
  <c r="B4161" i="1"/>
  <c r="A4161" i="1"/>
  <c r="H4160" i="1"/>
  <c r="G4160" i="1"/>
  <c r="E4160" i="1"/>
  <c r="B4160" i="1"/>
  <c r="A4160" i="1"/>
  <c r="H4159" i="1"/>
  <c r="G4159" i="1"/>
  <c r="E4159" i="1"/>
  <c r="B4159" i="1"/>
  <c r="A4159" i="1"/>
  <c r="H4158" i="1"/>
  <c r="G4158" i="1"/>
  <c r="E4158" i="1"/>
  <c r="B4158" i="1"/>
  <c r="A4158" i="1"/>
  <c r="H4157" i="1"/>
  <c r="G4157" i="1"/>
  <c r="E4157" i="1"/>
  <c r="B4157" i="1"/>
  <c r="A4157" i="1"/>
  <c r="H4156" i="1"/>
  <c r="G4156" i="1"/>
  <c r="E4156" i="1"/>
  <c r="B4156" i="1"/>
  <c r="A4156" i="1"/>
  <c r="H4155" i="1"/>
  <c r="G4155" i="1"/>
  <c r="E4155" i="1"/>
  <c r="B4155" i="1"/>
  <c r="A4155" i="1"/>
  <c r="H4154" i="1"/>
  <c r="G4154" i="1"/>
  <c r="E4154" i="1"/>
  <c r="B4154" i="1"/>
  <c r="A4154" i="1"/>
  <c r="H4153" i="1"/>
  <c r="G4153" i="1"/>
  <c r="E4153" i="1"/>
  <c r="B4153" i="1"/>
  <c r="A4153" i="1"/>
  <c r="H4152" i="1"/>
  <c r="G4152" i="1"/>
  <c r="E4152" i="1"/>
  <c r="B4152" i="1"/>
  <c r="A4152" i="1"/>
  <c r="H4151" i="1"/>
  <c r="G4151" i="1"/>
  <c r="E4151" i="1"/>
  <c r="B4151" i="1"/>
  <c r="A4151" i="1"/>
  <c r="H4150" i="1"/>
  <c r="G4150" i="1"/>
  <c r="E4150" i="1"/>
  <c r="B4150" i="1"/>
  <c r="A4150" i="1"/>
  <c r="H4149" i="1"/>
  <c r="G4149" i="1"/>
  <c r="E4149" i="1"/>
  <c r="B4149" i="1"/>
  <c r="A4149" i="1"/>
  <c r="H4148" i="1"/>
  <c r="G4148" i="1"/>
  <c r="E4148" i="1"/>
  <c r="B4148" i="1"/>
  <c r="A4148" i="1"/>
  <c r="H4147" i="1"/>
  <c r="G4147" i="1"/>
  <c r="E4147" i="1"/>
  <c r="B4147" i="1"/>
  <c r="A4147" i="1"/>
  <c r="H4146" i="1"/>
  <c r="G4146" i="1"/>
  <c r="E4146" i="1"/>
  <c r="B4146" i="1"/>
  <c r="A4146" i="1"/>
  <c r="H4145" i="1"/>
  <c r="G4145" i="1"/>
  <c r="E4145" i="1"/>
  <c r="B4145" i="1"/>
  <c r="A4145" i="1"/>
  <c r="H4144" i="1"/>
  <c r="G4144" i="1"/>
  <c r="E4144" i="1"/>
  <c r="B4144" i="1"/>
  <c r="A4144" i="1"/>
  <c r="H4143" i="1"/>
  <c r="G4143" i="1"/>
  <c r="E4143" i="1"/>
  <c r="B4143" i="1"/>
  <c r="A4143" i="1"/>
  <c r="H4142" i="1"/>
  <c r="G4142" i="1"/>
  <c r="E4142" i="1"/>
  <c r="B4142" i="1"/>
  <c r="A4142" i="1"/>
  <c r="H4141" i="1"/>
  <c r="G4141" i="1"/>
  <c r="E4141" i="1"/>
  <c r="B4141" i="1"/>
  <c r="A4141" i="1"/>
  <c r="H4140" i="1"/>
  <c r="G4140" i="1"/>
  <c r="E4140" i="1"/>
  <c r="B4140" i="1"/>
  <c r="A4140" i="1"/>
  <c r="H4139" i="1"/>
  <c r="G4139" i="1"/>
  <c r="E4139" i="1"/>
  <c r="B4139" i="1"/>
  <c r="A4139" i="1"/>
  <c r="H4138" i="1"/>
  <c r="G4138" i="1"/>
  <c r="E4138" i="1"/>
  <c r="B4138" i="1"/>
  <c r="A4138" i="1"/>
  <c r="H4137" i="1"/>
  <c r="G4137" i="1"/>
  <c r="E4137" i="1"/>
  <c r="B4137" i="1"/>
  <c r="A4137" i="1"/>
  <c r="H4136" i="1"/>
  <c r="G4136" i="1"/>
  <c r="E4136" i="1"/>
  <c r="B4136" i="1"/>
  <c r="A4136" i="1"/>
  <c r="H4135" i="1"/>
  <c r="G4135" i="1"/>
  <c r="E4135" i="1"/>
  <c r="B4135" i="1"/>
  <c r="A4135" i="1"/>
  <c r="H4134" i="1"/>
  <c r="G4134" i="1"/>
  <c r="E4134" i="1"/>
  <c r="B4134" i="1"/>
  <c r="A4134" i="1"/>
  <c r="H4133" i="1"/>
  <c r="G4133" i="1"/>
  <c r="E4133" i="1"/>
  <c r="B4133" i="1"/>
  <c r="A4133" i="1"/>
  <c r="H4132" i="1"/>
  <c r="G4132" i="1"/>
  <c r="E4132" i="1"/>
  <c r="B4132" i="1"/>
  <c r="A4132" i="1"/>
  <c r="H4131" i="1"/>
  <c r="G4131" i="1"/>
  <c r="E4131" i="1"/>
  <c r="B4131" i="1"/>
  <c r="A4131" i="1"/>
  <c r="H4130" i="1"/>
  <c r="G4130" i="1"/>
  <c r="E4130" i="1"/>
  <c r="B4130" i="1"/>
  <c r="A4130" i="1"/>
  <c r="H4129" i="1"/>
  <c r="G4129" i="1"/>
  <c r="E4129" i="1"/>
  <c r="B4129" i="1"/>
  <c r="A4129" i="1"/>
  <c r="H4128" i="1"/>
  <c r="G4128" i="1"/>
  <c r="E4128" i="1"/>
  <c r="B4128" i="1"/>
  <c r="A4128" i="1"/>
  <c r="H4127" i="1"/>
  <c r="G4127" i="1"/>
  <c r="E4127" i="1"/>
  <c r="B4127" i="1"/>
  <c r="A4127" i="1"/>
  <c r="H4126" i="1"/>
  <c r="G4126" i="1"/>
  <c r="E4126" i="1"/>
  <c r="B4126" i="1"/>
  <c r="A4126" i="1"/>
  <c r="H4125" i="1"/>
  <c r="G4125" i="1"/>
  <c r="E4125" i="1"/>
  <c r="B4125" i="1"/>
  <c r="A4125" i="1"/>
  <c r="H4124" i="1"/>
  <c r="G4124" i="1"/>
  <c r="B4124" i="1"/>
  <c r="A4124" i="1"/>
  <c r="H4123" i="1"/>
  <c r="G4123" i="1"/>
  <c r="E4123" i="1"/>
  <c r="B4123" i="1"/>
  <c r="A4123" i="1"/>
  <c r="H4122" i="1"/>
  <c r="G4122" i="1"/>
  <c r="E4122" i="1"/>
  <c r="B4122" i="1"/>
  <c r="A4122" i="1"/>
  <c r="H4121" i="1"/>
  <c r="G4121" i="1"/>
  <c r="E4121" i="1"/>
  <c r="B4121" i="1"/>
  <c r="A4121" i="1"/>
  <c r="H4120" i="1"/>
  <c r="G4120" i="1"/>
  <c r="E4120" i="1"/>
  <c r="B4120" i="1"/>
  <c r="A4120" i="1"/>
  <c r="H4119" i="1"/>
  <c r="G4119" i="1"/>
  <c r="E4119" i="1"/>
  <c r="B4119" i="1"/>
  <c r="A4119" i="1"/>
  <c r="H4118" i="1"/>
  <c r="G4118" i="1"/>
  <c r="E4118" i="1"/>
  <c r="B4118" i="1"/>
  <c r="A4118" i="1"/>
  <c r="H4117" i="1"/>
  <c r="G4117" i="1"/>
  <c r="E4117" i="1"/>
  <c r="B4117" i="1"/>
  <c r="A4117" i="1"/>
  <c r="H4116" i="1"/>
  <c r="G4116" i="1"/>
  <c r="E4116" i="1"/>
  <c r="B4116" i="1"/>
  <c r="A4116" i="1"/>
  <c r="H4115" i="1"/>
  <c r="G4115" i="1"/>
  <c r="E4115" i="1"/>
  <c r="B4115" i="1"/>
  <c r="A4115" i="1"/>
  <c r="H4114" i="1"/>
  <c r="G4114" i="1"/>
  <c r="E4114" i="1"/>
  <c r="B4114" i="1"/>
  <c r="A4114" i="1"/>
  <c r="H4113" i="1"/>
  <c r="G4113" i="1"/>
  <c r="E4113" i="1"/>
  <c r="B4113" i="1"/>
  <c r="A4113" i="1"/>
  <c r="H4112" i="1"/>
  <c r="G4112" i="1"/>
  <c r="E4112" i="1"/>
  <c r="B4112" i="1"/>
  <c r="A4112" i="1"/>
  <c r="H4111" i="1"/>
  <c r="G4111" i="1"/>
  <c r="E4111" i="1"/>
  <c r="B4111" i="1"/>
  <c r="A4111" i="1"/>
  <c r="H4110" i="1"/>
  <c r="G4110" i="1"/>
  <c r="E4110" i="1"/>
  <c r="B4110" i="1"/>
  <c r="A4110" i="1"/>
  <c r="H4109" i="1"/>
  <c r="G4109" i="1"/>
  <c r="E4109" i="1"/>
  <c r="B4109" i="1"/>
  <c r="A4109" i="1"/>
  <c r="H4108" i="1"/>
  <c r="G4108" i="1"/>
  <c r="E4108" i="1"/>
  <c r="B4108" i="1"/>
  <c r="A4108" i="1"/>
  <c r="H4107" i="1"/>
  <c r="G4107" i="1"/>
  <c r="E4107" i="1"/>
  <c r="B4107" i="1"/>
  <c r="A4107" i="1"/>
  <c r="H4106" i="1"/>
  <c r="G4106" i="1"/>
  <c r="E4106" i="1"/>
  <c r="B4106" i="1"/>
  <c r="A4106" i="1"/>
  <c r="H4105" i="1"/>
  <c r="G4105" i="1"/>
  <c r="E4105" i="1"/>
  <c r="B4105" i="1"/>
  <c r="A4105" i="1"/>
  <c r="H4104" i="1"/>
  <c r="G4104" i="1"/>
  <c r="E4104" i="1"/>
  <c r="B4104" i="1"/>
  <c r="A4104" i="1"/>
  <c r="H4103" i="1"/>
  <c r="G4103" i="1"/>
  <c r="E4103" i="1"/>
  <c r="B4103" i="1"/>
  <c r="A4103" i="1"/>
  <c r="H4102" i="1"/>
  <c r="G4102" i="1"/>
  <c r="E4102" i="1"/>
  <c r="B4102" i="1"/>
  <c r="A4102" i="1"/>
  <c r="H4101" i="1"/>
  <c r="G4101" i="1"/>
  <c r="E4101" i="1"/>
  <c r="B4101" i="1"/>
  <c r="A4101" i="1"/>
  <c r="H4100" i="1"/>
  <c r="G4100" i="1"/>
  <c r="E4100" i="1"/>
  <c r="B4100" i="1"/>
  <c r="A4100" i="1"/>
  <c r="H4099" i="1"/>
  <c r="G4099" i="1"/>
  <c r="E4099" i="1"/>
  <c r="B4099" i="1"/>
  <c r="A4099" i="1"/>
  <c r="H4098" i="1"/>
  <c r="G4098" i="1"/>
  <c r="E4098" i="1"/>
  <c r="B4098" i="1"/>
  <c r="A4098" i="1"/>
  <c r="H4097" i="1"/>
  <c r="G4097" i="1"/>
  <c r="E4097" i="1"/>
  <c r="B4097" i="1"/>
  <c r="A4097" i="1"/>
  <c r="H4096" i="1"/>
  <c r="G4096" i="1"/>
  <c r="E4096" i="1"/>
  <c r="B4096" i="1"/>
  <c r="A4096" i="1"/>
  <c r="H4095" i="1"/>
  <c r="G4095" i="1"/>
  <c r="E4095" i="1"/>
  <c r="B4095" i="1"/>
  <c r="A4095" i="1"/>
  <c r="H4094" i="1"/>
  <c r="G4094" i="1"/>
  <c r="E4094" i="1"/>
  <c r="B4094" i="1"/>
  <c r="A4094" i="1"/>
  <c r="H4093" i="1"/>
  <c r="G4093" i="1"/>
  <c r="E4093" i="1"/>
  <c r="B4093" i="1"/>
  <c r="A4093" i="1"/>
  <c r="H4092" i="1"/>
  <c r="G4092" i="1"/>
  <c r="E4092" i="1"/>
  <c r="B4092" i="1"/>
  <c r="A4092" i="1"/>
  <c r="H4091" i="1"/>
  <c r="G4091" i="1"/>
  <c r="E4091" i="1"/>
  <c r="B4091" i="1"/>
  <c r="A4091" i="1"/>
  <c r="H4090" i="1"/>
  <c r="G4090" i="1"/>
  <c r="E4090" i="1"/>
  <c r="B4090" i="1"/>
  <c r="A4090" i="1"/>
  <c r="H4089" i="1"/>
  <c r="G4089" i="1"/>
  <c r="E4089" i="1"/>
  <c r="B4089" i="1"/>
  <c r="A4089" i="1"/>
  <c r="H4088" i="1"/>
  <c r="G4088" i="1"/>
  <c r="E4088" i="1"/>
  <c r="B4088" i="1"/>
  <c r="A4088" i="1"/>
  <c r="H4087" i="1"/>
  <c r="G4087" i="1"/>
  <c r="E4087" i="1"/>
  <c r="B4087" i="1"/>
  <c r="A4087" i="1"/>
  <c r="H4086" i="1"/>
  <c r="G4086" i="1"/>
  <c r="E4086" i="1"/>
  <c r="B4086" i="1"/>
  <c r="A4086" i="1"/>
  <c r="H4085" i="1"/>
  <c r="G4085" i="1"/>
  <c r="E4085" i="1"/>
  <c r="B4085" i="1"/>
  <c r="A4085" i="1"/>
  <c r="H4084" i="1"/>
  <c r="G4084" i="1"/>
  <c r="E4084" i="1"/>
  <c r="B4084" i="1"/>
  <c r="A4084" i="1"/>
  <c r="H4083" i="1"/>
  <c r="G4083" i="1"/>
  <c r="E4083" i="1"/>
  <c r="B4083" i="1"/>
  <c r="A4083" i="1"/>
  <c r="H4082" i="1"/>
  <c r="G4082" i="1"/>
  <c r="E4082" i="1"/>
  <c r="B4082" i="1"/>
  <c r="A4082" i="1"/>
  <c r="H4081" i="1"/>
  <c r="G4081" i="1"/>
  <c r="E4081" i="1"/>
  <c r="B4081" i="1"/>
  <c r="A4081" i="1"/>
  <c r="H4080" i="1"/>
  <c r="G4080" i="1"/>
  <c r="E4080" i="1"/>
  <c r="B4080" i="1"/>
  <c r="A4080" i="1"/>
  <c r="H4079" i="1"/>
  <c r="G4079" i="1"/>
  <c r="E4079" i="1"/>
  <c r="B4079" i="1"/>
  <c r="A4079" i="1"/>
  <c r="H4078" i="1"/>
  <c r="G4078" i="1"/>
  <c r="E4078" i="1"/>
  <c r="B4078" i="1"/>
  <c r="A4078" i="1"/>
  <c r="H4077" i="1"/>
  <c r="G4077" i="1"/>
  <c r="E4077" i="1"/>
  <c r="B4077" i="1"/>
  <c r="A4077" i="1"/>
  <c r="H4076" i="1"/>
  <c r="G4076" i="1"/>
  <c r="E4076" i="1"/>
  <c r="B4076" i="1"/>
  <c r="A4076" i="1"/>
  <c r="H4075" i="1"/>
  <c r="G4075" i="1"/>
  <c r="E4075" i="1"/>
  <c r="B4075" i="1"/>
  <c r="A4075" i="1"/>
  <c r="H4074" i="1"/>
  <c r="G4074" i="1"/>
  <c r="E4074" i="1"/>
  <c r="B4074" i="1"/>
  <c r="A4074" i="1"/>
  <c r="H4073" i="1"/>
  <c r="G4073" i="1"/>
  <c r="E4073" i="1"/>
  <c r="B4073" i="1"/>
  <c r="A4073" i="1"/>
  <c r="H4072" i="1"/>
  <c r="G4072" i="1"/>
  <c r="E4072" i="1"/>
  <c r="B4072" i="1"/>
  <c r="A4072" i="1"/>
  <c r="H4071" i="1"/>
  <c r="G4071" i="1"/>
  <c r="E4071" i="1"/>
  <c r="B4071" i="1"/>
  <c r="A4071" i="1"/>
  <c r="H4070" i="1"/>
  <c r="G4070" i="1"/>
  <c r="E4070" i="1"/>
  <c r="B4070" i="1"/>
  <c r="A4070" i="1"/>
  <c r="H4069" i="1"/>
  <c r="G4069" i="1"/>
  <c r="E4069" i="1"/>
  <c r="B4069" i="1"/>
  <c r="A4069" i="1"/>
  <c r="H4068" i="1"/>
  <c r="G4068" i="1"/>
  <c r="E4068" i="1"/>
  <c r="B4068" i="1"/>
  <c r="A4068" i="1"/>
  <c r="H4067" i="1"/>
  <c r="G4067" i="1"/>
  <c r="E4067" i="1"/>
  <c r="B4067" i="1"/>
  <c r="A4067" i="1"/>
  <c r="H4066" i="1"/>
  <c r="G4066" i="1"/>
  <c r="E4066" i="1"/>
  <c r="B4066" i="1"/>
  <c r="A4066" i="1"/>
  <c r="H4065" i="1"/>
  <c r="G4065" i="1"/>
  <c r="E4065" i="1"/>
  <c r="B4065" i="1"/>
  <c r="A4065" i="1"/>
  <c r="H4064" i="1"/>
  <c r="G4064" i="1"/>
  <c r="E4064" i="1"/>
  <c r="B4064" i="1"/>
  <c r="A4064" i="1"/>
  <c r="H4063" i="1"/>
  <c r="G4063" i="1"/>
  <c r="E4063" i="1"/>
  <c r="B4063" i="1"/>
  <c r="A4063" i="1"/>
  <c r="H4062" i="1"/>
  <c r="G4062" i="1"/>
  <c r="E4062" i="1"/>
  <c r="B4062" i="1"/>
  <c r="A4062" i="1"/>
  <c r="H4061" i="1"/>
  <c r="G4061" i="1"/>
  <c r="E4061" i="1"/>
  <c r="B4061" i="1"/>
  <c r="A4061" i="1"/>
  <c r="H4060" i="1"/>
  <c r="G4060" i="1"/>
  <c r="E4060" i="1"/>
  <c r="B4060" i="1"/>
  <c r="A4060" i="1"/>
  <c r="H4059" i="1"/>
  <c r="G4059" i="1"/>
  <c r="E4059" i="1"/>
  <c r="B4059" i="1"/>
  <c r="A4059" i="1"/>
  <c r="H4058" i="1"/>
  <c r="G4058" i="1"/>
  <c r="E4058" i="1"/>
  <c r="B4058" i="1"/>
  <c r="A4058" i="1"/>
  <c r="H4057" i="1"/>
  <c r="G4057" i="1"/>
  <c r="E4057" i="1"/>
  <c r="B4057" i="1"/>
  <c r="A4057" i="1"/>
  <c r="H4056" i="1"/>
  <c r="G4056" i="1"/>
  <c r="E4056" i="1"/>
  <c r="B4056" i="1"/>
  <c r="A4056" i="1"/>
  <c r="H4055" i="1"/>
  <c r="G4055" i="1"/>
  <c r="E4055" i="1"/>
  <c r="B4055" i="1"/>
  <c r="A4055" i="1"/>
  <c r="H4054" i="1"/>
  <c r="G4054" i="1"/>
  <c r="E4054" i="1"/>
  <c r="B4054" i="1"/>
  <c r="A4054" i="1"/>
  <c r="H4053" i="1"/>
  <c r="G4053" i="1"/>
  <c r="E4053" i="1"/>
  <c r="B4053" i="1"/>
  <c r="A4053" i="1"/>
  <c r="H4052" i="1"/>
  <c r="G4052" i="1"/>
  <c r="E4052" i="1"/>
  <c r="B4052" i="1"/>
  <c r="A4052" i="1"/>
  <c r="H4051" i="1"/>
  <c r="G4051" i="1"/>
  <c r="E4051" i="1"/>
  <c r="B4051" i="1"/>
  <c r="A4051" i="1"/>
  <c r="H4050" i="1"/>
  <c r="G4050" i="1"/>
  <c r="E4050" i="1"/>
  <c r="B4050" i="1"/>
  <c r="A4050" i="1"/>
  <c r="H4049" i="1"/>
  <c r="G4049" i="1"/>
  <c r="E4049" i="1"/>
  <c r="B4049" i="1"/>
  <c r="A4049" i="1"/>
  <c r="H4048" i="1"/>
  <c r="G4048" i="1"/>
  <c r="E4048" i="1"/>
  <c r="B4048" i="1"/>
  <c r="A4048" i="1"/>
  <c r="H4047" i="1"/>
  <c r="G4047" i="1"/>
  <c r="E4047" i="1"/>
  <c r="B4047" i="1"/>
  <c r="A4047" i="1"/>
  <c r="H4046" i="1"/>
  <c r="G4046" i="1"/>
  <c r="E4046" i="1"/>
  <c r="B4046" i="1"/>
  <c r="A4046" i="1"/>
  <c r="H4045" i="1"/>
  <c r="G4045" i="1"/>
  <c r="E4045" i="1"/>
  <c r="B4045" i="1"/>
  <c r="A4045" i="1"/>
  <c r="H4044" i="1"/>
  <c r="G4044" i="1"/>
  <c r="E4044" i="1"/>
  <c r="B4044" i="1"/>
  <c r="A4044" i="1"/>
  <c r="H4043" i="1"/>
  <c r="G4043" i="1"/>
  <c r="E4043" i="1"/>
  <c r="B4043" i="1"/>
  <c r="A4043" i="1"/>
  <c r="H4042" i="1"/>
  <c r="G4042" i="1"/>
  <c r="E4042" i="1"/>
  <c r="B4042" i="1"/>
  <c r="A4042" i="1"/>
  <c r="H4041" i="1"/>
  <c r="G4041" i="1"/>
  <c r="E4041" i="1"/>
  <c r="B4041" i="1"/>
  <c r="A4041" i="1"/>
  <c r="H4040" i="1"/>
  <c r="G4040" i="1"/>
  <c r="E4040" i="1"/>
  <c r="B4040" i="1"/>
  <c r="A4040" i="1"/>
  <c r="H4039" i="1"/>
  <c r="G4039" i="1"/>
  <c r="B4039" i="1"/>
  <c r="A4039" i="1"/>
  <c r="H4038" i="1"/>
  <c r="G4038" i="1"/>
  <c r="E4038" i="1"/>
  <c r="B4038" i="1"/>
  <c r="A4038" i="1"/>
  <c r="H4037" i="1"/>
  <c r="G4037" i="1"/>
  <c r="E4037" i="1"/>
  <c r="B4037" i="1"/>
  <c r="A4037" i="1"/>
  <c r="H4036" i="1"/>
  <c r="G4036" i="1"/>
  <c r="E4036" i="1"/>
  <c r="B4036" i="1"/>
  <c r="A4036" i="1"/>
  <c r="H4035" i="1"/>
  <c r="G4035" i="1"/>
  <c r="E4035" i="1"/>
  <c r="B4035" i="1"/>
  <c r="A4035" i="1"/>
  <c r="H4034" i="1"/>
  <c r="G4034" i="1"/>
  <c r="E4034" i="1"/>
  <c r="B4034" i="1"/>
  <c r="A4034" i="1"/>
  <c r="H4033" i="1"/>
  <c r="G4033" i="1"/>
  <c r="E4033" i="1"/>
  <c r="B4033" i="1"/>
  <c r="A4033" i="1"/>
  <c r="H4032" i="1"/>
  <c r="G4032" i="1"/>
  <c r="E4032" i="1"/>
  <c r="B4032" i="1"/>
  <c r="A4032" i="1"/>
  <c r="H4031" i="1"/>
  <c r="G4031" i="1"/>
  <c r="E4031" i="1"/>
  <c r="B4031" i="1"/>
  <c r="A4031" i="1"/>
  <c r="H4030" i="1"/>
  <c r="G4030" i="1"/>
  <c r="E4030" i="1"/>
  <c r="B4030" i="1"/>
  <c r="A4030" i="1"/>
  <c r="H4029" i="1"/>
  <c r="G4029" i="1"/>
  <c r="E4029" i="1"/>
  <c r="B4029" i="1"/>
  <c r="A4029" i="1"/>
  <c r="H4028" i="1"/>
  <c r="G4028" i="1"/>
  <c r="E4028" i="1"/>
  <c r="B4028" i="1"/>
  <c r="A4028" i="1"/>
  <c r="H4027" i="1"/>
  <c r="G4027" i="1"/>
  <c r="E4027" i="1"/>
  <c r="B4027" i="1"/>
  <c r="A4027" i="1"/>
  <c r="H4026" i="1"/>
  <c r="G4026" i="1"/>
  <c r="E4026" i="1"/>
  <c r="B4026" i="1"/>
  <c r="A4026" i="1"/>
  <c r="H4025" i="1"/>
  <c r="G4025" i="1"/>
  <c r="E4025" i="1"/>
  <c r="B4025" i="1"/>
  <c r="A4025" i="1"/>
  <c r="H4024" i="1"/>
  <c r="G4024" i="1"/>
  <c r="E4024" i="1"/>
  <c r="B4024" i="1"/>
  <c r="A4024" i="1"/>
  <c r="H4023" i="1"/>
  <c r="G4023" i="1"/>
  <c r="E4023" i="1"/>
  <c r="B4023" i="1"/>
  <c r="A4023" i="1"/>
  <c r="H4022" i="1"/>
  <c r="G4022" i="1"/>
  <c r="E4022" i="1"/>
  <c r="B4022" i="1"/>
  <c r="A4022" i="1"/>
  <c r="H4021" i="1"/>
  <c r="G4021" i="1"/>
  <c r="E4021" i="1"/>
  <c r="B4021" i="1"/>
  <c r="A4021" i="1"/>
  <c r="H4020" i="1"/>
  <c r="G4020" i="1"/>
  <c r="E4020" i="1"/>
  <c r="B4020" i="1"/>
  <c r="A4020" i="1"/>
  <c r="H4019" i="1"/>
  <c r="G4019" i="1"/>
  <c r="E4019" i="1"/>
  <c r="B4019" i="1"/>
  <c r="A4019" i="1"/>
  <c r="H4018" i="1"/>
  <c r="G4018" i="1"/>
  <c r="E4018" i="1"/>
  <c r="B4018" i="1"/>
  <c r="A4018" i="1"/>
  <c r="H4017" i="1"/>
  <c r="G4017" i="1"/>
  <c r="E4017" i="1"/>
  <c r="B4017" i="1"/>
  <c r="A4017" i="1"/>
  <c r="H4016" i="1"/>
  <c r="G4016" i="1"/>
  <c r="E4016" i="1"/>
  <c r="B4016" i="1"/>
  <c r="A4016" i="1"/>
  <c r="H4015" i="1"/>
  <c r="G4015" i="1"/>
  <c r="E4015" i="1"/>
  <c r="B4015" i="1"/>
  <c r="A4015" i="1"/>
  <c r="H4014" i="1"/>
  <c r="G4014" i="1"/>
  <c r="E4014" i="1"/>
  <c r="B4014" i="1"/>
  <c r="A4014" i="1"/>
  <c r="H4013" i="1"/>
  <c r="G4013" i="1"/>
  <c r="E4013" i="1"/>
  <c r="B4013" i="1"/>
  <c r="A4013" i="1"/>
  <c r="H4012" i="1"/>
  <c r="G4012" i="1"/>
  <c r="E4012" i="1"/>
  <c r="B4012" i="1"/>
  <c r="A4012" i="1"/>
  <c r="H4011" i="1"/>
  <c r="G4011" i="1"/>
  <c r="E4011" i="1"/>
  <c r="B4011" i="1"/>
  <c r="A4011" i="1"/>
  <c r="H4010" i="1"/>
  <c r="G4010" i="1"/>
  <c r="E4010" i="1"/>
  <c r="B4010" i="1"/>
  <c r="A4010" i="1"/>
  <c r="H4009" i="1"/>
  <c r="G4009" i="1"/>
  <c r="E4009" i="1"/>
  <c r="B4009" i="1"/>
  <c r="A4009" i="1"/>
  <c r="H4008" i="1"/>
  <c r="G4008" i="1"/>
  <c r="E4008" i="1"/>
  <c r="B4008" i="1"/>
  <c r="A4008" i="1"/>
  <c r="H4007" i="1"/>
  <c r="G4007" i="1"/>
  <c r="E4007" i="1"/>
  <c r="B4007" i="1"/>
  <c r="A4007" i="1"/>
  <c r="H4006" i="1"/>
  <c r="G4006" i="1"/>
  <c r="B4006" i="1"/>
  <c r="A4006" i="1"/>
  <c r="H4005" i="1"/>
  <c r="G4005" i="1"/>
  <c r="E4005" i="1"/>
  <c r="B4005" i="1"/>
  <c r="A4005" i="1"/>
  <c r="H4004" i="1"/>
  <c r="G4004" i="1"/>
  <c r="E4004" i="1"/>
  <c r="B4004" i="1"/>
  <c r="A4004" i="1"/>
  <c r="H4003" i="1"/>
  <c r="G4003" i="1"/>
  <c r="E4003" i="1"/>
  <c r="B4003" i="1"/>
  <c r="A4003" i="1"/>
  <c r="H4002" i="1"/>
  <c r="G4002" i="1"/>
  <c r="E4002" i="1"/>
  <c r="B4002" i="1"/>
  <c r="A4002" i="1"/>
  <c r="H4001" i="1"/>
  <c r="G4001" i="1"/>
  <c r="E4001" i="1"/>
  <c r="B4001" i="1"/>
  <c r="A4001" i="1"/>
  <c r="H4000" i="1"/>
  <c r="G4000" i="1"/>
  <c r="E4000" i="1"/>
  <c r="B4000" i="1"/>
  <c r="A4000" i="1"/>
  <c r="H3999" i="1"/>
  <c r="G3999" i="1"/>
  <c r="E3999" i="1"/>
  <c r="B3999" i="1"/>
  <c r="A3999" i="1"/>
  <c r="H3998" i="1"/>
  <c r="G3998" i="1"/>
  <c r="E3998" i="1"/>
  <c r="B3998" i="1"/>
  <c r="A3998" i="1"/>
  <c r="H3997" i="1"/>
  <c r="G3997" i="1"/>
  <c r="E3997" i="1"/>
  <c r="B3997" i="1"/>
  <c r="A3997" i="1"/>
  <c r="H3996" i="1"/>
  <c r="G3996" i="1"/>
  <c r="E3996" i="1"/>
  <c r="B3996" i="1"/>
  <c r="A3996" i="1"/>
  <c r="H3995" i="1"/>
  <c r="G3995" i="1"/>
  <c r="E3995" i="1"/>
  <c r="B3995" i="1"/>
  <c r="A3995" i="1"/>
  <c r="H3994" i="1"/>
  <c r="G3994" i="1"/>
  <c r="E3994" i="1"/>
  <c r="B3994" i="1"/>
  <c r="A3994" i="1"/>
  <c r="H3993" i="1"/>
  <c r="G3993" i="1"/>
  <c r="E3993" i="1"/>
  <c r="B3993" i="1"/>
  <c r="A3993" i="1"/>
  <c r="H3992" i="1"/>
  <c r="G3992" i="1"/>
  <c r="E3992" i="1"/>
  <c r="B3992" i="1"/>
  <c r="A3992" i="1"/>
  <c r="H3991" i="1"/>
  <c r="G3991" i="1"/>
  <c r="E3991" i="1"/>
  <c r="B3991" i="1"/>
  <c r="A3991" i="1"/>
  <c r="H3990" i="1"/>
  <c r="G3990" i="1"/>
  <c r="E3990" i="1"/>
  <c r="B3990" i="1"/>
  <c r="A3990" i="1"/>
  <c r="H3989" i="1"/>
  <c r="G3989" i="1"/>
  <c r="E3989" i="1"/>
  <c r="B3989" i="1"/>
  <c r="A3989" i="1"/>
  <c r="H3988" i="1"/>
  <c r="G3988" i="1"/>
  <c r="E3988" i="1"/>
  <c r="B3988" i="1"/>
  <c r="A3988" i="1"/>
  <c r="H3987" i="1"/>
  <c r="G3987" i="1"/>
  <c r="E3987" i="1"/>
  <c r="B3987" i="1"/>
  <c r="A3987" i="1"/>
  <c r="H3986" i="1"/>
  <c r="G3986" i="1"/>
  <c r="E3986" i="1"/>
  <c r="B3986" i="1"/>
  <c r="A3986" i="1"/>
  <c r="H3985" i="1"/>
  <c r="G3985" i="1"/>
  <c r="E3985" i="1"/>
  <c r="B3985" i="1"/>
  <c r="A3985" i="1"/>
  <c r="H3984" i="1"/>
  <c r="G3984" i="1"/>
  <c r="E3984" i="1"/>
  <c r="B3984" i="1"/>
  <c r="A3984" i="1"/>
  <c r="H3983" i="1"/>
  <c r="G3983" i="1"/>
  <c r="E3983" i="1"/>
  <c r="B3983" i="1"/>
  <c r="A3983" i="1"/>
  <c r="H3982" i="1"/>
  <c r="G3982" i="1"/>
  <c r="E3982" i="1"/>
  <c r="B3982" i="1"/>
  <c r="A3982" i="1"/>
  <c r="H3981" i="1"/>
  <c r="G3981" i="1"/>
  <c r="E3981" i="1"/>
  <c r="B3981" i="1"/>
  <c r="A3981" i="1"/>
  <c r="H3980" i="1"/>
  <c r="G3980" i="1"/>
  <c r="E3980" i="1"/>
  <c r="B3980" i="1"/>
  <c r="A3980" i="1"/>
  <c r="H3979" i="1"/>
  <c r="G3979" i="1"/>
  <c r="E3979" i="1"/>
  <c r="B3979" i="1"/>
  <c r="A3979" i="1"/>
  <c r="H3978" i="1"/>
  <c r="G3978" i="1"/>
  <c r="E3978" i="1"/>
  <c r="B3978" i="1"/>
  <c r="A3978" i="1"/>
  <c r="H3977" i="1"/>
  <c r="G3977" i="1"/>
  <c r="E3977" i="1"/>
  <c r="B3977" i="1"/>
  <c r="A3977" i="1"/>
  <c r="H3976" i="1"/>
  <c r="G3976" i="1"/>
  <c r="E3976" i="1"/>
  <c r="B3976" i="1"/>
  <c r="A3976" i="1"/>
  <c r="H3975" i="1"/>
  <c r="G3975" i="1"/>
  <c r="E3975" i="1"/>
  <c r="B3975" i="1"/>
  <c r="A3975" i="1"/>
  <c r="H3974" i="1"/>
  <c r="G3974" i="1"/>
  <c r="B3974" i="1"/>
  <c r="A3974" i="1"/>
  <c r="H3973" i="1"/>
  <c r="G3973" i="1"/>
  <c r="E3973" i="1"/>
  <c r="B3973" i="1"/>
  <c r="A3973" i="1"/>
  <c r="H3972" i="1"/>
  <c r="G3972" i="1"/>
  <c r="B3972" i="1"/>
  <c r="A3972" i="1"/>
  <c r="H3971" i="1"/>
  <c r="G3971" i="1"/>
  <c r="E3971" i="1"/>
  <c r="B3971" i="1"/>
  <c r="A3971" i="1"/>
  <c r="H3970" i="1"/>
  <c r="G3970" i="1"/>
  <c r="E3970" i="1"/>
  <c r="B3970" i="1"/>
  <c r="A3970" i="1"/>
  <c r="H3969" i="1"/>
  <c r="G3969" i="1"/>
  <c r="E3969" i="1"/>
  <c r="B3969" i="1"/>
  <c r="A3969" i="1"/>
  <c r="H3968" i="1"/>
  <c r="G3968" i="1"/>
  <c r="E3968" i="1"/>
  <c r="B3968" i="1"/>
  <c r="A3968" i="1"/>
  <c r="H3967" i="1"/>
  <c r="G3967" i="1"/>
  <c r="E3967" i="1"/>
  <c r="B3967" i="1"/>
  <c r="A3967" i="1"/>
  <c r="H3966" i="1"/>
  <c r="G3966" i="1"/>
  <c r="E3966" i="1"/>
  <c r="B3966" i="1"/>
  <c r="A3966" i="1"/>
  <c r="H3965" i="1"/>
  <c r="G3965" i="1"/>
  <c r="E3965" i="1"/>
  <c r="B3965" i="1"/>
  <c r="A3965" i="1"/>
  <c r="H3964" i="1"/>
  <c r="G3964" i="1"/>
  <c r="E3964" i="1"/>
  <c r="B3964" i="1"/>
  <c r="A3964" i="1"/>
  <c r="H3963" i="1"/>
  <c r="G3963" i="1"/>
  <c r="E3963" i="1"/>
  <c r="B3963" i="1"/>
  <c r="A3963" i="1"/>
  <c r="H3962" i="1"/>
  <c r="G3962" i="1"/>
  <c r="E3962" i="1"/>
  <c r="B3962" i="1"/>
  <c r="A3962" i="1"/>
  <c r="H3961" i="1"/>
  <c r="G3961" i="1"/>
  <c r="E3961" i="1"/>
  <c r="B3961" i="1"/>
  <c r="A3961" i="1"/>
  <c r="H3960" i="1"/>
  <c r="G3960" i="1"/>
  <c r="E3960" i="1"/>
  <c r="B3960" i="1"/>
  <c r="A3960" i="1"/>
  <c r="H3959" i="1"/>
  <c r="G3959" i="1"/>
  <c r="E3959" i="1"/>
  <c r="B3959" i="1"/>
  <c r="A3959" i="1"/>
  <c r="H3958" i="1"/>
  <c r="G3958" i="1"/>
  <c r="E3958" i="1"/>
  <c r="B3958" i="1"/>
  <c r="A3958" i="1"/>
  <c r="H3957" i="1"/>
  <c r="G3957" i="1"/>
  <c r="E3957" i="1"/>
  <c r="B3957" i="1"/>
  <c r="A3957" i="1"/>
  <c r="H3956" i="1"/>
  <c r="G3956" i="1"/>
  <c r="E3956" i="1"/>
  <c r="B3956" i="1"/>
  <c r="A3956" i="1"/>
  <c r="H3955" i="1"/>
  <c r="G3955" i="1"/>
  <c r="E3955" i="1"/>
  <c r="B3955" i="1"/>
  <c r="A3955" i="1"/>
  <c r="H3954" i="1"/>
  <c r="G3954" i="1"/>
  <c r="E3954" i="1"/>
  <c r="B3954" i="1"/>
  <c r="A3954" i="1"/>
  <c r="H3953" i="1"/>
  <c r="G3953" i="1"/>
  <c r="E3953" i="1"/>
  <c r="B3953" i="1"/>
  <c r="A3953" i="1"/>
  <c r="H3952" i="1"/>
  <c r="G3952" i="1"/>
  <c r="E3952" i="1"/>
  <c r="B3952" i="1"/>
  <c r="A3952" i="1"/>
  <c r="H3951" i="1"/>
  <c r="G3951" i="1"/>
  <c r="E3951" i="1"/>
  <c r="B3951" i="1"/>
  <c r="A3951" i="1"/>
  <c r="H3950" i="1"/>
  <c r="G3950" i="1"/>
  <c r="E3950" i="1"/>
  <c r="B3950" i="1"/>
  <c r="A3950" i="1"/>
  <c r="H3949" i="1"/>
  <c r="G3949" i="1"/>
  <c r="E3949" i="1"/>
  <c r="B3949" i="1"/>
  <c r="A3949" i="1"/>
  <c r="H3948" i="1"/>
  <c r="G3948" i="1"/>
  <c r="E3948" i="1"/>
  <c r="B3948" i="1"/>
  <c r="A3948" i="1"/>
  <c r="H3947" i="1"/>
  <c r="G3947" i="1"/>
  <c r="E3947" i="1"/>
  <c r="B3947" i="1"/>
  <c r="A3947" i="1"/>
  <c r="H3946" i="1"/>
  <c r="G3946" i="1"/>
  <c r="E3946" i="1"/>
  <c r="B3946" i="1"/>
  <c r="A3946" i="1"/>
  <c r="H3945" i="1"/>
  <c r="G3945" i="1"/>
  <c r="E3945" i="1"/>
  <c r="B3945" i="1"/>
  <c r="A3945" i="1"/>
  <c r="H3944" i="1"/>
  <c r="G3944" i="1"/>
  <c r="E3944" i="1"/>
  <c r="B3944" i="1"/>
  <c r="A3944" i="1"/>
  <c r="H3943" i="1"/>
  <c r="G3943" i="1"/>
  <c r="E3943" i="1"/>
  <c r="B3943" i="1"/>
  <c r="A3943" i="1"/>
  <c r="H3942" i="1"/>
  <c r="G3942" i="1"/>
  <c r="E3942" i="1"/>
  <c r="B3942" i="1"/>
  <c r="A3942" i="1"/>
  <c r="H3941" i="1"/>
  <c r="G3941" i="1"/>
  <c r="E3941" i="1"/>
  <c r="B3941" i="1"/>
  <c r="A3941" i="1"/>
  <c r="H3940" i="1"/>
  <c r="G3940" i="1"/>
  <c r="E3940" i="1"/>
  <c r="B3940" i="1"/>
  <c r="A3940" i="1"/>
  <c r="H3939" i="1"/>
  <c r="G3939" i="1"/>
  <c r="E3939" i="1"/>
  <c r="B3939" i="1"/>
  <c r="A3939" i="1"/>
  <c r="H3938" i="1"/>
  <c r="G3938" i="1"/>
  <c r="E3938" i="1"/>
  <c r="B3938" i="1"/>
  <c r="A3938" i="1"/>
  <c r="H3937" i="1"/>
  <c r="G3937" i="1"/>
  <c r="E3937" i="1"/>
  <c r="B3937" i="1"/>
  <c r="A3937" i="1"/>
  <c r="H3936" i="1"/>
  <c r="G3936" i="1"/>
  <c r="E3936" i="1"/>
  <c r="B3936" i="1"/>
  <c r="A3936" i="1"/>
  <c r="H3935" i="1"/>
  <c r="G3935" i="1"/>
  <c r="E3935" i="1"/>
  <c r="B3935" i="1"/>
  <c r="A3935" i="1"/>
  <c r="H3934" i="1"/>
  <c r="G3934" i="1"/>
  <c r="E3934" i="1"/>
  <c r="B3934" i="1"/>
  <c r="A3934" i="1"/>
  <c r="H3933" i="1"/>
  <c r="G3933" i="1"/>
  <c r="E3933" i="1"/>
  <c r="B3933" i="1"/>
  <c r="A3933" i="1"/>
  <c r="H3932" i="1"/>
  <c r="G3932" i="1"/>
  <c r="E3932" i="1"/>
  <c r="B3932" i="1"/>
  <c r="A3932" i="1"/>
  <c r="H3931" i="1"/>
  <c r="G3931" i="1"/>
  <c r="E3931" i="1"/>
  <c r="B3931" i="1"/>
  <c r="A3931" i="1"/>
  <c r="H3930" i="1"/>
  <c r="G3930" i="1"/>
  <c r="E3930" i="1"/>
  <c r="B3930" i="1"/>
  <c r="A3930" i="1"/>
  <c r="H3929" i="1"/>
  <c r="G3929" i="1"/>
  <c r="E3929" i="1"/>
  <c r="B3929" i="1"/>
  <c r="A3929" i="1"/>
  <c r="H3928" i="1"/>
  <c r="G3928" i="1"/>
  <c r="E3928" i="1"/>
  <c r="B3928" i="1"/>
  <c r="A3928" i="1"/>
  <c r="H3927" i="1"/>
  <c r="G3927" i="1"/>
  <c r="E3927" i="1"/>
  <c r="B3927" i="1"/>
  <c r="A3927" i="1"/>
  <c r="H3926" i="1"/>
  <c r="G3926" i="1"/>
  <c r="E3926" i="1"/>
  <c r="B3926" i="1"/>
  <c r="A3926" i="1"/>
  <c r="H3925" i="1"/>
  <c r="G3925" i="1"/>
  <c r="E3925" i="1"/>
  <c r="B3925" i="1"/>
  <c r="A3925" i="1"/>
  <c r="H3924" i="1"/>
  <c r="G3924" i="1"/>
  <c r="E3924" i="1"/>
  <c r="B3924" i="1"/>
  <c r="A3924" i="1"/>
  <c r="H3923" i="1"/>
  <c r="G3923" i="1"/>
  <c r="E3923" i="1"/>
  <c r="B3923" i="1"/>
  <c r="A3923" i="1"/>
  <c r="H3922" i="1"/>
  <c r="G3922" i="1"/>
  <c r="E3922" i="1"/>
  <c r="B3922" i="1"/>
  <c r="A3922" i="1"/>
  <c r="H3921" i="1"/>
  <c r="G3921" i="1"/>
  <c r="E3921" i="1"/>
  <c r="B3921" i="1"/>
  <c r="A3921" i="1"/>
  <c r="H3920" i="1"/>
  <c r="G3920" i="1"/>
  <c r="E3920" i="1"/>
  <c r="B3920" i="1"/>
  <c r="A3920" i="1"/>
  <c r="H3919" i="1"/>
  <c r="G3919" i="1"/>
  <c r="E3919" i="1"/>
  <c r="B3919" i="1"/>
  <c r="A3919" i="1"/>
  <c r="H3918" i="1"/>
  <c r="G3918" i="1"/>
  <c r="E3918" i="1"/>
  <c r="B3918" i="1"/>
  <c r="A3918" i="1"/>
  <c r="H3917" i="1"/>
  <c r="G3917" i="1"/>
  <c r="E3917" i="1"/>
  <c r="B3917" i="1"/>
  <c r="A3917" i="1"/>
  <c r="H3916" i="1"/>
  <c r="G3916" i="1"/>
  <c r="E3916" i="1"/>
  <c r="B3916" i="1"/>
  <c r="A3916" i="1"/>
  <c r="H3915" i="1"/>
  <c r="G3915" i="1"/>
  <c r="E3915" i="1"/>
  <c r="B3915" i="1"/>
  <c r="A3915" i="1"/>
  <c r="H3914" i="1"/>
  <c r="G3914" i="1"/>
  <c r="E3914" i="1"/>
  <c r="B3914" i="1"/>
  <c r="A3914" i="1"/>
  <c r="H3913" i="1"/>
  <c r="G3913" i="1"/>
  <c r="E3913" i="1"/>
  <c r="B3913" i="1"/>
  <c r="A3913" i="1"/>
  <c r="H3912" i="1"/>
  <c r="G3912" i="1"/>
  <c r="E3912" i="1"/>
  <c r="B3912" i="1"/>
  <c r="A3912" i="1"/>
  <c r="H3911" i="1"/>
  <c r="G3911" i="1"/>
  <c r="E3911" i="1"/>
  <c r="B3911" i="1"/>
  <c r="A3911" i="1"/>
  <c r="H3910" i="1"/>
  <c r="G3910" i="1"/>
  <c r="E3910" i="1"/>
  <c r="B3910" i="1"/>
  <c r="A3910" i="1"/>
  <c r="H3909" i="1"/>
  <c r="G3909" i="1"/>
  <c r="E3909" i="1"/>
  <c r="B3909" i="1"/>
  <c r="A3909" i="1"/>
  <c r="H3908" i="1"/>
  <c r="G3908" i="1"/>
  <c r="E3908" i="1"/>
  <c r="B3908" i="1"/>
  <c r="A3908" i="1"/>
  <c r="H3907" i="1"/>
  <c r="G3907" i="1"/>
  <c r="E3907" i="1"/>
  <c r="B3907" i="1"/>
  <c r="A3907" i="1"/>
  <c r="H3906" i="1"/>
  <c r="G3906" i="1"/>
  <c r="E3906" i="1"/>
  <c r="B3906" i="1"/>
  <c r="A3906" i="1"/>
  <c r="H3905" i="1"/>
  <c r="G3905" i="1"/>
  <c r="E3905" i="1"/>
  <c r="B3905" i="1"/>
  <c r="A3905" i="1"/>
  <c r="H3904" i="1"/>
  <c r="G3904" i="1"/>
  <c r="E3904" i="1"/>
  <c r="B3904" i="1"/>
  <c r="A3904" i="1"/>
  <c r="H3903" i="1"/>
  <c r="G3903" i="1"/>
  <c r="E3903" i="1"/>
  <c r="B3903" i="1"/>
  <c r="A3903" i="1"/>
  <c r="H3902" i="1"/>
  <c r="G3902" i="1"/>
  <c r="E3902" i="1"/>
  <c r="B3902" i="1"/>
  <c r="A3902" i="1"/>
  <c r="H3901" i="1"/>
  <c r="G3901" i="1"/>
  <c r="E3901" i="1"/>
  <c r="B3901" i="1"/>
  <c r="A3901" i="1"/>
  <c r="H3900" i="1"/>
  <c r="G3900" i="1"/>
  <c r="E3900" i="1"/>
  <c r="B3900" i="1"/>
  <c r="A3900" i="1"/>
  <c r="H3899" i="1"/>
  <c r="G3899" i="1"/>
  <c r="E3899" i="1"/>
  <c r="B3899" i="1"/>
  <c r="A3899" i="1"/>
  <c r="H3898" i="1"/>
  <c r="G3898" i="1"/>
  <c r="E3898" i="1"/>
  <c r="B3898" i="1"/>
  <c r="A3898" i="1"/>
  <c r="H3897" i="1"/>
  <c r="G3897" i="1"/>
  <c r="E3897" i="1"/>
  <c r="B3897" i="1"/>
  <c r="A3897" i="1"/>
  <c r="H3896" i="1"/>
  <c r="G3896" i="1"/>
  <c r="E3896" i="1"/>
  <c r="B3896" i="1"/>
  <c r="A3896" i="1"/>
  <c r="H3895" i="1"/>
  <c r="G3895" i="1"/>
  <c r="E3895" i="1"/>
  <c r="B3895" i="1"/>
  <c r="A3895" i="1"/>
  <c r="H3894" i="1"/>
  <c r="G3894" i="1"/>
  <c r="E3894" i="1"/>
  <c r="B3894" i="1"/>
  <c r="A3894" i="1"/>
  <c r="H3893" i="1"/>
  <c r="G3893" i="1"/>
  <c r="E3893" i="1"/>
  <c r="B3893" i="1"/>
  <c r="A3893" i="1"/>
  <c r="H3892" i="1"/>
  <c r="G3892" i="1"/>
  <c r="E3892" i="1"/>
  <c r="B3892" i="1"/>
  <c r="A3892" i="1"/>
  <c r="H3891" i="1"/>
  <c r="G3891" i="1"/>
  <c r="E3891" i="1"/>
  <c r="B3891" i="1"/>
  <c r="A3891" i="1"/>
  <c r="H3890" i="1"/>
  <c r="G3890" i="1"/>
  <c r="E3890" i="1"/>
  <c r="B3890" i="1"/>
  <c r="A3890" i="1"/>
  <c r="H3889" i="1"/>
  <c r="G3889" i="1"/>
  <c r="E3889" i="1"/>
  <c r="B3889" i="1"/>
  <c r="A3889" i="1"/>
  <c r="H3888" i="1"/>
  <c r="G3888" i="1"/>
  <c r="E3888" i="1"/>
  <c r="B3888" i="1"/>
  <c r="A3888" i="1"/>
  <c r="H3887" i="1"/>
  <c r="G3887" i="1"/>
  <c r="E3887" i="1"/>
  <c r="B3887" i="1"/>
  <c r="A3887" i="1"/>
  <c r="H3886" i="1"/>
  <c r="G3886" i="1"/>
  <c r="E3886" i="1"/>
  <c r="B3886" i="1"/>
  <c r="A3886" i="1"/>
  <c r="H3885" i="1"/>
  <c r="G3885" i="1"/>
  <c r="E3885" i="1"/>
  <c r="B3885" i="1"/>
  <c r="A3885" i="1"/>
  <c r="H3884" i="1"/>
  <c r="G3884" i="1"/>
  <c r="E3884" i="1"/>
  <c r="B3884" i="1"/>
  <c r="A3884" i="1"/>
  <c r="H3883" i="1"/>
  <c r="G3883" i="1"/>
  <c r="E3883" i="1"/>
  <c r="B3883" i="1"/>
  <c r="A3883" i="1"/>
  <c r="H3882" i="1"/>
  <c r="G3882" i="1"/>
  <c r="E3882" i="1"/>
  <c r="B3882" i="1"/>
  <c r="A3882" i="1"/>
  <c r="H3881" i="1"/>
  <c r="G3881" i="1"/>
  <c r="E3881" i="1"/>
  <c r="B3881" i="1"/>
  <c r="A3881" i="1"/>
  <c r="H3880" i="1"/>
  <c r="G3880" i="1"/>
  <c r="E3880" i="1"/>
  <c r="B3880" i="1"/>
  <c r="A3880" i="1"/>
  <c r="H3879" i="1"/>
  <c r="G3879" i="1"/>
  <c r="E3879" i="1"/>
  <c r="B3879" i="1"/>
  <c r="A3879" i="1"/>
  <c r="H3878" i="1"/>
  <c r="G3878" i="1"/>
  <c r="E3878" i="1"/>
  <c r="B3878" i="1"/>
  <c r="A3878" i="1"/>
  <c r="H3877" i="1"/>
  <c r="G3877" i="1"/>
  <c r="E3877" i="1"/>
  <c r="B3877" i="1"/>
  <c r="A3877" i="1"/>
  <c r="H3876" i="1"/>
  <c r="G3876" i="1"/>
  <c r="E3876" i="1"/>
  <c r="B3876" i="1"/>
  <c r="A3876" i="1"/>
  <c r="H3875" i="1"/>
  <c r="G3875" i="1"/>
  <c r="E3875" i="1"/>
  <c r="B3875" i="1"/>
  <c r="A3875" i="1"/>
  <c r="H3874" i="1"/>
  <c r="G3874" i="1"/>
  <c r="E3874" i="1"/>
  <c r="B3874" i="1"/>
  <c r="A3874" i="1"/>
  <c r="H3873" i="1"/>
  <c r="G3873" i="1"/>
  <c r="E3873" i="1"/>
  <c r="B3873" i="1"/>
  <c r="A3873" i="1"/>
  <c r="H3872" i="1"/>
  <c r="G3872" i="1"/>
  <c r="E3872" i="1"/>
  <c r="B3872" i="1"/>
  <c r="A3872" i="1"/>
  <c r="H3871" i="1"/>
  <c r="G3871" i="1"/>
  <c r="E3871" i="1"/>
  <c r="B3871" i="1"/>
  <c r="A3871" i="1"/>
  <c r="H3870" i="1"/>
  <c r="G3870" i="1"/>
  <c r="E3870" i="1"/>
  <c r="B3870" i="1"/>
  <c r="A3870" i="1"/>
  <c r="H3869" i="1"/>
  <c r="G3869" i="1"/>
  <c r="E3869" i="1"/>
  <c r="B3869" i="1"/>
  <c r="A3869" i="1"/>
  <c r="H3868" i="1"/>
  <c r="G3868" i="1"/>
  <c r="E3868" i="1"/>
  <c r="B3868" i="1"/>
  <c r="A3868" i="1"/>
  <c r="H3867" i="1"/>
  <c r="G3867" i="1"/>
  <c r="E3867" i="1"/>
  <c r="B3867" i="1"/>
  <c r="A3867" i="1"/>
  <c r="H3866" i="1"/>
  <c r="G3866" i="1"/>
  <c r="E3866" i="1"/>
  <c r="B3866" i="1"/>
  <c r="A3866" i="1"/>
  <c r="H3865" i="1"/>
  <c r="G3865" i="1"/>
  <c r="E3865" i="1"/>
  <c r="B3865" i="1"/>
  <c r="A3865" i="1"/>
  <c r="H3864" i="1"/>
  <c r="G3864" i="1"/>
  <c r="B3864" i="1"/>
  <c r="A3864" i="1"/>
  <c r="H3863" i="1"/>
  <c r="G3863" i="1"/>
  <c r="E3863" i="1"/>
  <c r="B3863" i="1"/>
  <c r="A3863" i="1"/>
  <c r="H3862" i="1"/>
  <c r="G3862" i="1"/>
  <c r="E3862" i="1"/>
  <c r="B3862" i="1"/>
  <c r="A3862" i="1"/>
  <c r="H3861" i="1"/>
  <c r="G3861" i="1"/>
  <c r="E3861" i="1"/>
  <c r="B3861" i="1"/>
  <c r="A3861" i="1"/>
  <c r="H3860" i="1"/>
  <c r="G3860" i="1"/>
  <c r="E3860" i="1"/>
  <c r="B3860" i="1"/>
  <c r="A3860" i="1"/>
  <c r="H3859" i="1"/>
  <c r="G3859" i="1"/>
  <c r="E3859" i="1"/>
  <c r="B3859" i="1"/>
  <c r="A3859" i="1"/>
  <c r="H3858" i="1"/>
  <c r="G3858" i="1"/>
  <c r="E3858" i="1"/>
  <c r="B3858" i="1"/>
  <c r="A3858" i="1"/>
  <c r="H3857" i="1"/>
  <c r="G3857" i="1"/>
  <c r="E3857" i="1"/>
  <c r="B3857" i="1"/>
  <c r="A3857" i="1"/>
  <c r="H3856" i="1"/>
  <c r="G3856" i="1"/>
  <c r="E3856" i="1"/>
  <c r="B3856" i="1"/>
  <c r="A3856" i="1"/>
  <c r="H3855" i="1"/>
  <c r="G3855" i="1"/>
  <c r="E3855" i="1"/>
  <c r="B3855" i="1"/>
  <c r="A3855" i="1"/>
  <c r="H3854" i="1"/>
  <c r="G3854" i="1"/>
  <c r="E3854" i="1"/>
  <c r="B3854" i="1"/>
  <c r="A3854" i="1"/>
  <c r="H3853" i="1"/>
  <c r="G3853" i="1"/>
  <c r="E3853" i="1"/>
  <c r="B3853" i="1"/>
  <c r="A3853" i="1"/>
  <c r="H3852" i="1"/>
  <c r="G3852" i="1"/>
  <c r="E3852" i="1"/>
  <c r="B3852" i="1"/>
  <c r="A3852" i="1"/>
  <c r="H3851" i="1"/>
  <c r="G3851" i="1"/>
  <c r="E3851" i="1"/>
  <c r="B3851" i="1"/>
  <c r="A3851" i="1"/>
  <c r="H3850" i="1"/>
  <c r="G3850" i="1"/>
  <c r="E3850" i="1"/>
  <c r="B3850" i="1"/>
  <c r="A3850" i="1"/>
  <c r="H3849" i="1"/>
  <c r="G3849" i="1"/>
  <c r="E3849" i="1"/>
  <c r="B3849" i="1"/>
  <c r="A3849" i="1"/>
  <c r="H3848" i="1"/>
  <c r="G3848" i="1"/>
  <c r="E3848" i="1"/>
  <c r="B3848" i="1"/>
  <c r="A3848" i="1"/>
  <c r="H3847" i="1"/>
  <c r="G3847" i="1"/>
  <c r="E3847" i="1"/>
  <c r="B3847" i="1"/>
  <c r="A3847" i="1"/>
  <c r="H3846" i="1"/>
  <c r="G3846" i="1"/>
  <c r="E3846" i="1"/>
  <c r="B3846" i="1"/>
  <c r="A3846" i="1"/>
  <c r="H3845" i="1"/>
  <c r="G3845" i="1"/>
  <c r="E3845" i="1"/>
  <c r="B3845" i="1"/>
  <c r="A3845" i="1"/>
  <c r="H3844" i="1"/>
  <c r="G3844" i="1"/>
  <c r="E3844" i="1"/>
  <c r="B3844" i="1"/>
  <c r="A3844" i="1"/>
  <c r="H3843" i="1"/>
  <c r="G3843" i="1"/>
  <c r="E3843" i="1"/>
  <c r="B3843" i="1"/>
  <c r="A3843" i="1"/>
  <c r="H3842" i="1"/>
  <c r="G3842" i="1"/>
  <c r="E3842" i="1"/>
  <c r="B3842" i="1"/>
  <c r="A3842" i="1"/>
  <c r="H3841" i="1"/>
  <c r="G3841" i="1"/>
  <c r="E3841" i="1"/>
  <c r="B3841" i="1"/>
  <c r="A3841" i="1"/>
  <c r="H3840" i="1"/>
  <c r="G3840" i="1"/>
  <c r="E3840" i="1"/>
  <c r="B3840" i="1"/>
  <c r="A3840" i="1"/>
  <c r="H3839" i="1"/>
  <c r="G3839" i="1"/>
  <c r="E3839" i="1"/>
  <c r="B3839" i="1"/>
  <c r="A3839" i="1"/>
  <c r="H3838" i="1"/>
  <c r="G3838" i="1"/>
  <c r="E3838" i="1"/>
  <c r="B3838" i="1"/>
  <c r="A3838" i="1"/>
  <c r="H3837" i="1"/>
  <c r="G3837" i="1"/>
  <c r="E3837" i="1"/>
  <c r="B3837" i="1"/>
  <c r="A3837" i="1"/>
  <c r="H3836" i="1"/>
  <c r="G3836" i="1"/>
  <c r="E3836" i="1"/>
  <c r="B3836" i="1"/>
  <c r="A3836" i="1"/>
  <c r="H3835" i="1"/>
  <c r="G3835" i="1"/>
  <c r="E3835" i="1"/>
  <c r="B3835" i="1"/>
  <c r="A3835" i="1"/>
  <c r="H3834" i="1"/>
  <c r="G3834" i="1"/>
  <c r="E3834" i="1"/>
  <c r="B3834" i="1"/>
  <c r="A3834" i="1"/>
  <c r="H3833" i="1"/>
  <c r="G3833" i="1"/>
  <c r="E3833" i="1"/>
  <c r="B3833" i="1"/>
  <c r="A3833" i="1"/>
  <c r="H3832" i="1"/>
  <c r="G3832" i="1"/>
  <c r="E3832" i="1"/>
  <c r="B3832" i="1"/>
  <c r="A3832" i="1"/>
  <c r="H3831" i="1"/>
  <c r="G3831" i="1"/>
  <c r="E3831" i="1"/>
  <c r="B3831" i="1"/>
  <c r="A3831" i="1"/>
  <c r="H3830" i="1"/>
  <c r="G3830" i="1"/>
  <c r="E3830" i="1"/>
  <c r="B3830" i="1"/>
  <c r="A3830" i="1"/>
  <c r="H3829" i="1"/>
  <c r="G3829" i="1"/>
  <c r="E3829" i="1"/>
  <c r="B3829" i="1"/>
  <c r="A3829" i="1"/>
  <c r="H3828" i="1"/>
  <c r="G3828" i="1"/>
  <c r="E3828" i="1"/>
  <c r="B3828" i="1"/>
  <c r="A3828" i="1"/>
  <c r="H3827" i="1"/>
  <c r="G3827" i="1"/>
  <c r="E3827" i="1"/>
  <c r="B3827" i="1"/>
  <c r="A3827" i="1"/>
  <c r="H3826" i="1"/>
  <c r="G3826" i="1"/>
  <c r="E3826" i="1"/>
  <c r="B3826" i="1"/>
  <c r="A3826" i="1"/>
  <c r="H3825" i="1"/>
  <c r="G3825" i="1"/>
  <c r="E3825" i="1"/>
  <c r="B3825" i="1"/>
  <c r="A3825" i="1"/>
  <c r="H3824" i="1"/>
  <c r="G3824" i="1"/>
  <c r="E3824" i="1"/>
  <c r="B3824" i="1"/>
  <c r="A3824" i="1"/>
  <c r="H3823" i="1"/>
  <c r="G3823" i="1"/>
  <c r="E3823" i="1"/>
  <c r="B3823" i="1"/>
  <c r="A3823" i="1"/>
  <c r="H3822" i="1"/>
  <c r="G3822" i="1"/>
  <c r="E3822" i="1"/>
  <c r="B3822" i="1"/>
  <c r="A3822" i="1"/>
  <c r="H3821" i="1"/>
  <c r="G3821" i="1"/>
  <c r="E3821" i="1"/>
  <c r="B3821" i="1"/>
  <c r="A3821" i="1"/>
  <c r="H3820" i="1"/>
  <c r="G3820" i="1"/>
  <c r="E3820" i="1"/>
  <c r="B3820" i="1"/>
  <c r="A3820" i="1"/>
  <c r="H3819" i="1"/>
  <c r="G3819" i="1"/>
  <c r="E3819" i="1"/>
  <c r="B3819" i="1"/>
  <c r="A3819" i="1"/>
  <c r="H3818" i="1"/>
  <c r="G3818" i="1"/>
  <c r="E3818" i="1"/>
  <c r="B3818" i="1"/>
  <c r="A3818" i="1"/>
  <c r="H3817" i="1"/>
  <c r="G3817" i="1"/>
  <c r="E3817" i="1"/>
  <c r="B3817" i="1"/>
  <c r="A3817" i="1"/>
  <c r="H3816" i="1"/>
  <c r="G3816" i="1"/>
  <c r="E3816" i="1"/>
  <c r="B3816" i="1"/>
  <c r="A3816" i="1"/>
  <c r="H3815" i="1"/>
  <c r="G3815" i="1"/>
  <c r="E3815" i="1"/>
  <c r="B3815" i="1"/>
  <c r="A3815" i="1"/>
  <c r="H3814" i="1"/>
  <c r="G3814" i="1"/>
  <c r="E3814" i="1"/>
  <c r="B3814" i="1"/>
  <c r="A3814" i="1"/>
  <c r="H3813" i="1"/>
  <c r="G3813" i="1"/>
  <c r="E3813" i="1"/>
  <c r="B3813" i="1"/>
  <c r="A3813" i="1"/>
  <c r="H3812" i="1"/>
  <c r="G3812" i="1"/>
  <c r="E3812" i="1"/>
  <c r="B3812" i="1"/>
  <c r="A3812" i="1"/>
  <c r="H3811" i="1"/>
  <c r="G3811" i="1"/>
  <c r="E3811" i="1"/>
  <c r="B3811" i="1"/>
  <c r="A3811" i="1"/>
  <c r="H3810" i="1"/>
  <c r="G3810" i="1"/>
  <c r="E3810" i="1"/>
  <c r="B3810" i="1"/>
  <c r="A3810" i="1"/>
  <c r="H3809" i="1"/>
  <c r="G3809" i="1"/>
  <c r="E3809" i="1"/>
  <c r="B3809" i="1"/>
  <c r="A3809" i="1"/>
  <c r="H3808" i="1"/>
  <c r="G3808" i="1"/>
  <c r="E3808" i="1"/>
  <c r="B3808" i="1"/>
  <c r="A3808" i="1"/>
  <c r="H3807" i="1"/>
  <c r="G3807" i="1"/>
  <c r="E3807" i="1"/>
  <c r="B3807" i="1"/>
  <c r="A3807" i="1"/>
  <c r="H3806" i="1"/>
  <c r="G3806" i="1"/>
  <c r="E3806" i="1"/>
  <c r="B3806" i="1"/>
  <c r="A3806" i="1"/>
  <c r="H3805" i="1"/>
  <c r="G3805" i="1"/>
  <c r="E3805" i="1"/>
  <c r="B3805" i="1"/>
  <c r="A3805" i="1"/>
  <c r="H3804" i="1"/>
  <c r="G3804" i="1"/>
  <c r="E3804" i="1"/>
  <c r="B3804" i="1"/>
  <c r="A3804" i="1"/>
  <c r="H3803" i="1"/>
  <c r="G3803" i="1"/>
  <c r="E3803" i="1"/>
  <c r="B3803" i="1"/>
  <c r="A3803" i="1"/>
  <c r="H3802" i="1"/>
  <c r="G3802" i="1"/>
  <c r="E3802" i="1"/>
  <c r="B3802" i="1"/>
  <c r="A3802" i="1"/>
  <c r="H3801" i="1"/>
  <c r="G3801" i="1"/>
  <c r="E3801" i="1"/>
  <c r="B3801" i="1"/>
  <c r="A3801" i="1"/>
  <c r="H3800" i="1"/>
  <c r="G3800" i="1"/>
  <c r="E3800" i="1"/>
  <c r="B3800" i="1"/>
  <c r="A3800" i="1"/>
  <c r="H3799" i="1"/>
  <c r="G3799" i="1"/>
  <c r="E3799" i="1"/>
  <c r="B3799" i="1"/>
  <c r="A3799" i="1"/>
  <c r="H3798" i="1"/>
  <c r="G3798" i="1"/>
  <c r="E3798" i="1"/>
  <c r="B3798" i="1"/>
  <c r="A3798" i="1"/>
  <c r="H3797" i="1"/>
  <c r="G3797" i="1"/>
  <c r="E3797" i="1"/>
  <c r="B3797" i="1"/>
  <c r="A3797" i="1"/>
  <c r="H3796" i="1"/>
  <c r="G3796" i="1"/>
  <c r="E3796" i="1"/>
  <c r="B3796" i="1"/>
  <c r="A3796" i="1"/>
  <c r="H3795" i="1"/>
  <c r="G3795" i="1"/>
  <c r="E3795" i="1"/>
  <c r="B3795" i="1"/>
  <c r="A3795" i="1"/>
  <c r="H3794" i="1"/>
  <c r="G3794" i="1"/>
  <c r="E3794" i="1"/>
  <c r="B3794" i="1"/>
  <c r="A3794" i="1"/>
  <c r="H3793" i="1"/>
  <c r="G3793" i="1"/>
  <c r="E3793" i="1"/>
  <c r="B3793" i="1"/>
  <c r="A3793" i="1"/>
  <c r="H3792" i="1"/>
  <c r="G3792" i="1"/>
  <c r="E3792" i="1"/>
  <c r="B3792" i="1"/>
  <c r="A3792" i="1"/>
  <c r="H3791" i="1"/>
  <c r="G3791" i="1"/>
  <c r="E3791" i="1"/>
  <c r="B3791" i="1"/>
  <c r="A3791" i="1"/>
  <c r="H3790" i="1"/>
  <c r="G3790" i="1"/>
  <c r="E3790" i="1"/>
  <c r="B3790" i="1"/>
  <c r="A3790" i="1"/>
  <c r="H3789" i="1"/>
  <c r="G3789" i="1"/>
  <c r="E3789" i="1"/>
  <c r="B3789" i="1"/>
  <c r="A3789" i="1"/>
  <c r="H3788" i="1"/>
  <c r="G3788" i="1"/>
  <c r="E3788" i="1"/>
  <c r="B3788" i="1"/>
  <c r="A3788" i="1"/>
  <c r="H3787" i="1"/>
  <c r="G3787" i="1"/>
  <c r="E3787" i="1"/>
  <c r="B3787" i="1"/>
  <c r="A3787" i="1"/>
  <c r="H3786" i="1"/>
  <c r="G3786" i="1"/>
  <c r="E3786" i="1"/>
  <c r="B3786" i="1"/>
  <c r="A3786" i="1"/>
  <c r="H3785" i="1"/>
  <c r="G3785" i="1"/>
  <c r="E3785" i="1"/>
  <c r="B3785" i="1"/>
  <c r="A3785" i="1"/>
  <c r="H3784" i="1"/>
  <c r="G3784" i="1"/>
  <c r="E3784" i="1"/>
  <c r="B3784" i="1"/>
  <c r="A3784" i="1"/>
  <c r="H3783" i="1"/>
  <c r="G3783" i="1"/>
  <c r="E3783" i="1"/>
  <c r="B3783" i="1"/>
  <c r="A3783" i="1"/>
  <c r="H3782" i="1"/>
  <c r="G3782" i="1"/>
  <c r="E3782" i="1"/>
  <c r="B3782" i="1"/>
  <c r="A3782" i="1"/>
  <c r="H3781" i="1"/>
  <c r="G3781" i="1"/>
  <c r="E3781" i="1"/>
  <c r="B3781" i="1"/>
  <c r="A3781" i="1"/>
  <c r="H3780" i="1"/>
  <c r="G3780" i="1"/>
  <c r="E3780" i="1"/>
  <c r="B3780" i="1"/>
  <c r="A3780" i="1"/>
  <c r="H3779" i="1"/>
  <c r="G3779" i="1"/>
  <c r="E3779" i="1"/>
  <c r="B3779" i="1"/>
  <c r="A3779" i="1"/>
  <c r="H3778" i="1"/>
  <c r="G3778" i="1"/>
  <c r="E3778" i="1"/>
  <c r="B3778" i="1"/>
  <c r="A3778" i="1"/>
  <c r="H3777" i="1"/>
  <c r="G3777" i="1"/>
  <c r="E3777" i="1"/>
  <c r="B3777" i="1"/>
  <c r="A3777" i="1"/>
  <c r="H3776" i="1"/>
  <c r="G3776" i="1"/>
  <c r="E3776" i="1"/>
  <c r="B3776" i="1"/>
  <c r="A3776" i="1"/>
  <c r="H3775" i="1"/>
  <c r="G3775" i="1"/>
  <c r="E3775" i="1"/>
  <c r="B3775" i="1"/>
  <c r="A3775" i="1"/>
  <c r="H3774" i="1"/>
  <c r="G3774" i="1"/>
  <c r="E3774" i="1"/>
  <c r="B3774" i="1"/>
  <c r="A3774" i="1"/>
  <c r="H3773" i="1"/>
  <c r="G3773" i="1"/>
  <c r="E3773" i="1"/>
  <c r="B3773" i="1"/>
  <c r="A3773" i="1"/>
  <c r="H3772" i="1"/>
  <c r="G3772" i="1"/>
  <c r="B3772" i="1"/>
  <c r="A3772" i="1"/>
  <c r="H3771" i="1"/>
  <c r="G3771" i="1"/>
  <c r="B3771" i="1"/>
  <c r="A3771" i="1"/>
  <c r="H3770" i="1"/>
  <c r="G3770" i="1"/>
  <c r="E3770" i="1"/>
  <c r="B3770" i="1"/>
  <c r="A3770" i="1"/>
  <c r="H3769" i="1"/>
  <c r="G3769" i="1"/>
  <c r="E3769" i="1"/>
  <c r="B3769" i="1"/>
  <c r="A3769" i="1"/>
  <c r="H3768" i="1"/>
  <c r="G3768" i="1"/>
  <c r="E3768" i="1"/>
  <c r="B3768" i="1"/>
  <c r="A3768" i="1"/>
  <c r="H3767" i="1"/>
  <c r="G3767" i="1"/>
  <c r="E3767" i="1"/>
  <c r="B3767" i="1"/>
  <c r="A3767" i="1"/>
  <c r="H3766" i="1"/>
  <c r="G3766" i="1"/>
  <c r="E3766" i="1"/>
  <c r="B3766" i="1"/>
  <c r="A3766" i="1"/>
  <c r="H3765" i="1"/>
  <c r="G3765" i="1"/>
  <c r="E3765" i="1"/>
  <c r="B3765" i="1"/>
  <c r="A3765" i="1"/>
  <c r="H3764" i="1"/>
  <c r="G3764" i="1"/>
  <c r="E3764" i="1"/>
  <c r="B3764" i="1"/>
  <c r="A3764" i="1"/>
  <c r="H3763" i="1"/>
  <c r="G3763" i="1"/>
  <c r="E3763" i="1"/>
  <c r="B3763" i="1"/>
  <c r="A3763" i="1"/>
  <c r="H3762" i="1"/>
  <c r="G3762" i="1"/>
  <c r="E3762" i="1"/>
  <c r="B3762" i="1"/>
  <c r="A3762" i="1"/>
  <c r="H3761" i="1"/>
  <c r="G3761" i="1"/>
  <c r="E3761" i="1"/>
  <c r="B3761" i="1"/>
  <c r="A3761" i="1"/>
  <c r="H3760" i="1"/>
  <c r="G3760" i="1"/>
  <c r="E3760" i="1"/>
  <c r="B3760" i="1"/>
  <c r="A3760" i="1"/>
  <c r="H3759" i="1"/>
  <c r="G3759" i="1"/>
  <c r="E3759" i="1"/>
  <c r="B3759" i="1"/>
  <c r="A3759" i="1"/>
  <c r="H3758" i="1"/>
  <c r="G3758" i="1"/>
  <c r="E3758" i="1"/>
  <c r="B3758" i="1"/>
  <c r="A3758" i="1"/>
  <c r="H3757" i="1"/>
  <c r="G3757" i="1"/>
  <c r="E3757" i="1"/>
  <c r="B3757" i="1"/>
  <c r="A3757" i="1"/>
  <c r="H3756" i="1"/>
  <c r="G3756" i="1"/>
  <c r="E3756" i="1"/>
  <c r="B3756" i="1"/>
  <c r="A3756" i="1"/>
  <c r="H3755" i="1"/>
  <c r="G3755" i="1"/>
  <c r="E3755" i="1"/>
  <c r="B3755" i="1"/>
  <c r="A3755" i="1"/>
  <c r="H3754" i="1"/>
  <c r="G3754" i="1"/>
  <c r="E3754" i="1"/>
  <c r="B3754" i="1"/>
  <c r="A3754" i="1"/>
  <c r="H3753" i="1"/>
  <c r="G3753" i="1"/>
  <c r="E3753" i="1"/>
  <c r="B3753" i="1"/>
  <c r="A3753" i="1"/>
  <c r="H3752" i="1"/>
  <c r="G3752" i="1"/>
  <c r="E3752" i="1"/>
  <c r="B3752" i="1"/>
  <c r="A3752" i="1"/>
  <c r="H3751" i="1"/>
  <c r="G3751" i="1"/>
  <c r="E3751" i="1"/>
  <c r="B3751" i="1"/>
  <c r="A3751" i="1"/>
  <c r="H3750" i="1"/>
  <c r="G3750" i="1"/>
  <c r="E3750" i="1"/>
  <c r="B3750" i="1"/>
  <c r="A3750" i="1"/>
  <c r="H3749" i="1"/>
  <c r="G3749" i="1"/>
  <c r="E3749" i="1"/>
  <c r="B3749" i="1"/>
  <c r="A3749" i="1"/>
  <c r="H3748" i="1"/>
  <c r="G3748" i="1"/>
  <c r="E3748" i="1"/>
  <c r="B3748" i="1"/>
  <c r="A3748" i="1"/>
  <c r="H3747" i="1"/>
  <c r="G3747" i="1"/>
  <c r="E3747" i="1"/>
  <c r="B3747" i="1"/>
  <c r="A3747" i="1"/>
  <c r="H3746" i="1"/>
  <c r="G3746" i="1"/>
  <c r="E3746" i="1"/>
  <c r="B3746" i="1"/>
  <c r="A3746" i="1"/>
  <c r="H3745" i="1"/>
  <c r="G3745" i="1"/>
  <c r="E3745" i="1"/>
  <c r="B3745" i="1"/>
  <c r="A3745" i="1"/>
  <c r="H3744" i="1"/>
  <c r="G3744" i="1"/>
  <c r="E3744" i="1"/>
  <c r="B3744" i="1"/>
  <c r="A3744" i="1"/>
  <c r="H3743" i="1"/>
  <c r="G3743" i="1"/>
  <c r="E3743" i="1"/>
  <c r="B3743" i="1"/>
  <c r="A3743" i="1"/>
  <c r="H3742" i="1"/>
  <c r="G3742" i="1"/>
  <c r="E3742" i="1"/>
  <c r="B3742" i="1"/>
  <c r="A3742" i="1"/>
  <c r="H3741" i="1"/>
  <c r="G3741" i="1"/>
  <c r="E3741" i="1"/>
  <c r="B3741" i="1"/>
  <c r="A3741" i="1"/>
  <c r="H3740" i="1"/>
  <c r="G3740" i="1"/>
  <c r="E3740" i="1"/>
  <c r="B3740" i="1"/>
  <c r="A3740" i="1"/>
  <c r="H3739" i="1"/>
  <c r="G3739" i="1"/>
  <c r="E3739" i="1"/>
  <c r="B3739" i="1"/>
  <c r="A3739" i="1"/>
  <c r="H3738" i="1"/>
  <c r="G3738" i="1"/>
  <c r="E3738" i="1"/>
  <c r="B3738" i="1"/>
  <c r="A3738" i="1"/>
  <c r="H3737" i="1"/>
  <c r="G3737" i="1"/>
  <c r="E3737" i="1"/>
  <c r="B3737" i="1"/>
  <c r="A3737" i="1"/>
  <c r="H3736" i="1"/>
  <c r="G3736" i="1"/>
  <c r="E3736" i="1"/>
  <c r="B3736" i="1"/>
  <c r="A3736" i="1"/>
  <c r="H3735" i="1"/>
  <c r="G3735" i="1"/>
  <c r="E3735" i="1"/>
  <c r="B3735" i="1"/>
  <c r="A3735" i="1"/>
  <c r="H3734" i="1"/>
  <c r="G3734" i="1"/>
  <c r="E3734" i="1"/>
  <c r="B3734" i="1"/>
  <c r="A3734" i="1"/>
  <c r="H3733" i="1"/>
  <c r="G3733" i="1"/>
  <c r="E3733" i="1"/>
  <c r="B3733" i="1"/>
  <c r="A3733" i="1"/>
  <c r="H3732" i="1"/>
  <c r="G3732" i="1"/>
  <c r="E3732" i="1"/>
  <c r="B3732" i="1"/>
  <c r="A3732" i="1"/>
  <c r="H3731" i="1"/>
  <c r="G3731" i="1"/>
  <c r="E3731" i="1"/>
  <c r="B3731" i="1"/>
  <c r="A3731" i="1"/>
  <c r="H3730" i="1"/>
  <c r="G3730" i="1"/>
  <c r="E3730" i="1"/>
  <c r="B3730" i="1"/>
  <c r="A3730" i="1"/>
  <c r="H3729" i="1"/>
  <c r="G3729" i="1"/>
  <c r="E3729" i="1"/>
  <c r="B3729" i="1"/>
  <c r="A3729" i="1"/>
  <c r="H3728" i="1"/>
  <c r="G3728" i="1"/>
  <c r="E3728" i="1"/>
  <c r="B3728" i="1"/>
  <c r="A3728" i="1"/>
  <c r="H3727" i="1"/>
  <c r="G3727" i="1"/>
  <c r="E3727" i="1"/>
  <c r="B3727" i="1"/>
  <c r="A3727" i="1"/>
  <c r="H3726" i="1"/>
  <c r="G3726" i="1"/>
  <c r="E3726" i="1"/>
  <c r="B3726" i="1"/>
  <c r="A3726" i="1"/>
  <c r="H3725" i="1"/>
  <c r="G3725" i="1"/>
  <c r="E3725" i="1"/>
  <c r="B3725" i="1"/>
  <c r="A3725" i="1"/>
  <c r="H3724" i="1"/>
  <c r="G3724" i="1"/>
  <c r="E3724" i="1"/>
  <c r="B3724" i="1"/>
  <c r="A3724" i="1"/>
  <c r="H3723" i="1"/>
  <c r="G3723" i="1"/>
  <c r="E3723" i="1"/>
  <c r="B3723" i="1"/>
  <c r="A3723" i="1"/>
  <c r="H3722" i="1"/>
  <c r="G3722" i="1"/>
  <c r="E3722" i="1"/>
  <c r="B3722" i="1"/>
  <c r="A3722" i="1"/>
  <c r="H3721" i="1"/>
  <c r="G3721" i="1"/>
  <c r="E3721" i="1"/>
  <c r="B3721" i="1"/>
  <c r="A3721" i="1"/>
  <c r="H3720" i="1"/>
  <c r="G3720" i="1"/>
  <c r="E3720" i="1"/>
  <c r="B3720" i="1"/>
  <c r="A3720" i="1"/>
  <c r="H3719" i="1"/>
  <c r="G3719" i="1"/>
  <c r="E3719" i="1"/>
  <c r="B3719" i="1"/>
  <c r="A3719" i="1"/>
  <c r="H3718" i="1"/>
  <c r="G3718" i="1"/>
  <c r="E3718" i="1"/>
  <c r="B3718" i="1"/>
  <c r="A3718" i="1"/>
  <c r="H3717" i="1"/>
  <c r="G3717" i="1"/>
  <c r="E3717" i="1"/>
  <c r="B3717" i="1"/>
  <c r="A3717" i="1"/>
  <c r="H3716" i="1"/>
  <c r="G3716" i="1"/>
  <c r="E3716" i="1"/>
  <c r="B3716" i="1"/>
  <c r="A3716" i="1"/>
  <c r="H3715" i="1"/>
  <c r="G3715" i="1"/>
  <c r="E3715" i="1"/>
  <c r="B3715" i="1"/>
  <c r="A3715" i="1"/>
  <c r="H3714" i="1"/>
  <c r="G3714" i="1"/>
  <c r="E3714" i="1"/>
  <c r="B3714" i="1"/>
  <c r="A3714" i="1"/>
  <c r="H3713" i="1"/>
  <c r="G3713" i="1"/>
  <c r="E3713" i="1"/>
  <c r="B3713" i="1"/>
  <c r="A3713" i="1"/>
  <c r="H3712" i="1"/>
  <c r="G3712" i="1"/>
  <c r="E3712" i="1"/>
  <c r="B3712" i="1"/>
  <c r="A3712" i="1"/>
  <c r="H3711" i="1"/>
  <c r="G3711" i="1"/>
  <c r="E3711" i="1"/>
  <c r="B3711" i="1"/>
  <c r="A3711" i="1"/>
  <c r="H3710" i="1"/>
  <c r="G3710" i="1"/>
  <c r="E3710" i="1"/>
  <c r="B3710" i="1"/>
  <c r="A3710" i="1"/>
  <c r="H3709" i="1"/>
  <c r="G3709" i="1"/>
  <c r="E3709" i="1"/>
  <c r="B3709" i="1"/>
  <c r="A3709" i="1"/>
  <c r="H3708" i="1"/>
  <c r="G3708" i="1"/>
  <c r="E3708" i="1"/>
  <c r="B3708" i="1"/>
  <c r="A3708" i="1"/>
  <c r="H3707" i="1"/>
  <c r="G3707" i="1"/>
  <c r="E3707" i="1"/>
  <c r="B3707" i="1"/>
  <c r="A3707" i="1"/>
  <c r="H3706" i="1"/>
  <c r="G3706" i="1"/>
  <c r="E3706" i="1"/>
  <c r="B3706" i="1"/>
  <c r="A3706" i="1"/>
  <c r="H3705" i="1"/>
  <c r="G3705" i="1"/>
  <c r="E3705" i="1"/>
  <c r="B3705" i="1"/>
  <c r="A3705" i="1"/>
  <c r="H3704" i="1"/>
  <c r="G3704" i="1"/>
  <c r="E3704" i="1"/>
  <c r="B3704" i="1"/>
  <c r="A3704" i="1"/>
  <c r="H3703" i="1"/>
  <c r="G3703" i="1"/>
  <c r="E3703" i="1"/>
  <c r="B3703" i="1"/>
  <c r="A3703" i="1"/>
  <c r="H3702" i="1"/>
  <c r="G3702" i="1"/>
  <c r="E3702" i="1"/>
  <c r="B3702" i="1"/>
  <c r="A3702" i="1"/>
  <c r="H3701" i="1"/>
  <c r="G3701" i="1"/>
  <c r="E3701" i="1"/>
  <c r="B3701" i="1"/>
  <c r="A3701" i="1"/>
  <c r="H3700" i="1"/>
  <c r="G3700" i="1"/>
  <c r="E3700" i="1"/>
  <c r="B3700" i="1"/>
  <c r="A3700" i="1"/>
  <c r="H3699" i="1"/>
  <c r="G3699" i="1"/>
  <c r="E3699" i="1"/>
  <c r="B3699" i="1"/>
  <c r="A3699" i="1"/>
  <c r="H3698" i="1"/>
  <c r="G3698" i="1"/>
  <c r="E3698" i="1"/>
  <c r="B3698" i="1"/>
  <c r="A3698" i="1"/>
  <c r="H3697" i="1"/>
  <c r="G3697" i="1"/>
  <c r="E3697" i="1"/>
  <c r="B3697" i="1"/>
  <c r="A3697" i="1"/>
  <c r="H3696" i="1"/>
  <c r="G3696" i="1"/>
  <c r="E3696" i="1"/>
  <c r="B3696" i="1"/>
  <c r="A3696" i="1"/>
  <c r="H3695" i="1"/>
  <c r="G3695" i="1"/>
  <c r="E3695" i="1"/>
  <c r="B3695" i="1"/>
  <c r="A3695" i="1"/>
  <c r="H3694" i="1"/>
  <c r="G3694" i="1"/>
  <c r="E3694" i="1"/>
  <c r="B3694" i="1"/>
  <c r="A3694" i="1"/>
  <c r="H3693" i="1"/>
  <c r="G3693" i="1"/>
  <c r="E3693" i="1"/>
  <c r="B3693" i="1"/>
  <c r="A3693" i="1"/>
  <c r="H3692" i="1"/>
  <c r="G3692" i="1"/>
  <c r="E3692" i="1"/>
  <c r="B3692" i="1"/>
  <c r="A3692" i="1"/>
  <c r="H3691" i="1"/>
  <c r="G3691" i="1"/>
  <c r="E3691" i="1"/>
  <c r="B3691" i="1"/>
  <c r="A3691" i="1"/>
  <c r="H3690" i="1"/>
  <c r="G3690" i="1"/>
  <c r="E3690" i="1"/>
  <c r="B3690" i="1"/>
  <c r="A3690" i="1"/>
  <c r="H3689" i="1"/>
  <c r="G3689" i="1"/>
  <c r="E3689" i="1"/>
  <c r="B3689" i="1"/>
  <c r="A3689" i="1"/>
  <c r="H3688" i="1"/>
  <c r="G3688" i="1"/>
  <c r="E3688" i="1"/>
  <c r="B3688" i="1"/>
  <c r="A3688" i="1"/>
  <c r="H3687" i="1"/>
  <c r="G3687" i="1"/>
  <c r="E3687" i="1"/>
  <c r="B3687" i="1"/>
  <c r="A3687" i="1"/>
  <c r="H3686" i="1"/>
  <c r="G3686" i="1"/>
  <c r="E3686" i="1"/>
  <c r="B3686" i="1"/>
  <c r="A3686" i="1"/>
  <c r="H3685" i="1"/>
  <c r="G3685" i="1"/>
  <c r="E3685" i="1"/>
  <c r="B3685" i="1"/>
  <c r="A3685" i="1"/>
  <c r="H3684" i="1"/>
  <c r="G3684" i="1"/>
  <c r="E3684" i="1"/>
  <c r="B3684" i="1"/>
  <c r="A3684" i="1"/>
  <c r="H3683" i="1"/>
  <c r="G3683" i="1"/>
  <c r="E3683" i="1"/>
  <c r="B3683" i="1"/>
  <c r="A3683" i="1"/>
  <c r="H3682" i="1"/>
  <c r="G3682" i="1"/>
  <c r="E3682" i="1"/>
  <c r="B3682" i="1"/>
  <c r="A3682" i="1"/>
  <c r="H3681" i="1"/>
  <c r="G3681" i="1"/>
  <c r="E3681" i="1"/>
  <c r="B3681" i="1"/>
  <c r="A3681" i="1"/>
  <c r="H3680" i="1"/>
  <c r="G3680" i="1"/>
  <c r="E3680" i="1"/>
  <c r="B3680" i="1"/>
  <c r="A3680" i="1"/>
  <c r="H3679" i="1"/>
  <c r="G3679" i="1"/>
  <c r="E3679" i="1"/>
  <c r="B3679" i="1"/>
  <c r="A3679" i="1"/>
  <c r="H3678" i="1"/>
  <c r="G3678" i="1"/>
  <c r="E3678" i="1"/>
  <c r="B3678" i="1"/>
  <c r="A3678" i="1"/>
  <c r="H3677" i="1"/>
  <c r="G3677" i="1"/>
  <c r="E3677" i="1"/>
  <c r="B3677" i="1"/>
  <c r="A3677" i="1"/>
  <c r="H3676" i="1"/>
  <c r="G3676" i="1"/>
  <c r="E3676" i="1"/>
  <c r="B3676" i="1"/>
  <c r="A3676" i="1"/>
  <c r="H3675" i="1"/>
  <c r="G3675" i="1"/>
  <c r="E3675" i="1"/>
  <c r="B3675" i="1"/>
  <c r="A3675" i="1"/>
  <c r="H3674" i="1"/>
  <c r="G3674" i="1"/>
  <c r="E3674" i="1"/>
  <c r="B3674" i="1"/>
  <c r="A3674" i="1"/>
  <c r="H3673" i="1"/>
  <c r="G3673" i="1"/>
  <c r="E3673" i="1"/>
  <c r="B3673" i="1"/>
  <c r="A3673" i="1"/>
  <c r="H3672" i="1"/>
  <c r="G3672" i="1"/>
  <c r="E3672" i="1"/>
  <c r="B3672" i="1"/>
  <c r="A3672" i="1"/>
  <c r="H3671" i="1"/>
  <c r="G3671" i="1"/>
  <c r="E3671" i="1"/>
  <c r="B3671" i="1"/>
  <c r="A3671" i="1"/>
  <c r="H3670" i="1"/>
  <c r="G3670" i="1"/>
  <c r="E3670" i="1"/>
  <c r="B3670" i="1"/>
  <c r="A3670" i="1"/>
  <c r="H3669" i="1"/>
  <c r="G3669" i="1"/>
  <c r="E3669" i="1"/>
  <c r="B3669" i="1"/>
  <c r="A3669" i="1"/>
  <c r="H3668" i="1"/>
  <c r="G3668" i="1"/>
  <c r="E3668" i="1"/>
  <c r="B3668" i="1"/>
  <c r="A3668" i="1"/>
  <c r="H3667" i="1"/>
  <c r="G3667" i="1"/>
  <c r="E3667" i="1"/>
  <c r="B3667" i="1"/>
  <c r="A3667" i="1"/>
  <c r="H3666" i="1"/>
  <c r="G3666" i="1"/>
  <c r="E3666" i="1"/>
  <c r="B3666" i="1"/>
  <c r="A3666" i="1"/>
  <c r="H3665" i="1"/>
  <c r="G3665" i="1"/>
  <c r="E3665" i="1"/>
  <c r="B3665" i="1"/>
  <c r="A3665" i="1"/>
  <c r="H3664" i="1"/>
  <c r="G3664" i="1"/>
  <c r="E3664" i="1"/>
  <c r="B3664" i="1"/>
  <c r="A3664" i="1"/>
  <c r="H3663" i="1"/>
  <c r="G3663" i="1"/>
  <c r="E3663" i="1"/>
  <c r="B3663" i="1"/>
  <c r="A3663" i="1"/>
  <c r="H3662" i="1"/>
  <c r="G3662" i="1"/>
  <c r="E3662" i="1"/>
  <c r="B3662" i="1"/>
  <c r="A3662" i="1"/>
  <c r="H3661" i="1"/>
  <c r="G3661" i="1"/>
  <c r="E3661" i="1"/>
  <c r="B3661" i="1"/>
  <c r="A3661" i="1"/>
  <c r="H3660" i="1"/>
  <c r="G3660" i="1"/>
  <c r="E3660" i="1"/>
  <c r="B3660" i="1"/>
  <c r="A3660" i="1"/>
  <c r="H3659" i="1"/>
  <c r="G3659" i="1"/>
  <c r="E3659" i="1"/>
  <c r="B3659" i="1"/>
  <c r="A3659" i="1"/>
  <c r="H3658" i="1"/>
  <c r="G3658" i="1"/>
  <c r="E3658" i="1"/>
  <c r="B3658" i="1"/>
  <c r="A3658" i="1"/>
  <c r="H3657" i="1"/>
  <c r="G3657" i="1"/>
  <c r="E3657" i="1"/>
  <c r="B3657" i="1"/>
  <c r="A3657" i="1"/>
  <c r="H3656" i="1"/>
  <c r="G3656" i="1"/>
  <c r="E3656" i="1"/>
  <c r="B3656" i="1"/>
  <c r="A3656" i="1"/>
  <c r="H3655" i="1"/>
  <c r="G3655" i="1"/>
  <c r="E3655" i="1"/>
  <c r="B3655" i="1"/>
  <c r="A3655" i="1"/>
  <c r="H3654" i="1"/>
  <c r="G3654" i="1"/>
  <c r="E3654" i="1"/>
  <c r="B3654" i="1"/>
  <c r="A3654" i="1"/>
  <c r="H3653" i="1"/>
  <c r="G3653" i="1"/>
  <c r="E3653" i="1"/>
  <c r="B3653" i="1"/>
  <c r="A3653" i="1"/>
  <c r="H3652" i="1"/>
  <c r="G3652" i="1"/>
  <c r="E3652" i="1"/>
  <c r="B3652" i="1"/>
  <c r="A3652" i="1"/>
  <c r="H3651" i="1"/>
  <c r="G3651" i="1"/>
  <c r="E3651" i="1"/>
  <c r="B3651" i="1"/>
  <c r="A3651" i="1"/>
  <c r="H3650" i="1"/>
  <c r="G3650" i="1"/>
  <c r="E3650" i="1"/>
  <c r="B3650" i="1"/>
  <c r="A3650" i="1"/>
  <c r="H3649" i="1"/>
  <c r="G3649" i="1"/>
  <c r="E3649" i="1"/>
  <c r="B3649" i="1"/>
  <c r="A3649" i="1"/>
  <c r="H3648" i="1"/>
  <c r="G3648" i="1"/>
  <c r="E3648" i="1"/>
  <c r="B3648" i="1"/>
  <c r="A3648" i="1"/>
  <c r="H3647" i="1"/>
  <c r="G3647" i="1"/>
  <c r="E3647" i="1"/>
  <c r="B3647" i="1"/>
  <c r="A3647" i="1"/>
  <c r="H3646" i="1"/>
  <c r="G3646" i="1"/>
  <c r="E3646" i="1"/>
  <c r="B3646" i="1"/>
  <c r="A3646" i="1"/>
  <c r="H3645" i="1"/>
  <c r="G3645" i="1"/>
  <c r="E3645" i="1"/>
  <c r="B3645" i="1"/>
  <c r="A3645" i="1"/>
  <c r="H3644" i="1"/>
  <c r="G3644" i="1"/>
  <c r="E3644" i="1"/>
  <c r="B3644" i="1"/>
  <c r="A3644" i="1"/>
  <c r="H3643" i="1"/>
  <c r="G3643" i="1"/>
  <c r="E3643" i="1"/>
  <c r="B3643" i="1"/>
  <c r="A3643" i="1"/>
  <c r="H3642" i="1"/>
  <c r="G3642" i="1"/>
  <c r="E3642" i="1"/>
  <c r="B3642" i="1"/>
  <c r="A3642" i="1"/>
  <c r="H3641" i="1"/>
  <c r="G3641" i="1"/>
  <c r="B3641" i="1"/>
  <c r="A3641" i="1"/>
  <c r="H3640" i="1"/>
  <c r="G3640" i="1"/>
  <c r="B3640" i="1"/>
  <c r="A3640" i="1"/>
  <c r="H3639" i="1"/>
  <c r="G3639" i="1"/>
  <c r="E3639" i="1"/>
  <c r="B3639" i="1"/>
  <c r="A3639" i="1"/>
  <c r="H3638" i="1"/>
  <c r="G3638" i="1"/>
  <c r="E3638" i="1"/>
  <c r="B3638" i="1"/>
  <c r="A3638" i="1"/>
  <c r="H3637" i="1"/>
  <c r="G3637" i="1"/>
  <c r="E3637" i="1"/>
  <c r="B3637" i="1"/>
  <c r="A3637" i="1"/>
  <c r="H3636" i="1"/>
  <c r="G3636" i="1"/>
  <c r="E3636" i="1"/>
  <c r="B3636" i="1"/>
  <c r="A3636" i="1"/>
  <c r="H3635" i="1"/>
  <c r="G3635" i="1"/>
  <c r="E3635" i="1"/>
  <c r="B3635" i="1"/>
  <c r="A3635" i="1"/>
  <c r="H3634" i="1"/>
  <c r="G3634" i="1"/>
  <c r="E3634" i="1"/>
  <c r="B3634" i="1"/>
  <c r="A3634" i="1"/>
  <c r="H3633" i="1"/>
  <c r="G3633" i="1"/>
  <c r="E3633" i="1"/>
  <c r="B3633" i="1"/>
  <c r="A3633" i="1"/>
  <c r="H3632" i="1"/>
  <c r="G3632" i="1"/>
  <c r="E3632" i="1"/>
  <c r="B3632" i="1"/>
  <c r="A3632" i="1"/>
  <c r="H3631" i="1"/>
  <c r="G3631" i="1"/>
  <c r="E3631" i="1"/>
  <c r="B3631" i="1"/>
  <c r="A3631" i="1"/>
  <c r="H3630" i="1"/>
  <c r="G3630" i="1"/>
  <c r="E3630" i="1"/>
  <c r="B3630" i="1"/>
  <c r="A3630" i="1"/>
  <c r="H3629" i="1"/>
  <c r="G3629" i="1"/>
  <c r="E3629" i="1"/>
  <c r="B3629" i="1"/>
  <c r="A3629" i="1"/>
  <c r="H3628" i="1"/>
  <c r="G3628" i="1"/>
  <c r="E3628" i="1"/>
  <c r="B3628" i="1"/>
  <c r="A3628" i="1"/>
  <c r="H3627" i="1"/>
  <c r="G3627" i="1"/>
  <c r="E3627" i="1"/>
  <c r="B3627" i="1"/>
  <c r="A3627" i="1"/>
  <c r="H3626" i="1"/>
  <c r="G3626" i="1"/>
  <c r="E3626" i="1"/>
  <c r="B3626" i="1"/>
  <c r="A3626" i="1"/>
  <c r="H3625" i="1"/>
  <c r="G3625" i="1"/>
  <c r="E3625" i="1"/>
  <c r="B3625" i="1"/>
  <c r="A3625" i="1"/>
  <c r="H3624" i="1"/>
  <c r="G3624" i="1"/>
  <c r="E3624" i="1"/>
  <c r="B3624" i="1"/>
  <c r="A3624" i="1"/>
  <c r="H3623" i="1"/>
  <c r="G3623" i="1"/>
  <c r="E3623" i="1"/>
  <c r="B3623" i="1"/>
  <c r="A3623" i="1"/>
  <c r="H3622" i="1"/>
  <c r="G3622" i="1"/>
  <c r="E3622" i="1"/>
  <c r="B3622" i="1"/>
  <c r="A3622" i="1"/>
  <c r="H3621" i="1"/>
  <c r="G3621" i="1"/>
  <c r="E3621" i="1"/>
  <c r="B3621" i="1"/>
  <c r="A3621" i="1"/>
  <c r="H3620" i="1"/>
  <c r="G3620" i="1"/>
  <c r="E3620" i="1"/>
  <c r="B3620" i="1"/>
  <c r="A3620" i="1"/>
  <c r="H3619" i="1"/>
  <c r="G3619" i="1"/>
  <c r="E3619" i="1"/>
  <c r="B3619" i="1"/>
  <c r="A3619" i="1"/>
  <c r="H3618" i="1"/>
  <c r="G3618" i="1"/>
  <c r="E3618" i="1"/>
  <c r="B3618" i="1"/>
  <c r="A3618" i="1"/>
  <c r="H3617" i="1"/>
  <c r="G3617" i="1"/>
  <c r="E3617" i="1"/>
  <c r="B3617" i="1"/>
  <c r="A3617" i="1"/>
  <c r="H3616" i="1"/>
  <c r="G3616" i="1"/>
  <c r="E3616" i="1"/>
  <c r="B3616" i="1"/>
  <c r="A3616" i="1"/>
  <c r="H3615" i="1"/>
  <c r="G3615" i="1"/>
  <c r="E3615" i="1"/>
  <c r="B3615" i="1"/>
  <c r="A3615" i="1"/>
  <c r="H3614" i="1"/>
  <c r="G3614" i="1"/>
  <c r="E3614" i="1"/>
  <c r="B3614" i="1"/>
  <c r="A3614" i="1"/>
  <c r="H3613" i="1"/>
  <c r="G3613" i="1"/>
  <c r="E3613" i="1"/>
  <c r="B3613" i="1"/>
  <c r="A3613" i="1"/>
  <c r="H3612" i="1"/>
  <c r="G3612" i="1"/>
  <c r="E3612" i="1"/>
  <c r="B3612" i="1"/>
  <c r="A3612" i="1"/>
  <c r="H3611" i="1"/>
  <c r="G3611" i="1"/>
  <c r="E3611" i="1"/>
  <c r="B3611" i="1"/>
  <c r="A3611" i="1"/>
  <c r="H3610" i="1"/>
  <c r="G3610" i="1"/>
  <c r="E3610" i="1"/>
  <c r="B3610" i="1"/>
  <c r="A3610" i="1"/>
  <c r="H3609" i="1"/>
  <c r="G3609" i="1"/>
  <c r="E3609" i="1"/>
  <c r="B3609" i="1"/>
  <c r="A3609" i="1"/>
  <c r="H3608" i="1"/>
  <c r="G3608" i="1"/>
  <c r="E3608" i="1"/>
  <c r="B3608" i="1"/>
  <c r="A3608" i="1"/>
  <c r="H3607" i="1"/>
  <c r="G3607" i="1"/>
  <c r="E3607" i="1"/>
  <c r="B3607" i="1"/>
  <c r="A3607" i="1"/>
  <c r="H3606" i="1"/>
  <c r="G3606" i="1"/>
  <c r="E3606" i="1"/>
  <c r="B3606" i="1"/>
  <c r="A3606" i="1"/>
  <c r="H3605" i="1"/>
  <c r="G3605" i="1"/>
  <c r="E3605" i="1"/>
  <c r="B3605" i="1"/>
  <c r="A3605" i="1"/>
  <c r="H3604" i="1"/>
  <c r="G3604" i="1"/>
  <c r="E3604" i="1"/>
  <c r="B3604" i="1"/>
  <c r="A3604" i="1"/>
  <c r="H3603" i="1"/>
  <c r="G3603" i="1"/>
  <c r="E3603" i="1"/>
  <c r="B3603" i="1"/>
  <c r="A3603" i="1"/>
  <c r="H3602" i="1"/>
  <c r="G3602" i="1"/>
  <c r="E3602" i="1"/>
  <c r="B3602" i="1"/>
  <c r="A3602" i="1"/>
  <c r="H3601" i="1"/>
  <c r="G3601" i="1"/>
  <c r="E3601" i="1"/>
  <c r="B3601" i="1"/>
  <c r="A3601" i="1"/>
  <c r="H3600" i="1"/>
  <c r="G3600" i="1"/>
  <c r="E3600" i="1"/>
  <c r="B3600" i="1"/>
  <c r="A3600" i="1"/>
  <c r="H3599" i="1"/>
  <c r="G3599" i="1"/>
  <c r="E3599" i="1"/>
  <c r="B3599" i="1"/>
  <c r="A3599" i="1"/>
  <c r="H3598" i="1"/>
  <c r="G3598" i="1"/>
  <c r="E3598" i="1"/>
  <c r="B3598" i="1"/>
  <c r="A3598" i="1"/>
  <c r="H3597" i="1"/>
  <c r="G3597" i="1"/>
  <c r="E3597" i="1"/>
  <c r="B3597" i="1"/>
  <c r="A3597" i="1"/>
  <c r="H3596" i="1"/>
  <c r="G3596" i="1"/>
  <c r="E3596" i="1"/>
  <c r="B3596" i="1"/>
  <c r="A3596" i="1"/>
  <c r="H3595" i="1"/>
  <c r="G3595" i="1"/>
  <c r="E3595" i="1"/>
  <c r="B3595" i="1"/>
  <c r="A3595" i="1"/>
  <c r="H3594" i="1"/>
  <c r="G3594" i="1"/>
  <c r="E3594" i="1"/>
  <c r="B3594" i="1"/>
  <c r="A3594" i="1"/>
  <c r="H3593" i="1"/>
  <c r="G3593" i="1"/>
  <c r="E3593" i="1"/>
  <c r="B3593" i="1"/>
  <c r="A3593" i="1"/>
  <c r="H3592" i="1"/>
  <c r="G3592" i="1"/>
  <c r="E3592" i="1"/>
  <c r="B3592" i="1"/>
  <c r="A3592" i="1"/>
  <c r="H3591" i="1"/>
  <c r="G3591" i="1"/>
  <c r="E3591" i="1"/>
  <c r="B3591" i="1"/>
  <c r="A3591" i="1"/>
  <c r="H3590" i="1"/>
  <c r="G3590" i="1"/>
  <c r="E3590" i="1"/>
  <c r="B3590" i="1"/>
  <c r="A3590" i="1"/>
  <c r="H3589" i="1"/>
  <c r="G3589" i="1"/>
  <c r="E3589" i="1"/>
  <c r="B3589" i="1"/>
  <c r="A3589" i="1"/>
  <c r="H3588" i="1"/>
  <c r="G3588" i="1"/>
  <c r="E3588" i="1"/>
  <c r="B3588" i="1"/>
  <c r="A3588" i="1"/>
  <c r="H3587" i="1"/>
  <c r="G3587" i="1"/>
  <c r="E3587" i="1"/>
  <c r="B3587" i="1"/>
  <c r="A3587" i="1"/>
  <c r="H3586" i="1"/>
  <c r="G3586" i="1"/>
  <c r="E3586" i="1"/>
  <c r="B3586" i="1"/>
  <c r="A3586" i="1"/>
  <c r="H3585" i="1"/>
  <c r="G3585" i="1"/>
  <c r="E3585" i="1"/>
  <c r="B3585" i="1"/>
  <c r="A3585" i="1"/>
  <c r="H3584" i="1"/>
  <c r="G3584" i="1"/>
  <c r="E3584" i="1"/>
  <c r="B3584" i="1"/>
  <c r="A3584" i="1"/>
  <c r="H3583" i="1"/>
  <c r="G3583" i="1"/>
  <c r="E3583" i="1"/>
  <c r="B3583" i="1"/>
  <c r="A3583" i="1"/>
  <c r="H3582" i="1"/>
  <c r="G3582" i="1"/>
  <c r="E3582" i="1"/>
  <c r="B3582" i="1"/>
  <c r="A3582" i="1"/>
  <c r="H3581" i="1"/>
  <c r="G3581" i="1"/>
  <c r="E3581" i="1"/>
  <c r="B3581" i="1"/>
  <c r="A3581" i="1"/>
  <c r="H3580" i="1"/>
  <c r="G3580" i="1"/>
  <c r="E3580" i="1"/>
  <c r="B3580" i="1"/>
  <c r="A3580" i="1"/>
  <c r="H3579" i="1"/>
  <c r="G3579" i="1"/>
  <c r="E3579" i="1"/>
  <c r="B3579" i="1"/>
  <c r="A3579" i="1"/>
  <c r="H3578" i="1"/>
  <c r="G3578" i="1"/>
  <c r="E3578" i="1"/>
  <c r="B3578" i="1"/>
  <c r="A3578" i="1"/>
  <c r="H3577" i="1"/>
  <c r="G3577" i="1"/>
  <c r="E3577" i="1"/>
  <c r="B3577" i="1"/>
  <c r="A3577" i="1"/>
  <c r="H3576" i="1"/>
  <c r="G3576" i="1"/>
  <c r="E3576" i="1"/>
  <c r="B3576" i="1"/>
  <c r="A3576" i="1"/>
  <c r="H3575" i="1"/>
  <c r="G3575" i="1"/>
  <c r="E3575" i="1"/>
  <c r="B3575" i="1"/>
  <c r="A3575" i="1"/>
  <c r="H3574" i="1"/>
  <c r="G3574" i="1"/>
  <c r="E3574" i="1"/>
  <c r="B3574" i="1"/>
  <c r="A3574" i="1"/>
  <c r="H3573" i="1"/>
  <c r="G3573" i="1"/>
  <c r="E3573" i="1"/>
  <c r="B3573" i="1"/>
  <c r="A3573" i="1"/>
  <c r="H3572" i="1"/>
  <c r="G3572" i="1"/>
  <c r="E3572" i="1"/>
  <c r="B3572" i="1"/>
  <c r="A3572" i="1"/>
  <c r="H3571" i="1"/>
  <c r="G3571" i="1"/>
  <c r="B3571" i="1"/>
  <c r="A3571" i="1"/>
  <c r="H3570" i="1"/>
  <c r="G3570" i="1"/>
  <c r="E3570" i="1"/>
  <c r="B3570" i="1"/>
  <c r="A3570" i="1"/>
  <c r="H3569" i="1"/>
  <c r="G3569" i="1"/>
  <c r="E3569" i="1"/>
  <c r="B3569" i="1"/>
  <c r="A3569" i="1"/>
  <c r="H3568" i="1"/>
  <c r="G3568" i="1"/>
  <c r="E3568" i="1"/>
  <c r="B3568" i="1"/>
  <c r="A3568" i="1"/>
  <c r="H3567" i="1"/>
  <c r="G3567" i="1"/>
  <c r="E3567" i="1"/>
  <c r="B3567" i="1"/>
  <c r="A3567" i="1"/>
  <c r="H3566" i="1"/>
  <c r="G3566" i="1"/>
  <c r="E3566" i="1"/>
  <c r="B3566" i="1"/>
  <c r="A3566" i="1"/>
  <c r="H3565" i="1"/>
  <c r="G3565" i="1"/>
  <c r="E3565" i="1"/>
  <c r="B3565" i="1"/>
  <c r="A3565" i="1"/>
  <c r="H3564" i="1"/>
  <c r="G3564" i="1"/>
  <c r="E3564" i="1"/>
  <c r="B3564" i="1"/>
  <c r="A3564" i="1"/>
  <c r="H3563" i="1"/>
  <c r="G3563" i="1"/>
  <c r="E3563" i="1"/>
  <c r="B3563" i="1"/>
  <c r="A3563" i="1"/>
  <c r="H3562" i="1"/>
  <c r="G3562" i="1"/>
  <c r="E3562" i="1"/>
  <c r="B3562" i="1"/>
  <c r="A3562" i="1"/>
  <c r="H3561" i="1"/>
  <c r="G3561" i="1"/>
  <c r="E3561" i="1"/>
  <c r="B3561" i="1"/>
  <c r="A3561" i="1"/>
  <c r="H3560" i="1"/>
  <c r="G3560" i="1"/>
  <c r="E3560" i="1"/>
  <c r="B3560" i="1"/>
  <c r="A3560" i="1"/>
  <c r="H3559" i="1"/>
  <c r="G3559" i="1"/>
  <c r="E3559" i="1"/>
  <c r="B3559" i="1"/>
  <c r="A3559" i="1"/>
  <c r="H3558" i="1"/>
  <c r="G3558" i="1"/>
  <c r="E3558" i="1"/>
  <c r="B3558" i="1"/>
  <c r="A3558" i="1"/>
  <c r="H3557" i="1"/>
  <c r="G3557" i="1"/>
  <c r="E3557" i="1"/>
  <c r="B3557" i="1"/>
  <c r="A3557" i="1"/>
  <c r="H3556" i="1"/>
  <c r="G3556" i="1"/>
  <c r="E3556" i="1"/>
  <c r="B3556" i="1"/>
  <c r="A3556" i="1"/>
  <c r="H3555" i="1"/>
  <c r="G3555" i="1"/>
  <c r="E3555" i="1"/>
  <c r="B3555" i="1"/>
  <c r="A3555" i="1"/>
  <c r="H3554" i="1"/>
  <c r="G3554" i="1"/>
  <c r="E3554" i="1"/>
  <c r="B3554" i="1"/>
  <c r="A3554" i="1"/>
  <c r="H3553" i="1"/>
  <c r="G3553" i="1"/>
  <c r="E3553" i="1"/>
  <c r="B3553" i="1"/>
  <c r="A3553" i="1"/>
  <c r="H3552" i="1"/>
  <c r="G3552" i="1"/>
  <c r="E3552" i="1"/>
  <c r="B3552" i="1"/>
  <c r="A3552" i="1"/>
  <c r="H3551" i="1"/>
  <c r="G3551" i="1"/>
  <c r="E3551" i="1"/>
  <c r="B3551" i="1"/>
  <c r="A3551" i="1"/>
  <c r="H3550" i="1"/>
  <c r="G3550" i="1"/>
  <c r="E3550" i="1"/>
  <c r="B3550" i="1"/>
  <c r="A3550" i="1"/>
  <c r="H3549" i="1"/>
  <c r="G3549" i="1"/>
  <c r="E3549" i="1"/>
  <c r="B3549" i="1"/>
  <c r="A3549" i="1"/>
  <c r="H3548" i="1"/>
  <c r="G3548" i="1"/>
  <c r="E3548" i="1"/>
  <c r="B3548" i="1"/>
  <c r="A3548" i="1"/>
  <c r="H3547" i="1"/>
  <c r="G3547" i="1"/>
  <c r="E3547" i="1"/>
  <c r="B3547" i="1"/>
  <c r="A3547" i="1"/>
  <c r="H3546" i="1"/>
  <c r="G3546" i="1"/>
  <c r="E3546" i="1"/>
  <c r="B3546" i="1"/>
  <c r="A3546" i="1"/>
  <c r="H3545" i="1"/>
  <c r="G3545" i="1"/>
  <c r="E3545" i="1"/>
  <c r="B3545" i="1"/>
  <c r="A3545" i="1"/>
  <c r="H3544" i="1"/>
  <c r="G3544" i="1"/>
  <c r="E3544" i="1"/>
  <c r="B3544" i="1"/>
  <c r="A3544" i="1"/>
  <c r="H3543" i="1"/>
  <c r="G3543" i="1"/>
  <c r="E3543" i="1"/>
  <c r="B3543" i="1"/>
  <c r="A3543" i="1"/>
  <c r="H3542" i="1"/>
  <c r="G3542" i="1"/>
  <c r="E3542" i="1"/>
  <c r="B3542" i="1"/>
  <c r="A3542" i="1"/>
  <c r="H3541" i="1"/>
  <c r="G3541" i="1"/>
  <c r="E3541" i="1"/>
  <c r="B3541" i="1"/>
  <c r="A3541" i="1"/>
  <c r="H3540" i="1"/>
  <c r="G3540" i="1"/>
  <c r="E3540" i="1"/>
  <c r="B3540" i="1"/>
  <c r="A3540" i="1"/>
  <c r="H3539" i="1"/>
  <c r="G3539" i="1"/>
  <c r="E3539" i="1"/>
  <c r="B3539" i="1"/>
  <c r="A3539" i="1"/>
  <c r="H3538" i="1"/>
  <c r="G3538" i="1"/>
  <c r="E3538" i="1"/>
  <c r="B3538" i="1"/>
  <c r="A3538" i="1"/>
  <c r="H3537" i="1"/>
  <c r="G3537" i="1"/>
  <c r="E3537" i="1"/>
  <c r="B3537" i="1"/>
  <c r="A3537" i="1"/>
  <c r="H3536" i="1"/>
  <c r="G3536" i="1"/>
  <c r="E3536" i="1"/>
  <c r="B3536" i="1"/>
  <c r="A3536" i="1"/>
  <c r="H3535" i="1"/>
  <c r="G3535" i="1"/>
  <c r="E3535" i="1"/>
  <c r="B3535" i="1"/>
  <c r="A3535" i="1"/>
  <c r="H3534" i="1"/>
  <c r="G3534" i="1"/>
  <c r="E3534" i="1"/>
  <c r="B3534" i="1"/>
  <c r="A3534" i="1"/>
  <c r="H3533" i="1"/>
  <c r="G3533" i="1"/>
  <c r="E3533" i="1"/>
  <c r="B3533" i="1"/>
  <c r="A3533" i="1"/>
  <c r="H3532" i="1"/>
  <c r="G3532" i="1"/>
  <c r="E3532" i="1"/>
  <c r="B3532" i="1"/>
  <c r="A3532" i="1"/>
  <c r="H3531" i="1"/>
  <c r="G3531" i="1"/>
  <c r="E3531" i="1"/>
  <c r="B3531" i="1"/>
  <c r="A3531" i="1"/>
  <c r="H3530" i="1"/>
  <c r="G3530" i="1"/>
  <c r="E3530" i="1"/>
  <c r="B3530" i="1"/>
  <c r="A3530" i="1"/>
  <c r="H3529" i="1"/>
  <c r="G3529" i="1"/>
  <c r="E3529" i="1"/>
  <c r="B3529" i="1"/>
  <c r="A3529" i="1"/>
  <c r="H3528" i="1"/>
  <c r="G3528" i="1"/>
  <c r="E3528" i="1"/>
  <c r="B3528" i="1"/>
  <c r="A3528" i="1"/>
  <c r="H3527" i="1"/>
  <c r="G3527" i="1"/>
  <c r="E3527" i="1"/>
  <c r="B3527" i="1"/>
  <c r="A3527" i="1"/>
  <c r="H3526" i="1"/>
  <c r="G3526" i="1"/>
  <c r="E3526" i="1"/>
  <c r="B3526" i="1"/>
  <c r="A3526" i="1"/>
  <c r="H3525" i="1"/>
  <c r="G3525" i="1"/>
  <c r="E3525" i="1"/>
  <c r="B3525" i="1"/>
  <c r="A3525" i="1"/>
  <c r="H3524" i="1"/>
  <c r="G3524" i="1"/>
  <c r="E3524" i="1"/>
  <c r="B3524" i="1"/>
  <c r="A3524" i="1"/>
  <c r="H3523" i="1"/>
  <c r="G3523" i="1"/>
  <c r="E3523" i="1"/>
  <c r="B3523" i="1"/>
  <c r="A3523" i="1"/>
  <c r="H3522" i="1"/>
  <c r="G3522" i="1"/>
  <c r="E3522" i="1"/>
  <c r="B3522" i="1"/>
  <c r="A3522" i="1"/>
  <c r="H3521" i="1"/>
  <c r="G3521" i="1"/>
  <c r="E3521" i="1"/>
  <c r="B3521" i="1"/>
  <c r="A3521" i="1"/>
  <c r="H3520" i="1"/>
  <c r="G3520" i="1"/>
  <c r="E3520" i="1"/>
  <c r="B3520" i="1"/>
  <c r="A3520" i="1"/>
  <c r="H3519" i="1"/>
  <c r="G3519" i="1"/>
  <c r="E3519" i="1"/>
  <c r="B3519" i="1"/>
  <c r="A3519" i="1"/>
  <c r="H3518" i="1"/>
  <c r="G3518" i="1"/>
  <c r="E3518" i="1"/>
  <c r="B3518" i="1"/>
  <c r="A3518" i="1"/>
  <c r="H3517" i="1"/>
  <c r="G3517" i="1"/>
  <c r="E3517" i="1"/>
  <c r="B3517" i="1"/>
  <c r="A3517" i="1"/>
  <c r="H3516" i="1"/>
  <c r="G3516" i="1"/>
  <c r="E3516" i="1"/>
  <c r="B3516" i="1"/>
  <c r="A3516" i="1"/>
  <c r="H3515" i="1"/>
  <c r="G3515" i="1"/>
  <c r="E3515" i="1"/>
  <c r="B3515" i="1"/>
  <c r="A3515" i="1"/>
  <c r="H3514" i="1"/>
  <c r="G3514" i="1"/>
  <c r="E3514" i="1"/>
  <c r="B3514" i="1"/>
  <c r="A3514" i="1"/>
  <c r="H3513" i="1"/>
  <c r="G3513" i="1"/>
  <c r="E3513" i="1"/>
  <c r="B3513" i="1"/>
  <c r="A3513" i="1"/>
  <c r="H3512" i="1"/>
  <c r="G3512" i="1"/>
  <c r="E3512" i="1"/>
  <c r="B3512" i="1"/>
  <c r="A3512" i="1"/>
  <c r="H3511" i="1"/>
  <c r="G3511" i="1"/>
  <c r="E3511" i="1"/>
  <c r="B3511" i="1"/>
  <c r="A3511" i="1"/>
  <c r="H3510" i="1"/>
  <c r="G3510" i="1"/>
  <c r="B3510" i="1"/>
  <c r="A3510" i="1"/>
  <c r="H3509" i="1"/>
  <c r="G3509" i="1"/>
  <c r="E3509" i="1"/>
  <c r="B3509" i="1"/>
  <c r="A3509" i="1"/>
  <c r="H3508" i="1"/>
  <c r="G3508" i="1"/>
  <c r="E3508" i="1"/>
  <c r="B3508" i="1"/>
  <c r="A3508" i="1"/>
  <c r="H3507" i="1"/>
  <c r="G3507" i="1"/>
  <c r="E3507" i="1"/>
  <c r="B3507" i="1"/>
  <c r="A3507" i="1"/>
  <c r="H3506" i="1"/>
  <c r="G3506" i="1"/>
  <c r="E3506" i="1"/>
  <c r="B3506" i="1"/>
  <c r="A3506" i="1"/>
  <c r="H3505" i="1"/>
  <c r="G3505" i="1"/>
  <c r="E3505" i="1"/>
  <c r="B3505" i="1"/>
  <c r="A3505" i="1"/>
  <c r="H3504" i="1"/>
  <c r="G3504" i="1"/>
  <c r="E3504" i="1"/>
  <c r="B3504" i="1"/>
  <c r="A3504" i="1"/>
  <c r="H3503" i="1"/>
  <c r="G3503" i="1"/>
  <c r="E3503" i="1"/>
  <c r="B3503" i="1"/>
  <c r="A3503" i="1"/>
  <c r="H3502" i="1"/>
  <c r="G3502" i="1"/>
  <c r="E3502" i="1"/>
  <c r="B3502" i="1"/>
  <c r="A3502" i="1"/>
  <c r="H3501" i="1"/>
  <c r="G3501" i="1"/>
  <c r="E3501" i="1"/>
  <c r="B3501" i="1"/>
  <c r="A3501" i="1"/>
  <c r="H3500" i="1"/>
  <c r="G3500" i="1"/>
  <c r="E3500" i="1"/>
  <c r="B3500" i="1"/>
  <c r="A3500" i="1"/>
  <c r="H3499" i="1"/>
  <c r="G3499" i="1"/>
  <c r="E3499" i="1"/>
  <c r="B3499" i="1"/>
  <c r="A3499" i="1"/>
  <c r="H3498" i="1"/>
  <c r="G3498" i="1"/>
  <c r="E3498" i="1"/>
  <c r="B3498" i="1"/>
  <c r="A3498" i="1"/>
  <c r="H3497" i="1"/>
  <c r="G3497" i="1"/>
  <c r="E3497" i="1"/>
  <c r="B3497" i="1"/>
  <c r="A3497" i="1"/>
  <c r="H3496" i="1"/>
  <c r="G3496" i="1"/>
  <c r="E3496" i="1"/>
  <c r="B3496" i="1"/>
  <c r="A3496" i="1"/>
  <c r="H3495" i="1"/>
  <c r="G3495" i="1"/>
  <c r="E3495" i="1"/>
  <c r="B3495" i="1"/>
  <c r="A3495" i="1"/>
  <c r="H3494" i="1"/>
  <c r="G3494" i="1"/>
  <c r="E3494" i="1"/>
  <c r="B3494" i="1"/>
  <c r="A3494" i="1"/>
  <c r="H3493" i="1"/>
  <c r="G3493" i="1"/>
  <c r="E3493" i="1"/>
  <c r="B3493" i="1"/>
  <c r="A3493" i="1"/>
  <c r="H3492" i="1"/>
  <c r="G3492" i="1"/>
  <c r="E3492" i="1"/>
  <c r="B3492" i="1"/>
  <c r="A3492" i="1"/>
  <c r="H3491" i="1"/>
  <c r="G3491" i="1"/>
  <c r="B3491" i="1"/>
  <c r="A3491" i="1"/>
  <c r="H3490" i="1"/>
  <c r="G3490" i="1"/>
  <c r="E3490" i="1"/>
  <c r="B3490" i="1"/>
  <c r="A3490" i="1"/>
  <c r="H3489" i="1"/>
  <c r="G3489" i="1"/>
  <c r="E3489" i="1"/>
  <c r="B3489" i="1"/>
  <c r="A3489" i="1"/>
  <c r="H3488" i="1"/>
  <c r="G3488" i="1"/>
  <c r="E3488" i="1"/>
  <c r="B3488" i="1"/>
  <c r="A3488" i="1"/>
  <c r="H3487" i="1"/>
  <c r="G3487" i="1"/>
  <c r="E3487" i="1"/>
  <c r="B3487" i="1"/>
  <c r="A3487" i="1"/>
  <c r="H3486" i="1"/>
  <c r="G3486" i="1"/>
  <c r="E3486" i="1"/>
  <c r="B3486" i="1"/>
  <c r="A3486" i="1"/>
  <c r="H3485" i="1"/>
  <c r="G3485" i="1"/>
  <c r="E3485" i="1"/>
  <c r="B3485" i="1"/>
  <c r="A3485" i="1"/>
  <c r="H3484" i="1"/>
  <c r="G3484" i="1"/>
  <c r="E3484" i="1"/>
  <c r="B3484" i="1"/>
  <c r="A3484" i="1"/>
  <c r="H3483" i="1"/>
  <c r="G3483" i="1"/>
  <c r="E3483" i="1"/>
  <c r="B3483" i="1"/>
  <c r="A3483" i="1"/>
  <c r="H3482" i="1"/>
  <c r="G3482" i="1"/>
  <c r="E3482" i="1"/>
  <c r="B3482" i="1"/>
  <c r="A3482" i="1"/>
  <c r="H3481" i="1"/>
  <c r="G3481" i="1"/>
  <c r="E3481" i="1"/>
  <c r="B3481" i="1"/>
  <c r="A3481" i="1"/>
  <c r="H3480" i="1"/>
  <c r="G3480" i="1"/>
  <c r="E3480" i="1"/>
  <c r="B3480" i="1"/>
  <c r="A3480" i="1"/>
  <c r="H3479" i="1"/>
  <c r="G3479" i="1"/>
  <c r="E3479" i="1"/>
  <c r="B3479" i="1"/>
  <c r="A3479" i="1"/>
  <c r="H3478" i="1"/>
  <c r="G3478" i="1"/>
  <c r="E3478" i="1"/>
  <c r="B3478" i="1"/>
  <c r="A3478" i="1"/>
  <c r="H3477" i="1"/>
  <c r="G3477" i="1"/>
  <c r="E3477" i="1"/>
  <c r="B3477" i="1"/>
  <c r="A3477" i="1"/>
  <c r="H3476" i="1"/>
  <c r="G3476" i="1"/>
  <c r="E3476" i="1"/>
  <c r="B3476" i="1"/>
  <c r="A3476" i="1"/>
  <c r="H3475" i="1"/>
  <c r="G3475" i="1"/>
  <c r="E3475" i="1"/>
  <c r="B3475" i="1"/>
  <c r="A3475" i="1"/>
  <c r="H3474" i="1"/>
  <c r="G3474" i="1"/>
  <c r="E3474" i="1"/>
  <c r="B3474" i="1"/>
  <c r="A3474" i="1"/>
  <c r="H3473" i="1"/>
  <c r="G3473" i="1"/>
  <c r="E3473" i="1"/>
  <c r="B3473" i="1"/>
  <c r="A3473" i="1"/>
  <c r="H3472" i="1"/>
  <c r="G3472" i="1"/>
  <c r="E3472" i="1"/>
  <c r="B3472" i="1"/>
  <c r="A3472" i="1"/>
  <c r="H3471" i="1"/>
  <c r="G3471" i="1"/>
  <c r="E3471" i="1"/>
  <c r="B3471" i="1"/>
  <c r="A3471" i="1"/>
  <c r="H3470" i="1"/>
  <c r="G3470" i="1"/>
  <c r="E3470" i="1"/>
  <c r="B3470" i="1"/>
  <c r="A3470" i="1"/>
  <c r="H3469" i="1"/>
  <c r="G3469" i="1"/>
  <c r="E3469" i="1"/>
  <c r="B3469" i="1"/>
  <c r="A3469" i="1"/>
  <c r="H3468" i="1"/>
  <c r="G3468" i="1"/>
  <c r="E3468" i="1"/>
  <c r="B3468" i="1"/>
  <c r="A3468" i="1"/>
  <c r="H3467" i="1"/>
  <c r="G3467" i="1"/>
  <c r="E3467" i="1"/>
  <c r="B3467" i="1"/>
  <c r="A3467" i="1"/>
  <c r="H3466" i="1"/>
  <c r="G3466" i="1"/>
  <c r="E3466" i="1"/>
  <c r="B3466" i="1"/>
  <c r="A3466" i="1"/>
  <c r="H3465" i="1"/>
  <c r="G3465" i="1"/>
  <c r="E3465" i="1"/>
  <c r="B3465" i="1"/>
  <c r="A3465" i="1"/>
  <c r="H3464" i="1"/>
  <c r="G3464" i="1"/>
  <c r="E3464" i="1"/>
  <c r="B3464" i="1"/>
  <c r="A3464" i="1"/>
  <c r="H3463" i="1"/>
  <c r="G3463" i="1"/>
  <c r="E3463" i="1"/>
  <c r="B3463" i="1"/>
  <c r="A3463" i="1"/>
  <c r="H3462" i="1"/>
  <c r="G3462" i="1"/>
  <c r="E3462" i="1"/>
  <c r="B3462" i="1"/>
  <c r="A3462" i="1"/>
  <c r="H3461" i="1"/>
  <c r="G3461" i="1"/>
  <c r="E3461" i="1"/>
  <c r="B3461" i="1"/>
  <c r="A3461" i="1"/>
  <c r="H3460" i="1"/>
  <c r="G3460" i="1"/>
  <c r="E3460" i="1"/>
  <c r="B3460" i="1"/>
  <c r="A3460" i="1"/>
  <c r="H3459" i="1"/>
  <c r="G3459" i="1"/>
  <c r="E3459" i="1"/>
  <c r="B3459" i="1"/>
  <c r="A3459" i="1"/>
  <c r="H3458" i="1"/>
  <c r="G3458" i="1"/>
  <c r="E3458" i="1"/>
  <c r="B3458" i="1"/>
  <c r="A3458" i="1"/>
  <c r="H3457" i="1"/>
  <c r="G3457" i="1"/>
  <c r="E3457" i="1"/>
  <c r="B3457" i="1"/>
  <c r="A3457" i="1"/>
  <c r="H3456" i="1"/>
  <c r="G3456" i="1"/>
  <c r="E3456" i="1"/>
  <c r="B3456" i="1"/>
  <c r="A3456" i="1"/>
  <c r="H3455" i="1"/>
  <c r="G3455" i="1"/>
  <c r="E3455" i="1"/>
  <c r="B3455" i="1"/>
  <c r="A3455" i="1"/>
  <c r="H3454" i="1"/>
  <c r="G3454" i="1"/>
  <c r="E3454" i="1"/>
  <c r="B3454" i="1"/>
  <c r="A3454" i="1"/>
  <c r="H3453" i="1"/>
  <c r="G3453" i="1"/>
  <c r="E3453" i="1"/>
  <c r="B3453" i="1"/>
  <c r="A3453" i="1"/>
  <c r="H3452" i="1"/>
  <c r="G3452" i="1"/>
  <c r="E3452" i="1"/>
  <c r="B3452" i="1"/>
  <c r="A3452" i="1"/>
  <c r="H3451" i="1"/>
  <c r="G3451" i="1"/>
  <c r="E3451" i="1"/>
  <c r="B3451" i="1"/>
  <c r="A3451" i="1"/>
  <c r="H3450" i="1"/>
  <c r="G3450" i="1"/>
  <c r="E3450" i="1"/>
  <c r="B3450" i="1"/>
  <c r="A3450" i="1"/>
  <c r="H3449" i="1"/>
  <c r="G3449" i="1"/>
  <c r="E3449" i="1"/>
  <c r="B3449" i="1"/>
  <c r="A3449" i="1"/>
  <c r="H3448" i="1"/>
  <c r="G3448" i="1"/>
  <c r="E3448" i="1"/>
  <c r="B3448" i="1"/>
  <c r="A3448" i="1"/>
  <c r="H3447" i="1"/>
  <c r="G3447" i="1"/>
  <c r="E3447" i="1"/>
  <c r="B3447" i="1"/>
  <c r="A3447" i="1"/>
  <c r="H3446" i="1"/>
  <c r="G3446" i="1"/>
  <c r="E3446" i="1"/>
  <c r="B3446" i="1"/>
  <c r="A3446" i="1"/>
  <c r="H3445" i="1"/>
  <c r="G3445" i="1"/>
  <c r="E3445" i="1"/>
  <c r="B3445" i="1"/>
  <c r="A3445" i="1"/>
  <c r="H3444" i="1"/>
  <c r="G3444" i="1"/>
  <c r="E3444" i="1"/>
  <c r="B3444" i="1"/>
  <c r="A3444" i="1"/>
  <c r="H3443" i="1"/>
  <c r="G3443" i="1"/>
  <c r="E3443" i="1"/>
  <c r="B3443" i="1"/>
  <c r="A3443" i="1"/>
  <c r="H3442" i="1"/>
  <c r="G3442" i="1"/>
  <c r="E3442" i="1"/>
  <c r="B3442" i="1"/>
  <c r="A3442" i="1"/>
  <c r="H3441" i="1"/>
  <c r="G3441" i="1"/>
  <c r="E3441" i="1"/>
  <c r="B3441" i="1"/>
  <c r="A3441" i="1"/>
  <c r="H3440" i="1"/>
  <c r="G3440" i="1"/>
  <c r="E3440" i="1"/>
  <c r="B3440" i="1"/>
  <c r="A3440" i="1"/>
  <c r="H3439" i="1"/>
  <c r="G3439" i="1"/>
  <c r="E3439" i="1"/>
  <c r="B3439" i="1"/>
  <c r="A3439" i="1"/>
  <c r="H3438" i="1"/>
  <c r="G3438" i="1"/>
  <c r="E3438" i="1"/>
  <c r="B3438" i="1"/>
  <c r="A3438" i="1"/>
  <c r="H3437" i="1"/>
  <c r="G3437" i="1"/>
  <c r="E3437" i="1"/>
  <c r="B3437" i="1"/>
  <c r="A3437" i="1"/>
  <c r="H3436" i="1"/>
  <c r="G3436" i="1"/>
  <c r="E3436" i="1"/>
  <c r="B3436" i="1"/>
  <c r="A3436" i="1"/>
  <c r="H3435" i="1"/>
  <c r="G3435" i="1"/>
  <c r="E3435" i="1"/>
  <c r="B3435" i="1"/>
  <c r="A3435" i="1"/>
  <c r="H3434" i="1"/>
  <c r="G3434" i="1"/>
  <c r="E3434" i="1"/>
  <c r="B3434" i="1"/>
  <c r="A3434" i="1"/>
  <c r="H3433" i="1"/>
  <c r="G3433" i="1"/>
  <c r="E3433" i="1"/>
  <c r="B3433" i="1"/>
  <c r="A3433" i="1"/>
  <c r="H3432" i="1"/>
  <c r="G3432" i="1"/>
  <c r="E3432" i="1"/>
  <c r="B3432" i="1"/>
  <c r="A3432" i="1"/>
  <c r="H3431" i="1"/>
  <c r="G3431" i="1"/>
  <c r="E3431" i="1"/>
  <c r="B3431" i="1"/>
  <c r="A3431" i="1"/>
  <c r="H3430" i="1"/>
  <c r="G3430" i="1"/>
  <c r="E3430" i="1"/>
  <c r="B3430" i="1"/>
  <c r="A3430" i="1"/>
  <c r="H3429" i="1"/>
  <c r="G3429" i="1"/>
  <c r="E3429" i="1"/>
  <c r="B3429" i="1"/>
  <c r="A3429" i="1"/>
  <c r="H3428" i="1"/>
  <c r="G3428" i="1"/>
  <c r="E3428" i="1"/>
  <c r="B3428" i="1"/>
  <c r="A3428" i="1"/>
  <c r="H3427" i="1"/>
  <c r="G3427" i="1"/>
  <c r="E3427" i="1"/>
  <c r="B3427" i="1"/>
  <c r="A3427" i="1"/>
  <c r="H3426" i="1"/>
  <c r="G3426" i="1"/>
  <c r="E3426" i="1"/>
  <c r="B3426" i="1"/>
  <c r="A3426" i="1"/>
  <c r="H3425" i="1"/>
  <c r="G3425" i="1"/>
  <c r="E3425" i="1"/>
  <c r="B3425" i="1"/>
  <c r="A3425" i="1"/>
  <c r="H3424" i="1"/>
  <c r="G3424" i="1"/>
  <c r="E3424" i="1"/>
  <c r="B3424" i="1"/>
  <c r="A3424" i="1"/>
  <c r="H3423" i="1"/>
  <c r="G3423" i="1"/>
  <c r="E3423" i="1"/>
  <c r="B3423" i="1"/>
  <c r="A3423" i="1"/>
  <c r="H3422" i="1"/>
  <c r="G3422" i="1"/>
  <c r="E3422" i="1"/>
  <c r="B3422" i="1"/>
  <c r="A3422" i="1"/>
  <c r="H3421" i="1"/>
  <c r="G3421" i="1"/>
  <c r="E3421" i="1"/>
  <c r="B3421" i="1"/>
  <c r="A3421" i="1"/>
  <c r="H3420" i="1"/>
  <c r="G3420" i="1"/>
  <c r="E3420" i="1"/>
  <c r="B3420" i="1"/>
  <c r="A3420" i="1"/>
  <c r="H3419" i="1"/>
  <c r="G3419" i="1"/>
  <c r="E3419" i="1"/>
  <c r="B3419" i="1"/>
  <c r="A3419" i="1"/>
  <c r="H3418" i="1"/>
  <c r="G3418" i="1"/>
  <c r="E3418" i="1"/>
  <c r="B3418" i="1"/>
  <c r="A3418" i="1"/>
  <c r="H3417" i="1"/>
  <c r="G3417" i="1"/>
  <c r="E3417" i="1"/>
  <c r="B3417" i="1"/>
  <c r="A3417" i="1"/>
  <c r="H3416" i="1"/>
  <c r="G3416" i="1"/>
  <c r="E3416" i="1"/>
  <c r="B3416" i="1"/>
  <c r="A3416" i="1"/>
  <c r="H3415" i="1"/>
  <c r="G3415" i="1"/>
  <c r="E3415" i="1"/>
  <c r="B3415" i="1"/>
  <c r="A3415" i="1"/>
  <c r="H3414" i="1"/>
  <c r="G3414" i="1"/>
  <c r="E3414" i="1"/>
  <c r="B3414" i="1"/>
  <c r="A3414" i="1"/>
  <c r="H3413" i="1"/>
  <c r="G3413" i="1"/>
  <c r="E3413" i="1"/>
  <c r="B3413" i="1"/>
  <c r="A3413" i="1"/>
  <c r="H3412" i="1"/>
  <c r="G3412" i="1"/>
  <c r="E3412" i="1"/>
  <c r="B3412" i="1"/>
  <c r="A3412" i="1"/>
  <c r="H3411" i="1"/>
  <c r="G3411" i="1"/>
  <c r="E3411" i="1"/>
  <c r="B3411" i="1"/>
  <c r="A3411" i="1"/>
  <c r="H3410" i="1"/>
  <c r="G3410" i="1"/>
  <c r="E3410" i="1"/>
  <c r="B3410" i="1"/>
  <c r="A3410" i="1"/>
  <c r="H3409" i="1"/>
  <c r="G3409" i="1"/>
  <c r="E3409" i="1"/>
  <c r="B3409" i="1"/>
  <c r="A3409" i="1"/>
  <c r="H3408" i="1"/>
  <c r="G3408" i="1"/>
  <c r="E3408" i="1"/>
  <c r="B3408" i="1"/>
  <c r="A3408" i="1"/>
  <c r="H3407" i="1"/>
  <c r="G3407" i="1"/>
  <c r="E3407" i="1"/>
  <c r="B3407" i="1"/>
  <c r="A3407" i="1"/>
  <c r="H3406" i="1"/>
  <c r="G3406" i="1"/>
  <c r="E3406" i="1"/>
  <c r="B3406" i="1"/>
  <c r="A3406" i="1"/>
  <c r="H3405" i="1"/>
  <c r="G3405" i="1"/>
  <c r="E3405" i="1"/>
  <c r="B3405" i="1"/>
  <c r="A3405" i="1"/>
  <c r="H3404" i="1"/>
  <c r="G3404" i="1"/>
  <c r="E3404" i="1"/>
  <c r="B3404" i="1"/>
  <c r="A3404" i="1"/>
  <c r="H3403" i="1"/>
  <c r="G3403" i="1"/>
  <c r="E3403" i="1"/>
  <c r="B3403" i="1"/>
  <c r="A3403" i="1"/>
  <c r="H3402" i="1"/>
  <c r="G3402" i="1"/>
  <c r="E3402" i="1"/>
  <c r="B3402" i="1"/>
  <c r="A3402" i="1"/>
  <c r="H3401" i="1"/>
  <c r="G3401" i="1"/>
  <c r="E3401" i="1"/>
  <c r="B3401" i="1"/>
  <c r="A3401" i="1"/>
  <c r="H3400" i="1"/>
  <c r="G3400" i="1"/>
  <c r="B3400" i="1"/>
  <c r="A3400" i="1"/>
  <c r="H3399" i="1"/>
  <c r="G3399" i="1"/>
  <c r="E3399" i="1"/>
  <c r="B3399" i="1"/>
  <c r="A3399" i="1"/>
  <c r="H3398" i="1"/>
  <c r="G3398" i="1"/>
  <c r="E3398" i="1"/>
  <c r="B3398" i="1"/>
  <c r="A3398" i="1"/>
  <c r="H3397" i="1"/>
  <c r="G3397" i="1"/>
  <c r="E3397" i="1"/>
  <c r="B3397" i="1"/>
  <c r="A3397" i="1"/>
  <c r="H3396" i="1"/>
  <c r="G3396" i="1"/>
  <c r="E3396" i="1"/>
  <c r="B3396" i="1"/>
  <c r="A3396" i="1"/>
  <c r="H3395" i="1"/>
  <c r="G3395" i="1"/>
  <c r="E3395" i="1"/>
  <c r="B3395" i="1"/>
  <c r="A3395" i="1"/>
  <c r="H3394" i="1"/>
  <c r="G3394" i="1"/>
  <c r="E3394" i="1"/>
  <c r="B3394" i="1"/>
  <c r="A3394" i="1"/>
  <c r="H3393" i="1"/>
  <c r="G3393" i="1"/>
  <c r="E3393" i="1"/>
  <c r="B3393" i="1"/>
  <c r="A3393" i="1"/>
  <c r="H3392" i="1"/>
  <c r="G3392" i="1"/>
  <c r="E3392" i="1"/>
  <c r="B3392" i="1"/>
  <c r="A3392" i="1"/>
  <c r="H3391" i="1"/>
  <c r="G3391" i="1"/>
  <c r="E3391" i="1"/>
  <c r="B3391" i="1"/>
  <c r="A3391" i="1"/>
  <c r="H3390" i="1"/>
  <c r="G3390" i="1"/>
  <c r="E3390" i="1"/>
  <c r="B3390" i="1"/>
  <c r="A3390" i="1"/>
  <c r="H3389" i="1"/>
  <c r="G3389" i="1"/>
  <c r="E3389" i="1"/>
  <c r="B3389" i="1"/>
  <c r="A3389" i="1"/>
  <c r="H3388" i="1"/>
  <c r="G3388" i="1"/>
  <c r="E3388" i="1"/>
  <c r="B3388" i="1"/>
  <c r="A3388" i="1"/>
  <c r="H3387" i="1"/>
  <c r="G3387" i="1"/>
  <c r="E3387" i="1"/>
  <c r="B3387" i="1"/>
  <c r="A3387" i="1"/>
  <c r="H3386" i="1"/>
  <c r="G3386" i="1"/>
  <c r="E3386" i="1"/>
  <c r="B3386" i="1"/>
  <c r="A3386" i="1"/>
  <c r="H3385" i="1"/>
  <c r="G3385" i="1"/>
  <c r="E3385" i="1"/>
  <c r="B3385" i="1"/>
  <c r="A3385" i="1"/>
  <c r="H3384" i="1"/>
  <c r="G3384" i="1"/>
  <c r="E3384" i="1"/>
  <c r="B3384" i="1"/>
  <c r="A3384" i="1"/>
  <c r="H3383" i="1"/>
  <c r="G3383" i="1"/>
  <c r="E3383" i="1"/>
  <c r="B3383" i="1"/>
  <c r="A3383" i="1"/>
  <c r="H3382" i="1"/>
  <c r="G3382" i="1"/>
  <c r="E3382" i="1"/>
  <c r="B3382" i="1"/>
  <c r="A3382" i="1"/>
  <c r="H3381" i="1"/>
  <c r="G3381" i="1"/>
  <c r="E3381" i="1"/>
  <c r="B3381" i="1"/>
  <c r="A3381" i="1"/>
  <c r="H3380" i="1"/>
  <c r="G3380" i="1"/>
  <c r="E3380" i="1"/>
  <c r="B3380" i="1"/>
  <c r="A3380" i="1"/>
  <c r="H3379" i="1"/>
  <c r="G3379" i="1"/>
  <c r="E3379" i="1"/>
  <c r="B3379" i="1"/>
  <c r="A3379" i="1"/>
  <c r="H3378" i="1"/>
  <c r="G3378" i="1"/>
  <c r="E3378" i="1"/>
  <c r="B3378" i="1"/>
  <c r="A3378" i="1"/>
  <c r="H3377" i="1"/>
  <c r="G3377" i="1"/>
  <c r="E3377" i="1"/>
  <c r="B3377" i="1"/>
  <c r="A3377" i="1"/>
  <c r="H3376" i="1"/>
  <c r="G3376" i="1"/>
  <c r="E3376" i="1"/>
  <c r="B3376" i="1"/>
  <c r="A3376" i="1"/>
  <c r="H3375" i="1"/>
  <c r="G3375" i="1"/>
  <c r="E3375" i="1"/>
  <c r="B3375" i="1"/>
  <c r="A3375" i="1"/>
  <c r="H3374" i="1"/>
  <c r="G3374" i="1"/>
  <c r="E3374" i="1"/>
  <c r="B3374" i="1"/>
  <c r="A3374" i="1"/>
  <c r="H3373" i="1"/>
  <c r="G3373" i="1"/>
  <c r="E3373" i="1"/>
  <c r="B3373" i="1"/>
  <c r="A3373" i="1"/>
  <c r="H3372" i="1"/>
  <c r="G3372" i="1"/>
  <c r="E3372" i="1"/>
  <c r="B3372" i="1"/>
  <c r="A3372" i="1"/>
  <c r="H3371" i="1"/>
  <c r="G3371" i="1"/>
  <c r="E3371" i="1"/>
  <c r="B3371" i="1"/>
  <c r="A3371" i="1"/>
  <c r="H3370" i="1"/>
  <c r="G3370" i="1"/>
  <c r="E3370" i="1"/>
  <c r="B3370" i="1"/>
  <c r="A3370" i="1"/>
  <c r="H3369" i="1"/>
  <c r="G3369" i="1"/>
  <c r="E3369" i="1"/>
  <c r="B3369" i="1"/>
  <c r="A3369" i="1"/>
  <c r="H3368" i="1"/>
  <c r="G3368" i="1"/>
  <c r="E3368" i="1"/>
  <c r="B3368" i="1"/>
  <c r="A3368" i="1"/>
  <c r="H3367" i="1"/>
  <c r="G3367" i="1"/>
  <c r="E3367" i="1"/>
  <c r="B3367" i="1"/>
  <c r="A3367" i="1"/>
  <c r="H3366" i="1"/>
  <c r="G3366" i="1"/>
  <c r="E3366" i="1"/>
  <c r="B3366" i="1"/>
  <c r="A3366" i="1"/>
  <c r="H3365" i="1"/>
  <c r="G3365" i="1"/>
  <c r="E3365" i="1"/>
  <c r="B3365" i="1"/>
  <c r="A3365" i="1"/>
  <c r="H3364" i="1"/>
  <c r="G3364" i="1"/>
  <c r="E3364" i="1"/>
  <c r="B3364" i="1"/>
  <c r="A3364" i="1"/>
  <c r="H3363" i="1"/>
  <c r="G3363" i="1"/>
  <c r="E3363" i="1"/>
  <c r="B3363" i="1"/>
  <c r="A3363" i="1"/>
  <c r="H3362" i="1"/>
  <c r="G3362" i="1"/>
  <c r="E3362" i="1"/>
  <c r="B3362" i="1"/>
  <c r="A3362" i="1"/>
  <c r="H3361" i="1"/>
  <c r="G3361" i="1"/>
  <c r="E3361" i="1"/>
  <c r="B3361" i="1"/>
  <c r="A3361" i="1"/>
  <c r="H3360" i="1"/>
  <c r="G3360" i="1"/>
  <c r="E3360" i="1"/>
  <c r="B3360" i="1"/>
  <c r="A3360" i="1"/>
  <c r="H3359" i="1"/>
  <c r="G3359" i="1"/>
  <c r="E3359" i="1"/>
  <c r="B3359" i="1"/>
  <c r="A3359" i="1"/>
  <c r="H3358" i="1"/>
  <c r="G3358" i="1"/>
  <c r="E3358" i="1"/>
  <c r="B3358" i="1"/>
  <c r="A3358" i="1"/>
  <c r="H3357" i="1"/>
  <c r="G3357" i="1"/>
  <c r="E3357" i="1"/>
  <c r="B3357" i="1"/>
  <c r="A3357" i="1"/>
  <c r="H3356" i="1"/>
  <c r="G3356" i="1"/>
  <c r="E3356" i="1"/>
  <c r="B3356" i="1"/>
  <c r="A3356" i="1"/>
  <c r="H3355" i="1"/>
  <c r="G3355" i="1"/>
  <c r="E3355" i="1"/>
  <c r="B3355" i="1"/>
  <c r="A3355" i="1"/>
  <c r="H3354" i="1"/>
  <c r="G3354" i="1"/>
  <c r="E3354" i="1"/>
  <c r="B3354" i="1"/>
  <c r="A3354" i="1"/>
  <c r="H3353" i="1"/>
  <c r="G3353" i="1"/>
  <c r="E3353" i="1"/>
  <c r="B3353" i="1"/>
  <c r="A3353" i="1"/>
  <c r="H3352" i="1"/>
  <c r="G3352" i="1"/>
  <c r="E3352" i="1"/>
  <c r="B3352" i="1"/>
  <c r="A3352" i="1"/>
  <c r="H3351" i="1"/>
  <c r="G3351" i="1"/>
  <c r="E3351" i="1"/>
  <c r="B3351" i="1"/>
  <c r="A3351" i="1"/>
  <c r="H3350" i="1"/>
  <c r="G3350" i="1"/>
  <c r="E3350" i="1"/>
  <c r="B3350" i="1"/>
  <c r="A3350" i="1"/>
  <c r="H3349" i="1"/>
  <c r="G3349" i="1"/>
  <c r="E3349" i="1"/>
  <c r="B3349" i="1"/>
  <c r="A3349" i="1"/>
  <c r="H3348" i="1"/>
  <c r="G3348" i="1"/>
  <c r="E3348" i="1"/>
  <c r="B3348" i="1"/>
  <c r="A3348" i="1"/>
  <c r="H3347" i="1"/>
  <c r="G3347" i="1"/>
  <c r="E3347" i="1"/>
  <c r="B3347" i="1"/>
  <c r="A3347" i="1"/>
  <c r="H3346" i="1"/>
  <c r="G3346" i="1"/>
  <c r="E3346" i="1"/>
  <c r="B3346" i="1"/>
  <c r="A3346" i="1"/>
  <c r="H3345" i="1"/>
  <c r="G3345" i="1"/>
  <c r="E3345" i="1"/>
  <c r="B3345" i="1"/>
  <c r="A3345" i="1"/>
  <c r="H3344" i="1"/>
  <c r="G3344" i="1"/>
  <c r="E3344" i="1"/>
  <c r="B3344" i="1"/>
  <c r="A3344" i="1"/>
  <c r="H3343" i="1"/>
  <c r="G3343" i="1"/>
  <c r="E3343" i="1"/>
  <c r="B3343" i="1"/>
  <c r="A3343" i="1"/>
  <c r="H3342" i="1"/>
  <c r="G3342" i="1"/>
  <c r="E3342" i="1"/>
  <c r="B3342" i="1"/>
  <c r="A3342" i="1"/>
  <c r="H3341" i="1"/>
  <c r="G3341" i="1"/>
  <c r="E3341" i="1"/>
  <c r="B3341" i="1"/>
  <c r="A3341" i="1"/>
  <c r="H3340" i="1"/>
  <c r="G3340" i="1"/>
  <c r="E3340" i="1"/>
  <c r="B3340" i="1"/>
  <c r="A3340" i="1"/>
  <c r="H3339" i="1"/>
  <c r="G3339" i="1"/>
  <c r="E3339" i="1"/>
  <c r="B3339" i="1"/>
  <c r="A3339" i="1"/>
  <c r="H3338" i="1"/>
  <c r="G3338" i="1"/>
  <c r="E3338" i="1"/>
  <c r="B3338" i="1"/>
  <c r="A3338" i="1"/>
  <c r="H3337" i="1"/>
  <c r="G3337" i="1"/>
  <c r="E3337" i="1"/>
  <c r="B3337" i="1"/>
  <c r="A3337" i="1"/>
  <c r="H3336" i="1"/>
  <c r="G3336" i="1"/>
  <c r="E3336" i="1"/>
  <c r="B3336" i="1"/>
  <c r="A3336" i="1"/>
  <c r="H3335" i="1"/>
  <c r="G3335" i="1"/>
  <c r="E3335" i="1"/>
  <c r="B3335" i="1"/>
  <c r="A3335" i="1"/>
  <c r="H3334" i="1"/>
  <c r="G3334" i="1"/>
  <c r="E3334" i="1"/>
  <c r="B3334" i="1"/>
  <c r="A3334" i="1"/>
  <c r="H3333" i="1"/>
  <c r="G3333" i="1"/>
  <c r="E3333" i="1"/>
  <c r="B3333" i="1"/>
  <c r="A3333" i="1"/>
  <c r="H3332" i="1"/>
  <c r="G3332" i="1"/>
  <c r="E3332" i="1"/>
  <c r="B3332" i="1"/>
  <c r="A3332" i="1"/>
  <c r="H3331" i="1"/>
  <c r="G3331" i="1"/>
  <c r="E3331" i="1"/>
  <c r="B3331" i="1"/>
  <c r="A3331" i="1"/>
  <c r="H3330" i="1"/>
  <c r="G3330" i="1"/>
  <c r="E3330" i="1"/>
  <c r="B3330" i="1"/>
  <c r="A3330" i="1"/>
  <c r="H3329" i="1"/>
  <c r="G3329" i="1"/>
  <c r="E3329" i="1"/>
  <c r="B3329" i="1"/>
  <c r="A3329" i="1"/>
  <c r="H3328" i="1"/>
  <c r="G3328" i="1"/>
  <c r="E3328" i="1"/>
  <c r="B3328" i="1"/>
  <c r="A3328" i="1"/>
  <c r="H3327" i="1"/>
  <c r="G3327" i="1"/>
  <c r="E3327" i="1"/>
  <c r="B3327" i="1"/>
  <c r="A3327" i="1"/>
  <c r="H3326" i="1"/>
  <c r="G3326" i="1"/>
  <c r="E3326" i="1"/>
  <c r="B3326" i="1"/>
  <c r="A3326" i="1"/>
  <c r="H3325" i="1"/>
  <c r="G3325" i="1"/>
  <c r="E3325" i="1"/>
  <c r="B3325" i="1"/>
  <c r="A3325" i="1"/>
  <c r="H3324" i="1"/>
  <c r="G3324" i="1"/>
  <c r="E3324" i="1"/>
  <c r="B3324" i="1"/>
  <c r="A3324" i="1"/>
  <c r="H3323" i="1"/>
  <c r="G3323" i="1"/>
  <c r="E3323" i="1"/>
  <c r="B3323" i="1"/>
  <c r="A3323" i="1"/>
  <c r="H3322" i="1"/>
  <c r="G3322" i="1"/>
  <c r="E3322" i="1"/>
  <c r="B3322" i="1"/>
  <c r="A3322" i="1"/>
  <c r="H3321" i="1"/>
  <c r="G3321" i="1"/>
  <c r="E3321" i="1"/>
  <c r="B3321" i="1"/>
  <c r="A3321" i="1"/>
  <c r="H3320" i="1"/>
  <c r="G3320" i="1"/>
  <c r="E3320" i="1"/>
  <c r="B3320" i="1"/>
  <c r="A3320" i="1"/>
  <c r="H3319" i="1"/>
  <c r="G3319" i="1"/>
  <c r="E3319" i="1"/>
  <c r="B3319" i="1"/>
  <c r="A3319" i="1"/>
  <c r="H3318" i="1"/>
  <c r="G3318" i="1"/>
  <c r="E3318" i="1"/>
  <c r="B3318" i="1"/>
  <c r="A3318" i="1"/>
  <c r="H3317" i="1"/>
  <c r="G3317" i="1"/>
  <c r="E3317" i="1"/>
  <c r="B3317" i="1"/>
  <c r="A3317" i="1"/>
  <c r="H3316" i="1"/>
  <c r="G3316" i="1"/>
  <c r="E3316" i="1"/>
  <c r="B3316" i="1"/>
  <c r="A3316" i="1"/>
  <c r="H3315" i="1"/>
  <c r="G3315" i="1"/>
  <c r="E3315" i="1"/>
  <c r="B3315" i="1"/>
  <c r="A3315" i="1"/>
  <c r="H3314" i="1"/>
  <c r="G3314" i="1"/>
  <c r="E3314" i="1"/>
  <c r="B3314" i="1"/>
  <c r="A3314" i="1"/>
  <c r="H3313" i="1"/>
  <c r="G3313" i="1"/>
  <c r="E3313" i="1"/>
  <c r="B3313" i="1"/>
  <c r="A3313" i="1"/>
  <c r="H3312" i="1"/>
  <c r="G3312" i="1"/>
  <c r="E3312" i="1"/>
  <c r="B3312" i="1"/>
  <c r="A3312" i="1"/>
  <c r="H3311" i="1"/>
  <c r="G3311" i="1"/>
  <c r="E3311" i="1"/>
  <c r="B3311" i="1"/>
  <c r="A3311" i="1"/>
  <c r="H3310" i="1"/>
  <c r="G3310" i="1"/>
  <c r="E3310" i="1"/>
  <c r="B3310" i="1"/>
  <c r="A3310" i="1"/>
  <c r="H3309" i="1"/>
  <c r="G3309" i="1"/>
  <c r="E3309" i="1"/>
  <c r="B3309" i="1"/>
  <c r="A3309" i="1"/>
  <c r="H3308" i="1"/>
  <c r="G3308" i="1"/>
  <c r="E3308" i="1"/>
  <c r="B3308" i="1"/>
  <c r="A3308" i="1"/>
  <c r="H3307" i="1"/>
  <c r="G3307" i="1"/>
  <c r="E3307" i="1"/>
  <c r="B3307" i="1"/>
  <c r="A3307" i="1"/>
  <c r="H3306" i="1"/>
  <c r="G3306" i="1"/>
  <c r="E3306" i="1"/>
  <c r="B3306" i="1"/>
  <c r="A3306" i="1"/>
  <c r="H3305" i="1"/>
  <c r="G3305" i="1"/>
  <c r="E3305" i="1"/>
  <c r="B3305" i="1"/>
  <c r="A3305" i="1"/>
  <c r="H3304" i="1"/>
  <c r="G3304" i="1"/>
  <c r="E3304" i="1"/>
  <c r="B3304" i="1"/>
  <c r="A3304" i="1"/>
  <c r="H3303" i="1"/>
  <c r="G3303" i="1"/>
  <c r="E3303" i="1"/>
  <c r="B3303" i="1"/>
  <c r="A3303" i="1"/>
  <c r="H3302" i="1"/>
  <c r="G3302" i="1"/>
  <c r="E3302" i="1"/>
  <c r="B3302" i="1"/>
  <c r="A3302" i="1"/>
  <c r="H3301" i="1"/>
  <c r="G3301" i="1"/>
  <c r="E3301" i="1"/>
  <c r="B3301" i="1"/>
  <c r="A3301" i="1"/>
  <c r="H3300" i="1"/>
  <c r="G3300" i="1"/>
  <c r="E3300" i="1"/>
  <c r="B3300" i="1"/>
  <c r="A3300" i="1"/>
  <c r="H3299" i="1"/>
  <c r="G3299" i="1"/>
  <c r="E3299" i="1"/>
  <c r="B3299" i="1"/>
  <c r="A3299" i="1"/>
  <c r="H3298" i="1"/>
  <c r="G3298" i="1"/>
  <c r="E3298" i="1"/>
  <c r="B3298" i="1"/>
  <c r="A3298" i="1"/>
  <c r="H3297" i="1"/>
  <c r="G3297" i="1"/>
  <c r="E3297" i="1"/>
  <c r="B3297" i="1"/>
  <c r="A3297" i="1"/>
  <c r="H3296" i="1"/>
  <c r="G3296" i="1"/>
  <c r="E3296" i="1"/>
  <c r="B3296" i="1"/>
  <c r="A3296" i="1"/>
  <c r="H3295" i="1"/>
  <c r="G3295" i="1"/>
  <c r="E3295" i="1"/>
  <c r="B3295" i="1"/>
  <c r="A3295" i="1"/>
  <c r="H3294" i="1"/>
  <c r="G3294" i="1"/>
  <c r="E3294" i="1"/>
  <c r="B3294" i="1"/>
  <c r="A3294" i="1"/>
  <c r="H3293" i="1"/>
  <c r="G3293" i="1"/>
  <c r="E3293" i="1"/>
  <c r="B3293" i="1"/>
  <c r="A3293" i="1"/>
  <c r="H3292" i="1"/>
  <c r="G3292" i="1"/>
  <c r="E3292" i="1"/>
  <c r="B3292" i="1"/>
  <c r="A3292" i="1"/>
  <c r="H3291" i="1"/>
  <c r="G3291" i="1"/>
  <c r="E3291" i="1"/>
  <c r="B3291" i="1"/>
  <c r="A3291" i="1"/>
  <c r="H3290" i="1"/>
  <c r="G3290" i="1"/>
  <c r="E3290" i="1"/>
  <c r="B3290" i="1"/>
  <c r="A3290" i="1"/>
  <c r="H3289" i="1"/>
  <c r="G3289" i="1"/>
  <c r="E3289" i="1"/>
  <c r="B3289" i="1"/>
  <c r="A3289" i="1"/>
  <c r="H3288" i="1"/>
  <c r="G3288" i="1"/>
  <c r="E3288" i="1"/>
  <c r="B3288" i="1"/>
  <c r="A3288" i="1"/>
  <c r="H3287" i="1"/>
  <c r="G3287" i="1"/>
  <c r="E3287" i="1"/>
  <c r="B3287" i="1"/>
  <c r="A3287" i="1"/>
  <c r="H3286" i="1"/>
  <c r="G3286" i="1"/>
  <c r="E3286" i="1"/>
  <c r="B3286" i="1"/>
  <c r="A3286" i="1"/>
  <c r="H3285" i="1"/>
  <c r="G3285" i="1"/>
  <c r="E3285" i="1"/>
  <c r="B3285" i="1"/>
  <c r="A3285" i="1"/>
  <c r="H3284" i="1"/>
  <c r="G3284" i="1"/>
  <c r="E3284" i="1"/>
  <c r="B3284" i="1"/>
  <c r="A3284" i="1"/>
  <c r="H3283" i="1"/>
  <c r="G3283" i="1"/>
  <c r="E3283" i="1"/>
  <c r="B3283" i="1"/>
  <c r="A3283" i="1"/>
  <c r="H3282" i="1"/>
  <c r="G3282" i="1"/>
  <c r="E3282" i="1"/>
  <c r="B3282" i="1"/>
  <c r="A3282" i="1"/>
  <c r="H3281" i="1"/>
  <c r="G3281" i="1"/>
  <c r="E3281" i="1"/>
  <c r="B3281" i="1"/>
  <c r="A3281" i="1"/>
  <c r="H3280" i="1"/>
  <c r="G3280" i="1"/>
  <c r="E3280" i="1"/>
  <c r="B3280" i="1"/>
  <c r="A3280" i="1"/>
  <c r="H3279" i="1"/>
  <c r="G3279" i="1"/>
  <c r="E3279" i="1"/>
  <c r="B3279" i="1"/>
  <c r="A3279" i="1"/>
  <c r="H3278" i="1"/>
  <c r="G3278" i="1"/>
  <c r="E3278" i="1"/>
  <c r="B3278" i="1"/>
  <c r="A3278" i="1"/>
  <c r="H3277" i="1"/>
  <c r="G3277" i="1"/>
  <c r="E3277" i="1"/>
  <c r="B3277" i="1"/>
  <c r="A3277" i="1"/>
  <c r="H3276" i="1"/>
  <c r="G3276" i="1"/>
  <c r="E3276" i="1"/>
  <c r="B3276" i="1"/>
  <c r="A3276" i="1"/>
  <c r="H3275" i="1"/>
  <c r="G3275" i="1"/>
  <c r="E3275" i="1"/>
  <c r="B3275" i="1"/>
  <c r="A3275" i="1"/>
  <c r="H3274" i="1"/>
  <c r="G3274" i="1"/>
  <c r="E3274" i="1"/>
  <c r="B3274" i="1"/>
  <c r="A3274" i="1"/>
  <c r="H3273" i="1"/>
  <c r="G3273" i="1"/>
  <c r="E3273" i="1"/>
  <c r="B3273" i="1"/>
  <c r="A3273" i="1"/>
  <c r="H3272" i="1"/>
  <c r="G3272" i="1"/>
  <c r="E3272" i="1"/>
  <c r="B3272" i="1"/>
  <c r="A3272" i="1"/>
  <c r="H3271" i="1"/>
  <c r="G3271" i="1"/>
  <c r="E3271" i="1"/>
  <c r="B3271" i="1"/>
  <c r="A3271" i="1"/>
  <c r="H3270" i="1"/>
  <c r="G3270" i="1"/>
  <c r="E3270" i="1"/>
  <c r="B3270" i="1"/>
  <c r="A3270" i="1"/>
  <c r="H3269" i="1"/>
  <c r="G3269" i="1"/>
  <c r="E3269" i="1"/>
  <c r="B3269" i="1"/>
  <c r="A3269" i="1"/>
  <c r="H3268" i="1"/>
  <c r="G3268" i="1"/>
  <c r="E3268" i="1"/>
  <c r="B3268" i="1"/>
  <c r="A3268" i="1"/>
  <c r="H3267" i="1"/>
  <c r="G3267" i="1"/>
  <c r="E3267" i="1"/>
  <c r="B3267" i="1"/>
  <c r="A3267" i="1"/>
  <c r="H3266" i="1"/>
  <c r="G3266" i="1"/>
  <c r="E3266" i="1"/>
  <c r="B3266" i="1"/>
  <c r="A3266" i="1"/>
  <c r="H3265" i="1"/>
  <c r="G3265" i="1"/>
  <c r="E3265" i="1"/>
  <c r="B3265" i="1"/>
  <c r="A3265" i="1"/>
  <c r="H3264" i="1"/>
  <c r="G3264" i="1"/>
  <c r="E3264" i="1"/>
  <c r="B3264" i="1"/>
  <c r="A3264" i="1"/>
  <c r="H3263" i="1"/>
  <c r="G3263" i="1"/>
  <c r="E3263" i="1"/>
  <c r="B3263" i="1"/>
  <c r="A3263" i="1"/>
  <c r="H3262" i="1"/>
  <c r="G3262" i="1"/>
  <c r="E3262" i="1"/>
  <c r="B3262" i="1"/>
  <c r="A3262" i="1"/>
  <c r="H3261" i="1"/>
  <c r="G3261" i="1"/>
  <c r="E3261" i="1"/>
  <c r="B3261" i="1"/>
  <c r="A3261" i="1"/>
  <c r="H3260" i="1"/>
  <c r="G3260" i="1"/>
  <c r="E3260" i="1"/>
  <c r="B3260" i="1"/>
  <c r="A3260" i="1"/>
  <c r="H3259" i="1"/>
  <c r="G3259" i="1"/>
  <c r="E3259" i="1"/>
  <c r="B3259" i="1"/>
  <c r="A3259" i="1"/>
  <c r="H3258" i="1"/>
  <c r="G3258" i="1"/>
  <c r="E3258" i="1"/>
  <c r="B3258" i="1"/>
  <c r="A3258" i="1"/>
  <c r="H3257" i="1"/>
  <c r="G3257" i="1"/>
  <c r="E3257" i="1"/>
  <c r="B3257" i="1"/>
  <c r="A3257" i="1"/>
  <c r="H3256" i="1"/>
  <c r="G3256" i="1"/>
  <c r="E3256" i="1"/>
  <c r="B3256" i="1"/>
  <c r="A3256" i="1"/>
  <c r="H3255" i="1"/>
  <c r="G3255" i="1"/>
  <c r="E3255" i="1"/>
  <c r="B3255" i="1"/>
  <c r="A3255" i="1"/>
  <c r="H3254" i="1"/>
  <c r="G3254" i="1"/>
  <c r="E3254" i="1"/>
  <c r="B3254" i="1"/>
  <c r="A3254" i="1"/>
  <c r="H3253" i="1"/>
  <c r="G3253" i="1"/>
  <c r="E3253" i="1"/>
  <c r="B3253" i="1"/>
  <c r="A3253" i="1"/>
  <c r="H3252" i="1"/>
  <c r="G3252" i="1"/>
  <c r="E3252" i="1"/>
  <c r="B3252" i="1"/>
  <c r="A3252" i="1"/>
  <c r="H3251" i="1"/>
  <c r="G3251" i="1"/>
  <c r="E3251" i="1"/>
  <c r="B3251" i="1"/>
  <c r="A3251" i="1"/>
  <c r="H3250" i="1"/>
  <c r="G3250" i="1"/>
  <c r="B3250" i="1"/>
  <c r="A3250" i="1"/>
  <c r="H3249" i="1"/>
  <c r="G3249" i="1"/>
  <c r="E3249" i="1"/>
  <c r="B3249" i="1"/>
  <c r="A3249" i="1"/>
  <c r="H3248" i="1"/>
  <c r="G3248" i="1"/>
  <c r="E3248" i="1"/>
  <c r="B3248" i="1"/>
  <c r="A3248" i="1"/>
  <c r="H3247" i="1"/>
  <c r="G3247" i="1"/>
  <c r="E3247" i="1"/>
  <c r="B3247" i="1"/>
  <c r="A3247" i="1"/>
  <c r="H3246" i="1"/>
  <c r="G3246" i="1"/>
  <c r="E3246" i="1"/>
  <c r="B3246" i="1"/>
  <c r="A3246" i="1"/>
  <c r="H3245" i="1"/>
  <c r="G3245" i="1"/>
  <c r="E3245" i="1"/>
  <c r="B3245" i="1"/>
  <c r="A3245" i="1"/>
  <c r="H3244" i="1"/>
  <c r="G3244" i="1"/>
  <c r="E3244" i="1"/>
  <c r="B3244" i="1"/>
  <c r="A3244" i="1"/>
  <c r="H3243" i="1"/>
  <c r="G3243" i="1"/>
  <c r="E3243" i="1"/>
  <c r="B3243" i="1"/>
  <c r="A3243" i="1"/>
  <c r="H3242" i="1"/>
  <c r="G3242" i="1"/>
  <c r="E3242" i="1"/>
  <c r="B3242" i="1"/>
  <c r="A3242" i="1"/>
  <c r="H3241" i="1"/>
  <c r="G3241" i="1"/>
  <c r="E3241" i="1"/>
  <c r="B3241" i="1"/>
  <c r="A3241" i="1"/>
  <c r="H3240" i="1"/>
  <c r="G3240" i="1"/>
  <c r="E3240" i="1"/>
  <c r="B3240" i="1"/>
  <c r="A3240" i="1"/>
  <c r="H3239" i="1"/>
  <c r="G3239" i="1"/>
  <c r="E3239" i="1"/>
  <c r="B3239" i="1"/>
  <c r="A3239" i="1"/>
  <c r="H3238" i="1"/>
  <c r="G3238" i="1"/>
  <c r="E3238" i="1"/>
  <c r="B3238" i="1"/>
  <c r="A3238" i="1"/>
  <c r="H3237" i="1"/>
  <c r="G3237" i="1"/>
  <c r="E3237" i="1"/>
  <c r="B3237" i="1"/>
  <c r="A3237" i="1"/>
  <c r="H3236" i="1"/>
  <c r="G3236" i="1"/>
  <c r="E3236" i="1"/>
  <c r="B3236" i="1"/>
  <c r="A3236" i="1"/>
  <c r="H3235" i="1"/>
  <c r="G3235" i="1"/>
  <c r="E3235" i="1"/>
  <c r="B3235" i="1"/>
  <c r="A3235" i="1"/>
  <c r="H3234" i="1"/>
  <c r="G3234" i="1"/>
  <c r="E3234" i="1"/>
  <c r="B3234" i="1"/>
  <c r="A3234" i="1"/>
  <c r="H3233" i="1"/>
  <c r="G3233" i="1"/>
  <c r="E3233" i="1"/>
  <c r="B3233" i="1"/>
  <c r="A3233" i="1"/>
  <c r="H3232" i="1"/>
  <c r="G3232" i="1"/>
  <c r="E3232" i="1"/>
  <c r="B3232" i="1"/>
  <c r="A3232" i="1"/>
  <c r="H3231" i="1"/>
  <c r="G3231" i="1"/>
  <c r="E3231" i="1"/>
  <c r="B3231" i="1"/>
  <c r="A3231" i="1"/>
  <c r="H3230" i="1"/>
  <c r="G3230" i="1"/>
  <c r="E3230" i="1"/>
  <c r="B3230" i="1"/>
  <c r="A3230" i="1"/>
  <c r="H3229" i="1"/>
  <c r="G3229" i="1"/>
  <c r="E3229" i="1"/>
  <c r="B3229" i="1"/>
  <c r="A3229" i="1"/>
  <c r="H3228" i="1"/>
  <c r="G3228" i="1"/>
  <c r="E3228" i="1"/>
  <c r="B3228" i="1"/>
  <c r="A3228" i="1"/>
  <c r="H3227" i="1"/>
  <c r="G3227" i="1"/>
  <c r="E3227" i="1"/>
  <c r="B3227" i="1"/>
  <c r="A3227" i="1"/>
  <c r="H3226" i="1"/>
  <c r="G3226" i="1"/>
  <c r="E3226" i="1"/>
  <c r="B3226" i="1"/>
  <c r="A3226" i="1"/>
  <c r="H3225" i="1"/>
  <c r="G3225" i="1"/>
  <c r="E3225" i="1"/>
  <c r="B3225" i="1"/>
  <c r="A3225" i="1"/>
  <c r="H3224" i="1"/>
  <c r="G3224" i="1"/>
  <c r="E3224" i="1"/>
  <c r="B3224" i="1"/>
  <c r="A3224" i="1"/>
  <c r="H3223" i="1"/>
  <c r="G3223" i="1"/>
  <c r="E3223" i="1"/>
  <c r="B3223" i="1"/>
  <c r="A3223" i="1"/>
  <c r="H3222" i="1"/>
  <c r="G3222" i="1"/>
  <c r="E3222" i="1"/>
  <c r="B3222" i="1"/>
  <c r="A3222" i="1"/>
  <c r="H3221" i="1"/>
  <c r="G3221" i="1"/>
  <c r="E3221" i="1"/>
  <c r="B3221" i="1"/>
  <c r="A3221" i="1"/>
  <c r="H3220" i="1"/>
  <c r="G3220" i="1"/>
  <c r="E3220" i="1"/>
  <c r="B3220" i="1"/>
  <c r="A3220" i="1"/>
  <c r="H3219" i="1"/>
  <c r="G3219" i="1"/>
  <c r="E3219" i="1"/>
  <c r="B3219" i="1"/>
  <c r="A3219" i="1"/>
  <c r="H3218" i="1"/>
  <c r="G3218" i="1"/>
  <c r="E3218" i="1"/>
  <c r="B3218" i="1"/>
  <c r="A3218" i="1"/>
  <c r="H3217" i="1"/>
  <c r="G3217" i="1"/>
  <c r="E3217" i="1"/>
  <c r="B3217" i="1"/>
  <c r="A3217" i="1"/>
  <c r="H3216" i="1"/>
  <c r="G3216" i="1"/>
  <c r="E3216" i="1"/>
  <c r="B3216" i="1"/>
  <c r="A3216" i="1"/>
  <c r="H3215" i="1"/>
  <c r="G3215" i="1"/>
  <c r="E3215" i="1"/>
  <c r="B3215" i="1"/>
  <c r="A3215" i="1"/>
  <c r="H3214" i="1"/>
  <c r="G3214" i="1"/>
  <c r="E3214" i="1"/>
  <c r="B3214" i="1"/>
  <c r="A3214" i="1"/>
  <c r="H3213" i="1"/>
  <c r="G3213" i="1"/>
  <c r="E3213" i="1"/>
  <c r="B3213" i="1"/>
  <c r="A3213" i="1"/>
  <c r="H3212" i="1"/>
  <c r="G3212" i="1"/>
  <c r="E3212" i="1"/>
  <c r="B3212" i="1"/>
  <c r="A3212" i="1"/>
  <c r="H3211" i="1"/>
  <c r="G3211" i="1"/>
  <c r="E3211" i="1"/>
  <c r="B3211" i="1"/>
  <c r="A3211" i="1"/>
  <c r="H3210" i="1"/>
  <c r="G3210" i="1"/>
  <c r="E3210" i="1"/>
  <c r="B3210" i="1"/>
  <c r="A3210" i="1"/>
  <c r="H3209" i="1"/>
  <c r="G3209" i="1"/>
  <c r="E3209" i="1"/>
  <c r="B3209" i="1"/>
  <c r="A3209" i="1"/>
  <c r="H3208" i="1"/>
  <c r="G3208" i="1"/>
  <c r="E3208" i="1"/>
  <c r="B3208" i="1"/>
  <c r="A3208" i="1"/>
  <c r="H3207" i="1"/>
  <c r="G3207" i="1"/>
  <c r="E3207" i="1"/>
  <c r="B3207" i="1"/>
  <c r="A3207" i="1"/>
  <c r="H3206" i="1"/>
  <c r="G3206" i="1"/>
  <c r="E3206" i="1"/>
  <c r="B3206" i="1"/>
  <c r="A3206" i="1"/>
  <c r="H3205" i="1"/>
  <c r="G3205" i="1"/>
  <c r="E3205" i="1"/>
  <c r="B3205" i="1"/>
  <c r="A3205" i="1"/>
  <c r="H3204" i="1"/>
  <c r="G3204" i="1"/>
  <c r="E3204" i="1"/>
  <c r="B3204" i="1"/>
  <c r="A3204" i="1"/>
  <c r="H3203" i="1"/>
  <c r="G3203" i="1"/>
  <c r="E3203" i="1"/>
  <c r="B3203" i="1"/>
  <c r="A3203" i="1"/>
  <c r="H3202" i="1"/>
  <c r="G3202" i="1"/>
  <c r="E3202" i="1"/>
  <c r="B3202" i="1"/>
  <c r="A3202" i="1"/>
  <c r="H3201" i="1"/>
  <c r="G3201" i="1"/>
  <c r="E3201" i="1"/>
  <c r="B3201" i="1"/>
  <c r="A3201" i="1"/>
  <c r="H3200" i="1"/>
  <c r="G3200" i="1"/>
  <c r="E3200" i="1"/>
  <c r="B3200" i="1"/>
  <c r="A3200" i="1"/>
  <c r="H3199" i="1"/>
  <c r="G3199" i="1"/>
  <c r="E3199" i="1"/>
  <c r="B3199" i="1"/>
  <c r="A3199" i="1"/>
  <c r="H3198" i="1"/>
  <c r="G3198" i="1"/>
  <c r="E3198" i="1"/>
  <c r="B3198" i="1"/>
  <c r="A3198" i="1"/>
  <c r="H3197" i="1"/>
  <c r="G3197" i="1"/>
  <c r="E3197" i="1"/>
  <c r="B3197" i="1"/>
  <c r="A3197" i="1"/>
  <c r="H3196" i="1"/>
  <c r="G3196" i="1"/>
  <c r="E3196" i="1"/>
  <c r="B3196" i="1"/>
  <c r="A3196" i="1"/>
  <c r="H3195" i="1"/>
  <c r="G3195" i="1"/>
  <c r="E3195" i="1"/>
  <c r="B3195" i="1"/>
  <c r="A3195" i="1"/>
  <c r="H3194" i="1"/>
  <c r="G3194" i="1"/>
  <c r="E3194" i="1"/>
  <c r="B3194" i="1"/>
  <c r="A3194" i="1"/>
  <c r="H3193" i="1"/>
  <c r="G3193" i="1"/>
  <c r="E3193" i="1"/>
  <c r="B3193" i="1"/>
  <c r="A3193" i="1"/>
  <c r="H3192" i="1"/>
  <c r="G3192" i="1"/>
  <c r="E3192" i="1"/>
  <c r="B3192" i="1"/>
  <c r="A3192" i="1"/>
  <c r="H3191" i="1"/>
  <c r="G3191" i="1"/>
  <c r="E3191" i="1"/>
  <c r="B3191" i="1"/>
  <c r="A3191" i="1"/>
  <c r="H3190" i="1"/>
  <c r="G3190" i="1"/>
  <c r="E3190" i="1"/>
  <c r="B3190" i="1"/>
  <c r="A3190" i="1"/>
  <c r="H3189" i="1"/>
  <c r="G3189" i="1"/>
  <c r="E3189" i="1"/>
  <c r="B3189" i="1"/>
  <c r="A3189" i="1"/>
  <c r="H3188" i="1"/>
  <c r="G3188" i="1"/>
  <c r="E3188" i="1"/>
  <c r="B3188" i="1"/>
  <c r="A3188" i="1"/>
  <c r="H3187" i="1"/>
  <c r="G3187" i="1"/>
  <c r="E3187" i="1"/>
  <c r="B3187" i="1"/>
  <c r="A3187" i="1"/>
  <c r="H3186" i="1"/>
  <c r="G3186" i="1"/>
  <c r="E3186" i="1"/>
  <c r="B3186" i="1"/>
  <c r="A3186" i="1"/>
  <c r="H3185" i="1"/>
  <c r="G3185" i="1"/>
  <c r="E3185" i="1"/>
  <c r="B3185" i="1"/>
  <c r="A3185" i="1"/>
  <c r="H3184" i="1"/>
  <c r="G3184" i="1"/>
  <c r="E3184" i="1"/>
  <c r="B3184" i="1"/>
  <c r="A3184" i="1"/>
  <c r="H3183" i="1"/>
  <c r="G3183" i="1"/>
  <c r="E3183" i="1"/>
  <c r="B3183" i="1"/>
  <c r="A3183" i="1"/>
  <c r="H3182" i="1"/>
  <c r="G3182" i="1"/>
  <c r="E3182" i="1"/>
  <c r="B3182" i="1"/>
  <c r="A3182" i="1"/>
  <c r="H3181" i="1"/>
  <c r="G3181" i="1"/>
  <c r="E3181" i="1"/>
  <c r="B3181" i="1"/>
  <c r="A3181" i="1"/>
  <c r="H3180" i="1"/>
  <c r="G3180" i="1"/>
  <c r="E3180" i="1"/>
  <c r="B3180" i="1"/>
  <c r="A3180" i="1"/>
  <c r="H3179" i="1"/>
  <c r="G3179" i="1"/>
  <c r="E3179" i="1"/>
  <c r="B3179" i="1"/>
  <c r="A3179" i="1"/>
  <c r="H3178" i="1"/>
  <c r="G3178" i="1"/>
  <c r="E3178" i="1"/>
  <c r="B3178" i="1"/>
  <c r="A3178" i="1"/>
  <c r="H3177" i="1"/>
  <c r="G3177" i="1"/>
  <c r="E3177" i="1"/>
  <c r="B3177" i="1"/>
  <c r="A3177" i="1"/>
  <c r="H3176" i="1"/>
  <c r="G3176" i="1"/>
  <c r="E3176" i="1"/>
  <c r="B3176" i="1"/>
  <c r="A3176" i="1"/>
  <c r="H3175" i="1"/>
  <c r="G3175" i="1"/>
  <c r="E3175" i="1"/>
  <c r="B3175" i="1"/>
  <c r="A3175" i="1"/>
  <c r="H3174" i="1"/>
  <c r="G3174" i="1"/>
  <c r="B3174" i="1"/>
  <c r="A3174" i="1"/>
  <c r="H3173" i="1"/>
  <c r="G3173" i="1"/>
  <c r="E3173" i="1"/>
  <c r="B3173" i="1"/>
  <c r="A3173" i="1"/>
  <c r="H3172" i="1"/>
  <c r="G3172" i="1"/>
  <c r="E3172" i="1"/>
  <c r="B3172" i="1"/>
  <c r="A3172" i="1"/>
  <c r="H3171" i="1"/>
  <c r="G3171" i="1"/>
  <c r="E3171" i="1"/>
  <c r="B3171" i="1"/>
  <c r="A3171" i="1"/>
  <c r="H3170" i="1"/>
  <c r="G3170" i="1"/>
  <c r="E3170" i="1"/>
  <c r="B3170" i="1"/>
  <c r="A3170" i="1"/>
  <c r="H3169" i="1"/>
  <c r="G3169" i="1"/>
  <c r="E3169" i="1"/>
  <c r="B3169" i="1"/>
  <c r="A3169" i="1"/>
  <c r="H3168" i="1"/>
  <c r="G3168" i="1"/>
  <c r="E3168" i="1"/>
  <c r="B3168" i="1"/>
  <c r="A3168" i="1"/>
  <c r="H3167" i="1"/>
  <c r="G3167" i="1"/>
  <c r="E3167" i="1"/>
  <c r="B3167" i="1"/>
  <c r="A3167" i="1"/>
  <c r="H3166" i="1"/>
  <c r="G3166" i="1"/>
  <c r="E3166" i="1"/>
  <c r="B3166" i="1"/>
  <c r="A3166" i="1"/>
  <c r="H3165" i="1"/>
  <c r="G3165" i="1"/>
  <c r="E3165" i="1"/>
  <c r="B3165" i="1"/>
  <c r="A3165" i="1"/>
  <c r="H3164" i="1"/>
  <c r="G3164" i="1"/>
  <c r="E3164" i="1"/>
  <c r="B3164" i="1"/>
  <c r="A3164" i="1"/>
  <c r="H3163" i="1"/>
  <c r="G3163" i="1"/>
  <c r="E3163" i="1"/>
  <c r="B3163" i="1"/>
  <c r="A3163" i="1"/>
  <c r="H3162" i="1"/>
  <c r="G3162" i="1"/>
  <c r="E3162" i="1"/>
  <c r="B3162" i="1"/>
  <c r="A3162" i="1"/>
  <c r="H3161" i="1"/>
  <c r="G3161" i="1"/>
  <c r="E3161" i="1"/>
  <c r="B3161" i="1"/>
  <c r="A3161" i="1"/>
  <c r="H3160" i="1"/>
  <c r="G3160" i="1"/>
  <c r="E3160" i="1"/>
  <c r="B3160" i="1"/>
  <c r="A3160" i="1"/>
  <c r="H3159" i="1"/>
  <c r="G3159" i="1"/>
  <c r="E3159" i="1"/>
  <c r="B3159" i="1"/>
  <c r="A3159" i="1"/>
  <c r="H3158" i="1"/>
  <c r="G3158" i="1"/>
  <c r="E3158" i="1"/>
  <c r="B3158" i="1"/>
  <c r="A3158" i="1"/>
  <c r="H3157" i="1"/>
  <c r="G3157" i="1"/>
  <c r="E3157" i="1"/>
  <c r="B3157" i="1"/>
  <c r="A3157" i="1"/>
  <c r="H3156" i="1"/>
  <c r="G3156" i="1"/>
  <c r="E3156" i="1"/>
  <c r="B3156" i="1"/>
  <c r="A3156" i="1"/>
  <c r="H3155" i="1"/>
  <c r="G3155" i="1"/>
  <c r="E3155" i="1"/>
  <c r="B3155" i="1"/>
  <c r="A3155" i="1"/>
  <c r="H3154" i="1"/>
  <c r="G3154" i="1"/>
  <c r="E3154" i="1"/>
  <c r="B3154" i="1"/>
  <c r="A3154" i="1"/>
  <c r="H3153" i="1"/>
  <c r="G3153" i="1"/>
  <c r="E3153" i="1"/>
  <c r="B3153" i="1"/>
  <c r="A3153" i="1"/>
  <c r="H3152" i="1"/>
  <c r="G3152" i="1"/>
  <c r="E3152" i="1"/>
  <c r="B3152" i="1"/>
  <c r="A3152" i="1"/>
  <c r="H3151" i="1"/>
  <c r="G3151" i="1"/>
  <c r="E3151" i="1"/>
  <c r="B3151" i="1"/>
  <c r="A3151" i="1"/>
  <c r="H3150" i="1"/>
  <c r="G3150" i="1"/>
  <c r="E3150" i="1"/>
  <c r="B3150" i="1"/>
  <c r="A3150" i="1"/>
  <c r="H3149" i="1"/>
  <c r="G3149" i="1"/>
  <c r="E3149" i="1"/>
  <c r="B3149" i="1"/>
  <c r="A3149" i="1"/>
  <c r="H3148" i="1"/>
  <c r="G3148" i="1"/>
  <c r="E3148" i="1"/>
  <c r="B3148" i="1"/>
  <c r="A3148" i="1"/>
  <c r="H3147" i="1"/>
  <c r="G3147" i="1"/>
  <c r="E3147" i="1"/>
  <c r="B3147" i="1"/>
  <c r="A3147" i="1"/>
  <c r="H3146" i="1"/>
  <c r="G3146" i="1"/>
  <c r="E3146" i="1"/>
  <c r="B3146" i="1"/>
  <c r="A3146" i="1"/>
  <c r="H3145" i="1"/>
  <c r="G3145" i="1"/>
  <c r="E3145" i="1"/>
  <c r="B3145" i="1"/>
  <c r="A3145" i="1"/>
  <c r="H3144" i="1"/>
  <c r="G3144" i="1"/>
  <c r="E3144" i="1"/>
  <c r="B3144" i="1"/>
  <c r="A3144" i="1"/>
  <c r="H3143" i="1"/>
  <c r="G3143" i="1"/>
  <c r="E3143" i="1"/>
  <c r="B3143" i="1"/>
  <c r="A3143" i="1"/>
  <c r="H3142" i="1"/>
  <c r="G3142" i="1"/>
  <c r="E3142" i="1"/>
  <c r="B3142" i="1"/>
  <c r="A3142" i="1"/>
  <c r="H3141" i="1"/>
  <c r="G3141" i="1"/>
  <c r="E3141" i="1"/>
  <c r="B3141" i="1"/>
  <c r="A3141" i="1"/>
  <c r="H3140" i="1"/>
  <c r="G3140" i="1"/>
  <c r="E3140" i="1"/>
  <c r="B3140" i="1"/>
  <c r="A3140" i="1"/>
  <c r="H3139" i="1"/>
  <c r="G3139" i="1"/>
  <c r="E3139" i="1"/>
  <c r="B3139" i="1"/>
  <c r="A3139" i="1"/>
  <c r="H3138" i="1"/>
  <c r="G3138" i="1"/>
  <c r="E3138" i="1"/>
  <c r="B3138" i="1"/>
  <c r="A3138" i="1"/>
  <c r="H3137" i="1"/>
  <c r="G3137" i="1"/>
  <c r="E3137" i="1"/>
  <c r="B3137" i="1"/>
  <c r="A3137" i="1"/>
  <c r="H3136" i="1"/>
  <c r="G3136" i="1"/>
  <c r="E3136" i="1"/>
  <c r="B3136" i="1"/>
  <c r="A3136" i="1"/>
  <c r="H3135" i="1"/>
  <c r="G3135" i="1"/>
  <c r="E3135" i="1"/>
  <c r="B3135" i="1"/>
  <c r="A3135" i="1"/>
  <c r="H3134" i="1"/>
  <c r="G3134" i="1"/>
  <c r="E3134" i="1"/>
  <c r="B3134" i="1"/>
  <c r="A3134" i="1"/>
  <c r="H3133" i="1"/>
  <c r="G3133" i="1"/>
  <c r="E3133" i="1"/>
  <c r="B3133" i="1"/>
  <c r="A3133" i="1"/>
  <c r="H3132" i="1"/>
  <c r="G3132" i="1"/>
  <c r="E3132" i="1"/>
  <c r="B3132" i="1"/>
  <c r="A3132" i="1"/>
  <c r="H3131" i="1"/>
  <c r="G3131" i="1"/>
  <c r="E3131" i="1"/>
  <c r="B3131" i="1"/>
  <c r="A3131" i="1"/>
  <c r="H3130" i="1"/>
  <c r="G3130" i="1"/>
  <c r="E3130" i="1"/>
  <c r="B3130" i="1"/>
  <c r="A3130" i="1"/>
  <c r="H3129" i="1"/>
  <c r="G3129" i="1"/>
  <c r="E3129" i="1"/>
  <c r="B3129" i="1"/>
  <c r="A3129" i="1"/>
  <c r="H3128" i="1"/>
  <c r="G3128" i="1"/>
  <c r="E3128" i="1"/>
  <c r="B3128" i="1"/>
  <c r="A3128" i="1"/>
  <c r="H3127" i="1"/>
  <c r="G3127" i="1"/>
  <c r="E3127" i="1"/>
  <c r="B3127" i="1"/>
  <c r="A3127" i="1"/>
  <c r="H3126" i="1"/>
  <c r="G3126" i="1"/>
  <c r="E3126" i="1"/>
  <c r="B3126" i="1"/>
  <c r="A3126" i="1"/>
  <c r="H3125" i="1"/>
  <c r="G3125" i="1"/>
  <c r="E3125" i="1"/>
  <c r="B3125" i="1"/>
  <c r="A3125" i="1"/>
  <c r="H3124" i="1"/>
  <c r="G3124" i="1"/>
  <c r="E3124" i="1"/>
  <c r="B3124" i="1"/>
  <c r="A3124" i="1"/>
  <c r="H3123" i="1"/>
  <c r="G3123" i="1"/>
  <c r="E3123" i="1"/>
  <c r="B3123" i="1"/>
  <c r="A3123" i="1"/>
  <c r="H3122" i="1"/>
  <c r="G3122" i="1"/>
  <c r="E3122" i="1"/>
  <c r="B3122" i="1"/>
  <c r="A3122" i="1"/>
  <c r="H3121" i="1"/>
  <c r="G3121" i="1"/>
  <c r="E3121" i="1"/>
  <c r="B3121" i="1"/>
  <c r="A3121" i="1"/>
  <c r="H3120" i="1"/>
  <c r="G3120" i="1"/>
  <c r="E3120" i="1"/>
  <c r="B3120" i="1"/>
  <c r="A3120" i="1"/>
  <c r="H3119" i="1"/>
  <c r="G3119" i="1"/>
  <c r="E3119" i="1"/>
  <c r="B3119" i="1"/>
  <c r="A3119" i="1"/>
  <c r="H3118" i="1"/>
  <c r="G3118" i="1"/>
  <c r="E3118" i="1"/>
  <c r="B3118" i="1"/>
  <c r="A3118" i="1"/>
  <c r="H3117" i="1"/>
  <c r="G3117" i="1"/>
  <c r="E3117" i="1"/>
  <c r="B3117" i="1"/>
  <c r="A3117" i="1"/>
  <c r="H3116" i="1"/>
  <c r="G3116" i="1"/>
  <c r="E3116" i="1"/>
  <c r="B3116" i="1"/>
  <c r="A3116" i="1"/>
  <c r="H3115" i="1"/>
  <c r="G3115" i="1"/>
  <c r="E3115" i="1"/>
  <c r="B3115" i="1"/>
  <c r="A3115" i="1"/>
  <c r="H3114" i="1"/>
  <c r="G3114" i="1"/>
  <c r="E3114" i="1"/>
  <c r="B3114" i="1"/>
  <c r="A3114" i="1"/>
  <c r="H3113" i="1"/>
  <c r="G3113" i="1"/>
  <c r="E3113" i="1"/>
  <c r="B3113" i="1"/>
  <c r="A3113" i="1"/>
  <c r="H3112" i="1"/>
  <c r="G3112" i="1"/>
  <c r="E3112" i="1"/>
  <c r="B3112" i="1"/>
  <c r="A3112" i="1"/>
  <c r="H3111" i="1"/>
  <c r="G3111" i="1"/>
  <c r="E3111" i="1"/>
  <c r="B3111" i="1"/>
  <c r="A3111" i="1"/>
  <c r="H3110" i="1"/>
  <c r="G3110" i="1"/>
  <c r="E3110" i="1"/>
  <c r="B3110" i="1"/>
  <c r="A3110" i="1"/>
  <c r="H3109" i="1"/>
  <c r="G3109" i="1"/>
  <c r="E3109" i="1"/>
  <c r="B3109" i="1"/>
  <c r="A3109" i="1"/>
  <c r="H3108" i="1"/>
  <c r="G3108" i="1"/>
  <c r="E3108" i="1"/>
  <c r="B3108" i="1"/>
  <c r="A3108" i="1"/>
  <c r="H3107" i="1"/>
  <c r="G3107" i="1"/>
  <c r="E3107" i="1"/>
  <c r="B3107" i="1"/>
  <c r="A3107" i="1"/>
  <c r="H3106" i="1"/>
  <c r="G3106" i="1"/>
  <c r="E3106" i="1"/>
  <c r="B3106" i="1"/>
  <c r="A3106" i="1"/>
  <c r="H3105" i="1"/>
  <c r="G3105" i="1"/>
  <c r="E3105" i="1"/>
  <c r="B3105" i="1"/>
  <c r="A3105" i="1"/>
  <c r="H3104" i="1"/>
  <c r="G3104" i="1"/>
  <c r="E3104" i="1"/>
  <c r="B3104" i="1"/>
  <c r="A3104" i="1"/>
  <c r="H3103" i="1"/>
  <c r="G3103" i="1"/>
  <c r="E3103" i="1"/>
  <c r="B3103" i="1"/>
  <c r="A3103" i="1"/>
  <c r="H3102" i="1"/>
  <c r="G3102" i="1"/>
  <c r="E3102" i="1"/>
  <c r="B3102" i="1"/>
  <c r="A3102" i="1"/>
  <c r="H3101" i="1"/>
  <c r="G3101" i="1"/>
  <c r="E3101" i="1"/>
  <c r="B3101" i="1"/>
  <c r="A3101" i="1"/>
  <c r="H3100" i="1"/>
  <c r="G3100" i="1"/>
  <c r="E3100" i="1"/>
  <c r="B3100" i="1"/>
  <c r="A3100" i="1"/>
  <c r="H3099" i="1"/>
  <c r="G3099" i="1"/>
  <c r="E3099" i="1"/>
  <c r="B3099" i="1"/>
  <c r="A3099" i="1"/>
  <c r="H3098" i="1"/>
  <c r="G3098" i="1"/>
  <c r="E3098" i="1"/>
  <c r="B3098" i="1"/>
  <c r="A3098" i="1"/>
  <c r="H3097" i="1"/>
  <c r="G3097" i="1"/>
  <c r="E3097" i="1"/>
  <c r="B3097" i="1"/>
  <c r="A3097" i="1"/>
  <c r="H3096" i="1"/>
  <c r="G3096" i="1"/>
  <c r="E3096" i="1"/>
  <c r="B3096" i="1"/>
  <c r="A3096" i="1"/>
  <c r="H3095" i="1"/>
  <c r="G3095" i="1"/>
  <c r="E3095" i="1"/>
  <c r="B3095" i="1"/>
  <c r="A3095" i="1"/>
  <c r="H3094" i="1"/>
  <c r="G3094" i="1"/>
  <c r="E3094" i="1"/>
  <c r="B3094" i="1"/>
  <c r="A3094" i="1"/>
  <c r="H3093" i="1"/>
  <c r="G3093" i="1"/>
  <c r="E3093" i="1"/>
  <c r="B3093" i="1"/>
  <c r="A3093" i="1"/>
  <c r="H3092" i="1"/>
  <c r="G3092" i="1"/>
  <c r="E3092" i="1"/>
  <c r="B3092" i="1"/>
  <c r="A3092" i="1"/>
  <c r="H3091" i="1"/>
  <c r="G3091" i="1"/>
  <c r="E3091" i="1"/>
  <c r="B3091" i="1"/>
  <c r="A3091" i="1"/>
  <c r="H3090" i="1"/>
  <c r="G3090" i="1"/>
  <c r="E3090" i="1"/>
  <c r="B3090" i="1"/>
  <c r="A3090" i="1"/>
  <c r="H3089" i="1"/>
  <c r="G3089" i="1"/>
  <c r="E3089" i="1"/>
  <c r="B3089" i="1"/>
  <c r="A3089" i="1"/>
  <c r="H3088" i="1"/>
  <c r="G3088" i="1"/>
  <c r="E3088" i="1"/>
  <c r="B3088" i="1"/>
  <c r="A3088" i="1"/>
  <c r="H3087" i="1"/>
  <c r="G3087" i="1"/>
  <c r="E3087" i="1"/>
  <c r="B3087" i="1"/>
  <c r="A3087" i="1"/>
  <c r="H3086" i="1"/>
  <c r="G3086" i="1"/>
  <c r="E3086" i="1"/>
  <c r="B3086" i="1"/>
  <c r="A3086" i="1"/>
  <c r="H3085" i="1"/>
  <c r="G3085" i="1"/>
  <c r="E3085" i="1"/>
  <c r="B3085" i="1"/>
  <c r="A3085" i="1"/>
  <c r="H3084" i="1"/>
  <c r="G3084" i="1"/>
  <c r="E3084" i="1"/>
  <c r="B3084" i="1"/>
  <c r="A3084" i="1"/>
  <c r="H3083" i="1"/>
  <c r="G3083" i="1"/>
  <c r="E3083" i="1"/>
  <c r="B3083" i="1"/>
  <c r="A3083" i="1"/>
  <c r="H3082" i="1"/>
  <c r="G3082" i="1"/>
  <c r="E3082" i="1"/>
  <c r="B3082" i="1"/>
  <c r="A3082" i="1"/>
  <c r="H3081" i="1"/>
  <c r="G3081" i="1"/>
  <c r="E3081" i="1"/>
  <c r="B3081" i="1"/>
  <c r="A3081" i="1"/>
  <c r="H3080" i="1"/>
  <c r="G3080" i="1"/>
  <c r="E3080" i="1"/>
  <c r="B3080" i="1"/>
  <c r="A3080" i="1"/>
  <c r="H3079" i="1"/>
  <c r="G3079" i="1"/>
  <c r="E3079" i="1"/>
  <c r="B3079" i="1"/>
  <c r="A3079" i="1"/>
  <c r="H3078" i="1"/>
  <c r="G3078" i="1"/>
  <c r="E3078" i="1"/>
  <c r="B3078" i="1"/>
  <c r="A3078" i="1"/>
  <c r="H3077" i="1"/>
  <c r="G3077" i="1"/>
  <c r="B3077" i="1"/>
  <c r="A3077" i="1"/>
  <c r="H3076" i="1"/>
  <c r="G3076" i="1"/>
  <c r="E3076" i="1"/>
  <c r="B3076" i="1"/>
  <c r="A3076" i="1"/>
  <c r="H3075" i="1"/>
  <c r="G3075" i="1"/>
  <c r="E3075" i="1"/>
  <c r="B3075" i="1"/>
  <c r="A3075" i="1"/>
  <c r="H3074" i="1"/>
  <c r="G3074" i="1"/>
  <c r="E3074" i="1"/>
  <c r="B3074" i="1"/>
  <c r="A3074" i="1"/>
  <c r="H3073" i="1"/>
  <c r="G3073" i="1"/>
  <c r="E3073" i="1"/>
  <c r="B3073" i="1"/>
  <c r="A3073" i="1"/>
  <c r="H3072" i="1"/>
  <c r="G3072" i="1"/>
  <c r="E3072" i="1"/>
  <c r="B3072" i="1"/>
  <c r="A3072" i="1"/>
  <c r="H3071" i="1"/>
  <c r="G3071" i="1"/>
  <c r="E3071" i="1"/>
  <c r="B3071" i="1"/>
  <c r="A3071" i="1"/>
  <c r="H3070" i="1"/>
  <c r="G3070" i="1"/>
  <c r="E3070" i="1"/>
  <c r="B3070" i="1"/>
  <c r="A3070" i="1"/>
  <c r="H3069" i="1"/>
  <c r="G3069" i="1"/>
  <c r="E3069" i="1"/>
  <c r="B3069" i="1"/>
  <c r="A3069" i="1"/>
  <c r="H3068" i="1"/>
  <c r="G3068" i="1"/>
  <c r="E3068" i="1"/>
  <c r="B3068" i="1"/>
  <c r="A3068" i="1"/>
  <c r="H3067" i="1"/>
  <c r="G3067" i="1"/>
  <c r="E3067" i="1"/>
  <c r="B3067" i="1"/>
  <c r="A3067" i="1"/>
  <c r="H3066" i="1"/>
  <c r="G3066" i="1"/>
  <c r="E3066" i="1"/>
  <c r="B3066" i="1"/>
  <c r="A3066" i="1"/>
  <c r="H3065" i="1"/>
  <c r="G3065" i="1"/>
  <c r="E3065" i="1"/>
  <c r="B3065" i="1"/>
  <c r="A3065" i="1"/>
  <c r="H3064" i="1"/>
  <c r="G3064" i="1"/>
  <c r="E3064" i="1"/>
  <c r="B3064" i="1"/>
  <c r="A3064" i="1"/>
  <c r="H3063" i="1"/>
  <c r="G3063" i="1"/>
  <c r="E3063" i="1"/>
  <c r="B3063" i="1"/>
  <c r="A3063" i="1"/>
  <c r="H3062" i="1"/>
  <c r="G3062" i="1"/>
  <c r="E3062" i="1"/>
  <c r="B3062" i="1"/>
  <c r="A3062" i="1"/>
  <c r="H3061" i="1"/>
  <c r="G3061" i="1"/>
  <c r="E3061" i="1"/>
  <c r="B3061" i="1"/>
  <c r="A3061" i="1"/>
  <c r="H3060" i="1"/>
  <c r="G3060" i="1"/>
  <c r="E3060" i="1"/>
  <c r="B3060" i="1"/>
  <c r="A3060" i="1"/>
  <c r="H3059" i="1"/>
  <c r="G3059" i="1"/>
  <c r="E3059" i="1"/>
  <c r="B3059" i="1"/>
  <c r="A3059" i="1"/>
  <c r="H3058" i="1"/>
  <c r="G3058" i="1"/>
  <c r="E3058" i="1"/>
  <c r="B3058" i="1"/>
  <c r="A3058" i="1"/>
  <c r="H3057" i="1"/>
  <c r="G3057" i="1"/>
  <c r="E3057" i="1"/>
  <c r="B3057" i="1"/>
  <c r="A3057" i="1"/>
  <c r="H3056" i="1"/>
  <c r="G3056" i="1"/>
  <c r="E3056" i="1"/>
  <c r="B3056" i="1"/>
  <c r="A3056" i="1"/>
  <c r="H3055" i="1"/>
  <c r="G3055" i="1"/>
  <c r="E3055" i="1"/>
  <c r="B3055" i="1"/>
  <c r="A3055" i="1"/>
  <c r="H3054" i="1"/>
  <c r="G3054" i="1"/>
  <c r="E3054" i="1"/>
  <c r="B3054" i="1"/>
  <c r="A3054" i="1"/>
  <c r="H3053" i="1"/>
  <c r="G3053" i="1"/>
  <c r="E3053" i="1"/>
  <c r="B3053" i="1"/>
  <c r="A3053" i="1"/>
  <c r="H3052" i="1"/>
  <c r="G3052" i="1"/>
  <c r="E3052" i="1"/>
  <c r="B3052" i="1"/>
  <c r="A3052" i="1"/>
  <c r="H3051" i="1"/>
  <c r="G3051" i="1"/>
  <c r="E3051" i="1"/>
  <c r="B3051" i="1"/>
  <c r="A3051" i="1"/>
  <c r="H3050" i="1"/>
  <c r="G3050" i="1"/>
  <c r="E3050" i="1"/>
  <c r="B3050" i="1"/>
  <c r="A3050" i="1"/>
  <c r="H3049" i="1"/>
  <c r="G3049" i="1"/>
  <c r="E3049" i="1"/>
  <c r="B3049" i="1"/>
  <c r="A3049" i="1"/>
  <c r="H3048" i="1"/>
  <c r="G3048" i="1"/>
  <c r="E3048" i="1"/>
  <c r="B3048" i="1"/>
  <c r="A3048" i="1"/>
  <c r="H3047" i="1"/>
  <c r="G3047" i="1"/>
  <c r="E3047" i="1"/>
  <c r="B3047" i="1"/>
  <c r="A3047" i="1"/>
  <c r="H3046" i="1"/>
  <c r="G3046" i="1"/>
  <c r="E3046" i="1"/>
  <c r="B3046" i="1"/>
  <c r="A3046" i="1"/>
  <c r="H3045" i="1"/>
  <c r="G3045" i="1"/>
  <c r="E3045" i="1"/>
  <c r="B3045" i="1"/>
  <c r="A3045" i="1"/>
  <c r="H3044" i="1"/>
  <c r="G3044" i="1"/>
  <c r="E3044" i="1"/>
  <c r="B3044" i="1"/>
  <c r="A3044" i="1"/>
  <c r="H3043" i="1"/>
  <c r="G3043" i="1"/>
  <c r="E3043" i="1"/>
  <c r="B3043" i="1"/>
  <c r="A3043" i="1"/>
  <c r="H3042" i="1"/>
  <c r="G3042" i="1"/>
  <c r="E3042" i="1"/>
  <c r="B3042" i="1"/>
  <c r="A3042" i="1"/>
  <c r="H3041" i="1"/>
  <c r="G3041" i="1"/>
  <c r="E3041" i="1"/>
  <c r="B3041" i="1"/>
  <c r="A3041" i="1"/>
  <c r="H3040" i="1"/>
  <c r="G3040" i="1"/>
  <c r="E3040" i="1"/>
  <c r="B3040" i="1"/>
  <c r="A3040" i="1"/>
  <c r="H3039" i="1"/>
  <c r="G3039" i="1"/>
  <c r="E3039" i="1"/>
  <c r="B3039" i="1"/>
  <c r="A3039" i="1"/>
  <c r="H3038" i="1"/>
  <c r="G3038" i="1"/>
  <c r="E3038" i="1"/>
  <c r="B3038" i="1"/>
  <c r="A3038" i="1"/>
  <c r="H3037" i="1"/>
  <c r="G3037" i="1"/>
  <c r="E3037" i="1"/>
  <c r="B3037" i="1"/>
  <c r="A3037" i="1"/>
  <c r="H3036" i="1"/>
  <c r="G3036" i="1"/>
  <c r="E3036" i="1"/>
  <c r="B3036" i="1"/>
  <c r="A3036" i="1"/>
  <c r="H3035" i="1"/>
  <c r="G3035" i="1"/>
  <c r="E3035" i="1"/>
  <c r="B3035" i="1"/>
  <c r="A3035" i="1"/>
  <c r="H3034" i="1"/>
  <c r="G3034" i="1"/>
  <c r="E3034" i="1"/>
  <c r="B3034" i="1"/>
  <c r="A3034" i="1"/>
  <c r="H3033" i="1"/>
  <c r="G3033" i="1"/>
  <c r="E3033" i="1"/>
  <c r="B3033" i="1"/>
  <c r="A3033" i="1"/>
  <c r="H3032" i="1"/>
  <c r="G3032" i="1"/>
  <c r="E3032" i="1"/>
  <c r="B3032" i="1"/>
  <c r="A3032" i="1"/>
  <c r="H3031" i="1"/>
  <c r="G3031" i="1"/>
  <c r="E3031" i="1"/>
  <c r="B3031" i="1"/>
  <c r="A3031" i="1"/>
  <c r="H3030" i="1"/>
  <c r="G3030" i="1"/>
  <c r="E3030" i="1"/>
  <c r="B3030" i="1"/>
  <c r="A3030" i="1"/>
  <c r="H3029" i="1"/>
  <c r="G3029" i="1"/>
  <c r="E3029" i="1"/>
  <c r="B3029" i="1"/>
  <c r="A3029" i="1"/>
  <c r="H3028" i="1"/>
  <c r="G3028" i="1"/>
  <c r="E3028" i="1"/>
  <c r="B3028" i="1"/>
  <c r="A3028" i="1"/>
  <c r="H3027" i="1"/>
  <c r="G3027" i="1"/>
  <c r="E3027" i="1"/>
  <c r="B3027" i="1"/>
  <c r="A3027" i="1"/>
  <c r="H3026" i="1"/>
  <c r="G3026" i="1"/>
  <c r="E3026" i="1"/>
  <c r="B3026" i="1"/>
  <c r="A3026" i="1"/>
  <c r="H3025" i="1"/>
  <c r="G3025" i="1"/>
  <c r="E3025" i="1"/>
  <c r="B3025" i="1"/>
  <c r="A3025" i="1"/>
  <c r="H3024" i="1"/>
  <c r="G3024" i="1"/>
  <c r="E3024" i="1"/>
  <c r="B3024" i="1"/>
  <c r="A3024" i="1"/>
  <c r="H3023" i="1"/>
  <c r="G3023" i="1"/>
  <c r="E3023" i="1"/>
  <c r="B3023" i="1"/>
  <c r="A3023" i="1"/>
  <c r="H3022" i="1"/>
  <c r="G3022" i="1"/>
  <c r="E3022" i="1"/>
  <c r="B3022" i="1"/>
  <c r="A3022" i="1"/>
  <c r="H3021" i="1"/>
  <c r="G3021" i="1"/>
  <c r="E3021" i="1"/>
  <c r="B3021" i="1"/>
  <c r="A3021" i="1"/>
  <c r="H3020" i="1"/>
  <c r="G3020" i="1"/>
  <c r="E3020" i="1"/>
  <c r="B3020" i="1"/>
  <c r="A3020" i="1"/>
  <c r="H3019" i="1"/>
  <c r="G3019" i="1"/>
  <c r="E3019" i="1"/>
  <c r="B3019" i="1"/>
  <c r="A3019" i="1"/>
  <c r="H3018" i="1"/>
  <c r="G3018" i="1"/>
  <c r="E3018" i="1"/>
  <c r="B3018" i="1"/>
  <c r="A3018" i="1"/>
  <c r="H3017" i="1"/>
  <c r="G3017" i="1"/>
  <c r="E3017" i="1"/>
  <c r="B3017" i="1"/>
  <c r="A3017" i="1"/>
  <c r="H3016" i="1"/>
  <c r="G3016" i="1"/>
  <c r="E3016" i="1"/>
  <c r="B3016" i="1"/>
  <c r="A3016" i="1"/>
  <c r="H3015" i="1"/>
  <c r="G3015" i="1"/>
  <c r="E3015" i="1"/>
  <c r="B3015" i="1"/>
  <c r="A3015" i="1"/>
  <c r="H3014" i="1"/>
  <c r="G3014" i="1"/>
  <c r="E3014" i="1"/>
  <c r="B3014" i="1"/>
  <c r="A3014" i="1"/>
  <c r="H3013" i="1"/>
  <c r="G3013" i="1"/>
  <c r="E3013" i="1"/>
  <c r="B3013" i="1"/>
  <c r="A3013" i="1"/>
  <c r="H3012" i="1"/>
  <c r="G3012" i="1"/>
  <c r="E3012" i="1"/>
  <c r="B3012" i="1"/>
  <c r="A3012" i="1"/>
  <c r="H3011" i="1"/>
  <c r="G3011" i="1"/>
  <c r="E3011" i="1"/>
  <c r="B3011" i="1"/>
  <c r="A3011" i="1"/>
  <c r="H3010" i="1"/>
  <c r="G3010" i="1"/>
  <c r="E3010" i="1"/>
  <c r="B3010" i="1"/>
  <c r="A3010" i="1"/>
  <c r="H3009" i="1"/>
  <c r="G3009" i="1"/>
  <c r="E3009" i="1"/>
  <c r="B3009" i="1"/>
  <c r="A3009" i="1"/>
  <c r="H3008" i="1"/>
  <c r="G3008" i="1"/>
  <c r="E3008" i="1"/>
  <c r="B3008" i="1"/>
  <c r="A3008" i="1"/>
  <c r="H3007" i="1"/>
  <c r="G3007" i="1"/>
  <c r="E3007" i="1"/>
  <c r="B3007" i="1"/>
  <c r="A3007" i="1"/>
  <c r="H3006" i="1"/>
  <c r="G3006" i="1"/>
  <c r="E3006" i="1"/>
  <c r="B3006" i="1"/>
  <c r="A3006" i="1"/>
  <c r="H3005" i="1"/>
  <c r="G3005" i="1"/>
  <c r="E3005" i="1"/>
  <c r="B3005" i="1"/>
  <c r="A3005" i="1"/>
  <c r="H3004" i="1"/>
  <c r="G3004" i="1"/>
  <c r="E3004" i="1"/>
  <c r="B3004" i="1"/>
  <c r="A3004" i="1"/>
  <c r="H3003" i="1"/>
  <c r="G3003" i="1"/>
  <c r="E3003" i="1"/>
  <c r="B3003" i="1"/>
  <c r="A3003" i="1"/>
  <c r="H3002" i="1"/>
  <c r="G3002" i="1"/>
  <c r="E3002" i="1"/>
  <c r="B3002" i="1"/>
  <c r="A3002" i="1"/>
  <c r="H3001" i="1"/>
  <c r="G3001" i="1"/>
  <c r="B3001" i="1"/>
  <c r="A3001" i="1"/>
  <c r="H3000" i="1"/>
  <c r="G3000" i="1"/>
  <c r="E3000" i="1"/>
  <c r="B3000" i="1"/>
  <c r="A3000" i="1"/>
  <c r="H2999" i="1"/>
  <c r="G2999" i="1"/>
  <c r="E2999" i="1"/>
  <c r="B2999" i="1"/>
  <c r="A2999" i="1"/>
  <c r="H2998" i="1"/>
  <c r="G2998" i="1"/>
  <c r="E2998" i="1"/>
  <c r="B2998" i="1"/>
  <c r="A2998" i="1"/>
  <c r="H2997" i="1"/>
  <c r="G2997" i="1"/>
  <c r="E2997" i="1"/>
  <c r="B2997" i="1"/>
  <c r="A2997" i="1"/>
  <c r="H2996" i="1"/>
  <c r="G2996" i="1"/>
  <c r="B2996" i="1"/>
  <c r="A2996" i="1"/>
  <c r="H2995" i="1"/>
  <c r="G2995" i="1"/>
  <c r="E2995" i="1"/>
  <c r="B2995" i="1"/>
  <c r="A2995" i="1"/>
  <c r="H2994" i="1"/>
  <c r="G2994" i="1"/>
  <c r="B2994" i="1"/>
  <c r="A2994" i="1"/>
  <c r="H2993" i="1"/>
  <c r="G2993" i="1"/>
  <c r="E2993" i="1"/>
  <c r="B2993" i="1"/>
  <c r="A2993" i="1"/>
  <c r="H2992" i="1"/>
  <c r="G2992" i="1"/>
  <c r="E2992" i="1"/>
  <c r="B2992" i="1"/>
  <c r="A2992" i="1"/>
  <c r="H2991" i="1"/>
  <c r="G2991" i="1"/>
  <c r="E2991" i="1"/>
  <c r="B2991" i="1"/>
  <c r="A2991" i="1"/>
  <c r="H2990" i="1"/>
  <c r="G2990" i="1"/>
  <c r="E2990" i="1"/>
  <c r="B2990" i="1"/>
  <c r="A2990" i="1"/>
  <c r="H2989" i="1"/>
  <c r="G2989" i="1"/>
  <c r="E2989" i="1"/>
  <c r="B2989" i="1"/>
  <c r="A2989" i="1"/>
  <c r="H2988" i="1"/>
  <c r="G2988" i="1"/>
  <c r="E2988" i="1"/>
  <c r="B2988" i="1"/>
  <c r="A2988" i="1"/>
  <c r="H2987" i="1"/>
  <c r="G2987" i="1"/>
  <c r="E2987" i="1"/>
  <c r="B2987" i="1"/>
  <c r="A2987" i="1"/>
  <c r="H2986" i="1"/>
  <c r="G2986" i="1"/>
  <c r="E2986" i="1"/>
  <c r="B2986" i="1"/>
  <c r="A2986" i="1"/>
  <c r="H2985" i="1"/>
  <c r="G2985" i="1"/>
  <c r="E2985" i="1"/>
  <c r="B2985" i="1"/>
  <c r="A2985" i="1"/>
  <c r="H2984" i="1"/>
  <c r="G2984" i="1"/>
  <c r="E2984" i="1"/>
  <c r="B2984" i="1"/>
  <c r="A2984" i="1"/>
  <c r="H2983" i="1"/>
  <c r="G2983" i="1"/>
  <c r="E2983" i="1"/>
  <c r="B2983" i="1"/>
  <c r="A2983" i="1"/>
  <c r="H2982" i="1"/>
  <c r="G2982" i="1"/>
  <c r="E2982" i="1"/>
  <c r="B2982" i="1"/>
  <c r="A2982" i="1"/>
  <c r="H2981" i="1"/>
  <c r="G2981" i="1"/>
  <c r="E2981" i="1"/>
  <c r="B2981" i="1"/>
  <c r="A2981" i="1"/>
  <c r="H2980" i="1"/>
  <c r="G2980" i="1"/>
  <c r="E2980" i="1"/>
  <c r="B2980" i="1"/>
  <c r="A2980" i="1"/>
  <c r="H2979" i="1"/>
  <c r="G2979" i="1"/>
  <c r="E2979" i="1"/>
  <c r="B2979" i="1"/>
  <c r="A2979" i="1"/>
  <c r="H2978" i="1"/>
  <c r="G2978" i="1"/>
  <c r="E2978" i="1"/>
  <c r="B2978" i="1"/>
  <c r="A2978" i="1"/>
  <c r="H2977" i="1"/>
  <c r="G2977" i="1"/>
  <c r="E2977" i="1"/>
  <c r="B2977" i="1"/>
  <c r="A2977" i="1"/>
  <c r="H2976" i="1"/>
  <c r="G2976" i="1"/>
  <c r="E2976" i="1"/>
  <c r="B2976" i="1"/>
  <c r="A2976" i="1"/>
  <c r="H2975" i="1"/>
  <c r="G2975" i="1"/>
  <c r="E2975" i="1"/>
  <c r="B2975" i="1"/>
  <c r="A2975" i="1"/>
  <c r="H2974" i="1"/>
  <c r="G2974" i="1"/>
  <c r="E2974" i="1"/>
  <c r="B2974" i="1"/>
  <c r="A2974" i="1"/>
  <c r="H2973" i="1"/>
  <c r="G2973" i="1"/>
  <c r="E2973" i="1"/>
  <c r="B2973" i="1"/>
  <c r="A2973" i="1"/>
  <c r="H2972" i="1"/>
  <c r="G2972" i="1"/>
  <c r="E2972" i="1"/>
  <c r="B2972" i="1"/>
  <c r="A2972" i="1"/>
  <c r="H2971" i="1"/>
  <c r="G2971" i="1"/>
  <c r="E2971" i="1"/>
  <c r="B2971" i="1"/>
  <c r="A2971" i="1"/>
  <c r="H2970" i="1"/>
  <c r="G2970" i="1"/>
  <c r="E2970" i="1"/>
  <c r="B2970" i="1"/>
  <c r="A2970" i="1"/>
  <c r="H2969" i="1"/>
  <c r="G2969" i="1"/>
  <c r="E2969" i="1"/>
  <c r="B2969" i="1"/>
  <c r="A2969" i="1"/>
  <c r="H2968" i="1"/>
  <c r="G2968" i="1"/>
  <c r="E2968" i="1"/>
  <c r="B2968" i="1"/>
  <c r="A2968" i="1"/>
  <c r="H2967" i="1"/>
  <c r="G2967" i="1"/>
  <c r="E2967" i="1"/>
  <c r="B2967" i="1"/>
  <c r="A2967" i="1"/>
  <c r="H2966" i="1"/>
  <c r="G2966" i="1"/>
  <c r="E2966" i="1"/>
  <c r="B2966" i="1"/>
  <c r="A2966" i="1"/>
  <c r="H2965" i="1"/>
  <c r="G2965" i="1"/>
  <c r="E2965" i="1"/>
  <c r="B2965" i="1"/>
  <c r="A2965" i="1"/>
  <c r="H2964" i="1"/>
  <c r="G2964" i="1"/>
  <c r="E2964" i="1"/>
  <c r="B2964" i="1"/>
  <c r="A2964" i="1"/>
  <c r="H2963" i="1"/>
  <c r="G2963" i="1"/>
  <c r="E2963" i="1"/>
  <c r="B2963" i="1"/>
  <c r="A2963" i="1"/>
  <c r="H2962" i="1"/>
  <c r="G2962" i="1"/>
  <c r="E2962" i="1"/>
  <c r="B2962" i="1"/>
  <c r="A2962" i="1"/>
  <c r="H2961" i="1"/>
  <c r="G2961" i="1"/>
  <c r="E2961" i="1"/>
  <c r="B2961" i="1"/>
  <c r="A2961" i="1"/>
  <c r="H2960" i="1"/>
  <c r="G2960" i="1"/>
  <c r="E2960" i="1"/>
  <c r="B2960" i="1"/>
  <c r="A2960" i="1"/>
  <c r="H2959" i="1"/>
  <c r="G2959" i="1"/>
  <c r="E2959" i="1"/>
  <c r="B2959" i="1"/>
  <c r="A2959" i="1"/>
  <c r="H2958" i="1"/>
  <c r="G2958" i="1"/>
  <c r="E2958" i="1"/>
  <c r="B2958" i="1"/>
  <c r="A2958" i="1"/>
  <c r="H2957" i="1"/>
  <c r="G2957" i="1"/>
  <c r="E2957" i="1"/>
  <c r="B2957" i="1"/>
  <c r="A2957" i="1"/>
  <c r="H2956" i="1"/>
  <c r="G2956" i="1"/>
  <c r="E2956" i="1"/>
  <c r="B2956" i="1"/>
  <c r="A2956" i="1"/>
  <c r="H2955" i="1"/>
  <c r="G2955" i="1"/>
  <c r="E2955" i="1"/>
  <c r="B2955" i="1"/>
  <c r="A2955" i="1"/>
  <c r="H2954" i="1"/>
  <c r="G2954" i="1"/>
  <c r="E2954" i="1"/>
  <c r="B2954" i="1"/>
  <c r="A2954" i="1"/>
  <c r="H2953" i="1"/>
  <c r="G2953" i="1"/>
  <c r="E2953" i="1"/>
  <c r="B2953" i="1"/>
  <c r="A2953" i="1"/>
  <c r="H2952" i="1"/>
  <c r="G2952" i="1"/>
  <c r="E2952" i="1"/>
  <c r="B2952" i="1"/>
  <c r="A2952" i="1"/>
  <c r="H2951" i="1"/>
  <c r="G2951" i="1"/>
  <c r="E2951" i="1"/>
  <c r="B2951" i="1"/>
  <c r="A2951" i="1"/>
  <c r="H2950" i="1"/>
  <c r="G2950" i="1"/>
  <c r="E2950" i="1"/>
  <c r="B2950" i="1"/>
  <c r="A2950" i="1"/>
  <c r="H2949" i="1"/>
  <c r="G2949" i="1"/>
  <c r="E2949" i="1"/>
  <c r="B2949" i="1"/>
  <c r="A2949" i="1"/>
  <c r="H2948" i="1"/>
  <c r="G2948" i="1"/>
  <c r="E2948" i="1"/>
  <c r="B2948" i="1"/>
  <c r="A2948" i="1"/>
  <c r="H2947" i="1"/>
  <c r="G2947" i="1"/>
  <c r="E2947" i="1"/>
  <c r="B2947" i="1"/>
  <c r="A2947" i="1"/>
  <c r="H2946" i="1"/>
  <c r="G2946" i="1"/>
  <c r="E2946" i="1"/>
  <c r="B2946" i="1"/>
  <c r="A2946" i="1"/>
  <c r="H2945" i="1"/>
  <c r="G2945" i="1"/>
  <c r="E2945" i="1"/>
  <c r="B2945" i="1"/>
  <c r="A2945" i="1"/>
  <c r="H2944" i="1"/>
  <c r="G2944" i="1"/>
  <c r="E2944" i="1"/>
  <c r="B2944" i="1"/>
  <c r="A2944" i="1"/>
  <c r="H2943" i="1"/>
  <c r="G2943" i="1"/>
  <c r="E2943" i="1"/>
  <c r="B2943" i="1"/>
  <c r="A2943" i="1"/>
  <c r="H2942" i="1"/>
  <c r="G2942" i="1"/>
  <c r="E2942" i="1"/>
  <c r="B2942" i="1"/>
  <c r="A2942" i="1"/>
  <c r="H2941" i="1"/>
  <c r="G2941" i="1"/>
  <c r="E2941" i="1"/>
  <c r="B2941" i="1"/>
  <c r="A2941" i="1"/>
  <c r="H2940" i="1"/>
  <c r="G2940" i="1"/>
  <c r="E2940" i="1"/>
  <c r="B2940" i="1"/>
  <c r="A2940" i="1"/>
  <c r="H2939" i="1"/>
  <c r="G2939" i="1"/>
  <c r="E2939" i="1"/>
  <c r="B2939" i="1"/>
  <c r="A2939" i="1"/>
  <c r="H2938" i="1"/>
  <c r="G2938" i="1"/>
  <c r="E2938" i="1"/>
  <c r="B2938" i="1"/>
  <c r="A2938" i="1"/>
  <c r="H2937" i="1"/>
  <c r="G2937" i="1"/>
  <c r="E2937" i="1"/>
  <c r="B2937" i="1"/>
  <c r="A2937" i="1"/>
  <c r="H2936" i="1"/>
  <c r="G2936" i="1"/>
  <c r="E2936" i="1"/>
  <c r="B2936" i="1"/>
  <c r="A2936" i="1"/>
  <c r="H2935" i="1"/>
  <c r="G2935" i="1"/>
  <c r="E2935" i="1"/>
  <c r="B2935" i="1"/>
  <c r="A2935" i="1"/>
  <c r="H2934" i="1"/>
  <c r="G2934" i="1"/>
  <c r="E2934" i="1"/>
  <c r="B2934" i="1"/>
  <c r="A2934" i="1"/>
  <c r="H2933" i="1"/>
  <c r="G2933" i="1"/>
  <c r="E2933" i="1"/>
  <c r="B2933" i="1"/>
  <c r="A2933" i="1"/>
  <c r="H2932" i="1"/>
  <c r="G2932" i="1"/>
  <c r="E2932" i="1"/>
  <c r="B2932" i="1"/>
  <c r="A2932" i="1"/>
  <c r="H2931" i="1"/>
  <c r="G2931" i="1"/>
  <c r="E2931" i="1"/>
  <c r="B2931" i="1"/>
  <c r="A2931" i="1"/>
  <c r="H2930" i="1"/>
  <c r="G2930" i="1"/>
  <c r="E2930" i="1"/>
  <c r="B2930" i="1"/>
  <c r="A2930" i="1"/>
  <c r="H2929" i="1"/>
  <c r="G2929" i="1"/>
  <c r="E2929" i="1"/>
  <c r="B2929" i="1"/>
  <c r="A2929" i="1"/>
  <c r="H2928" i="1"/>
  <c r="G2928" i="1"/>
  <c r="E2928" i="1"/>
  <c r="B2928" i="1"/>
  <c r="A2928" i="1"/>
  <c r="H2927" i="1"/>
  <c r="G2927" i="1"/>
  <c r="E2927" i="1"/>
  <c r="B2927" i="1"/>
  <c r="A2927" i="1"/>
  <c r="H2926" i="1"/>
  <c r="G2926" i="1"/>
  <c r="E2926" i="1"/>
  <c r="B2926" i="1"/>
  <c r="A2926" i="1"/>
  <c r="H2925" i="1"/>
  <c r="G2925" i="1"/>
  <c r="E2925" i="1"/>
  <c r="B2925" i="1"/>
  <c r="A2925" i="1"/>
  <c r="H2924" i="1"/>
  <c r="G2924" i="1"/>
  <c r="E2924" i="1"/>
  <c r="B2924" i="1"/>
  <c r="A2924" i="1"/>
  <c r="H2923" i="1"/>
  <c r="G2923" i="1"/>
  <c r="E2923" i="1"/>
  <c r="B2923" i="1"/>
  <c r="A2923" i="1"/>
  <c r="H2922" i="1"/>
  <c r="G2922" i="1"/>
  <c r="E2922" i="1"/>
  <c r="B2922" i="1"/>
  <c r="A2922" i="1"/>
  <c r="H2921" i="1"/>
  <c r="G2921" i="1"/>
  <c r="E2921" i="1"/>
  <c r="B2921" i="1"/>
  <c r="A2921" i="1"/>
  <c r="H2920" i="1"/>
  <c r="G2920" i="1"/>
  <c r="E2920" i="1"/>
  <c r="B2920" i="1"/>
  <c r="A2920" i="1"/>
  <c r="H2919" i="1"/>
  <c r="G2919" i="1"/>
  <c r="E2919" i="1"/>
  <c r="B2919" i="1"/>
  <c r="A2919" i="1"/>
  <c r="H2918" i="1"/>
  <c r="G2918" i="1"/>
  <c r="E2918" i="1"/>
  <c r="B2918" i="1"/>
  <c r="A2918" i="1"/>
  <c r="H2917" i="1"/>
  <c r="G2917" i="1"/>
  <c r="E2917" i="1"/>
  <c r="B2917" i="1"/>
  <c r="A2917" i="1"/>
  <c r="H2916" i="1"/>
  <c r="G2916" i="1"/>
  <c r="E2916" i="1"/>
  <c r="B2916" i="1"/>
  <c r="A2916" i="1"/>
  <c r="H2915" i="1"/>
  <c r="G2915" i="1"/>
  <c r="E2915" i="1"/>
  <c r="B2915" i="1"/>
  <c r="A2915" i="1"/>
  <c r="H2914" i="1"/>
  <c r="G2914" i="1"/>
  <c r="E2914" i="1"/>
  <c r="B2914" i="1"/>
  <c r="A2914" i="1"/>
  <c r="H2913" i="1"/>
  <c r="G2913" i="1"/>
  <c r="E2913" i="1"/>
  <c r="B2913" i="1"/>
  <c r="A2913" i="1"/>
  <c r="H2912" i="1"/>
  <c r="G2912" i="1"/>
  <c r="E2912" i="1"/>
  <c r="B2912" i="1"/>
  <c r="A2912" i="1"/>
  <c r="H2911" i="1"/>
  <c r="G2911" i="1"/>
  <c r="E2911" i="1"/>
  <c r="B2911" i="1"/>
  <c r="A2911" i="1"/>
  <c r="H2910" i="1"/>
  <c r="G2910" i="1"/>
  <c r="E2910" i="1"/>
  <c r="B2910" i="1"/>
  <c r="A2910" i="1"/>
  <c r="H2909" i="1"/>
  <c r="G2909" i="1"/>
  <c r="E2909" i="1"/>
  <c r="B2909" i="1"/>
  <c r="A2909" i="1"/>
  <c r="H2908" i="1"/>
  <c r="G2908" i="1"/>
  <c r="E2908" i="1"/>
  <c r="B2908" i="1"/>
  <c r="A2908" i="1"/>
  <c r="H2907" i="1"/>
  <c r="G2907" i="1"/>
  <c r="E2907" i="1"/>
  <c r="B2907" i="1"/>
  <c r="A2907" i="1"/>
  <c r="H2906" i="1"/>
  <c r="G2906" i="1"/>
  <c r="E2906" i="1"/>
  <c r="B2906" i="1"/>
  <c r="A2906" i="1"/>
  <c r="H2905" i="1"/>
  <c r="G2905" i="1"/>
  <c r="E2905" i="1"/>
  <c r="B2905" i="1"/>
  <c r="A2905" i="1"/>
  <c r="H2904" i="1"/>
  <c r="G2904" i="1"/>
  <c r="E2904" i="1"/>
  <c r="B2904" i="1"/>
  <c r="A2904" i="1"/>
  <c r="H2903" i="1"/>
  <c r="G2903" i="1"/>
  <c r="E2903" i="1"/>
  <c r="B2903" i="1"/>
  <c r="A2903" i="1"/>
  <c r="H2902" i="1"/>
  <c r="G2902" i="1"/>
  <c r="E2902" i="1"/>
  <c r="B2902" i="1"/>
  <c r="A2902" i="1"/>
  <c r="H2901" i="1"/>
  <c r="G2901" i="1"/>
  <c r="E2901" i="1"/>
  <c r="B2901" i="1"/>
  <c r="A2901" i="1"/>
  <c r="H2900" i="1"/>
  <c r="G2900" i="1"/>
  <c r="E2900" i="1"/>
  <c r="B2900" i="1"/>
  <c r="A2900" i="1"/>
  <c r="H2899" i="1"/>
  <c r="G2899" i="1"/>
  <c r="E2899" i="1"/>
  <c r="B2899" i="1"/>
  <c r="A2899" i="1"/>
  <c r="H2898" i="1"/>
  <c r="G2898" i="1"/>
  <c r="E2898" i="1"/>
  <c r="B2898" i="1"/>
  <c r="A2898" i="1"/>
  <c r="H2897" i="1"/>
  <c r="G2897" i="1"/>
  <c r="E2897" i="1"/>
  <c r="B2897" i="1"/>
  <c r="A2897" i="1"/>
  <c r="H2896" i="1"/>
  <c r="G2896" i="1"/>
  <c r="E2896" i="1"/>
  <c r="B2896" i="1"/>
  <c r="A2896" i="1"/>
  <c r="H2895" i="1"/>
  <c r="G2895" i="1"/>
  <c r="E2895" i="1"/>
  <c r="B2895" i="1"/>
  <c r="A2895" i="1"/>
  <c r="H2894" i="1"/>
  <c r="G2894" i="1"/>
  <c r="E2894" i="1"/>
  <c r="B2894" i="1"/>
  <c r="A2894" i="1"/>
  <c r="H2893" i="1"/>
  <c r="G2893" i="1"/>
  <c r="E2893" i="1"/>
  <c r="B2893" i="1"/>
  <c r="A2893" i="1"/>
  <c r="H2892" i="1"/>
  <c r="G2892" i="1"/>
  <c r="E2892" i="1"/>
  <c r="B2892" i="1"/>
  <c r="A2892" i="1"/>
  <c r="H2891" i="1"/>
  <c r="G2891" i="1"/>
  <c r="E2891" i="1"/>
  <c r="B2891" i="1"/>
  <c r="A2891" i="1"/>
  <c r="H2890" i="1"/>
  <c r="G2890" i="1"/>
  <c r="E2890" i="1"/>
  <c r="B2890" i="1"/>
  <c r="A2890" i="1"/>
  <c r="H2889" i="1"/>
  <c r="G2889" i="1"/>
  <c r="E2889" i="1"/>
  <c r="B2889" i="1"/>
  <c r="A2889" i="1"/>
  <c r="H2888" i="1"/>
  <c r="G2888" i="1"/>
  <c r="E2888" i="1"/>
  <c r="B2888" i="1"/>
  <c r="A2888" i="1"/>
  <c r="H2887" i="1"/>
  <c r="G2887" i="1"/>
  <c r="E2887" i="1"/>
  <c r="B2887" i="1"/>
  <c r="A2887" i="1"/>
  <c r="H2886" i="1"/>
  <c r="G2886" i="1"/>
  <c r="E2886" i="1"/>
  <c r="B2886" i="1"/>
  <c r="A2886" i="1"/>
  <c r="H2885" i="1"/>
  <c r="G2885" i="1"/>
  <c r="E2885" i="1"/>
  <c r="B2885" i="1"/>
  <c r="A2885" i="1"/>
  <c r="H2884" i="1"/>
  <c r="G2884" i="1"/>
  <c r="E2884" i="1"/>
  <c r="B2884" i="1"/>
  <c r="A2884" i="1"/>
  <c r="H2883" i="1"/>
  <c r="G2883" i="1"/>
  <c r="E2883" i="1"/>
  <c r="B2883" i="1"/>
  <c r="A2883" i="1"/>
  <c r="H2882" i="1"/>
  <c r="G2882" i="1"/>
  <c r="E2882" i="1"/>
  <c r="B2882" i="1"/>
  <c r="A2882" i="1"/>
  <c r="H2881" i="1"/>
  <c r="G2881" i="1"/>
  <c r="E2881" i="1"/>
  <c r="B2881" i="1"/>
  <c r="A2881" i="1"/>
  <c r="H2880" i="1"/>
  <c r="G2880" i="1"/>
  <c r="E2880" i="1"/>
  <c r="B2880" i="1"/>
  <c r="A2880" i="1"/>
  <c r="H2879" i="1"/>
  <c r="G2879" i="1"/>
  <c r="E2879" i="1"/>
  <c r="B2879" i="1"/>
  <c r="A2879" i="1"/>
  <c r="H2878" i="1"/>
  <c r="G2878" i="1"/>
  <c r="E2878" i="1"/>
  <c r="B2878" i="1"/>
  <c r="A2878" i="1"/>
  <c r="H2877" i="1"/>
  <c r="G2877" i="1"/>
  <c r="E2877" i="1"/>
  <c r="B2877" i="1"/>
  <c r="A2877" i="1"/>
  <c r="H2876" i="1"/>
  <c r="G2876" i="1"/>
  <c r="E2876" i="1"/>
  <c r="B2876" i="1"/>
  <c r="A2876" i="1"/>
  <c r="H2875" i="1"/>
  <c r="G2875" i="1"/>
  <c r="E2875" i="1"/>
  <c r="B2875" i="1"/>
  <c r="A2875" i="1"/>
  <c r="H2874" i="1"/>
  <c r="G2874" i="1"/>
  <c r="E2874" i="1"/>
  <c r="B2874" i="1"/>
  <c r="A2874" i="1"/>
  <c r="H2873" i="1"/>
  <c r="G2873" i="1"/>
  <c r="E2873" i="1"/>
  <c r="B2873" i="1"/>
  <c r="A2873" i="1"/>
  <c r="H2872" i="1"/>
  <c r="G2872" i="1"/>
  <c r="E2872" i="1"/>
  <c r="B2872" i="1"/>
  <c r="A2872" i="1"/>
  <c r="H2871" i="1"/>
  <c r="G2871" i="1"/>
  <c r="E2871" i="1"/>
  <c r="B2871" i="1"/>
  <c r="A2871" i="1"/>
  <c r="H2870" i="1"/>
  <c r="G2870" i="1"/>
  <c r="E2870" i="1"/>
  <c r="B2870" i="1"/>
  <c r="A2870" i="1"/>
  <c r="H2869" i="1"/>
  <c r="G2869" i="1"/>
  <c r="E2869" i="1"/>
  <c r="B2869" i="1"/>
  <c r="A2869" i="1"/>
  <c r="H2868" i="1"/>
  <c r="G2868" i="1"/>
  <c r="E2868" i="1"/>
  <c r="B2868" i="1"/>
  <c r="A2868" i="1"/>
  <c r="H2867" i="1"/>
  <c r="G2867" i="1"/>
  <c r="E2867" i="1"/>
  <c r="B2867" i="1"/>
  <c r="A2867" i="1"/>
  <c r="H2866" i="1"/>
  <c r="G2866" i="1"/>
  <c r="E2866" i="1"/>
  <c r="B2866" i="1"/>
  <c r="A2866" i="1"/>
  <c r="H2865" i="1"/>
  <c r="G2865" i="1"/>
  <c r="E2865" i="1"/>
  <c r="B2865" i="1"/>
  <c r="A2865" i="1"/>
  <c r="H2864" i="1"/>
  <c r="G2864" i="1"/>
  <c r="E2864" i="1"/>
  <c r="B2864" i="1"/>
  <c r="A2864" i="1"/>
  <c r="H2863" i="1"/>
  <c r="G2863" i="1"/>
  <c r="E2863" i="1"/>
  <c r="B2863" i="1"/>
  <c r="A2863" i="1"/>
  <c r="H2862" i="1"/>
  <c r="G2862" i="1"/>
  <c r="E2862" i="1"/>
  <c r="B2862" i="1"/>
  <c r="A2862" i="1"/>
  <c r="H2861" i="1"/>
  <c r="G2861" i="1"/>
  <c r="E2861" i="1"/>
  <c r="B2861" i="1"/>
  <c r="A2861" i="1"/>
  <c r="H2860" i="1"/>
  <c r="G2860" i="1"/>
  <c r="E2860" i="1"/>
  <c r="B2860" i="1"/>
  <c r="A2860" i="1"/>
  <c r="H2859" i="1"/>
  <c r="G2859" i="1"/>
  <c r="E2859" i="1"/>
  <c r="B2859" i="1"/>
  <c r="A2859" i="1"/>
  <c r="H2858" i="1"/>
  <c r="G2858" i="1"/>
  <c r="E2858" i="1"/>
  <c r="B2858" i="1"/>
  <c r="A2858" i="1"/>
  <c r="H2857" i="1"/>
  <c r="G2857" i="1"/>
  <c r="E2857" i="1"/>
  <c r="B2857" i="1"/>
  <c r="A2857" i="1"/>
  <c r="H2856" i="1"/>
  <c r="G2856" i="1"/>
  <c r="E2856" i="1"/>
  <c r="B2856" i="1"/>
  <c r="A2856" i="1"/>
  <c r="H2855" i="1"/>
  <c r="G2855" i="1"/>
  <c r="E2855" i="1"/>
  <c r="B2855" i="1"/>
  <c r="A2855" i="1"/>
  <c r="H2854" i="1"/>
  <c r="G2854" i="1"/>
  <c r="E2854" i="1"/>
  <c r="B2854" i="1"/>
  <c r="A2854" i="1"/>
  <c r="H2853" i="1"/>
  <c r="G2853" i="1"/>
  <c r="E2853" i="1"/>
  <c r="B2853" i="1"/>
  <c r="A2853" i="1"/>
  <c r="H2852" i="1"/>
  <c r="G2852" i="1"/>
  <c r="E2852" i="1"/>
  <c r="B2852" i="1"/>
  <c r="A2852" i="1"/>
  <c r="H2851" i="1"/>
  <c r="G2851" i="1"/>
  <c r="E2851" i="1"/>
  <c r="B2851" i="1"/>
  <c r="A2851" i="1"/>
  <c r="H2850" i="1"/>
  <c r="G2850" i="1"/>
  <c r="E2850" i="1"/>
  <c r="B2850" i="1"/>
  <c r="A2850" i="1"/>
  <c r="H2849" i="1"/>
  <c r="G2849" i="1"/>
  <c r="E2849" i="1"/>
  <c r="B2849" i="1"/>
  <c r="A2849" i="1"/>
  <c r="H2848" i="1"/>
  <c r="G2848" i="1"/>
  <c r="E2848" i="1"/>
  <c r="B2848" i="1"/>
  <c r="A2848" i="1"/>
  <c r="H2847" i="1"/>
  <c r="G2847" i="1"/>
  <c r="E2847" i="1"/>
  <c r="B2847" i="1"/>
  <c r="A2847" i="1"/>
  <c r="H2846" i="1"/>
  <c r="G2846" i="1"/>
  <c r="E2846" i="1"/>
  <c r="B2846" i="1"/>
  <c r="A2846" i="1"/>
  <c r="H2845" i="1"/>
  <c r="G2845" i="1"/>
  <c r="E2845" i="1"/>
  <c r="B2845" i="1"/>
  <c r="A2845" i="1"/>
  <c r="H2844" i="1"/>
  <c r="G2844" i="1"/>
  <c r="E2844" i="1"/>
  <c r="B2844" i="1"/>
  <c r="A2844" i="1"/>
  <c r="H2843" i="1"/>
  <c r="G2843" i="1"/>
  <c r="E2843" i="1"/>
  <c r="B2843" i="1"/>
  <c r="A2843" i="1"/>
  <c r="H2842" i="1"/>
  <c r="G2842" i="1"/>
  <c r="E2842" i="1"/>
  <c r="B2842" i="1"/>
  <c r="A2842" i="1"/>
  <c r="H2841" i="1"/>
  <c r="G2841" i="1"/>
  <c r="E2841" i="1"/>
  <c r="B2841" i="1"/>
  <c r="A2841" i="1"/>
  <c r="H2840" i="1"/>
  <c r="G2840" i="1"/>
  <c r="E2840" i="1"/>
  <c r="B2840" i="1"/>
  <c r="A2840" i="1"/>
  <c r="H2839" i="1"/>
  <c r="G2839" i="1"/>
  <c r="E2839" i="1"/>
  <c r="B2839" i="1"/>
  <c r="A2839" i="1"/>
  <c r="H2838" i="1"/>
  <c r="G2838" i="1"/>
  <c r="E2838" i="1"/>
  <c r="B2838" i="1"/>
  <c r="A2838" i="1"/>
  <c r="H2837" i="1"/>
  <c r="G2837" i="1"/>
  <c r="E2837" i="1"/>
  <c r="B2837" i="1"/>
  <c r="A2837" i="1"/>
  <c r="H2836" i="1"/>
  <c r="G2836" i="1"/>
  <c r="E2836" i="1"/>
  <c r="B2836" i="1"/>
  <c r="A2836" i="1"/>
  <c r="H2835" i="1"/>
  <c r="G2835" i="1"/>
  <c r="E2835" i="1"/>
  <c r="B2835" i="1"/>
  <c r="A2835" i="1"/>
  <c r="H2834" i="1"/>
  <c r="G2834" i="1"/>
  <c r="E2834" i="1"/>
  <c r="B2834" i="1"/>
  <c r="A2834" i="1"/>
  <c r="H2833" i="1"/>
  <c r="G2833" i="1"/>
  <c r="E2833" i="1"/>
  <c r="B2833" i="1"/>
  <c r="A2833" i="1"/>
  <c r="H2832" i="1"/>
  <c r="G2832" i="1"/>
  <c r="E2832" i="1"/>
  <c r="B2832" i="1"/>
  <c r="A2832" i="1"/>
  <c r="H2831" i="1"/>
  <c r="G2831" i="1"/>
  <c r="E2831" i="1"/>
  <c r="B2831" i="1"/>
  <c r="A2831" i="1"/>
  <c r="H2830" i="1"/>
  <c r="G2830" i="1"/>
  <c r="E2830" i="1"/>
  <c r="B2830" i="1"/>
  <c r="A2830" i="1"/>
  <c r="H2829" i="1"/>
  <c r="G2829" i="1"/>
  <c r="E2829" i="1"/>
  <c r="B2829" i="1"/>
  <c r="A2829" i="1"/>
  <c r="H2828" i="1"/>
  <c r="G2828" i="1"/>
  <c r="E2828" i="1"/>
  <c r="B2828" i="1"/>
  <c r="A2828" i="1"/>
  <c r="H2827" i="1"/>
  <c r="G2827" i="1"/>
  <c r="E2827" i="1"/>
  <c r="B2827" i="1"/>
  <c r="A2827" i="1"/>
  <c r="H2826" i="1"/>
  <c r="G2826" i="1"/>
  <c r="E2826" i="1"/>
  <c r="B2826" i="1"/>
  <c r="A2826" i="1"/>
  <c r="H2825" i="1"/>
  <c r="G2825" i="1"/>
  <c r="E2825" i="1"/>
  <c r="B2825" i="1"/>
  <c r="A2825" i="1"/>
  <c r="H2824" i="1"/>
  <c r="G2824" i="1"/>
  <c r="E2824" i="1"/>
  <c r="B2824" i="1"/>
  <c r="A2824" i="1"/>
  <c r="H2823" i="1"/>
  <c r="G2823" i="1"/>
  <c r="E2823" i="1"/>
  <c r="B2823" i="1"/>
  <c r="A2823" i="1"/>
  <c r="H2822" i="1"/>
  <c r="G2822" i="1"/>
  <c r="E2822" i="1"/>
  <c r="B2822" i="1"/>
  <c r="A2822" i="1"/>
  <c r="H2821" i="1"/>
  <c r="G2821" i="1"/>
  <c r="E2821" i="1"/>
  <c r="B2821" i="1"/>
  <c r="A2821" i="1"/>
  <c r="H2820" i="1"/>
  <c r="G2820" i="1"/>
  <c r="E2820" i="1"/>
  <c r="B2820" i="1"/>
  <c r="A2820" i="1"/>
  <c r="H2819" i="1"/>
  <c r="G2819" i="1"/>
  <c r="E2819" i="1"/>
  <c r="B2819" i="1"/>
  <c r="A2819" i="1"/>
  <c r="H2818" i="1"/>
  <c r="G2818" i="1"/>
  <c r="E2818" i="1"/>
  <c r="B2818" i="1"/>
  <c r="A2818" i="1"/>
  <c r="H2817" i="1"/>
  <c r="G2817" i="1"/>
  <c r="E2817" i="1"/>
  <c r="B2817" i="1"/>
  <c r="A2817" i="1"/>
  <c r="H2816" i="1"/>
  <c r="G2816" i="1"/>
  <c r="E2816" i="1"/>
  <c r="B2816" i="1"/>
  <c r="A2816" i="1"/>
  <c r="H2815" i="1"/>
  <c r="G2815" i="1"/>
  <c r="E2815" i="1"/>
  <c r="B2815" i="1"/>
  <c r="A2815" i="1"/>
  <c r="H2814" i="1"/>
  <c r="G2814" i="1"/>
  <c r="E2814" i="1"/>
  <c r="B2814" i="1"/>
  <c r="A2814" i="1"/>
  <c r="H2813" i="1"/>
  <c r="G2813" i="1"/>
  <c r="E2813" i="1"/>
  <c r="B2813" i="1"/>
  <c r="A2813" i="1"/>
  <c r="H2812" i="1"/>
  <c r="G2812" i="1"/>
  <c r="E2812" i="1"/>
  <c r="B2812" i="1"/>
  <c r="A2812" i="1"/>
  <c r="H2811" i="1"/>
  <c r="G2811" i="1"/>
  <c r="E2811" i="1"/>
  <c r="B2811" i="1"/>
  <c r="A2811" i="1"/>
  <c r="H2810" i="1"/>
  <c r="G2810" i="1"/>
  <c r="E2810" i="1"/>
  <c r="B2810" i="1"/>
  <c r="A2810" i="1"/>
  <c r="H2809" i="1"/>
  <c r="G2809" i="1"/>
  <c r="E2809" i="1"/>
  <c r="B2809" i="1"/>
  <c r="A2809" i="1"/>
  <c r="H2808" i="1"/>
  <c r="G2808" i="1"/>
  <c r="E2808" i="1"/>
  <c r="B2808" i="1"/>
  <c r="A2808" i="1"/>
  <c r="H2807" i="1"/>
  <c r="G2807" i="1"/>
  <c r="E2807" i="1"/>
  <c r="B2807" i="1"/>
  <c r="A2807" i="1"/>
  <c r="H2806" i="1"/>
  <c r="G2806" i="1"/>
  <c r="E2806" i="1"/>
  <c r="B2806" i="1"/>
  <c r="A2806" i="1"/>
  <c r="H2805" i="1"/>
  <c r="G2805" i="1"/>
  <c r="E2805" i="1"/>
  <c r="B2805" i="1"/>
  <c r="A2805" i="1"/>
  <c r="H2804" i="1"/>
  <c r="G2804" i="1"/>
  <c r="E2804" i="1"/>
  <c r="B2804" i="1"/>
  <c r="A2804" i="1"/>
  <c r="H2803" i="1"/>
  <c r="G2803" i="1"/>
  <c r="E2803" i="1"/>
  <c r="B2803" i="1"/>
  <c r="A2803" i="1"/>
  <c r="H2802" i="1"/>
  <c r="G2802" i="1"/>
  <c r="E2802" i="1"/>
  <c r="B2802" i="1"/>
  <c r="A2802" i="1"/>
  <c r="H2801" i="1"/>
  <c r="G2801" i="1"/>
  <c r="E2801" i="1"/>
  <c r="B2801" i="1"/>
  <c r="A2801" i="1"/>
  <c r="H2800" i="1"/>
  <c r="G2800" i="1"/>
  <c r="E2800" i="1"/>
  <c r="B2800" i="1"/>
  <c r="A2800" i="1"/>
  <c r="H2799" i="1"/>
  <c r="G2799" i="1"/>
  <c r="E2799" i="1"/>
  <c r="B2799" i="1"/>
  <c r="A2799" i="1"/>
  <c r="H2798" i="1"/>
  <c r="G2798" i="1"/>
  <c r="E2798" i="1"/>
  <c r="B2798" i="1"/>
  <c r="A2798" i="1"/>
  <c r="H2797" i="1"/>
  <c r="G2797" i="1"/>
  <c r="E2797" i="1"/>
  <c r="B2797" i="1"/>
  <c r="A2797" i="1"/>
  <c r="H2796" i="1"/>
  <c r="G2796" i="1"/>
  <c r="E2796" i="1"/>
  <c r="B2796" i="1"/>
  <c r="A2796" i="1"/>
  <c r="H2795" i="1"/>
  <c r="G2795" i="1"/>
  <c r="E2795" i="1"/>
  <c r="B2795" i="1"/>
  <c r="A2795" i="1"/>
  <c r="H2794" i="1"/>
  <c r="G2794" i="1"/>
  <c r="E2794" i="1"/>
  <c r="B2794" i="1"/>
  <c r="A2794" i="1"/>
  <c r="H2793" i="1"/>
  <c r="G2793" i="1"/>
  <c r="E2793" i="1"/>
  <c r="B2793" i="1"/>
  <c r="A2793" i="1"/>
  <c r="H2792" i="1"/>
  <c r="G2792" i="1"/>
  <c r="E2792" i="1"/>
  <c r="B2792" i="1"/>
  <c r="A2792" i="1"/>
  <c r="H2791" i="1"/>
  <c r="G2791" i="1"/>
  <c r="E2791" i="1"/>
  <c r="B2791" i="1"/>
  <c r="A2791" i="1"/>
  <c r="H2790" i="1"/>
  <c r="G2790" i="1"/>
  <c r="E2790" i="1"/>
  <c r="B2790" i="1"/>
  <c r="A2790" i="1"/>
  <c r="H2789" i="1"/>
  <c r="G2789" i="1"/>
  <c r="E2789" i="1"/>
  <c r="B2789" i="1"/>
  <c r="A2789" i="1"/>
  <c r="H2788" i="1"/>
  <c r="G2788" i="1"/>
  <c r="E2788" i="1"/>
  <c r="B2788" i="1"/>
  <c r="A2788" i="1"/>
  <c r="H2787" i="1"/>
  <c r="G2787" i="1"/>
  <c r="E2787" i="1"/>
  <c r="B2787" i="1"/>
  <c r="A2787" i="1"/>
  <c r="H2786" i="1"/>
  <c r="G2786" i="1"/>
  <c r="E2786" i="1"/>
  <c r="B2786" i="1"/>
  <c r="A2786" i="1"/>
  <c r="H2785" i="1"/>
  <c r="G2785" i="1"/>
  <c r="E2785" i="1"/>
  <c r="B2785" i="1"/>
  <c r="A2785" i="1"/>
  <c r="H2784" i="1"/>
  <c r="G2784" i="1"/>
  <c r="E2784" i="1"/>
  <c r="B2784" i="1"/>
  <c r="A2784" i="1"/>
  <c r="H2783" i="1"/>
  <c r="G2783" i="1"/>
  <c r="E2783" i="1"/>
  <c r="B2783" i="1"/>
  <c r="A2783" i="1"/>
  <c r="H2782" i="1"/>
  <c r="G2782" i="1"/>
  <c r="E2782" i="1"/>
  <c r="B2782" i="1"/>
  <c r="A2782" i="1"/>
  <c r="H2781" i="1"/>
  <c r="G2781" i="1"/>
  <c r="E2781" i="1"/>
  <c r="B2781" i="1"/>
  <c r="A2781" i="1"/>
  <c r="H2780" i="1"/>
  <c r="G2780" i="1"/>
  <c r="E2780" i="1"/>
  <c r="B2780" i="1"/>
  <c r="A2780" i="1"/>
  <c r="H2779" i="1"/>
  <c r="G2779" i="1"/>
  <c r="E2779" i="1"/>
  <c r="B2779" i="1"/>
  <c r="A2779" i="1"/>
  <c r="H2778" i="1"/>
  <c r="G2778" i="1"/>
  <c r="E2778" i="1"/>
  <c r="B2778" i="1"/>
  <c r="A2778" i="1"/>
  <c r="H2777" i="1"/>
  <c r="G2777" i="1"/>
  <c r="E2777" i="1"/>
  <c r="B2777" i="1"/>
  <c r="A2777" i="1"/>
  <c r="H2776" i="1"/>
  <c r="G2776" i="1"/>
  <c r="E2776" i="1"/>
  <c r="B2776" i="1"/>
  <c r="A2776" i="1"/>
  <c r="H2775" i="1"/>
  <c r="G2775" i="1"/>
  <c r="E2775" i="1"/>
  <c r="B2775" i="1"/>
  <c r="A2775" i="1"/>
  <c r="H2774" i="1"/>
  <c r="G2774" i="1"/>
  <c r="E2774" i="1"/>
  <c r="B2774" i="1"/>
  <c r="A2774" i="1"/>
  <c r="H2773" i="1"/>
  <c r="G2773" i="1"/>
  <c r="E2773" i="1"/>
  <c r="B2773" i="1"/>
  <c r="A2773" i="1"/>
  <c r="H2772" i="1"/>
  <c r="G2772" i="1"/>
  <c r="E2772" i="1"/>
  <c r="B2772" i="1"/>
  <c r="A2772" i="1"/>
  <c r="H2771" i="1"/>
  <c r="G2771" i="1"/>
  <c r="E2771" i="1"/>
  <c r="B2771" i="1"/>
  <c r="A2771" i="1"/>
  <c r="H2770" i="1"/>
  <c r="G2770" i="1"/>
  <c r="E2770" i="1"/>
  <c r="B2770" i="1"/>
  <c r="A2770" i="1"/>
  <c r="H2769" i="1"/>
  <c r="G2769" i="1"/>
  <c r="E2769" i="1"/>
  <c r="B2769" i="1"/>
  <c r="A2769" i="1"/>
  <c r="H2768" i="1"/>
  <c r="G2768" i="1"/>
  <c r="E2768" i="1"/>
  <c r="B2768" i="1"/>
  <c r="A2768" i="1"/>
  <c r="H2767" i="1"/>
  <c r="G2767" i="1"/>
  <c r="E2767" i="1"/>
  <c r="B2767" i="1"/>
  <c r="A2767" i="1"/>
  <c r="H2766" i="1"/>
  <c r="G2766" i="1"/>
  <c r="E2766" i="1"/>
  <c r="B2766" i="1"/>
  <c r="A2766" i="1"/>
  <c r="H2765" i="1"/>
  <c r="G2765" i="1"/>
  <c r="E2765" i="1"/>
  <c r="B2765" i="1"/>
  <c r="A2765" i="1"/>
  <c r="H2764" i="1"/>
  <c r="G2764" i="1"/>
  <c r="E2764" i="1"/>
  <c r="B2764" i="1"/>
  <c r="A2764" i="1"/>
  <c r="H2763" i="1"/>
  <c r="G2763" i="1"/>
  <c r="E2763" i="1"/>
  <c r="B2763" i="1"/>
  <c r="A2763" i="1"/>
  <c r="H2762" i="1"/>
  <c r="G2762" i="1"/>
  <c r="E2762" i="1"/>
  <c r="B2762" i="1"/>
  <c r="A2762" i="1"/>
  <c r="H2761" i="1"/>
  <c r="G2761" i="1"/>
  <c r="E2761" i="1"/>
  <c r="B2761" i="1"/>
  <c r="A2761" i="1"/>
  <c r="H2760" i="1"/>
  <c r="G2760" i="1"/>
  <c r="E2760" i="1"/>
  <c r="B2760" i="1"/>
  <c r="A2760" i="1"/>
  <c r="H2759" i="1"/>
  <c r="G2759" i="1"/>
  <c r="E2759" i="1"/>
  <c r="B2759" i="1"/>
  <c r="A2759" i="1"/>
  <c r="H2758" i="1"/>
  <c r="G2758" i="1"/>
  <c r="E2758" i="1"/>
  <c r="B2758" i="1"/>
  <c r="A2758" i="1"/>
  <c r="H2757" i="1"/>
  <c r="G2757" i="1"/>
  <c r="E2757" i="1"/>
  <c r="B2757" i="1"/>
  <c r="A2757" i="1"/>
  <c r="H2756" i="1"/>
  <c r="G2756" i="1"/>
  <c r="E2756" i="1"/>
  <c r="B2756" i="1"/>
  <c r="A2756" i="1"/>
  <c r="H2755" i="1"/>
  <c r="G2755" i="1"/>
  <c r="E2755" i="1"/>
  <c r="B2755" i="1"/>
  <c r="A2755" i="1"/>
  <c r="H2754" i="1"/>
  <c r="G2754" i="1"/>
  <c r="E2754" i="1"/>
  <c r="B2754" i="1"/>
  <c r="A2754" i="1"/>
  <c r="H2753" i="1"/>
  <c r="G2753" i="1"/>
  <c r="E2753" i="1"/>
  <c r="B2753" i="1"/>
  <c r="A2753" i="1"/>
  <c r="H2752" i="1"/>
  <c r="G2752" i="1"/>
  <c r="E2752" i="1"/>
  <c r="B2752" i="1"/>
  <c r="A2752" i="1"/>
  <c r="H2751" i="1"/>
  <c r="G2751" i="1"/>
  <c r="E2751" i="1"/>
  <c r="B2751" i="1"/>
  <c r="A2751" i="1"/>
  <c r="H2750" i="1"/>
  <c r="G2750" i="1"/>
  <c r="E2750" i="1"/>
  <c r="B2750" i="1"/>
  <c r="A2750" i="1"/>
  <c r="H2749" i="1"/>
  <c r="G2749" i="1"/>
  <c r="E2749" i="1"/>
  <c r="B2749" i="1"/>
  <c r="A2749" i="1"/>
  <c r="H2748" i="1"/>
  <c r="G2748" i="1"/>
  <c r="E2748" i="1"/>
  <c r="B2748" i="1"/>
  <c r="A2748" i="1"/>
  <c r="H2747" i="1"/>
  <c r="G2747" i="1"/>
  <c r="E2747" i="1"/>
  <c r="B2747" i="1"/>
  <c r="A2747" i="1"/>
  <c r="H2746" i="1"/>
  <c r="G2746" i="1"/>
  <c r="E2746" i="1"/>
  <c r="B2746" i="1"/>
  <c r="A2746" i="1"/>
  <c r="H2745" i="1"/>
  <c r="G2745" i="1"/>
  <c r="E2745" i="1"/>
  <c r="B2745" i="1"/>
  <c r="A2745" i="1"/>
  <c r="H2744" i="1"/>
  <c r="G2744" i="1"/>
  <c r="E2744" i="1"/>
  <c r="B2744" i="1"/>
  <c r="A2744" i="1"/>
  <c r="H2743" i="1"/>
  <c r="G2743" i="1"/>
  <c r="E2743" i="1"/>
  <c r="B2743" i="1"/>
  <c r="A2743" i="1"/>
  <c r="H2742" i="1"/>
  <c r="G2742" i="1"/>
  <c r="E2742" i="1"/>
  <c r="B2742" i="1"/>
  <c r="A2742" i="1"/>
  <c r="H2741" i="1"/>
  <c r="G2741" i="1"/>
  <c r="E2741" i="1"/>
  <c r="B2741" i="1"/>
  <c r="A2741" i="1"/>
  <c r="H2740" i="1"/>
  <c r="G2740" i="1"/>
  <c r="E2740" i="1"/>
  <c r="B2740" i="1"/>
  <c r="A2740" i="1"/>
  <c r="H2739" i="1"/>
  <c r="G2739" i="1"/>
  <c r="B2739" i="1"/>
  <c r="A2739" i="1"/>
  <c r="H2738" i="1"/>
  <c r="G2738" i="1"/>
  <c r="E2738" i="1"/>
  <c r="B2738" i="1"/>
  <c r="A2738" i="1"/>
  <c r="H2737" i="1"/>
  <c r="G2737" i="1"/>
  <c r="B2737" i="1"/>
  <c r="A2737" i="1"/>
  <c r="H2736" i="1"/>
  <c r="G2736" i="1"/>
  <c r="B2736" i="1"/>
  <c r="A2736" i="1"/>
  <c r="H2735" i="1"/>
  <c r="G2735" i="1"/>
  <c r="E2735" i="1"/>
  <c r="B2735" i="1"/>
  <c r="A2735" i="1"/>
  <c r="H2734" i="1"/>
  <c r="G2734" i="1"/>
  <c r="E2734" i="1"/>
  <c r="B2734" i="1"/>
  <c r="A2734" i="1"/>
  <c r="H2733" i="1"/>
  <c r="G2733" i="1"/>
  <c r="E2733" i="1"/>
  <c r="B2733" i="1"/>
  <c r="A2733" i="1"/>
  <c r="H2732" i="1"/>
  <c r="G2732" i="1"/>
  <c r="E2732" i="1"/>
  <c r="B2732" i="1"/>
  <c r="A2732" i="1"/>
  <c r="H2731" i="1"/>
  <c r="G2731" i="1"/>
  <c r="E2731" i="1"/>
  <c r="B2731" i="1"/>
  <c r="A2731" i="1"/>
  <c r="H2730" i="1"/>
  <c r="G2730" i="1"/>
  <c r="E2730" i="1"/>
  <c r="B2730" i="1"/>
  <c r="A2730" i="1"/>
  <c r="H2729" i="1"/>
  <c r="G2729" i="1"/>
  <c r="E2729" i="1"/>
  <c r="B2729" i="1"/>
  <c r="A2729" i="1"/>
  <c r="H2728" i="1"/>
  <c r="G2728" i="1"/>
  <c r="E2728" i="1"/>
  <c r="B2728" i="1"/>
  <c r="A2728" i="1"/>
  <c r="H2727" i="1"/>
  <c r="G2727" i="1"/>
  <c r="E2727" i="1"/>
  <c r="B2727" i="1"/>
  <c r="A2727" i="1"/>
  <c r="H2726" i="1"/>
  <c r="G2726" i="1"/>
  <c r="E2726" i="1"/>
  <c r="B2726" i="1"/>
  <c r="A2726" i="1"/>
  <c r="H2725" i="1"/>
  <c r="G2725" i="1"/>
  <c r="E2725" i="1"/>
  <c r="B2725" i="1"/>
  <c r="A2725" i="1"/>
  <c r="H2724" i="1"/>
  <c r="G2724" i="1"/>
  <c r="E2724" i="1"/>
  <c r="B2724" i="1"/>
  <c r="A2724" i="1"/>
  <c r="H2723" i="1"/>
  <c r="G2723" i="1"/>
  <c r="E2723" i="1"/>
  <c r="B2723" i="1"/>
  <c r="A2723" i="1"/>
  <c r="H2722" i="1"/>
  <c r="G2722" i="1"/>
  <c r="E2722" i="1"/>
  <c r="B2722" i="1"/>
  <c r="A2722" i="1"/>
  <c r="H2721" i="1"/>
  <c r="G2721" i="1"/>
  <c r="E2721" i="1"/>
  <c r="B2721" i="1"/>
  <c r="A2721" i="1"/>
  <c r="H2720" i="1"/>
  <c r="G2720" i="1"/>
  <c r="E2720" i="1"/>
  <c r="B2720" i="1"/>
  <c r="A2720" i="1"/>
  <c r="H2719" i="1"/>
  <c r="G2719" i="1"/>
  <c r="E2719" i="1"/>
  <c r="B2719" i="1"/>
  <c r="A2719" i="1"/>
  <c r="H2718" i="1"/>
  <c r="G2718" i="1"/>
  <c r="E2718" i="1"/>
  <c r="B2718" i="1"/>
  <c r="A2718" i="1"/>
  <c r="H2717" i="1"/>
  <c r="G2717" i="1"/>
  <c r="E2717" i="1"/>
  <c r="B2717" i="1"/>
  <c r="A2717" i="1"/>
  <c r="H2716" i="1"/>
  <c r="G2716" i="1"/>
  <c r="E2716" i="1"/>
  <c r="B2716" i="1"/>
  <c r="A2716" i="1"/>
  <c r="H2715" i="1"/>
  <c r="G2715" i="1"/>
  <c r="E2715" i="1"/>
  <c r="B2715" i="1"/>
  <c r="A2715" i="1"/>
  <c r="H2714" i="1"/>
  <c r="G2714" i="1"/>
  <c r="E2714" i="1"/>
  <c r="B2714" i="1"/>
  <c r="A2714" i="1"/>
  <c r="H2713" i="1"/>
  <c r="G2713" i="1"/>
  <c r="E2713" i="1"/>
  <c r="B2713" i="1"/>
  <c r="A2713" i="1"/>
  <c r="H2712" i="1"/>
  <c r="G2712" i="1"/>
  <c r="E2712" i="1"/>
  <c r="B2712" i="1"/>
  <c r="A2712" i="1"/>
  <c r="H2711" i="1"/>
  <c r="G2711" i="1"/>
  <c r="E2711" i="1"/>
  <c r="B2711" i="1"/>
  <c r="A2711" i="1"/>
  <c r="H2710" i="1"/>
  <c r="G2710" i="1"/>
  <c r="E2710" i="1"/>
  <c r="B2710" i="1"/>
  <c r="A2710" i="1"/>
  <c r="H2709" i="1"/>
  <c r="G2709" i="1"/>
  <c r="E2709" i="1"/>
  <c r="B2709" i="1"/>
  <c r="A2709" i="1"/>
  <c r="H2708" i="1"/>
  <c r="G2708" i="1"/>
  <c r="E2708" i="1"/>
  <c r="B2708" i="1"/>
  <c r="A2708" i="1"/>
  <c r="H2707" i="1"/>
  <c r="G2707" i="1"/>
  <c r="E2707" i="1"/>
  <c r="B2707" i="1"/>
  <c r="A2707" i="1"/>
  <c r="H2706" i="1"/>
  <c r="G2706" i="1"/>
  <c r="B2706" i="1"/>
  <c r="A2706" i="1"/>
  <c r="H2705" i="1"/>
  <c r="G2705" i="1"/>
  <c r="E2705" i="1"/>
  <c r="B2705" i="1"/>
  <c r="A2705" i="1"/>
  <c r="H2704" i="1"/>
  <c r="G2704" i="1"/>
  <c r="B2704" i="1"/>
  <c r="A2704" i="1"/>
  <c r="H2703" i="1"/>
  <c r="G2703" i="1"/>
  <c r="E2703" i="1"/>
  <c r="B2703" i="1"/>
  <c r="A2703" i="1"/>
  <c r="H2702" i="1"/>
  <c r="G2702" i="1"/>
  <c r="E2702" i="1"/>
  <c r="B2702" i="1"/>
  <c r="A2702" i="1"/>
  <c r="H2701" i="1"/>
  <c r="G2701" i="1"/>
  <c r="E2701" i="1"/>
  <c r="B2701" i="1"/>
  <c r="A2701" i="1"/>
  <c r="H2700" i="1"/>
  <c r="G2700" i="1"/>
  <c r="E2700" i="1"/>
  <c r="B2700" i="1"/>
  <c r="A2700" i="1"/>
  <c r="H2699" i="1"/>
  <c r="G2699" i="1"/>
  <c r="E2699" i="1"/>
  <c r="B2699" i="1"/>
  <c r="A2699" i="1"/>
  <c r="H2698" i="1"/>
  <c r="G2698" i="1"/>
  <c r="E2698" i="1"/>
  <c r="B2698" i="1"/>
  <c r="A2698" i="1"/>
  <c r="H2697" i="1"/>
  <c r="G2697" i="1"/>
  <c r="E2697" i="1"/>
  <c r="B2697" i="1"/>
  <c r="A2697" i="1"/>
  <c r="H2696" i="1"/>
  <c r="G2696" i="1"/>
  <c r="E2696" i="1"/>
  <c r="B2696" i="1"/>
  <c r="A2696" i="1"/>
  <c r="H2695" i="1"/>
  <c r="G2695" i="1"/>
  <c r="E2695" i="1"/>
  <c r="B2695" i="1"/>
  <c r="A2695" i="1"/>
  <c r="H2694" i="1"/>
  <c r="G2694" i="1"/>
  <c r="E2694" i="1"/>
  <c r="B2694" i="1"/>
  <c r="A2694" i="1"/>
  <c r="H2693" i="1"/>
  <c r="G2693" i="1"/>
  <c r="E2693" i="1"/>
  <c r="B2693" i="1"/>
  <c r="A2693" i="1"/>
  <c r="H2692" i="1"/>
  <c r="G2692" i="1"/>
  <c r="E2692" i="1"/>
  <c r="B2692" i="1"/>
  <c r="A2692" i="1"/>
  <c r="H2691" i="1"/>
  <c r="G2691" i="1"/>
  <c r="E2691" i="1"/>
  <c r="B2691" i="1"/>
  <c r="A2691" i="1"/>
  <c r="H2690" i="1"/>
  <c r="G2690" i="1"/>
  <c r="E2690" i="1"/>
  <c r="B2690" i="1"/>
  <c r="A2690" i="1"/>
  <c r="H2689" i="1"/>
  <c r="G2689" i="1"/>
  <c r="E2689" i="1"/>
  <c r="B2689" i="1"/>
  <c r="A2689" i="1"/>
  <c r="H2688" i="1"/>
  <c r="G2688" i="1"/>
  <c r="E2688" i="1"/>
  <c r="B2688" i="1"/>
  <c r="A2688" i="1"/>
  <c r="H2687" i="1"/>
  <c r="G2687" i="1"/>
  <c r="E2687" i="1"/>
  <c r="B2687" i="1"/>
  <c r="A2687" i="1"/>
  <c r="H2686" i="1"/>
  <c r="G2686" i="1"/>
  <c r="E2686" i="1"/>
  <c r="B2686" i="1"/>
  <c r="A2686" i="1"/>
  <c r="H2685" i="1"/>
  <c r="G2685" i="1"/>
  <c r="E2685" i="1"/>
  <c r="B2685" i="1"/>
  <c r="A2685" i="1"/>
  <c r="H2684" i="1"/>
  <c r="G2684" i="1"/>
  <c r="E2684" i="1"/>
  <c r="B2684" i="1"/>
  <c r="A2684" i="1"/>
  <c r="H2683" i="1"/>
  <c r="G2683" i="1"/>
  <c r="E2683" i="1"/>
  <c r="B2683" i="1"/>
  <c r="A2683" i="1"/>
  <c r="H2682" i="1"/>
  <c r="G2682" i="1"/>
  <c r="E2682" i="1"/>
  <c r="B2682" i="1"/>
  <c r="A2682" i="1"/>
  <c r="H2681" i="1"/>
  <c r="G2681" i="1"/>
  <c r="E2681" i="1"/>
  <c r="B2681" i="1"/>
  <c r="A2681" i="1"/>
  <c r="H2680" i="1"/>
  <c r="G2680" i="1"/>
  <c r="E2680" i="1"/>
  <c r="B2680" i="1"/>
  <c r="A2680" i="1"/>
  <c r="H2679" i="1"/>
  <c r="G2679" i="1"/>
  <c r="E2679" i="1"/>
  <c r="B2679" i="1"/>
  <c r="A2679" i="1"/>
  <c r="H2678" i="1"/>
  <c r="G2678" i="1"/>
  <c r="E2678" i="1"/>
  <c r="B2678" i="1"/>
  <c r="A2678" i="1"/>
  <c r="H2677" i="1"/>
  <c r="G2677" i="1"/>
  <c r="E2677" i="1"/>
  <c r="B2677" i="1"/>
  <c r="A2677" i="1"/>
  <c r="H2676" i="1"/>
  <c r="G2676" i="1"/>
  <c r="E2676" i="1"/>
  <c r="B2676" i="1"/>
  <c r="A2676" i="1"/>
  <c r="H2675" i="1"/>
  <c r="G2675" i="1"/>
  <c r="B2675" i="1"/>
  <c r="A2675" i="1"/>
  <c r="H2674" i="1"/>
  <c r="G2674" i="1"/>
  <c r="E2674" i="1"/>
  <c r="B2674" i="1"/>
  <c r="A2674" i="1"/>
  <c r="H2673" i="1"/>
  <c r="G2673" i="1"/>
  <c r="E2673" i="1"/>
  <c r="B2673" i="1"/>
  <c r="A2673" i="1"/>
  <c r="H2672" i="1"/>
  <c r="G2672" i="1"/>
  <c r="E2672" i="1"/>
  <c r="B2672" i="1"/>
  <c r="A2672" i="1"/>
  <c r="H2671" i="1"/>
  <c r="G2671" i="1"/>
  <c r="E2671" i="1"/>
  <c r="B2671" i="1"/>
  <c r="A2671" i="1"/>
  <c r="H2670" i="1"/>
  <c r="G2670" i="1"/>
  <c r="E2670" i="1"/>
  <c r="B2670" i="1"/>
  <c r="A2670" i="1"/>
  <c r="H2669" i="1"/>
  <c r="G2669" i="1"/>
  <c r="E2669" i="1"/>
  <c r="B2669" i="1"/>
  <c r="A2669" i="1"/>
  <c r="H2668" i="1"/>
  <c r="G2668" i="1"/>
  <c r="E2668" i="1"/>
  <c r="B2668" i="1"/>
  <c r="A2668" i="1"/>
  <c r="H2667" i="1"/>
  <c r="G2667" i="1"/>
  <c r="E2667" i="1"/>
  <c r="B2667" i="1"/>
  <c r="A2667" i="1"/>
  <c r="H2666" i="1"/>
  <c r="G2666" i="1"/>
  <c r="E2666" i="1"/>
  <c r="B2666" i="1"/>
  <c r="A2666" i="1"/>
  <c r="H2665" i="1"/>
  <c r="G2665" i="1"/>
  <c r="E2665" i="1"/>
  <c r="B2665" i="1"/>
  <c r="A2665" i="1"/>
  <c r="H2664" i="1"/>
  <c r="G2664" i="1"/>
  <c r="E2664" i="1"/>
  <c r="B2664" i="1"/>
  <c r="A2664" i="1"/>
  <c r="H2663" i="1"/>
  <c r="G2663" i="1"/>
  <c r="E2663" i="1"/>
  <c r="B2663" i="1"/>
  <c r="A2663" i="1"/>
  <c r="H2662" i="1"/>
  <c r="G2662" i="1"/>
  <c r="E2662" i="1"/>
  <c r="B2662" i="1"/>
  <c r="A2662" i="1"/>
  <c r="H2661" i="1"/>
  <c r="G2661" i="1"/>
  <c r="E2661" i="1"/>
  <c r="B2661" i="1"/>
  <c r="A2661" i="1"/>
  <c r="H2660" i="1"/>
  <c r="G2660" i="1"/>
  <c r="E2660" i="1"/>
  <c r="B2660" i="1"/>
  <c r="A2660" i="1"/>
  <c r="H2659" i="1"/>
  <c r="G2659" i="1"/>
  <c r="E2659" i="1"/>
  <c r="B2659" i="1"/>
  <c r="A2659" i="1"/>
  <c r="H2658" i="1"/>
  <c r="G2658" i="1"/>
  <c r="E2658" i="1"/>
  <c r="B2658" i="1"/>
  <c r="A2658" i="1"/>
  <c r="H2657" i="1"/>
  <c r="G2657" i="1"/>
  <c r="E2657" i="1"/>
  <c r="B2657" i="1"/>
  <c r="A2657" i="1"/>
  <c r="H2656" i="1"/>
  <c r="G2656" i="1"/>
  <c r="E2656" i="1"/>
  <c r="B2656" i="1"/>
  <c r="A2656" i="1"/>
  <c r="H2655" i="1"/>
  <c r="G2655" i="1"/>
  <c r="E2655" i="1"/>
  <c r="B2655" i="1"/>
  <c r="A2655" i="1"/>
  <c r="H2654" i="1"/>
  <c r="G2654" i="1"/>
  <c r="E2654" i="1"/>
  <c r="B2654" i="1"/>
  <c r="A2654" i="1"/>
  <c r="H2653" i="1"/>
  <c r="G2653" i="1"/>
  <c r="E2653" i="1"/>
  <c r="B2653" i="1"/>
  <c r="A2653" i="1"/>
  <c r="H2652" i="1"/>
  <c r="G2652" i="1"/>
  <c r="E2652" i="1"/>
  <c r="B2652" i="1"/>
  <c r="A2652" i="1"/>
  <c r="H2651" i="1"/>
  <c r="G2651" i="1"/>
  <c r="E2651" i="1"/>
  <c r="B2651" i="1"/>
  <c r="A2651" i="1"/>
  <c r="H2650" i="1"/>
  <c r="G2650" i="1"/>
  <c r="E2650" i="1"/>
  <c r="B2650" i="1"/>
  <c r="A2650" i="1"/>
  <c r="H2649" i="1"/>
  <c r="G2649" i="1"/>
  <c r="E2649" i="1"/>
  <c r="B2649" i="1"/>
  <c r="A2649" i="1"/>
  <c r="H2648" i="1"/>
  <c r="G2648" i="1"/>
  <c r="E2648" i="1"/>
  <c r="B2648" i="1"/>
  <c r="A2648" i="1"/>
  <c r="H2647" i="1"/>
  <c r="G2647" i="1"/>
  <c r="E2647" i="1"/>
  <c r="B2647" i="1"/>
  <c r="A2647" i="1"/>
  <c r="H2646" i="1"/>
  <c r="G2646" i="1"/>
  <c r="E2646" i="1"/>
  <c r="B2646" i="1"/>
  <c r="A2646" i="1"/>
  <c r="H2645" i="1"/>
  <c r="G2645" i="1"/>
  <c r="E2645" i="1"/>
  <c r="B2645" i="1"/>
  <c r="A2645" i="1"/>
  <c r="H2644" i="1"/>
  <c r="G2644" i="1"/>
  <c r="E2644" i="1"/>
  <c r="B2644" i="1"/>
  <c r="A2644" i="1"/>
  <c r="H2643" i="1"/>
  <c r="G2643" i="1"/>
  <c r="E2643" i="1"/>
  <c r="B2643" i="1"/>
  <c r="A2643" i="1"/>
  <c r="H2642" i="1"/>
  <c r="G2642" i="1"/>
  <c r="E2642" i="1"/>
  <c r="B2642" i="1"/>
  <c r="A2642" i="1"/>
  <c r="H2641" i="1"/>
  <c r="G2641" i="1"/>
  <c r="E2641" i="1"/>
  <c r="B2641" i="1"/>
  <c r="A2641" i="1"/>
  <c r="H2640" i="1"/>
  <c r="G2640" i="1"/>
  <c r="E2640" i="1"/>
  <c r="B2640" i="1"/>
  <c r="A2640" i="1"/>
  <c r="H2639" i="1"/>
  <c r="G2639" i="1"/>
  <c r="E2639" i="1"/>
  <c r="B2639" i="1"/>
  <c r="A2639" i="1"/>
  <c r="H2638" i="1"/>
  <c r="G2638" i="1"/>
  <c r="E2638" i="1"/>
  <c r="B2638" i="1"/>
  <c r="A2638" i="1"/>
  <c r="H2637" i="1"/>
  <c r="G2637" i="1"/>
  <c r="E2637" i="1"/>
  <c r="B2637" i="1"/>
  <c r="A2637" i="1"/>
  <c r="H2636" i="1"/>
  <c r="G2636" i="1"/>
  <c r="E2636" i="1"/>
  <c r="B2636" i="1"/>
  <c r="A2636" i="1"/>
  <c r="H2635" i="1"/>
  <c r="G2635" i="1"/>
  <c r="E2635" i="1"/>
  <c r="B2635" i="1"/>
  <c r="A2635" i="1"/>
  <c r="H2634" i="1"/>
  <c r="G2634" i="1"/>
  <c r="E2634" i="1"/>
  <c r="B2634" i="1"/>
  <c r="A2634" i="1"/>
  <c r="H2633" i="1"/>
  <c r="G2633" i="1"/>
  <c r="E2633" i="1"/>
  <c r="B2633" i="1"/>
  <c r="A2633" i="1"/>
  <c r="H2632" i="1"/>
  <c r="G2632" i="1"/>
  <c r="E2632" i="1"/>
  <c r="B2632" i="1"/>
  <c r="A2632" i="1"/>
  <c r="H2631" i="1"/>
  <c r="G2631" i="1"/>
  <c r="E2631" i="1"/>
  <c r="B2631" i="1"/>
  <c r="A2631" i="1"/>
  <c r="H2630" i="1"/>
  <c r="G2630" i="1"/>
  <c r="E2630" i="1"/>
  <c r="B2630" i="1"/>
  <c r="A2630" i="1"/>
  <c r="H2629" i="1"/>
  <c r="G2629" i="1"/>
  <c r="E2629" i="1"/>
  <c r="B2629" i="1"/>
  <c r="A2629" i="1"/>
  <c r="H2628" i="1"/>
  <c r="G2628" i="1"/>
  <c r="E2628" i="1"/>
  <c r="B2628" i="1"/>
  <c r="A2628" i="1"/>
  <c r="H2627" i="1"/>
  <c r="G2627" i="1"/>
  <c r="E2627" i="1"/>
  <c r="B2627" i="1"/>
  <c r="A2627" i="1"/>
  <c r="H2626" i="1"/>
  <c r="G2626" i="1"/>
  <c r="E2626" i="1"/>
  <c r="B2626" i="1"/>
  <c r="A2626" i="1"/>
  <c r="H2625" i="1"/>
  <c r="G2625" i="1"/>
  <c r="E2625" i="1"/>
  <c r="B2625" i="1"/>
  <c r="A2625" i="1"/>
  <c r="H2624" i="1"/>
  <c r="G2624" i="1"/>
  <c r="E2624" i="1"/>
  <c r="B2624" i="1"/>
  <c r="A2624" i="1"/>
  <c r="H2623" i="1"/>
  <c r="G2623" i="1"/>
  <c r="E2623" i="1"/>
  <c r="B2623" i="1"/>
  <c r="A2623" i="1"/>
  <c r="H2622" i="1"/>
  <c r="G2622" i="1"/>
  <c r="E2622" i="1"/>
  <c r="B2622" i="1"/>
  <c r="A2622" i="1"/>
  <c r="H2621" i="1"/>
  <c r="G2621" i="1"/>
  <c r="E2621" i="1"/>
  <c r="B2621" i="1"/>
  <c r="A2621" i="1"/>
  <c r="H2620" i="1"/>
  <c r="G2620" i="1"/>
  <c r="E2620" i="1"/>
  <c r="B2620" i="1"/>
  <c r="A2620" i="1"/>
  <c r="H2619" i="1"/>
  <c r="G2619" i="1"/>
  <c r="E2619" i="1"/>
  <c r="B2619" i="1"/>
  <c r="A2619" i="1"/>
  <c r="H2618" i="1"/>
  <c r="G2618" i="1"/>
  <c r="E2618" i="1"/>
  <c r="B2618" i="1"/>
  <c r="A2618" i="1"/>
  <c r="H2617" i="1"/>
  <c r="G2617" i="1"/>
  <c r="E2617" i="1"/>
  <c r="B2617" i="1"/>
  <c r="A2617" i="1"/>
  <c r="H2616" i="1"/>
  <c r="G2616" i="1"/>
  <c r="E2616" i="1"/>
  <c r="B2616" i="1"/>
  <c r="A2616" i="1"/>
  <c r="H2615" i="1"/>
  <c r="G2615" i="1"/>
  <c r="E2615" i="1"/>
  <c r="B2615" i="1"/>
  <c r="A2615" i="1"/>
  <c r="H2614" i="1"/>
  <c r="G2614" i="1"/>
  <c r="E2614" i="1"/>
  <c r="B2614" i="1"/>
  <c r="A2614" i="1"/>
  <c r="H2613" i="1"/>
  <c r="G2613" i="1"/>
  <c r="E2613" i="1"/>
  <c r="B2613" i="1"/>
  <c r="A2613" i="1"/>
  <c r="H2612" i="1"/>
  <c r="G2612" i="1"/>
  <c r="E2612" i="1"/>
  <c r="B2612" i="1"/>
  <c r="A2612" i="1"/>
  <c r="H2611" i="1"/>
  <c r="G2611" i="1"/>
  <c r="E2611" i="1"/>
  <c r="B2611" i="1"/>
  <c r="A2611" i="1"/>
  <c r="H2610" i="1"/>
  <c r="G2610" i="1"/>
  <c r="E2610" i="1"/>
  <c r="B2610" i="1"/>
  <c r="A2610" i="1"/>
  <c r="H2609" i="1"/>
  <c r="G2609" i="1"/>
  <c r="E2609" i="1"/>
  <c r="B2609" i="1"/>
  <c r="A2609" i="1"/>
  <c r="H2608" i="1"/>
  <c r="G2608" i="1"/>
  <c r="E2608" i="1"/>
  <c r="B2608" i="1"/>
  <c r="A2608" i="1"/>
  <c r="H2607" i="1"/>
  <c r="G2607" i="1"/>
  <c r="E2607" i="1"/>
  <c r="B2607" i="1"/>
  <c r="A2607" i="1"/>
  <c r="H2606" i="1"/>
  <c r="G2606" i="1"/>
  <c r="E2606" i="1"/>
  <c r="B2606" i="1"/>
  <c r="A2606" i="1"/>
  <c r="H2605" i="1"/>
  <c r="G2605" i="1"/>
  <c r="E2605" i="1"/>
  <c r="B2605" i="1"/>
  <c r="A2605" i="1"/>
  <c r="H2604" i="1"/>
  <c r="G2604" i="1"/>
  <c r="E2604" i="1"/>
  <c r="B2604" i="1"/>
  <c r="A2604" i="1"/>
  <c r="H2603" i="1"/>
  <c r="G2603" i="1"/>
  <c r="E2603" i="1"/>
  <c r="B2603" i="1"/>
  <c r="A2603" i="1"/>
  <c r="H2602" i="1"/>
  <c r="G2602" i="1"/>
  <c r="E2602" i="1"/>
  <c r="B2602" i="1"/>
  <c r="A2602" i="1"/>
  <c r="H2601" i="1"/>
  <c r="G2601" i="1"/>
  <c r="E2601" i="1"/>
  <c r="B2601" i="1"/>
  <c r="A2601" i="1"/>
  <c r="H2600" i="1"/>
  <c r="G2600" i="1"/>
  <c r="E2600" i="1"/>
  <c r="B2600" i="1"/>
  <c r="A2600" i="1"/>
  <c r="H2599" i="1"/>
  <c r="G2599" i="1"/>
  <c r="E2599" i="1"/>
  <c r="B2599" i="1"/>
  <c r="A2599" i="1"/>
  <c r="H2598" i="1"/>
  <c r="G2598" i="1"/>
  <c r="E2598" i="1"/>
  <c r="B2598" i="1"/>
  <c r="A2598" i="1"/>
  <c r="H2597" i="1"/>
  <c r="G2597" i="1"/>
  <c r="E2597" i="1"/>
  <c r="B2597" i="1"/>
  <c r="A2597" i="1"/>
  <c r="H2596" i="1"/>
  <c r="G2596" i="1"/>
  <c r="E2596" i="1"/>
  <c r="B2596" i="1"/>
  <c r="A2596" i="1"/>
  <c r="H2595" i="1"/>
  <c r="G2595" i="1"/>
  <c r="E2595" i="1"/>
  <c r="B2595" i="1"/>
  <c r="A2595" i="1"/>
  <c r="H2594" i="1"/>
  <c r="G2594" i="1"/>
  <c r="E2594" i="1"/>
  <c r="B2594" i="1"/>
  <c r="A2594" i="1"/>
  <c r="H2593" i="1"/>
  <c r="G2593" i="1"/>
  <c r="E2593" i="1"/>
  <c r="B2593" i="1"/>
  <c r="A2593" i="1"/>
  <c r="H2592" i="1"/>
  <c r="G2592" i="1"/>
  <c r="E2592" i="1"/>
  <c r="B2592" i="1"/>
  <c r="A2592" i="1"/>
  <c r="H2591" i="1"/>
  <c r="G2591" i="1"/>
  <c r="E2591" i="1"/>
  <c r="B2591" i="1"/>
  <c r="A2591" i="1"/>
  <c r="H2590" i="1"/>
  <c r="G2590" i="1"/>
  <c r="E2590" i="1"/>
  <c r="B2590" i="1"/>
  <c r="A2590" i="1"/>
  <c r="H2589" i="1"/>
  <c r="G2589" i="1"/>
  <c r="E2589" i="1"/>
  <c r="B2589" i="1"/>
  <c r="A2589" i="1"/>
  <c r="H2588" i="1"/>
  <c r="G2588" i="1"/>
  <c r="E2588" i="1"/>
  <c r="B2588" i="1"/>
  <c r="A2588" i="1"/>
  <c r="H2587" i="1"/>
  <c r="G2587" i="1"/>
  <c r="E2587" i="1"/>
  <c r="B2587" i="1"/>
  <c r="A2587" i="1"/>
  <c r="H2586" i="1"/>
  <c r="G2586" i="1"/>
  <c r="E2586" i="1"/>
  <c r="B2586" i="1"/>
  <c r="A2586" i="1"/>
  <c r="H2585" i="1"/>
  <c r="G2585" i="1"/>
  <c r="E2585" i="1"/>
  <c r="B2585" i="1"/>
  <c r="A2585" i="1"/>
  <c r="H2584" i="1"/>
  <c r="G2584" i="1"/>
  <c r="E2584" i="1"/>
  <c r="B2584" i="1"/>
  <c r="A2584" i="1"/>
  <c r="H2583" i="1"/>
  <c r="G2583" i="1"/>
  <c r="E2583" i="1"/>
  <c r="B2583" i="1"/>
  <c r="A2583" i="1"/>
  <c r="H2582" i="1"/>
  <c r="G2582" i="1"/>
  <c r="E2582" i="1"/>
  <c r="B2582" i="1"/>
  <c r="A2582" i="1"/>
  <c r="H2581" i="1"/>
  <c r="G2581" i="1"/>
  <c r="E2581" i="1"/>
  <c r="B2581" i="1"/>
  <c r="A2581" i="1"/>
  <c r="H2580" i="1"/>
  <c r="G2580" i="1"/>
  <c r="E2580" i="1"/>
  <c r="B2580" i="1"/>
  <c r="A2580" i="1"/>
  <c r="H2579" i="1"/>
  <c r="G2579" i="1"/>
  <c r="E2579" i="1"/>
  <c r="B2579" i="1"/>
  <c r="A2579" i="1"/>
  <c r="H2578" i="1"/>
  <c r="G2578" i="1"/>
  <c r="E2578" i="1"/>
  <c r="B2578" i="1"/>
  <c r="A2578" i="1"/>
  <c r="H2577" i="1"/>
  <c r="G2577" i="1"/>
  <c r="E2577" i="1"/>
  <c r="B2577" i="1"/>
  <c r="A2577" i="1"/>
  <c r="H2576" i="1"/>
  <c r="G2576" i="1"/>
  <c r="E2576" i="1"/>
  <c r="B2576" i="1"/>
  <c r="A2576" i="1"/>
  <c r="H2575" i="1"/>
  <c r="G2575" i="1"/>
  <c r="E2575" i="1"/>
  <c r="B2575" i="1"/>
  <c r="A2575" i="1"/>
  <c r="H2574" i="1"/>
  <c r="G2574" i="1"/>
  <c r="E2574" i="1"/>
  <c r="B2574" i="1"/>
  <c r="A2574" i="1"/>
  <c r="H2573" i="1"/>
  <c r="G2573" i="1"/>
  <c r="E2573" i="1"/>
  <c r="B2573" i="1"/>
  <c r="A2573" i="1"/>
  <c r="H2572" i="1"/>
  <c r="G2572" i="1"/>
  <c r="E2572" i="1"/>
  <c r="B2572" i="1"/>
  <c r="A2572" i="1"/>
  <c r="H2571" i="1"/>
  <c r="G2571" i="1"/>
  <c r="E2571" i="1"/>
  <c r="B2571" i="1"/>
  <c r="A2571" i="1"/>
  <c r="H2570" i="1"/>
  <c r="G2570" i="1"/>
  <c r="E2570" i="1"/>
  <c r="B2570" i="1"/>
  <c r="A2570" i="1"/>
  <c r="H2569" i="1"/>
  <c r="G2569" i="1"/>
  <c r="E2569" i="1"/>
  <c r="B2569" i="1"/>
  <c r="A2569" i="1"/>
  <c r="H2568" i="1"/>
  <c r="G2568" i="1"/>
  <c r="E2568" i="1"/>
  <c r="B2568" i="1"/>
  <c r="A2568" i="1"/>
  <c r="H2567" i="1"/>
  <c r="G2567" i="1"/>
  <c r="E2567" i="1"/>
  <c r="B2567" i="1"/>
  <c r="A2567" i="1"/>
  <c r="H2566" i="1"/>
  <c r="G2566" i="1"/>
  <c r="E2566" i="1"/>
  <c r="B2566" i="1"/>
  <c r="A2566" i="1"/>
  <c r="H2565" i="1"/>
  <c r="G2565" i="1"/>
  <c r="E2565" i="1"/>
  <c r="B2565" i="1"/>
  <c r="A2565" i="1"/>
  <c r="H2564" i="1"/>
  <c r="G2564" i="1"/>
  <c r="E2564" i="1"/>
  <c r="B2564" i="1"/>
  <c r="A2564" i="1"/>
  <c r="H2563" i="1"/>
  <c r="G2563" i="1"/>
  <c r="E2563" i="1"/>
  <c r="B2563" i="1"/>
  <c r="A2563" i="1"/>
  <c r="H2562" i="1"/>
  <c r="G2562" i="1"/>
  <c r="E2562" i="1"/>
  <c r="B2562" i="1"/>
  <c r="A2562" i="1"/>
  <c r="H2561" i="1"/>
  <c r="G2561" i="1"/>
  <c r="E2561" i="1"/>
  <c r="B2561" i="1"/>
  <c r="A2561" i="1"/>
  <c r="H2560" i="1"/>
  <c r="G2560" i="1"/>
  <c r="E2560" i="1"/>
  <c r="B2560" i="1"/>
  <c r="A2560" i="1"/>
  <c r="H2559" i="1"/>
  <c r="G2559" i="1"/>
  <c r="E2559" i="1"/>
  <c r="B2559" i="1"/>
  <c r="A2559" i="1"/>
  <c r="H2558" i="1"/>
  <c r="G2558" i="1"/>
  <c r="E2558" i="1"/>
  <c r="B2558" i="1"/>
  <c r="A2558" i="1"/>
  <c r="H2557" i="1"/>
  <c r="G2557" i="1"/>
  <c r="E2557" i="1"/>
  <c r="B2557" i="1"/>
  <c r="A2557" i="1"/>
  <c r="H2556" i="1"/>
  <c r="G2556" i="1"/>
  <c r="E2556" i="1"/>
  <c r="B2556" i="1"/>
  <c r="A2556" i="1"/>
  <c r="H2555" i="1"/>
  <c r="G2555" i="1"/>
  <c r="E2555" i="1"/>
  <c r="B2555" i="1"/>
  <c r="A2555" i="1"/>
  <c r="H2554" i="1"/>
  <c r="G2554" i="1"/>
  <c r="E2554" i="1"/>
  <c r="B2554" i="1"/>
  <c r="A2554" i="1"/>
  <c r="H2553" i="1"/>
  <c r="G2553" i="1"/>
  <c r="E2553" i="1"/>
  <c r="B2553" i="1"/>
  <c r="A2553" i="1"/>
  <c r="H2552" i="1"/>
  <c r="G2552" i="1"/>
  <c r="E2552" i="1"/>
  <c r="B2552" i="1"/>
  <c r="A2552" i="1"/>
  <c r="H2551" i="1"/>
  <c r="G2551" i="1"/>
  <c r="E2551" i="1"/>
  <c r="B2551" i="1"/>
  <c r="A2551" i="1"/>
  <c r="H2550" i="1"/>
  <c r="G2550" i="1"/>
  <c r="E2550" i="1"/>
  <c r="B2550" i="1"/>
  <c r="A2550" i="1"/>
  <c r="H2549" i="1"/>
  <c r="G2549" i="1"/>
  <c r="E2549" i="1"/>
  <c r="B2549" i="1"/>
  <c r="A2549" i="1"/>
  <c r="H2548" i="1"/>
  <c r="G2548" i="1"/>
  <c r="E2548" i="1"/>
  <c r="B2548" i="1"/>
  <c r="A2548" i="1"/>
  <c r="H2547" i="1"/>
  <c r="G2547" i="1"/>
  <c r="E2547" i="1"/>
  <c r="B2547" i="1"/>
  <c r="A2547" i="1"/>
  <c r="H2546" i="1"/>
  <c r="G2546" i="1"/>
  <c r="E2546" i="1"/>
  <c r="B2546" i="1"/>
  <c r="A2546" i="1"/>
  <c r="H2545" i="1"/>
  <c r="G2545" i="1"/>
  <c r="E2545" i="1"/>
  <c r="B2545" i="1"/>
  <c r="A2545" i="1"/>
  <c r="H2544" i="1"/>
  <c r="G2544" i="1"/>
  <c r="E2544" i="1"/>
  <c r="B2544" i="1"/>
  <c r="A2544" i="1"/>
  <c r="H2543" i="1"/>
  <c r="G2543" i="1"/>
  <c r="E2543" i="1"/>
  <c r="B2543" i="1"/>
  <c r="A2543" i="1"/>
  <c r="H2542" i="1"/>
  <c r="G2542" i="1"/>
  <c r="E2542" i="1"/>
  <c r="B2542" i="1"/>
  <c r="A2542" i="1"/>
  <c r="H2541" i="1"/>
  <c r="G2541" i="1"/>
  <c r="E2541" i="1"/>
  <c r="B2541" i="1"/>
  <c r="A2541" i="1"/>
  <c r="H2540" i="1"/>
  <c r="G2540" i="1"/>
  <c r="E2540" i="1"/>
  <c r="B2540" i="1"/>
  <c r="A2540" i="1"/>
  <c r="H2539" i="1"/>
  <c r="G2539" i="1"/>
  <c r="E2539" i="1"/>
  <c r="B2539" i="1"/>
  <c r="A2539" i="1"/>
  <c r="H2538" i="1"/>
  <c r="G2538" i="1"/>
  <c r="E2538" i="1"/>
  <c r="B2538" i="1"/>
  <c r="A2538" i="1"/>
  <c r="H2537" i="1"/>
  <c r="G2537" i="1"/>
  <c r="E2537" i="1"/>
  <c r="B2537" i="1"/>
  <c r="A2537" i="1"/>
  <c r="H2536" i="1"/>
  <c r="G2536" i="1"/>
  <c r="E2536" i="1"/>
  <c r="B2536" i="1"/>
  <c r="A2536" i="1"/>
  <c r="H2535" i="1"/>
  <c r="G2535" i="1"/>
  <c r="E2535" i="1"/>
  <c r="B2535" i="1"/>
  <c r="A2535" i="1"/>
  <c r="H2534" i="1"/>
  <c r="G2534" i="1"/>
  <c r="E2534" i="1"/>
  <c r="B2534" i="1"/>
  <c r="A2534" i="1"/>
  <c r="H2533" i="1"/>
  <c r="G2533" i="1"/>
  <c r="E2533" i="1"/>
  <c r="B2533" i="1"/>
  <c r="A2533" i="1"/>
  <c r="H2532" i="1"/>
  <c r="G2532" i="1"/>
  <c r="E2532" i="1"/>
  <c r="B2532" i="1"/>
  <c r="A2532" i="1"/>
  <c r="H2531" i="1"/>
  <c r="G2531" i="1"/>
  <c r="E2531" i="1"/>
  <c r="B2531" i="1"/>
  <c r="A2531" i="1"/>
  <c r="H2530" i="1"/>
  <c r="G2530" i="1"/>
  <c r="E2530" i="1"/>
  <c r="B2530" i="1"/>
  <c r="A2530" i="1"/>
  <c r="H2529" i="1"/>
  <c r="G2529" i="1"/>
  <c r="E2529" i="1"/>
  <c r="B2529" i="1"/>
  <c r="A2529" i="1"/>
  <c r="H2528" i="1"/>
  <c r="G2528" i="1"/>
  <c r="E2528" i="1"/>
  <c r="B2528" i="1"/>
  <c r="A2528" i="1"/>
  <c r="H2527" i="1"/>
  <c r="G2527" i="1"/>
  <c r="E2527" i="1"/>
  <c r="B2527" i="1"/>
  <c r="A2527" i="1"/>
  <c r="H2526" i="1"/>
  <c r="G2526" i="1"/>
  <c r="E2526" i="1"/>
  <c r="B2526" i="1"/>
  <c r="A2526" i="1"/>
  <c r="H2525" i="1"/>
  <c r="G2525" i="1"/>
  <c r="E2525" i="1"/>
  <c r="B2525" i="1"/>
  <c r="A2525" i="1"/>
  <c r="H2524" i="1"/>
  <c r="G2524" i="1"/>
  <c r="E2524" i="1"/>
  <c r="B2524" i="1"/>
  <c r="A2524" i="1"/>
  <c r="H2523" i="1"/>
  <c r="G2523" i="1"/>
  <c r="E2523" i="1"/>
  <c r="B2523" i="1"/>
  <c r="A2523" i="1"/>
  <c r="H2522" i="1"/>
  <c r="G2522" i="1"/>
  <c r="E2522" i="1"/>
  <c r="B2522" i="1"/>
  <c r="A2522" i="1"/>
  <c r="H2521" i="1"/>
  <c r="G2521" i="1"/>
  <c r="E2521" i="1"/>
  <c r="B2521" i="1"/>
  <c r="A2521" i="1"/>
  <c r="H2520" i="1"/>
  <c r="G2520" i="1"/>
  <c r="E2520" i="1"/>
  <c r="B2520" i="1"/>
  <c r="A2520" i="1"/>
  <c r="H2519" i="1"/>
  <c r="G2519" i="1"/>
  <c r="E2519" i="1"/>
  <c r="B2519" i="1"/>
  <c r="A2519" i="1"/>
  <c r="H2518" i="1"/>
  <c r="G2518" i="1"/>
  <c r="E2518" i="1"/>
  <c r="B2518" i="1"/>
  <c r="A2518" i="1"/>
  <c r="H2517" i="1"/>
  <c r="G2517" i="1"/>
  <c r="E2517" i="1"/>
  <c r="B2517" i="1"/>
  <c r="A2517" i="1"/>
  <c r="H2516" i="1"/>
  <c r="G2516" i="1"/>
  <c r="E2516" i="1"/>
  <c r="B2516" i="1"/>
  <c r="A2516" i="1"/>
  <c r="H2515" i="1"/>
  <c r="G2515" i="1"/>
  <c r="E2515" i="1"/>
  <c r="B2515" i="1"/>
  <c r="A2515" i="1"/>
  <c r="H2514" i="1"/>
  <c r="G2514" i="1"/>
  <c r="E2514" i="1"/>
  <c r="B2514" i="1"/>
  <c r="A2514" i="1"/>
  <c r="H2513" i="1"/>
  <c r="G2513" i="1"/>
  <c r="E2513" i="1"/>
  <c r="B2513" i="1"/>
  <c r="A2513" i="1"/>
  <c r="H2512" i="1"/>
  <c r="G2512" i="1"/>
  <c r="E2512" i="1"/>
  <c r="B2512" i="1"/>
  <c r="A2512" i="1"/>
  <c r="H2511" i="1"/>
  <c r="G2511" i="1"/>
  <c r="E2511" i="1"/>
  <c r="B2511" i="1"/>
  <c r="A2511" i="1"/>
  <c r="H2510" i="1"/>
  <c r="G2510" i="1"/>
  <c r="E2510" i="1"/>
  <c r="B2510" i="1"/>
  <c r="A2510" i="1"/>
  <c r="H2509" i="1"/>
  <c r="G2509" i="1"/>
  <c r="E2509" i="1"/>
  <c r="B2509" i="1"/>
  <c r="A2509" i="1"/>
  <c r="H2508" i="1"/>
  <c r="G2508" i="1"/>
  <c r="E2508" i="1"/>
  <c r="B2508" i="1"/>
  <c r="A2508" i="1"/>
  <c r="H2507" i="1"/>
  <c r="G2507" i="1"/>
  <c r="E2507" i="1"/>
  <c r="B2507" i="1"/>
  <c r="A2507" i="1"/>
  <c r="H2506" i="1"/>
  <c r="G2506" i="1"/>
  <c r="E2506" i="1"/>
  <c r="B2506" i="1"/>
  <c r="A2506" i="1"/>
  <c r="H2505" i="1"/>
  <c r="G2505" i="1"/>
  <c r="E2505" i="1"/>
  <c r="B2505" i="1"/>
  <c r="A2505" i="1"/>
  <c r="H2504" i="1"/>
  <c r="G2504" i="1"/>
  <c r="E2504" i="1"/>
  <c r="B2504" i="1"/>
  <c r="A2504" i="1"/>
  <c r="H2503" i="1"/>
  <c r="G2503" i="1"/>
  <c r="E2503" i="1"/>
  <c r="B2503" i="1"/>
  <c r="A2503" i="1"/>
  <c r="H2502" i="1"/>
  <c r="G2502" i="1"/>
  <c r="E2502" i="1"/>
  <c r="B2502" i="1"/>
  <c r="A2502" i="1"/>
  <c r="H2501" i="1"/>
  <c r="G2501" i="1"/>
  <c r="E2501" i="1"/>
  <c r="B2501" i="1"/>
  <c r="A2501" i="1"/>
  <c r="H2500" i="1"/>
  <c r="G2500" i="1"/>
  <c r="E2500" i="1"/>
  <c r="B2500" i="1"/>
  <c r="A2500" i="1"/>
  <c r="H2499" i="1"/>
  <c r="G2499" i="1"/>
  <c r="E2499" i="1"/>
  <c r="B2499" i="1"/>
  <c r="A2499" i="1"/>
  <c r="H2498" i="1"/>
  <c r="G2498" i="1"/>
  <c r="E2498" i="1"/>
  <c r="B2498" i="1"/>
  <c r="A2498" i="1"/>
  <c r="H2497" i="1"/>
  <c r="G2497" i="1"/>
  <c r="E2497" i="1"/>
  <c r="B2497" i="1"/>
  <c r="A2497" i="1"/>
  <c r="H2496" i="1"/>
  <c r="G2496" i="1"/>
  <c r="E2496" i="1"/>
  <c r="B2496" i="1"/>
  <c r="A2496" i="1"/>
  <c r="H2495" i="1"/>
  <c r="G2495" i="1"/>
  <c r="E2495" i="1"/>
  <c r="B2495" i="1"/>
  <c r="A2495" i="1"/>
  <c r="H2494" i="1"/>
  <c r="G2494" i="1"/>
  <c r="E2494" i="1"/>
  <c r="B2494" i="1"/>
  <c r="A2494" i="1"/>
  <c r="H2493" i="1"/>
  <c r="G2493" i="1"/>
  <c r="E2493" i="1"/>
  <c r="B2493" i="1"/>
  <c r="A2493" i="1"/>
  <c r="H2492" i="1"/>
  <c r="G2492" i="1"/>
  <c r="E2492" i="1"/>
  <c r="B2492" i="1"/>
  <c r="A2492" i="1"/>
  <c r="H2491" i="1"/>
  <c r="G2491" i="1"/>
  <c r="E2491" i="1"/>
  <c r="B2491" i="1"/>
  <c r="A2491" i="1"/>
  <c r="H2490" i="1"/>
  <c r="G2490" i="1"/>
  <c r="E2490" i="1"/>
  <c r="B2490" i="1"/>
  <c r="A2490" i="1"/>
  <c r="H2489" i="1"/>
  <c r="G2489" i="1"/>
  <c r="E2489" i="1"/>
  <c r="B2489" i="1"/>
  <c r="A2489" i="1"/>
  <c r="H2488" i="1"/>
  <c r="G2488" i="1"/>
  <c r="E2488" i="1"/>
  <c r="B2488" i="1"/>
  <c r="A2488" i="1"/>
  <c r="H2487" i="1"/>
  <c r="G2487" i="1"/>
  <c r="E2487" i="1"/>
  <c r="B2487" i="1"/>
  <c r="A2487" i="1"/>
  <c r="H2486" i="1"/>
  <c r="G2486" i="1"/>
  <c r="E2486" i="1"/>
  <c r="B2486" i="1"/>
  <c r="A2486" i="1"/>
  <c r="H2485" i="1"/>
  <c r="G2485" i="1"/>
  <c r="E2485" i="1"/>
  <c r="B2485" i="1"/>
  <c r="A2485" i="1"/>
  <c r="H2484" i="1"/>
  <c r="G2484" i="1"/>
  <c r="E2484" i="1"/>
  <c r="B2484" i="1"/>
  <c r="A2484" i="1"/>
  <c r="H2483" i="1"/>
  <c r="G2483" i="1"/>
  <c r="E2483" i="1"/>
  <c r="B2483" i="1"/>
  <c r="A2483" i="1"/>
  <c r="H2482" i="1"/>
  <c r="G2482" i="1"/>
  <c r="E2482" i="1"/>
  <c r="B2482" i="1"/>
  <c r="A2482" i="1"/>
  <c r="H2481" i="1"/>
  <c r="G2481" i="1"/>
  <c r="E2481" i="1"/>
  <c r="B2481" i="1"/>
  <c r="A2481" i="1"/>
  <c r="H2480" i="1"/>
  <c r="G2480" i="1"/>
  <c r="E2480" i="1"/>
  <c r="B2480" i="1"/>
  <c r="A2480" i="1"/>
  <c r="H2479" i="1"/>
  <c r="G2479" i="1"/>
  <c r="E2479" i="1"/>
  <c r="B2479" i="1"/>
  <c r="A2479" i="1"/>
  <c r="H2478" i="1"/>
  <c r="G2478" i="1"/>
  <c r="E2478" i="1"/>
  <c r="B2478" i="1"/>
  <c r="A2478" i="1"/>
  <c r="H2477" i="1"/>
  <c r="G2477" i="1"/>
  <c r="E2477" i="1"/>
  <c r="B2477" i="1"/>
  <c r="A2477" i="1"/>
  <c r="H2476" i="1"/>
  <c r="G2476" i="1"/>
  <c r="E2476" i="1"/>
  <c r="B2476" i="1"/>
  <c r="A2476" i="1"/>
  <c r="H2475" i="1"/>
  <c r="G2475" i="1"/>
  <c r="E2475" i="1"/>
  <c r="B2475" i="1"/>
  <c r="A2475" i="1"/>
  <c r="H2474" i="1"/>
  <c r="G2474" i="1"/>
  <c r="E2474" i="1"/>
  <c r="B2474" i="1"/>
  <c r="A2474" i="1"/>
  <c r="H2473" i="1"/>
  <c r="G2473" i="1"/>
  <c r="E2473" i="1"/>
  <c r="B2473" i="1"/>
  <c r="A2473" i="1"/>
  <c r="H2472" i="1"/>
  <c r="G2472" i="1"/>
  <c r="E2472" i="1"/>
  <c r="B2472" i="1"/>
  <c r="A2472" i="1"/>
  <c r="H2471" i="1"/>
  <c r="G2471" i="1"/>
  <c r="E2471" i="1"/>
  <c r="B2471" i="1"/>
  <c r="A2471" i="1"/>
  <c r="H2470" i="1"/>
  <c r="G2470" i="1"/>
  <c r="E2470" i="1"/>
  <c r="B2470" i="1"/>
  <c r="A2470" i="1"/>
  <c r="H2469" i="1"/>
  <c r="G2469" i="1"/>
  <c r="E2469" i="1"/>
  <c r="B2469" i="1"/>
  <c r="A2469" i="1"/>
  <c r="H2468" i="1"/>
  <c r="G2468" i="1"/>
  <c r="E2468" i="1"/>
  <c r="B2468" i="1"/>
  <c r="A2468" i="1"/>
  <c r="H2467" i="1"/>
  <c r="G2467" i="1"/>
  <c r="E2467" i="1"/>
  <c r="B2467" i="1"/>
  <c r="A2467" i="1"/>
  <c r="H2466" i="1"/>
  <c r="G2466" i="1"/>
  <c r="E2466" i="1"/>
  <c r="B2466" i="1"/>
  <c r="A2466" i="1"/>
  <c r="H2465" i="1"/>
  <c r="G2465" i="1"/>
  <c r="E2465" i="1"/>
  <c r="B2465" i="1"/>
  <c r="A2465" i="1"/>
  <c r="H2464" i="1"/>
  <c r="G2464" i="1"/>
  <c r="E2464" i="1"/>
  <c r="B2464" i="1"/>
  <c r="A2464" i="1"/>
  <c r="H2463" i="1"/>
  <c r="G2463" i="1"/>
  <c r="E2463" i="1"/>
  <c r="B2463" i="1"/>
  <c r="A2463" i="1"/>
  <c r="H2462" i="1"/>
  <c r="G2462" i="1"/>
  <c r="E2462" i="1"/>
  <c r="B2462" i="1"/>
  <c r="A2462" i="1"/>
  <c r="H2461" i="1"/>
  <c r="G2461" i="1"/>
  <c r="E2461" i="1"/>
  <c r="B2461" i="1"/>
  <c r="A2461" i="1"/>
  <c r="H2460" i="1"/>
  <c r="G2460" i="1"/>
  <c r="E2460" i="1"/>
  <c r="B2460" i="1"/>
  <c r="A2460" i="1"/>
  <c r="H2459" i="1"/>
  <c r="G2459" i="1"/>
  <c r="E2459" i="1"/>
  <c r="B2459" i="1"/>
  <c r="A2459" i="1"/>
  <c r="H2458" i="1"/>
  <c r="G2458" i="1"/>
  <c r="E2458" i="1"/>
  <c r="B2458" i="1"/>
  <c r="A2458" i="1"/>
  <c r="H2457" i="1"/>
  <c r="G2457" i="1"/>
  <c r="E2457" i="1"/>
  <c r="B2457" i="1"/>
  <c r="A2457" i="1"/>
  <c r="H2456" i="1"/>
  <c r="G2456" i="1"/>
  <c r="E2456" i="1"/>
  <c r="B2456" i="1"/>
  <c r="A2456" i="1"/>
  <c r="H2455" i="1"/>
  <c r="G2455" i="1"/>
  <c r="E2455" i="1"/>
  <c r="B2455" i="1"/>
  <c r="A2455" i="1"/>
  <c r="H2454" i="1"/>
  <c r="G2454" i="1"/>
  <c r="E2454" i="1"/>
  <c r="B2454" i="1"/>
  <c r="A2454" i="1"/>
  <c r="H2453" i="1"/>
  <c r="G2453" i="1"/>
  <c r="E2453" i="1"/>
  <c r="B2453" i="1"/>
  <c r="A2453" i="1"/>
  <c r="H2452" i="1"/>
  <c r="G2452" i="1"/>
  <c r="E2452" i="1"/>
  <c r="B2452" i="1"/>
  <c r="A2452" i="1"/>
  <c r="H2451" i="1"/>
  <c r="G2451" i="1"/>
  <c r="E2451" i="1"/>
  <c r="B2451" i="1"/>
  <c r="A2451" i="1"/>
  <c r="H2450" i="1"/>
  <c r="G2450" i="1"/>
  <c r="E2450" i="1"/>
  <c r="B2450" i="1"/>
  <c r="A2450" i="1"/>
  <c r="H2449" i="1"/>
  <c r="G2449" i="1"/>
  <c r="E2449" i="1"/>
  <c r="B2449" i="1"/>
  <c r="A2449" i="1"/>
  <c r="H2448" i="1"/>
  <c r="G2448" i="1"/>
  <c r="E2448" i="1"/>
  <c r="B2448" i="1"/>
  <c r="A2448" i="1"/>
  <c r="H2447" i="1"/>
  <c r="G2447" i="1"/>
  <c r="E2447" i="1"/>
  <c r="B2447" i="1"/>
  <c r="A2447" i="1"/>
  <c r="H2446" i="1"/>
  <c r="G2446" i="1"/>
  <c r="E2446" i="1"/>
  <c r="B2446" i="1"/>
  <c r="A2446" i="1"/>
  <c r="H2445" i="1"/>
  <c r="G2445" i="1"/>
  <c r="E2445" i="1"/>
  <c r="B2445" i="1"/>
  <c r="A2445" i="1"/>
  <c r="H2444" i="1"/>
  <c r="G2444" i="1"/>
  <c r="E2444" i="1"/>
  <c r="B2444" i="1"/>
  <c r="A2444" i="1"/>
  <c r="H2443" i="1"/>
  <c r="G2443" i="1"/>
  <c r="E2443" i="1"/>
  <c r="B2443" i="1"/>
  <c r="A2443" i="1"/>
  <c r="H2442" i="1"/>
  <c r="G2442" i="1"/>
  <c r="E2442" i="1"/>
  <c r="B2442" i="1"/>
  <c r="A2442" i="1"/>
  <c r="H2441" i="1"/>
  <c r="G2441" i="1"/>
  <c r="E2441" i="1"/>
  <c r="B2441" i="1"/>
  <c r="A2441" i="1"/>
  <c r="H2440" i="1"/>
  <c r="G2440" i="1"/>
  <c r="E2440" i="1"/>
  <c r="B2440" i="1"/>
  <c r="A2440" i="1"/>
  <c r="H2439" i="1"/>
  <c r="G2439" i="1"/>
  <c r="E2439" i="1"/>
  <c r="B2439" i="1"/>
  <c r="A2439" i="1"/>
  <c r="H2438" i="1"/>
  <c r="G2438" i="1"/>
  <c r="E2438" i="1"/>
  <c r="B2438" i="1"/>
  <c r="A2438" i="1"/>
  <c r="H2437" i="1"/>
  <c r="G2437" i="1"/>
  <c r="E2437" i="1"/>
  <c r="B2437" i="1"/>
  <c r="A2437" i="1"/>
  <c r="H2436" i="1"/>
  <c r="G2436" i="1"/>
  <c r="E2436" i="1"/>
  <c r="B2436" i="1"/>
  <c r="A2436" i="1"/>
  <c r="H2435" i="1"/>
  <c r="G2435" i="1"/>
  <c r="E2435" i="1"/>
  <c r="B2435" i="1"/>
  <c r="A2435" i="1"/>
  <c r="H2434" i="1"/>
  <c r="G2434" i="1"/>
  <c r="E2434" i="1"/>
  <c r="B2434" i="1"/>
  <c r="A2434" i="1"/>
  <c r="H2433" i="1"/>
  <c r="G2433" i="1"/>
  <c r="E2433" i="1"/>
  <c r="B2433" i="1"/>
  <c r="A2433" i="1"/>
  <c r="H2432" i="1"/>
  <c r="G2432" i="1"/>
  <c r="E2432" i="1"/>
  <c r="B2432" i="1"/>
  <c r="A2432" i="1"/>
  <c r="H2431" i="1"/>
  <c r="G2431" i="1"/>
  <c r="E2431" i="1"/>
  <c r="B2431" i="1"/>
  <c r="A2431" i="1"/>
  <c r="H2430" i="1"/>
  <c r="G2430" i="1"/>
  <c r="E2430" i="1"/>
  <c r="B2430" i="1"/>
  <c r="A2430" i="1"/>
  <c r="H2429" i="1"/>
  <c r="G2429" i="1"/>
  <c r="E2429" i="1"/>
  <c r="B2429" i="1"/>
  <c r="A2429" i="1"/>
  <c r="H2428" i="1"/>
  <c r="G2428" i="1"/>
  <c r="E2428" i="1"/>
  <c r="B2428" i="1"/>
  <c r="A2428" i="1"/>
  <c r="H2427" i="1"/>
  <c r="G2427" i="1"/>
  <c r="E2427" i="1"/>
  <c r="B2427" i="1"/>
  <c r="A2427" i="1"/>
  <c r="H2426" i="1"/>
  <c r="G2426" i="1"/>
  <c r="E2426" i="1"/>
  <c r="B2426" i="1"/>
  <c r="A2426" i="1"/>
  <c r="H2425" i="1"/>
  <c r="G2425" i="1"/>
  <c r="E2425" i="1"/>
  <c r="B2425" i="1"/>
  <c r="A2425" i="1"/>
  <c r="H2424" i="1"/>
  <c r="G2424" i="1"/>
  <c r="E2424" i="1"/>
  <c r="B2424" i="1"/>
  <c r="A2424" i="1"/>
  <c r="H2423" i="1"/>
  <c r="G2423" i="1"/>
  <c r="E2423" i="1"/>
  <c r="B2423" i="1"/>
  <c r="A2423" i="1"/>
  <c r="H2422" i="1"/>
  <c r="G2422" i="1"/>
  <c r="E2422" i="1"/>
  <c r="B2422" i="1"/>
  <c r="A2422" i="1"/>
  <c r="H2421" i="1"/>
  <c r="G2421" i="1"/>
  <c r="E2421" i="1"/>
  <c r="B2421" i="1"/>
  <c r="A2421" i="1"/>
  <c r="H2420" i="1"/>
  <c r="G2420" i="1"/>
  <c r="E2420" i="1"/>
  <c r="B2420" i="1"/>
  <c r="A2420" i="1"/>
  <c r="H2419" i="1"/>
  <c r="G2419" i="1"/>
  <c r="E2419" i="1"/>
  <c r="B2419" i="1"/>
  <c r="A2419" i="1"/>
  <c r="H2418" i="1"/>
  <c r="G2418" i="1"/>
  <c r="E2418" i="1"/>
  <c r="B2418" i="1"/>
  <c r="A2418" i="1"/>
  <c r="H2417" i="1"/>
  <c r="G2417" i="1"/>
  <c r="E2417" i="1"/>
  <c r="B2417" i="1"/>
  <c r="A2417" i="1"/>
  <c r="H2416" i="1"/>
  <c r="G2416" i="1"/>
  <c r="E2416" i="1"/>
  <c r="B2416" i="1"/>
  <c r="A2416" i="1"/>
  <c r="H2415" i="1"/>
  <c r="G2415" i="1"/>
  <c r="E2415" i="1"/>
  <c r="B2415" i="1"/>
  <c r="A2415" i="1"/>
  <c r="H2414" i="1"/>
  <c r="G2414" i="1"/>
  <c r="E2414" i="1"/>
  <c r="B2414" i="1"/>
  <c r="A2414" i="1"/>
  <c r="H2413" i="1"/>
  <c r="G2413" i="1"/>
  <c r="E2413" i="1"/>
  <c r="B2413" i="1"/>
  <c r="A2413" i="1"/>
  <c r="H2412" i="1"/>
  <c r="G2412" i="1"/>
  <c r="E2412" i="1"/>
  <c r="B2412" i="1"/>
  <c r="A2412" i="1"/>
  <c r="H2411" i="1"/>
  <c r="G2411" i="1"/>
  <c r="E2411" i="1"/>
  <c r="B2411" i="1"/>
  <c r="A2411" i="1"/>
  <c r="H2410" i="1"/>
  <c r="G2410" i="1"/>
  <c r="E2410" i="1"/>
  <c r="B2410" i="1"/>
  <c r="A2410" i="1"/>
  <c r="H2409" i="1"/>
  <c r="G2409" i="1"/>
  <c r="E2409" i="1"/>
  <c r="B2409" i="1"/>
  <c r="A2409" i="1"/>
  <c r="H2408" i="1"/>
  <c r="G2408" i="1"/>
  <c r="E2408" i="1"/>
  <c r="B2408" i="1"/>
  <c r="A2408" i="1"/>
  <c r="H2407" i="1"/>
  <c r="G2407" i="1"/>
  <c r="E2407" i="1"/>
  <c r="B2407" i="1"/>
  <c r="A2407" i="1"/>
  <c r="H2406" i="1"/>
  <c r="G2406" i="1"/>
  <c r="E2406" i="1"/>
  <c r="B2406" i="1"/>
  <c r="A2406" i="1"/>
  <c r="H2405" i="1"/>
  <c r="G2405" i="1"/>
  <c r="E2405" i="1"/>
  <c r="B2405" i="1"/>
  <c r="A2405" i="1"/>
  <c r="H2404" i="1"/>
  <c r="G2404" i="1"/>
  <c r="E2404" i="1"/>
  <c r="B2404" i="1"/>
  <c r="A2404" i="1"/>
  <c r="H2403" i="1"/>
  <c r="G2403" i="1"/>
  <c r="E2403" i="1"/>
  <c r="B2403" i="1"/>
  <c r="A2403" i="1"/>
  <c r="H2402" i="1"/>
  <c r="G2402" i="1"/>
  <c r="E2402" i="1"/>
  <c r="B2402" i="1"/>
  <c r="A2402" i="1"/>
  <c r="H2401" i="1"/>
  <c r="G2401" i="1"/>
  <c r="E2401" i="1"/>
  <c r="B2401" i="1"/>
  <c r="A2401" i="1"/>
  <c r="H2400" i="1"/>
  <c r="G2400" i="1"/>
  <c r="E2400" i="1"/>
  <c r="B2400" i="1"/>
  <c r="A2400" i="1"/>
  <c r="H2399" i="1"/>
  <c r="G2399" i="1"/>
  <c r="E2399" i="1"/>
  <c r="B2399" i="1"/>
  <c r="A2399" i="1"/>
  <c r="H2398" i="1"/>
  <c r="G2398" i="1"/>
  <c r="E2398" i="1"/>
  <c r="B2398" i="1"/>
  <c r="A2398" i="1"/>
  <c r="H2397" i="1"/>
  <c r="G2397" i="1"/>
  <c r="E2397" i="1"/>
  <c r="B2397" i="1"/>
  <c r="A2397" i="1"/>
  <c r="H2396" i="1"/>
  <c r="G2396" i="1"/>
  <c r="E2396" i="1"/>
  <c r="B2396" i="1"/>
  <c r="A2396" i="1"/>
  <c r="H2395" i="1"/>
  <c r="G2395" i="1"/>
  <c r="E2395" i="1"/>
  <c r="B2395" i="1"/>
  <c r="A2395" i="1"/>
  <c r="H2394" i="1"/>
  <c r="G2394" i="1"/>
  <c r="E2394" i="1"/>
  <c r="B2394" i="1"/>
  <c r="A2394" i="1"/>
  <c r="H2393" i="1"/>
  <c r="G2393" i="1"/>
  <c r="E2393" i="1"/>
  <c r="B2393" i="1"/>
  <c r="A2393" i="1"/>
  <c r="H2392" i="1"/>
  <c r="G2392" i="1"/>
  <c r="E2392" i="1"/>
  <c r="B2392" i="1"/>
  <c r="A2392" i="1"/>
  <c r="H2391" i="1"/>
  <c r="G2391" i="1"/>
  <c r="E2391" i="1"/>
  <c r="B2391" i="1"/>
  <c r="A2391" i="1"/>
  <c r="H2390" i="1"/>
  <c r="G2390" i="1"/>
  <c r="E2390" i="1"/>
  <c r="B2390" i="1"/>
  <c r="A2390" i="1"/>
  <c r="H2389" i="1"/>
  <c r="G2389" i="1"/>
  <c r="E2389" i="1"/>
  <c r="B2389" i="1"/>
  <c r="A2389" i="1"/>
  <c r="H2388" i="1"/>
  <c r="G2388" i="1"/>
  <c r="E2388" i="1"/>
  <c r="B2388" i="1"/>
  <c r="A2388" i="1"/>
  <c r="H2387" i="1"/>
  <c r="G2387" i="1"/>
  <c r="E2387" i="1"/>
  <c r="B2387" i="1"/>
  <c r="A2387" i="1"/>
  <c r="H2386" i="1"/>
  <c r="G2386" i="1"/>
  <c r="E2386" i="1"/>
  <c r="B2386" i="1"/>
  <c r="A2386" i="1"/>
  <c r="H2385" i="1"/>
  <c r="G2385" i="1"/>
  <c r="E2385" i="1"/>
  <c r="B2385" i="1"/>
  <c r="A2385" i="1"/>
  <c r="H2384" i="1"/>
  <c r="G2384" i="1"/>
  <c r="E2384" i="1"/>
  <c r="B2384" i="1"/>
  <c r="A2384" i="1"/>
  <c r="H2383" i="1"/>
  <c r="G2383" i="1"/>
  <c r="E2383" i="1"/>
  <c r="B2383" i="1"/>
  <c r="A2383" i="1"/>
  <c r="H2382" i="1"/>
  <c r="G2382" i="1"/>
  <c r="E2382" i="1"/>
  <c r="B2382" i="1"/>
  <c r="A2382" i="1"/>
  <c r="H2381" i="1"/>
  <c r="G2381" i="1"/>
  <c r="E2381" i="1"/>
  <c r="B2381" i="1"/>
  <c r="A2381" i="1"/>
  <c r="H2380" i="1"/>
  <c r="G2380" i="1"/>
  <c r="E2380" i="1"/>
  <c r="B2380" i="1"/>
  <c r="A2380" i="1"/>
  <c r="H2379" i="1"/>
  <c r="G2379" i="1"/>
  <c r="E2379" i="1"/>
  <c r="B2379" i="1"/>
  <c r="A2379" i="1"/>
  <c r="H2378" i="1"/>
  <c r="G2378" i="1"/>
  <c r="E2378" i="1"/>
  <c r="B2378" i="1"/>
  <c r="A2378" i="1"/>
  <c r="H2377" i="1"/>
  <c r="G2377" i="1"/>
  <c r="E2377" i="1"/>
  <c r="B2377" i="1"/>
  <c r="A2377" i="1"/>
  <c r="H2376" i="1"/>
  <c r="G2376" i="1"/>
  <c r="E2376" i="1"/>
  <c r="B2376" i="1"/>
  <c r="A2376" i="1"/>
  <c r="H2375" i="1"/>
  <c r="G2375" i="1"/>
  <c r="E2375" i="1"/>
  <c r="B2375" i="1"/>
  <c r="A2375" i="1"/>
  <c r="H2374" i="1"/>
  <c r="G2374" i="1"/>
  <c r="E2374" i="1"/>
  <c r="B2374" i="1"/>
  <c r="A2374" i="1"/>
  <c r="H2373" i="1"/>
  <c r="G2373" i="1"/>
  <c r="E2373" i="1"/>
  <c r="B2373" i="1"/>
  <c r="A2373" i="1"/>
  <c r="H2372" i="1"/>
  <c r="G2372" i="1"/>
  <c r="E2372" i="1"/>
  <c r="B2372" i="1"/>
  <c r="A2372" i="1"/>
  <c r="H2371" i="1"/>
  <c r="G2371" i="1"/>
  <c r="E2371" i="1"/>
  <c r="B2371" i="1"/>
  <c r="A2371" i="1"/>
  <c r="H2370" i="1"/>
  <c r="G2370" i="1"/>
  <c r="E2370" i="1"/>
  <c r="B2370" i="1"/>
  <c r="A2370" i="1"/>
  <c r="H2369" i="1"/>
  <c r="G2369" i="1"/>
  <c r="E2369" i="1"/>
  <c r="B2369" i="1"/>
  <c r="A2369" i="1"/>
  <c r="H2368" i="1"/>
  <c r="G2368" i="1"/>
  <c r="E2368" i="1"/>
  <c r="B2368" i="1"/>
  <c r="A2368" i="1"/>
  <c r="H2367" i="1"/>
  <c r="G2367" i="1"/>
  <c r="E2367" i="1"/>
  <c r="B2367" i="1"/>
  <c r="A2367" i="1"/>
  <c r="H2366" i="1"/>
  <c r="G2366" i="1"/>
  <c r="E2366" i="1"/>
  <c r="B2366" i="1"/>
  <c r="A2366" i="1"/>
  <c r="H2365" i="1"/>
  <c r="G2365" i="1"/>
  <c r="E2365" i="1"/>
  <c r="B2365" i="1"/>
  <c r="A2365" i="1"/>
  <c r="H2364" i="1"/>
  <c r="G2364" i="1"/>
  <c r="E2364" i="1"/>
  <c r="B2364" i="1"/>
  <c r="A2364" i="1"/>
  <c r="H2363" i="1"/>
  <c r="G2363" i="1"/>
  <c r="E2363" i="1"/>
  <c r="B2363" i="1"/>
  <c r="A2363" i="1"/>
  <c r="H2362" i="1"/>
  <c r="G2362" i="1"/>
  <c r="E2362" i="1"/>
  <c r="B2362" i="1"/>
  <c r="A2362" i="1"/>
  <c r="H2361" i="1"/>
  <c r="G2361" i="1"/>
  <c r="E2361" i="1"/>
  <c r="B2361" i="1"/>
  <c r="A2361" i="1"/>
  <c r="H2360" i="1"/>
  <c r="G2360" i="1"/>
  <c r="E2360" i="1"/>
  <c r="B2360" i="1"/>
  <c r="A2360" i="1"/>
  <c r="H2359" i="1"/>
  <c r="G2359" i="1"/>
  <c r="E2359" i="1"/>
  <c r="B2359" i="1"/>
  <c r="A2359" i="1"/>
  <c r="H2358" i="1"/>
  <c r="G2358" i="1"/>
  <c r="E2358" i="1"/>
  <c r="B2358" i="1"/>
  <c r="A2358" i="1"/>
  <c r="H2357" i="1"/>
  <c r="G2357" i="1"/>
  <c r="E2357" i="1"/>
  <c r="B2357" i="1"/>
  <c r="A2357" i="1"/>
  <c r="H2356" i="1"/>
  <c r="G2356" i="1"/>
  <c r="E2356" i="1"/>
  <c r="B2356" i="1"/>
  <c r="A2356" i="1"/>
  <c r="H2355" i="1"/>
  <c r="G2355" i="1"/>
  <c r="E2355" i="1"/>
  <c r="B2355" i="1"/>
  <c r="A2355" i="1"/>
  <c r="H2354" i="1"/>
  <c r="G2354" i="1"/>
  <c r="E2354" i="1"/>
  <c r="B2354" i="1"/>
  <c r="A2354" i="1"/>
  <c r="H2353" i="1"/>
  <c r="G2353" i="1"/>
  <c r="E2353" i="1"/>
  <c r="B2353" i="1"/>
  <c r="A2353" i="1"/>
  <c r="H2352" i="1"/>
  <c r="G2352" i="1"/>
  <c r="E2352" i="1"/>
  <c r="B2352" i="1"/>
  <c r="A2352" i="1"/>
  <c r="H2351" i="1"/>
  <c r="G2351" i="1"/>
  <c r="E2351" i="1"/>
  <c r="B2351" i="1"/>
  <c r="A2351" i="1"/>
  <c r="H2350" i="1"/>
  <c r="G2350" i="1"/>
  <c r="E2350" i="1"/>
  <c r="B2350" i="1"/>
  <c r="A2350" i="1"/>
  <c r="H2349" i="1"/>
  <c r="G2349" i="1"/>
  <c r="E2349" i="1"/>
  <c r="B2349" i="1"/>
  <c r="A2349" i="1"/>
  <c r="H2348" i="1"/>
  <c r="G2348" i="1"/>
  <c r="E2348" i="1"/>
  <c r="B2348" i="1"/>
  <c r="A2348" i="1"/>
  <c r="H2347" i="1"/>
  <c r="G2347" i="1"/>
  <c r="E2347" i="1"/>
  <c r="B2347" i="1"/>
  <c r="A2347" i="1"/>
  <c r="H2346" i="1"/>
  <c r="G2346" i="1"/>
  <c r="E2346" i="1"/>
  <c r="B2346" i="1"/>
  <c r="A2346" i="1"/>
  <c r="H2345" i="1"/>
  <c r="G2345" i="1"/>
  <c r="E2345" i="1"/>
  <c r="B2345" i="1"/>
  <c r="A2345" i="1"/>
  <c r="H2344" i="1"/>
  <c r="G2344" i="1"/>
  <c r="E2344" i="1"/>
  <c r="B2344" i="1"/>
  <c r="A2344" i="1"/>
  <c r="H2343" i="1"/>
  <c r="G2343" i="1"/>
  <c r="E2343" i="1"/>
  <c r="B2343" i="1"/>
  <c r="A2343" i="1"/>
  <c r="H2342" i="1"/>
  <c r="G2342" i="1"/>
  <c r="E2342" i="1"/>
  <c r="B2342" i="1"/>
  <c r="A2342" i="1"/>
  <c r="H2341" i="1"/>
  <c r="G2341" i="1"/>
  <c r="E2341" i="1"/>
  <c r="B2341" i="1"/>
  <c r="A2341" i="1"/>
  <c r="H2340" i="1"/>
  <c r="G2340" i="1"/>
  <c r="E2340" i="1"/>
  <c r="B2340" i="1"/>
  <c r="A2340" i="1"/>
  <c r="H2339" i="1"/>
  <c r="G2339" i="1"/>
  <c r="E2339" i="1"/>
  <c r="B2339" i="1"/>
  <c r="A2339" i="1"/>
  <c r="H2338" i="1"/>
  <c r="G2338" i="1"/>
  <c r="E2338" i="1"/>
  <c r="B2338" i="1"/>
  <c r="A2338" i="1"/>
  <c r="H2337" i="1"/>
  <c r="G2337" i="1"/>
  <c r="E2337" i="1"/>
  <c r="B2337" i="1"/>
  <c r="A2337" i="1"/>
  <c r="H2336" i="1"/>
  <c r="G2336" i="1"/>
  <c r="E2336" i="1"/>
  <c r="B2336" i="1"/>
  <c r="A2336" i="1"/>
  <c r="H2335" i="1"/>
  <c r="G2335" i="1"/>
  <c r="E2335" i="1"/>
  <c r="B2335" i="1"/>
  <c r="A2335" i="1"/>
  <c r="H2334" i="1"/>
  <c r="G2334" i="1"/>
  <c r="E2334" i="1"/>
  <c r="B2334" i="1"/>
  <c r="A2334" i="1"/>
  <c r="H2333" i="1"/>
  <c r="G2333" i="1"/>
  <c r="E2333" i="1"/>
  <c r="B2333" i="1"/>
  <c r="A2333" i="1"/>
  <c r="H2332" i="1"/>
  <c r="G2332" i="1"/>
  <c r="E2332" i="1"/>
  <c r="B2332" i="1"/>
  <c r="A2332" i="1"/>
  <c r="H2331" i="1"/>
  <c r="G2331" i="1"/>
  <c r="E2331" i="1"/>
  <c r="B2331" i="1"/>
  <c r="A2331" i="1"/>
  <c r="H2330" i="1"/>
  <c r="G2330" i="1"/>
  <c r="E2330" i="1"/>
  <c r="B2330" i="1"/>
  <c r="A2330" i="1"/>
  <c r="H2329" i="1"/>
  <c r="G2329" i="1"/>
  <c r="E2329" i="1"/>
  <c r="B2329" i="1"/>
  <c r="A2329" i="1"/>
  <c r="H2328" i="1"/>
  <c r="G2328" i="1"/>
  <c r="E2328" i="1"/>
  <c r="B2328" i="1"/>
  <c r="A2328" i="1"/>
  <c r="H2327" i="1"/>
  <c r="G2327" i="1"/>
  <c r="E2327" i="1"/>
  <c r="B2327" i="1"/>
  <c r="A2327" i="1"/>
  <c r="H2326" i="1"/>
  <c r="G2326" i="1"/>
  <c r="E2326" i="1"/>
  <c r="B2326" i="1"/>
  <c r="A2326" i="1"/>
  <c r="H2325" i="1"/>
  <c r="G2325" i="1"/>
  <c r="E2325" i="1"/>
  <c r="B2325" i="1"/>
  <c r="A2325" i="1"/>
  <c r="H2324" i="1"/>
  <c r="G2324" i="1"/>
  <c r="E2324" i="1"/>
  <c r="B2324" i="1"/>
  <c r="A2324" i="1"/>
  <c r="H2323" i="1"/>
  <c r="G2323" i="1"/>
  <c r="E2323" i="1"/>
  <c r="B2323" i="1"/>
  <c r="A2323" i="1"/>
  <c r="H2322" i="1"/>
  <c r="G2322" i="1"/>
  <c r="E2322" i="1"/>
  <c r="B2322" i="1"/>
  <c r="A2322" i="1"/>
  <c r="H2321" i="1"/>
  <c r="G2321" i="1"/>
  <c r="E2321" i="1"/>
  <c r="B2321" i="1"/>
  <c r="A2321" i="1"/>
  <c r="H2320" i="1"/>
  <c r="G2320" i="1"/>
  <c r="E2320" i="1"/>
  <c r="B2320" i="1"/>
  <c r="A2320" i="1"/>
  <c r="H2319" i="1"/>
  <c r="G2319" i="1"/>
  <c r="E2319" i="1"/>
  <c r="B2319" i="1"/>
  <c r="A2319" i="1"/>
  <c r="H2318" i="1"/>
  <c r="G2318" i="1"/>
  <c r="E2318" i="1"/>
  <c r="B2318" i="1"/>
  <c r="A2318" i="1"/>
  <c r="H2317" i="1"/>
  <c r="G2317" i="1"/>
  <c r="E2317" i="1"/>
  <c r="B2317" i="1"/>
  <c r="A2317" i="1"/>
  <c r="H2316" i="1"/>
  <c r="G2316" i="1"/>
  <c r="E2316" i="1"/>
  <c r="B2316" i="1"/>
  <c r="A2316" i="1"/>
  <c r="H2315" i="1"/>
  <c r="G2315" i="1"/>
  <c r="E2315" i="1"/>
  <c r="B2315" i="1"/>
  <c r="A2315" i="1"/>
  <c r="H2314" i="1"/>
  <c r="G2314" i="1"/>
  <c r="E2314" i="1"/>
  <c r="B2314" i="1"/>
  <c r="A2314" i="1"/>
  <c r="H2313" i="1"/>
  <c r="G2313" i="1"/>
  <c r="E2313" i="1"/>
  <c r="B2313" i="1"/>
  <c r="A2313" i="1"/>
  <c r="H2312" i="1"/>
  <c r="G2312" i="1"/>
  <c r="E2312" i="1"/>
  <c r="B2312" i="1"/>
  <c r="A2312" i="1"/>
  <c r="H2311" i="1"/>
  <c r="G2311" i="1"/>
  <c r="E2311" i="1"/>
  <c r="B2311" i="1"/>
  <c r="A2311" i="1"/>
  <c r="H2310" i="1"/>
  <c r="G2310" i="1"/>
  <c r="E2310" i="1"/>
  <c r="B2310" i="1"/>
  <c r="A2310" i="1"/>
  <c r="H2309" i="1"/>
  <c r="G2309" i="1"/>
  <c r="E2309" i="1"/>
  <c r="B2309" i="1"/>
  <c r="A2309" i="1"/>
  <c r="H2308" i="1"/>
  <c r="G2308" i="1"/>
  <c r="E2308" i="1"/>
  <c r="B2308" i="1"/>
  <c r="A2308" i="1"/>
  <c r="H2307" i="1"/>
  <c r="G2307" i="1"/>
  <c r="E2307" i="1"/>
  <c r="B2307" i="1"/>
  <c r="A2307" i="1"/>
  <c r="H2306" i="1"/>
  <c r="G2306" i="1"/>
  <c r="E2306" i="1"/>
  <c r="B2306" i="1"/>
  <c r="A2306" i="1"/>
  <c r="H2305" i="1"/>
  <c r="G2305" i="1"/>
  <c r="E2305" i="1"/>
  <c r="B2305" i="1"/>
  <c r="A2305" i="1"/>
  <c r="H2304" i="1"/>
  <c r="G2304" i="1"/>
  <c r="E2304" i="1"/>
  <c r="B2304" i="1"/>
  <c r="A2304" i="1"/>
  <c r="H2303" i="1"/>
  <c r="G2303" i="1"/>
  <c r="E2303" i="1"/>
  <c r="B2303" i="1"/>
  <c r="A2303" i="1"/>
  <c r="H2302" i="1"/>
  <c r="G2302" i="1"/>
  <c r="E2302" i="1"/>
  <c r="B2302" i="1"/>
  <c r="A2302" i="1"/>
  <c r="H2301" i="1"/>
  <c r="G2301" i="1"/>
  <c r="E2301" i="1"/>
  <c r="B2301" i="1"/>
  <c r="A2301" i="1"/>
  <c r="H2300" i="1"/>
  <c r="G2300" i="1"/>
  <c r="E2300" i="1"/>
  <c r="B2300" i="1"/>
  <c r="A2300" i="1"/>
  <c r="H2299" i="1"/>
  <c r="G2299" i="1"/>
  <c r="E2299" i="1"/>
  <c r="B2299" i="1"/>
  <c r="A2299" i="1"/>
  <c r="H2298" i="1"/>
  <c r="G2298" i="1"/>
  <c r="E2298" i="1"/>
  <c r="B2298" i="1"/>
  <c r="A2298" i="1"/>
  <c r="H2297" i="1"/>
  <c r="G2297" i="1"/>
  <c r="E2297" i="1"/>
  <c r="B2297" i="1"/>
  <c r="A2297" i="1"/>
  <c r="H2296" i="1"/>
  <c r="G2296" i="1"/>
  <c r="E2296" i="1"/>
  <c r="B2296" i="1"/>
  <c r="A2296" i="1"/>
  <c r="H2295" i="1"/>
  <c r="G2295" i="1"/>
  <c r="E2295" i="1"/>
  <c r="B2295" i="1"/>
  <c r="A2295" i="1"/>
  <c r="H2294" i="1"/>
  <c r="G2294" i="1"/>
  <c r="E2294" i="1"/>
  <c r="B2294" i="1"/>
  <c r="A2294" i="1"/>
  <c r="H2293" i="1"/>
  <c r="G2293" i="1"/>
  <c r="E2293" i="1"/>
  <c r="B2293" i="1"/>
  <c r="A2293" i="1"/>
  <c r="H2292" i="1"/>
  <c r="G2292" i="1"/>
  <c r="E2292" i="1"/>
  <c r="B2292" i="1"/>
  <c r="A2292" i="1"/>
  <c r="H2291" i="1"/>
  <c r="G2291" i="1"/>
  <c r="E2291" i="1"/>
  <c r="B2291" i="1"/>
  <c r="A2291" i="1"/>
  <c r="H2290" i="1"/>
  <c r="G2290" i="1"/>
  <c r="E2290" i="1"/>
  <c r="B2290" i="1"/>
  <c r="A2290" i="1"/>
  <c r="H2289" i="1"/>
  <c r="G2289" i="1"/>
  <c r="E2289" i="1"/>
  <c r="B2289" i="1"/>
  <c r="A2289" i="1"/>
  <c r="H2288" i="1"/>
  <c r="G2288" i="1"/>
  <c r="E2288" i="1"/>
  <c r="B2288" i="1"/>
  <c r="A2288" i="1"/>
  <c r="H2287" i="1"/>
  <c r="G2287" i="1"/>
  <c r="E2287" i="1"/>
  <c r="B2287" i="1"/>
  <c r="A2287" i="1"/>
  <c r="H2286" i="1"/>
  <c r="G2286" i="1"/>
  <c r="E2286" i="1"/>
  <c r="B2286" i="1"/>
  <c r="A2286" i="1"/>
  <c r="H2285" i="1"/>
  <c r="G2285" i="1"/>
  <c r="E2285" i="1"/>
  <c r="B2285" i="1"/>
  <c r="A2285" i="1"/>
  <c r="H2284" i="1"/>
  <c r="G2284" i="1"/>
  <c r="E2284" i="1"/>
  <c r="B2284" i="1"/>
  <c r="A2284" i="1"/>
  <c r="H2283" i="1"/>
  <c r="G2283" i="1"/>
  <c r="E2283" i="1"/>
  <c r="B2283" i="1"/>
  <c r="A2283" i="1"/>
  <c r="H2282" i="1"/>
  <c r="G2282" i="1"/>
  <c r="E2282" i="1"/>
  <c r="B2282" i="1"/>
  <c r="A2282" i="1"/>
  <c r="H2281" i="1"/>
  <c r="G2281" i="1"/>
  <c r="E2281" i="1"/>
  <c r="B2281" i="1"/>
  <c r="A2281" i="1"/>
  <c r="H2280" i="1"/>
  <c r="G2280" i="1"/>
  <c r="E2280" i="1"/>
  <c r="B2280" i="1"/>
  <c r="A2280" i="1"/>
  <c r="H2279" i="1"/>
  <c r="G2279" i="1"/>
  <c r="E2279" i="1"/>
  <c r="B2279" i="1"/>
  <c r="A2279" i="1"/>
  <c r="H2278" i="1"/>
  <c r="G2278" i="1"/>
  <c r="E2278" i="1"/>
  <c r="B2278" i="1"/>
  <c r="A2278" i="1"/>
  <c r="H2277" i="1"/>
  <c r="G2277" i="1"/>
  <c r="E2277" i="1"/>
  <c r="B2277" i="1"/>
  <c r="A2277" i="1"/>
  <c r="H2276" i="1"/>
  <c r="G2276" i="1"/>
  <c r="E2276" i="1"/>
  <c r="B2276" i="1"/>
  <c r="A2276" i="1"/>
  <c r="H2275" i="1"/>
  <c r="G2275" i="1"/>
  <c r="E2275" i="1"/>
  <c r="B2275" i="1"/>
  <c r="A2275" i="1"/>
  <c r="H2274" i="1"/>
  <c r="G2274" i="1"/>
  <c r="E2274" i="1"/>
  <c r="B2274" i="1"/>
  <c r="A2274" i="1"/>
  <c r="H2273" i="1"/>
  <c r="G2273" i="1"/>
  <c r="E2273" i="1"/>
  <c r="B2273" i="1"/>
  <c r="A2273" i="1"/>
  <c r="H2272" i="1"/>
  <c r="G2272" i="1"/>
  <c r="E2272" i="1"/>
  <c r="B2272" i="1"/>
  <c r="A2272" i="1"/>
  <c r="H2271" i="1"/>
  <c r="G2271" i="1"/>
  <c r="E2271" i="1"/>
  <c r="B2271" i="1"/>
  <c r="A2271" i="1"/>
  <c r="H2270" i="1"/>
  <c r="G2270" i="1"/>
  <c r="E2270" i="1"/>
  <c r="B2270" i="1"/>
  <c r="A2270" i="1"/>
  <c r="H2269" i="1"/>
  <c r="G2269" i="1"/>
  <c r="E2269" i="1"/>
  <c r="B2269" i="1"/>
  <c r="A2269" i="1"/>
  <c r="H2268" i="1"/>
  <c r="G2268" i="1"/>
  <c r="E2268" i="1"/>
  <c r="B2268" i="1"/>
  <c r="A2268" i="1"/>
  <c r="H2267" i="1"/>
  <c r="G2267" i="1"/>
  <c r="E2267" i="1"/>
  <c r="B2267" i="1"/>
  <c r="A2267" i="1"/>
  <c r="H2266" i="1"/>
  <c r="G2266" i="1"/>
  <c r="E2266" i="1"/>
  <c r="B2266" i="1"/>
  <c r="A2266" i="1"/>
  <c r="H2265" i="1"/>
  <c r="G2265" i="1"/>
  <c r="E2265" i="1"/>
  <c r="B2265" i="1"/>
  <c r="A2265" i="1"/>
  <c r="H2264" i="1"/>
  <c r="G2264" i="1"/>
  <c r="E2264" i="1"/>
  <c r="B2264" i="1"/>
  <c r="A2264" i="1"/>
  <c r="H2263" i="1"/>
  <c r="G2263" i="1"/>
  <c r="E2263" i="1"/>
  <c r="B2263" i="1"/>
  <c r="A2263" i="1"/>
  <c r="H2262" i="1"/>
  <c r="G2262" i="1"/>
  <c r="E2262" i="1"/>
  <c r="B2262" i="1"/>
  <c r="A2262" i="1"/>
  <c r="H2261" i="1"/>
  <c r="G2261" i="1"/>
  <c r="E2261" i="1"/>
  <c r="B2261" i="1"/>
  <c r="A2261" i="1"/>
  <c r="H2260" i="1"/>
  <c r="G2260" i="1"/>
  <c r="E2260" i="1"/>
  <c r="B2260" i="1"/>
  <c r="A2260" i="1"/>
  <c r="H2259" i="1"/>
  <c r="G2259" i="1"/>
  <c r="E2259" i="1"/>
  <c r="B2259" i="1"/>
  <c r="A2259" i="1"/>
  <c r="H2258" i="1"/>
  <c r="G2258" i="1"/>
  <c r="E2258" i="1"/>
  <c r="B2258" i="1"/>
  <c r="A2258" i="1"/>
  <c r="H2257" i="1"/>
  <c r="G2257" i="1"/>
  <c r="E2257" i="1"/>
  <c r="B2257" i="1"/>
  <c r="A2257" i="1"/>
  <c r="H2256" i="1"/>
  <c r="G2256" i="1"/>
  <c r="E2256" i="1"/>
  <c r="B2256" i="1"/>
  <c r="A2256" i="1"/>
  <c r="H2255" i="1"/>
  <c r="G2255" i="1"/>
  <c r="E2255" i="1"/>
  <c r="B2255" i="1"/>
  <c r="A2255" i="1"/>
  <c r="H2254" i="1"/>
  <c r="G2254" i="1"/>
  <c r="E2254" i="1"/>
  <c r="B2254" i="1"/>
  <c r="A2254" i="1"/>
  <c r="H2253" i="1"/>
  <c r="G2253" i="1"/>
  <c r="E2253" i="1"/>
  <c r="B2253" i="1"/>
  <c r="A2253" i="1"/>
  <c r="H2252" i="1"/>
  <c r="G2252" i="1"/>
  <c r="E2252" i="1"/>
  <c r="B2252" i="1"/>
  <c r="A2252" i="1"/>
  <c r="H2251" i="1"/>
  <c r="G2251" i="1"/>
  <c r="E2251" i="1"/>
  <c r="B2251" i="1"/>
  <c r="A2251" i="1"/>
  <c r="H2250" i="1"/>
  <c r="G2250" i="1"/>
  <c r="E2250" i="1"/>
  <c r="B2250" i="1"/>
  <c r="A2250" i="1"/>
  <c r="H2249" i="1"/>
  <c r="G2249" i="1"/>
  <c r="E2249" i="1"/>
  <c r="B2249" i="1"/>
  <c r="A2249" i="1"/>
  <c r="H2248" i="1"/>
  <c r="G2248" i="1"/>
  <c r="E2248" i="1"/>
  <c r="B2248" i="1"/>
  <c r="A2248" i="1"/>
  <c r="H2247" i="1"/>
  <c r="G2247" i="1"/>
  <c r="E2247" i="1"/>
  <c r="B2247" i="1"/>
  <c r="A2247" i="1"/>
  <c r="H2246" i="1"/>
  <c r="G2246" i="1"/>
  <c r="E2246" i="1"/>
  <c r="B2246" i="1"/>
  <c r="A2246" i="1"/>
  <c r="H2245" i="1"/>
  <c r="G2245" i="1"/>
  <c r="E2245" i="1"/>
  <c r="B2245" i="1"/>
  <c r="A2245" i="1"/>
  <c r="H2244" i="1"/>
  <c r="G2244" i="1"/>
  <c r="E2244" i="1"/>
  <c r="B2244" i="1"/>
  <c r="A2244" i="1"/>
  <c r="H2243" i="1"/>
  <c r="G2243" i="1"/>
  <c r="E2243" i="1"/>
  <c r="B2243" i="1"/>
  <c r="A2243" i="1"/>
  <c r="H2242" i="1"/>
  <c r="G2242" i="1"/>
  <c r="E2242" i="1"/>
  <c r="B2242" i="1"/>
  <c r="A2242" i="1"/>
  <c r="H2241" i="1"/>
  <c r="G2241" i="1"/>
  <c r="E2241" i="1"/>
  <c r="B2241" i="1"/>
  <c r="A2241" i="1"/>
  <c r="H2240" i="1"/>
  <c r="G2240" i="1"/>
  <c r="E2240" i="1"/>
  <c r="B2240" i="1"/>
  <c r="A2240" i="1"/>
  <c r="H2239" i="1"/>
  <c r="G2239" i="1"/>
  <c r="E2239" i="1"/>
  <c r="B2239" i="1"/>
  <c r="A2239" i="1"/>
  <c r="H2238" i="1"/>
  <c r="G2238" i="1"/>
  <c r="E2238" i="1"/>
  <c r="B2238" i="1"/>
  <c r="A2238" i="1"/>
  <c r="H2237" i="1"/>
  <c r="G2237" i="1"/>
  <c r="E2237" i="1"/>
  <c r="B2237" i="1"/>
  <c r="A2237" i="1"/>
  <c r="H2236" i="1"/>
  <c r="G2236" i="1"/>
  <c r="E2236" i="1"/>
  <c r="B2236" i="1"/>
  <c r="A2236" i="1"/>
  <c r="H2235" i="1"/>
  <c r="G2235" i="1"/>
  <c r="E2235" i="1"/>
  <c r="B2235" i="1"/>
  <c r="A2235" i="1"/>
  <c r="H2234" i="1"/>
  <c r="G2234" i="1"/>
  <c r="E2234" i="1"/>
  <c r="B2234" i="1"/>
  <c r="A2234" i="1"/>
  <c r="H2233" i="1"/>
  <c r="G2233" i="1"/>
  <c r="E2233" i="1"/>
  <c r="B2233" i="1"/>
  <c r="A2233" i="1"/>
  <c r="H2232" i="1"/>
  <c r="G2232" i="1"/>
  <c r="E2232" i="1"/>
  <c r="B2232" i="1"/>
  <c r="A2232" i="1"/>
  <c r="H2231" i="1"/>
  <c r="G2231" i="1"/>
  <c r="E2231" i="1"/>
  <c r="B2231" i="1"/>
  <c r="A2231" i="1"/>
  <c r="H2230" i="1"/>
  <c r="G2230" i="1"/>
  <c r="E2230" i="1"/>
  <c r="B2230" i="1"/>
  <c r="A2230" i="1"/>
  <c r="H2229" i="1"/>
  <c r="G2229" i="1"/>
  <c r="E2229" i="1"/>
  <c r="B2229" i="1"/>
  <c r="A2229" i="1"/>
  <c r="H2228" i="1"/>
  <c r="G2228" i="1"/>
  <c r="E2228" i="1"/>
  <c r="B2228" i="1"/>
  <c r="A2228" i="1"/>
  <c r="H2227" i="1"/>
  <c r="G2227" i="1"/>
  <c r="E2227" i="1"/>
  <c r="B2227" i="1"/>
  <c r="A2227" i="1"/>
  <c r="H2226" i="1"/>
  <c r="G2226" i="1"/>
  <c r="E2226" i="1"/>
  <c r="B2226" i="1"/>
  <c r="A2226" i="1"/>
  <c r="H2225" i="1"/>
  <c r="G2225" i="1"/>
  <c r="E2225" i="1"/>
  <c r="B2225" i="1"/>
  <c r="A2225" i="1"/>
  <c r="H2224" i="1"/>
  <c r="G2224" i="1"/>
  <c r="E2224" i="1"/>
  <c r="B2224" i="1"/>
  <c r="A2224" i="1"/>
  <c r="H2223" i="1"/>
  <c r="G2223" i="1"/>
  <c r="E2223" i="1"/>
  <c r="B2223" i="1"/>
  <c r="A2223" i="1"/>
  <c r="H2222" i="1"/>
  <c r="G2222" i="1"/>
  <c r="E2222" i="1"/>
  <c r="B2222" i="1"/>
  <c r="A2222" i="1"/>
  <c r="H2221" i="1"/>
  <c r="G2221" i="1"/>
  <c r="E2221" i="1"/>
  <c r="B2221" i="1"/>
  <c r="A2221" i="1"/>
  <c r="H2220" i="1"/>
  <c r="G2220" i="1"/>
  <c r="E2220" i="1"/>
  <c r="B2220" i="1"/>
  <c r="A2220" i="1"/>
  <c r="H2219" i="1"/>
  <c r="G2219" i="1"/>
  <c r="E2219" i="1"/>
  <c r="B2219" i="1"/>
  <c r="A2219" i="1"/>
  <c r="H2218" i="1"/>
  <c r="G2218" i="1"/>
  <c r="E2218" i="1"/>
  <c r="B2218" i="1"/>
  <c r="A2218" i="1"/>
  <c r="H2217" i="1"/>
  <c r="G2217" i="1"/>
  <c r="E2217" i="1"/>
  <c r="B2217" i="1"/>
  <c r="A2217" i="1"/>
  <c r="H2216" i="1"/>
  <c r="G2216" i="1"/>
  <c r="E2216" i="1"/>
  <c r="B2216" i="1"/>
  <c r="A2216" i="1"/>
  <c r="H2215" i="1"/>
  <c r="G2215" i="1"/>
  <c r="E2215" i="1"/>
  <c r="B2215" i="1"/>
  <c r="A2215" i="1"/>
  <c r="H2214" i="1"/>
  <c r="G2214" i="1"/>
  <c r="E2214" i="1"/>
  <c r="B2214" i="1"/>
  <c r="A2214" i="1"/>
  <c r="H2213" i="1"/>
  <c r="G2213" i="1"/>
  <c r="E2213" i="1"/>
  <c r="B2213" i="1"/>
  <c r="A2213" i="1"/>
  <c r="H2212" i="1"/>
  <c r="G2212" i="1"/>
  <c r="E2212" i="1"/>
  <c r="B2212" i="1"/>
  <c r="A2212" i="1"/>
  <c r="H2211" i="1"/>
  <c r="G2211" i="1"/>
  <c r="E2211" i="1"/>
  <c r="B2211" i="1"/>
  <c r="A2211" i="1"/>
  <c r="H2210" i="1"/>
  <c r="G2210" i="1"/>
  <c r="E2210" i="1"/>
  <c r="B2210" i="1"/>
  <c r="A2210" i="1"/>
  <c r="H2209" i="1"/>
  <c r="G2209" i="1"/>
  <c r="E2209" i="1"/>
  <c r="B2209" i="1"/>
  <c r="A2209" i="1"/>
  <c r="H2208" i="1"/>
  <c r="G2208" i="1"/>
  <c r="E2208" i="1"/>
  <c r="B2208" i="1"/>
  <c r="A2208" i="1"/>
  <c r="H2207" i="1"/>
  <c r="G2207" i="1"/>
  <c r="E2207" i="1"/>
  <c r="B2207" i="1"/>
  <c r="A2207" i="1"/>
  <c r="H2206" i="1"/>
  <c r="G2206" i="1"/>
  <c r="E2206" i="1"/>
  <c r="B2206" i="1"/>
  <c r="A2206" i="1"/>
  <c r="H2205" i="1"/>
  <c r="G2205" i="1"/>
  <c r="E2205" i="1"/>
  <c r="B2205" i="1"/>
  <c r="A2205" i="1"/>
  <c r="H2204" i="1"/>
  <c r="G2204" i="1"/>
  <c r="E2204" i="1"/>
  <c r="B2204" i="1"/>
  <c r="A2204" i="1"/>
  <c r="H2203" i="1"/>
  <c r="G2203" i="1"/>
  <c r="E2203" i="1"/>
  <c r="B2203" i="1"/>
  <c r="A2203" i="1"/>
  <c r="H2202" i="1"/>
  <c r="G2202" i="1"/>
  <c r="E2202" i="1"/>
  <c r="B2202" i="1"/>
  <c r="A2202" i="1"/>
  <c r="H2201" i="1"/>
  <c r="G2201" i="1"/>
  <c r="E2201" i="1"/>
  <c r="B2201" i="1"/>
  <c r="A2201" i="1"/>
  <c r="H2200" i="1"/>
  <c r="G2200" i="1"/>
  <c r="E2200" i="1"/>
  <c r="B2200" i="1"/>
  <c r="A2200" i="1"/>
  <c r="H2199" i="1"/>
  <c r="G2199" i="1"/>
  <c r="E2199" i="1"/>
  <c r="B2199" i="1"/>
  <c r="A2199" i="1"/>
  <c r="H2198" i="1"/>
  <c r="G2198" i="1"/>
  <c r="E2198" i="1"/>
  <c r="B2198" i="1"/>
  <c r="A2198" i="1"/>
  <c r="H2197" i="1"/>
  <c r="G2197" i="1"/>
  <c r="E2197" i="1"/>
  <c r="B2197" i="1"/>
  <c r="A2197" i="1"/>
  <c r="H2196" i="1"/>
  <c r="G2196" i="1"/>
  <c r="E2196" i="1"/>
  <c r="B2196" i="1"/>
  <c r="A2196" i="1"/>
  <c r="H2195" i="1"/>
  <c r="G2195" i="1"/>
  <c r="E2195" i="1"/>
  <c r="B2195" i="1"/>
  <c r="A2195" i="1"/>
  <c r="H2194" i="1"/>
  <c r="G2194" i="1"/>
  <c r="E2194" i="1"/>
  <c r="B2194" i="1"/>
  <c r="A2194" i="1"/>
  <c r="H2193" i="1"/>
  <c r="G2193" i="1"/>
  <c r="E2193" i="1"/>
  <c r="B2193" i="1"/>
  <c r="A2193" i="1"/>
  <c r="H2192" i="1"/>
  <c r="G2192" i="1"/>
  <c r="E2192" i="1"/>
  <c r="B2192" i="1"/>
  <c r="A2192" i="1"/>
  <c r="H2191" i="1"/>
  <c r="G2191" i="1"/>
  <c r="E2191" i="1"/>
  <c r="B2191" i="1"/>
  <c r="A2191" i="1"/>
  <c r="H2190" i="1"/>
  <c r="G2190" i="1"/>
  <c r="E2190" i="1"/>
  <c r="B2190" i="1"/>
  <c r="A2190" i="1"/>
  <c r="H2189" i="1"/>
  <c r="G2189" i="1"/>
  <c r="E2189" i="1"/>
  <c r="B2189" i="1"/>
  <c r="A2189" i="1"/>
  <c r="H2188" i="1"/>
  <c r="G2188" i="1"/>
  <c r="E2188" i="1"/>
  <c r="B2188" i="1"/>
  <c r="A2188" i="1"/>
  <c r="H2187" i="1"/>
  <c r="G2187" i="1"/>
  <c r="E2187" i="1"/>
  <c r="B2187" i="1"/>
  <c r="A2187" i="1"/>
  <c r="H2186" i="1"/>
  <c r="G2186" i="1"/>
  <c r="E2186" i="1"/>
  <c r="B2186" i="1"/>
  <c r="A2186" i="1"/>
  <c r="H2185" i="1"/>
  <c r="G2185" i="1"/>
  <c r="E2185" i="1"/>
  <c r="B2185" i="1"/>
  <c r="A2185" i="1"/>
  <c r="H2184" i="1"/>
  <c r="G2184" i="1"/>
  <c r="E2184" i="1"/>
  <c r="B2184" i="1"/>
  <c r="A2184" i="1"/>
  <c r="H2183" i="1"/>
  <c r="G2183" i="1"/>
  <c r="E2183" i="1"/>
  <c r="B2183" i="1"/>
  <c r="A2183" i="1"/>
  <c r="H2182" i="1"/>
  <c r="G2182" i="1"/>
  <c r="E2182" i="1"/>
  <c r="B2182" i="1"/>
  <c r="A2182" i="1"/>
  <c r="H2181" i="1"/>
  <c r="G2181" i="1"/>
  <c r="E2181" i="1"/>
  <c r="B2181" i="1"/>
  <c r="A2181" i="1"/>
  <c r="H2180" i="1"/>
  <c r="G2180" i="1"/>
  <c r="E2180" i="1"/>
  <c r="B2180" i="1"/>
  <c r="A2180" i="1"/>
  <c r="H2179" i="1"/>
  <c r="G2179" i="1"/>
  <c r="E2179" i="1"/>
  <c r="B2179" i="1"/>
  <c r="A2179" i="1"/>
  <c r="H2178" i="1"/>
  <c r="G2178" i="1"/>
  <c r="E2178" i="1"/>
  <c r="B2178" i="1"/>
  <c r="A2178" i="1"/>
  <c r="H2177" i="1"/>
  <c r="G2177" i="1"/>
  <c r="E2177" i="1"/>
  <c r="B2177" i="1"/>
  <c r="A2177" i="1"/>
  <c r="H2176" i="1"/>
  <c r="G2176" i="1"/>
  <c r="E2176" i="1"/>
  <c r="B2176" i="1"/>
  <c r="A2176" i="1"/>
  <c r="H2175" i="1"/>
  <c r="G2175" i="1"/>
  <c r="E2175" i="1"/>
  <c r="B2175" i="1"/>
  <c r="A2175" i="1"/>
  <c r="H2174" i="1"/>
  <c r="G2174" i="1"/>
  <c r="E2174" i="1"/>
  <c r="B2174" i="1"/>
  <c r="A2174" i="1"/>
  <c r="H2173" i="1"/>
  <c r="G2173" i="1"/>
  <c r="E2173" i="1"/>
  <c r="B2173" i="1"/>
  <c r="A2173" i="1"/>
  <c r="H2172" i="1"/>
  <c r="G2172" i="1"/>
  <c r="E2172" i="1"/>
  <c r="B2172" i="1"/>
  <c r="A2172" i="1"/>
  <c r="H2171" i="1"/>
  <c r="G2171" i="1"/>
  <c r="E2171" i="1"/>
  <c r="B2171" i="1"/>
  <c r="A2171" i="1"/>
  <c r="H2170" i="1"/>
  <c r="G2170" i="1"/>
  <c r="E2170" i="1"/>
  <c r="B2170" i="1"/>
  <c r="A2170" i="1"/>
  <c r="H2169" i="1"/>
  <c r="G2169" i="1"/>
  <c r="E2169" i="1"/>
  <c r="B2169" i="1"/>
  <c r="A2169" i="1"/>
  <c r="H2168" i="1"/>
  <c r="G2168" i="1"/>
  <c r="E2168" i="1"/>
  <c r="B2168" i="1"/>
  <c r="A2168" i="1"/>
  <c r="H2167" i="1"/>
  <c r="G2167" i="1"/>
  <c r="E2167" i="1"/>
  <c r="B2167" i="1"/>
  <c r="A2167" i="1"/>
  <c r="H2166" i="1"/>
  <c r="G2166" i="1"/>
  <c r="E2166" i="1"/>
  <c r="B2166" i="1"/>
  <c r="A2166" i="1"/>
  <c r="H2165" i="1"/>
  <c r="G2165" i="1"/>
  <c r="E2165" i="1"/>
  <c r="B2165" i="1"/>
  <c r="A2165" i="1"/>
  <c r="H2164" i="1"/>
  <c r="G2164" i="1"/>
  <c r="E2164" i="1"/>
  <c r="B2164" i="1"/>
  <c r="A2164" i="1"/>
  <c r="H2163" i="1"/>
  <c r="G2163" i="1"/>
  <c r="E2163" i="1"/>
  <c r="B2163" i="1"/>
  <c r="A2163" i="1"/>
  <c r="H2162" i="1"/>
  <c r="G2162" i="1"/>
  <c r="E2162" i="1"/>
  <c r="B2162" i="1"/>
  <c r="A2162" i="1"/>
  <c r="H2161" i="1"/>
  <c r="G2161" i="1"/>
  <c r="E2161" i="1"/>
  <c r="B2161" i="1"/>
  <c r="A2161" i="1"/>
  <c r="H2160" i="1"/>
  <c r="G2160" i="1"/>
  <c r="E2160" i="1"/>
  <c r="B2160" i="1"/>
  <c r="A2160" i="1"/>
  <c r="H2159" i="1"/>
  <c r="G2159" i="1"/>
  <c r="E2159" i="1"/>
  <c r="B2159" i="1"/>
  <c r="A2159" i="1"/>
  <c r="H2158" i="1"/>
  <c r="G2158" i="1"/>
  <c r="E2158" i="1"/>
  <c r="B2158" i="1"/>
  <c r="A2158" i="1"/>
  <c r="H2157" i="1"/>
  <c r="G2157" i="1"/>
  <c r="E2157" i="1"/>
  <c r="B2157" i="1"/>
  <c r="A2157" i="1"/>
  <c r="H2156" i="1"/>
  <c r="G2156" i="1"/>
  <c r="E2156" i="1"/>
  <c r="B2156" i="1"/>
  <c r="A2156" i="1"/>
  <c r="H2155" i="1"/>
  <c r="G2155" i="1"/>
  <c r="E2155" i="1"/>
  <c r="B2155" i="1"/>
  <c r="A2155" i="1"/>
  <c r="H2154" i="1"/>
  <c r="G2154" i="1"/>
  <c r="E2154" i="1"/>
  <c r="B2154" i="1"/>
  <c r="A2154" i="1"/>
  <c r="H2153" i="1"/>
  <c r="G2153" i="1"/>
  <c r="E2153" i="1"/>
  <c r="B2153" i="1"/>
  <c r="A2153" i="1"/>
  <c r="H2152" i="1"/>
  <c r="G2152" i="1"/>
  <c r="E2152" i="1"/>
  <c r="B2152" i="1"/>
  <c r="A2152" i="1"/>
  <c r="H2151" i="1"/>
  <c r="G2151" i="1"/>
  <c r="E2151" i="1"/>
  <c r="B2151" i="1"/>
  <c r="A2151" i="1"/>
  <c r="H2150" i="1"/>
  <c r="G2150" i="1"/>
  <c r="E2150" i="1"/>
  <c r="B2150" i="1"/>
  <c r="A2150" i="1"/>
  <c r="H2149" i="1"/>
  <c r="G2149" i="1"/>
  <c r="E2149" i="1"/>
  <c r="B2149" i="1"/>
  <c r="A2149" i="1"/>
  <c r="H2148" i="1"/>
  <c r="G2148" i="1"/>
  <c r="E2148" i="1"/>
  <c r="B2148" i="1"/>
  <c r="A2148" i="1"/>
  <c r="H2147" i="1"/>
  <c r="G2147" i="1"/>
  <c r="E2147" i="1"/>
  <c r="B2147" i="1"/>
  <c r="A2147" i="1"/>
  <c r="H2146" i="1"/>
  <c r="G2146" i="1"/>
  <c r="E2146" i="1"/>
  <c r="B2146" i="1"/>
  <c r="A2146" i="1"/>
  <c r="H2145" i="1"/>
  <c r="G2145" i="1"/>
  <c r="E2145" i="1"/>
  <c r="B2145" i="1"/>
  <c r="A2145" i="1"/>
  <c r="H2144" i="1"/>
  <c r="G2144" i="1"/>
  <c r="E2144" i="1"/>
  <c r="B2144" i="1"/>
  <c r="A2144" i="1"/>
  <c r="H2143" i="1"/>
  <c r="G2143" i="1"/>
  <c r="E2143" i="1"/>
  <c r="B2143" i="1"/>
  <c r="A2143" i="1"/>
  <c r="H2142" i="1"/>
  <c r="G2142" i="1"/>
  <c r="B2142" i="1"/>
  <c r="A2142" i="1"/>
  <c r="H2141" i="1"/>
  <c r="G2141" i="1"/>
  <c r="E2141" i="1"/>
  <c r="B2141" i="1"/>
  <c r="A2141" i="1"/>
  <c r="H2140" i="1"/>
  <c r="G2140" i="1"/>
  <c r="E2140" i="1"/>
  <c r="B2140" i="1"/>
  <c r="A2140" i="1"/>
  <c r="H2139" i="1"/>
  <c r="G2139" i="1"/>
  <c r="E2139" i="1"/>
  <c r="B2139" i="1"/>
  <c r="A2139" i="1"/>
  <c r="H2138" i="1"/>
  <c r="G2138" i="1"/>
  <c r="E2138" i="1"/>
  <c r="B2138" i="1"/>
  <c r="A2138" i="1"/>
  <c r="H2137" i="1"/>
  <c r="G2137" i="1"/>
  <c r="E2137" i="1"/>
  <c r="B2137" i="1"/>
  <c r="A2137" i="1"/>
  <c r="H2136" i="1"/>
  <c r="G2136" i="1"/>
  <c r="E2136" i="1"/>
  <c r="B2136" i="1"/>
  <c r="A2136" i="1"/>
  <c r="H2135" i="1"/>
  <c r="G2135" i="1"/>
  <c r="E2135" i="1"/>
  <c r="B2135" i="1"/>
  <c r="A2135" i="1"/>
  <c r="H2134" i="1"/>
  <c r="G2134" i="1"/>
  <c r="E2134" i="1"/>
  <c r="B2134" i="1"/>
  <c r="A2134" i="1"/>
  <c r="H2133" i="1"/>
  <c r="G2133" i="1"/>
  <c r="E2133" i="1"/>
  <c r="B2133" i="1"/>
  <c r="A2133" i="1"/>
  <c r="H2132" i="1"/>
  <c r="G2132" i="1"/>
  <c r="E2132" i="1"/>
  <c r="B2132" i="1"/>
  <c r="A2132" i="1"/>
  <c r="H2131" i="1"/>
  <c r="G2131" i="1"/>
  <c r="E2131" i="1"/>
  <c r="B2131" i="1"/>
  <c r="A2131" i="1"/>
  <c r="H2130" i="1"/>
  <c r="G2130" i="1"/>
  <c r="E2130" i="1"/>
  <c r="B2130" i="1"/>
  <c r="A2130" i="1"/>
  <c r="H2129" i="1"/>
  <c r="G2129" i="1"/>
  <c r="E2129" i="1"/>
  <c r="B2129" i="1"/>
  <c r="A2129" i="1"/>
  <c r="H2128" i="1"/>
  <c r="G2128" i="1"/>
  <c r="E2128" i="1"/>
  <c r="B2128" i="1"/>
  <c r="A2128" i="1"/>
  <c r="H2127" i="1"/>
  <c r="G2127" i="1"/>
  <c r="E2127" i="1"/>
  <c r="B2127" i="1"/>
  <c r="A2127" i="1"/>
  <c r="H2126" i="1"/>
  <c r="G2126" i="1"/>
  <c r="E2126" i="1"/>
  <c r="B2126" i="1"/>
  <c r="A2126" i="1"/>
  <c r="H2125" i="1"/>
  <c r="G2125" i="1"/>
  <c r="E2125" i="1"/>
  <c r="B2125" i="1"/>
  <c r="A2125" i="1"/>
  <c r="H2124" i="1"/>
  <c r="G2124" i="1"/>
  <c r="E2124" i="1"/>
  <c r="B2124" i="1"/>
  <c r="A2124" i="1"/>
  <c r="H2123" i="1"/>
  <c r="G2123" i="1"/>
  <c r="E2123" i="1"/>
  <c r="B2123" i="1"/>
  <c r="A2123" i="1"/>
  <c r="H2122" i="1"/>
  <c r="G2122" i="1"/>
  <c r="E2122" i="1"/>
  <c r="B2122" i="1"/>
  <c r="A2122" i="1"/>
  <c r="H2121" i="1"/>
  <c r="G2121" i="1"/>
  <c r="E2121" i="1"/>
  <c r="B2121" i="1"/>
  <c r="A2121" i="1"/>
  <c r="H2120" i="1"/>
  <c r="G2120" i="1"/>
  <c r="E2120" i="1"/>
  <c r="B2120" i="1"/>
  <c r="A2120" i="1"/>
  <c r="H2119" i="1"/>
  <c r="G2119" i="1"/>
  <c r="E2119" i="1"/>
  <c r="B2119" i="1"/>
  <c r="A2119" i="1"/>
  <c r="H2118" i="1"/>
  <c r="G2118" i="1"/>
  <c r="E2118" i="1"/>
  <c r="B2118" i="1"/>
  <c r="A2118" i="1"/>
  <c r="H2117" i="1"/>
  <c r="G2117" i="1"/>
  <c r="E2117" i="1"/>
  <c r="B2117" i="1"/>
  <c r="A2117" i="1"/>
  <c r="H2116" i="1"/>
  <c r="G2116" i="1"/>
  <c r="E2116" i="1"/>
  <c r="B2116" i="1"/>
  <c r="A2116" i="1"/>
  <c r="H2115" i="1"/>
  <c r="G2115" i="1"/>
  <c r="E2115" i="1"/>
  <c r="B2115" i="1"/>
  <c r="A2115" i="1"/>
  <c r="H2114" i="1"/>
  <c r="G2114" i="1"/>
  <c r="E2114" i="1"/>
  <c r="B2114" i="1"/>
  <c r="A2114" i="1"/>
  <c r="H2113" i="1"/>
  <c r="G2113" i="1"/>
  <c r="E2113" i="1"/>
  <c r="B2113" i="1"/>
  <c r="A2113" i="1"/>
  <c r="H2112" i="1"/>
  <c r="G2112" i="1"/>
  <c r="E2112" i="1"/>
  <c r="B2112" i="1"/>
  <c r="A2112" i="1"/>
  <c r="H2111" i="1"/>
  <c r="G2111" i="1"/>
  <c r="E2111" i="1"/>
  <c r="B2111" i="1"/>
  <c r="A2111" i="1"/>
  <c r="H2110" i="1"/>
  <c r="G2110" i="1"/>
  <c r="E2110" i="1"/>
  <c r="B2110" i="1"/>
  <c r="A2110" i="1"/>
  <c r="H2109" i="1"/>
  <c r="G2109" i="1"/>
  <c r="E2109" i="1"/>
  <c r="B2109" i="1"/>
  <c r="A2109" i="1"/>
  <c r="H2108" i="1"/>
  <c r="G2108" i="1"/>
  <c r="E2108" i="1"/>
  <c r="B2108" i="1"/>
  <c r="A2108" i="1"/>
  <c r="H2107" i="1"/>
  <c r="G2107" i="1"/>
  <c r="E2107" i="1"/>
  <c r="B2107" i="1"/>
  <c r="A2107" i="1"/>
  <c r="H2106" i="1"/>
  <c r="G2106" i="1"/>
  <c r="E2106" i="1"/>
  <c r="B2106" i="1"/>
  <c r="A2106" i="1"/>
  <c r="H2105" i="1"/>
  <c r="G2105" i="1"/>
  <c r="E2105" i="1"/>
  <c r="B2105" i="1"/>
  <c r="A2105" i="1"/>
  <c r="H2104" i="1"/>
  <c r="G2104" i="1"/>
  <c r="E2104" i="1"/>
  <c r="B2104" i="1"/>
  <c r="A2104" i="1"/>
  <c r="H2103" i="1"/>
  <c r="G2103" i="1"/>
  <c r="E2103" i="1"/>
  <c r="B2103" i="1"/>
  <c r="A2103" i="1"/>
  <c r="H2102" i="1"/>
  <c r="G2102" i="1"/>
  <c r="E2102" i="1"/>
  <c r="B2102" i="1"/>
  <c r="A2102" i="1"/>
  <c r="H2101" i="1"/>
  <c r="G2101" i="1"/>
  <c r="E2101" i="1"/>
  <c r="B2101" i="1"/>
  <c r="A2101" i="1"/>
  <c r="H2100" i="1"/>
  <c r="G2100" i="1"/>
  <c r="E2100" i="1"/>
  <c r="B2100" i="1"/>
  <c r="A2100" i="1"/>
  <c r="H2099" i="1"/>
  <c r="G2099" i="1"/>
  <c r="E2099" i="1"/>
  <c r="B2099" i="1"/>
  <c r="A2099" i="1"/>
  <c r="H2098" i="1"/>
  <c r="G2098" i="1"/>
  <c r="E2098" i="1"/>
  <c r="B2098" i="1"/>
  <c r="A2098" i="1"/>
  <c r="H2097" i="1"/>
  <c r="G2097" i="1"/>
  <c r="E2097" i="1"/>
  <c r="B2097" i="1"/>
  <c r="A2097" i="1"/>
  <c r="H2096" i="1"/>
  <c r="G2096" i="1"/>
  <c r="E2096" i="1"/>
  <c r="B2096" i="1"/>
  <c r="A2096" i="1"/>
  <c r="H2095" i="1"/>
  <c r="G2095" i="1"/>
  <c r="E2095" i="1"/>
  <c r="B2095" i="1"/>
  <c r="A2095" i="1"/>
  <c r="H2094" i="1"/>
  <c r="G2094" i="1"/>
  <c r="E2094" i="1"/>
  <c r="B2094" i="1"/>
  <c r="A2094" i="1"/>
  <c r="H2093" i="1"/>
  <c r="G2093" i="1"/>
  <c r="E2093" i="1"/>
  <c r="B2093" i="1"/>
  <c r="A2093" i="1"/>
  <c r="H2092" i="1"/>
  <c r="G2092" i="1"/>
  <c r="E2092" i="1"/>
  <c r="B2092" i="1"/>
  <c r="A2092" i="1"/>
  <c r="H2091" i="1"/>
  <c r="G2091" i="1"/>
  <c r="E2091" i="1"/>
  <c r="B2091" i="1"/>
  <c r="A2091" i="1"/>
  <c r="H2090" i="1"/>
  <c r="G2090" i="1"/>
  <c r="E2090" i="1"/>
  <c r="B2090" i="1"/>
  <c r="A2090" i="1"/>
  <c r="H2089" i="1"/>
  <c r="G2089" i="1"/>
  <c r="E2089" i="1"/>
  <c r="B2089" i="1"/>
  <c r="A2089" i="1"/>
  <c r="H2088" i="1"/>
  <c r="G2088" i="1"/>
  <c r="E2088" i="1"/>
  <c r="B2088" i="1"/>
  <c r="A2088" i="1"/>
  <c r="H2087" i="1"/>
  <c r="G2087" i="1"/>
  <c r="E2087" i="1"/>
  <c r="B2087" i="1"/>
  <c r="A2087" i="1"/>
  <c r="H2086" i="1"/>
  <c r="G2086" i="1"/>
  <c r="E2086" i="1"/>
  <c r="B2086" i="1"/>
  <c r="A2086" i="1"/>
  <c r="H2085" i="1"/>
  <c r="G2085" i="1"/>
  <c r="E2085" i="1"/>
  <c r="B2085" i="1"/>
  <c r="A2085" i="1"/>
  <c r="H2084" i="1"/>
  <c r="G2084" i="1"/>
  <c r="E2084" i="1"/>
  <c r="B2084" i="1"/>
  <c r="A2084" i="1"/>
  <c r="H2083" i="1"/>
  <c r="G2083" i="1"/>
  <c r="E2083" i="1"/>
  <c r="B2083" i="1"/>
  <c r="A2083" i="1"/>
  <c r="H2082" i="1"/>
  <c r="G2082" i="1"/>
  <c r="E2082" i="1"/>
  <c r="B2082" i="1"/>
  <c r="A2082" i="1"/>
  <c r="H2081" i="1"/>
  <c r="G2081" i="1"/>
  <c r="E2081" i="1"/>
  <c r="B2081" i="1"/>
  <c r="A2081" i="1"/>
  <c r="H2080" i="1"/>
  <c r="G2080" i="1"/>
  <c r="E2080" i="1"/>
  <c r="B2080" i="1"/>
  <c r="A2080" i="1"/>
  <c r="H2079" i="1"/>
  <c r="G2079" i="1"/>
  <c r="E2079" i="1"/>
  <c r="B2079" i="1"/>
  <c r="A2079" i="1"/>
  <c r="H2078" i="1"/>
  <c r="G2078" i="1"/>
  <c r="E2078" i="1"/>
  <c r="B2078" i="1"/>
  <c r="A2078" i="1"/>
  <c r="H2077" i="1"/>
  <c r="G2077" i="1"/>
  <c r="E2077" i="1"/>
  <c r="B2077" i="1"/>
  <c r="A2077" i="1"/>
  <c r="H2076" i="1"/>
  <c r="G2076" i="1"/>
  <c r="E2076" i="1"/>
  <c r="B2076" i="1"/>
  <c r="A2076" i="1"/>
  <c r="H2075" i="1"/>
  <c r="G2075" i="1"/>
  <c r="E2075" i="1"/>
  <c r="B2075" i="1"/>
  <c r="A2075" i="1"/>
  <c r="H2074" i="1"/>
  <c r="G2074" i="1"/>
  <c r="E2074" i="1"/>
  <c r="B2074" i="1"/>
  <c r="A2074" i="1"/>
  <c r="H2073" i="1"/>
  <c r="G2073" i="1"/>
  <c r="E2073" i="1"/>
  <c r="B2073" i="1"/>
  <c r="A2073" i="1"/>
  <c r="H2072" i="1"/>
  <c r="G2072" i="1"/>
  <c r="E2072" i="1"/>
  <c r="B2072" i="1"/>
  <c r="A2072" i="1"/>
  <c r="H2071" i="1"/>
  <c r="G2071" i="1"/>
  <c r="E2071" i="1"/>
  <c r="B2071" i="1"/>
  <c r="A2071" i="1"/>
  <c r="H2070" i="1"/>
  <c r="G2070" i="1"/>
  <c r="E2070" i="1"/>
  <c r="B2070" i="1"/>
  <c r="A2070" i="1"/>
  <c r="H2069" i="1"/>
  <c r="G2069" i="1"/>
  <c r="E2069" i="1"/>
  <c r="B2069" i="1"/>
  <c r="A2069" i="1"/>
  <c r="H2068" i="1"/>
  <c r="G2068" i="1"/>
  <c r="E2068" i="1"/>
  <c r="B2068" i="1"/>
  <c r="A2068" i="1"/>
  <c r="H2067" i="1"/>
  <c r="G2067" i="1"/>
  <c r="E2067" i="1"/>
  <c r="B2067" i="1"/>
  <c r="A2067" i="1"/>
  <c r="H2066" i="1"/>
  <c r="G2066" i="1"/>
  <c r="E2066" i="1"/>
  <c r="B2066" i="1"/>
  <c r="A2066" i="1"/>
  <c r="H2065" i="1"/>
  <c r="G2065" i="1"/>
  <c r="E2065" i="1"/>
  <c r="B2065" i="1"/>
  <c r="A2065" i="1"/>
  <c r="H2064" i="1"/>
  <c r="G2064" i="1"/>
  <c r="E2064" i="1"/>
  <c r="B2064" i="1"/>
  <c r="A2064" i="1"/>
  <c r="H2063" i="1"/>
  <c r="G2063" i="1"/>
  <c r="E2063" i="1"/>
  <c r="B2063" i="1"/>
  <c r="A2063" i="1"/>
  <c r="H2062" i="1"/>
  <c r="G2062" i="1"/>
  <c r="E2062" i="1"/>
  <c r="B2062" i="1"/>
  <c r="A2062" i="1"/>
  <c r="H2061" i="1"/>
  <c r="G2061" i="1"/>
  <c r="E2061" i="1"/>
  <c r="B2061" i="1"/>
  <c r="A2061" i="1"/>
  <c r="H2060" i="1"/>
  <c r="G2060" i="1"/>
  <c r="E2060" i="1"/>
  <c r="B2060" i="1"/>
  <c r="A2060" i="1"/>
  <c r="H2059" i="1"/>
  <c r="G2059" i="1"/>
  <c r="E2059" i="1"/>
  <c r="B2059" i="1"/>
  <c r="A2059" i="1"/>
  <c r="H2058" i="1"/>
  <c r="G2058" i="1"/>
  <c r="E2058" i="1"/>
  <c r="B2058" i="1"/>
  <c r="A2058" i="1"/>
  <c r="H2057" i="1"/>
  <c r="G2057" i="1"/>
  <c r="E2057" i="1"/>
  <c r="B2057" i="1"/>
  <c r="A2057" i="1"/>
  <c r="H2056" i="1"/>
  <c r="G2056" i="1"/>
  <c r="E2056" i="1"/>
  <c r="B2056" i="1"/>
  <c r="A2056" i="1"/>
  <c r="H2055" i="1"/>
  <c r="G2055" i="1"/>
  <c r="E2055" i="1"/>
  <c r="B2055" i="1"/>
  <c r="A2055" i="1"/>
  <c r="H2054" i="1"/>
  <c r="G2054" i="1"/>
  <c r="E2054" i="1"/>
  <c r="B2054" i="1"/>
  <c r="A2054" i="1"/>
  <c r="H2053" i="1"/>
  <c r="G2053" i="1"/>
  <c r="E2053" i="1"/>
  <c r="B2053" i="1"/>
  <c r="A2053" i="1"/>
  <c r="H2052" i="1"/>
  <c r="G2052" i="1"/>
  <c r="E2052" i="1"/>
  <c r="B2052" i="1"/>
  <c r="A2052" i="1"/>
  <c r="H2051" i="1"/>
  <c r="G2051" i="1"/>
  <c r="E2051" i="1"/>
  <c r="B2051" i="1"/>
  <c r="A2051" i="1"/>
  <c r="H2050" i="1"/>
  <c r="G2050" i="1"/>
  <c r="E2050" i="1"/>
  <c r="B2050" i="1"/>
  <c r="A2050" i="1"/>
  <c r="H2049" i="1"/>
  <c r="G2049" i="1"/>
  <c r="E2049" i="1"/>
  <c r="B2049" i="1"/>
  <c r="A2049" i="1"/>
  <c r="H2048" i="1"/>
  <c r="G2048" i="1"/>
  <c r="E2048" i="1"/>
  <c r="B2048" i="1"/>
  <c r="A2048" i="1"/>
  <c r="H2047" i="1"/>
  <c r="G2047" i="1"/>
  <c r="E2047" i="1"/>
  <c r="B2047" i="1"/>
  <c r="A2047" i="1"/>
  <c r="H2046" i="1"/>
  <c r="G2046" i="1"/>
  <c r="E2046" i="1"/>
  <c r="B2046" i="1"/>
  <c r="A2046" i="1"/>
  <c r="H2045" i="1"/>
  <c r="G2045" i="1"/>
  <c r="E2045" i="1"/>
  <c r="B2045" i="1"/>
  <c r="A2045" i="1"/>
  <c r="H2044" i="1"/>
  <c r="G2044" i="1"/>
  <c r="E2044" i="1"/>
  <c r="B2044" i="1"/>
  <c r="A2044" i="1"/>
  <c r="H2043" i="1"/>
  <c r="G2043" i="1"/>
  <c r="E2043" i="1"/>
  <c r="B2043" i="1"/>
  <c r="A2043" i="1"/>
  <c r="H2042" i="1"/>
  <c r="G2042" i="1"/>
  <c r="E2042" i="1"/>
  <c r="B2042" i="1"/>
  <c r="A2042" i="1"/>
  <c r="H2041" i="1"/>
  <c r="G2041" i="1"/>
  <c r="E2041" i="1"/>
  <c r="B2041" i="1"/>
  <c r="A2041" i="1"/>
  <c r="H2040" i="1"/>
  <c r="G2040" i="1"/>
  <c r="E2040" i="1"/>
  <c r="B2040" i="1"/>
  <c r="A2040" i="1"/>
  <c r="H2039" i="1"/>
  <c r="G2039" i="1"/>
  <c r="E2039" i="1"/>
  <c r="B2039" i="1"/>
  <c r="A2039" i="1"/>
  <c r="H2038" i="1"/>
  <c r="G2038" i="1"/>
  <c r="E2038" i="1"/>
  <c r="B2038" i="1"/>
  <c r="A2038" i="1"/>
  <c r="H2037" i="1"/>
  <c r="G2037" i="1"/>
  <c r="E2037" i="1"/>
  <c r="B2037" i="1"/>
  <c r="A2037" i="1"/>
  <c r="H2036" i="1"/>
  <c r="G2036" i="1"/>
  <c r="E2036" i="1"/>
  <c r="B2036" i="1"/>
  <c r="A2036" i="1"/>
  <c r="H2035" i="1"/>
  <c r="G2035" i="1"/>
  <c r="E2035" i="1"/>
  <c r="B2035" i="1"/>
  <c r="A2035" i="1"/>
  <c r="H2034" i="1"/>
  <c r="G2034" i="1"/>
  <c r="E2034" i="1"/>
  <c r="B2034" i="1"/>
  <c r="A2034" i="1"/>
  <c r="H2033" i="1"/>
  <c r="G2033" i="1"/>
  <c r="E2033" i="1"/>
  <c r="B2033" i="1"/>
  <c r="A2033" i="1"/>
  <c r="H2032" i="1"/>
  <c r="G2032" i="1"/>
  <c r="E2032" i="1"/>
  <c r="B2032" i="1"/>
  <c r="A2032" i="1"/>
  <c r="H2031" i="1"/>
  <c r="G2031" i="1"/>
  <c r="E2031" i="1"/>
  <c r="B2031" i="1"/>
  <c r="A2031" i="1"/>
  <c r="H2030" i="1"/>
  <c r="G2030" i="1"/>
  <c r="E2030" i="1"/>
  <c r="B2030" i="1"/>
  <c r="A2030" i="1"/>
  <c r="H2029" i="1"/>
  <c r="G2029" i="1"/>
  <c r="E2029" i="1"/>
  <c r="B2029" i="1"/>
  <c r="A2029" i="1"/>
  <c r="H2028" i="1"/>
  <c r="G2028" i="1"/>
  <c r="E2028" i="1"/>
  <c r="B2028" i="1"/>
  <c r="A2028" i="1"/>
  <c r="H2027" i="1"/>
  <c r="G2027" i="1"/>
  <c r="E2027" i="1"/>
  <c r="B2027" i="1"/>
  <c r="A2027" i="1"/>
  <c r="H2026" i="1"/>
  <c r="G2026" i="1"/>
  <c r="E2026" i="1"/>
  <c r="B2026" i="1"/>
  <c r="A2026" i="1"/>
  <c r="H2025" i="1"/>
  <c r="G2025" i="1"/>
  <c r="E2025" i="1"/>
  <c r="B2025" i="1"/>
  <c r="A2025" i="1"/>
  <c r="H2024" i="1"/>
  <c r="G2024" i="1"/>
  <c r="E2024" i="1"/>
  <c r="B2024" i="1"/>
  <c r="A2024" i="1"/>
  <c r="H2023" i="1"/>
  <c r="G2023" i="1"/>
  <c r="E2023" i="1"/>
  <c r="B2023" i="1"/>
  <c r="A2023" i="1"/>
  <c r="H2022" i="1"/>
  <c r="G2022" i="1"/>
  <c r="E2022" i="1"/>
  <c r="B2022" i="1"/>
  <c r="A2022" i="1"/>
  <c r="H2021" i="1"/>
  <c r="G2021" i="1"/>
  <c r="E2021" i="1"/>
  <c r="B2021" i="1"/>
  <c r="A2021" i="1"/>
  <c r="H2020" i="1"/>
  <c r="G2020" i="1"/>
  <c r="E2020" i="1"/>
  <c r="B2020" i="1"/>
  <c r="A2020" i="1"/>
  <c r="H2019" i="1"/>
  <c r="G2019" i="1"/>
  <c r="E2019" i="1"/>
  <c r="B2019" i="1"/>
  <c r="A2019" i="1"/>
  <c r="H2018" i="1"/>
  <c r="G2018" i="1"/>
  <c r="E2018" i="1"/>
  <c r="B2018" i="1"/>
  <c r="A2018" i="1"/>
  <c r="H2017" i="1"/>
  <c r="G2017" i="1"/>
  <c r="E2017" i="1"/>
  <c r="B2017" i="1"/>
  <c r="A2017" i="1"/>
  <c r="H2016" i="1"/>
  <c r="G2016" i="1"/>
  <c r="E2016" i="1"/>
  <c r="B2016" i="1"/>
  <c r="A2016" i="1"/>
  <c r="H2015" i="1"/>
  <c r="G2015" i="1"/>
  <c r="E2015" i="1"/>
  <c r="B2015" i="1"/>
  <c r="A2015" i="1"/>
  <c r="H2014" i="1"/>
  <c r="G2014" i="1"/>
  <c r="E2014" i="1"/>
  <c r="B2014" i="1"/>
  <c r="A2014" i="1"/>
  <c r="H2013" i="1"/>
  <c r="G2013" i="1"/>
  <c r="E2013" i="1"/>
  <c r="B2013" i="1"/>
  <c r="A2013" i="1"/>
  <c r="H2012" i="1"/>
  <c r="G2012" i="1"/>
  <c r="B2012" i="1"/>
  <c r="A2012" i="1"/>
  <c r="H2011" i="1"/>
  <c r="G2011" i="1"/>
  <c r="B2011" i="1"/>
  <c r="A2011" i="1"/>
  <c r="H2010" i="1"/>
  <c r="G2010" i="1"/>
  <c r="E2010" i="1"/>
  <c r="B2010" i="1"/>
  <c r="A2010" i="1"/>
  <c r="H2009" i="1"/>
  <c r="G2009" i="1"/>
  <c r="B2009" i="1"/>
  <c r="A2009" i="1"/>
  <c r="H2008" i="1"/>
  <c r="G2008" i="1"/>
  <c r="E2008" i="1"/>
  <c r="B2008" i="1"/>
  <c r="A2008" i="1"/>
  <c r="H2007" i="1"/>
  <c r="G2007" i="1"/>
  <c r="E2007" i="1"/>
  <c r="B2007" i="1"/>
  <c r="A2007" i="1"/>
  <c r="H2006" i="1"/>
  <c r="G2006" i="1"/>
  <c r="E2006" i="1"/>
  <c r="B2006" i="1"/>
  <c r="A2006" i="1"/>
  <c r="H2005" i="1"/>
  <c r="G2005" i="1"/>
  <c r="E2005" i="1"/>
  <c r="B2005" i="1"/>
  <c r="A2005" i="1"/>
  <c r="H2004" i="1"/>
  <c r="G2004" i="1"/>
  <c r="E2004" i="1"/>
  <c r="B2004" i="1"/>
  <c r="A2004" i="1"/>
  <c r="H2003" i="1"/>
  <c r="G2003" i="1"/>
  <c r="E2003" i="1"/>
  <c r="B2003" i="1"/>
  <c r="A2003" i="1"/>
  <c r="H2002" i="1"/>
  <c r="G2002" i="1"/>
  <c r="E2002" i="1"/>
  <c r="B2002" i="1"/>
  <c r="A2002" i="1"/>
  <c r="H2001" i="1"/>
  <c r="G2001" i="1"/>
  <c r="E2001" i="1"/>
  <c r="B2001" i="1"/>
  <c r="A2001" i="1"/>
  <c r="H2000" i="1"/>
  <c r="G2000" i="1"/>
  <c r="B2000" i="1"/>
  <c r="A2000" i="1"/>
  <c r="H1999" i="1"/>
  <c r="G1999" i="1"/>
  <c r="B1999" i="1"/>
  <c r="A1999" i="1"/>
  <c r="H1998" i="1"/>
  <c r="G1998" i="1"/>
  <c r="B1998" i="1"/>
  <c r="A1998" i="1"/>
  <c r="H1997" i="1"/>
  <c r="G1997" i="1"/>
  <c r="E1997" i="1"/>
  <c r="B1997" i="1"/>
  <c r="A1997" i="1"/>
  <c r="H1996" i="1"/>
  <c r="G1996" i="1"/>
  <c r="E1996" i="1"/>
  <c r="B1996" i="1"/>
  <c r="A1996" i="1"/>
  <c r="H1995" i="1"/>
  <c r="G1995" i="1"/>
  <c r="E1995" i="1"/>
  <c r="B1995" i="1"/>
  <c r="A1995" i="1"/>
  <c r="H1994" i="1"/>
  <c r="G1994" i="1"/>
  <c r="E1994" i="1"/>
  <c r="B1994" i="1"/>
  <c r="A1994" i="1"/>
  <c r="H1993" i="1"/>
  <c r="G1993" i="1"/>
  <c r="E1993" i="1"/>
  <c r="B1993" i="1"/>
  <c r="A1993" i="1"/>
  <c r="H1992" i="1"/>
  <c r="G1992" i="1"/>
  <c r="E1992" i="1"/>
  <c r="B1992" i="1"/>
  <c r="A1992" i="1"/>
  <c r="H1991" i="1"/>
  <c r="G1991" i="1"/>
  <c r="E1991" i="1"/>
  <c r="B1991" i="1"/>
  <c r="A1991" i="1"/>
  <c r="H1990" i="1"/>
  <c r="G1990" i="1"/>
  <c r="E1990" i="1"/>
  <c r="B1990" i="1"/>
  <c r="A1990" i="1"/>
  <c r="H1989" i="1"/>
  <c r="G1989" i="1"/>
  <c r="E1989" i="1"/>
  <c r="B1989" i="1"/>
  <c r="A1989" i="1"/>
  <c r="H1988" i="1"/>
  <c r="G1988" i="1"/>
  <c r="E1988" i="1"/>
  <c r="B1988" i="1"/>
  <c r="A1988" i="1"/>
  <c r="H1987" i="1"/>
  <c r="G1987" i="1"/>
  <c r="E1987" i="1"/>
  <c r="B1987" i="1"/>
  <c r="A1987" i="1"/>
  <c r="H1986" i="1"/>
  <c r="G1986" i="1"/>
  <c r="E1986" i="1"/>
  <c r="B1986" i="1"/>
  <c r="A1986" i="1"/>
  <c r="H1985" i="1"/>
  <c r="G1985" i="1"/>
  <c r="E1985" i="1"/>
  <c r="B1985" i="1"/>
  <c r="A1985" i="1"/>
  <c r="H1984" i="1"/>
  <c r="G1984" i="1"/>
  <c r="E1984" i="1"/>
  <c r="B1984" i="1"/>
  <c r="A1984" i="1"/>
  <c r="H1983" i="1"/>
  <c r="G1983" i="1"/>
  <c r="E1983" i="1"/>
  <c r="B1983" i="1"/>
  <c r="A1983" i="1"/>
  <c r="H1982" i="1"/>
  <c r="G1982" i="1"/>
  <c r="E1982" i="1"/>
  <c r="B1982" i="1"/>
  <c r="A1982" i="1"/>
  <c r="H1981" i="1"/>
  <c r="G1981" i="1"/>
  <c r="E1981" i="1"/>
  <c r="B1981" i="1"/>
  <c r="A1981" i="1"/>
  <c r="H1980" i="1"/>
  <c r="G1980" i="1"/>
  <c r="E1980" i="1"/>
  <c r="B1980" i="1"/>
  <c r="A1980" i="1"/>
  <c r="H1979" i="1"/>
  <c r="G1979" i="1"/>
  <c r="E1979" i="1"/>
  <c r="B1979" i="1"/>
  <c r="A1979" i="1"/>
  <c r="H1978" i="1"/>
  <c r="G1978" i="1"/>
  <c r="E1978" i="1"/>
  <c r="B1978" i="1"/>
  <c r="A1978" i="1"/>
  <c r="H1977" i="1"/>
  <c r="G1977" i="1"/>
  <c r="E1977" i="1"/>
  <c r="B1977" i="1"/>
  <c r="A1977" i="1"/>
  <c r="H1976" i="1"/>
  <c r="G1976" i="1"/>
  <c r="E1976" i="1"/>
  <c r="B1976" i="1"/>
  <c r="A1976" i="1"/>
  <c r="H1975" i="1"/>
  <c r="G1975" i="1"/>
  <c r="E1975" i="1"/>
  <c r="B1975" i="1"/>
  <c r="A1975" i="1"/>
  <c r="H1974" i="1"/>
  <c r="G1974" i="1"/>
  <c r="E1974" i="1"/>
  <c r="B1974" i="1"/>
  <c r="A1974" i="1"/>
  <c r="H1973" i="1"/>
  <c r="G1973" i="1"/>
  <c r="E1973" i="1"/>
  <c r="B1973" i="1"/>
  <c r="A1973" i="1"/>
  <c r="H1972" i="1"/>
  <c r="G1972" i="1"/>
  <c r="E1972" i="1"/>
  <c r="B1972" i="1"/>
  <c r="A1972" i="1"/>
  <c r="H1971" i="1"/>
  <c r="G1971" i="1"/>
  <c r="E1971" i="1"/>
  <c r="B1971" i="1"/>
  <c r="A1971" i="1"/>
  <c r="H1970" i="1"/>
  <c r="G1970" i="1"/>
  <c r="E1970" i="1"/>
  <c r="B1970" i="1"/>
  <c r="A1970" i="1"/>
  <c r="H1969" i="1"/>
  <c r="G1969" i="1"/>
  <c r="E1969" i="1"/>
  <c r="B1969" i="1"/>
  <c r="A1969" i="1"/>
  <c r="H1968" i="1"/>
  <c r="G1968" i="1"/>
  <c r="E1968" i="1"/>
  <c r="B1968" i="1"/>
  <c r="A1968" i="1"/>
  <c r="H1967" i="1"/>
  <c r="G1967" i="1"/>
  <c r="E1967" i="1"/>
  <c r="B1967" i="1"/>
  <c r="A1967" i="1"/>
  <c r="H1966" i="1"/>
  <c r="G1966" i="1"/>
  <c r="E1966" i="1"/>
  <c r="B1966" i="1"/>
  <c r="A1966" i="1"/>
  <c r="H1965" i="1"/>
  <c r="G1965" i="1"/>
  <c r="E1965" i="1"/>
  <c r="B1965" i="1"/>
  <c r="A1965" i="1"/>
  <c r="H1964" i="1"/>
  <c r="G1964" i="1"/>
  <c r="E1964" i="1"/>
  <c r="B1964" i="1"/>
  <c r="A1964" i="1"/>
  <c r="H1963" i="1"/>
  <c r="G1963" i="1"/>
  <c r="E1963" i="1"/>
  <c r="B1963" i="1"/>
  <c r="A1963" i="1"/>
  <c r="H1962" i="1"/>
  <c r="G1962" i="1"/>
  <c r="E1962" i="1"/>
  <c r="B1962" i="1"/>
  <c r="A1962" i="1"/>
  <c r="H1961" i="1"/>
  <c r="G1961" i="1"/>
  <c r="E1961" i="1"/>
  <c r="B1961" i="1"/>
  <c r="A1961" i="1"/>
  <c r="H1960" i="1"/>
  <c r="G1960" i="1"/>
  <c r="E1960" i="1"/>
  <c r="B1960" i="1"/>
  <c r="A1960" i="1"/>
  <c r="H1959" i="1"/>
  <c r="G1959" i="1"/>
  <c r="E1959" i="1"/>
  <c r="B1959" i="1"/>
  <c r="A1959" i="1"/>
  <c r="H1958" i="1"/>
  <c r="G1958" i="1"/>
  <c r="E1958" i="1"/>
  <c r="B1958" i="1"/>
  <c r="A1958" i="1"/>
  <c r="H1957" i="1"/>
  <c r="G1957" i="1"/>
  <c r="E1957" i="1"/>
  <c r="B1957" i="1"/>
  <c r="A1957" i="1"/>
  <c r="H1956" i="1"/>
  <c r="G1956" i="1"/>
  <c r="E1956" i="1"/>
  <c r="B1956" i="1"/>
  <c r="A1956" i="1"/>
  <c r="H1955" i="1"/>
  <c r="G1955" i="1"/>
  <c r="E1955" i="1"/>
  <c r="B1955" i="1"/>
  <c r="A1955" i="1"/>
  <c r="H1954" i="1"/>
  <c r="G1954" i="1"/>
  <c r="E1954" i="1"/>
  <c r="B1954" i="1"/>
  <c r="A1954" i="1"/>
  <c r="H1953" i="1"/>
  <c r="G1953" i="1"/>
  <c r="E1953" i="1"/>
  <c r="B1953" i="1"/>
  <c r="A1953" i="1"/>
  <c r="H1952" i="1"/>
  <c r="G1952" i="1"/>
  <c r="E1952" i="1"/>
  <c r="B1952" i="1"/>
  <c r="A1952" i="1"/>
  <c r="H1951" i="1"/>
  <c r="G1951" i="1"/>
  <c r="E1951" i="1"/>
  <c r="B1951" i="1"/>
  <c r="A1951" i="1"/>
  <c r="H1950" i="1"/>
  <c r="G1950" i="1"/>
  <c r="E1950" i="1"/>
  <c r="B1950" i="1"/>
  <c r="A1950" i="1"/>
  <c r="H1949" i="1"/>
  <c r="G1949" i="1"/>
  <c r="E1949" i="1"/>
  <c r="B1949" i="1"/>
  <c r="A1949" i="1"/>
  <c r="H1948" i="1"/>
  <c r="G1948" i="1"/>
  <c r="E1948" i="1"/>
  <c r="B1948" i="1"/>
  <c r="A1948" i="1"/>
  <c r="H1947" i="1"/>
  <c r="G1947" i="1"/>
  <c r="E1947" i="1"/>
  <c r="B1947" i="1"/>
  <c r="A1947" i="1"/>
  <c r="H1946" i="1"/>
  <c r="G1946" i="1"/>
  <c r="E1946" i="1"/>
  <c r="B1946" i="1"/>
  <c r="A1946" i="1"/>
  <c r="H1945" i="1"/>
  <c r="G1945" i="1"/>
  <c r="E1945" i="1"/>
  <c r="B1945" i="1"/>
  <c r="A1945" i="1"/>
  <c r="H1944" i="1"/>
  <c r="G1944" i="1"/>
  <c r="E1944" i="1"/>
  <c r="B1944" i="1"/>
  <c r="A1944" i="1"/>
  <c r="H1943" i="1"/>
  <c r="G1943" i="1"/>
  <c r="E1943" i="1"/>
  <c r="B1943" i="1"/>
  <c r="A1943" i="1"/>
  <c r="H1942" i="1"/>
  <c r="G1942" i="1"/>
  <c r="E1942" i="1"/>
  <c r="B1942" i="1"/>
  <c r="A1942" i="1"/>
  <c r="H1941" i="1"/>
  <c r="G1941" i="1"/>
  <c r="E1941" i="1"/>
  <c r="B1941" i="1"/>
  <c r="A1941" i="1"/>
  <c r="H1940" i="1"/>
  <c r="G1940" i="1"/>
  <c r="E1940" i="1"/>
  <c r="B1940" i="1"/>
  <c r="A1940" i="1"/>
  <c r="H1939" i="1"/>
  <c r="G1939" i="1"/>
  <c r="E1939" i="1"/>
  <c r="B1939" i="1"/>
  <c r="A1939" i="1"/>
  <c r="H1938" i="1"/>
  <c r="G1938" i="1"/>
  <c r="E1938" i="1"/>
  <c r="B1938" i="1"/>
  <c r="A1938" i="1"/>
  <c r="H1937" i="1"/>
  <c r="G1937" i="1"/>
  <c r="E1937" i="1"/>
  <c r="B1937" i="1"/>
  <c r="A1937" i="1"/>
  <c r="H1936" i="1"/>
  <c r="G1936" i="1"/>
  <c r="E1936" i="1"/>
  <c r="B1936" i="1"/>
  <c r="A1936" i="1"/>
  <c r="H1935" i="1"/>
  <c r="G1935" i="1"/>
  <c r="E1935" i="1"/>
  <c r="B1935" i="1"/>
  <c r="A1935" i="1"/>
  <c r="H1934" i="1"/>
  <c r="G1934" i="1"/>
  <c r="E1934" i="1"/>
  <c r="B1934" i="1"/>
  <c r="A1934" i="1"/>
  <c r="H1933" i="1"/>
  <c r="G1933" i="1"/>
  <c r="E1933" i="1"/>
  <c r="B1933" i="1"/>
  <c r="A1933" i="1"/>
  <c r="H1932" i="1"/>
  <c r="G1932" i="1"/>
  <c r="E1932" i="1"/>
  <c r="B1932" i="1"/>
  <c r="A1932" i="1"/>
  <c r="H1931" i="1"/>
  <c r="G1931" i="1"/>
  <c r="E1931" i="1"/>
  <c r="B1931" i="1"/>
  <c r="A1931" i="1"/>
  <c r="H1930" i="1"/>
  <c r="G1930" i="1"/>
  <c r="E1930" i="1"/>
  <c r="B1930" i="1"/>
  <c r="A1930" i="1"/>
  <c r="H1929" i="1"/>
  <c r="G1929" i="1"/>
  <c r="E1929" i="1"/>
  <c r="B1929" i="1"/>
  <c r="A1929" i="1"/>
  <c r="H1928" i="1"/>
  <c r="G1928" i="1"/>
  <c r="E1928" i="1"/>
  <c r="B1928" i="1"/>
  <c r="A1928" i="1"/>
  <c r="H1927" i="1"/>
  <c r="G1927" i="1"/>
  <c r="E1927" i="1"/>
  <c r="B1927" i="1"/>
  <c r="A1927" i="1"/>
  <c r="H1926" i="1"/>
  <c r="G1926" i="1"/>
  <c r="E1926" i="1"/>
  <c r="B1926" i="1"/>
  <c r="A1926" i="1"/>
  <c r="H1925" i="1"/>
  <c r="G1925" i="1"/>
  <c r="E1925" i="1"/>
  <c r="B1925" i="1"/>
  <c r="A1925" i="1"/>
  <c r="H1924" i="1"/>
  <c r="G1924" i="1"/>
  <c r="E1924" i="1"/>
  <c r="B1924" i="1"/>
  <c r="A1924" i="1"/>
  <c r="H1923" i="1"/>
  <c r="G1923" i="1"/>
  <c r="E1923" i="1"/>
  <c r="B1923" i="1"/>
  <c r="A1923" i="1"/>
  <c r="H1922" i="1"/>
  <c r="G1922" i="1"/>
  <c r="E1922" i="1"/>
  <c r="B1922" i="1"/>
  <c r="A1922" i="1"/>
  <c r="H1921" i="1"/>
  <c r="G1921" i="1"/>
  <c r="E1921" i="1"/>
  <c r="B1921" i="1"/>
  <c r="A1921" i="1"/>
  <c r="H1920" i="1"/>
  <c r="G1920" i="1"/>
  <c r="E1920" i="1"/>
  <c r="B1920" i="1"/>
  <c r="A1920" i="1"/>
  <c r="H1919" i="1"/>
  <c r="G1919" i="1"/>
  <c r="E1919" i="1"/>
  <c r="B1919" i="1"/>
  <c r="A1919" i="1"/>
  <c r="H1918" i="1"/>
  <c r="G1918" i="1"/>
  <c r="E1918" i="1"/>
  <c r="B1918" i="1"/>
  <c r="A1918" i="1"/>
  <c r="H1917" i="1"/>
  <c r="G1917" i="1"/>
  <c r="E1917" i="1"/>
  <c r="B1917" i="1"/>
  <c r="A1917" i="1"/>
  <c r="H1916" i="1"/>
  <c r="G1916" i="1"/>
  <c r="E1916" i="1"/>
  <c r="B1916" i="1"/>
  <c r="A1916" i="1"/>
  <c r="H1915" i="1"/>
  <c r="G1915" i="1"/>
  <c r="E1915" i="1"/>
  <c r="B1915" i="1"/>
  <c r="A1915" i="1"/>
  <c r="H1914" i="1"/>
  <c r="G1914" i="1"/>
  <c r="E1914" i="1"/>
  <c r="B1914" i="1"/>
  <c r="A1914" i="1"/>
  <c r="H1913" i="1"/>
  <c r="G1913" i="1"/>
  <c r="E1913" i="1"/>
  <c r="B1913" i="1"/>
  <c r="A1913" i="1"/>
  <c r="H1912" i="1"/>
  <c r="G1912" i="1"/>
  <c r="E1912" i="1"/>
  <c r="B1912" i="1"/>
  <c r="A1912" i="1"/>
  <c r="H1911" i="1"/>
  <c r="G1911" i="1"/>
  <c r="E1911" i="1"/>
  <c r="B1911" i="1"/>
  <c r="A1911" i="1"/>
  <c r="H1910" i="1"/>
  <c r="G1910" i="1"/>
  <c r="E1910" i="1"/>
  <c r="B1910" i="1"/>
  <c r="A1910" i="1"/>
  <c r="H1909" i="1"/>
  <c r="G1909" i="1"/>
  <c r="E1909" i="1"/>
  <c r="B1909" i="1"/>
  <c r="A1909" i="1"/>
  <c r="H1908" i="1"/>
  <c r="G1908" i="1"/>
  <c r="E1908" i="1"/>
  <c r="B1908" i="1"/>
  <c r="A1908" i="1"/>
  <c r="H1907" i="1"/>
  <c r="G1907" i="1"/>
  <c r="E1907" i="1"/>
  <c r="B1907" i="1"/>
  <c r="A1907" i="1"/>
  <c r="H1906" i="1"/>
  <c r="G1906" i="1"/>
  <c r="E1906" i="1"/>
  <c r="B1906" i="1"/>
  <c r="A1906" i="1"/>
  <c r="H1905" i="1"/>
  <c r="G1905" i="1"/>
  <c r="E1905" i="1"/>
  <c r="B1905" i="1"/>
  <c r="A1905" i="1"/>
  <c r="H1904" i="1"/>
  <c r="G1904" i="1"/>
  <c r="E1904" i="1"/>
  <c r="B1904" i="1"/>
  <c r="A1904" i="1"/>
  <c r="H1903" i="1"/>
  <c r="G1903" i="1"/>
  <c r="E1903" i="1"/>
  <c r="B1903" i="1"/>
  <c r="A1903" i="1"/>
  <c r="H1902" i="1"/>
  <c r="G1902" i="1"/>
  <c r="E1902" i="1"/>
  <c r="B1902" i="1"/>
  <c r="A1902" i="1"/>
  <c r="H1901" i="1"/>
  <c r="G1901" i="1"/>
  <c r="E1901" i="1"/>
  <c r="B1901" i="1"/>
  <c r="A1901" i="1"/>
  <c r="H1900" i="1"/>
  <c r="G1900" i="1"/>
  <c r="E1900" i="1"/>
  <c r="B1900" i="1"/>
  <c r="A1900" i="1"/>
  <c r="H1899" i="1"/>
  <c r="G1899" i="1"/>
  <c r="E1899" i="1"/>
  <c r="B1899" i="1"/>
  <c r="A1899" i="1"/>
  <c r="H1898" i="1"/>
  <c r="G1898" i="1"/>
  <c r="E1898" i="1"/>
  <c r="B1898" i="1"/>
  <c r="A1898" i="1"/>
  <c r="H1897" i="1"/>
  <c r="G1897" i="1"/>
  <c r="E1897" i="1"/>
  <c r="B1897" i="1"/>
  <c r="A1897" i="1"/>
  <c r="H1896" i="1"/>
  <c r="G1896" i="1"/>
  <c r="E1896" i="1"/>
  <c r="B1896" i="1"/>
  <c r="A1896" i="1"/>
  <c r="H1895" i="1"/>
  <c r="G1895" i="1"/>
  <c r="E1895" i="1"/>
  <c r="B1895" i="1"/>
  <c r="A1895" i="1"/>
  <c r="H1894" i="1"/>
  <c r="G1894" i="1"/>
  <c r="E1894" i="1"/>
  <c r="B1894" i="1"/>
  <c r="A1894" i="1"/>
  <c r="H1893" i="1"/>
  <c r="G1893" i="1"/>
  <c r="E1893" i="1"/>
  <c r="B1893" i="1"/>
  <c r="A1893" i="1"/>
  <c r="H1892" i="1"/>
  <c r="G1892" i="1"/>
  <c r="E1892" i="1"/>
  <c r="B1892" i="1"/>
  <c r="A1892" i="1"/>
  <c r="H1891" i="1"/>
  <c r="G1891" i="1"/>
  <c r="E1891" i="1"/>
  <c r="B1891" i="1"/>
  <c r="A1891" i="1"/>
  <c r="H1890" i="1"/>
  <c r="G1890" i="1"/>
  <c r="E1890" i="1"/>
  <c r="B1890" i="1"/>
  <c r="A1890" i="1"/>
  <c r="H1889" i="1"/>
  <c r="G1889" i="1"/>
  <c r="E1889" i="1"/>
  <c r="B1889" i="1"/>
  <c r="A1889" i="1"/>
  <c r="H1888" i="1"/>
  <c r="G1888" i="1"/>
  <c r="E1888" i="1"/>
  <c r="B1888" i="1"/>
  <c r="A1888" i="1"/>
  <c r="H1887" i="1"/>
  <c r="G1887" i="1"/>
  <c r="E1887" i="1"/>
  <c r="B1887" i="1"/>
  <c r="A1887" i="1"/>
  <c r="H1886" i="1"/>
  <c r="G1886" i="1"/>
  <c r="E1886" i="1"/>
  <c r="B1886" i="1"/>
  <c r="A1886" i="1"/>
  <c r="H1885" i="1"/>
  <c r="G1885" i="1"/>
  <c r="E1885" i="1"/>
  <c r="B1885" i="1"/>
  <c r="A1885" i="1"/>
  <c r="H1884" i="1"/>
  <c r="G1884" i="1"/>
  <c r="E1884" i="1"/>
  <c r="B1884" i="1"/>
  <c r="A1884" i="1"/>
  <c r="H1883" i="1"/>
  <c r="G1883" i="1"/>
  <c r="E1883" i="1"/>
  <c r="B1883" i="1"/>
  <c r="A1883" i="1"/>
  <c r="H1882" i="1"/>
  <c r="G1882" i="1"/>
  <c r="E1882" i="1"/>
  <c r="B1882" i="1"/>
  <c r="A1882" i="1"/>
  <c r="H1881" i="1"/>
  <c r="G1881" i="1"/>
  <c r="E1881" i="1"/>
  <c r="B1881" i="1"/>
  <c r="A1881" i="1"/>
  <c r="H1880" i="1"/>
  <c r="G1880" i="1"/>
  <c r="E1880" i="1"/>
  <c r="B1880" i="1"/>
  <c r="A1880" i="1"/>
  <c r="H1879" i="1"/>
  <c r="G1879" i="1"/>
  <c r="E1879" i="1"/>
  <c r="B1879" i="1"/>
  <c r="A1879" i="1"/>
  <c r="H1878" i="1"/>
  <c r="G1878" i="1"/>
  <c r="E1878" i="1"/>
  <c r="B1878" i="1"/>
  <c r="A1878" i="1"/>
  <c r="H1877" i="1"/>
  <c r="G1877" i="1"/>
  <c r="E1877" i="1"/>
  <c r="B1877" i="1"/>
  <c r="A1877" i="1"/>
  <c r="H1876" i="1"/>
  <c r="G1876" i="1"/>
  <c r="E1876" i="1"/>
  <c r="B1876" i="1"/>
  <c r="A1876" i="1"/>
  <c r="H1875" i="1"/>
  <c r="G1875" i="1"/>
  <c r="E1875" i="1"/>
  <c r="B1875" i="1"/>
  <c r="A1875" i="1"/>
  <c r="H1874" i="1"/>
  <c r="G1874" i="1"/>
  <c r="E1874" i="1"/>
  <c r="B1874" i="1"/>
  <c r="A1874" i="1"/>
  <c r="H1873" i="1"/>
  <c r="G1873" i="1"/>
  <c r="E1873" i="1"/>
  <c r="B1873" i="1"/>
  <c r="A1873" i="1"/>
  <c r="H1872" i="1"/>
  <c r="G1872" i="1"/>
  <c r="E1872" i="1"/>
  <c r="B1872" i="1"/>
  <c r="A1872" i="1"/>
  <c r="H1871" i="1"/>
  <c r="G1871" i="1"/>
  <c r="E1871" i="1"/>
  <c r="B1871" i="1"/>
  <c r="A1871" i="1"/>
  <c r="H1870" i="1"/>
  <c r="G1870" i="1"/>
  <c r="E1870" i="1"/>
  <c r="B1870" i="1"/>
  <c r="A1870" i="1"/>
  <c r="H1869" i="1"/>
  <c r="G1869" i="1"/>
  <c r="E1869" i="1"/>
  <c r="B1869" i="1"/>
  <c r="A1869" i="1"/>
  <c r="H1868" i="1"/>
  <c r="G1868" i="1"/>
  <c r="E1868" i="1"/>
  <c r="B1868" i="1"/>
  <c r="A1868" i="1"/>
  <c r="H1867" i="1"/>
  <c r="G1867" i="1"/>
  <c r="E1867" i="1"/>
  <c r="B1867" i="1"/>
  <c r="A1867" i="1"/>
  <c r="H1866" i="1"/>
  <c r="G1866" i="1"/>
  <c r="E1866" i="1"/>
  <c r="B1866" i="1"/>
  <c r="A1866" i="1"/>
  <c r="H1865" i="1"/>
  <c r="G1865" i="1"/>
  <c r="E1865" i="1"/>
  <c r="B1865" i="1"/>
  <c r="A1865" i="1"/>
  <c r="H1864" i="1"/>
  <c r="G1864" i="1"/>
  <c r="E1864" i="1"/>
  <c r="B1864" i="1"/>
  <c r="A1864" i="1"/>
  <c r="H1863" i="1"/>
  <c r="G1863" i="1"/>
  <c r="E1863" i="1"/>
  <c r="B1863" i="1"/>
  <c r="A1863" i="1"/>
  <c r="H1862" i="1"/>
  <c r="G1862" i="1"/>
  <c r="E1862" i="1"/>
  <c r="B1862" i="1"/>
  <c r="A1862" i="1"/>
  <c r="H1861" i="1"/>
  <c r="G1861" i="1"/>
  <c r="E1861" i="1"/>
  <c r="B1861" i="1"/>
  <c r="A1861" i="1"/>
  <c r="H1860" i="1"/>
  <c r="G1860" i="1"/>
  <c r="E1860" i="1"/>
  <c r="B1860" i="1"/>
  <c r="A1860" i="1"/>
  <c r="H1859" i="1"/>
  <c r="G1859" i="1"/>
  <c r="E1859" i="1"/>
  <c r="B1859" i="1"/>
  <c r="A1859" i="1"/>
  <c r="H1858" i="1"/>
  <c r="G1858" i="1"/>
  <c r="E1858" i="1"/>
  <c r="B1858" i="1"/>
  <c r="A1858" i="1"/>
  <c r="H1857" i="1"/>
  <c r="G1857" i="1"/>
  <c r="E1857" i="1"/>
  <c r="B1857" i="1"/>
  <c r="A1857" i="1"/>
  <c r="H1856" i="1"/>
  <c r="G1856" i="1"/>
  <c r="E1856" i="1"/>
  <c r="B1856" i="1"/>
  <c r="A1856" i="1"/>
  <c r="H1855" i="1"/>
  <c r="G1855" i="1"/>
  <c r="E1855" i="1"/>
  <c r="B1855" i="1"/>
  <c r="A1855" i="1"/>
  <c r="H1854" i="1"/>
  <c r="G1854" i="1"/>
  <c r="E1854" i="1"/>
  <c r="B1854" i="1"/>
  <c r="A1854" i="1"/>
  <c r="H1853" i="1"/>
  <c r="G1853" i="1"/>
  <c r="E1853" i="1"/>
  <c r="B1853" i="1"/>
  <c r="A1853" i="1"/>
  <c r="H1852" i="1"/>
  <c r="G1852" i="1"/>
  <c r="E1852" i="1"/>
  <c r="B1852" i="1"/>
  <c r="A1852" i="1"/>
  <c r="H1851" i="1"/>
  <c r="G1851" i="1"/>
  <c r="E1851" i="1"/>
  <c r="B1851" i="1"/>
  <c r="A1851" i="1"/>
  <c r="H1850" i="1"/>
  <c r="G1850" i="1"/>
  <c r="E1850" i="1"/>
  <c r="B1850" i="1"/>
  <c r="A1850" i="1"/>
  <c r="H1849" i="1"/>
  <c r="G1849" i="1"/>
  <c r="E1849" i="1"/>
  <c r="B1849" i="1"/>
  <c r="A1849" i="1"/>
  <c r="H1848" i="1"/>
  <c r="G1848" i="1"/>
  <c r="E1848" i="1"/>
  <c r="B1848" i="1"/>
  <c r="A1848" i="1"/>
  <c r="H1847" i="1"/>
  <c r="G1847" i="1"/>
  <c r="E1847" i="1"/>
  <c r="B1847" i="1"/>
  <c r="A1847" i="1"/>
  <c r="H1846" i="1"/>
  <c r="G1846" i="1"/>
  <c r="E1846" i="1"/>
  <c r="B1846" i="1"/>
  <c r="A1846" i="1"/>
  <c r="H1845" i="1"/>
  <c r="G1845" i="1"/>
  <c r="E1845" i="1"/>
  <c r="B1845" i="1"/>
  <c r="A1845" i="1"/>
  <c r="H1844" i="1"/>
  <c r="G1844" i="1"/>
  <c r="E1844" i="1"/>
  <c r="B1844" i="1"/>
  <c r="A1844" i="1"/>
  <c r="H1843" i="1"/>
  <c r="G1843" i="1"/>
  <c r="E1843" i="1"/>
  <c r="B1843" i="1"/>
  <c r="A1843" i="1"/>
  <c r="H1842" i="1"/>
  <c r="G1842" i="1"/>
  <c r="E1842" i="1"/>
  <c r="B1842" i="1"/>
  <c r="A1842" i="1"/>
  <c r="H1841" i="1"/>
  <c r="G1841" i="1"/>
  <c r="E1841" i="1"/>
  <c r="B1841" i="1"/>
  <c r="A1841" i="1"/>
  <c r="H1840" i="1"/>
  <c r="G1840" i="1"/>
  <c r="E1840" i="1"/>
  <c r="B1840" i="1"/>
  <c r="A1840" i="1"/>
  <c r="H1839" i="1"/>
  <c r="G1839" i="1"/>
  <c r="E1839" i="1"/>
  <c r="B1839" i="1"/>
  <c r="A1839" i="1"/>
  <c r="H1838" i="1"/>
  <c r="G1838" i="1"/>
  <c r="E1838" i="1"/>
  <c r="B1838" i="1"/>
  <c r="A1838" i="1"/>
  <c r="H1837" i="1"/>
  <c r="G1837" i="1"/>
  <c r="E1837" i="1"/>
  <c r="B1837" i="1"/>
  <c r="A1837" i="1"/>
  <c r="H1836" i="1"/>
  <c r="G1836" i="1"/>
  <c r="E1836" i="1"/>
  <c r="B1836" i="1"/>
  <c r="A1836" i="1"/>
  <c r="H1835" i="1"/>
  <c r="G1835" i="1"/>
  <c r="E1835" i="1"/>
  <c r="B1835" i="1"/>
  <c r="A1835" i="1"/>
  <c r="H1834" i="1"/>
  <c r="G1834" i="1"/>
  <c r="E1834" i="1"/>
  <c r="B1834" i="1"/>
  <c r="A1834" i="1"/>
  <c r="H1833" i="1"/>
  <c r="G1833" i="1"/>
  <c r="E1833" i="1"/>
  <c r="B1833" i="1"/>
  <c r="A1833" i="1"/>
  <c r="H1832" i="1"/>
  <c r="G1832" i="1"/>
  <c r="E1832" i="1"/>
  <c r="B1832" i="1"/>
  <c r="A1832" i="1"/>
  <c r="H1831" i="1"/>
  <c r="G1831" i="1"/>
  <c r="E1831" i="1"/>
  <c r="B1831" i="1"/>
  <c r="A1831" i="1"/>
  <c r="H1830" i="1"/>
  <c r="G1830" i="1"/>
  <c r="E1830" i="1"/>
  <c r="B1830" i="1"/>
  <c r="A1830" i="1"/>
  <c r="H1829" i="1"/>
  <c r="G1829" i="1"/>
  <c r="E1829" i="1"/>
  <c r="B1829" i="1"/>
  <c r="A1829" i="1"/>
  <c r="H1828" i="1"/>
  <c r="G1828" i="1"/>
  <c r="E1828" i="1"/>
  <c r="B1828" i="1"/>
  <c r="A1828" i="1"/>
  <c r="H1827" i="1"/>
  <c r="G1827" i="1"/>
  <c r="E1827" i="1"/>
  <c r="B1827" i="1"/>
  <c r="A1827" i="1"/>
  <c r="H1826" i="1"/>
  <c r="G1826" i="1"/>
  <c r="E1826" i="1"/>
  <c r="B1826" i="1"/>
  <c r="A1826" i="1"/>
  <c r="H1825" i="1"/>
  <c r="G1825" i="1"/>
  <c r="E1825" i="1"/>
  <c r="B1825" i="1"/>
  <c r="A1825" i="1"/>
  <c r="H1824" i="1"/>
  <c r="G1824" i="1"/>
  <c r="E1824" i="1"/>
  <c r="B1824" i="1"/>
  <c r="A1824" i="1"/>
  <c r="H1823" i="1"/>
  <c r="G1823" i="1"/>
  <c r="E1823" i="1"/>
  <c r="B1823" i="1"/>
  <c r="A1823" i="1"/>
  <c r="H1822" i="1"/>
  <c r="G1822" i="1"/>
  <c r="E1822" i="1"/>
  <c r="B1822" i="1"/>
  <c r="A1822" i="1"/>
  <c r="H1821" i="1"/>
  <c r="G1821" i="1"/>
  <c r="E1821" i="1"/>
  <c r="B1821" i="1"/>
  <c r="A1821" i="1"/>
  <c r="H1820" i="1"/>
  <c r="G1820" i="1"/>
  <c r="E1820" i="1"/>
  <c r="B1820" i="1"/>
  <c r="A1820" i="1"/>
  <c r="H1819" i="1"/>
  <c r="G1819" i="1"/>
  <c r="E1819" i="1"/>
  <c r="B1819" i="1"/>
  <c r="A1819" i="1"/>
  <c r="H1818" i="1"/>
  <c r="G1818" i="1"/>
  <c r="E1818" i="1"/>
  <c r="B1818" i="1"/>
  <c r="A1818" i="1"/>
  <c r="H1817" i="1"/>
  <c r="G1817" i="1"/>
  <c r="E1817" i="1"/>
  <c r="B1817" i="1"/>
  <c r="A1817" i="1"/>
  <c r="H1816" i="1"/>
  <c r="G1816" i="1"/>
  <c r="E1816" i="1"/>
  <c r="B1816" i="1"/>
  <c r="A1816" i="1"/>
  <c r="H1815" i="1"/>
  <c r="G1815" i="1"/>
  <c r="E1815" i="1"/>
  <c r="B1815" i="1"/>
  <c r="A1815" i="1"/>
  <c r="H1814" i="1"/>
  <c r="G1814" i="1"/>
  <c r="E1814" i="1"/>
  <c r="B1814" i="1"/>
  <c r="A1814" i="1"/>
  <c r="H1813" i="1"/>
  <c r="G1813" i="1"/>
  <c r="E1813" i="1"/>
  <c r="B1813" i="1"/>
  <c r="A1813" i="1"/>
  <c r="H1812" i="1"/>
  <c r="G1812" i="1"/>
  <c r="E1812" i="1"/>
  <c r="B1812" i="1"/>
  <c r="A1812" i="1"/>
  <c r="H1811" i="1"/>
  <c r="G1811" i="1"/>
  <c r="E1811" i="1"/>
  <c r="B1811" i="1"/>
  <c r="A1811" i="1"/>
  <c r="H1810" i="1"/>
  <c r="G1810" i="1"/>
  <c r="E1810" i="1"/>
  <c r="B1810" i="1"/>
  <c r="A1810" i="1"/>
  <c r="H1809" i="1"/>
  <c r="G1809" i="1"/>
  <c r="E1809" i="1"/>
  <c r="B1809" i="1"/>
  <c r="A1809" i="1"/>
  <c r="H1808" i="1"/>
  <c r="G1808" i="1"/>
  <c r="E1808" i="1"/>
  <c r="B1808" i="1"/>
  <c r="A1808" i="1"/>
  <c r="H1807" i="1"/>
  <c r="G1807" i="1"/>
  <c r="E1807" i="1"/>
  <c r="B1807" i="1"/>
  <c r="A1807" i="1"/>
  <c r="H1806" i="1"/>
  <c r="G1806" i="1"/>
  <c r="E1806" i="1"/>
  <c r="B1806" i="1"/>
  <c r="A1806" i="1"/>
  <c r="H1805" i="1"/>
  <c r="G1805" i="1"/>
  <c r="E1805" i="1"/>
  <c r="B1805" i="1"/>
  <c r="A1805" i="1"/>
  <c r="H1804" i="1"/>
  <c r="G1804" i="1"/>
  <c r="E1804" i="1"/>
  <c r="B1804" i="1"/>
  <c r="A1804" i="1"/>
  <c r="H1803" i="1"/>
  <c r="G1803" i="1"/>
  <c r="E1803" i="1"/>
  <c r="B1803" i="1"/>
  <c r="A1803" i="1"/>
  <c r="H1802" i="1"/>
  <c r="G1802" i="1"/>
  <c r="E1802" i="1"/>
  <c r="B1802" i="1"/>
  <c r="A1802" i="1"/>
  <c r="H1801" i="1"/>
  <c r="G1801" i="1"/>
  <c r="E1801" i="1"/>
  <c r="B1801" i="1"/>
  <c r="A1801" i="1"/>
  <c r="H1800" i="1"/>
  <c r="G1800" i="1"/>
  <c r="E1800" i="1"/>
  <c r="B1800" i="1"/>
  <c r="A1800" i="1"/>
  <c r="H1799" i="1"/>
  <c r="G1799" i="1"/>
  <c r="E1799" i="1"/>
  <c r="B1799" i="1"/>
  <c r="A1799" i="1"/>
  <c r="H1798" i="1"/>
  <c r="G1798" i="1"/>
  <c r="E1798" i="1"/>
  <c r="B1798" i="1"/>
  <c r="A1798" i="1"/>
  <c r="H1797" i="1"/>
  <c r="G1797" i="1"/>
  <c r="E1797" i="1"/>
  <c r="B1797" i="1"/>
  <c r="A1797" i="1"/>
  <c r="H1796" i="1"/>
  <c r="G1796" i="1"/>
  <c r="B1796" i="1"/>
  <c r="A1796" i="1"/>
  <c r="H1795" i="1"/>
  <c r="G1795" i="1"/>
  <c r="E1795" i="1"/>
  <c r="B1795" i="1"/>
  <c r="A1795" i="1"/>
  <c r="H1794" i="1"/>
  <c r="G1794" i="1"/>
  <c r="E1794" i="1"/>
  <c r="B1794" i="1"/>
  <c r="A1794" i="1"/>
  <c r="H1793" i="1"/>
  <c r="G1793" i="1"/>
  <c r="E1793" i="1"/>
  <c r="B1793" i="1"/>
  <c r="A1793" i="1"/>
  <c r="H1792" i="1"/>
  <c r="G1792" i="1"/>
  <c r="E1792" i="1"/>
  <c r="B1792" i="1"/>
  <c r="A1792" i="1"/>
  <c r="H1791" i="1"/>
  <c r="G1791" i="1"/>
  <c r="E1791" i="1"/>
  <c r="B1791" i="1"/>
  <c r="A1791" i="1"/>
  <c r="H1790" i="1"/>
  <c r="G1790" i="1"/>
  <c r="E1790" i="1"/>
  <c r="B1790" i="1"/>
  <c r="A1790" i="1"/>
  <c r="H1789" i="1"/>
  <c r="G1789" i="1"/>
  <c r="E1789" i="1"/>
  <c r="B1789" i="1"/>
  <c r="A1789" i="1"/>
  <c r="H1788" i="1"/>
  <c r="G1788" i="1"/>
  <c r="E1788" i="1"/>
  <c r="B1788" i="1"/>
  <c r="A1788" i="1"/>
  <c r="H1787" i="1"/>
  <c r="G1787" i="1"/>
  <c r="B1787" i="1"/>
  <c r="A1787" i="1"/>
  <c r="H1786" i="1"/>
  <c r="G1786" i="1"/>
  <c r="E1786" i="1"/>
  <c r="B1786" i="1"/>
  <c r="A1786" i="1"/>
  <c r="H1785" i="1"/>
  <c r="G1785" i="1"/>
  <c r="B1785" i="1"/>
  <c r="A1785" i="1"/>
  <c r="H1784" i="1"/>
  <c r="G1784" i="1"/>
  <c r="E1784" i="1"/>
  <c r="B1784" i="1"/>
  <c r="A1784" i="1"/>
  <c r="H1783" i="1"/>
  <c r="G1783" i="1"/>
  <c r="E1783" i="1"/>
  <c r="B1783" i="1"/>
  <c r="A1783" i="1"/>
  <c r="H1782" i="1"/>
  <c r="G1782" i="1"/>
  <c r="E1782" i="1"/>
  <c r="B1782" i="1"/>
  <c r="A1782" i="1"/>
  <c r="H1781" i="1"/>
  <c r="G1781" i="1"/>
  <c r="E1781" i="1"/>
  <c r="B1781" i="1"/>
  <c r="A1781" i="1"/>
  <c r="H1780" i="1"/>
  <c r="G1780" i="1"/>
  <c r="E1780" i="1"/>
  <c r="B1780" i="1"/>
  <c r="A1780" i="1"/>
  <c r="H1779" i="1"/>
  <c r="G1779" i="1"/>
  <c r="E1779" i="1"/>
  <c r="B1779" i="1"/>
  <c r="A1779" i="1"/>
  <c r="H1778" i="1"/>
  <c r="G1778" i="1"/>
  <c r="E1778" i="1"/>
  <c r="B1778" i="1"/>
  <c r="A1778" i="1"/>
  <c r="H1777" i="1"/>
  <c r="G1777" i="1"/>
  <c r="E1777" i="1"/>
  <c r="B1777" i="1"/>
  <c r="A1777" i="1"/>
  <c r="H1776" i="1"/>
  <c r="G1776" i="1"/>
  <c r="E1776" i="1"/>
  <c r="B1776" i="1"/>
  <c r="A1776" i="1"/>
  <c r="H1775" i="1"/>
  <c r="G1775" i="1"/>
  <c r="E1775" i="1"/>
  <c r="B1775" i="1"/>
  <c r="A1775" i="1"/>
  <c r="H1774" i="1"/>
  <c r="G1774" i="1"/>
  <c r="E1774" i="1"/>
  <c r="B1774" i="1"/>
  <c r="A1774" i="1"/>
  <c r="H1773" i="1"/>
  <c r="G1773" i="1"/>
  <c r="E1773" i="1"/>
  <c r="B1773" i="1"/>
  <c r="A1773" i="1"/>
  <c r="H1772" i="1"/>
  <c r="G1772" i="1"/>
  <c r="E1772" i="1"/>
  <c r="B1772" i="1"/>
  <c r="A1772" i="1"/>
  <c r="H1771" i="1"/>
  <c r="G1771" i="1"/>
  <c r="E1771" i="1"/>
  <c r="B1771" i="1"/>
  <c r="A1771" i="1"/>
  <c r="H1770" i="1"/>
  <c r="G1770" i="1"/>
  <c r="E1770" i="1"/>
  <c r="B1770" i="1"/>
  <c r="A1770" i="1"/>
  <c r="H1769" i="1"/>
  <c r="G1769" i="1"/>
  <c r="E1769" i="1"/>
  <c r="B1769" i="1"/>
  <c r="A1769" i="1"/>
  <c r="H1768" i="1"/>
  <c r="G1768" i="1"/>
  <c r="E1768" i="1"/>
  <c r="B1768" i="1"/>
  <c r="A1768" i="1"/>
  <c r="H1767" i="1"/>
  <c r="G1767" i="1"/>
  <c r="E1767" i="1"/>
  <c r="B1767" i="1"/>
  <c r="A1767" i="1"/>
  <c r="H1766" i="1"/>
  <c r="G1766" i="1"/>
  <c r="E1766" i="1"/>
  <c r="B1766" i="1"/>
  <c r="A1766" i="1"/>
  <c r="H1765" i="1"/>
  <c r="G1765" i="1"/>
  <c r="E1765" i="1"/>
  <c r="B1765" i="1"/>
  <c r="A1765" i="1"/>
  <c r="H1764" i="1"/>
  <c r="G1764" i="1"/>
  <c r="E1764" i="1"/>
  <c r="B1764" i="1"/>
  <c r="A1764" i="1"/>
  <c r="H1763" i="1"/>
  <c r="G1763" i="1"/>
  <c r="E1763" i="1"/>
  <c r="B1763" i="1"/>
  <c r="A1763" i="1"/>
  <c r="H1762" i="1"/>
  <c r="G1762" i="1"/>
  <c r="E1762" i="1"/>
  <c r="B1762" i="1"/>
  <c r="A1762" i="1"/>
  <c r="H1761" i="1"/>
  <c r="G1761" i="1"/>
  <c r="E1761" i="1"/>
  <c r="B1761" i="1"/>
  <c r="A1761" i="1"/>
  <c r="H1760" i="1"/>
  <c r="G1760" i="1"/>
  <c r="E1760" i="1"/>
  <c r="B1760" i="1"/>
  <c r="A1760" i="1"/>
  <c r="H1759" i="1"/>
  <c r="G1759" i="1"/>
  <c r="E1759" i="1"/>
  <c r="B1759" i="1"/>
  <c r="A1759" i="1"/>
  <c r="H1758" i="1"/>
  <c r="G1758" i="1"/>
  <c r="E1758" i="1"/>
  <c r="B1758" i="1"/>
  <c r="A1758" i="1"/>
  <c r="H1757" i="1"/>
  <c r="G1757" i="1"/>
  <c r="E1757" i="1"/>
  <c r="B1757" i="1"/>
  <c r="A1757" i="1"/>
  <c r="H1756" i="1"/>
  <c r="G1756" i="1"/>
  <c r="E1756" i="1"/>
  <c r="B1756" i="1"/>
  <c r="A1756" i="1"/>
  <c r="H1755" i="1"/>
  <c r="G1755" i="1"/>
  <c r="E1755" i="1"/>
  <c r="B1755" i="1"/>
  <c r="A1755" i="1"/>
  <c r="H1754" i="1"/>
  <c r="G1754" i="1"/>
  <c r="E1754" i="1"/>
  <c r="B1754" i="1"/>
  <c r="A1754" i="1"/>
  <c r="H1753" i="1"/>
  <c r="G1753" i="1"/>
  <c r="E1753" i="1"/>
  <c r="B1753" i="1"/>
  <c r="A1753" i="1"/>
  <c r="H1752" i="1"/>
  <c r="G1752" i="1"/>
  <c r="E1752" i="1"/>
  <c r="B1752" i="1"/>
  <c r="A1752" i="1"/>
  <c r="H1751" i="1"/>
  <c r="G1751" i="1"/>
  <c r="E1751" i="1"/>
  <c r="B1751" i="1"/>
  <c r="A1751" i="1"/>
  <c r="H1750" i="1"/>
  <c r="G1750" i="1"/>
  <c r="E1750" i="1"/>
  <c r="B1750" i="1"/>
  <c r="A1750" i="1"/>
  <c r="H1749" i="1"/>
  <c r="G1749" i="1"/>
  <c r="E1749" i="1"/>
  <c r="B1749" i="1"/>
  <c r="A1749" i="1"/>
  <c r="H1748" i="1"/>
  <c r="G1748" i="1"/>
  <c r="E1748" i="1"/>
  <c r="B1748" i="1"/>
  <c r="A1748" i="1"/>
  <c r="H1747" i="1"/>
  <c r="G1747" i="1"/>
  <c r="E1747" i="1"/>
  <c r="B1747" i="1"/>
  <c r="A1747" i="1"/>
  <c r="H1746" i="1"/>
  <c r="G1746" i="1"/>
  <c r="E1746" i="1"/>
  <c r="B1746" i="1"/>
  <c r="A1746" i="1"/>
  <c r="H1745" i="1"/>
  <c r="G1745" i="1"/>
  <c r="E1745" i="1"/>
  <c r="B1745" i="1"/>
  <c r="A1745" i="1"/>
  <c r="H1744" i="1"/>
  <c r="G1744" i="1"/>
  <c r="E1744" i="1"/>
  <c r="B1744" i="1"/>
  <c r="A1744" i="1"/>
  <c r="H1743" i="1"/>
  <c r="G1743" i="1"/>
  <c r="E1743" i="1"/>
  <c r="B1743" i="1"/>
  <c r="A1743" i="1"/>
  <c r="H1742" i="1"/>
  <c r="G1742" i="1"/>
  <c r="E1742" i="1"/>
  <c r="B1742" i="1"/>
  <c r="A1742" i="1"/>
  <c r="H1741" i="1"/>
  <c r="G1741" i="1"/>
  <c r="E1741" i="1"/>
  <c r="B1741" i="1"/>
  <c r="A1741" i="1"/>
  <c r="H1740" i="1"/>
  <c r="G1740" i="1"/>
  <c r="E1740" i="1"/>
  <c r="B1740" i="1"/>
  <c r="A1740" i="1"/>
  <c r="H1739" i="1"/>
  <c r="G1739" i="1"/>
  <c r="E1739" i="1"/>
  <c r="B1739" i="1"/>
  <c r="A1739" i="1"/>
  <c r="H1738" i="1"/>
  <c r="G1738" i="1"/>
  <c r="E1738" i="1"/>
  <c r="B1738" i="1"/>
  <c r="A1738" i="1"/>
  <c r="H1737" i="1"/>
  <c r="G1737" i="1"/>
  <c r="E1737" i="1"/>
  <c r="B1737" i="1"/>
  <c r="A1737" i="1"/>
  <c r="H1736" i="1"/>
  <c r="G1736" i="1"/>
  <c r="E1736" i="1"/>
  <c r="B1736" i="1"/>
  <c r="A1736" i="1"/>
  <c r="H1735" i="1"/>
  <c r="G1735" i="1"/>
  <c r="E1735" i="1"/>
  <c r="B1735" i="1"/>
  <c r="A1735" i="1"/>
  <c r="H1734" i="1"/>
  <c r="G1734" i="1"/>
  <c r="E1734" i="1"/>
  <c r="B1734" i="1"/>
  <c r="A1734" i="1"/>
  <c r="H1733" i="1"/>
  <c r="G1733" i="1"/>
  <c r="E1733" i="1"/>
  <c r="B1733" i="1"/>
  <c r="A1733" i="1"/>
  <c r="H1732" i="1"/>
  <c r="G1732" i="1"/>
  <c r="E1732" i="1"/>
  <c r="B1732" i="1"/>
  <c r="A1732" i="1"/>
  <c r="H1731" i="1"/>
  <c r="G1731" i="1"/>
  <c r="E1731" i="1"/>
  <c r="B1731" i="1"/>
  <c r="A1731" i="1"/>
  <c r="H1730" i="1"/>
  <c r="G1730" i="1"/>
  <c r="E1730" i="1"/>
  <c r="B1730" i="1"/>
  <c r="A1730" i="1"/>
  <c r="H1729" i="1"/>
  <c r="G1729" i="1"/>
  <c r="E1729" i="1"/>
  <c r="B1729" i="1"/>
  <c r="A1729" i="1"/>
  <c r="H1728" i="1"/>
  <c r="G1728" i="1"/>
  <c r="E1728" i="1"/>
  <c r="B1728" i="1"/>
  <c r="A1728" i="1"/>
  <c r="H1727" i="1"/>
  <c r="G1727" i="1"/>
  <c r="E1727" i="1"/>
  <c r="B1727" i="1"/>
  <c r="A1727" i="1"/>
  <c r="H1726" i="1"/>
  <c r="G1726" i="1"/>
  <c r="E1726" i="1"/>
  <c r="B1726" i="1"/>
  <c r="A1726" i="1"/>
  <c r="H1725" i="1"/>
  <c r="G1725" i="1"/>
  <c r="E1725" i="1"/>
  <c r="B1725" i="1"/>
  <c r="A1725" i="1"/>
  <c r="H1724" i="1"/>
  <c r="G1724" i="1"/>
  <c r="E1724" i="1"/>
  <c r="B1724" i="1"/>
  <c r="A1724" i="1"/>
  <c r="H1723" i="1"/>
  <c r="G1723" i="1"/>
  <c r="E1723" i="1"/>
  <c r="B1723" i="1"/>
  <c r="A1723" i="1"/>
  <c r="H1722" i="1"/>
  <c r="G1722" i="1"/>
  <c r="E1722" i="1"/>
  <c r="B1722" i="1"/>
  <c r="A1722" i="1"/>
  <c r="H1721" i="1"/>
  <c r="G1721" i="1"/>
  <c r="E1721" i="1"/>
  <c r="B1721" i="1"/>
  <c r="A1721" i="1"/>
  <c r="H1720" i="1"/>
  <c r="G1720" i="1"/>
  <c r="E1720" i="1"/>
  <c r="B1720" i="1"/>
  <c r="A1720" i="1"/>
  <c r="H1719" i="1"/>
  <c r="G1719" i="1"/>
  <c r="E1719" i="1"/>
  <c r="B1719" i="1"/>
  <c r="A1719" i="1"/>
  <c r="H1718" i="1"/>
  <c r="G1718" i="1"/>
  <c r="E1718" i="1"/>
  <c r="B1718" i="1"/>
  <c r="A1718" i="1"/>
  <c r="H1717" i="1"/>
  <c r="G1717" i="1"/>
  <c r="E1717" i="1"/>
  <c r="B1717" i="1"/>
  <c r="A1717" i="1"/>
  <c r="H1716" i="1"/>
  <c r="G1716" i="1"/>
  <c r="E1716" i="1"/>
  <c r="B1716" i="1"/>
  <c r="A1716" i="1"/>
  <c r="H1715" i="1"/>
  <c r="G1715" i="1"/>
  <c r="E1715" i="1"/>
  <c r="B1715" i="1"/>
  <c r="A1715" i="1"/>
  <c r="H1714" i="1"/>
  <c r="G1714" i="1"/>
  <c r="E1714" i="1"/>
  <c r="B1714" i="1"/>
  <c r="A1714" i="1"/>
  <c r="H1713" i="1"/>
  <c r="G1713" i="1"/>
  <c r="E1713" i="1"/>
  <c r="B1713" i="1"/>
  <c r="A1713" i="1"/>
  <c r="H1712" i="1"/>
  <c r="G1712" i="1"/>
  <c r="E1712" i="1"/>
  <c r="B1712" i="1"/>
  <c r="A1712" i="1"/>
  <c r="H1711" i="1"/>
  <c r="G1711" i="1"/>
  <c r="E1711" i="1"/>
  <c r="B1711" i="1"/>
  <c r="A1711" i="1"/>
  <c r="H1710" i="1"/>
  <c r="G1710" i="1"/>
  <c r="E1710" i="1"/>
  <c r="B1710" i="1"/>
  <c r="A1710" i="1"/>
  <c r="H1709" i="1"/>
  <c r="G1709" i="1"/>
  <c r="E1709" i="1"/>
  <c r="B1709" i="1"/>
  <c r="A1709" i="1"/>
  <c r="H1708" i="1"/>
  <c r="G1708" i="1"/>
  <c r="E1708" i="1"/>
  <c r="B1708" i="1"/>
  <c r="A1708" i="1"/>
  <c r="H1707" i="1"/>
  <c r="G1707" i="1"/>
  <c r="E1707" i="1"/>
  <c r="B1707" i="1"/>
  <c r="A1707" i="1"/>
  <c r="H1706" i="1"/>
  <c r="G1706" i="1"/>
  <c r="E1706" i="1"/>
  <c r="B1706" i="1"/>
  <c r="A1706" i="1"/>
  <c r="H1705" i="1"/>
  <c r="G1705" i="1"/>
  <c r="E1705" i="1"/>
  <c r="B1705" i="1"/>
  <c r="A1705" i="1"/>
  <c r="H1704" i="1"/>
  <c r="G1704" i="1"/>
  <c r="E1704" i="1"/>
  <c r="B1704" i="1"/>
  <c r="A1704" i="1"/>
  <c r="H1703" i="1"/>
  <c r="G1703" i="1"/>
  <c r="E1703" i="1"/>
  <c r="B1703" i="1"/>
  <c r="A1703" i="1"/>
  <c r="H1702" i="1"/>
  <c r="G1702" i="1"/>
  <c r="E1702" i="1"/>
  <c r="B1702" i="1"/>
  <c r="A1702" i="1"/>
  <c r="H1701" i="1"/>
  <c r="G1701" i="1"/>
  <c r="E1701" i="1"/>
  <c r="B1701" i="1"/>
  <c r="A1701" i="1"/>
  <c r="H1700" i="1"/>
  <c r="G1700" i="1"/>
  <c r="E1700" i="1"/>
  <c r="B1700" i="1"/>
  <c r="A1700" i="1"/>
  <c r="H1699" i="1"/>
  <c r="G1699" i="1"/>
  <c r="E1699" i="1"/>
  <c r="B1699" i="1"/>
  <c r="A1699" i="1"/>
  <c r="H1698" i="1"/>
  <c r="G1698" i="1"/>
  <c r="E1698" i="1"/>
  <c r="B1698" i="1"/>
  <c r="A1698" i="1"/>
  <c r="H1697" i="1"/>
  <c r="G1697" i="1"/>
  <c r="E1697" i="1"/>
  <c r="B1697" i="1"/>
  <c r="A1697" i="1"/>
  <c r="H1696" i="1"/>
  <c r="G1696" i="1"/>
  <c r="E1696" i="1"/>
  <c r="B1696" i="1"/>
  <c r="A1696" i="1"/>
  <c r="H1695" i="1"/>
  <c r="G1695" i="1"/>
  <c r="E1695" i="1"/>
  <c r="B1695" i="1"/>
  <c r="A1695" i="1"/>
  <c r="H1694" i="1"/>
  <c r="G1694" i="1"/>
  <c r="E1694" i="1"/>
  <c r="B1694" i="1"/>
  <c r="A1694" i="1"/>
  <c r="H1693" i="1"/>
  <c r="G1693" i="1"/>
  <c r="E1693" i="1"/>
  <c r="B1693" i="1"/>
  <c r="A1693" i="1"/>
  <c r="H1692" i="1"/>
  <c r="G1692" i="1"/>
  <c r="E1692" i="1"/>
  <c r="B1692" i="1"/>
  <c r="A1692" i="1"/>
  <c r="H1691" i="1"/>
  <c r="G1691" i="1"/>
  <c r="E1691" i="1"/>
  <c r="B1691" i="1"/>
  <c r="A1691" i="1"/>
  <c r="H1690" i="1"/>
  <c r="G1690" i="1"/>
  <c r="E1690" i="1"/>
  <c r="B1690" i="1"/>
  <c r="A1690" i="1"/>
  <c r="H1689" i="1"/>
  <c r="G1689" i="1"/>
  <c r="E1689" i="1"/>
  <c r="B1689" i="1"/>
  <c r="A1689" i="1"/>
  <c r="H1688" i="1"/>
  <c r="G1688" i="1"/>
  <c r="E1688" i="1"/>
  <c r="B1688" i="1"/>
  <c r="A1688" i="1"/>
  <c r="H1687" i="1"/>
  <c r="G1687" i="1"/>
  <c r="E1687" i="1"/>
  <c r="B1687" i="1"/>
  <c r="A1687" i="1"/>
  <c r="H1686" i="1"/>
  <c r="G1686" i="1"/>
  <c r="E1686" i="1"/>
  <c r="B1686" i="1"/>
  <c r="A1686" i="1"/>
  <c r="H1685" i="1"/>
  <c r="G1685" i="1"/>
  <c r="E1685" i="1"/>
  <c r="B1685" i="1"/>
  <c r="A1685" i="1"/>
  <c r="H1684" i="1"/>
  <c r="G1684" i="1"/>
  <c r="E1684" i="1"/>
  <c r="B1684" i="1"/>
  <c r="A1684" i="1"/>
  <c r="H1683" i="1"/>
  <c r="G1683" i="1"/>
  <c r="E1683" i="1"/>
  <c r="B1683" i="1"/>
  <c r="A1683" i="1"/>
  <c r="H1682" i="1"/>
  <c r="G1682" i="1"/>
  <c r="E1682" i="1"/>
  <c r="B1682" i="1"/>
  <c r="A1682" i="1"/>
  <c r="H1681" i="1"/>
  <c r="G1681" i="1"/>
  <c r="E1681" i="1"/>
  <c r="B1681" i="1"/>
  <c r="A1681" i="1"/>
  <c r="H1680" i="1"/>
  <c r="G1680" i="1"/>
  <c r="E1680" i="1"/>
  <c r="B1680" i="1"/>
  <c r="A1680" i="1"/>
  <c r="H1679" i="1"/>
  <c r="G1679" i="1"/>
  <c r="E1679" i="1"/>
  <c r="B1679" i="1"/>
  <c r="A1679" i="1"/>
  <c r="H1678" i="1"/>
  <c r="G1678" i="1"/>
  <c r="E1678" i="1"/>
  <c r="B1678" i="1"/>
  <c r="A1678" i="1"/>
  <c r="H1677" i="1"/>
  <c r="G1677" i="1"/>
  <c r="E1677" i="1"/>
  <c r="B1677" i="1"/>
  <c r="A1677" i="1"/>
  <c r="H1676" i="1"/>
  <c r="G1676" i="1"/>
  <c r="E1676" i="1"/>
  <c r="B1676" i="1"/>
  <c r="A1676" i="1"/>
  <c r="H1675" i="1"/>
  <c r="G1675" i="1"/>
  <c r="E1675" i="1"/>
  <c r="B1675" i="1"/>
  <c r="A1675" i="1"/>
  <c r="H1674" i="1"/>
  <c r="G1674" i="1"/>
  <c r="E1674" i="1"/>
  <c r="B1674" i="1"/>
  <c r="A1674" i="1"/>
  <c r="H1673" i="1"/>
  <c r="G1673" i="1"/>
  <c r="E1673" i="1"/>
  <c r="B1673" i="1"/>
  <c r="A1673" i="1"/>
  <c r="H1672" i="1"/>
  <c r="G1672" i="1"/>
  <c r="E1672" i="1"/>
  <c r="B1672" i="1"/>
  <c r="A1672" i="1"/>
  <c r="H1671" i="1"/>
  <c r="G1671" i="1"/>
  <c r="E1671" i="1"/>
  <c r="B1671" i="1"/>
  <c r="A1671" i="1"/>
  <c r="H1670" i="1"/>
  <c r="G1670" i="1"/>
  <c r="E1670" i="1"/>
  <c r="B1670" i="1"/>
  <c r="A1670" i="1"/>
  <c r="H1669" i="1"/>
  <c r="G1669" i="1"/>
  <c r="E1669" i="1"/>
  <c r="B1669" i="1"/>
  <c r="A1669" i="1"/>
  <c r="H1668" i="1"/>
  <c r="G1668" i="1"/>
  <c r="E1668" i="1"/>
  <c r="B1668" i="1"/>
  <c r="A1668" i="1"/>
  <c r="H1667" i="1"/>
  <c r="G1667" i="1"/>
  <c r="E1667" i="1"/>
  <c r="B1667" i="1"/>
  <c r="A1667" i="1"/>
  <c r="H1666" i="1"/>
  <c r="G1666" i="1"/>
  <c r="E1666" i="1"/>
  <c r="B1666" i="1"/>
  <c r="A1666" i="1"/>
  <c r="H1665" i="1"/>
  <c r="G1665" i="1"/>
  <c r="E1665" i="1"/>
  <c r="B1665" i="1"/>
  <c r="A1665" i="1"/>
  <c r="H1664" i="1"/>
  <c r="G1664" i="1"/>
  <c r="E1664" i="1"/>
  <c r="B1664" i="1"/>
  <c r="A1664" i="1"/>
  <c r="H1663" i="1"/>
  <c r="G1663" i="1"/>
  <c r="E1663" i="1"/>
  <c r="B1663" i="1"/>
  <c r="A1663" i="1"/>
  <c r="H1662" i="1"/>
  <c r="G1662" i="1"/>
  <c r="E1662" i="1"/>
  <c r="B1662" i="1"/>
  <c r="A1662" i="1"/>
  <c r="H1661" i="1"/>
  <c r="G1661" i="1"/>
  <c r="E1661" i="1"/>
  <c r="B1661" i="1"/>
  <c r="A1661" i="1"/>
  <c r="H1660" i="1"/>
  <c r="G1660" i="1"/>
  <c r="E1660" i="1"/>
  <c r="B1660" i="1"/>
  <c r="A1660" i="1"/>
  <c r="H1659" i="1"/>
  <c r="G1659" i="1"/>
  <c r="E1659" i="1"/>
  <c r="B1659" i="1"/>
  <c r="A1659" i="1"/>
  <c r="H1658" i="1"/>
  <c r="G1658" i="1"/>
  <c r="E1658" i="1"/>
  <c r="B1658" i="1"/>
  <c r="A1658" i="1"/>
  <c r="H1657" i="1"/>
  <c r="G1657" i="1"/>
  <c r="E1657" i="1"/>
  <c r="B1657" i="1"/>
  <c r="A1657" i="1"/>
  <c r="H1656" i="1"/>
  <c r="G1656" i="1"/>
  <c r="E1656" i="1"/>
  <c r="B1656" i="1"/>
  <c r="A1656" i="1"/>
  <c r="H1655" i="1"/>
  <c r="G1655" i="1"/>
  <c r="E1655" i="1"/>
  <c r="B1655" i="1"/>
  <c r="A1655" i="1"/>
  <c r="H1654" i="1"/>
  <c r="G1654" i="1"/>
  <c r="E1654" i="1"/>
  <c r="B1654" i="1"/>
  <c r="A1654" i="1"/>
  <c r="H1653" i="1"/>
  <c r="G1653" i="1"/>
  <c r="E1653" i="1"/>
  <c r="B1653" i="1"/>
  <c r="A1653" i="1"/>
  <c r="H1652" i="1"/>
  <c r="G1652" i="1"/>
  <c r="E1652" i="1"/>
  <c r="B1652" i="1"/>
  <c r="A1652" i="1"/>
  <c r="H1651" i="1"/>
  <c r="G1651" i="1"/>
  <c r="E1651" i="1"/>
  <c r="B1651" i="1"/>
  <c r="A1651" i="1"/>
  <c r="H1650" i="1"/>
  <c r="G1650" i="1"/>
  <c r="E1650" i="1"/>
  <c r="B1650" i="1"/>
  <c r="A1650" i="1"/>
  <c r="H1649" i="1"/>
  <c r="G1649" i="1"/>
  <c r="E1649" i="1"/>
  <c r="B1649" i="1"/>
  <c r="A1649" i="1"/>
  <c r="H1648" i="1"/>
  <c r="G1648" i="1"/>
  <c r="E1648" i="1"/>
  <c r="B1648" i="1"/>
  <c r="A1648" i="1"/>
  <c r="H1647" i="1"/>
  <c r="G1647" i="1"/>
  <c r="E1647" i="1"/>
  <c r="B1647" i="1"/>
  <c r="A1647" i="1"/>
  <c r="H1646" i="1"/>
  <c r="G1646" i="1"/>
  <c r="E1646" i="1"/>
  <c r="B1646" i="1"/>
  <c r="A1646" i="1"/>
  <c r="H1645" i="1"/>
  <c r="G1645" i="1"/>
  <c r="E1645" i="1"/>
  <c r="B1645" i="1"/>
  <c r="A1645" i="1"/>
  <c r="H1644" i="1"/>
  <c r="G1644" i="1"/>
  <c r="E1644" i="1"/>
  <c r="B1644" i="1"/>
  <c r="A1644" i="1"/>
  <c r="H1643" i="1"/>
  <c r="G1643" i="1"/>
  <c r="E1643" i="1"/>
  <c r="B1643" i="1"/>
  <c r="A1643" i="1"/>
  <c r="H1642" i="1"/>
  <c r="G1642" i="1"/>
  <c r="E1642" i="1"/>
  <c r="B1642" i="1"/>
  <c r="A1642" i="1"/>
  <c r="H1641" i="1"/>
  <c r="G1641" i="1"/>
  <c r="E1641" i="1"/>
  <c r="B1641" i="1"/>
  <c r="A1641" i="1"/>
  <c r="H1640" i="1"/>
  <c r="G1640" i="1"/>
  <c r="E1640" i="1"/>
  <c r="B1640" i="1"/>
  <c r="A1640" i="1"/>
  <c r="H1639" i="1"/>
  <c r="G1639" i="1"/>
  <c r="E1639" i="1"/>
  <c r="B1639" i="1"/>
  <c r="A1639" i="1"/>
  <c r="H1638" i="1"/>
  <c r="G1638" i="1"/>
  <c r="E1638" i="1"/>
  <c r="B1638" i="1"/>
  <c r="A1638" i="1"/>
  <c r="H1637" i="1"/>
  <c r="G1637" i="1"/>
  <c r="E1637" i="1"/>
  <c r="B1637" i="1"/>
  <c r="A1637" i="1"/>
  <c r="H1636" i="1"/>
  <c r="G1636" i="1"/>
  <c r="E1636" i="1"/>
  <c r="B1636" i="1"/>
  <c r="A1636" i="1"/>
  <c r="H1635" i="1"/>
  <c r="G1635" i="1"/>
  <c r="E1635" i="1"/>
  <c r="B1635" i="1"/>
  <c r="A1635" i="1"/>
  <c r="H1634" i="1"/>
  <c r="G1634" i="1"/>
  <c r="E1634" i="1"/>
  <c r="B1634" i="1"/>
  <c r="A1634" i="1"/>
  <c r="H1633" i="1"/>
  <c r="G1633" i="1"/>
  <c r="E1633" i="1"/>
  <c r="B1633" i="1"/>
  <c r="A1633" i="1"/>
  <c r="H1632" i="1"/>
  <c r="G1632" i="1"/>
  <c r="E1632" i="1"/>
  <c r="B1632" i="1"/>
  <c r="A1632" i="1"/>
  <c r="H1631" i="1"/>
  <c r="G1631" i="1"/>
  <c r="E1631" i="1"/>
  <c r="B1631" i="1"/>
  <c r="A1631" i="1"/>
  <c r="H1630" i="1"/>
  <c r="G1630" i="1"/>
  <c r="E1630" i="1"/>
  <c r="B1630" i="1"/>
  <c r="A1630" i="1"/>
  <c r="H1629" i="1"/>
  <c r="G1629" i="1"/>
  <c r="E1629" i="1"/>
  <c r="B1629" i="1"/>
  <c r="A1629" i="1"/>
  <c r="H1628" i="1"/>
  <c r="G1628" i="1"/>
  <c r="E1628" i="1"/>
  <c r="B1628" i="1"/>
  <c r="A1628" i="1"/>
  <c r="H1627" i="1"/>
  <c r="G1627" i="1"/>
  <c r="E1627" i="1"/>
  <c r="B1627" i="1"/>
  <c r="A1627" i="1"/>
  <c r="H1626" i="1"/>
  <c r="G1626" i="1"/>
  <c r="E1626" i="1"/>
  <c r="B1626" i="1"/>
  <c r="A1626" i="1"/>
  <c r="H1625" i="1"/>
  <c r="G1625" i="1"/>
  <c r="E1625" i="1"/>
  <c r="B1625" i="1"/>
  <c r="A1625" i="1"/>
  <c r="H1624" i="1"/>
  <c r="G1624" i="1"/>
  <c r="E1624" i="1"/>
  <c r="B1624" i="1"/>
  <c r="A1624" i="1"/>
  <c r="H1623" i="1"/>
  <c r="G1623" i="1"/>
  <c r="E1623" i="1"/>
  <c r="B1623" i="1"/>
  <c r="A1623" i="1"/>
  <c r="H1622" i="1"/>
  <c r="G1622" i="1"/>
  <c r="E1622" i="1"/>
  <c r="B1622" i="1"/>
  <c r="A1622" i="1"/>
  <c r="H1621" i="1"/>
  <c r="G1621" i="1"/>
  <c r="E1621" i="1"/>
  <c r="B1621" i="1"/>
  <c r="A1621" i="1"/>
  <c r="H1620" i="1"/>
  <c r="G1620" i="1"/>
  <c r="E1620" i="1"/>
  <c r="B1620" i="1"/>
  <c r="A1620" i="1"/>
  <c r="H1619" i="1"/>
  <c r="G1619" i="1"/>
  <c r="E1619" i="1"/>
  <c r="B1619" i="1"/>
  <c r="A1619" i="1"/>
  <c r="H1618" i="1"/>
  <c r="G1618" i="1"/>
  <c r="E1618" i="1"/>
  <c r="B1618" i="1"/>
  <c r="A1618" i="1"/>
  <c r="H1617" i="1"/>
  <c r="G1617" i="1"/>
  <c r="E1617" i="1"/>
  <c r="B1617" i="1"/>
  <c r="A1617" i="1"/>
  <c r="H1616" i="1"/>
  <c r="G1616" i="1"/>
  <c r="E1616" i="1"/>
  <c r="B1616" i="1"/>
  <c r="A1616" i="1"/>
  <c r="H1615" i="1"/>
  <c r="G1615" i="1"/>
  <c r="E1615" i="1"/>
  <c r="B1615" i="1"/>
  <c r="A1615" i="1"/>
  <c r="H1614" i="1"/>
  <c r="G1614" i="1"/>
  <c r="E1614" i="1"/>
  <c r="B1614" i="1"/>
  <c r="A1614" i="1"/>
  <c r="H1613" i="1"/>
  <c r="G1613" i="1"/>
  <c r="E1613" i="1"/>
  <c r="B1613" i="1"/>
  <c r="A1613" i="1"/>
  <c r="H1612" i="1"/>
  <c r="G1612" i="1"/>
  <c r="E1612" i="1"/>
  <c r="B1612" i="1"/>
  <c r="A1612" i="1"/>
  <c r="H1611" i="1"/>
  <c r="G1611" i="1"/>
  <c r="E1611" i="1"/>
  <c r="B1611" i="1"/>
  <c r="A1611" i="1"/>
  <c r="H1610" i="1"/>
  <c r="G1610" i="1"/>
  <c r="E1610" i="1"/>
  <c r="B1610" i="1"/>
  <c r="A1610" i="1"/>
  <c r="H1609" i="1"/>
  <c r="G1609" i="1"/>
  <c r="E1609" i="1"/>
  <c r="B1609" i="1"/>
  <c r="A1609" i="1"/>
  <c r="H1608" i="1"/>
  <c r="G1608" i="1"/>
  <c r="E1608" i="1"/>
  <c r="B1608" i="1"/>
  <c r="A1608" i="1"/>
  <c r="H1607" i="1"/>
  <c r="G1607" i="1"/>
  <c r="E1607" i="1"/>
  <c r="B1607" i="1"/>
  <c r="A1607" i="1"/>
  <c r="H1606" i="1"/>
  <c r="G1606" i="1"/>
  <c r="E1606" i="1"/>
  <c r="B1606" i="1"/>
  <c r="A1606" i="1"/>
  <c r="H1605" i="1"/>
  <c r="G1605" i="1"/>
  <c r="E1605" i="1"/>
  <c r="B1605" i="1"/>
  <c r="A1605" i="1"/>
  <c r="H1604" i="1"/>
  <c r="G1604" i="1"/>
  <c r="E1604" i="1"/>
  <c r="B1604" i="1"/>
  <c r="A1604" i="1"/>
  <c r="H1603" i="1"/>
  <c r="G1603" i="1"/>
  <c r="E1603" i="1"/>
  <c r="B1603" i="1"/>
  <c r="A1603" i="1"/>
  <c r="H1602" i="1"/>
  <c r="G1602" i="1"/>
  <c r="E1602" i="1"/>
  <c r="B1602" i="1"/>
  <c r="A1602" i="1"/>
  <c r="H1601" i="1"/>
  <c r="G1601" i="1"/>
  <c r="E1601" i="1"/>
  <c r="B1601" i="1"/>
  <c r="A1601" i="1"/>
  <c r="H1600" i="1"/>
  <c r="G1600" i="1"/>
  <c r="E1600" i="1"/>
  <c r="B1600" i="1"/>
  <c r="A1600" i="1"/>
  <c r="H1599" i="1"/>
  <c r="G1599" i="1"/>
  <c r="E1599" i="1"/>
  <c r="B1599" i="1"/>
  <c r="A1599" i="1"/>
  <c r="H1598" i="1"/>
  <c r="G1598" i="1"/>
  <c r="E1598" i="1"/>
  <c r="B1598" i="1"/>
  <c r="A1598" i="1"/>
  <c r="H1597" i="1"/>
  <c r="G1597" i="1"/>
  <c r="E1597" i="1"/>
  <c r="B1597" i="1"/>
  <c r="A1597" i="1"/>
  <c r="H1596" i="1"/>
  <c r="G1596" i="1"/>
  <c r="E1596" i="1"/>
  <c r="B1596" i="1"/>
  <c r="A1596" i="1"/>
  <c r="H1595" i="1"/>
  <c r="G1595" i="1"/>
  <c r="E1595" i="1"/>
  <c r="B1595" i="1"/>
  <c r="A1595" i="1"/>
  <c r="H1594" i="1"/>
  <c r="G1594" i="1"/>
  <c r="E1594" i="1"/>
  <c r="B1594" i="1"/>
  <c r="A1594" i="1"/>
  <c r="H1593" i="1"/>
  <c r="G1593" i="1"/>
  <c r="E1593" i="1"/>
  <c r="B1593" i="1"/>
  <c r="A1593" i="1"/>
  <c r="H1592" i="1"/>
  <c r="G1592" i="1"/>
  <c r="E1592" i="1"/>
  <c r="B1592" i="1"/>
  <c r="A1592" i="1"/>
  <c r="H1591" i="1"/>
  <c r="G1591" i="1"/>
  <c r="E1591" i="1"/>
  <c r="B1591" i="1"/>
  <c r="A1591" i="1"/>
  <c r="H1590" i="1"/>
  <c r="G1590" i="1"/>
  <c r="E1590" i="1"/>
  <c r="B1590" i="1"/>
  <c r="A1590" i="1"/>
  <c r="H1589" i="1"/>
  <c r="G1589" i="1"/>
  <c r="E1589" i="1"/>
  <c r="B1589" i="1"/>
  <c r="A1589" i="1"/>
  <c r="H1588" i="1"/>
  <c r="G1588" i="1"/>
  <c r="E1588" i="1"/>
  <c r="B1588" i="1"/>
  <c r="A1588" i="1"/>
  <c r="H1587" i="1"/>
  <c r="G1587" i="1"/>
  <c r="E1587" i="1"/>
  <c r="B1587" i="1"/>
  <c r="A1587" i="1"/>
  <c r="H1586" i="1"/>
  <c r="G1586" i="1"/>
  <c r="E1586" i="1"/>
  <c r="B1586" i="1"/>
  <c r="A1586" i="1"/>
  <c r="H1585" i="1"/>
  <c r="G1585" i="1"/>
  <c r="E1585" i="1"/>
  <c r="B1585" i="1"/>
  <c r="A1585" i="1"/>
  <c r="H1584" i="1"/>
  <c r="G1584" i="1"/>
  <c r="E1584" i="1"/>
  <c r="B1584" i="1"/>
  <c r="A1584" i="1"/>
  <c r="H1583" i="1"/>
  <c r="G1583" i="1"/>
  <c r="E1583" i="1"/>
  <c r="B1583" i="1"/>
  <c r="A1583" i="1"/>
  <c r="H1582" i="1"/>
  <c r="G1582" i="1"/>
  <c r="E1582" i="1"/>
  <c r="B1582" i="1"/>
  <c r="A1582" i="1"/>
  <c r="H1581" i="1"/>
  <c r="G1581" i="1"/>
  <c r="E1581" i="1"/>
  <c r="B1581" i="1"/>
  <c r="A1581" i="1"/>
  <c r="H1580" i="1"/>
  <c r="G1580" i="1"/>
  <c r="E1580" i="1"/>
  <c r="B1580" i="1"/>
  <c r="A1580" i="1"/>
  <c r="H1579" i="1"/>
  <c r="G1579" i="1"/>
  <c r="E1579" i="1"/>
  <c r="B1579" i="1"/>
  <c r="A1579" i="1"/>
  <c r="H1578" i="1"/>
  <c r="G1578" i="1"/>
  <c r="E1578" i="1"/>
  <c r="B1578" i="1"/>
  <c r="A1578" i="1"/>
  <c r="H1577" i="1"/>
  <c r="G1577" i="1"/>
  <c r="E1577" i="1"/>
  <c r="B1577" i="1"/>
  <c r="A1577" i="1"/>
  <c r="H1576" i="1"/>
  <c r="G1576" i="1"/>
  <c r="E1576" i="1"/>
  <c r="B1576" i="1"/>
  <c r="A1576" i="1"/>
  <c r="H1575" i="1"/>
  <c r="G1575" i="1"/>
  <c r="E1575" i="1"/>
  <c r="B1575" i="1"/>
  <c r="A1575" i="1"/>
  <c r="H1574" i="1"/>
  <c r="G1574" i="1"/>
  <c r="E1574" i="1"/>
  <c r="B1574" i="1"/>
  <c r="A1574" i="1"/>
  <c r="H1573" i="1"/>
  <c r="G1573" i="1"/>
  <c r="E1573" i="1"/>
  <c r="B1573" i="1"/>
  <c r="A1573" i="1"/>
  <c r="H1572" i="1"/>
  <c r="G1572" i="1"/>
  <c r="E1572" i="1"/>
  <c r="B1572" i="1"/>
  <c r="A1572" i="1"/>
  <c r="H1571" i="1"/>
  <c r="G1571" i="1"/>
  <c r="E1571" i="1"/>
  <c r="B1571" i="1"/>
  <c r="A1571" i="1"/>
  <c r="H1570" i="1"/>
  <c r="G1570" i="1"/>
  <c r="E1570" i="1"/>
  <c r="B1570" i="1"/>
  <c r="A1570" i="1"/>
  <c r="H1569" i="1"/>
  <c r="G1569" i="1"/>
  <c r="E1569" i="1"/>
  <c r="B1569" i="1"/>
  <c r="A1569" i="1"/>
  <c r="H1568" i="1"/>
  <c r="G1568" i="1"/>
  <c r="E1568" i="1"/>
  <c r="B1568" i="1"/>
  <c r="A1568" i="1"/>
  <c r="H1567" i="1"/>
  <c r="G1567" i="1"/>
  <c r="E1567" i="1"/>
  <c r="B1567" i="1"/>
  <c r="A1567" i="1"/>
  <c r="H1566" i="1"/>
  <c r="G1566" i="1"/>
  <c r="E1566" i="1"/>
  <c r="B1566" i="1"/>
  <c r="A1566" i="1"/>
  <c r="H1565" i="1"/>
  <c r="G1565" i="1"/>
  <c r="E1565" i="1"/>
  <c r="B1565" i="1"/>
  <c r="A1565" i="1"/>
  <c r="H1564" i="1"/>
  <c r="G1564" i="1"/>
  <c r="E1564" i="1"/>
  <c r="B1564" i="1"/>
  <c r="A1564" i="1"/>
  <c r="H1563" i="1"/>
  <c r="G1563" i="1"/>
  <c r="E1563" i="1"/>
  <c r="B1563" i="1"/>
  <c r="A1563" i="1"/>
  <c r="H1562" i="1"/>
  <c r="G1562" i="1"/>
  <c r="E1562" i="1"/>
  <c r="B1562" i="1"/>
  <c r="A1562" i="1"/>
  <c r="H1561" i="1"/>
  <c r="G1561" i="1"/>
  <c r="E1561" i="1"/>
  <c r="B1561" i="1"/>
  <c r="A1561" i="1"/>
  <c r="H1560" i="1"/>
  <c r="G1560" i="1"/>
  <c r="E1560" i="1"/>
  <c r="B1560" i="1"/>
  <c r="A1560" i="1"/>
  <c r="H1559" i="1"/>
  <c r="G1559" i="1"/>
  <c r="E1559" i="1"/>
  <c r="B1559" i="1"/>
  <c r="A1559" i="1"/>
  <c r="H1558" i="1"/>
  <c r="G1558" i="1"/>
  <c r="E1558" i="1"/>
  <c r="B1558" i="1"/>
  <c r="A1558" i="1"/>
  <c r="H1557" i="1"/>
  <c r="G1557" i="1"/>
  <c r="E1557" i="1"/>
  <c r="B1557" i="1"/>
  <c r="A1557" i="1"/>
  <c r="H1556" i="1"/>
  <c r="G1556" i="1"/>
  <c r="B1556" i="1"/>
  <c r="A1556" i="1"/>
  <c r="H1555" i="1"/>
  <c r="G1555" i="1"/>
  <c r="E1555" i="1"/>
  <c r="B1555" i="1"/>
  <c r="A1555" i="1"/>
  <c r="H1554" i="1"/>
  <c r="G1554" i="1"/>
  <c r="E1554" i="1"/>
  <c r="B1554" i="1"/>
  <c r="A1554" i="1"/>
  <c r="H1553" i="1"/>
  <c r="G1553" i="1"/>
  <c r="E1553" i="1"/>
  <c r="B1553" i="1"/>
  <c r="A1553" i="1"/>
  <c r="H1552" i="1"/>
  <c r="G1552" i="1"/>
  <c r="E1552" i="1"/>
  <c r="B1552" i="1"/>
  <c r="A1552" i="1"/>
  <c r="H1551" i="1"/>
  <c r="G1551" i="1"/>
  <c r="E1551" i="1"/>
  <c r="B1551" i="1"/>
  <c r="A1551" i="1"/>
  <c r="H1550" i="1"/>
  <c r="G1550" i="1"/>
  <c r="E1550" i="1"/>
  <c r="B1550" i="1"/>
  <c r="A1550" i="1"/>
  <c r="H1549" i="1"/>
  <c r="G1549" i="1"/>
  <c r="E1549" i="1"/>
  <c r="B1549" i="1"/>
  <c r="A1549" i="1"/>
  <c r="H1548" i="1"/>
  <c r="G1548" i="1"/>
  <c r="E1548" i="1"/>
  <c r="B1548" i="1"/>
  <c r="A1548" i="1"/>
  <c r="H1547" i="1"/>
  <c r="G1547" i="1"/>
  <c r="E1547" i="1"/>
  <c r="B1547" i="1"/>
  <c r="A1547" i="1"/>
  <c r="H1546" i="1"/>
  <c r="G1546" i="1"/>
  <c r="E1546" i="1"/>
  <c r="B1546" i="1"/>
  <c r="A1546" i="1"/>
  <c r="H1545" i="1"/>
  <c r="G1545" i="1"/>
  <c r="E1545" i="1"/>
  <c r="B1545" i="1"/>
  <c r="A1545" i="1"/>
  <c r="H1544" i="1"/>
  <c r="G1544" i="1"/>
  <c r="E1544" i="1"/>
  <c r="B1544" i="1"/>
  <c r="A1544" i="1"/>
  <c r="H1543" i="1"/>
  <c r="G1543" i="1"/>
  <c r="E1543" i="1"/>
  <c r="B1543" i="1"/>
  <c r="A1543" i="1"/>
  <c r="H1542" i="1"/>
  <c r="G1542" i="1"/>
  <c r="E1542" i="1"/>
  <c r="B1542" i="1"/>
  <c r="A1542" i="1"/>
  <c r="H1541" i="1"/>
  <c r="G1541" i="1"/>
  <c r="E1541" i="1"/>
  <c r="B1541" i="1"/>
  <c r="A1541" i="1"/>
  <c r="H1540" i="1"/>
  <c r="G1540" i="1"/>
  <c r="E1540" i="1"/>
  <c r="B1540" i="1"/>
  <c r="A1540" i="1"/>
  <c r="H1539" i="1"/>
  <c r="G1539" i="1"/>
  <c r="E1539" i="1"/>
  <c r="B1539" i="1"/>
  <c r="A1539" i="1"/>
  <c r="H1538" i="1"/>
  <c r="G1538" i="1"/>
  <c r="E1538" i="1"/>
  <c r="B1538" i="1"/>
  <c r="A1538" i="1"/>
  <c r="H1537" i="1"/>
  <c r="G1537" i="1"/>
  <c r="E1537" i="1"/>
  <c r="B1537" i="1"/>
  <c r="A1537" i="1"/>
  <c r="H1536" i="1"/>
  <c r="G1536" i="1"/>
  <c r="E1536" i="1"/>
  <c r="B1536" i="1"/>
  <c r="A1536" i="1"/>
  <c r="H1535" i="1"/>
  <c r="G1535" i="1"/>
  <c r="E1535" i="1"/>
  <c r="B1535" i="1"/>
  <c r="A1535" i="1"/>
  <c r="H1534" i="1"/>
  <c r="G1534" i="1"/>
  <c r="E1534" i="1"/>
  <c r="B1534" i="1"/>
  <c r="A1534" i="1"/>
  <c r="H1533" i="1"/>
  <c r="G1533" i="1"/>
  <c r="E1533" i="1"/>
  <c r="B1533" i="1"/>
  <c r="A1533" i="1"/>
  <c r="H1532" i="1"/>
  <c r="G1532" i="1"/>
  <c r="E1532" i="1"/>
  <c r="B1532" i="1"/>
  <c r="A1532" i="1"/>
  <c r="H1531" i="1"/>
  <c r="G1531" i="1"/>
  <c r="E1531" i="1"/>
  <c r="B1531" i="1"/>
  <c r="A1531" i="1"/>
  <c r="H1530" i="1"/>
  <c r="G1530" i="1"/>
  <c r="E1530" i="1"/>
  <c r="B1530" i="1"/>
  <c r="A1530" i="1"/>
  <c r="H1529" i="1"/>
  <c r="G1529" i="1"/>
  <c r="E1529" i="1"/>
  <c r="B1529" i="1"/>
  <c r="A1529" i="1"/>
  <c r="H1528" i="1"/>
  <c r="G1528" i="1"/>
  <c r="E1528" i="1"/>
  <c r="B1528" i="1"/>
  <c r="A1528" i="1"/>
  <c r="H1527" i="1"/>
  <c r="G1527" i="1"/>
  <c r="E1527" i="1"/>
  <c r="B1527" i="1"/>
  <c r="A1527" i="1"/>
  <c r="H1526" i="1"/>
  <c r="G1526" i="1"/>
  <c r="E1526" i="1"/>
  <c r="B1526" i="1"/>
  <c r="A1526" i="1"/>
  <c r="H1525" i="1"/>
  <c r="G1525" i="1"/>
  <c r="E1525" i="1"/>
  <c r="B1525" i="1"/>
  <c r="A1525" i="1"/>
  <c r="H1524" i="1"/>
  <c r="G1524" i="1"/>
  <c r="E1524" i="1"/>
  <c r="B1524" i="1"/>
  <c r="A1524" i="1"/>
  <c r="H1523" i="1"/>
  <c r="G1523" i="1"/>
  <c r="E1523" i="1"/>
  <c r="B1523" i="1"/>
  <c r="A1523" i="1"/>
  <c r="H1522" i="1"/>
  <c r="G1522" i="1"/>
  <c r="E1522" i="1"/>
  <c r="B1522" i="1"/>
  <c r="A1522" i="1"/>
  <c r="H1521" i="1"/>
  <c r="G1521" i="1"/>
  <c r="E1521" i="1"/>
  <c r="B1521" i="1"/>
  <c r="A1521" i="1"/>
  <c r="H1520" i="1"/>
  <c r="G1520" i="1"/>
  <c r="E1520" i="1"/>
  <c r="B1520" i="1"/>
  <c r="A1520" i="1"/>
  <c r="H1519" i="1"/>
  <c r="G1519" i="1"/>
  <c r="E1519" i="1"/>
  <c r="B1519" i="1"/>
  <c r="A1519" i="1"/>
  <c r="H1518" i="1"/>
  <c r="G1518" i="1"/>
  <c r="E1518" i="1"/>
  <c r="B1518" i="1"/>
  <c r="A1518" i="1"/>
  <c r="H1517" i="1"/>
  <c r="G1517" i="1"/>
  <c r="E1517" i="1"/>
  <c r="B1517" i="1"/>
  <c r="A1517" i="1"/>
  <c r="H1516" i="1"/>
  <c r="G1516" i="1"/>
  <c r="E1516" i="1"/>
  <c r="B1516" i="1"/>
  <c r="A1516" i="1"/>
  <c r="H1515" i="1"/>
  <c r="G1515" i="1"/>
  <c r="E1515" i="1"/>
  <c r="B1515" i="1"/>
  <c r="A1515" i="1"/>
  <c r="H1514" i="1"/>
  <c r="G1514" i="1"/>
  <c r="E1514" i="1"/>
  <c r="B1514" i="1"/>
  <c r="A1514" i="1"/>
  <c r="H1513" i="1"/>
  <c r="G1513" i="1"/>
  <c r="E1513" i="1"/>
  <c r="B1513" i="1"/>
  <c r="A1513" i="1"/>
  <c r="H1512" i="1"/>
  <c r="G1512" i="1"/>
  <c r="E1512" i="1"/>
  <c r="B1512" i="1"/>
  <c r="A1512" i="1"/>
  <c r="H1511" i="1"/>
  <c r="G1511" i="1"/>
  <c r="E1511" i="1"/>
  <c r="B1511" i="1"/>
  <c r="A1511" i="1"/>
  <c r="H1510" i="1"/>
  <c r="G1510" i="1"/>
  <c r="E1510" i="1"/>
  <c r="B1510" i="1"/>
  <c r="A1510" i="1"/>
  <c r="H1509" i="1"/>
  <c r="G1509" i="1"/>
  <c r="E1509" i="1"/>
  <c r="B1509" i="1"/>
  <c r="A1509" i="1"/>
  <c r="H1508" i="1"/>
  <c r="G1508" i="1"/>
  <c r="E1508" i="1"/>
  <c r="B1508" i="1"/>
  <c r="A1508" i="1"/>
  <c r="H1507" i="1"/>
  <c r="G1507" i="1"/>
  <c r="E1507" i="1"/>
  <c r="B1507" i="1"/>
  <c r="A1507" i="1"/>
  <c r="H1506" i="1"/>
  <c r="G1506" i="1"/>
  <c r="E1506" i="1"/>
  <c r="B1506" i="1"/>
  <c r="A1506" i="1"/>
  <c r="H1505" i="1"/>
  <c r="G1505" i="1"/>
  <c r="E1505" i="1"/>
  <c r="B1505" i="1"/>
  <c r="A1505" i="1"/>
  <c r="H1504" i="1"/>
  <c r="G1504" i="1"/>
  <c r="E1504" i="1"/>
  <c r="B1504" i="1"/>
  <c r="A1504" i="1"/>
  <c r="H1503" i="1"/>
  <c r="G1503" i="1"/>
  <c r="E1503" i="1"/>
  <c r="B1503" i="1"/>
  <c r="A1503" i="1"/>
  <c r="H1502" i="1"/>
  <c r="G1502" i="1"/>
  <c r="E1502" i="1"/>
  <c r="B1502" i="1"/>
  <c r="A1502" i="1"/>
  <c r="H1501" i="1"/>
  <c r="G1501" i="1"/>
  <c r="E1501" i="1"/>
  <c r="B1501" i="1"/>
  <c r="A1501" i="1"/>
  <c r="H1500" i="1"/>
  <c r="G1500" i="1"/>
  <c r="E1500" i="1"/>
  <c r="B1500" i="1"/>
  <c r="A1500" i="1"/>
  <c r="H1499" i="1"/>
  <c r="G1499" i="1"/>
  <c r="E1499" i="1"/>
  <c r="B1499" i="1"/>
  <c r="A1499" i="1"/>
  <c r="H1498" i="1"/>
  <c r="G1498" i="1"/>
  <c r="E1498" i="1"/>
  <c r="B1498" i="1"/>
  <c r="A1498" i="1"/>
  <c r="H1497" i="1"/>
  <c r="G1497" i="1"/>
  <c r="E1497" i="1"/>
  <c r="B1497" i="1"/>
  <c r="A1497" i="1"/>
  <c r="H1496" i="1"/>
  <c r="G1496" i="1"/>
  <c r="E1496" i="1"/>
  <c r="B1496" i="1"/>
  <c r="A1496" i="1"/>
  <c r="H1495" i="1"/>
  <c r="G1495" i="1"/>
  <c r="E1495" i="1"/>
  <c r="B1495" i="1"/>
  <c r="A1495" i="1"/>
  <c r="H1494" i="1"/>
  <c r="G1494" i="1"/>
  <c r="E1494" i="1"/>
  <c r="B1494" i="1"/>
  <c r="A1494" i="1"/>
  <c r="H1493" i="1"/>
  <c r="G1493" i="1"/>
  <c r="E1493" i="1"/>
  <c r="B1493" i="1"/>
  <c r="A1493" i="1"/>
  <c r="H1492" i="1"/>
  <c r="G1492" i="1"/>
  <c r="E1492" i="1"/>
  <c r="B1492" i="1"/>
  <c r="A1492" i="1"/>
  <c r="H1491" i="1"/>
  <c r="G1491" i="1"/>
  <c r="E1491" i="1"/>
  <c r="B1491" i="1"/>
  <c r="A1491" i="1"/>
  <c r="H1490" i="1"/>
  <c r="G1490" i="1"/>
  <c r="E1490" i="1"/>
  <c r="B1490" i="1"/>
  <c r="A1490" i="1"/>
  <c r="H1489" i="1"/>
  <c r="G1489" i="1"/>
  <c r="E1489" i="1"/>
  <c r="B1489" i="1"/>
  <c r="A1489" i="1"/>
  <c r="H1488" i="1"/>
  <c r="G1488" i="1"/>
  <c r="E1488" i="1"/>
  <c r="B1488" i="1"/>
  <c r="A1488" i="1"/>
  <c r="H1487" i="1"/>
  <c r="G1487" i="1"/>
  <c r="E1487" i="1"/>
  <c r="B1487" i="1"/>
  <c r="A1487" i="1"/>
  <c r="H1486" i="1"/>
  <c r="G1486" i="1"/>
  <c r="E1486" i="1"/>
  <c r="B1486" i="1"/>
  <c r="A1486" i="1"/>
  <c r="H1485" i="1"/>
  <c r="G1485" i="1"/>
  <c r="E1485" i="1"/>
  <c r="B1485" i="1"/>
  <c r="A1485" i="1"/>
  <c r="H1484" i="1"/>
  <c r="G1484" i="1"/>
  <c r="E1484" i="1"/>
  <c r="B1484" i="1"/>
  <c r="A1484" i="1"/>
  <c r="H1483" i="1"/>
  <c r="G1483" i="1"/>
  <c r="E1483" i="1"/>
  <c r="B1483" i="1"/>
  <c r="A1483" i="1"/>
  <c r="H1482" i="1"/>
  <c r="G1482" i="1"/>
  <c r="E1482" i="1"/>
  <c r="B1482" i="1"/>
  <c r="A1482" i="1"/>
  <c r="H1481" i="1"/>
  <c r="G1481" i="1"/>
  <c r="E1481" i="1"/>
  <c r="B1481" i="1"/>
  <c r="A1481" i="1"/>
  <c r="H1480" i="1"/>
  <c r="G1480" i="1"/>
  <c r="E1480" i="1"/>
  <c r="B1480" i="1"/>
  <c r="A1480" i="1"/>
  <c r="H1479" i="1"/>
  <c r="G1479" i="1"/>
  <c r="E1479" i="1"/>
  <c r="B1479" i="1"/>
  <c r="A1479" i="1"/>
  <c r="H1478" i="1"/>
  <c r="G1478" i="1"/>
  <c r="E1478" i="1"/>
  <c r="B1478" i="1"/>
  <c r="A1478" i="1"/>
  <c r="H1477" i="1"/>
  <c r="G1477" i="1"/>
  <c r="E1477" i="1"/>
  <c r="B1477" i="1"/>
  <c r="A1477" i="1"/>
  <c r="H1476" i="1"/>
  <c r="G1476" i="1"/>
  <c r="E1476" i="1"/>
  <c r="B1476" i="1"/>
  <c r="A1476" i="1"/>
  <c r="H1475" i="1"/>
  <c r="G1475" i="1"/>
  <c r="E1475" i="1"/>
  <c r="B1475" i="1"/>
  <c r="A1475" i="1"/>
  <c r="H1474" i="1"/>
  <c r="G1474" i="1"/>
  <c r="E1474" i="1"/>
  <c r="B1474" i="1"/>
  <c r="A1474" i="1"/>
  <c r="H1473" i="1"/>
  <c r="G1473" i="1"/>
  <c r="B1473" i="1"/>
  <c r="A1473" i="1"/>
  <c r="H1472" i="1"/>
  <c r="G1472" i="1"/>
  <c r="E1472" i="1"/>
  <c r="B1472" i="1"/>
  <c r="A1472" i="1"/>
  <c r="H1471" i="1"/>
  <c r="G1471" i="1"/>
  <c r="E1471" i="1"/>
  <c r="B1471" i="1"/>
  <c r="A1471" i="1"/>
  <c r="H1470" i="1"/>
  <c r="G1470" i="1"/>
  <c r="E1470" i="1"/>
  <c r="B1470" i="1"/>
  <c r="A1470" i="1"/>
  <c r="H1469" i="1"/>
  <c r="G1469" i="1"/>
  <c r="E1469" i="1"/>
  <c r="B1469" i="1"/>
  <c r="A1469" i="1"/>
  <c r="H1468" i="1"/>
  <c r="G1468" i="1"/>
  <c r="E1468" i="1"/>
  <c r="B1468" i="1"/>
  <c r="A1468" i="1"/>
  <c r="H1467" i="1"/>
  <c r="G1467" i="1"/>
  <c r="E1467" i="1"/>
  <c r="B1467" i="1"/>
  <c r="A1467" i="1"/>
  <c r="H1466" i="1"/>
  <c r="G1466" i="1"/>
  <c r="E1466" i="1"/>
  <c r="B1466" i="1"/>
  <c r="A1466" i="1"/>
  <c r="H1465" i="1"/>
  <c r="G1465" i="1"/>
  <c r="E1465" i="1"/>
  <c r="B1465" i="1"/>
  <c r="A1465" i="1"/>
  <c r="H1464" i="1"/>
  <c r="G1464" i="1"/>
  <c r="E1464" i="1"/>
  <c r="B1464" i="1"/>
  <c r="A1464" i="1"/>
  <c r="H1463" i="1"/>
  <c r="G1463" i="1"/>
  <c r="E1463" i="1"/>
  <c r="B1463" i="1"/>
  <c r="A1463" i="1"/>
  <c r="H1462" i="1"/>
  <c r="G1462" i="1"/>
  <c r="E1462" i="1"/>
  <c r="B1462" i="1"/>
  <c r="A1462" i="1"/>
  <c r="H1461" i="1"/>
  <c r="G1461" i="1"/>
  <c r="E1461" i="1"/>
  <c r="B1461" i="1"/>
  <c r="A1461" i="1"/>
  <c r="H1460" i="1"/>
  <c r="G1460" i="1"/>
  <c r="E1460" i="1"/>
  <c r="B1460" i="1"/>
  <c r="A1460" i="1"/>
  <c r="H1459" i="1"/>
  <c r="G1459" i="1"/>
  <c r="E1459" i="1"/>
  <c r="B1459" i="1"/>
  <c r="A1459" i="1"/>
  <c r="H1458" i="1"/>
  <c r="G1458" i="1"/>
  <c r="E1458" i="1"/>
  <c r="B1458" i="1"/>
  <c r="A1458" i="1"/>
  <c r="H1457" i="1"/>
  <c r="G1457" i="1"/>
  <c r="E1457" i="1"/>
  <c r="B1457" i="1"/>
  <c r="A1457" i="1"/>
  <c r="H1456" i="1"/>
  <c r="G1456" i="1"/>
  <c r="E1456" i="1"/>
  <c r="B1456" i="1"/>
  <c r="A1456" i="1"/>
  <c r="H1455" i="1"/>
  <c r="G1455" i="1"/>
  <c r="E1455" i="1"/>
  <c r="B1455" i="1"/>
  <c r="A1455" i="1"/>
  <c r="H1454" i="1"/>
  <c r="G1454" i="1"/>
  <c r="E1454" i="1"/>
  <c r="B1454" i="1"/>
  <c r="A1454" i="1"/>
  <c r="H1453" i="1"/>
  <c r="G1453" i="1"/>
  <c r="E1453" i="1"/>
  <c r="B1453" i="1"/>
  <c r="A1453" i="1"/>
  <c r="H1452" i="1"/>
  <c r="G1452" i="1"/>
  <c r="E1452" i="1"/>
  <c r="B1452" i="1"/>
  <c r="A1452" i="1"/>
  <c r="H1451" i="1"/>
  <c r="G1451" i="1"/>
  <c r="E1451" i="1"/>
  <c r="B1451" i="1"/>
  <c r="A1451" i="1"/>
  <c r="H1450" i="1"/>
  <c r="G1450" i="1"/>
  <c r="E1450" i="1"/>
  <c r="B1450" i="1"/>
  <c r="A1450" i="1"/>
  <c r="H1449" i="1"/>
  <c r="G1449" i="1"/>
  <c r="E1449" i="1"/>
  <c r="B1449" i="1"/>
  <c r="A1449" i="1"/>
  <c r="H1448" i="1"/>
  <c r="G1448" i="1"/>
  <c r="E1448" i="1"/>
  <c r="B1448" i="1"/>
  <c r="A1448" i="1"/>
  <c r="H1447" i="1"/>
  <c r="G1447" i="1"/>
  <c r="E1447" i="1"/>
  <c r="B1447" i="1"/>
  <c r="A1447" i="1"/>
  <c r="H1446" i="1"/>
  <c r="G1446" i="1"/>
  <c r="E1446" i="1"/>
  <c r="B1446" i="1"/>
  <c r="A1446" i="1"/>
  <c r="H1445" i="1"/>
  <c r="G1445" i="1"/>
  <c r="E1445" i="1"/>
  <c r="B1445" i="1"/>
  <c r="A1445" i="1"/>
  <c r="H1444" i="1"/>
  <c r="G1444" i="1"/>
  <c r="E1444" i="1"/>
  <c r="B1444" i="1"/>
  <c r="A1444" i="1"/>
  <c r="H1443" i="1"/>
  <c r="G1443" i="1"/>
  <c r="E1443" i="1"/>
  <c r="B1443" i="1"/>
  <c r="A1443" i="1"/>
  <c r="H1442" i="1"/>
  <c r="G1442" i="1"/>
  <c r="E1442" i="1"/>
  <c r="B1442" i="1"/>
  <c r="A1442" i="1"/>
  <c r="H1441" i="1"/>
  <c r="G1441" i="1"/>
  <c r="E1441" i="1"/>
  <c r="B1441" i="1"/>
  <c r="A1441" i="1"/>
  <c r="H1440" i="1"/>
  <c r="G1440" i="1"/>
  <c r="E1440" i="1"/>
  <c r="B1440" i="1"/>
  <c r="A1440" i="1"/>
  <c r="H1439" i="1"/>
  <c r="G1439" i="1"/>
  <c r="E1439" i="1"/>
  <c r="B1439" i="1"/>
  <c r="A1439" i="1"/>
  <c r="H1438" i="1"/>
  <c r="G1438" i="1"/>
  <c r="E1438" i="1"/>
  <c r="B1438" i="1"/>
  <c r="A1438" i="1"/>
  <c r="H1437" i="1"/>
  <c r="G1437" i="1"/>
  <c r="E1437" i="1"/>
  <c r="B1437" i="1"/>
  <c r="A1437" i="1"/>
  <c r="H1436" i="1"/>
  <c r="G1436" i="1"/>
  <c r="E1436" i="1"/>
  <c r="B1436" i="1"/>
  <c r="A1436" i="1"/>
  <c r="H1435" i="1"/>
  <c r="G1435" i="1"/>
  <c r="E1435" i="1"/>
  <c r="B1435" i="1"/>
  <c r="A1435" i="1"/>
  <c r="H1434" i="1"/>
  <c r="G1434" i="1"/>
  <c r="E1434" i="1"/>
  <c r="B1434" i="1"/>
  <c r="A1434" i="1"/>
  <c r="H1433" i="1"/>
  <c r="G1433" i="1"/>
  <c r="E1433" i="1"/>
  <c r="B1433" i="1"/>
  <c r="A1433" i="1"/>
  <c r="H1432" i="1"/>
  <c r="G1432" i="1"/>
  <c r="E1432" i="1"/>
  <c r="B1432" i="1"/>
  <c r="A1432" i="1"/>
  <c r="H1431" i="1"/>
  <c r="G1431" i="1"/>
  <c r="E1431" i="1"/>
  <c r="B1431" i="1"/>
  <c r="A1431" i="1"/>
  <c r="H1430" i="1"/>
  <c r="G1430" i="1"/>
  <c r="E1430" i="1"/>
  <c r="B1430" i="1"/>
  <c r="A1430" i="1"/>
  <c r="H1429" i="1"/>
  <c r="G1429" i="1"/>
  <c r="E1429" i="1"/>
  <c r="B1429" i="1"/>
  <c r="A1429" i="1"/>
  <c r="H1428" i="1"/>
  <c r="G1428" i="1"/>
  <c r="E1428" i="1"/>
  <c r="B1428" i="1"/>
  <c r="A1428" i="1"/>
  <c r="H1427" i="1"/>
  <c r="G1427" i="1"/>
  <c r="E1427" i="1"/>
  <c r="B1427" i="1"/>
  <c r="A1427" i="1"/>
  <c r="H1426" i="1"/>
  <c r="G1426" i="1"/>
  <c r="E1426" i="1"/>
  <c r="B1426" i="1"/>
  <c r="A1426" i="1"/>
  <c r="H1425" i="1"/>
  <c r="G1425" i="1"/>
  <c r="E1425" i="1"/>
  <c r="B1425" i="1"/>
  <c r="A1425" i="1"/>
  <c r="H1424" i="1"/>
  <c r="G1424" i="1"/>
  <c r="E1424" i="1"/>
  <c r="B1424" i="1"/>
  <c r="A1424" i="1"/>
  <c r="H1423" i="1"/>
  <c r="G1423" i="1"/>
  <c r="E1423" i="1"/>
  <c r="B1423" i="1"/>
  <c r="A1423" i="1"/>
  <c r="H1422" i="1"/>
  <c r="G1422" i="1"/>
  <c r="E1422" i="1"/>
  <c r="B1422" i="1"/>
  <c r="A1422" i="1"/>
  <c r="H1421" i="1"/>
  <c r="G1421" i="1"/>
  <c r="E1421" i="1"/>
  <c r="B1421" i="1"/>
  <c r="A1421" i="1"/>
  <c r="H1420" i="1"/>
  <c r="G1420" i="1"/>
  <c r="E1420" i="1"/>
  <c r="B1420" i="1"/>
  <c r="A1420" i="1"/>
  <c r="H1419" i="1"/>
  <c r="G1419" i="1"/>
  <c r="E1419" i="1"/>
  <c r="B1419" i="1"/>
  <c r="A1419" i="1"/>
  <c r="H1418" i="1"/>
  <c r="G1418" i="1"/>
  <c r="E1418" i="1"/>
  <c r="B1418" i="1"/>
  <c r="A1418" i="1"/>
  <c r="H1417" i="1"/>
  <c r="G1417" i="1"/>
  <c r="E1417" i="1"/>
  <c r="B1417" i="1"/>
  <c r="A1417" i="1"/>
  <c r="H1416" i="1"/>
  <c r="G1416" i="1"/>
  <c r="E1416" i="1"/>
  <c r="B1416" i="1"/>
  <c r="A1416" i="1"/>
  <c r="H1415" i="1"/>
  <c r="G1415" i="1"/>
  <c r="B1415" i="1"/>
  <c r="A1415" i="1"/>
  <c r="H1414" i="1"/>
  <c r="G1414" i="1"/>
  <c r="E1414" i="1"/>
  <c r="B1414" i="1"/>
  <c r="A1414" i="1"/>
  <c r="H1413" i="1"/>
  <c r="G1413" i="1"/>
  <c r="E1413" i="1"/>
  <c r="B1413" i="1"/>
  <c r="A1413" i="1"/>
  <c r="H1412" i="1"/>
  <c r="G1412" i="1"/>
  <c r="B1412" i="1"/>
  <c r="A1412" i="1"/>
  <c r="H1411" i="1"/>
  <c r="G1411" i="1"/>
  <c r="E1411" i="1"/>
  <c r="B1411" i="1"/>
  <c r="A1411" i="1"/>
  <c r="H1410" i="1"/>
  <c r="G1410" i="1"/>
  <c r="E1410" i="1"/>
  <c r="B1410" i="1"/>
  <c r="A1410" i="1"/>
  <c r="H1409" i="1"/>
  <c r="G1409" i="1"/>
  <c r="E1409" i="1"/>
  <c r="B1409" i="1"/>
  <c r="A1409" i="1"/>
  <c r="H1408" i="1"/>
  <c r="G1408" i="1"/>
  <c r="E1408" i="1"/>
  <c r="B1408" i="1"/>
  <c r="A1408" i="1"/>
  <c r="H1407" i="1"/>
  <c r="G1407" i="1"/>
  <c r="E1407" i="1"/>
  <c r="B1407" i="1"/>
  <c r="A1407" i="1"/>
  <c r="H1406" i="1"/>
  <c r="G1406" i="1"/>
  <c r="E1406" i="1"/>
  <c r="B1406" i="1"/>
  <c r="A1406" i="1"/>
  <c r="H1405" i="1"/>
  <c r="G1405" i="1"/>
  <c r="E1405" i="1"/>
  <c r="B1405" i="1"/>
  <c r="A1405" i="1"/>
  <c r="H1404" i="1"/>
  <c r="G1404" i="1"/>
  <c r="E1404" i="1"/>
  <c r="B1404" i="1"/>
  <c r="A1404" i="1"/>
  <c r="H1403" i="1"/>
  <c r="G1403" i="1"/>
  <c r="E1403" i="1"/>
  <c r="B1403" i="1"/>
  <c r="A1403" i="1"/>
  <c r="H1402" i="1"/>
  <c r="G1402" i="1"/>
  <c r="E1402" i="1"/>
  <c r="B1402" i="1"/>
  <c r="A1402" i="1"/>
  <c r="H1401" i="1"/>
  <c r="G1401" i="1"/>
  <c r="B1401" i="1"/>
  <c r="A1401" i="1"/>
  <c r="H1400" i="1"/>
  <c r="G1400" i="1"/>
  <c r="E1400" i="1"/>
  <c r="B1400" i="1"/>
  <c r="A1400" i="1"/>
  <c r="H1399" i="1"/>
  <c r="G1399" i="1"/>
  <c r="E1399" i="1"/>
  <c r="B1399" i="1"/>
  <c r="A1399" i="1"/>
  <c r="H1398" i="1"/>
  <c r="G1398" i="1"/>
  <c r="E1398" i="1"/>
  <c r="B1398" i="1"/>
  <c r="A1398" i="1"/>
  <c r="H1397" i="1"/>
  <c r="G1397" i="1"/>
  <c r="E1397" i="1"/>
  <c r="B1397" i="1"/>
  <c r="A1397" i="1"/>
  <c r="H1396" i="1"/>
  <c r="G1396" i="1"/>
  <c r="E1396" i="1"/>
  <c r="B1396" i="1"/>
  <c r="A1396" i="1"/>
  <c r="H1395" i="1"/>
  <c r="G1395" i="1"/>
  <c r="E1395" i="1"/>
  <c r="B1395" i="1"/>
  <c r="A1395" i="1"/>
  <c r="H1394" i="1"/>
  <c r="G1394" i="1"/>
  <c r="E1394" i="1"/>
  <c r="B1394" i="1"/>
  <c r="A1394" i="1"/>
  <c r="H1393" i="1"/>
  <c r="G1393" i="1"/>
  <c r="E1393" i="1"/>
  <c r="B1393" i="1"/>
  <c r="A1393" i="1"/>
  <c r="H1392" i="1"/>
  <c r="G1392" i="1"/>
  <c r="E1392" i="1"/>
  <c r="B1392" i="1"/>
  <c r="A1392" i="1"/>
  <c r="H1391" i="1"/>
  <c r="G1391" i="1"/>
  <c r="E1391" i="1"/>
  <c r="B1391" i="1"/>
  <c r="A1391" i="1"/>
  <c r="H1390" i="1"/>
  <c r="G1390" i="1"/>
  <c r="E1390" i="1"/>
  <c r="B1390" i="1"/>
  <c r="A1390" i="1"/>
  <c r="H1389" i="1"/>
  <c r="G1389" i="1"/>
  <c r="E1389" i="1"/>
  <c r="B1389" i="1"/>
  <c r="A1389" i="1"/>
  <c r="H1388" i="1"/>
  <c r="G1388" i="1"/>
  <c r="E1388" i="1"/>
  <c r="B1388" i="1"/>
  <c r="A1388" i="1"/>
  <c r="H1387" i="1"/>
  <c r="G1387" i="1"/>
  <c r="E1387" i="1"/>
  <c r="B1387" i="1"/>
  <c r="A1387" i="1"/>
  <c r="H1386" i="1"/>
  <c r="G1386" i="1"/>
  <c r="E1386" i="1"/>
  <c r="B1386" i="1"/>
  <c r="A1386" i="1"/>
  <c r="H1385" i="1"/>
  <c r="G1385" i="1"/>
  <c r="E1385" i="1"/>
  <c r="B1385" i="1"/>
  <c r="A1385" i="1"/>
  <c r="H1384" i="1"/>
  <c r="G1384" i="1"/>
  <c r="E1384" i="1"/>
  <c r="B1384" i="1"/>
  <c r="A1384" i="1"/>
  <c r="H1383" i="1"/>
  <c r="G1383" i="1"/>
  <c r="E1383" i="1"/>
  <c r="B1383" i="1"/>
  <c r="A1383" i="1"/>
  <c r="H1382" i="1"/>
  <c r="G1382" i="1"/>
  <c r="E1382" i="1"/>
  <c r="B1382" i="1"/>
  <c r="A1382" i="1"/>
  <c r="H1381" i="1"/>
  <c r="G1381" i="1"/>
  <c r="E1381" i="1"/>
  <c r="B1381" i="1"/>
  <c r="A1381" i="1"/>
  <c r="H1380" i="1"/>
  <c r="G1380" i="1"/>
  <c r="B1380" i="1"/>
  <c r="A1380" i="1"/>
  <c r="H1379" i="1"/>
  <c r="G1379" i="1"/>
  <c r="E1379" i="1"/>
  <c r="B1379" i="1"/>
  <c r="A1379" i="1"/>
  <c r="H1378" i="1"/>
  <c r="G1378" i="1"/>
  <c r="E1378" i="1"/>
  <c r="B1378" i="1"/>
  <c r="A1378" i="1"/>
  <c r="H1377" i="1"/>
  <c r="G1377" i="1"/>
  <c r="E1377" i="1"/>
  <c r="B1377" i="1"/>
  <c r="A1377" i="1"/>
  <c r="H1376" i="1"/>
  <c r="G1376" i="1"/>
  <c r="E1376" i="1"/>
  <c r="B1376" i="1"/>
  <c r="A1376" i="1"/>
  <c r="H1375" i="1"/>
  <c r="G1375" i="1"/>
  <c r="B1375" i="1"/>
  <c r="A1375" i="1"/>
  <c r="H1374" i="1"/>
  <c r="G1374" i="1"/>
  <c r="B1374" i="1"/>
  <c r="A1374" i="1"/>
  <c r="H1373" i="1"/>
  <c r="G1373" i="1"/>
  <c r="B1373" i="1"/>
  <c r="A1373" i="1"/>
  <c r="H1372" i="1"/>
  <c r="G1372" i="1"/>
  <c r="E1372" i="1"/>
  <c r="B1372" i="1"/>
  <c r="A1372" i="1"/>
  <c r="H1371" i="1"/>
  <c r="G1371" i="1"/>
  <c r="E1371" i="1"/>
  <c r="B1371" i="1"/>
  <c r="A1371" i="1"/>
  <c r="H1370" i="1"/>
  <c r="G1370" i="1"/>
  <c r="E1370" i="1"/>
  <c r="B1370" i="1"/>
  <c r="A1370" i="1"/>
  <c r="H1369" i="1"/>
  <c r="G1369" i="1"/>
  <c r="E1369" i="1"/>
  <c r="B1369" i="1"/>
  <c r="A1369" i="1"/>
  <c r="H1368" i="1"/>
  <c r="G1368" i="1"/>
  <c r="E1368" i="1"/>
  <c r="B1368" i="1"/>
  <c r="A1368" i="1"/>
  <c r="H1367" i="1"/>
  <c r="G1367" i="1"/>
  <c r="E1367" i="1"/>
  <c r="B1367" i="1"/>
  <c r="A1367" i="1"/>
  <c r="H1366" i="1"/>
  <c r="G1366" i="1"/>
  <c r="E1366" i="1"/>
  <c r="B1366" i="1"/>
  <c r="A1366" i="1"/>
  <c r="H1365" i="1"/>
  <c r="G1365" i="1"/>
  <c r="E1365" i="1"/>
  <c r="B1365" i="1"/>
  <c r="A1365" i="1"/>
  <c r="H1364" i="1"/>
  <c r="G1364" i="1"/>
  <c r="E1364" i="1"/>
  <c r="B1364" i="1"/>
  <c r="A1364" i="1"/>
  <c r="H1363" i="1"/>
  <c r="G1363" i="1"/>
  <c r="E1363" i="1"/>
  <c r="B1363" i="1"/>
  <c r="A1363" i="1"/>
  <c r="H1362" i="1"/>
  <c r="G1362" i="1"/>
  <c r="E1362" i="1"/>
  <c r="B1362" i="1"/>
  <c r="A1362" i="1"/>
  <c r="H1361" i="1"/>
  <c r="G1361" i="1"/>
  <c r="E1361" i="1"/>
  <c r="B1361" i="1"/>
  <c r="A1361" i="1"/>
  <c r="H1360" i="1"/>
  <c r="G1360" i="1"/>
  <c r="E1360" i="1"/>
  <c r="B1360" i="1"/>
  <c r="A1360" i="1"/>
  <c r="H1359" i="1"/>
  <c r="G1359" i="1"/>
  <c r="E1359" i="1"/>
  <c r="B1359" i="1"/>
  <c r="A1359" i="1"/>
  <c r="H1358" i="1"/>
  <c r="G1358" i="1"/>
  <c r="E1358" i="1"/>
  <c r="B1358" i="1"/>
  <c r="A1358" i="1"/>
  <c r="H1357" i="1"/>
  <c r="G1357" i="1"/>
  <c r="E1357" i="1"/>
  <c r="B1357" i="1"/>
  <c r="A1357" i="1"/>
  <c r="H1356" i="1"/>
  <c r="G1356" i="1"/>
  <c r="E1356" i="1"/>
  <c r="B1356" i="1"/>
  <c r="A1356" i="1"/>
  <c r="H1355" i="1"/>
  <c r="G1355" i="1"/>
  <c r="E1355" i="1"/>
  <c r="B1355" i="1"/>
  <c r="A1355" i="1"/>
  <c r="H1354" i="1"/>
  <c r="G1354" i="1"/>
  <c r="E1354" i="1"/>
  <c r="B1354" i="1"/>
  <c r="A1354" i="1"/>
  <c r="H1353" i="1"/>
  <c r="G1353" i="1"/>
  <c r="E1353" i="1"/>
  <c r="B1353" i="1"/>
  <c r="A1353" i="1"/>
  <c r="H1352" i="1"/>
  <c r="G1352" i="1"/>
  <c r="E1352" i="1"/>
  <c r="B1352" i="1"/>
  <c r="A1352" i="1"/>
  <c r="H1351" i="1"/>
  <c r="G1351" i="1"/>
  <c r="E1351" i="1"/>
  <c r="B1351" i="1"/>
  <c r="A1351" i="1"/>
  <c r="H1350" i="1"/>
  <c r="G1350" i="1"/>
  <c r="E1350" i="1"/>
  <c r="B1350" i="1"/>
  <c r="A1350" i="1"/>
  <c r="H1349" i="1"/>
  <c r="G1349" i="1"/>
  <c r="E1349" i="1"/>
  <c r="B1349" i="1"/>
  <c r="A1349" i="1"/>
  <c r="H1348" i="1"/>
  <c r="G1348" i="1"/>
  <c r="E1348" i="1"/>
  <c r="B1348" i="1"/>
  <c r="A1348" i="1"/>
  <c r="H1347" i="1"/>
  <c r="G1347" i="1"/>
  <c r="E1347" i="1"/>
  <c r="B1347" i="1"/>
  <c r="A1347" i="1"/>
  <c r="H1346" i="1"/>
  <c r="G1346" i="1"/>
  <c r="E1346" i="1"/>
  <c r="B1346" i="1"/>
  <c r="A1346" i="1"/>
  <c r="H1345" i="1"/>
  <c r="G1345" i="1"/>
  <c r="E1345" i="1"/>
  <c r="B1345" i="1"/>
  <c r="A1345" i="1"/>
  <c r="H1344" i="1"/>
  <c r="G1344" i="1"/>
  <c r="E1344" i="1"/>
  <c r="B1344" i="1"/>
  <c r="A1344" i="1"/>
  <c r="H1343" i="1"/>
  <c r="G1343" i="1"/>
  <c r="E1343" i="1"/>
  <c r="B1343" i="1"/>
  <c r="A1343" i="1"/>
  <c r="H1342" i="1"/>
  <c r="G1342" i="1"/>
  <c r="E1342" i="1"/>
  <c r="B1342" i="1"/>
  <c r="A1342" i="1"/>
  <c r="H1341" i="1"/>
  <c r="G1341" i="1"/>
  <c r="E1341" i="1"/>
  <c r="B1341" i="1"/>
  <c r="A1341" i="1"/>
  <c r="H1340" i="1"/>
  <c r="G1340" i="1"/>
  <c r="E1340" i="1"/>
  <c r="B1340" i="1"/>
  <c r="A1340" i="1"/>
  <c r="H1339" i="1"/>
  <c r="G1339" i="1"/>
  <c r="E1339" i="1"/>
  <c r="B1339" i="1"/>
  <c r="A1339" i="1"/>
  <c r="H1338" i="1"/>
  <c r="G1338" i="1"/>
  <c r="E1338" i="1"/>
  <c r="B1338" i="1"/>
  <c r="A1338" i="1"/>
  <c r="H1337" i="1"/>
  <c r="G1337" i="1"/>
  <c r="E1337" i="1"/>
  <c r="B1337" i="1"/>
  <c r="A1337" i="1"/>
  <c r="H1336" i="1"/>
  <c r="G1336" i="1"/>
  <c r="E1336" i="1"/>
  <c r="B1336" i="1"/>
  <c r="A1336" i="1"/>
  <c r="H1335" i="1"/>
  <c r="G1335" i="1"/>
  <c r="E1335" i="1"/>
  <c r="B1335" i="1"/>
  <c r="A1335" i="1"/>
  <c r="H1334" i="1"/>
  <c r="G1334" i="1"/>
  <c r="E1334" i="1"/>
  <c r="B1334" i="1"/>
  <c r="A1334" i="1"/>
  <c r="H1333" i="1"/>
  <c r="G1333" i="1"/>
  <c r="E1333" i="1"/>
  <c r="B1333" i="1"/>
  <c r="A1333" i="1"/>
  <c r="H1332" i="1"/>
  <c r="G1332" i="1"/>
  <c r="E1332" i="1"/>
  <c r="B1332" i="1"/>
  <c r="A1332" i="1"/>
  <c r="H1331" i="1"/>
  <c r="G1331" i="1"/>
  <c r="E1331" i="1"/>
  <c r="B1331" i="1"/>
  <c r="A1331" i="1"/>
  <c r="H1330" i="1"/>
  <c r="G1330" i="1"/>
  <c r="E1330" i="1"/>
  <c r="B1330" i="1"/>
  <c r="A1330" i="1"/>
  <c r="H1329" i="1"/>
  <c r="G1329" i="1"/>
  <c r="E1329" i="1"/>
  <c r="B1329" i="1"/>
  <c r="A1329" i="1"/>
  <c r="H1328" i="1"/>
  <c r="G1328" i="1"/>
  <c r="E1328" i="1"/>
  <c r="B1328" i="1"/>
  <c r="A1328" i="1"/>
  <c r="H1327" i="1"/>
  <c r="G1327" i="1"/>
  <c r="E1327" i="1"/>
  <c r="B1327" i="1"/>
  <c r="A1327" i="1"/>
  <c r="H1326" i="1"/>
  <c r="G1326" i="1"/>
  <c r="E1326" i="1"/>
  <c r="B1326" i="1"/>
  <c r="A1326" i="1"/>
  <c r="H1325" i="1"/>
  <c r="G1325" i="1"/>
  <c r="E1325" i="1"/>
  <c r="B1325" i="1"/>
  <c r="A1325" i="1"/>
  <c r="H1324" i="1"/>
  <c r="G1324" i="1"/>
  <c r="E1324" i="1"/>
  <c r="B1324" i="1"/>
  <c r="A1324" i="1"/>
  <c r="H1323" i="1"/>
  <c r="G1323" i="1"/>
  <c r="E1323" i="1"/>
  <c r="B1323" i="1"/>
  <c r="A1323" i="1"/>
  <c r="H1322" i="1"/>
  <c r="G1322" i="1"/>
  <c r="E1322" i="1"/>
  <c r="B1322" i="1"/>
  <c r="A1322" i="1"/>
  <c r="H1321" i="1"/>
  <c r="G1321" i="1"/>
  <c r="B1321" i="1"/>
  <c r="A1321" i="1"/>
  <c r="H1320" i="1"/>
  <c r="G1320" i="1"/>
  <c r="E1320" i="1"/>
  <c r="B1320" i="1"/>
  <c r="A1320" i="1"/>
  <c r="H1319" i="1"/>
  <c r="G1319" i="1"/>
  <c r="E1319" i="1"/>
  <c r="B1319" i="1"/>
  <c r="A1319" i="1"/>
  <c r="H1318" i="1"/>
  <c r="G1318" i="1"/>
  <c r="E1318" i="1"/>
  <c r="B1318" i="1"/>
  <c r="A1318" i="1"/>
  <c r="H1317" i="1"/>
  <c r="G1317" i="1"/>
  <c r="E1317" i="1"/>
  <c r="B1317" i="1"/>
  <c r="A1317" i="1"/>
  <c r="H1316" i="1"/>
  <c r="G1316" i="1"/>
  <c r="E1316" i="1"/>
  <c r="B1316" i="1"/>
  <c r="A1316" i="1"/>
  <c r="H1315" i="1"/>
  <c r="G1315" i="1"/>
  <c r="E1315" i="1"/>
  <c r="B1315" i="1"/>
  <c r="A1315" i="1"/>
  <c r="H1314" i="1"/>
  <c r="G1314" i="1"/>
  <c r="E1314" i="1"/>
  <c r="B1314" i="1"/>
  <c r="A1314" i="1"/>
  <c r="H1313" i="1"/>
  <c r="G1313" i="1"/>
  <c r="E1313" i="1"/>
  <c r="B1313" i="1"/>
  <c r="A1313" i="1"/>
  <c r="H1312" i="1"/>
  <c r="G1312" i="1"/>
  <c r="E1312" i="1"/>
  <c r="B1312" i="1"/>
  <c r="A1312" i="1"/>
  <c r="H1311" i="1"/>
  <c r="G1311" i="1"/>
  <c r="E1311" i="1"/>
  <c r="B1311" i="1"/>
  <c r="A1311" i="1"/>
  <c r="H1310" i="1"/>
  <c r="G1310" i="1"/>
  <c r="E1310" i="1"/>
  <c r="B1310" i="1"/>
  <c r="A1310" i="1"/>
  <c r="H1309" i="1"/>
  <c r="G1309" i="1"/>
  <c r="E1309" i="1"/>
  <c r="B1309" i="1"/>
  <c r="A1309" i="1"/>
  <c r="H1308" i="1"/>
  <c r="G1308" i="1"/>
  <c r="E1308" i="1"/>
  <c r="B1308" i="1"/>
  <c r="A1308" i="1"/>
  <c r="H1307" i="1"/>
  <c r="G1307" i="1"/>
  <c r="E1307" i="1"/>
  <c r="B1307" i="1"/>
  <c r="A1307" i="1"/>
  <c r="H1306" i="1"/>
  <c r="G1306" i="1"/>
  <c r="E1306" i="1"/>
  <c r="B1306" i="1"/>
  <c r="A1306" i="1"/>
  <c r="H1305" i="1"/>
  <c r="G1305" i="1"/>
  <c r="E1305" i="1"/>
  <c r="B1305" i="1"/>
  <c r="A1305" i="1"/>
  <c r="H1304" i="1"/>
  <c r="G1304" i="1"/>
  <c r="E1304" i="1"/>
  <c r="B1304" i="1"/>
  <c r="A1304" i="1"/>
  <c r="H1303" i="1"/>
  <c r="G1303" i="1"/>
  <c r="E1303" i="1"/>
  <c r="B1303" i="1"/>
  <c r="A1303" i="1"/>
  <c r="H1302" i="1"/>
  <c r="G1302" i="1"/>
  <c r="E1302" i="1"/>
  <c r="B1302" i="1"/>
  <c r="A1302" i="1"/>
  <c r="H1301" i="1"/>
  <c r="G1301" i="1"/>
  <c r="E1301" i="1"/>
  <c r="B1301" i="1"/>
  <c r="A1301" i="1"/>
  <c r="H1300" i="1"/>
  <c r="G1300" i="1"/>
  <c r="E1300" i="1"/>
  <c r="B1300" i="1"/>
  <c r="A1300" i="1"/>
  <c r="H1299" i="1"/>
  <c r="G1299" i="1"/>
  <c r="E1299" i="1"/>
  <c r="B1299" i="1"/>
  <c r="A1299" i="1"/>
  <c r="H1298" i="1"/>
  <c r="G1298" i="1"/>
  <c r="E1298" i="1"/>
  <c r="B1298" i="1"/>
  <c r="A1298" i="1"/>
  <c r="H1297" i="1"/>
  <c r="G1297" i="1"/>
  <c r="E1297" i="1"/>
  <c r="B1297" i="1"/>
  <c r="A1297" i="1"/>
  <c r="H1296" i="1"/>
  <c r="G1296" i="1"/>
  <c r="E1296" i="1"/>
  <c r="B1296" i="1"/>
  <c r="A1296" i="1"/>
  <c r="H1295" i="1"/>
  <c r="G1295" i="1"/>
  <c r="E1295" i="1"/>
  <c r="B1295" i="1"/>
  <c r="A1295" i="1"/>
  <c r="H1294" i="1"/>
  <c r="G1294" i="1"/>
  <c r="E1294" i="1"/>
  <c r="B1294" i="1"/>
  <c r="A1294" i="1"/>
  <c r="H1293" i="1"/>
  <c r="G1293" i="1"/>
  <c r="E1293" i="1"/>
  <c r="B1293" i="1"/>
  <c r="A1293" i="1"/>
  <c r="H1292" i="1"/>
  <c r="G1292" i="1"/>
  <c r="E1292" i="1"/>
  <c r="B1292" i="1"/>
  <c r="A1292" i="1"/>
  <c r="H1291" i="1"/>
  <c r="G1291" i="1"/>
  <c r="E1291" i="1"/>
  <c r="B1291" i="1"/>
  <c r="A1291" i="1"/>
  <c r="H1290" i="1"/>
  <c r="G1290" i="1"/>
  <c r="E1290" i="1"/>
  <c r="B1290" i="1"/>
  <c r="A1290" i="1"/>
  <c r="H1289" i="1"/>
  <c r="G1289" i="1"/>
  <c r="E1289" i="1"/>
  <c r="B1289" i="1"/>
  <c r="A1289" i="1"/>
  <c r="H1288" i="1"/>
  <c r="G1288" i="1"/>
  <c r="E1288" i="1"/>
  <c r="B1288" i="1"/>
  <c r="A1288" i="1"/>
  <c r="H1287" i="1"/>
  <c r="G1287" i="1"/>
  <c r="E1287" i="1"/>
  <c r="B1287" i="1"/>
  <c r="A1287" i="1"/>
  <c r="H1286" i="1"/>
  <c r="G1286" i="1"/>
  <c r="E1286" i="1"/>
  <c r="B1286" i="1"/>
  <c r="A1286" i="1"/>
  <c r="H1285" i="1"/>
  <c r="G1285" i="1"/>
  <c r="E1285" i="1"/>
  <c r="B1285" i="1"/>
  <c r="A1285" i="1"/>
  <c r="H1284" i="1"/>
  <c r="G1284" i="1"/>
  <c r="E1284" i="1"/>
  <c r="B1284" i="1"/>
  <c r="A1284" i="1"/>
  <c r="H1283" i="1"/>
  <c r="G1283" i="1"/>
  <c r="E1283" i="1"/>
  <c r="B1283" i="1"/>
  <c r="A1283" i="1"/>
  <c r="H1282" i="1"/>
  <c r="G1282" i="1"/>
  <c r="E1282" i="1"/>
  <c r="B1282" i="1"/>
  <c r="A1282" i="1"/>
  <c r="H1281" i="1"/>
  <c r="G1281" i="1"/>
  <c r="E1281" i="1"/>
  <c r="B1281" i="1"/>
  <c r="A1281" i="1"/>
  <c r="H1280" i="1"/>
  <c r="G1280" i="1"/>
  <c r="E1280" i="1"/>
  <c r="B1280" i="1"/>
  <c r="A1280" i="1"/>
  <c r="H1279" i="1"/>
  <c r="G1279" i="1"/>
  <c r="E1279" i="1"/>
  <c r="B1279" i="1"/>
  <c r="A1279" i="1"/>
  <c r="H1278" i="1"/>
  <c r="G1278" i="1"/>
  <c r="E1278" i="1"/>
  <c r="B1278" i="1"/>
  <c r="A1278" i="1"/>
  <c r="H1277" i="1"/>
  <c r="G1277" i="1"/>
  <c r="E1277" i="1"/>
  <c r="B1277" i="1"/>
  <c r="A1277" i="1"/>
  <c r="H1276" i="1"/>
  <c r="G1276" i="1"/>
  <c r="E1276" i="1"/>
  <c r="B1276" i="1"/>
  <c r="A1276" i="1"/>
  <c r="H1275" i="1"/>
  <c r="G1275" i="1"/>
  <c r="E1275" i="1"/>
  <c r="B1275" i="1"/>
  <c r="A1275" i="1"/>
  <c r="H1274" i="1"/>
  <c r="G1274" i="1"/>
  <c r="E1274" i="1"/>
  <c r="B1274" i="1"/>
  <c r="A1274" i="1"/>
  <c r="H1273" i="1"/>
  <c r="G1273" i="1"/>
  <c r="E1273" i="1"/>
  <c r="B1273" i="1"/>
  <c r="A1273" i="1"/>
  <c r="H1272" i="1"/>
  <c r="G1272" i="1"/>
  <c r="E1272" i="1"/>
  <c r="B1272" i="1"/>
  <c r="A1272" i="1"/>
  <c r="H1271" i="1"/>
  <c r="G1271" i="1"/>
  <c r="E1271" i="1"/>
  <c r="B1271" i="1"/>
  <c r="A1271" i="1"/>
  <c r="H1270" i="1"/>
  <c r="G1270" i="1"/>
  <c r="E1270" i="1"/>
  <c r="B1270" i="1"/>
  <c r="A1270" i="1"/>
  <c r="H1269" i="1"/>
  <c r="G1269" i="1"/>
  <c r="E1269" i="1"/>
  <c r="B1269" i="1"/>
  <c r="A1269" i="1"/>
  <c r="H1268" i="1"/>
  <c r="G1268" i="1"/>
  <c r="E1268" i="1"/>
  <c r="B1268" i="1"/>
  <c r="A1268" i="1"/>
  <c r="H1267" i="1"/>
  <c r="G1267" i="1"/>
  <c r="E1267" i="1"/>
  <c r="B1267" i="1"/>
  <c r="A1267" i="1"/>
  <c r="H1266" i="1"/>
  <c r="G1266" i="1"/>
  <c r="E1266" i="1"/>
  <c r="B1266" i="1"/>
  <c r="A1266" i="1"/>
  <c r="H1265" i="1"/>
  <c r="G1265" i="1"/>
  <c r="E1265" i="1"/>
  <c r="B1265" i="1"/>
  <c r="A1265" i="1"/>
  <c r="H1264" i="1"/>
  <c r="G1264" i="1"/>
  <c r="E1264" i="1"/>
  <c r="B1264" i="1"/>
  <c r="A1264" i="1"/>
  <c r="H1263" i="1"/>
  <c r="G1263" i="1"/>
  <c r="E1263" i="1"/>
  <c r="B1263" i="1"/>
  <c r="A1263" i="1"/>
  <c r="H1262" i="1"/>
  <c r="G1262" i="1"/>
  <c r="E1262" i="1"/>
  <c r="B1262" i="1"/>
  <c r="A1262" i="1"/>
  <c r="H1261" i="1"/>
  <c r="G1261" i="1"/>
  <c r="E1261" i="1"/>
  <c r="B1261" i="1"/>
  <c r="A1261" i="1"/>
  <c r="H1260" i="1"/>
  <c r="G1260" i="1"/>
  <c r="E1260" i="1"/>
  <c r="B1260" i="1"/>
  <c r="A1260" i="1"/>
  <c r="H1259" i="1"/>
  <c r="G1259" i="1"/>
  <c r="E1259" i="1"/>
  <c r="B1259" i="1"/>
  <c r="A1259" i="1"/>
  <c r="H1258" i="1"/>
  <c r="G1258" i="1"/>
  <c r="E1258" i="1"/>
  <c r="B1258" i="1"/>
  <c r="A1258" i="1"/>
  <c r="H1257" i="1"/>
  <c r="G1257" i="1"/>
  <c r="E1257" i="1"/>
  <c r="B1257" i="1"/>
  <c r="A1257" i="1"/>
  <c r="H1256" i="1"/>
  <c r="G1256" i="1"/>
  <c r="E1256" i="1"/>
  <c r="B1256" i="1"/>
  <c r="A1256" i="1"/>
  <c r="H1255" i="1"/>
  <c r="G1255" i="1"/>
  <c r="E1255" i="1"/>
  <c r="B1255" i="1"/>
  <c r="A1255" i="1"/>
  <c r="H1254" i="1"/>
  <c r="G1254" i="1"/>
  <c r="E1254" i="1"/>
  <c r="B1254" i="1"/>
  <c r="A1254" i="1"/>
  <c r="H1253" i="1"/>
  <c r="G1253" i="1"/>
  <c r="E1253" i="1"/>
  <c r="B1253" i="1"/>
  <c r="A1253" i="1"/>
  <c r="H1252" i="1"/>
  <c r="G1252" i="1"/>
  <c r="E1252" i="1"/>
  <c r="B1252" i="1"/>
  <c r="A1252" i="1"/>
  <c r="H1251" i="1"/>
  <c r="G1251" i="1"/>
  <c r="E1251" i="1"/>
  <c r="B1251" i="1"/>
  <c r="A1251" i="1"/>
  <c r="H1250" i="1"/>
  <c r="G1250" i="1"/>
  <c r="E1250" i="1"/>
  <c r="B1250" i="1"/>
  <c r="A1250" i="1"/>
  <c r="H1249" i="1"/>
  <c r="G1249" i="1"/>
  <c r="E1249" i="1"/>
  <c r="B1249" i="1"/>
  <c r="A1249" i="1"/>
  <c r="H1248" i="1"/>
  <c r="G1248" i="1"/>
  <c r="E1248" i="1"/>
  <c r="B1248" i="1"/>
  <c r="A1248" i="1"/>
  <c r="H1247" i="1"/>
  <c r="G1247" i="1"/>
  <c r="E1247" i="1"/>
  <c r="B1247" i="1"/>
  <c r="A1247" i="1"/>
  <c r="H1246" i="1"/>
  <c r="G1246" i="1"/>
  <c r="E1246" i="1"/>
  <c r="B1246" i="1"/>
  <c r="A1246" i="1"/>
  <c r="H1245" i="1"/>
  <c r="G1245" i="1"/>
  <c r="E1245" i="1"/>
  <c r="B1245" i="1"/>
  <c r="A1245" i="1"/>
  <c r="H1244" i="1"/>
  <c r="G1244" i="1"/>
  <c r="E1244" i="1"/>
  <c r="B1244" i="1"/>
  <c r="A1244" i="1"/>
  <c r="H1243" i="1"/>
  <c r="G1243" i="1"/>
  <c r="E1243" i="1"/>
  <c r="B1243" i="1"/>
  <c r="A1243" i="1"/>
  <c r="H1242" i="1"/>
  <c r="G1242" i="1"/>
  <c r="E1242" i="1"/>
  <c r="B1242" i="1"/>
  <c r="A1242" i="1"/>
  <c r="H1241" i="1"/>
  <c r="G1241" i="1"/>
  <c r="E1241" i="1"/>
  <c r="B1241" i="1"/>
  <c r="A1241" i="1"/>
  <c r="H1240" i="1"/>
  <c r="G1240" i="1"/>
  <c r="E1240" i="1"/>
  <c r="B1240" i="1"/>
  <c r="A1240" i="1"/>
  <c r="H1239" i="1"/>
  <c r="G1239" i="1"/>
  <c r="E1239" i="1"/>
  <c r="B1239" i="1"/>
  <c r="A1239" i="1"/>
  <c r="H1238" i="1"/>
  <c r="G1238" i="1"/>
  <c r="E1238" i="1"/>
  <c r="B1238" i="1"/>
  <c r="A1238" i="1"/>
  <c r="H1237" i="1"/>
  <c r="G1237" i="1"/>
  <c r="E1237" i="1"/>
  <c r="B1237" i="1"/>
  <c r="A1237" i="1"/>
  <c r="H1236" i="1"/>
  <c r="G1236" i="1"/>
  <c r="E1236" i="1"/>
  <c r="B1236" i="1"/>
  <c r="A1236" i="1"/>
  <c r="H1235" i="1"/>
  <c r="G1235" i="1"/>
  <c r="E1235" i="1"/>
  <c r="B1235" i="1"/>
  <c r="A1235" i="1"/>
  <c r="H1234" i="1"/>
  <c r="G1234" i="1"/>
  <c r="E1234" i="1"/>
  <c r="B1234" i="1"/>
  <c r="A1234" i="1"/>
  <c r="H1233" i="1"/>
  <c r="G1233" i="1"/>
  <c r="E1233" i="1"/>
  <c r="B1233" i="1"/>
  <c r="A1233" i="1"/>
  <c r="H1232" i="1"/>
  <c r="G1232" i="1"/>
  <c r="E1232" i="1"/>
  <c r="B1232" i="1"/>
  <c r="A1232" i="1"/>
  <c r="H1231" i="1"/>
  <c r="G1231" i="1"/>
  <c r="E1231" i="1"/>
  <c r="B1231" i="1"/>
  <c r="A1231" i="1"/>
  <c r="H1230" i="1"/>
  <c r="G1230" i="1"/>
  <c r="E1230" i="1"/>
  <c r="B1230" i="1"/>
  <c r="A1230" i="1"/>
  <c r="H1229" i="1"/>
  <c r="G1229" i="1"/>
  <c r="E1229" i="1"/>
  <c r="B1229" i="1"/>
  <c r="A1229" i="1"/>
  <c r="H1228" i="1"/>
  <c r="G1228" i="1"/>
  <c r="E1228" i="1"/>
  <c r="B1228" i="1"/>
  <c r="A1228" i="1"/>
  <c r="H1227" i="1"/>
  <c r="G1227" i="1"/>
  <c r="E1227" i="1"/>
  <c r="B1227" i="1"/>
  <c r="A1227" i="1"/>
  <c r="H1226" i="1"/>
  <c r="G1226" i="1"/>
  <c r="E1226" i="1"/>
  <c r="B1226" i="1"/>
  <c r="A1226" i="1"/>
  <c r="H1225" i="1"/>
  <c r="G1225" i="1"/>
  <c r="E1225" i="1"/>
  <c r="B1225" i="1"/>
  <c r="A1225" i="1"/>
  <c r="H1224" i="1"/>
  <c r="G1224" i="1"/>
  <c r="E1224" i="1"/>
  <c r="B1224" i="1"/>
  <c r="A1224" i="1"/>
  <c r="H1223" i="1"/>
  <c r="G1223" i="1"/>
  <c r="E1223" i="1"/>
  <c r="B1223" i="1"/>
  <c r="A1223" i="1"/>
  <c r="H1222" i="1"/>
  <c r="G1222" i="1"/>
  <c r="E1222" i="1"/>
  <c r="B1222" i="1"/>
  <c r="A1222" i="1"/>
  <c r="H1221" i="1"/>
  <c r="G1221" i="1"/>
  <c r="E1221" i="1"/>
  <c r="B1221" i="1"/>
  <c r="A1221" i="1"/>
  <c r="H1220" i="1"/>
  <c r="G1220" i="1"/>
  <c r="E1220" i="1"/>
  <c r="B1220" i="1"/>
  <c r="A1220" i="1"/>
  <c r="H1219" i="1"/>
  <c r="G1219" i="1"/>
  <c r="E1219" i="1"/>
  <c r="B1219" i="1"/>
  <c r="A1219" i="1"/>
  <c r="H1218" i="1"/>
  <c r="G1218" i="1"/>
  <c r="E1218" i="1"/>
  <c r="B1218" i="1"/>
  <c r="A1218" i="1"/>
  <c r="H1217" i="1"/>
  <c r="G1217" i="1"/>
  <c r="E1217" i="1"/>
  <c r="B1217" i="1"/>
  <c r="A1217" i="1"/>
  <c r="H1216" i="1"/>
  <c r="G1216" i="1"/>
  <c r="E1216" i="1"/>
  <c r="B1216" i="1"/>
  <c r="A1216" i="1"/>
  <c r="H1215" i="1"/>
  <c r="G1215" i="1"/>
  <c r="E1215" i="1"/>
  <c r="B1215" i="1"/>
  <c r="A1215" i="1"/>
  <c r="H1214" i="1"/>
  <c r="G1214" i="1"/>
  <c r="E1214" i="1"/>
  <c r="B1214" i="1"/>
  <c r="A1214" i="1"/>
  <c r="H1213" i="1"/>
  <c r="G1213" i="1"/>
  <c r="E1213" i="1"/>
  <c r="B1213" i="1"/>
  <c r="A1213" i="1"/>
  <c r="H1212" i="1"/>
  <c r="G1212" i="1"/>
  <c r="E1212" i="1"/>
  <c r="B1212" i="1"/>
  <c r="A1212" i="1"/>
  <c r="H1211" i="1"/>
  <c r="G1211" i="1"/>
  <c r="B1211" i="1"/>
  <c r="A1211" i="1"/>
  <c r="H1210" i="1"/>
  <c r="G1210" i="1"/>
  <c r="E1210" i="1"/>
  <c r="B1210" i="1"/>
  <c r="A1210" i="1"/>
  <c r="H1209" i="1"/>
  <c r="G1209" i="1"/>
  <c r="E1209" i="1"/>
  <c r="B1209" i="1"/>
  <c r="A1209" i="1"/>
  <c r="H1208" i="1"/>
  <c r="G1208" i="1"/>
  <c r="E1208" i="1"/>
  <c r="B1208" i="1"/>
  <c r="A1208" i="1"/>
  <c r="H1207" i="1"/>
  <c r="G1207" i="1"/>
  <c r="E1207" i="1"/>
  <c r="B1207" i="1"/>
  <c r="A1207" i="1"/>
  <c r="H1206" i="1"/>
  <c r="G1206" i="1"/>
  <c r="E1206" i="1"/>
  <c r="B1206" i="1"/>
  <c r="A1206" i="1"/>
  <c r="H1205" i="1"/>
  <c r="G1205" i="1"/>
  <c r="E1205" i="1"/>
  <c r="B1205" i="1"/>
  <c r="A1205" i="1"/>
  <c r="H1204" i="1"/>
  <c r="G1204" i="1"/>
  <c r="B1204" i="1"/>
  <c r="A1204" i="1"/>
  <c r="H1203" i="1"/>
  <c r="G1203" i="1"/>
  <c r="E1203" i="1"/>
  <c r="B1203" i="1"/>
  <c r="A1203" i="1"/>
  <c r="H1202" i="1"/>
  <c r="G1202" i="1"/>
  <c r="E1202" i="1"/>
  <c r="B1202" i="1"/>
  <c r="A1202" i="1"/>
  <c r="H1201" i="1"/>
  <c r="G1201" i="1"/>
  <c r="E1201" i="1"/>
  <c r="B1201" i="1"/>
  <c r="A1201" i="1"/>
  <c r="H1200" i="1"/>
  <c r="G1200" i="1"/>
  <c r="B1200" i="1"/>
  <c r="A1200" i="1"/>
  <c r="H1199" i="1"/>
  <c r="G1199" i="1"/>
  <c r="E1199" i="1"/>
  <c r="B1199" i="1"/>
  <c r="A1199" i="1"/>
  <c r="H1198" i="1"/>
  <c r="G1198" i="1"/>
  <c r="E1198" i="1"/>
  <c r="B1198" i="1"/>
  <c r="A1198" i="1"/>
  <c r="H1197" i="1"/>
  <c r="G1197" i="1"/>
  <c r="E1197" i="1"/>
  <c r="B1197" i="1"/>
  <c r="A1197" i="1"/>
  <c r="H1196" i="1"/>
  <c r="G1196" i="1"/>
  <c r="E1196" i="1"/>
  <c r="B1196" i="1"/>
  <c r="A1196" i="1"/>
  <c r="H1195" i="1"/>
  <c r="G1195" i="1"/>
  <c r="E1195" i="1"/>
  <c r="B1195" i="1"/>
  <c r="A1195" i="1"/>
  <c r="H1194" i="1"/>
  <c r="G1194" i="1"/>
  <c r="B1194" i="1"/>
  <c r="A1194" i="1"/>
  <c r="H1193" i="1"/>
  <c r="G1193" i="1"/>
  <c r="E1193" i="1"/>
  <c r="B1193" i="1"/>
  <c r="A1193" i="1"/>
  <c r="H1192" i="1"/>
  <c r="G1192" i="1"/>
  <c r="E1192" i="1"/>
  <c r="B1192" i="1"/>
  <c r="A1192" i="1"/>
  <c r="H1191" i="1"/>
  <c r="G1191" i="1"/>
  <c r="E1191" i="1"/>
  <c r="B1191" i="1"/>
  <c r="A1191" i="1"/>
  <c r="H1190" i="1"/>
  <c r="G1190" i="1"/>
  <c r="E1190" i="1"/>
  <c r="B1190" i="1"/>
  <c r="A1190" i="1"/>
  <c r="H1189" i="1"/>
  <c r="G1189" i="1"/>
  <c r="B1189" i="1"/>
  <c r="A1189" i="1"/>
  <c r="H1188" i="1"/>
  <c r="G1188" i="1"/>
  <c r="E1188" i="1"/>
  <c r="B1188" i="1"/>
  <c r="A1188" i="1"/>
  <c r="H1187" i="1"/>
  <c r="G1187" i="1"/>
  <c r="E1187" i="1"/>
  <c r="B1187" i="1"/>
  <c r="A1187" i="1"/>
  <c r="H1186" i="1"/>
  <c r="G1186" i="1"/>
  <c r="E1186" i="1"/>
  <c r="B1186" i="1"/>
  <c r="A1186" i="1"/>
  <c r="H1185" i="1"/>
  <c r="G1185" i="1"/>
  <c r="B1185" i="1"/>
  <c r="A1185" i="1"/>
  <c r="H1184" i="1"/>
  <c r="G1184" i="1"/>
  <c r="E1184" i="1"/>
  <c r="B1184" i="1"/>
  <c r="A1184" i="1"/>
  <c r="H1183" i="1"/>
  <c r="G1183" i="1"/>
  <c r="E1183" i="1"/>
  <c r="B1183" i="1"/>
  <c r="A1183" i="1"/>
  <c r="H1182" i="1"/>
  <c r="G1182" i="1"/>
  <c r="E1182" i="1"/>
  <c r="B1182" i="1"/>
  <c r="A1182" i="1"/>
  <c r="H1181" i="1"/>
  <c r="G1181" i="1"/>
  <c r="E1181" i="1"/>
  <c r="B1181" i="1"/>
  <c r="A1181" i="1"/>
  <c r="H1180" i="1"/>
  <c r="G1180" i="1"/>
  <c r="E1180" i="1"/>
  <c r="B1180" i="1"/>
  <c r="A1180" i="1"/>
  <c r="H1179" i="1"/>
  <c r="G1179" i="1"/>
  <c r="E1179" i="1"/>
  <c r="B1179" i="1"/>
  <c r="A1179" i="1"/>
  <c r="H1178" i="1"/>
  <c r="G1178" i="1"/>
  <c r="E1178" i="1"/>
  <c r="B1178" i="1"/>
  <c r="A1178" i="1"/>
  <c r="H1177" i="1"/>
  <c r="G1177" i="1"/>
  <c r="E1177" i="1"/>
  <c r="B1177" i="1"/>
  <c r="A1177" i="1"/>
  <c r="H1176" i="1"/>
  <c r="G1176" i="1"/>
  <c r="E1176" i="1"/>
  <c r="B1176" i="1"/>
  <c r="A1176" i="1"/>
  <c r="H1175" i="1"/>
  <c r="G1175" i="1"/>
  <c r="E1175" i="1"/>
  <c r="B1175" i="1"/>
  <c r="A1175" i="1"/>
  <c r="H1174" i="1"/>
  <c r="G1174" i="1"/>
  <c r="E1174" i="1"/>
  <c r="B1174" i="1"/>
  <c r="A1174" i="1"/>
  <c r="H1173" i="1"/>
  <c r="G1173" i="1"/>
  <c r="E1173" i="1"/>
  <c r="B1173" i="1"/>
  <c r="A1173" i="1"/>
  <c r="H1172" i="1"/>
  <c r="G1172" i="1"/>
  <c r="E1172" i="1"/>
  <c r="B1172" i="1"/>
  <c r="A1172" i="1"/>
  <c r="H1171" i="1"/>
  <c r="G1171" i="1"/>
  <c r="E1171" i="1"/>
  <c r="B1171" i="1"/>
  <c r="A1171" i="1"/>
  <c r="H1170" i="1"/>
  <c r="G1170" i="1"/>
  <c r="E1170" i="1"/>
  <c r="B1170" i="1"/>
  <c r="A1170" i="1"/>
  <c r="H1169" i="1"/>
  <c r="G1169" i="1"/>
  <c r="E1169" i="1"/>
  <c r="B1169" i="1"/>
  <c r="A1169" i="1"/>
  <c r="H1168" i="1"/>
  <c r="G1168" i="1"/>
  <c r="E1168" i="1"/>
  <c r="B1168" i="1"/>
  <c r="A1168" i="1"/>
  <c r="H1167" i="1"/>
  <c r="G1167" i="1"/>
  <c r="E1167" i="1"/>
  <c r="B1167" i="1"/>
  <c r="A1167" i="1"/>
  <c r="H1166" i="1"/>
  <c r="G1166" i="1"/>
  <c r="E1166" i="1"/>
  <c r="B1166" i="1"/>
  <c r="A1166" i="1"/>
  <c r="H1165" i="1"/>
  <c r="G1165" i="1"/>
  <c r="E1165" i="1"/>
  <c r="B1165" i="1"/>
  <c r="A1165" i="1"/>
  <c r="H1164" i="1"/>
  <c r="G1164" i="1"/>
  <c r="E1164" i="1"/>
  <c r="B1164" i="1"/>
  <c r="A1164" i="1"/>
  <c r="H1163" i="1"/>
  <c r="G1163" i="1"/>
  <c r="E1163" i="1"/>
  <c r="B1163" i="1"/>
  <c r="A1163" i="1"/>
  <c r="H1162" i="1"/>
  <c r="G1162" i="1"/>
  <c r="E1162" i="1"/>
  <c r="B1162" i="1"/>
  <c r="A1162" i="1"/>
  <c r="H1161" i="1"/>
  <c r="G1161" i="1"/>
  <c r="E1161" i="1"/>
  <c r="B1161" i="1"/>
  <c r="A1161" i="1"/>
  <c r="H1160" i="1"/>
  <c r="G1160" i="1"/>
  <c r="E1160" i="1"/>
  <c r="B1160" i="1"/>
  <c r="A1160" i="1"/>
  <c r="H1159" i="1"/>
  <c r="G1159" i="1"/>
  <c r="E1159" i="1"/>
  <c r="B1159" i="1"/>
  <c r="A1159" i="1"/>
  <c r="H1158" i="1"/>
  <c r="G1158" i="1"/>
  <c r="E1158" i="1"/>
  <c r="B1158" i="1"/>
  <c r="A1158" i="1"/>
  <c r="H1157" i="1"/>
  <c r="G1157" i="1"/>
  <c r="E1157" i="1"/>
  <c r="B1157" i="1"/>
  <c r="A1157" i="1"/>
  <c r="H1156" i="1"/>
  <c r="G1156" i="1"/>
  <c r="E1156" i="1"/>
  <c r="B1156" i="1"/>
  <c r="A1156" i="1"/>
  <c r="H1155" i="1"/>
  <c r="G1155" i="1"/>
  <c r="E1155" i="1"/>
  <c r="B1155" i="1"/>
  <c r="A1155" i="1"/>
  <c r="H1154" i="1"/>
  <c r="G1154" i="1"/>
  <c r="E1154" i="1"/>
  <c r="B1154" i="1"/>
  <c r="A1154" i="1"/>
  <c r="H1153" i="1"/>
  <c r="G1153" i="1"/>
  <c r="E1153" i="1"/>
  <c r="B1153" i="1"/>
  <c r="A1153" i="1"/>
  <c r="H1152" i="1"/>
  <c r="G1152" i="1"/>
  <c r="E1152" i="1"/>
  <c r="B1152" i="1"/>
  <c r="A1152" i="1"/>
  <c r="H1151" i="1"/>
  <c r="G1151" i="1"/>
  <c r="E1151" i="1"/>
  <c r="B1151" i="1"/>
  <c r="A1151" i="1"/>
  <c r="H1150" i="1"/>
  <c r="G1150" i="1"/>
  <c r="E1150" i="1"/>
  <c r="B1150" i="1"/>
  <c r="A1150" i="1"/>
  <c r="H1149" i="1"/>
  <c r="G1149" i="1"/>
  <c r="E1149" i="1"/>
  <c r="B1149" i="1"/>
  <c r="A1149" i="1"/>
  <c r="H1148" i="1"/>
  <c r="G1148" i="1"/>
  <c r="E1148" i="1"/>
  <c r="B1148" i="1"/>
  <c r="A1148" i="1"/>
  <c r="H1147" i="1"/>
  <c r="G1147" i="1"/>
  <c r="E1147" i="1"/>
  <c r="B1147" i="1"/>
  <c r="A1147" i="1"/>
  <c r="H1146" i="1"/>
  <c r="G1146" i="1"/>
  <c r="E1146" i="1"/>
  <c r="B1146" i="1"/>
  <c r="A1146" i="1"/>
  <c r="H1145" i="1"/>
  <c r="G1145" i="1"/>
  <c r="E1145" i="1"/>
  <c r="B1145" i="1"/>
  <c r="A1145" i="1"/>
  <c r="H1144" i="1"/>
  <c r="G1144" i="1"/>
  <c r="E1144" i="1"/>
  <c r="B1144" i="1"/>
  <c r="A1144" i="1"/>
  <c r="H1143" i="1"/>
  <c r="G1143" i="1"/>
  <c r="E1143" i="1"/>
  <c r="B1143" i="1"/>
  <c r="A1143" i="1"/>
  <c r="H1142" i="1"/>
  <c r="G1142" i="1"/>
  <c r="E1142" i="1"/>
  <c r="B1142" i="1"/>
  <c r="A1142" i="1"/>
  <c r="H1141" i="1"/>
  <c r="G1141" i="1"/>
  <c r="E1141" i="1"/>
  <c r="B1141" i="1"/>
  <c r="A1141" i="1"/>
  <c r="H1140" i="1"/>
  <c r="G1140" i="1"/>
  <c r="E1140" i="1"/>
  <c r="B1140" i="1"/>
  <c r="A1140" i="1"/>
  <c r="H1139" i="1"/>
  <c r="G1139" i="1"/>
  <c r="E1139" i="1"/>
  <c r="B1139" i="1"/>
  <c r="A1139" i="1"/>
  <c r="H1138" i="1"/>
  <c r="G1138" i="1"/>
  <c r="E1138" i="1"/>
  <c r="B1138" i="1"/>
  <c r="A1138" i="1"/>
  <c r="H1137" i="1"/>
  <c r="G1137" i="1"/>
  <c r="E1137" i="1"/>
  <c r="B1137" i="1"/>
  <c r="A1137" i="1"/>
  <c r="H1136" i="1"/>
  <c r="G1136" i="1"/>
  <c r="E1136" i="1"/>
  <c r="B1136" i="1"/>
  <c r="A1136" i="1"/>
  <c r="H1135" i="1"/>
  <c r="G1135" i="1"/>
  <c r="E1135" i="1"/>
  <c r="B1135" i="1"/>
  <c r="A1135" i="1"/>
  <c r="H1134" i="1"/>
  <c r="G1134" i="1"/>
  <c r="E1134" i="1"/>
  <c r="B1134" i="1"/>
  <c r="A1134" i="1"/>
  <c r="H1133" i="1"/>
  <c r="G1133" i="1"/>
  <c r="B1133" i="1"/>
  <c r="A1133" i="1"/>
  <c r="H1132" i="1"/>
  <c r="G1132" i="1"/>
  <c r="E1132" i="1"/>
  <c r="B1132" i="1"/>
  <c r="A1132" i="1"/>
  <c r="H1131" i="1"/>
  <c r="G1131" i="1"/>
  <c r="E1131" i="1"/>
  <c r="B1131" i="1"/>
  <c r="A1131" i="1"/>
  <c r="H1130" i="1"/>
  <c r="G1130" i="1"/>
  <c r="E1130" i="1"/>
  <c r="B1130" i="1"/>
  <c r="A1130" i="1"/>
  <c r="H1129" i="1"/>
  <c r="G1129" i="1"/>
  <c r="E1129" i="1"/>
  <c r="B1129" i="1"/>
  <c r="A1129" i="1"/>
  <c r="H1128" i="1"/>
  <c r="G1128" i="1"/>
  <c r="E1128" i="1"/>
  <c r="B1128" i="1"/>
  <c r="A1128" i="1"/>
  <c r="H1127" i="1"/>
  <c r="G1127" i="1"/>
  <c r="E1127" i="1"/>
  <c r="B1127" i="1"/>
  <c r="A1127" i="1"/>
  <c r="H1126" i="1"/>
  <c r="G1126" i="1"/>
  <c r="E1126" i="1"/>
  <c r="B1126" i="1"/>
  <c r="A1126" i="1"/>
  <c r="H1125" i="1"/>
  <c r="G1125" i="1"/>
  <c r="E1125" i="1"/>
  <c r="B1125" i="1"/>
  <c r="A1125" i="1"/>
  <c r="H1124" i="1"/>
  <c r="G1124" i="1"/>
  <c r="E1124" i="1"/>
  <c r="B1124" i="1"/>
  <c r="A1124" i="1"/>
  <c r="H1123" i="1"/>
  <c r="G1123" i="1"/>
  <c r="E1123" i="1"/>
  <c r="B1123" i="1"/>
  <c r="A1123" i="1"/>
  <c r="H1122" i="1"/>
  <c r="G1122" i="1"/>
  <c r="E1122" i="1"/>
  <c r="B1122" i="1"/>
  <c r="A1122" i="1"/>
  <c r="H1121" i="1"/>
  <c r="G1121" i="1"/>
  <c r="E1121" i="1"/>
  <c r="B1121" i="1"/>
  <c r="A1121" i="1"/>
  <c r="H1120" i="1"/>
  <c r="G1120" i="1"/>
  <c r="E1120" i="1"/>
  <c r="B1120" i="1"/>
  <c r="A1120" i="1"/>
  <c r="H1119" i="1"/>
  <c r="G1119" i="1"/>
  <c r="E1119" i="1"/>
  <c r="B1119" i="1"/>
  <c r="A1119" i="1"/>
  <c r="H1118" i="1"/>
  <c r="G1118" i="1"/>
  <c r="E1118" i="1"/>
  <c r="B1118" i="1"/>
  <c r="A1118" i="1"/>
  <c r="H1117" i="1"/>
  <c r="G1117" i="1"/>
  <c r="E1117" i="1"/>
  <c r="B1117" i="1"/>
  <c r="A1117" i="1"/>
  <c r="H1116" i="1"/>
  <c r="G1116" i="1"/>
  <c r="E1116" i="1"/>
  <c r="B1116" i="1"/>
  <c r="A1116" i="1"/>
  <c r="H1115" i="1"/>
  <c r="G1115" i="1"/>
  <c r="E1115" i="1"/>
  <c r="B1115" i="1"/>
  <c r="A1115" i="1"/>
  <c r="H1114" i="1"/>
  <c r="G1114" i="1"/>
  <c r="E1114" i="1"/>
  <c r="B1114" i="1"/>
  <c r="A1114" i="1"/>
  <c r="H1113" i="1"/>
  <c r="G1113" i="1"/>
  <c r="E1113" i="1"/>
  <c r="B1113" i="1"/>
  <c r="A1113" i="1"/>
  <c r="H1112" i="1"/>
  <c r="G1112" i="1"/>
  <c r="E1112" i="1"/>
  <c r="B1112" i="1"/>
  <c r="A1112" i="1"/>
  <c r="H1111" i="1"/>
  <c r="G1111" i="1"/>
  <c r="E1111" i="1"/>
  <c r="B1111" i="1"/>
  <c r="A1111" i="1"/>
  <c r="H1110" i="1"/>
  <c r="G1110" i="1"/>
  <c r="E1110" i="1"/>
  <c r="B1110" i="1"/>
  <c r="A1110" i="1"/>
  <c r="H1109" i="1"/>
  <c r="G1109" i="1"/>
  <c r="E1109" i="1"/>
  <c r="B1109" i="1"/>
  <c r="A1109" i="1"/>
  <c r="H1108" i="1"/>
  <c r="G1108" i="1"/>
  <c r="E1108" i="1"/>
  <c r="B1108" i="1"/>
  <c r="A1108" i="1"/>
  <c r="H1107" i="1"/>
  <c r="G1107" i="1"/>
  <c r="E1107" i="1"/>
  <c r="B1107" i="1"/>
  <c r="A1107" i="1"/>
  <c r="H1106" i="1"/>
  <c r="G1106" i="1"/>
  <c r="E1106" i="1"/>
  <c r="B1106" i="1"/>
  <c r="A1106" i="1"/>
  <c r="H1105" i="1"/>
  <c r="G1105" i="1"/>
  <c r="E1105" i="1"/>
  <c r="B1105" i="1"/>
  <c r="A1105" i="1"/>
  <c r="H1104" i="1"/>
  <c r="G1104" i="1"/>
  <c r="E1104" i="1"/>
  <c r="B1104" i="1"/>
  <c r="A1104" i="1"/>
  <c r="H1103" i="1"/>
  <c r="G1103" i="1"/>
  <c r="E1103" i="1"/>
  <c r="B1103" i="1"/>
  <c r="A1103" i="1"/>
  <c r="H1102" i="1"/>
  <c r="G1102" i="1"/>
  <c r="E1102" i="1"/>
  <c r="B1102" i="1"/>
  <c r="A1102" i="1"/>
  <c r="H1101" i="1"/>
  <c r="G1101" i="1"/>
  <c r="E1101" i="1"/>
  <c r="B1101" i="1"/>
  <c r="A1101" i="1"/>
  <c r="H1100" i="1"/>
  <c r="G1100" i="1"/>
  <c r="E1100" i="1"/>
  <c r="B1100" i="1"/>
  <c r="A1100" i="1"/>
  <c r="H1099" i="1"/>
  <c r="G1099" i="1"/>
  <c r="E1099" i="1"/>
  <c r="B1099" i="1"/>
  <c r="A1099" i="1"/>
  <c r="H1098" i="1"/>
  <c r="G1098" i="1"/>
  <c r="E1098" i="1"/>
  <c r="B1098" i="1"/>
  <c r="A1098" i="1"/>
  <c r="H1097" i="1"/>
  <c r="G1097" i="1"/>
  <c r="E1097" i="1"/>
  <c r="B1097" i="1"/>
  <c r="A1097" i="1"/>
  <c r="H1096" i="1"/>
  <c r="G1096" i="1"/>
  <c r="E1096" i="1"/>
  <c r="B1096" i="1"/>
  <c r="A1096" i="1"/>
  <c r="H1095" i="1"/>
  <c r="G1095" i="1"/>
  <c r="E1095" i="1"/>
  <c r="B1095" i="1"/>
  <c r="A1095" i="1"/>
  <c r="H1094" i="1"/>
  <c r="G1094" i="1"/>
  <c r="E1094" i="1"/>
  <c r="B1094" i="1"/>
  <c r="A1094" i="1"/>
  <c r="H1093" i="1"/>
  <c r="G1093" i="1"/>
  <c r="E1093" i="1"/>
  <c r="B1093" i="1"/>
  <c r="A1093" i="1"/>
  <c r="H1092" i="1"/>
  <c r="G1092" i="1"/>
  <c r="E1092" i="1"/>
  <c r="B1092" i="1"/>
  <c r="A1092" i="1"/>
  <c r="H1091" i="1"/>
  <c r="G1091" i="1"/>
  <c r="E1091" i="1"/>
  <c r="B1091" i="1"/>
  <c r="A1091" i="1"/>
  <c r="H1090" i="1"/>
  <c r="G1090" i="1"/>
  <c r="E1090" i="1"/>
  <c r="B1090" i="1"/>
  <c r="A1090" i="1"/>
  <c r="H1089" i="1"/>
  <c r="G1089" i="1"/>
  <c r="E1089" i="1"/>
  <c r="B1089" i="1"/>
  <c r="A1089" i="1"/>
  <c r="H1088" i="1"/>
  <c r="G1088" i="1"/>
  <c r="E1088" i="1"/>
  <c r="B1088" i="1"/>
  <c r="A1088" i="1"/>
  <c r="H1087" i="1"/>
  <c r="G1087" i="1"/>
  <c r="E1087" i="1"/>
  <c r="B1087" i="1"/>
  <c r="A1087" i="1"/>
  <c r="H1086" i="1"/>
  <c r="G1086" i="1"/>
  <c r="E1086" i="1"/>
  <c r="B1086" i="1"/>
  <c r="A1086" i="1"/>
  <c r="H1085" i="1"/>
  <c r="G1085" i="1"/>
  <c r="E1085" i="1"/>
  <c r="B1085" i="1"/>
  <c r="A1085" i="1"/>
  <c r="H1084" i="1"/>
  <c r="G1084" i="1"/>
  <c r="E1084" i="1"/>
  <c r="B1084" i="1"/>
  <c r="A1084" i="1"/>
  <c r="H1083" i="1"/>
  <c r="G1083" i="1"/>
  <c r="E1083" i="1"/>
  <c r="B1083" i="1"/>
  <c r="A1083" i="1"/>
  <c r="H1082" i="1"/>
  <c r="G1082" i="1"/>
  <c r="E1082" i="1"/>
  <c r="B1082" i="1"/>
  <c r="A1082" i="1"/>
  <c r="H1081" i="1"/>
  <c r="G1081" i="1"/>
  <c r="E1081" i="1"/>
  <c r="B1081" i="1"/>
  <c r="A1081" i="1"/>
  <c r="H1080" i="1"/>
  <c r="G1080" i="1"/>
  <c r="E1080" i="1"/>
  <c r="B1080" i="1"/>
  <c r="A1080" i="1"/>
  <c r="H1079" i="1"/>
  <c r="G1079" i="1"/>
  <c r="B1079" i="1"/>
  <c r="A1079" i="1"/>
  <c r="H1078" i="1"/>
  <c r="G1078" i="1"/>
  <c r="E1078" i="1"/>
  <c r="B1078" i="1"/>
  <c r="A1078" i="1"/>
  <c r="H1077" i="1"/>
  <c r="G1077" i="1"/>
  <c r="E1077" i="1"/>
  <c r="B1077" i="1"/>
  <c r="A1077" i="1"/>
  <c r="H1076" i="1"/>
  <c r="G1076" i="1"/>
  <c r="E1076" i="1"/>
  <c r="B1076" i="1"/>
  <c r="A1076" i="1"/>
  <c r="H1075" i="1"/>
  <c r="G1075" i="1"/>
  <c r="E1075" i="1"/>
  <c r="B1075" i="1"/>
  <c r="A1075" i="1"/>
  <c r="H1074" i="1"/>
  <c r="G1074" i="1"/>
  <c r="E1074" i="1"/>
  <c r="B1074" i="1"/>
  <c r="A1074" i="1"/>
  <c r="H1073" i="1"/>
  <c r="G1073" i="1"/>
  <c r="E1073" i="1"/>
  <c r="B1073" i="1"/>
  <c r="A1073" i="1"/>
  <c r="H1072" i="1"/>
  <c r="G1072" i="1"/>
  <c r="E1072" i="1"/>
  <c r="B1072" i="1"/>
  <c r="A1072" i="1"/>
  <c r="H1071" i="1"/>
  <c r="G1071" i="1"/>
  <c r="E1071" i="1"/>
  <c r="B1071" i="1"/>
  <c r="A1071" i="1"/>
  <c r="H1070" i="1"/>
  <c r="G1070" i="1"/>
  <c r="E1070" i="1"/>
  <c r="B1070" i="1"/>
  <c r="A1070" i="1"/>
  <c r="H1069" i="1"/>
  <c r="G1069" i="1"/>
  <c r="E1069" i="1"/>
  <c r="B1069" i="1"/>
  <c r="A1069" i="1"/>
  <c r="H1068" i="1"/>
  <c r="G1068" i="1"/>
  <c r="E1068" i="1"/>
  <c r="B1068" i="1"/>
  <c r="A1068" i="1"/>
  <c r="H1067" i="1"/>
  <c r="G1067" i="1"/>
  <c r="E1067" i="1"/>
  <c r="B1067" i="1"/>
  <c r="A1067" i="1"/>
  <c r="H1066" i="1"/>
  <c r="G1066" i="1"/>
  <c r="E1066" i="1"/>
  <c r="B1066" i="1"/>
  <c r="A1066" i="1"/>
  <c r="H1065" i="1"/>
  <c r="G1065" i="1"/>
  <c r="E1065" i="1"/>
  <c r="B1065" i="1"/>
  <c r="A1065" i="1"/>
  <c r="H1064" i="1"/>
  <c r="G1064" i="1"/>
  <c r="E1064" i="1"/>
  <c r="B1064" i="1"/>
  <c r="A1064" i="1"/>
  <c r="H1063" i="1"/>
  <c r="G1063" i="1"/>
  <c r="E1063" i="1"/>
  <c r="B1063" i="1"/>
  <c r="A1063" i="1"/>
  <c r="H1062" i="1"/>
  <c r="G1062" i="1"/>
  <c r="E1062" i="1"/>
  <c r="B1062" i="1"/>
  <c r="A1062" i="1"/>
  <c r="H1061" i="1"/>
  <c r="G1061" i="1"/>
  <c r="E1061" i="1"/>
  <c r="B1061" i="1"/>
  <c r="A1061" i="1"/>
  <c r="H1060" i="1"/>
  <c r="G1060" i="1"/>
  <c r="E1060" i="1"/>
  <c r="B1060" i="1"/>
  <c r="A1060" i="1"/>
  <c r="H1059" i="1"/>
  <c r="G1059" i="1"/>
  <c r="E1059" i="1"/>
  <c r="B1059" i="1"/>
  <c r="A1059" i="1"/>
  <c r="H1058" i="1"/>
  <c r="G1058" i="1"/>
  <c r="E1058" i="1"/>
  <c r="B1058" i="1"/>
  <c r="A1058" i="1"/>
  <c r="H1057" i="1"/>
  <c r="G1057" i="1"/>
  <c r="E1057" i="1"/>
  <c r="B1057" i="1"/>
  <c r="A1057" i="1"/>
  <c r="H1056" i="1"/>
  <c r="G1056" i="1"/>
  <c r="E1056" i="1"/>
  <c r="B1056" i="1"/>
  <c r="A1056" i="1"/>
  <c r="H1055" i="1"/>
  <c r="G1055" i="1"/>
  <c r="E1055" i="1"/>
  <c r="B1055" i="1"/>
  <c r="A1055" i="1"/>
  <c r="H1054" i="1"/>
  <c r="G1054" i="1"/>
  <c r="E1054" i="1"/>
  <c r="B1054" i="1"/>
  <c r="A1054" i="1"/>
  <c r="H1053" i="1"/>
  <c r="G1053" i="1"/>
  <c r="E1053" i="1"/>
  <c r="B1053" i="1"/>
  <c r="A1053" i="1"/>
  <c r="H1052" i="1"/>
  <c r="G1052" i="1"/>
  <c r="E1052" i="1"/>
  <c r="B1052" i="1"/>
  <c r="A1052" i="1"/>
  <c r="H1051" i="1"/>
  <c r="G1051" i="1"/>
  <c r="E1051" i="1"/>
  <c r="B1051" i="1"/>
  <c r="A1051" i="1"/>
  <c r="H1050" i="1"/>
  <c r="G1050" i="1"/>
  <c r="E1050" i="1"/>
  <c r="B1050" i="1"/>
  <c r="A1050" i="1"/>
  <c r="H1049" i="1"/>
  <c r="G1049" i="1"/>
  <c r="E1049" i="1"/>
  <c r="B1049" i="1"/>
  <c r="A1049" i="1"/>
  <c r="H1048" i="1"/>
  <c r="G1048" i="1"/>
  <c r="E1048" i="1"/>
  <c r="B1048" i="1"/>
  <c r="A1048" i="1"/>
  <c r="H1047" i="1"/>
  <c r="G1047" i="1"/>
  <c r="E1047" i="1"/>
  <c r="B1047" i="1"/>
  <c r="A1047" i="1"/>
  <c r="H1046" i="1"/>
  <c r="G1046" i="1"/>
  <c r="E1046" i="1"/>
  <c r="B1046" i="1"/>
  <c r="A1046" i="1"/>
  <c r="H1045" i="1"/>
  <c r="G1045" i="1"/>
  <c r="E1045" i="1"/>
  <c r="B1045" i="1"/>
  <c r="A1045" i="1"/>
  <c r="H1044" i="1"/>
  <c r="G1044" i="1"/>
  <c r="E1044" i="1"/>
  <c r="B1044" i="1"/>
  <c r="A1044" i="1"/>
  <c r="H1043" i="1"/>
  <c r="G1043" i="1"/>
  <c r="E1043" i="1"/>
  <c r="B1043" i="1"/>
  <c r="A1043" i="1"/>
  <c r="H1042" i="1"/>
  <c r="G1042" i="1"/>
  <c r="E1042" i="1"/>
  <c r="B1042" i="1"/>
  <c r="A1042" i="1"/>
  <c r="H1041" i="1"/>
  <c r="G1041" i="1"/>
  <c r="E1041" i="1"/>
  <c r="B1041" i="1"/>
  <c r="A1041" i="1"/>
  <c r="H1040" i="1"/>
  <c r="G1040" i="1"/>
  <c r="E1040" i="1"/>
  <c r="B1040" i="1"/>
  <c r="A1040" i="1"/>
  <c r="H1039" i="1"/>
  <c r="G1039" i="1"/>
  <c r="E1039" i="1"/>
  <c r="B1039" i="1"/>
  <c r="A1039" i="1"/>
  <c r="H1038" i="1"/>
  <c r="G1038" i="1"/>
  <c r="E1038" i="1"/>
  <c r="B1038" i="1"/>
  <c r="A1038" i="1"/>
  <c r="H1037" i="1"/>
  <c r="G1037" i="1"/>
  <c r="E1037" i="1"/>
  <c r="B1037" i="1"/>
  <c r="A1037" i="1"/>
  <c r="H1036" i="1"/>
  <c r="G1036" i="1"/>
  <c r="E1036" i="1"/>
  <c r="B1036" i="1"/>
  <c r="A1036" i="1"/>
  <c r="H1035" i="1"/>
  <c r="G1035" i="1"/>
  <c r="E1035" i="1"/>
  <c r="B1035" i="1"/>
  <c r="A1035" i="1"/>
  <c r="H1034" i="1"/>
  <c r="G1034" i="1"/>
  <c r="E1034" i="1"/>
  <c r="B1034" i="1"/>
  <c r="A1034" i="1"/>
  <c r="H1033" i="1"/>
  <c r="G1033" i="1"/>
  <c r="E1033" i="1"/>
  <c r="B1033" i="1"/>
  <c r="A1033" i="1"/>
  <c r="H1032" i="1"/>
  <c r="G1032" i="1"/>
  <c r="E1032" i="1"/>
  <c r="B1032" i="1"/>
  <c r="A1032" i="1"/>
  <c r="H1031" i="1"/>
  <c r="G1031" i="1"/>
  <c r="E1031" i="1"/>
  <c r="B1031" i="1"/>
  <c r="A1031" i="1"/>
  <c r="H1030" i="1"/>
  <c r="G1030" i="1"/>
  <c r="E1030" i="1"/>
  <c r="B1030" i="1"/>
  <c r="A1030" i="1"/>
  <c r="H1029" i="1"/>
  <c r="G1029" i="1"/>
  <c r="E1029" i="1"/>
  <c r="B1029" i="1"/>
  <c r="A1029" i="1"/>
  <c r="H1028" i="1"/>
  <c r="G1028" i="1"/>
  <c r="E1028" i="1"/>
  <c r="B1028" i="1"/>
  <c r="A1028" i="1"/>
  <c r="H1027" i="1"/>
  <c r="G1027" i="1"/>
  <c r="E1027" i="1"/>
  <c r="B1027" i="1"/>
  <c r="A1027" i="1"/>
  <c r="H1026" i="1"/>
  <c r="G1026" i="1"/>
  <c r="E1026" i="1"/>
  <c r="B1026" i="1"/>
  <c r="A1026" i="1"/>
  <c r="H1025" i="1"/>
  <c r="G1025" i="1"/>
  <c r="E1025" i="1"/>
  <c r="B1025" i="1"/>
  <c r="A1025" i="1"/>
  <c r="H1024" i="1"/>
  <c r="G1024" i="1"/>
  <c r="E1024" i="1"/>
  <c r="B1024" i="1"/>
  <c r="A1024" i="1"/>
  <c r="H1023" i="1"/>
  <c r="G1023" i="1"/>
  <c r="E1023" i="1"/>
  <c r="B1023" i="1"/>
  <c r="A1023" i="1"/>
  <c r="H1022" i="1"/>
  <c r="G1022" i="1"/>
  <c r="E1022" i="1"/>
  <c r="B1022" i="1"/>
  <c r="A1022" i="1"/>
  <c r="H1021" i="1"/>
  <c r="G1021" i="1"/>
  <c r="E1021" i="1"/>
  <c r="B1021" i="1"/>
  <c r="A1021" i="1"/>
  <c r="H1020" i="1"/>
  <c r="G1020" i="1"/>
  <c r="E1020" i="1"/>
  <c r="B1020" i="1"/>
  <c r="A1020" i="1"/>
  <c r="H1019" i="1"/>
  <c r="G1019" i="1"/>
  <c r="E1019" i="1"/>
  <c r="B1019" i="1"/>
  <c r="A1019" i="1"/>
  <c r="H1018" i="1"/>
  <c r="G1018" i="1"/>
  <c r="E1018" i="1"/>
  <c r="B1018" i="1"/>
  <c r="A1018" i="1"/>
  <c r="H1017" i="1"/>
  <c r="G1017" i="1"/>
  <c r="E1017" i="1"/>
  <c r="B1017" i="1"/>
  <c r="A1017" i="1"/>
  <c r="H1016" i="1"/>
  <c r="G1016" i="1"/>
  <c r="E1016" i="1"/>
  <c r="B1016" i="1"/>
  <c r="A1016" i="1"/>
  <c r="H1015" i="1"/>
  <c r="G1015" i="1"/>
  <c r="E1015" i="1"/>
  <c r="B1015" i="1"/>
  <c r="A1015" i="1"/>
  <c r="H1014" i="1"/>
  <c r="G1014" i="1"/>
  <c r="E1014" i="1"/>
  <c r="B1014" i="1"/>
  <c r="A1014" i="1"/>
  <c r="H1013" i="1"/>
  <c r="G1013" i="1"/>
  <c r="E1013" i="1"/>
  <c r="B1013" i="1"/>
  <c r="A1013" i="1"/>
  <c r="H1012" i="1"/>
  <c r="G1012" i="1"/>
  <c r="E1012" i="1"/>
  <c r="B1012" i="1"/>
  <c r="A1012" i="1"/>
  <c r="H1011" i="1"/>
  <c r="G1011" i="1"/>
  <c r="E1011" i="1"/>
  <c r="B1011" i="1"/>
  <c r="A1011" i="1"/>
  <c r="H1010" i="1"/>
  <c r="G1010" i="1"/>
  <c r="E1010" i="1"/>
  <c r="B1010" i="1"/>
  <c r="A1010" i="1"/>
  <c r="H1009" i="1"/>
  <c r="G1009" i="1"/>
  <c r="E1009" i="1"/>
  <c r="B1009" i="1"/>
  <c r="A1009" i="1"/>
  <c r="H1008" i="1"/>
  <c r="G1008" i="1"/>
  <c r="E1008" i="1"/>
  <c r="B1008" i="1"/>
  <c r="A1008" i="1"/>
  <c r="H1007" i="1"/>
  <c r="G1007" i="1"/>
  <c r="E1007" i="1"/>
  <c r="B1007" i="1"/>
  <c r="A1007" i="1"/>
  <c r="H1006" i="1"/>
  <c r="G1006" i="1"/>
  <c r="E1006" i="1"/>
  <c r="B1006" i="1"/>
  <c r="A1006" i="1"/>
  <c r="H1005" i="1"/>
  <c r="G1005" i="1"/>
  <c r="E1005" i="1"/>
  <c r="B1005" i="1"/>
  <c r="A1005" i="1"/>
  <c r="H1004" i="1"/>
  <c r="G1004" i="1"/>
  <c r="E1004" i="1"/>
  <c r="B1004" i="1"/>
  <c r="A1004" i="1"/>
  <c r="H1003" i="1"/>
  <c r="G1003" i="1"/>
  <c r="E1003" i="1"/>
  <c r="B1003" i="1"/>
  <c r="A1003" i="1"/>
  <c r="H1002" i="1"/>
  <c r="G1002" i="1"/>
  <c r="E1002" i="1"/>
  <c r="B1002" i="1"/>
  <c r="A1002" i="1"/>
  <c r="H1001" i="1"/>
  <c r="G1001" i="1"/>
  <c r="E1001" i="1"/>
  <c r="B1001" i="1"/>
  <c r="A1001" i="1"/>
  <c r="H1000" i="1"/>
  <c r="G1000" i="1"/>
  <c r="E1000" i="1"/>
  <c r="B1000" i="1"/>
  <c r="A1000" i="1"/>
  <c r="H999" i="1"/>
  <c r="G999" i="1"/>
  <c r="E999" i="1"/>
  <c r="B999" i="1"/>
  <c r="A999" i="1"/>
  <c r="H998" i="1"/>
  <c r="G998" i="1"/>
  <c r="E998" i="1"/>
  <c r="B998" i="1"/>
  <c r="A998" i="1"/>
  <c r="H997" i="1"/>
  <c r="G997" i="1"/>
  <c r="E997" i="1"/>
  <c r="B997" i="1"/>
  <c r="A997" i="1"/>
  <c r="H996" i="1"/>
  <c r="G996" i="1"/>
  <c r="E996" i="1"/>
  <c r="B996" i="1"/>
  <c r="A996" i="1"/>
  <c r="H995" i="1"/>
  <c r="G995" i="1"/>
  <c r="E995" i="1"/>
  <c r="B995" i="1"/>
  <c r="A995" i="1"/>
  <c r="H994" i="1"/>
  <c r="G994" i="1"/>
  <c r="E994" i="1"/>
  <c r="B994" i="1"/>
  <c r="A994" i="1"/>
  <c r="H993" i="1"/>
  <c r="G993" i="1"/>
  <c r="E993" i="1"/>
  <c r="B993" i="1"/>
  <c r="A993" i="1"/>
  <c r="H992" i="1"/>
  <c r="G992" i="1"/>
  <c r="E992" i="1"/>
  <c r="B992" i="1"/>
  <c r="A992" i="1"/>
  <c r="H991" i="1"/>
  <c r="G991" i="1"/>
  <c r="E991" i="1"/>
  <c r="B991" i="1"/>
  <c r="A991" i="1"/>
  <c r="H990" i="1"/>
  <c r="G990" i="1"/>
  <c r="E990" i="1"/>
  <c r="B990" i="1"/>
  <c r="A990" i="1"/>
  <c r="H989" i="1"/>
  <c r="G989" i="1"/>
  <c r="E989" i="1"/>
  <c r="B989" i="1"/>
  <c r="A989" i="1"/>
  <c r="H988" i="1"/>
  <c r="G988" i="1"/>
  <c r="E988" i="1"/>
  <c r="B988" i="1"/>
  <c r="A988" i="1"/>
  <c r="H987" i="1"/>
  <c r="G987" i="1"/>
  <c r="E987" i="1"/>
  <c r="B987" i="1"/>
  <c r="A987" i="1"/>
  <c r="H986" i="1"/>
  <c r="G986" i="1"/>
  <c r="E986" i="1"/>
  <c r="B986" i="1"/>
  <c r="A986" i="1"/>
  <c r="H985" i="1"/>
  <c r="G985" i="1"/>
  <c r="E985" i="1"/>
  <c r="B985" i="1"/>
  <c r="A985" i="1"/>
  <c r="H984" i="1"/>
  <c r="G984" i="1"/>
  <c r="E984" i="1"/>
  <c r="B984" i="1"/>
  <c r="A984" i="1"/>
  <c r="H983" i="1"/>
  <c r="G983" i="1"/>
  <c r="E983" i="1"/>
  <c r="B983" i="1"/>
  <c r="A983" i="1"/>
  <c r="H982" i="1"/>
  <c r="G982" i="1"/>
  <c r="E982" i="1"/>
  <c r="B982" i="1"/>
  <c r="A982" i="1"/>
  <c r="H981" i="1"/>
  <c r="G981" i="1"/>
  <c r="E981" i="1"/>
  <c r="B981" i="1"/>
  <c r="A981" i="1"/>
  <c r="H980" i="1"/>
  <c r="G980" i="1"/>
  <c r="B980" i="1"/>
  <c r="A980" i="1"/>
  <c r="H979" i="1"/>
  <c r="G979" i="1"/>
  <c r="E979" i="1"/>
  <c r="B979" i="1"/>
  <c r="A979" i="1"/>
  <c r="H978" i="1"/>
  <c r="G978" i="1"/>
  <c r="E978" i="1"/>
  <c r="B978" i="1"/>
  <c r="A978" i="1"/>
  <c r="H977" i="1"/>
  <c r="G977" i="1"/>
  <c r="E977" i="1"/>
  <c r="B977" i="1"/>
  <c r="A977" i="1"/>
  <c r="H976" i="1"/>
  <c r="G976" i="1"/>
  <c r="E976" i="1"/>
  <c r="B976" i="1"/>
  <c r="A976" i="1"/>
  <c r="H975" i="1"/>
  <c r="G975" i="1"/>
  <c r="E975" i="1"/>
  <c r="B975" i="1"/>
  <c r="A975" i="1"/>
  <c r="H974" i="1"/>
  <c r="G974" i="1"/>
  <c r="E974" i="1"/>
  <c r="B974" i="1"/>
  <c r="A974" i="1"/>
  <c r="H973" i="1"/>
  <c r="G973" i="1"/>
  <c r="E973" i="1"/>
  <c r="B973" i="1"/>
  <c r="A973" i="1"/>
  <c r="H972" i="1"/>
  <c r="G972" i="1"/>
  <c r="E972" i="1"/>
  <c r="B972" i="1"/>
  <c r="A972" i="1"/>
  <c r="H971" i="1"/>
  <c r="G971" i="1"/>
  <c r="E971" i="1"/>
  <c r="B971" i="1"/>
  <c r="A971" i="1"/>
  <c r="H970" i="1"/>
  <c r="G970" i="1"/>
  <c r="E970" i="1"/>
  <c r="B970" i="1"/>
  <c r="A970" i="1"/>
  <c r="H969" i="1"/>
  <c r="G969" i="1"/>
  <c r="E969" i="1"/>
  <c r="B969" i="1"/>
  <c r="A969" i="1"/>
  <c r="H968" i="1"/>
  <c r="G968" i="1"/>
  <c r="E968" i="1"/>
  <c r="B968" i="1"/>
  <c r="A968" i="1"/>
  <c r="H967" i="1"/>
  <c r="G967" i="1"/>
  <c r="E967" i="1"/>
  <c r="B967" i="1"/>
  <c r="A967" i="1"/>
  <c r="H966" i="1"/>
  <c r="G966" i="1"/>
  <c r="E966" i="1"/>
  <c r="B966" i="1"/>
  <c r="A966" i="1"/>
  <c r="H965" i="1"/>
  <c r="G965" i="1"/>
  <c r="E965" i="1"/>
  <c r="B965" i="1"/>
  <c r="A965" i="1"/>
  <c r="H964" i="1"/>
  <c r="G964" i="1"/>
  <c r="E964" i="1"/>
  <c r="B964" i="1"/>
  <c r="A964" i="1"/>
  <c r="H963" i="1"/>
  <c r="G963" i="1"/>
  <c r="E963" i="1"/>
  <c r="B963" i="1"/>
  <c r="A963" i="1"/>
  <c r="H962" i="1"/>
  <c r="G962" i="1"/>
  <c r="E962" i="1"/>
  <c r="B962" i="1"/>
  <c r="A962" i="1"/>
  <c r="H961" i="1"/>
  <c r="G961" i="1"/>
  <c r="E961" i="1"/>
  <c r="B961" i="1"/>
  <c r="A961" i="1"/>
  <c r="H960" i="1"/>
  <c r="G960" i="1"/>
  <c r="E960" i="1"/>
  <c r="B960" i="1"/>
  <c r="A960" i="1"/>
  <c r="H959" i="1"/>
  <c r="G959" i="1"/>
  <c r="E959" i="1"/>
  <c r="B959" i="1"/>
  <c r="A959" i="1"/>
  <c r="H958" i="1"/>
  <c r="G958" i="1"/>
  <c r="E958" i="1"/>
  <c r="B958" i="1"/>
  <c r="A958" i="1"/>
  <c r="H957" i="1"/>
  <c r="G957" i="1"/>
  <c r="E957" i="1"/>
  <c r="B957" i="1"/>
  <c r="A957" i="1"/>
  <c r="H956" i="1"/>
  <c r="G956" i="1"/>
  <c r="E956" i="1"/>
  <c r="B956" i="1"/>
  <c r="A956" i="1"/>
  <c r="H955" i="1"/>
  <c r="G955" i="1"/>
  <c r="E955" i="1"/>
  <c r="B955" i="1"/>
  <c r="A955" i="1"/>
  <c r="H954" i="1"/>
  <c r="G954" i="1"/>
  <c r="E954" i="1"/>
  <c r="B954" i="1"/>
  <c r="A954" i="1"/>
  <c r="H953" i="1"/>
  <c r="G953" i="1"/>
  <c r="E953" i="1"/>
  <c r="B953" i="1"/>
  <c r="A953" i="1"/>
  <c r="H952" i="1"/>
  <c r="G952" i="1"/>
  <c r="E952" i="1"/>
  <c r="B952" i="1"/>
  <c r="A952" i="1"/>
  <c r="H951" i="1"/>
  <c r="G951" i="1"/>
  <c r="E951" i="1"/>
  <c r="B951" i="1"/>
  <c r="A951" i="1"/>
  <c r="H950" i="1"/>
  <c r="G950" i="1"/>
  <c r="E950" i="1"/>
  <c r="B950" i="1"/>
  <c r="A950" i="1"/>
  <c r="H949" i="1"/>
  <c r="G949" i="1"/>
  <c r="E949" i="1"/>
  <c r="B949" i="1"/>
  <c r="A949" i="1"/>
  <c r="H948" i="1"/>
  <c r="G948" i="1"/>
  <c r="E948" i="1"/>
  <c r="B948" i="1"/>
  <c r="A948" i="1"/>
  <c r="H947" i="1"/>
  <c r="G947" i="1"/>
  <c r="E947" i="1"/>
  <c r="B947" i="1"/>
  <c r="A947" i="1"/>
  <c r="H946" i="1"/>
  <c r="G946" i="1"/>
  <c r="E946" i="1"/>
  <c r="B946" i="1"/>
  <c r="A946" i="1"/>
  <c r="H945" i="1"/>
  <c r="G945" i="1"/>
  <c r="E945" i="1"/>
  <c r="B945" i="1"/>
  <c r="A945" i="1"/>
  <c r="H944" i="1"/>
  <c r="G944" i="1"/>
  <c r="E944" i="1"/>
  <c r="B944" i="1"/>
  <c r="A944" i="1"/>
  <c r="H943" i="1"/>
  <c r="G943" i="1"/>
  <c r="E943" i="1"/>
  <c r="B943" i="1"/>
  <c r="A943" i="1"/>
  <c r="H942" i="1"/>
  <c r="G942" i="1"/>
  <c r="E942" i="1"/>
  <c r="B942" i="1"/>
  <c r="A942" i="1"/>
  <c r="H941" i="1"/>
  <c r="G941" i="1"/>
  <c r="E941" i="1"/>
  <c r="B941" i="1"/>
  <c r="A941" i="1"/>
  <c r="H940" i="1"/>
  <c r="G940" i="1"/>
  <c r="E940" i="1"/>
  <c r="B940" i="1"/>
  <c r="A940" i="1"/>
  <c r="H939" i="1"/>
  <c r="G939" i="1"/>
  <c r="E939" i="1"/>
  <c r="B939" i="1"/>
  <c r="A939" i="1"/>
  <c r="H938" i="1"/>
  <c r="G938" i="1"/>
  <c r="E938" i="1"/>
  <c r="B938" i="1"/>
  <c r="A938" i="1"/>
  <c r="H937" i="1"/>
  <c r="G937" i="1"/>
  <c r="E937" i="1"/>
  <c r="B937" i="1"/>
  <c r="A937" i="1"/>
  <c r="H936" i="1"/>
  <c r="G936" i="1"/>
  <c r="E936" i="1"/>
  <c r="B936" i="1"/>
  <c r="A936" i="1"/>
  <c r="H935" i="1"/>
  <c r="G935" i="1"/>
  <c r="E935" i="1"/>
  <c r="B935" i="1"/>
  <c r="A935" i="1"/>
  <c r="H934" i="1"/>
  <c r="G934" i="1"/>
  <c r="E934" i="1"/>
  <c r="B934" i="1"/>
  <c r="A934" i="1"/>
  <c r="H933" i="1"/>
  <c r="G933" i="1"/>
  <c r="E933" i="1"/>
  <c r="B933" i="1"/>
  <c r="A933" i="1"/>
  <c r="H932" i="1"/>
  <c r="G932" i="1"/>
  <c r="E932" i="1"/>
  <c r="B932" i="1"/>
  <c r="A932" i="1"/>
  <c r="H931" i="1"/>
  <c r="G931" i="1"/>
  <c r="E931" i="1"/>
  <c r="B931" i="1"/>
  <c r="A931" i="1"/>
  <c r="H930" i="1"/>
  <c r="G930" i="1"/>
  <c r="E930" i="1"/>
  <c r="B930" i="1"/>
  <c r="A930" i="1"/>
  <c r="H929" i="1"/>
  <c r="G929" i="1"/>
  <c r="E929" i="1"/>
  <c r="B929" i="1"/>
  <c r="A929" i="1"/>
  <c r="H928" i="1"/>
  <c r="G928" i="1"/>
  <c r="E928" i="1"/>
  <c r="B928" i="1"/>
  <c r="A928" i="1"/>
  <c r="H927" i="1"/>
  <c r="G927" i="1"/>
  <c r="E927" i="1"/>
  <c r="B927" i="1"/>
  <c r="A927" i="1"/>
  <c r="H926" i="1"/>
  <c r="G926" i="1"/>
  <c r="E926" i="1"/>
  <c r="B926" i="1"/>
  <c r="A926" i="1"/>
  <c r="H925" i="1"/>
  <c r="G925" i="1"/>
  <c r="E925" i="1"/>
  <c r="B925" i="1"/>
  <c r="A925" i="1"/>
  <c r="H924" i="1"/>
  <c r="G924" i="1"/>
  <c r="E924" i="1"/>
  <c r="B924" i="1"/>
  <c r="A924" i="1"/>
  <c r="H923" i="1"/>
  <c r="G923" i="1"/>
  <c r="E923" i="1"/>
  <c r="B923" i="1"/>
  <c r="A923" i="1"/>
  <c r="H922" i="1"/>
  <c r="G922" i="1"/>
  <c r="E922" i="1"/>
  <c r="B922" i="1"/>
  <c r="A922" i="1"/>
  <c r="H921" i="1"/>
  <c r="G921" i="1"/>
  <c r="E921" i="1"/>
  <c r="B921" i="1"/>
  <c r="A921" i="1"/>
  <c r="H920" i="1"/>
  <c r="G920" i="1"/>
  <c r="E920" i="1"/>
  <c r="B920" i="1"/>
  <c r="A920" i="1"/>
  <c r="H919" i="1"/>
  <c r="G919" i="1"/>
  <c r="E919" i="1"/>
  <c r="B919" i="1"/>
  <c r="A919" i="1"/>
  <c r="H918" i="1"/>
  <c r="G918" i="1"/>
  <c r="E918" i="1"/>
  <c r="B918" i="1"/>
  <c r="A918" i="1"/>
  <c r="H917" i="1"/>
  <c r="G917" i="1"/>
  <c r="E917" i="1"/>
  <c r="B917" i="1"/>
  <c r="A917" i="1"/>
  <c r="H916" i="1"/>
  <c r="G916" i="1"/>
  <c r="E916" i="1"/>
  <c r="B916" i="1"/>
  <c r="A916" i="1"/>
  <c r="H915" i="1"/>
  <c r="G915" i="1"/>
  <c r="E915" i="1"/>
  <c r="B915" i="1"/>
  <c r="A915" i="1"/>
  <c r="H914" i="1"/>
  <c r="G914" i="1"/>
  <c r="E914" i="1"/>
  <c r="B914" i="1"/>
  <c r="A914" i="1"/>
  <c r="H913" i="1"/>
  <c r="G913" i="1"/>
  <c r="E913" i="1"/>
  <c r="B913" i="1"/>
  <c r="A913" i="1"/>
  <c r="H912" i="1"/>
  <c r="G912" i="1"/>
  <c r="E912" i="1"/>
  <c r="B912" i="1"/>
  <c r="A912" i="1"/>
  <c r="H911" i="1"/>
  <c r="G911" i="1"/>
  <c r="E911" i="1"/>
  <c r="B911" i="1"/>
  <c r="A911" i="1"/>
  <c r="H910" i="1"/>
  <c r="G910" i="1"/>
  <c r="E910" i="1"/>
  <c r="B910" i="1"/>
  <c r="A910" i="1"/>
  <c r="H909" i="1"/>
  <c r="G909" i="1"/>
  <c r="E909" i="1"/>
  <c r="B909" i="1"/>
  <c r="A909" i="1"/>
  <c r="H908" i="1"/>
  <c r="G908" i="1"/>
  <c r="E908" i="1"/>
  <c r="B908" i="1"/>
  <c r="A908" i="1"/>
  <c r="H907" i="1"/>
  <c r="G907" i="1"/>
  <c r="E907" i="1"/>
  <c r="B907" i="1"/>
  <c r="A907" i="1"/>
  <c r="H906" i="1"/>
  <c r="G906" i="1"/>
  <c r="E906" i="1"/>
  <c r="B906" i="1"/>
  <c r="A906" i="1"/>
  <c r="H905" i="1"/>
  <c r="G905" i="1"/>
  <c r="E905" i="1"/>
  <c r="B905" i="1"/>
  <c r="A905" i="1"/>
  <c r="H904" i="1"/>
  <c r="G904" i="1"/>
  <c r="E904" i="1"/>
  <c r="B904" i="1"/>
  <c r="A904" i="1"/>
  <c r="H903" i="1"/>
  <c r="G903" i="1"/>
  <c r="E903" i="1"/>
  <c r="B903" i="1"/>
  <c r="A903" i="1"/>
  <c r="H902" i="1"/>
  <c r="G902" i="1"/>
  <c r="E902" i="1"/>
  <c r="B902" i="1"/>
  <c r="A902" i="1"/>
  <c r="H901" i="1"/>
  <c r="G901" i="1"/>
  <c r="B901" i="1"/>
  <c r="A901" i="1"/>
  <c r="H900" i="1"/>
  <c r="G900" i="1"/>
  <c r="E900" i="1"/>
  <c r="B900" i="1"/>
  <c r="A900" i="1"/>
  <c r="H899" i="1"/>
  <c r="G899" i="1"/>
  <c r="E899" i="1"/>
  <c r="B899" i="1"/>
  <c r="A899" i="1"/>
  <c r="H898" i="1"/>
  <c r="G898" i="1"/>
  <c r="E898" i="1"/>
  <c r="B898" i="1"/>
  <c r="A898" i="1"/>
  <c r="H897" i="1"/>
  <c r="G897" i="1"/>
  <c r="E897" i="1"/>
  <c r="B897" i="1"/>
  <c r="A897" i="1"/>
  <c r="H896" i="1"/>
  <c r="G896" i="1"/>
  <c r="E896" i="1"/>
  <c r="B896" i="1"/>
  <c r="A896" i="1"/>
  <c r="H895" i="1"/>
  <c r="G895" i="1"/>
  <c r="E895" i="1"/>
  <c r="B895" i="1"/>
  <c r="A895" i="1"/>
  <c r="H894" i="1"/>
  <c r="G894" i="1"/>
  <c r="E894" i="1"/>
  <c r="B894" i="1"/>
  <c r="A894" i="1"/>
  <c r="H893" i="1"/>
  <c r="G893" i="1"/>
  <c r="E893" i="1"/>
  <c r="B893" i="1"/>
  <c r="A893" i="1"/>
  <c r="H892" i="1"/>
  <c r="G892" i="1"/>
  <c r="E892" i="1"/>
  <c r="B892" i="1"/>
  <c r="A892" i="1"/>
  <c r="H891" i="1"/>
  <c r="G891" i="1"/>
  <c r="E891" i="1"/>
  <c r="B891" i="1"/>
  <c r="A891" i="1"/>
  <c r="H890" i="1"/>
  <c r="G890" i="1"/>
  <c r="E890" i="1"/>
  <c r="B890" i="1"/>
  <c r="A890" i="1"/>
  <c r="H889" i="1"/>
  <c r="G889" i="1"/>
  <c r="E889" i="1"/>
  <c r="B889" i="1"/>
  <c r="A889" i="1"/>
  <c r="H888" i="1"/>
  <c r="G888" i="1"/>
  <c r="E888" i="1"/>
  <c r="B888" i="1"/>
  <c r="A888" i="1"/>
  <c r="H887" i="1"/>
  <c r="G887" i="1"/>
  <c r="E887" i="1"/>
  <c r="B887" i="1"/>
  <c r="A887" i="1"/>
  <c r="H886" i="1"/>
  <c r="G886" i="1"/>
  <c r="E886" i="1"/>
  <c r="B886" i="1"/>
  <c r="A886" i="1"/>
  <c r="H885" i="1"/>
  <c r="G885" i="1"/>
  <c r="E885" i="1"/>
  <c r="B885" i="1"/>
  <c r="A885" i="1"/>
  <c r="H884" i="1"/>
  <c r="G884" i="1"/>
  <c r="E884" i="1"/>
  <c r="B884" i="1"/>
  <c r="A884" i="1"/>
  <c r="H883" i="1"/>
  <c r="G883" i="1"/>
  <c r="E883" i="1"/>
  <c r="B883" i="1"/>
  <c r="A883" i="1"/>
  <c r="H882" i="1"/>
  <c r="G882" i="1"/>
  <c r="E882" i="1"/>
  <c r="B882" i="1"/>
  <c r="A882" i="1"/>
  <c r="H881" i="1"/>
  <c r="G881" i="1"/>
  <c r="E881" i="1"/>
  <c r="B881" i="1"/>
  <c r="A881" i="1"/>
  <c r="H880" i="1"/>
  <c r="G880" i="1"/>
  <c r="E880" i="1"/>
  <c r="B880" i="1"/>
  <c r="A880" i="1"/>
  <c r="H879" i="1"/>
  <c r="G879" i="1"/>
  <c r="E879" i="1"/>
  <c r="B879" i="1"/>
  <c r="A879" i="1"/>
  <c r="H878" i="1"/>
  <c r="G878" i="1"/>
  <c r="E878" i="1"/>
  <c r="B878" i="1"/>
  <c r="A878" i="1"/>
  <c r="H877" i="1"/>
  <c r="G877" i="1"/>
  <c r="E877" i="1"/>
  <c r="B877" i="1"/>
  <c r="A877" i="1"/>
  <c r="H876" i="1"/>
  <c r="G876" i="1"/>
  <c r="E876" i="1"/>
  <c r="B876" i="1"/>
  <c r="A876" i="1"/>
  <c r="H875" i="1"/>
  <c r="G875" i="1"/>
  <c r="E875" i="1"/>
  <c r="B875" i="1"/>
  <c r="A875" i="1"/>
  <c r="H874" i="1"/>
  <c r="G874" i="1"/>
  <c r="E874" i="1"/>
  <c r="B874" i="1"/>
  <c r="A874" i="1"/>
  <c r="H873" i="1"/>
  <c r="G873" i="1"/>
  <c r="E873" i="1"/>
  <c r="B873" i="1"/>
  <c r="A873" i="1"/>
  <c r="H872" i="1"/>
  <c r="G872" i="1"/>
  <c r="E872" i="1"/>
  <c r="B872" i="1"/>
  <c r="A872" i="1"/>
  <c r="H871" i="1"/>
  <c r="G871" i="1"/>
  <c r="E871" i="1"/>
  <c r="B871" i="1"/>
  <c r="A871" i="1"/>
  <c r="H870" i="1"/>
  <c r="G870" i="1"/>
  <c r="E870" i="1"/>
  <c r="B870" i="1"/>
  <c r="A870" i="1"/>
  <c r="H869" i="1"/>
  <c r="G869" i="1"/>
  <c r="E869" i="1"/>
  <c r="B869" i="1"/>
  <c r="A869" i="1"/>
  <c r="H868" i="1"/>
  <c r="G868" i="1"/>
  <c r="E868" i="1"/>
  <c r="B868" i="1"/>
  <c r="A868" i="1"/>
  <c r="H867" i="1"/>
  <c r="G867" i="1"/>
  <c r="E867" i="1"/>
  <c r="B867" i="1"/>
  <c r="A867" i="1"/>
  <c r="H866" i="1"/>
  <c r="G866" i="1"/>
  <c r="E866" i="1"/>
  <c r="B866" i="1"/>
  <c r="A866" i="1"/>
  <c r="H865" i="1"/>
  <c r="G865" i="1"/>
  <c r="E865" i="1"/>
  <c r="B865" i="1"/>
  <c r="A865" i="1"/>
  <c r="H864" i="1"/>
  <c r="G864" i="1"/>
  <c r="E864" i="1"/>
  <c r="B864" i="1"/>
  <c r="A864" i="1"/>
  <c r="H863" i="1"/>
  <c r="G863" i="1"/>
  <c r="E863" i="1"/>
  <c r="B863" i="1"/>
  <c r="A863" i="1"/>
  <c r="H862" i="1"/>
  <c r="G862" i="1"/>
  <c r="E862" i="1"/>
  <c r="B862" i="1"/>
  <c r="A862" i="1"/>
  <c r="H861" i="1"/>
  <c r="G861" i="1"/>
  <c r="E861" i="1"/>
  <c r="B861" i="1"/>
  <c r="A861" i="1"/>
  <c r="H860" i="1"/>
  <c r="G860" i="1"/>
  <c r="E860" i="1"/>
  <c r="B860" i="1"/>
  <c r="A860" i="1"/>
  <c r="H859" i="1"/>
  <c r="G859" i="1"/>
  <c r="E859" i="1"/>
  <c r="B859" i="1"/>
  <c r="A859" i="1"/>
  <c r="H858" i="1"/>
  <c r="G858" i="1"/>
  <c r="E858" i="1"/>
  <c r="B858" i="1"/>
  <c r="A858" i="1"/>
  <c r="H857" i="1"/>
  <c r="G857" i="1"/>
  <c r="E857" i="1"/>
  <c r="B857" i="1"/>
  <c r="A857" i="1"/>
  <c r="H856" i="1"/>
  <c r="G856" i="1"/>
  <c r="E856" i="1"/>
  <c r="B856" i="1"/>
  <c r="A856" i="1"/>
  <c r="H855" i="1"/>
  <c r="G855" i="1"/>
  <c r="E855" i="1"/>
  <c r="B855" i="1"/>
  <c r="A855" i="1"/>
  <c r="H854" i="1"/>
  <c r="G854" i="1"/>
  <c r="E854" i="1"/>
  <c r="B854" i="1"/>
  <c r="A854" i="1"/>
  <c r="H853" i="1"/>
  <c r="G853" i="1"/>
  <c r="E853" i="1"/>
  <c r="B853" i="1"/>
  <c r="A853" i="1"/>
  <c r="H852" i="1"/>
  <c r="G852" i="1"/>
  <c r="E852" i="1"/>
  <c r="B852" i="1"/>
  <c r="A852" i="1"/>
  <c r="H851" i="1"/>
  <c r="G851" i="1"/>
  <c r="E851" i="1"/>
  <c r="B851" i="1"/>
  <c r="A851" i="1"/>
  <c r="H850" i="1"/>
  <c r="G850" i="1"/>
  <c r="E850" i="1"/>
  <c r="B850" i="1"/>
  <c r="A850" i="1"/>
  <c r="H849" i="1"/>
  <c r="G849" i="1"/>
  <c r="E849" i="1"/>
  <c r="B849" i="1"/>
  <c r="A849" i="1"/>
  <c r="H848" i="1"/>
  <c r="G848" i="1"/>
  <c r="E848" i="1"/>
  <c r="B848" i="1"/>
  <c r="A848" i="1"/>
  <c r="H847" i="1"/>
  <c r="G847" i="1"/>
  <c r="E847" i="1"/>
  <c r="B847" i="1"/>
  <c r="A847" i="1"/>
  <c r="H846" i="1"/>
  <c r="G846" i="1"/>
  <c r="E846" i="1"/>
  <c r="B846" i="1"/>
  <c r="A846" i="1"/>
  <c r="H845" i="1"/>
  <c r="G845" i="1"/>
  <c r="E845" i="1"/>
  <c r="B845" i="1"/>
  <c r="A845" i="1"/>
  <c r="H844" i="1"/>
  <c r="G844" i="1"/>
  <c r="E844" i="1"/>
  <c r="B844" i="1"/>
  <c r="A844" i="1"/>
  <c r="H843" i="1"/>
  <c r="G843" i="1"/>
  <c r="E843" i="1"/>
  <c r="B843" i="1"/>
  <c r="A843" i="1"/>
  <c r="H842" i="1"/>
  <c r="G842" i="1"/>
  <c r="E842" i="1"/>
  <c r="B842" i="1"/>
  <c r="A842" i="1"/>
  <c r="H841" i="1"/>
  <c r="G841" i="1"/>
  <c r="E841" i="1"/>
  <c r="B841" i="1"/>
  <c r="A841" i="1"/>
  <c r="H840" i="1"/>
  <c r="G840" i="1"/>
  <c r="E840" i="1"/>
  <c r="B840" i="1"/>
  <c r="A840" i="1"/>
  <c r="H839" i="1"/>
  <c r="G839" i="1"/>
  <c r="E839" i="1"/>
  <c r="B839" i="1"/>
  <c r="A839" i="1"/>
  <c r="H838" i="1"/>
  <c r="G838" i="1"/>
  <c r="E838" i="1"/>
  <c r="B838" i="1"/>
  <c r="A838" i="1"/>
  <c r="H837" i="1"/>
  <c r="G837" i="1"/>
  <c r="E837" i="1"/>
  <c r="B837" i="1"/>
  <c r="A837" i="1"/>
  <c r="H836" i="1"/>
  <c r="G836" i="1"/>
  <c r="E836" i="1"/>
  <c r="B836" i="1"/>
  <c r="A836" i="1"/>
  <c r="H835" i="1"/>
  <c r="G835" i="1"/>
  <c r="E835" i="1"/>
  <c r="B835" i="1"/>
  <c r="A835" i="1"/>
  <c r="H834" i="1"/>
  <c r="G834" i="1"/>
  <c r="E834" i="1"/>
  <c r="B834" i="1"/>
  <c r="A834" i="1"/>
  <c r="H833" i="1"/>
  <c r="G833" i="1"/>
  <c r="E833" i="1"/>
  <c r="B833" i="1"/>
  <c r="A833" i="1"/>
  <c r="H832" i="1"/>
  <c r="G832" i="1"/>
  <c r="E832" i="1"/>
  <c r="B832" i="1"/>
  <c r="A832" i="1"/>
  <c r="H831" i="1"/>
  <c r="G831" i="1"/>
  <c r="E831" i="1"/>
  <c r="B831" i="1"/>
  <c r="A831" i="1"/>
  <c r="H830" i="1"/>
  <c r="G830" i="1"/>
  <c r="E830" i="1"/>
  <c r="B830" i="1"/>
  <c r="A830" i="1"/>
  <c r="H829" i="1"/>
  <c r="G829" i="1"/>
  <c r="E829" i="1"/>
  <c r="B829" i="1"/>
  <c r="A829" i="1"/>
  <c r="H828" i="1"/>
  <c r="G828" i="1"/>
  <c r="E828" i="1"/>
  <c r="B828" i="1"/>
  <c r="A828" i="1"/>
  <c r="H827" i="1"/>
  <c r="G827" i="1"/>
  <c r="B827" i="1"/>
  <c r="A827" i="1"/>
  <c r="H826" i="1"/>
  <c r="G826" i="1"/>
  <c r="E826" i="1"/>
  <c r="B826" i="1"/>
  <c r="A826" i="1"/>
  <c r="H825" i="1"/>
  <c r="G825" i="1"/>
  <c r="E825" i="1"/>
  <c r="B825" i="1"/>
  <c r="A825" i="1"/>
  <c r="H824" i="1"/>
  <c r="G824" i="1"/>
  <c r="E824" i="1"/>
  <c r="B824" i="1"/>
  <c r="A824" i="1"/>
  <c r="H823" i="1"/>
  <c r="G823" i="1"/>
  <c r="E823" i="1"/>
  <c r="B823" i="1"/>
  <c r="A823" i="1"/>
  <c r="H822" i="1"/>
  <c r="G822" i="1"/>
  <c r="E822" i="1"/>
  <c r="B822" i="1"/>
  <c r="A822" i="1"/>
  <c r="H821" i="1"/>
  <c r="G821" i="1"/>
  <c r="E821" i="1"/>
  <c r="B821" i="1"/>
  <c r="A821" i="1"/>
  <c r="H820" i="1"/>
  <c r="G820" i="1"/>
  <c r="E820" i="1"/>
  <c r="B820" i="1"/>
  <c r="A820" i="1"/>
  <c r="H819" i="1"/>
  <c r="G819" i="1"/>
  <c r="E819" i="1"/>
  <c r="B819" i="1"/>
  <c r="A819" i="1"/>
  <c r="H818" i="1"/>
  <c r="G818" i="1"/>
  <c r="E818" i="1"/>
  <c r="B818" i="1"/>
  <c r="A818" i="1"/>
  <c r="H817" i="1"/>
  <c r="G817" i="1"/>
  <c r="E817" i="1"/>
  <c r="B817" i="1"/>
  <c r="A817" i="1"/>
  <c r="H816" i="1"/>
  <c r="G816" i="1"/>
  <c r="E816" i="1"/>
  <c r="B816" i="1"/>
  <c r="A816" i="1"/>
  <c r="H815" i="1"/>
  <c r="G815" i="1"/>
  <c r="E815" i="1"/>
  <c r="B815" i="1"/>
  <c r="A815" i="1"/>
  <c r="H814" i="1"/>
  <c r="G814" i="1"/>
  <c r="E814" i="1"/>
  <c r="B814" i="1"/>
  <c r="A814" i="1"/>
  <c r="H813" i="1"/>
  <c r="G813" i="1"/>
  <c r="E813" i="1"/>
  <c r="B813" i="1"/>
  <c r="A813" i="1"/>
  <c r="H812" i="1"/>
  <c r="G812" i="1"/>
  <c r="E812" i="1"/>
  <c r="B812" i="1"/>
  <c r="A812" i="1"/>
  <c r="H811" i="1"/>
  <c r="G811" i="1"/>
  <c r="E811" i="1"/>
  <c r="B811" i="1"/>
  <c r="A811" i="1"/>
  <c r="H810" i="1"/>
  <c r="G810" i="1"/>
  <c r="E810" i="1"/>
  <c r="B810" i="1"/>
  <c r="A810" i="1"/>
  <c r="H809" i="1"/>
  <c r="G809" i="1"/>
  <c r="E809" i="1"/>
  <c r="B809" i="1"/>
  <c r="A809" i="1"/>
  <c r="H808" i="1"/>
  <c r="G808" i="1"/>
  <c r="E808" i="1"/>
  <c r="B808" i="1"/>
  <c r="A808" i="1"/>
  <c r="H807" i="1"/>
  <c r="G807" i="1"/>
  <c r="E807" i="1"/>
  <c r="B807" i="1"/>
  <c r="A807" i="1"/>
  <c r="H806" i="1"/>
  <c r="G806" i="1"/>
  <c r="E806" i="1"/>
  <c r="B806" i="1"/>
  <c r="A806" i="1"/>
  <c r="H805" i="1"/>
  <c r="G805" i="1"/>
  <c r="E805" i="1"/>
  <c r="B805" i="1"/>
  <c r="A805" i="1"/>
  <c r="H804" i="1"/>
  <c r="G804" i="1"/>
  <c r="E804" i="1"/>
  <c r="B804" i="1"/>
  <c r="A804" i="1"/>
  <c r="H803" i="1"/>
  <c r="G803" i="1"/>
  <c r="E803" i="1"/>
  <c r="B803" i="1"/>
  <c r="A803" i="1"/>
  <c r="H802" i="1"/>
  <c r="G802" i="1"/>
  <c r="E802" i="1"/>
  <c r="B802" i="1"/>
  <c r="A802" i="1"/>
  <c r="H801" i="1"/>
  <c r="G801" i="1"/>
  <c r="E801" i="1"/>
  <c r="B801" i="1"/>
  <c r="A801" i="1"/>
  <c r="H800" i="1"/>
  <c r="G800" i="1"/>
  <c r="E800" i="1"/>
  <c r="B800" i="1"/>
  <c r="A800" i="1"/>
  <c r="H799" i="1"/>
  <c r="G799" i="1"/>
  <c r="E799" i="1"/>
  <c r="B799" i="1"/>
  <c r="A799" i="1"/>
  <c r="H798" i="1"/>
  <c r="G798" i="1"/>
  <c r="E798" i="1"/>
  <c r="B798" i="1"/>
  <c r="A798" i="1"/>
  <c r="H797" i="1"/>
  <c r="G797" i="1"/>
  <c r="E797" i="1"/>
  <c r="B797" i="1"/>
  <c r="A797" i="1"/>
  <c r="H796" i="1"/>
  <c r="G796" i="1"/>
  <c r="E796" i="1"/>
  <c r="B796" i="1"/>
  <c r="A796" i="1"/>
  <c r="H795" i="1"/>
  <c r="G795" i="1"/>
  <c r="E795" i="1"/>
  <c r="B795" i="1"/>
  <c r="A795" i="1"/>
  <c r="H794" i="1"/>
  <c r="G794" i="1"/>
  <c r="E794" i="1"/>
  <c r="B794" i="1"/>
  <c r="A794" i="1"/>
  <c r="H793" i="1"/>
  <c r="G793" i="1"/>
  <c r="E793" i="1"/>
  <c r="B793" i="1"/>
  <c r="A793" i="1"/>
  <c r="H792" i="1"/>
  <c r="G792" i="1"/>
  <c r="E792" i="1"/>
  <c r="B792" i="1"/>
  <c r="A792" i="1"/>
  <c r="H791" i="1"/>
  <c r="G791" i="1"/>
  <c r="E791" i="1"/>
  <c r="B791" i="1"/>
  <c r="A791" i="1"/>
  <c r="H790" i="1"/>
  <c r="G790" i="1"/>
  <c r="E790" i="1"/>
  <c r="B790" i="1"/>
  <c r="A790" i="1"/>
  <c r="H789" i="1"/>
  <c r="G789" i="1"/>
  <c r="E789" i="1"/>
  <c r="B789" i="1"/>
  <c r="A789" i="1"/>
  <c r="H788" i="1"/>
  <c r="G788" i="1"/>
  <c r="E788" i="1"/>
  <c r="B788" i="1"/>
  <c r="A788" i="1"/>
  <c r="H787" i="1"/>
  <c r="G787" i="1"/>
  <c r="E787" i="1"/>
  <c r="B787" i="1"/>
  <c r="A787" i="1"/>
  <c r="H786" i="1"/>
  <c r="G786" i="1"/>
  <c r="E786" i="1"/>
  <c r="B786" i="1"/>
  <c r="A786" i="1"/>
  <c r="H785" i="1"/>
  <c r="G785" i="1"/>
  <c r="E785" i="1"/>
  <c r="B785" i="1"/>
  <c r="A785" i="1"/>
  <c r="H784" i="1"/>
  <c r="G784" i="1"/>
  <c r="E784" i="1"/>
  <c r="B784" i="1"/>
  <c r="A784" i="1"/>
  <c r="H783" i="1"/>
  <c r="G783" i="1"/>
  <c r="E783" i="1"/>
  <c r="B783" i="1"/>
  <c r="A783" i="1"/>
  <c r="H782" i="1"/>
  <c r="G782" i="1"/>
  <c r="E782" i="1"/>
  <c r="B782" i="1"/>
  <c r="A782" i="1"/>
  <c r="H781" i="1"/>
  <c r="G781" i="1"/>
  <c r="E781" i="1"/>
  <c r="B781" i="1"/>
  <c r="A781" i="1"/>
  <c r="H780" i="1"/>
  <c r="G780" i="1"/>
  <c r="E780" i="1"/>
  <c r="B780" i="1"/>
  <c r="A780" i="1"/>
  <c r="H779" i="1"/>
  <c r="G779" i="1"/>
  <c r="E779" i="1"/>
  <c r="B779" i="1"/>
  <c r="A779" i="1"/>
  <c r="H778" i="1"/>
  <c r="G778" i="1"/>
  <c r="E778" i="1"/>
  <c r="B778" i="1"/>
  <c r="A778" i="1"/>
  <c r="H777" i="1"/>
  <c r="G777" i="1"/>
  <c r="E777" i="1"/>
  <c r="B777" i="1"/>
  <c r="A777" i="1"/>
  <c r="H776" i="1"/>
  <c r="G776" i="1"/>
  <c r="E776" i="1"/>
  <c r="B776" i="1"/>
  <c r="A776" i="1"/>
  <c r="H775" i="1"/>
  <c r="G775" i="1"/>
  <c r="E775" i="1"/>
  <c r="B775" i="1"/>
  <c r="A775" i="1"/>
  <c r="H774" i="1"/>
  <c r="G774" i="1"/>
  <c r="E774" i="1"/>
  <c r="B774" i="1"/>
  <c r="A774" i="1"/>
  <c r="H773" i="1"/>
  <c r="G773" i="1"/>
  <c r="E773" i="1"/>
  <c r="B773" i="1"/>
  <c r="A773" i="1"/>
  <c r="H772" i="1"/>
  <c r="G772" i="1"/>
  <c r="E772" i="1"/>
  <c r="B772" i="1"/>
  <c r="A772" i="1"/>
  <c r="H771" i="1"/>
  <c r="G771" i="1"/>
  <c r="E771" i="1"/>
  <c r="B771" i="1"/>
  <c r="A771" i="1"/>
  <c r="H770" i="1"/>
  <c r="G770" i="1"/>
  <c r="E770" i="1"/>
  <c r="B770" i="1"/>
  <c r="A770" i="1"/>
  <c r="H769" i="1"/>
  <c r="G769" i="1"/>
  <c r="B769" i="1"/>
  <c r="A769" i="1"/>
  <c r="H768" i="1"/>
  <c r="G768" i="1"/>
  <c r="E768" i="1"/>
  <c r="B768" i="1"/>
  <c r="A768" i="1"/>
  <c r="H767" i="1"/>
  <c r="G767" i="1"/>
  <c r="E767" i="1"/>
  <c r="B767" i="1"/>
  <c r="A767" i="1"/>
  <c r="H766" i="1"/>
  <c r="G766" i="1"/>
  <c r="B766" i="1"/>
  <c r="A766" i="1"/>
  <c r="H765" i="1"/>
  <c r="G765" i="1"/>
  <c r="E765" i="1"/>
  <c r="B765" i="1"/>
  <c r="A765" i="1"/>
  <c r="H764" i="1"/>
  <c r="G764" i="1"/>
  <c r="E764" i="1"/>
  <c r="B764" i="1"/>
  <c r="A764" i="1"/>
  <c r="H763" i="1"/>
  <c r="G763" i="1"/>
  <c r="E763" i="1"/>
  <c r="B763" i="1"/>
  <c r="A763" i="1"/>
  <c r="H762" i="1"/>
  <c r="G762" i="1"/>
  <c r="E762" i="1"/>
  <c r="B762" i="1"/>
  <c r="A762" i="1"/>
  <c r="H761" i="1"/>
  <c r="G761" i="1"/>
  <c r="E761" i="1"/>
  <c r="B761" i="1"/>
  <c r="A761" i="1"/>
  <c r="H760" i="1"/>
  <c r="G760" i="1"/>
  <c r="E760" i="1"/>
  <c r="B760" i="1"/>
  <c r="A760" i="1"/>
  <c r="H759" i="1"/>
  <c r="G759" i="1"/>
  <c r="E759" i="1"/>
  <c r="B759" i="1"/>
  <c r="A759" i="1"/>
  <c r="H758" i="1"/>
  <c r="G758" i="1"/>
  <c r="E758" i="1"/>
  <c r="B758" i="1"/>
  <c r="A758" i="1"/>
  <c r="H757" i="1"/>
  <c r="G757" i="1"/>
  <c r="E757" i="1"/>
  <c r="B757" i="1"/>
  <c r="A757" i="1"/>
  <c r="H756" i="1"/>
  <c r="G756" i="1"/>
  <c r="E756" i="1"/>
  <c r="B756" i="1"/>
  <c r="A756" i="1"/>
  <c r="H755" i="1"/>
  <c r="G755" i="1"/>
  <c r="E755" i="1"/>
  <c r="B755" i="1"/>
  <c r="A755" i="1"/>
  <c r="H754" i="1"/>
  <c r="G754" i="1"/>
  <c r="E754" i="1"/>
  <c r="B754" i="1"/>
  <c r="A754" i="1"/>
  <c r="H753" i="1"/>
  <c r="G753" i="1"/>
  <c r="E753" i="1"/>
  <c r="B753" i="1"/>
  <c r="A753" i="1"/>
  <c r="H752" i="1"/>
  <c r="G752" i="1"/>
  <c r="E752" i="1"/>
  <c r="B752" i="1"/>
  <c r="A752" i="1"/>
  <c r="H751" i="1"/>
  <c r="G751" i="1"/>
  <c r="E751" i="1"/>
  <c r="B751" i="1"/>
  <c r="A751" i="1"/>
  <c r="H750" i="1"/>
  <c r="G750" i="1"/>
  <c r="E750" i="1"/>
  <c r="B750" i="1"/>
  <c r="A750" i="1"/>
  <c r="H749" i="1"/>
  <c r="G749" i="1"/>
  <c r="E749" i="1"/>
  <c r="B749" i="1"/>
  <c r="A749" i="1"/>
  <c r="H748" i="1"/>
  <c r="G748" i="1"/>
  <c r="E748" i="1"/>
  <c r="B748" i="1"/>
  <c r="A748" i="1"/>
  <c r="H747" i="1"/>
  <c r="G747" i="1"/>
  <c r="E747" i="1"/>
  <c r="B747" i="1"/>
  <c r="A747" i="1"/>
  <c r="H746" i="1"/>
  <c r="G746" i="1"/>
  <c r="E746" i="1"/>
  <c r="B746" i="1"/>
  <c r="A746" i="1"/>
  <c r="H745" i="1"/>
  <c r="G745" i="1"/>
  <c r="E745" i="1"/>
  <c r="B745" i="1"/>
  <c r="A745" i="1"/>
  <c r="H744" i="1"/>
  <c r="G744" i="1"/>
  <c r="E744" i="1"/>
  <c r="B744" i="1"/>
  <c r="A744" i="1"/>
  <c r="H743" i="1"/>
  <c r="G743" i="1"/>
  <c r="E743" i="1"/>
  <c r="B743" i="1"/>
  <c r="A743" i="1"/>
  <c r="H742" i="1"/>
  <c r="G742" i="1"/>
  <c r="E742" i="1"/>
  <c r="B742" i="1"/>
  <c r="A742" i="1"/>
  <c r="H741" i="1"/>
  <c r="G741" i="1"/>
  <c r="E741" i="1"/>
  <c r="B741" i="1"/>
  <c r="A741" i="1"/>
  <c r="H740" i="1"/>
  <c r="G740" i="1"/>
  <c r="E740" i="1"/>
  <c r="B740" i="1"/>
  <c r="A740" i="1"/>
  <c r="H739" i="1"/>
  <c r="G739" i="1"/>
  <c r="E739" i="1"/>
  <c r="B739" i="1"/>
  <c r="A739" i="1"/>
  <c r="H738" i="1"/>
  <c r="G738" i="1"/>
  <c r="E738" i="1"/>
  <c r="B738" i="1"/>
  <c r="A738" i="1"/>
  <c r="H737" i="1"/>
  <c r="G737" i="1"/>
  <c r="E737" i="1"/>
  <c r="B737" i="1"/>
  <c r="A737" i="1"/>
  <c r="H736" i="1"/>
  <c r="G736" i="1"/>
  <c r="E736" i="1"/>
  <c r="B736" i="1"/>
  <c r="A736" i="1"/>
  <c r="H735" i="1"/>
  <c r="G735" i="1"/>
  <c r="E735" i="1"/>
  <c r="B735" i="1"/>
  <c r="A735" i="1"/>
  <c r="H734" i="1"/>
  <c r="G734" i="1"/>
  <c r="E734" i="1"/>
  <c r="B734" i="1"/>
  <c r="A734" i="1"/>
  <c r="H733" i="1"/>
  <c r="G733" i="1"/>
  <c r="E733" i="1"/>
  <c r="B733" i="1"/>
  <c r="A733" i="1"/>
  <c r="H732" i="1"/>
  <c r="G732" i="1"/>
  <c r="E732" i="1"/>
  <c r="B732" i="1"/>
  <c r="A732" i="1"/>
  <c r="H731" i="1"/>
  <c r="G731" i="1"/>
  <c r="E731" i="1"/>
  <c r="B731" i="1"/>
  <c r="A731" i="1"/>
  <c r="H730" i="1"/>
  <c r="G730" i="1"/>
  <c r="E730" i="1"/>
  <c r="B730" i="1"/>
  <c r="A730" i="1"/>
  <c r="H729" i="1"/>
  <c r="G729" i="1"/>
  <c r="E729" i="1"/>
  <c r="B729" i="1"/>
  <c r="A729" i="1"/>
  <c r="H728" i="1"/>
  <c r="G728" i="1"/>
  <c r="E728" i="1"/>
  <c r="B728" i="1"/>
  <c r="A728" i="1"/>
  <c r="H727" i="1"/>
  <c r="G727" i="1"/>
  <c r="E727" i="1"/>
  <c r="B727" i="1"/>
  <c r="A727" i="1"/>
  <c r="H726" i="1"/>
  <c r="G726" i="1"/>
  <c r="E726" i="1"/>
  <c r="B726" i="1"/>
  <c r="A726" i="1"/>
  <c r="H725" i="1"/>
  <c r="G725" i="1"/>
  <c r="E725" i="1"/>
  <c r="B725" i="1"/>
  <c r="A725" i="1"/>
  <c r="H724" i="1"/>
  <c r="G724" i="1"/>
  <c r="E724" i="1"/>
  <c r="B724" i="1"/>
  <c r="A724" i="1"/>
  <c r="H723" i="1"/>
  <c r="G723" i="1"/>
  <c r="E723" i="1"/>
  <c r="B723" i="1"/>
  <c r="A723" i="1"/>
  <c r="H722" i="1"/>
  <c r="G722" i="1"/>
  <c r="E722" i="1"/>
  <c r="B722" i="1"/>
  <c r="A722" i="1"/>
  <c r="H721" i="1"/>
  <c r="G721" i="1"/>
  <c r="E721" i="1"/>
  <c r="B721" i="1"/>
  <c r="A721" i="1"/>
  <c r="H720" i="1"/>
  <c r="G720" i="1"/>
  <c r="E720" i="1"/>
  <c r="B720" i="1"/>
  <c r="A720" i="1"/>
  <c r="H719" i="1"/>
  <c r="G719" i="1"/>
  <c r="E719" i="1"/>
  <c r="B719" i="1"/>
  <c r="A719" i="1"/>
  <c r="H718" i="1"/>
  <c r="G718" i="1"/>
  <c r="E718" i="1"/>
  <c r="B718" i="1"/>
  <c r="A718" i="1"/>
  <c r="H717" i="1"/>
  <c r="G717" i="1"/>
  <c r="E717" i="1"/>
  <c r="B717" i="1"/>
  <c r="A717" i="1"/>
  <c r="H716" i="1"/>
  <c r="G716" i="1"/>
  <c r="E716" i="1"/>
  <c r="B716" i="1"/>
  <c r="A716" i="1"/>
  <c r="H715" i="1"/>
  <c r="G715" i="1"/>
  <c r="E715" i="1"/>
  <c r="B715" i="1"/>
  <c r="A715" i="1"/>
  <c r="H714" i="1"/>
  <c r="G714" i="1"/>
  <c r="E714" i="1"/>
  <c r="B714" i="1"/>
  <c r="A714" i="1"/>
  <c r="H713" i="1"/>
  <c r="G713" i="1"/>
  <c r="E713" i="1"/>
  <c r="B713" i="1"/>
  <c r="A713" i="1"/>
  <c r="H712" i="1"/>
  <c r="G712" i="1"/>
  <c r="E712" i="1"/>
  <c r="B712" i="1"/>
  <c r="A712" i="1"/>
  <c r="H711" i="1"/>
  <c r="G711" i="1"/>
  <c r="E711" i="1"/>
  <c r="B711" i="1"/>
  <c r="A711" i="1"/>
  <c r="H710" i="1"/>
  <c r="G710" i="1"/>
  <c r="E710" i="1"/>
  <c r="B710" i="1"/>
  <c r="A710" i="1"/>
  <c r="H709" i="1"/>
  <c r="G709" i="1"/>
  <c r="E709" i="1"/>
  <c r="B709" i="1"/>
  <c r="A709" i="1"/>
  <c r="H708" i="1"/>
  <c r="G708" i="1"/>
  <c r="E708" i="1"/>
  <c r="B708" i="1"/>
  <c r="A708" i="1"/>
  <c r="H707" i="1"/>
  <c r="G707" i="1"/>
  <c r="E707" i="1"/>
  <c r="B707" i="1"/>
  <c r="A707" i="1"/>
  <c r="H706" i="1"/>
  <c r="G706" i="1"/>
  <c r="E706" i="1"/>
  <c r="B706" i="1"/>
  <c r="A706" i="1"/>
  <c r="H705" i="1"/>
  <c r="G705" i="1"/>
  <c r="E705" i="1"/>
  <c r="B705" i="1"/>
  <c r="A705" i="1"/>
  <c r="H704" i="1"/>
  <c r="G704" i="1"/>
  <c r="E704" i="1"/>
  <c r="B704" i="1"/>
  <c r="A704" i="1"/>
  <c r="H703" i="1"/>
  <c r="G703" i="1"/>
  <c r="E703" i="1"/>
  <c r="B703" i="1"/>
  <c r="A703" i="1"/>
  <c r="H702" i="1"/>
  <c r="G702" i="1"/>
  <c r="E702" i="1"/>
  <c r="B702" i="1"/>
  <c r="A702" i="1"/>
  <c r="H701" i="1"/>
  <c r="G701" i="1"/>
  <c r="E701" i="1"/>
  <c r="B701" i="1"/>
  <c r="A701" i="1"/>
  <c r="H700" i="1"/>
  <c r="G700" i="1"/>
  <c r="E700" i="1"/>
  <c r="B700" i="1"/>
  <c r="A700" i="1"/>
  <c r="H699" i="1"/>
  <c r="G699" i="1"/>
  <c r="E699" i="1"/>
  <c r="B699" i="1"/>
  <c r="A699" i="1"/>
  <c r="H698" i="1"/>
  <c r="G698" i="1"/>
  <c r="E698" i="1"/>
  <c r="B698" i="1"/>
  <c r="A698" i="1"/>
  <c r="H697" i="1"/>
  <c r="G697" i="1"/>
  <c r="E697" i="1"/>
  <c r="B697" i="1"/>
  <c r="A697" i="1"/>
  <c r="H696" i="1"/>
  <c r="G696" i="1"/>
  <c r="E696" i="1"/>
  <c r="B696" i="1"/>
  <c r="A696" i="1"/>
  <c r="H695" i="1"/>
  <c r="G695" i="1"/>
  <c r="E695" i="1"/>
  <c r="B695" i="1"/>
  <c r="A695" i="1"/>
  <c r="H694" i="1"/>
  <c r="G694" i="1"/>
  <c r="E694" i="1"/>
  <c r="B694" i="1"/>
  <c r="A694" i="1"/>
  <c r="H693" i="1"/>
  <c r="G693" i="1"/>
  <c r="E693" i="1"/>
  <c r="B693" i="1"/>
  <c r="A693" i="1"/>
  <c r="H692" i="1"/>
  <c r="G692" i="1"/>
  <c r="E692" i="1"/>
  <c r="B692" i="1"/>
  <c r="A692" i="1"/>
  <c r="H691" i="1"/>
  <c r="G691" i="1"/>
  <c r="E691" i="1"/>
  <c r="B691" i="1"/>
  <c r="A691" i="1"/>
  <c r="H690" i="1"/>
  <c r="G690" i="1"/>
  <c r="E690" i="1"/>
  <c r="B690" i="1"/>
  <c r="A690" i="1"/>
  <c r="H689" i="1"/>
  <c r="G689" i="1"/>
  <c r="E689" i="1"/>
  <c r="B689" i="1"/>
  <c r="A689" i="1"/>
  <c r="H688" i="1"/>
  <c r="G688" i="1"/>
  <c r="B688" i="1"/>
  <c r="A688" i="1"/>
  <c r="H687" i="1"/>
  <c r="G687" i="1"/>
  <c r="E687" i="1"/>
  <c r="B687" i="1"/>
  <c r="A687" i="1"/>
  <c r="H686" i="1"/>
  <c r="G686" i="1"/>
  <c r="E686" i="1"/>
  <c r="B686" i="1"/>
  <c r="A686" i="1"/>
  <c r="H685" i="1"/>
  <c r="G685" i="1"/>
  <c r="E685" i="1"/>
  <c r="B685" i="1"/>
  <c r="A685" i="1"/>
  <c r="H684" i="1"/>
  <c r="G684" i="1"/>
  <c r="B684" i="1"/>
  <c r="A684" i="1"/>
  <c r="H683" i="1"/>
  <c r="G683" i="1"/>
  <c r="E683" i="1"/>
  <c r="B683" i="1"/>
  <c r="A683" i="1"/>
  <c r="H682" i="1"/>
  <c r="G682" i="1"/>
  <c r="E682" i="1"/>
  <c r="B682" i="1"/>
  <c r="A682" i="1"/>
  <c r="H681" i="1"/>
  <c r="G681" i="1"/>
  <c r="E681" i="1"/>
  <c r="B681" i="1"/>
  <c r="A681" i="1"/>
  <c r="H680" i="1"/>
  <c r="G680" i="1"/>
  <c r="E680" i="1"/>
  <c r="B680" i="1"/>
  <c r="A680" i="1"/>
  <c r="H679" i="1"/>
  <c r="G679" i="1"/>
  <c r="E679" i="1"/>
  <c r="B679" i="1"/>
  <c r="A679" i="1"/>
  <c r="H678" i="1"/>
  <c r="G678" i="1"/>
  <c r="E678" i="1"/>
  <c r="B678" i="1"/>
  <c r="A678" i="1"/>
  <c r="H677" i="1"/>
  <c r="G677" i="1"/>
  <c r="E677" i="1"/>
  <c r="B677" i="1"/>
  <c r="A677" i="1"/>
  <c r="H676" i="1"/>
  <c r="G676" i="1"/>
  <c r="E676" i="1"/>
  <c r="B676" i="1"/>
  <c r="A676" i="1"/>
  <c r="H675" i="1"/>
  <c r="G675" i="1"/>
  <c r="E675" i="1"/>
  <c r="B675" i="1"/>
  <c r="A675" i="1"/>
  <c r="H674" i="1"/>
  <c r="G674" i="1"/>
  <c r="E674" i="1"/>
  <c r="B674" i="1"/>
  <c r="A674" i="1"/>
  <c r="H673" i="1"/>
  <c r="G673" i="1"/>
  <c r="E673" i="1"/>
  <c r="B673" i="1"/>
  <c r="A673" i="1"/>
  <c r="H672" i="1"/>
  <c r="G672" i="1"/>
  <c r="E672" i="1"/>
  <c r="B672" i="1"/>
  <c r="A672" i="1"/>
  <c r="H671" i="1"/>
  <c r="G671" i="1"/>
  <c r="E671" i="1"/>
  <c r="B671" i="1"/>
  <c r="A671" i="1"/>
  <c r="H670" i="1"/>
  <c r="G670" i="1"/>
  <c r="E670" i="1"/>
  <c r="B670" i="1"/>
  <c r="A670" i="1"/>
  <c r="H669" i="1"/>
  <c r="G669" i="1"/>
  <c r="E669" i="1"/>
  <c r="B669" i="1"/>
  <c r="A669" i="1"/>
  <c r="H668" i="1"/>
  <c r="G668" i="1"/>
  <c r="E668" i="1"/>
  <c r="B668" i="1"/>
  <c r="A668" i="1"/>
  <c r="H667" i="1"/>
  <c r="G667" i="1"/>
  <c r="E667" i="1"/>
  <c r="B667" i="1"/>
  <c r="A667" i="1"/>
  <c r="H666" i="1"/>
  <c r="G666" i="1"/>
  <c r="E666" i="1"/>
  <c r="B666" i="1"/>
  <c r="A666" i="1"/>
  <c r="H665" i="1"/>
  <c r="G665" i="1"/>
  <c r="E665" i="1"/>
  <c r="B665" i="1"/>
  <c r="A665" i="1"/>
  <c r="H664" i="1"/>
  <c r="G664" i="1"/>
  <c r="E664" i="1"/>
  <c r="B664" i="1"/>
  <c r="A664" i="1"/>
  <c r="H663" i="1"/>
  <c r="G663" i="1"/>
  <c r="E663" i="1"/>
  <c r="B663" i="1"/>
  <c r="A663" i="1"/>
  <c r="H662" i="1"/>
  <c r="G662" i="1"/>
  <c r="E662" i="1"/>
  <c r="B662" i="1"/>
  <c r="A662" i="1"/>
  <c r="H661" i="1"/>
  <c r="G661" i="1"/>
  <c r="E661" i="1"/>
  <c r="B661" i="1"/>
  <c r="A661" i="1"/>
  <c r="H660" i="1"/>
  <c r="G660" i="1"/>
  <c r="B660" i="1"/>
  <c r="A660" i="1"/>
  <c r="H659" i="1"/>
  <c r="G659" i="1"/>
  <c r="E659" i="1"/>
  <c r="B659" i="1"/>
  <c r="A659" i="1"/>
  <c r="H658" i="1"/>
  <c r="G658" i="1"/>
  <c r="E658" i="1"/>
  <c r="B658" i="1"/>
  <c r="A658" i="1"/>
  <c r="H657" i="1"/>
  <c r="G657" i="1"/>
  <c r="E657" i="1"/>
  <c r="B657" i="1"/>
  <c r="A657" i="1"/>
  <c r="H656" i="1"/>
  <c r="G656" i="1"/>
  <c r="E656" i="1"/>
  <c r="B656" i="1"/>
  <c r="A656" i="1"/>
  <c r="H655" i="1"/>
  <c r="G655" i="1"/>
  <c r="E655" i="1"/>
  <c r="B655" i="1"/>
  <c r="A655" i="1"/>
  <c r="H654" i="1"/>
  <c r="G654" i="1"/>
  <c r="E654" i="1"/>
  <c r="B654" i="1"/>
  <c r="A654" i="1"/>
  <c r="H653" i="1"/>
  <c r="G653" i="1"/>
  <c r="E653" i="1"/>
  <c r="B653" i="1"/>
  <c r="A653" i="1"/>
  <c r="H652" i="1"/>
  <c r="G652" i="1"/>
  <c r="E652" i="1"/>
  <c r="B652" i="1"/>
  <c r="A652" i="1"/>
  <c r="H651" i="1"/>
  <c r="G651" i="1"/>
  <c r="E651" i="1"/>
  <c r="B651" i="1"/>
  <c r="A651" i="1"/>
  <c r="H650" i="1"/>
  <c r="G650" i="1"/>
  <c r="E650" i="1"/>
  <c r="B650" i="1"/>
  <c r="A650" i="1"/>
  <c r="H649" i="1"/>
  <c r="G649" i="1"/>
  <c r="E649" i="1"/>
  <c r="B649" i="1"/>
  <c r="A649" i="1"/>
  <c r="H648" i="1"/>
  <c r="G648" i="1"/>
  <c r="E648" i="1"/>
  <c r="B648" i="1"/>
  <c r="A648" i="1"/>
  <c r="H647" i="1"/>
  <c r="G647" i="1"/>
  <c r="E647" i="1"/>
  <c r="B647" i="1"/>
  <c r="A647" i="1"/>
  <c r="H646" i="1"/>
  <c r="G646" i="1"/>
  <c r="E646" i="1"/>
  <c r="B646" i="1"/>
  <c r="A646" i="1"/>
  <c r="H645" i="1"/>
  <c r="G645" i="1"/>
  <c r="E645" i="1"/>
  <c r="B645" i="1"/>
  <c r="A645" i="1"/>
  <c r="H644" i="1"/>
  <c r="G644" i="1"/>
  <c r="E644" i="1"/>
  <c r="B644" i="1"/>
  <c r="A644" i="1"/>
  <c r="H643" i="1"/>
  <c r="G643" i="1"/>
  <c r="E643" i="1"/>
  <c r="B643" i="1"/>
  <c r="A643" i="1"/>
  <c r="H642" i="1"/>
  <c r="G642" i="1"/>
  <c r="E642" i="1"/>
  <c r="B642" i="1"/>
  <c r="A642" i="1"/>
  <c r="H641" i="1"/>
  <c r="G641" i="1"/>
  <c r="E641" i="1"/>
  <c r="B641" i="1"/>
  <c r="A641" i="1"/>
  <c r="H640" i="1"/>
  <c r="G640" i="1"/>
  <c r="E640" i="1"/>
  <c r="B640" i="1"/>
  <c r="A640" i="1"/>
  <c r="H639" i="1"/>
  <c r="G639" i="1"/>
  <c r="E639" i="1"/>
  <c r="B639" i="1"/>
  <c r="A639" i="1"/>
  <c r="H638" i="1"/>
  <c r="G638" i="1"/>
  <c r="E638" i="1"/>
  <c r="B638" i="1"/>
  <c r="A638" i="1"/>
  <c r="H637" i="1"/>
  <c r="G637" i="1"/>
  <c r="E637" i="1"/>
  <c r="B637" i="1"/>
  <c r="A637" i="1"/>
  <c r="H636" i="1"/>
  <c r="G636" i="1"/>
  <c r="E636" i="1"/>
  <c r="B636" i="1"/>
  <c r="A636" i="1"/>
  <c r="H635" i="1"/>
  <c r="G635" i="1"/>
  <c r="E635" i="1"/>
  <c r="B635" i="1"/>
  <c r="A635" i="1"/>
  <c r="H634" i="1"/>
  <c r="G634" i="1"/>
  <c r="E634" i="1"/>
  <c r="B634" i="1"/>
  <c r="A634" i="1"/>
  <c r="H633" i="1"/>
  <c r="G633" i="1"/>
  <c r="E633" i="1"/>
  <c r="B633" i="1"/>
  <c r="A633" i="1"/>
  <c r="H632" i="1"/>
  <c r="G632" i="1"/>
  <c r="E632" i="1"/>
  <c r="B632" i="1"/>
  <c r="A632" i="1"/>
  <c r="H631" i="1"/>
  <c r="G631" i="1"/>
  <c r="E631" i="1"/>
  <c r="B631" i="1"/>
  <c r="A631" i="1"/>
  <c r="H630" i="1"/>
  <c r="G630" i="1"/>
  <c r="E630" i="1"/>
  <c r="B630" i="1"/>
  <c r="A630" i="1"/>
  <c r="H629" i="1"/>
  <c r="G629" i="1"/>
  <c r="E629" i="1"/>
  <c r="B629" i="1"/>
  <c r="A629" i="1"/>
  <c r="H628" i="1"/>
  <c r="G628" i="1"/>
  <c r="E628" i="1"/>
  <c r="B628" i="1"/>
  <c r="A628" i="1"/>
  <c r="H627" i="1"/>
  <c r="G627" i="1"/>
  <c r="E627" i="1"/>
  <c r="B627" i="1"/>
  <c r="A627" i="1"/>
  <c r="H626" i="1"/>
  <c r="G626" i="1"/>
  <c r="E626" i="1"/>
  <c r="B626" i="1"/>
  <c r="A626" i="1"/>
  <c r="H625" i="1"/>
  <c r="G625" i="1"/>
  <c r="E625" i="1"/>
  <c r="B625" i="1"/>
  <c r="A625" i="1"/>
  <c r="H624" i="1"/>
  <c r="G624" i="1"/>
  <c r="E624" i="1"/>
  <c r="B624" i="1"/>
  <c r="A624" i="1"/>
  <c r="H623" i="1"/>
  <c r="G623" i="1"/>
  <c r="E623" i="1"/>
  <c r="B623" i="1"/>
  <c r="A623" i="1"/>
  <c r="H622" i="1"/>
  <c r="G622" i="1"/>
  <c r="B622" i="1"/>
  <c r="A622" i="1"/>
  <c r="H621" i="1"/>
  <c r="G621" i="1"/>
  <c r="E621" i="1"/>
  <c r="B621" i="1"/>
  <c r="A621" i="1"/>
  <c r="H620" i="1"/>
  <c r="G620" i="1"/>
  <c r="E620" i="1"/>
  <c r="B620" i="1"/>
  <c r="A620" i="1"/>
  <c r="H619" i="1"/>
  <c r="G619" i="1"/>
  <c r="E619" i="1"/>
  <c r="B619" i="1"/>
  <c r="A619" i="1"/>
  <c r="H618" i="1"/>
  <c r="G618" i="1"/>
  <c r="E618" i="1"/>
  <c r="B618" i="1"/>
  <c r="A618" i="1"/>
  <c r="H617" i="1"/>
  <c r="G617" i="1"/>
  <c r="E617" i="1"/>
  <c r="B617" i="1"/>
  <c r="A617" i="1"/>
  <c r="H616" i="1"/>
  <c r="G616" i="1"/>
  <c r="E616" i="1"/>
  <c r="B616" i="1"/>
  <c r="A616" i="1"/>
  <c r="H615" i="1"/>
  <c r="G615" i="1"/>
  <c r="E615" i="1"/>
  <c r="B615" i="1"/>
  <c r="A615" i="1"/>
  <c r="H614" i="1"/>
  <c r="G614" i="1"/>
  <c r="E614" i="1"/>
  <c r="B614" i="1"/>
  <c r="A614" i="1"/>
  <c r="H613" i="1"/>
  <c r="G613" i="1"/>
  <c r="E613" i="1"/>
  <c r="B613" i="1"/>
  <c r="A613" i="1"/>
  <c r="H612" i="1"/>
  <c r="G612" i="1"/>
  <c r="E612" i="1"/>
  <c r="B612" i="1"/>
  <c r="A612" i="1"/>
  <c r="H611" i="1"/>
  <c r="G611" i="1"/>
  <c r="E611" i="1"/>
  <c r="B611" i="1"/>
  <c r="A611" i="1"/>
  <c r="H610" i="1"/>
  <c r="G610" i="1"/>
  <c r="E610" i="1"/>
  <c r="B610" i="1"/>
  <c r="A610" i="1"/>
  <c r="H609" i="1"/>
  <c r="G609" i="1"/>
  <c r="E609" i="1"/>
  <c r="B609" i="1"/>
  <c r="A609" i="1"/>
  <c r="H608" i="1"/>
  <c r="G608" i="1"/>
  <c r="E608" i="1"/>
  <c r="B608" i="1"/>
  <c r="A608" i="1"/>
  <c r="H607" i="1"/>
  <c r="G607" i="1"/>
  <c r="E607" i="1"/>
  <c r="B607" i="1"/>
  <c r="A607" i="1"/>
  <c r="H606" i="1"/>
  <c r="G606" i="1"/>
  <c r="E606" i="1"/>
  <c r="B606" i="1"/>
  <c r="A606" i="1"/>
  <c r="H605" i="1"/>
  <c r="G605" i="1"/>
  <c r="E605" i="1"/>
  <c r="B605" i="1"/>
  <c r="A605" i="1"/>
  <c r="H604" i="1"/>
  <c r="G604" i="1"/>
  <c r="E604" i="1"/>
  <c r="B604" i="1"/>
  <c r="A604" i="1"/>
  <c r="H603" i="1"/>
  <c r="G603" i="1"/>
  <c r="E603" i="1"/>
  <c r="B603" i="1"/>
  <c r="A603" i="1"/>
  <c r="H602" i="1"/>
  <c r="G602" i="1"/>
  <c r="E602" i="1"/>
  <c r="B602" i="1"/>
  <c r="A602" i="1"/>
  <c r="H601" i="1"/>
  <c r="G601" i="1"/>
  <c r="E601" i="1"/>
  <c r="B601" i="1"/>
  <c r="A601" i="1"/>
  <c r="H600" i="1"/>
  <c r="G600" i="1"/>
  <c r="E600" i="1"/>
  <c r="B600" i="1"/>
  <c r="A600" i="1"/>
  <c r="H599" i="1"/>
  <c r="G599" i="1"/>
  <c r="E599" i="1"/>
  <c r="B599" i="1"/>
  <c r="A599" i="1"/>
  <c r="H598" i="1"/>
  <c r="G598" i="1"/>
  <c r="E598" i="1"/>
  <c r="B598" i="1"/>
  <c r="A598" i="1"/>
  <c r="H597" i="1"/>
  <c r="G597" i="1"/>
  <c r="E597" i="1"/>
  <c r="B597" i="1"/>
  <c r="A597" i="1"/>
  <c r="H596" i="1"/>
  <c r="G596" i="1"/>
  <c r="E596" i="1"/>
  <c r="B596" i="1"/>
  <c r="A596" i="1"/>
  <c r="H595" i="1"/>
  <c r="G595" i="1"/>
  <c r="E595" i="1"/>
  <c r="B595" i="1"/>
  <c r="A595" i="1"/>
  <c r="H594" i="1"/>
  <c r="G594" i="1"/>
  <c r="E594" i="1"/>
  <c r="B594" i="1"/>
  <c r="A594" i="1"/>
  <c r="H593" i="1"/>
  <c r="G593" i="1"/>
  <c r="E593" i="1"/>
  <c r="B593" i="1"/>
  <c r="A593" i="1"/>
  <c r="H592" i="1"/>
  <c r="G592" i="1"/>
  <c r="E592" i="1"/>
  <c r="B592" i="1"/>
  <c r="A592" i="1"/>
  <c r="H591" i="1"/>
  <c r="G591" i="1"/>
  <c r="B591" i="1"/>
  <c r="A591" i="1"/>
  <c r="H590" i="1"/>
  <c r="G590" i="1"/>
  <c r="E590" i="1"/>
  <c r="B590" i="1"/>
  <c r="A590" i="1"/>
  <c r="H589" i="1"/>
  <c r="G589" i="1"/>
  <c r="E589" i="1"/>
  <c r="B589" i="1"/>
  <c r="A589" i="1"/>
  <c r="H588" i="1"/>
  <c r="G588" i="1"/>
  <c r="E588" i="1"/>
  <c r="B588" i="1"/>
  <c r="A588" i="1"/>
  <c r="H587" i="1"/>
  <c r="G587" i="1"/>
  <c r="E587" i="1"/>
  <c r="B587" i="1"/>
  <c r="A587" i="1"/>
  <c r="H586" i="1"/>
  <c r="G586" i="1"/>
  <c r="E586" i="1"/>
  <c r="B586" i="1"/>
  <c r="A586" i="1"/>
  <c r="H585" i="1"/>
  <c r="G585" i="1"/>
  <c r="E585" i="1"/>
  <c r="B585" i="1"/>
  <c r="A585" i="1"/>
  <c r="H584" i="1"/>
  <c r="G584" i="1"/>
  <c r="E584" i="1"/>
  <c r="B584" i="1"/>
  <c r="A584" i="1"/>
  <c r="H583" i="1"/>
  <c r="G583" i="1"/>
  <c r="E583" i="1"/>
  <c r="B583" i="1"/>
  <c r="A583" i="1"/>
  <c r="H582" i="1"/>
  <c r="G582" i="1"/>
  <c r="E582" i="1"/>
  <c r="B582" i="1"/>
  <c r="A582" i="1"/>
  <c r="H581" i="1"/>
  <c r="G581" i="1"/>
  <c r="E581" i="1"/>
  <c r="B581" i="1"/>
  <c r="A581" i="1"/>
  <c r="H580" i="1"/>
  <c r="G580" i="1"/>
  <c r="E580" i="1"/>
  <c r="B580" i="1"/>
  <c r="A580" i="1"/>
  <c r="H579" i="1"/>
  <c r="G579" i="1"/>
  <c r="E579" i="1"/>
  <c r="B579" i="1"/>
  <c r="A579" i="1"/>
  <c r="H578" i="1"/>
  <c r="G578" i="1"/>
  <c r="E578" i="1"/>
  <c r="B578" i="1"/>
  <c r="A578" i="1"/>
  <c r="H577" i="1"/>
  <c r="G577" i="1"/>
  <c r="E577" i="1"/>
  <c r="B577" i="1"/>
  <c r="A577" i="1"/>
  <c r="H576" i="1"/>
  <c r="G576" i="1"/>
  <c r="E576" i="1"/>
  <c r="B576" i="1"/>
  <c r="A576" i="1"/>
  <c r="H575" i="1"/>
  <c r="G575" i="1"/>
  <c r="E575" i="1"/>
  <c r="B575" i="1"/>
  <c r="A575" i="1"/>
  <c r="H574" i="1"/>
  <c r="G574" i="1"/>
  <c r="E574" i="1"/>
  <c r="B574" i="1"/>
  <c r="A574" i="1"/>
  <c r="H573" i="1"/>
  <c r="G573" i="1"/>
  <c r="E573" i="1"/>
  <c r="B573" i="1"/>
  <c r="A573" i="1"/>
  <c r="H572" i="1"/>
  <c r="G572" i="1"/>
  <c r="E572" i="1"/>
  <c r="B572" i="1"/>
  <c r="A572" i="1"/>
  <c r="H571" i="1"/>
  <c r="G571" i="1"/>
  <c r="E571" i="1"/>
  <c r="B571" i="1"/>
  <c r="A571" i="1"/>
  <c r="H570" i="1"/>
  <c r="G570" i="1"/>
  <c r="E570" i="1"/>
  <c r="B570" i="1"/>
  <c r="A570" i="1"/>
  <c r="H569" i="1"/>
  <c r="G569" i="1"/>
  <c r="E569" i="1"/>
  <c r="B569" i="1"/>
  <c r="A569" i="1"/>
  <c r="H568" i="1"/>
  <c r="G568" i="1"/>
  <c r="E568" i="1"/>
  <c r="B568" i="1"/>
  <c r="A568" i="1"/>
  <c r="H567" i="1"/>
  <c r="G567" i="1"/>
  <c r="E567" i="1"/>
  <c r="B567" i="1"/>
  <c r="A567" i="1"/>
  <c r="H566" i="1"/>
  <c r="G566" i="1"/>
  <c r="E566" i="1"/>
  <c r="B566" i="1"/>
  <c r="A566" i="1"/>
  <c r="H565" i="1"/>
  <c r="G565" i="1"/>
  <c r="B565" i="1"/>
  <c r="A565" i="1"/>
  <c r="H564" i="1"/>
  <c r="G564" i="1"/>
  <c r="E564" i="1"/>
  <c r="B564" i="1"/>
  <c r="A564" i="1"/>
  <c r="H563" i="1"/>
  <c r="G563" i="1"/>
  <c r="E563" i="1"/>
  <c r="B563" i="1"/>
  <c r="A563" i="1"/>
  <c r="H562" i="1"/>
  <c r="G562" i="1"/>
  <c r="E562" i="1"/>
  <c r="B562" i="1"/>
  <c r="A562" i="1"/>
  <c r="H561" i="1"/>
  <c r="G561" i="1"/>
  <c r="E561" i="1"/>
  <c r="B561" i="1"/>
  <c r="A561" i="1"/>
  <c r="H560" i="1"/>
  <c r="G560" i="1"/>
  <c r="E560" i="1"/>
  <c r="B560" i="1"/>
  <c r="A560" i="1"/>
  <c r="H559" i="1"/>
  <c r="G559" i="1"/>
  <c r="E559" i="1"/>
  <c r="B559" i="1"/>
  <c r="A559" i="1"/>
  <c r="H558" i="1"/>
  <c r="G558" i="1"/>
  <c r="E558" i="1"/>
  <c r="B558" i="1"/>
  <c r="A558" i="1"/>
  <c r="H557" i="1"/>
  <c r="G557" i="1"/>
  <c r="E557" i="1"/>
  <c r="B557" i="1"/>
  <c r="A557" i="1"/>
  <c r="H556" i="1"/>
  <c r="G556" i="1"/>
  <c r="E556" i="1"/>
  <c r="B556" i="1"/>
  <c r="A556" i="1"/>
  <c r="H555" i="1"/>
  <c r="G555" i="1"/>
  <c r="E555" i="1"/>
  <c r="B555" i="1"/>
  <c r="A555" i="1"/>
  <c r="H554" i="1"/>
  <c r="G554" i="1"/>
  <c r="E554" i="1"/>
  <c r="B554" i="1"/>
  <c r="A554" i="1"/>
  <c r="H553" i="1"/>
  <c r="G553" i="1"/>
  <c r="E553" i="1"/>
  <c r="B553" i="1"/>
  <c r="A553" i="1"/>
  <c r="H552" i="1"/>
  <c r="G552" i="1"/>
  <c r="E552" i="1"/>
  <c r="B552" i="1"/>
  <c r="A552" i="1"/>
  <c r="H551" i="1"/>
  <c r="G551" i="1"/>
  <c r="E551" i="1"/>
  <c r="B551" i="1"/>
  <c r="A551" i="1"/>
  <c r="H550" i="1"/>
  <c r="G550" i="1"/>
  <c r="E550" i="1"/>
  <c r="B550" i="1"/>
  <c r="A550" i="1"/>
  <c r="H549" i="1"/>
  <c r="G549" i="1"/>
  <c r="E549" i="1"/>
  <c r="B549" i="1"/>
  <c r="A549" i="1"/>
  <c r="H548" i="1"/>
  <c r="G548" i="1"/>
  <c r="E548" i="1"/>
  <c r="B548" i="1"/>
  <c r="A548" i="1"/>
  <c r="H547" i="1"/>
  <c r="G547" i="1"/>
  <c r="E547" i="1"/>
  <c r="B547" i="1"/>
  <c r="A547" i="1"/>
  <c r="H546" i="1"/>
  <c r="G546" i="1"/>
  <c r="E546" i="1"/>
  <c r="B546" i="1"/>
  <c r="A546" i="1"/>
  <c r="H545" i="1"/>
  <c r="G545" i="1"/>
  <c r="E545" i="1"/>
  <c r="B545" i="1"/>
  <c r="A545" i="1"/>
  <c r="H544" i="1"/>
  <c r="G544" i="1"/>
  <c r="E544" i="1"/>
  <c r="B544" i="1"/>
  <c r="A544" i="1"/>
  <c r="H543" i="1"/>
  <c r="G543" i="1"/>
  <c r="E543" i="1"/>
  <c r="B543" i="1"/>
  <c r="A543" i="1"/>
  <c r="H542" i="1"/>
  <c r="G542" i="1"/>
  <c r="E542" i="1"/>
  <c r="B542" i="1"/>
  <c r="A542" i="1"/>
  <c r="H541" i="1"/>
  <c r="G541" i="1"/>
  <c r="E541" i="1"/>
  <c r="B541" i="1"/>
  <c r="A541" i="1"/>
  <c r="H540" i="1"/>
  <c r="G540" i="1"/>
  <c r="E540" i="1"/>
  <c r="B540" i="1"/>
  <c r="A540" i="1"/>
  <c r="H539" i="1"/>
  <c r="G539" i="1"/>
  <c r="E539" i="1"/>
  <c r="B539" i="1"/>
  <c r="A539" i="1"/>
  <c r="H538" i="1"/>
  <c r="G538" i="1"/>
  <c r="E538" i="1"/>
  <c r="B538" i="1"/>
  <c r="A538" i="1"/>
  <c r="H537" i="1"/>
  <c r="G537" i="1"/>
  <c r="E537" i="1"/>
  <c r="B537" i="1"/>
  <c r="A537" i="1"/>
  <c r="H536" i="1"/>
  <c r="G536" i="1"/>
  <c r="E536" i="1"/>
  <c r="B536" i="1"/>
  <c r="A536" i="1"/>
  <c r="H535" i="1"/>
  <c r="G535" i="1"/>
  <c r="E535" i="1"/>
  <c r="B535" i="1"/>
  <c r="A535" i="1"/>
  <c r="H534" i="1"/>
  <c r="G534" i="1"/>
  <c r="E534" i="1"/>
  <c r="B534" i="1"/>
  <c r="A534" i="1"/>
  <c r="H533" i="1"/>
  <c r="G533" i="1"/>
  <c r="E533" i="1"/>
  <c r="B533" i="1"/>
  <c r="A533" i="1"/>
  <c r="H532" i="1"/>
  <c r="G532" i="1"/>
  <c r="E532" i="1"/>
  <c r="B532" i="1"/>
  <c r="A532" i="1"/>
  <c r="H531" i="1"/>
  <c r="G531" i="1"/>
  <c r="E531" i="1"/>
  <c r="B531" i="1"/>
  <c r="A531" i="1"/>
  <c r="H530" i="1"/>
  <c r="G530" i="1"/>
  <c r="E530" i="1"/>
  <c r="B530" i="1"/>
  <c r="A530" i="1"/>
  <c r="H529" i="1"/>
  <c r="G529" i="1"/>
  <c r="E529" i="1"/>
  <c r="B529" i="1"/>
  <c r="A529" i="1"/>
  <c r="H528" i="1"/>
  <c r="G528" i="1"/>
  <c r="E528" i="1"/>
  <c r="B528" i="1"/>
  <c r="A528" i="1"/>
  <c r="H527" i="1"/>
  <c r="G527" i="1"/>
  <c r="E527" i="1"/>
  <c r="B527" i="1"/>
  <c r="A527" i="1"/>
  <c r="H526" i="1"/>
  <c r="G526" i="1"/>
  <c r="E526" i="1"/>
  <c r="B526" i="1"/>
  <c r="A526" i="1"/>
  <c r="H525" i="1"/>
  <c r="G525" i="1"/>
  <c r="E525" i="1"/>
  <c r="B525" i="1"/>
  <c r="A525" i="1"/>
  <c r="H524" i="1"/>
  <c r="G524" i="1"/>
  <c r="E524" i="1"/>
  <c r="B524" i="1"/>
  <c r="A524" i="1"/>
  <c r="H523" i="1"/>
  <c r="G523" i="1"/>
  <c r="E523" i="1"/>
  <c r="B523" i="1"/>
  <c r="A523" i="1"/>
  <c r="H522" i="1"/>
  <c r="G522" i="1"/>
  <c r="E522" i="1"/>
  <c r="B522" i="1"/>
  <c r="A522" i="1"/>
  <c r="H521" i="1"/>
  <c r="G521" i="1"/>
  <c r="E521" i="1"/>
  <c r="B521" i="1"/>
  <c r="A521" i="1"/>
  <c r="H520" i="1"/>
  <c r="G520" i="1"/>
  <c r="E520" i="1"/>
  <c r="B520" i="1"/>
  <c r="A520" i="1"/>
  <c r="H519" i="1"/>
  <c r="G519" i="1"/>
  <c r="E519" i="1"/>
  <c r="B519" i="1"/>
  <c r="A519" i="1"/>
  <c r="H518" i="1"/>
  <c r="G518" i="1"/>
  <c r="E518" i="1"/>
  <c r="B518" i="1"/>
  <c r="A518" i="1"/>
  <c r="H517" i="1"/>
  <c r="G517" i="1"/>
  <c r="E517" i="1"/>
  <c r="B517" i="1"/>
  <c r="A517" i="1"/>
  <c r="H516" i="1"/>
  <c r="G516" i="1"/>
  <c r="E516" i="1"/>
  <c r="B516" i="1"/>
  <c r="A516" i="1"/>
  <c r="H515" i="1"/>
  <c r="G515" i="1"/>
  <c r="E515" i="1"/>
  <c r="B515" i="1"/>
  <c r="A515" i="1"/>
  <c r="H514" i="1"/>
  <c r="G514" i="1"/>
  <c r="E514" i="1"/>
  <c r="B514" i="1"/>
  <c r="A514" i="1"/>
  <c r="H513" i="1"/>
  <c r="G513" i="1"/>
  <c r="E513" i="1"/>
  <c r="B513" i="1"/>
  <c r="A513" i="1"/>
  <c r="H512" i="1"/>
  <c r="G512" i="1"/>
  <c r="E512" i="1"/>
  <c r="B512" i="1"/>
  <c r="A512" i="1"/>
  <c r="H511" i="1"/>
  <c r="G511" i="1"/>
  <c r="E511" i="1"/>
  <c r="B511" i="1"/>
  <c r="A511" i="1"/>
  <c r="H510" i="1"/>
  <c r="G510" i="1"/>
  <c r="E510" i="1"/>
  <c r="B510" i="1"/>
  <c r="A510" i="1"/>
  <c r="H509" i="1"/>
  <c r="G509" i="1"/>
  <c r="E509" i="1"/>
  <c r="B509" i="1"/>
  <c r="A509" i="1"/>
  <c r="H508" i="1"/>
  <c r="G508" i="1"/>
  <c r="E508" i="1"/>
  <c r="B508" i="1"/>
  <c r="A508" i="1"/>
  <c r="H507" i="1"/>
  <c r="G507" i="1"/>
  <c r="E507" i="1"/>
  <c r="B507" i="1"/>
  <c r="A507" i="1"/>
  <c r="H506" i="1"/>
  <c r="G506" i="1"/>
  <c r="E506" i="1"/>
  <c r="B506" i="1"/>
  <c r="A506" i="1"/>
  <c r="H505" i="1"/>
  <c r="G505" i="1"/>
  <c r="E505" i="1"/>
  <c r="B505" i="1"/>
  <c r="A505" i="1"/>
  <c r="H504" i="1"/>
  <c r="G504" i="1"/>
  <c r="E504" i="1"/>
  <c r="B504" i="1"/>
  <c r="A504" i="1"/>
  <c r="H503" i="1"/>
  <c r="G503" i="1"/>
  <c r="E503" i="1"/>
  <c r="B503" i="1"/>
  <c r="A503" i="1"/>
  <c r="H502" i="1"/>
  <c r="G502" i="1"/>
  <c r="E502" i="1"/>
  <c r="B502" i="1"/>
  <c r="A502" i="1"/>
  <c r="H501" i="1"/>
  <c r="G501" i="1"/>
  <c r="E501" i="1"/>
  <c r="B501" i="1"/>
  <c r="A501" i="1"/>
  <c r="H500" i="1"/>
  <c r="G500" i="1"/>
  <c r="E500" i="1"/>
  <c r="B500" i="1"/>
  <c r="A500" i="1"/>
  <c r="H499" i="1"/>
  <c r="G499" i="1"/>
  <c r="E499" i="1"/>
  <c r="B499" i="1"/>
  <c r="A499" i="1"/>
  <c r="H498" i="1"/>
  <c r="G498" i="1"/>
  <c r="B498" i="1"/>
  <c r="A498" i="1"/>
  <c r="H497" i="1"/>
  <c r="G497" i="1"/>
  <c r="E497" i="1"/>
  <c r="B497" i="1"/>
  <c r="A497" i="1"/>
  <c r="H496" i="1"/>
  <c r="G496" i="1"/>
  <c r="E496" i="1"/>
  <c r="B496" i="1"/>
  <c r="A496" i="1"/>
  <c r="H495" i="1"/>
  <c r="G495" i="1"/>
  <c r="E495" i="1"/>
  <c r="B495" i="1"/>
  <c r="A495" i="1"/>
  <c r="H494" i="1"/>
  <c r="G494" i="1"/>
  <c r="E494" i="1"/>
  <c r="B494" i="1"/>
  <c r="A494" i="1"/>
  <c r="H493" i="1"/>
  <c r="G493" i="1"/>
  <c r="E493" i="1"/>
  <c r="B493" i="1"/>
  <c r="A493" i="1"/>
  <c r="H492" i="1"/>
  <c r="G492" i="1"/>
  <c r="E492" i="1"/>
  <c r="B492" i="1"/>
  <c r="A492" i="1"/>
  <c r="H491" i="1"/>
  <c r="G491" i="1"/>
  <c r="E491" i="1"/>
  <c r="B491" i="1"/>
  <c r="A491" i="1"/>
  <c r="H490" i="1"/>
  <c r="G490" i="1"/>
  <c r="E490" i="1"/>
  <c r="B490" i="1"/>
  <c r="A490" i="1"/>
  <c r="H489" i="1"/>
  <c r="G489" i="1"/>
  <c r="E489" i="1"/>
  <c r="B489" i="1"/>
  <c r="A489" i="1"/>
  <c r="H488" i="1"/>
  <c r="G488" i="1"/>
  <c r="E488" i="1"/>
  <c r="B488" i="1"/>
  <c r="A488" i="1"/>
  <c r="H487" i="1"/>
  <c r="G487" i="1"/>
  <c r="E487" i="1"/>
  <c r="B487" i="1"/>
  <c r="A487" i="1"/>
  <c r="H486" i="1"/>
  <c r="G486" i="1"/>
  <c r="E486" i="1"/>
  <c r="B486" i="1"/>
  <c r="A486" i="1"/>
  <c r="H485" i="1"/>
  <c r="G485" i="1"/>
  <c r="E485" i="1"/>
  <c r="B485" i="1"/>
  <c r="A485" i="1"/>
  <c r="H484" i="1"/>
  <c r="G484" i="1"/>
  <c r="E484" i="1"/>
  <c r="B484" i="1"/>
  <c r="A484" i="1"/>
  <c r="H483" i="1"/>
  <c r="G483" i="1"/>
  <c r="E483" i="1"/>
  <c r="B483" i="1"/>
  <c r="A483" i="1"/>
  <c r="H482" i="1"/>
  <c r="G482" i="1"/>
  <c r="E482" i="1"/>
  <c r="B482" i="1"/>
  <c r="A482" i="1"/>
  <c r="H481" i="1"/>
  <c r="G481" i="1"/>
  <c r="E481" i="1"/>
  <c r="B481" i="1"/>
  <c r="A481" i="1"/>
  <c r="H480" i="1"/>
  <c r="G480" i="1"/>
  <c r="E480" i="1"/>
  <c r="B480" i="1"/>
  <c r="A480" i="1"/>
  <c r="H479" i="1"/>
  <c r="G479" i="1"/>
  <c r="E479" i="1"/>
  <c r="B479" i="1"/>
  <c r="A479" i="1"/>
  <c r="H478" i="1"/>
  <c r="G478" i="1"/>
  <c r="E478" i="1"/>
  <c r="B478" i="1"/>
  <c r="A478" i="1"/>
  <c r="H477" i="1"/>
  <c r="G477" i="1"/>
  <c r="E477" i="1"/>
  <c r="B477" i="1"/>
  <c r="A477" i="1"/>
  <c r="H476" i="1"/>
  <c r="G476" i="1"/>
  <c r="E476" i="1"/>
  <c r="B476" i="1"/>
  <c r="A476" i="1"/>
  <c r="H475" i="1"/>
  <c r="G475" i="1"/>
  <c r="E475" i="1"/>
  <c r="B475" i="1"/>
  <c r="A475" i="1"/>
  <c r="H474" i="1"/>
  <c r="G474" i="1"/>
  <c r="E474" i="1"/>
  <c r="B474" i="1"/>
  <c r="A474" i="1"/>
  <c r="H473" i="1"/>
  <c r="G473" i="1"/>
  <c r="E473" i="1"/>
  <c r="B473" i="1"/>
  <c r="A473" i="1"/>
  <c r="H472" i="1"/>
  <c r="G472" i="1"/>
  <c r="E472" i="1"/>
  <c r="B472" i="1"/>
  <c r="A472" i="1"/>
  <c r="H471" i="1"/>
  <c r="G471" i="1"/>
  <c r="E471" i="1"/>
  <c r="B471" i="1"/>
  <c r="A471" i="1"/>
  <c r="H470" i="1"/>
  <c r="G470" i="1"/>
  <c r="E470" i="1"/>
  <c r="B470" i="1"/>
  <c r="A470" i="1"/>
  <c r="H469" i="1"/>
  <c r="G469" i="1"/>
  <c r="E469" i="1"/>
  <c r="B469" i="1"/>
  <c r="A469" i="1"/>
  <c r="H468" i="1"/>
  <c r="G468" i="1"/>
  <c r="E468" i="1"/>
  <c r="B468" i="1"/>
  <c r="A468" i="1"/>
  <c r="H467" i="1"/>
  <c r="G467" i="1"/>
  <c r="E467" i="1"/>
  <c r="B467" i="1"/>
  <c r="A467" i="1"/>
  <c r="H466" i="1"/>
  <c r="G466" i="1"/>
  <c r="E466" i="1"/>
  <c r="B466" i="1"/>
  <c r="A466" i="1"/>
  <c r="H465" i="1"/>
  <c r="G465" i="1"/>
  <c r="E465" i="1"/>
  <c r="B465" i="1"/>
  <c r="A465" i="1"/>
  <c r="H464" i="1"/>
  <c r="G464" i="1"/>
  <c r="E464" i="1"/>
  <c r="B464" i="1"/>
  <c r="A464" i="1"/>
  <c r="H463" i="1"/>
  <c r="G463" i="1"/>
  <c r="E463" i="1"/>
  <c r="B463" i="1"/>
  <c r="A463" i="1"/>
  <c r="H462" i="1"/>
  <c r="G462" i="1"/>
  <c r="E462" i="1"/>
  <c r="B462" i="1"/>
  <c r="A462" i="1"/>
  <c r="H461" i="1"/>
  <c r="G461" i="1"/>
  <c r="E461" i="1"/>
  <c r="B461" i="1"/>
  <c r="A461" i="1"/>
  <c r="H460" i="1"/>
  <c r="G460" i="1"/>
  <c r="E460" i="1"/>
  <c r="B460" i="1"/>
  <c r="A460" i="1"/>
  <c r="H459" i="1"/>
  <c r="G459" i="1"/>
  <c r="E459" i="1"/>
  <c r="B459" i="1"/>
  <c r="A459" i="1"/>
  <c r="H458" i="1"/>
  <c r="G458" i="1"/>
  <c r="E458" i="1"/>
  <c r="B458" i="1"/>
  <c r="A458" i="1"/>
  <c r="H457" i="1"/>
  <c r="G457" i="1"/>
  <c r="E457" i="1"/>
  <c r="B457" i="1"/>
  <c r="A457" i="1"/>
  <c r="H456" i="1"/>
  <c r="G456" i="1"/>
  <c r="E456" i="1"/>
  <c r="B456" i="1"/>
  <c r="A456" i="1"/>
  <c r="H455" i="1"/>
  <c r="G455" i="1"/>
  <c r="E455" i="1"/>
  <c r="B455" i="1"/>
  <c r="A455" i="1"/>
  <c r="H454" i="1"/>
  <c r="G454" i="1"/>
  <c r="E454" i="1"/>
  <c r="B454" i="1"/>
  <c r="A454" i="1"/>
  <c r="H453" i="1"/>
  <c r="G453" i="1"/>
  <c r="E453" i="1"/>
  <c r="B453" i="1"/>
  <c r="A453" i="1"/>
  <c r="H452" i="1"/>
  <c r="G452" i="1"/>
  <c r="E452" i="1"/>
  <c r="B452" i="1"/>
  <c r="A452" i="1"/>
  <c r="H451" i="1"/>
  <c r="G451" i="1"/>
  <c r="E451" i="1"/>
  <c r="B451" i="1"/>
  <c r="A451" i="1"/>
  <c r="H450" i="1"/>
  <c r="G450" i="1"/>
  <c r="E450" i="1"/>
  <c r="B450" i="1"/>
  <c r="A450" i="1"/>
  <c r="H449" i="1"/>
  <c r="G449" i="1"/>
  <c r="E449" i="1"/>
  <c r="B449" i="1"/>
  <c r="A449" i="1"/>
  <c r="H448" i="1"/>
  <c r="G448" i="1"/>
  <c r="E448" i="1"/>
  <c r="B448" i="1"/>
  <c r="A448" i="1"/>
  <c r="H447" i="1"/>
  <c r="G447" i="1"/>
  <c r="E447" i="1"/>
  <c r="B447" i="1"/>
  <c r="A447" i="1"/>
  <c r="H446" i="1"/>
  <c r="G446" i="1"/>
  <c r="E446" i="1"/>
  <c r="B446" i="1"/>
  <c r="A446" i="1"/>
  <c r="H445" i="1"/>
  <c r="G445" i="1"/>
  <c r="E445" i="1"/>
  <c r="B445" i="1"/>
  <c r="A445" i="1"/>
  <c r="H444" i="1"/>
  <c r="G444" i="1"/>
  <c r="E444" i="1"/>
  <c r="B444" i="1"/>
  <c r="A444" i="1"/>
  <c r="H443" i="1"/>
  <c r="G443" i="1"/>
  <c r="E443" i="1"/>
  <c r="B443" i="1"/>
  <c r="A443" i="1"/>
  <c r="H442" i="1"/>
  <c r="G442" i="1"/>
  <c r="E442" i="1"/>
  <c r="B442" i="1"/>
  <c r="A442" i="1"/>
  <c r="H441" i="1"/>
  <c r="G441" i="1"/>
  <c r="B441" i="1"/>
  <c r="A441" i="1"/>
  <c r="H440" i="1"/>
  <c r="G440" i="1"/>
  <c r="E440" i="1"/>
  <c r="B440" i="1"/>
  <c r="A440" i="1"/>
  <c r="H439" i="1"/>
  <c r="G439" i="1"/>
  <c r="E439" i="1"/>
  <c r="B439" i="1"/>
  <c r="A439" i="1"/>
  <c r="H438" i="1"/>
  <c r="G438" i="1"/>
  <c r="E438" i="1"/>
  <c r="B438" i="1"/>
  <c r="A438" i="1"/>
  <c r="H437" i="1"/>
  <c r="G437" i="1"/>
  <c r="E437" i="1"/>
  <c r="B437" i="1"/>
  <c r="A437" i="1"/>
  <c r="H436" i="1"/>
  <c r="G436" i="1"/>
  <c r="E436" i="1"/>
  <c r="B436" i="1"/>
  <c r="A436" i="1"/>
  <c r="H435" i="1"/>
  <c r="G435" i="1"/>
  <c r="E435" i="1"/>
  <c r="B435" i="1"/>
  <c r="A435" i="1"/>
  <c r="H434" i="1"/>
  <c r="G434" i="1"/>
  <c r="E434" i="1"/>
  <c r="B434" i="1"/>
  <c r="A434" i="1"/>
  <c r="H433" i="1"/>
  <c r="G433" i="1"/>
  <c r="E433" i="1"/>
  <c r="B433" i="1"/>
  <c r="A433" i="1"/>
  <c r="H432" i="1"/>
  <c r="G432" i="1"/>
  <c r="E432" i="1"/>
  <c r="B432" i="1"/>
  <c r="A432" i="1"/>
  <c r="H431" i="1"/>
  <c r="G431" i="1"/>
  <c r="E431" i="1"/>
  <c r="B431" i="1"/>
  <c r="A431" i="1"/>
  <c r="H430" i="1"/>
  <c r="G430" i="1"/>
  <c r="E430" i="1"/>
  <c r="B430" i="1"/>
  <c r="A430" i="1"/>
  <c r="H429" i="1"/>
  <c r="G429" i="1"/>
  <c r="E429" i="1"/>
  <c r="B429" i="1"/>
  <c r="A429" i="1"/>
  <c r="H428" i="1"/>
  <c r="G428" i="1"/>
  <c r="E428" i="1"/>
  <c r="B428" i="1"/>
  <c r="A428" i="1"/>
  <c r="H427" i="1"/>
  <c r="G427" i="1"/>
  <c r="E427" i="1"/>
  <c r="B427" i="1"/>
  <c r="A427" i="1"/>
  <c r="H426" i="1"/>
  <c r="G426" i="1"/>
  <c r="E426" i="1"/>
  <c r="B426" i="1"/>
  <c r="A426" i="1"/>
  <c r="H425" i="1"/>
  <c r="G425" i="1"/>
  <c r="E425" i="1"/>
  <c r="B425" i="1"/>
  <c r="A425" i="1"/>
  <c r="H424" i="1"/>
  <c r="G424" i="1"/>
  <c r="E424" i="1"/>
  <c r="B424" i="1"/>
  <c r="A424" i="1"/>
  <c r="H423" i="1"/>
  <c r="G423" i="1"/>
  <c r="E423" i="1"/>
  <c r="B423" i="1"/>
  <c r="A423" i="1"/>
  <c r="H422" i="1"/>
  <c r="G422" i="1"/>
  <c r="E422" i="1"/>
  <c r="B422" i="1"/>
  <c r="A422" i="1"/>
  <c r="H421" i="1"/>
  <c r="G421" i="1"/>
  <c r="E421" i="1"/>
  <c r="B421" i="1"/>
  <c r="A421" i="1"/>
  <c r="H420" i="1"/>
  <c r="G420" i="1"/>
  <c r="E420" i="1"/>
  <c r="B420" i="1"/>
  <c r="A420" i="1"/>
  <c r="H419" i="1"/>
  <c r="G419" i="1"/>
  <c r="E419" i="1"/>
  <c r="B419" i="1"/>
  <c r="A419" i="1"/>
  <c r="H418" i="1"/>
  <c r="G418" i="1"/>
  <c r="E418" i="1"/>
  <c r="B418" i="1"/>
  <c r="A418" i="1"/>
  <c r="H417" i="1"/>
  <c r="G417" i="1"/>
  <c r="E417" i="1"/>
  <c r="B417" i="1"/>
  <c r="A417" i="1"/>
  <c r="H416" i="1"/>
  <c r="G416" i="1"/>
  <c r="E416" i="1"/>
  <c r="B416" i="1"/>
  <c r="A416" i="1"/>
  <c r="H415" i="1"/>
  <c r="G415" i="1"/>
  <c r="E415" i="1"/>
  <c r="B415" i="1"/>
  <c r="A415" i="1"/>
  <c r="H414" i="1"/>
  <c r="G414" i="1"/>
  <c r="E414" i="1"/>
  <c r="B414" i="1"/>
  <c r="A414" i="1"/>
  <c r="H413" i="1"/>
  <c r="G413" i="1"/>
  <c r="E413" i="1"/>
  <c r="B413" i="1"/>
  <c r="A413" i="1"/>
  <c r="H412" i="1"/>
  <c r="G412" i="1"/>
  <c r="E412" i="1"/>
  <c r="B412" i="1"/>
  <c r="A412" i="1"/>
  <c r="H411" i="1"/>
  <c r="G411" i="1"/>
  <c r="E411" i="1"/>
  <c r="B411" i="1"/>
  <c r="A411" i="1"/>
  <c r="H410" i="1"/>
  <c r="G410" i="1"/>
  <c r="E410" i="1"/>
  <c r="B410" i="1"/>
  <c r="A410" i="1"/>
  <c r="H409" i="1"/>
  <c r="G409" i="1"/>
  <c r="E409" i="1"/>
  <c r="B409" i="1"/>
  <c r="A409" i="1"/>
  <c r="H408" i="1"/>
  <c r="G408" i="1"/>
  <c r="E408" i="1"/>
  <c r="B408" i="1"/>
  <c r="A408" i="1"/>
  <c r="H407" i="1"/>
  <c r="G407" i="1"/>
  <c r="E407" i="1"/>
  <c r="B407" i="1"/>
  <c r="A407" i="1"/>
  <c r="H406" i="1"/>
  <c r="G406" i="1"/>
  <c r="E406" i="1"/>
  <c r="B406" i="1"/>
  <c r="A406" i="1"/>
  <c r="H405" i="1"/>
  <c r="G405" i="1"/>
  <c r="E405" i="1"/>
  <c r="B405" i="1"/>
  <c r="A405" i="1"/>
  <c r="H404" i="1"/>
  <c r="G404" i="1"/>
  <c r="E404" i="1"/>
  <c r="B404" i="1"/>
  <c r="A404" i="1"/>
  <c r="H403" i="1"/>
  <c r="G403" i="1"/>
  <c r="E403" i="1"/>
  <c r="B403" i="1"/>
  <c r="A403" i="1"/>
  <c r="H402" i="1"/>
  <c r="G402" i="1"/>
  <c r="E402" i="1"/>
  <c r="B402" i="1"/>
  <c r="A402" i="1"/>
  <c r="H401" i="1"/>
  <c r="G401" i="1"/>
  <c r="E401" i="1"/>
  <c r="B401" i="1"/>
  <c r="A401" i="1"/>
  <c r="H400" i="1"/>
  <c r="G400" i="1"/>
  <c r="E400" i="1"/>
  <c r="B400" i="1"/>
  <c r="A400" i="1"/>
  <c r="H399" i="1"/>
  <c r="G399" i="1"/>
  <c r="E399" i="1"/>
  <c r="B399" i="1"/>
  <c r="A399" i="1"/>
  <c r="H398" i="1"/>
  <c r="G398" i="1"/>
  <c r="E398" i="1"/>
  <c r="B398" i="1"/>
  <c r="A398" i="1"/>
  <c r="H397" i="1"/>
  <c r="G397" i="1"/>
  <c r="E397" i="1"/>
  <c r="B397" i="1"/>
  <c r="A397" i="1"/>
  <c r="H396" i="1"/>
  <c r="G396" i="1"/>
  <c r="E396" i="1"/>
  <c r="B396" i="1"/>
  <c r="A396" i="1"/>
  <c r="H395" i="1"/>
  <c r="G395" i="1"/>
  <c r="E395" i="1"/>
  <c r="B395" i="1"/>
  <c r="A395" i="1"/>
  <c r="H394" i="1"/>
  <c r="G394" i="1"/>
  <c r="E394" i="1"/>
  <c r="B394" i="1"/>
  <c r="A394" i="1"/>
  <c r="H393" i="1"/>
  <c r="G393" i="1"/>
  <c r="E393" i="1"/>
  <c r="B393" i="1"/>
  <c r="A393" i="1"/>
  <c r="H392" i="1"/>
  <c r="G392" i="1"/>
  <c r="E392" i="1"/>
  <c r="B392" i="1"/>
  <c r="A392" i="1"/>
  <c r="H391" i="1"/>
  <c r="G391" i="1"/>
  <c r="E391" i="1"/>
  <c r="B391" i="1"/>
  <c r="A391" i="1"/>
  <c r="H390" i="1"/>
  <c r="G390" i="1"/>
  <c r="E390" i="1"/>
  <c r="B390" i="1"/>
  <c r="A390" i="1"/>
  <c r="H389" i="1"/>
  <c r="G389" i="1"/>
  <c r="E389" i="1"/>
  <c r="B389" i="1"/>
  <c r="A389" i="1"/>
  <c r="H388" i="1"/>
  <c r="G388" i="1"/>
  <c r="E388" i="1"/>
  <c r="B388" i="1"/>
  <c r="A388" i="1"/>
  <c r="H387" i="1"/>
  <c r="G387" i="1"/>
  <c r="E387" i="1"/>
  <c r="B387" i="1"/>
  <c r="A387" i="1"/>
  <c r="H386" i="1"/>
  <c r="G386" i="1"/>
  <c r="E386" i="1"/>
  <c r="B386" i="1"/>
  <c r="A386" i="1"/>
  <c r="H385" i="1"/>
  <c r="G385" i="1"/>
  <c r="E385" i="1"/>
  <c r="B385" i="1"/>
  <c r="A385" i="1"/>
  <c r="H384" i="1"/>
  <c r="G384" i="1"/>
  <c r="E384" i="1"/>
  <c r="B384" i="1"/>
  <c r="A384" i="1"/>
  <c r="H383" i="1"/>
  <c r="G383" i="1"/>
  <c r="E383" i="1"/>
  <c r="B383" i="1"/>
  <c r="A383" i="1"/>
  <c r="H382" i="1"/>
  <c r="G382" i="1"/>
  <c r="E382" i="1"/>
  <c r="B382" i="1"/>
  <c r="A382" i="1"/>
  <c r="H381" i="1"/>
  <c r="G381" i="1"/>
  <c r="E381" i="1"/>
  <c r="B381" i="1"/>
  <c r="A381" i="1"/>
  <c r="H380" i="1"/>
  <c r="G380" i="1"/>
  <c r="E380" i="1"/>
  <c r="B380" i="1"/>
  <c r="A380" i="1"/>
  <c r="H379" i="1"/>
  <c r="G379" i="1"/>
  <c r="E379" i="1"/>
  <c r="B379" i="1"/>
  <c r="A379" i="1"/>
  <c r="H378" i="1"/>
  <c r="G378" i="1"/>
  <c r="E378" i="1"/>
  <c r="B378" i="1"/>
  <c r="A378" i="1"/>
  <c r="H377" i="1"/>
  <c r="G377" i="1"/>
  <c r="E377" i="1"/>
  <c r="B377" i="1"/>
  <c r="A377" i="1"/>
  <c r="H376" i="1"/>
  <c r="G376" i="1"/>
  <c r="E376" i="1"/>
  <c r="B376" i="1"/>
  <c r="A376" i="1"/>
  <c r="H375" i="1"/>
  <c r="G375" i="1"/>
  <c r="E375" i="1"/>
  <c r="B375" i="1"/>
  <c r="A375" i="1"/>
  <c r="H374" i="1"/>
  <c r="G374" i="1"/>
  <c r="E374" i="1"/>
  <c r="B374" i="1"/>
  <c r="A374" i="1"/>
  <c r="H373" i="1"/>
  <c r="G373" i="1"/>
  <c r="E373" i="1"/>
  <c r="B373" i="1"/>
  <c r="A373" i="1"/>
  <c r="H372" i="1"/>
  <c r="G372" i="1"/>
  <c r="E372" i="1"/>
  <c r="B372" i="1"/>
  <c r="A372" i="1"/>
  <c r="H371" i="1"/>
  <c r="G371" i="1"/>
  <c r="E371" i="1"/>
  <c r="B371" i="1"/>
  <c r="A371" i="1"/>
  <c r="H370" i="1"/>
  <c r="G370" i="1"/>
  <c r="E370" i="1"/>
  <c r="B370" i="1"/>
  <c r="A370" i="1"/>
  <c r="H369" i="1"/>
  <c r="G369" i="1"/>
  <c r="E369" i="1"/>
  <c r="B369" i="1"/>
  <c r="A369" i="1"/>
  <c r="H368" i="1"/>
  <c r="G368" i="1"/>
  <c r="E368" i="1"/>
  <c r="B368" i="1"/>
  <c r="A368" i="1"/>
  <c r="H367" i="1"/>
  <c r="G367" i="1"/>
  <c r="E367" i="1"/>
  <c r="B367" i="1"/>
  <c r="A367" i="1"/>
  <c r="H366" i="1"/>
  <c r="G366" i="1"/>
  <c r="E366" i="1"/>
  <c r="B366" i="1"/>
  <c r="A366" i="1"/>
  <c r="H365" i="1"/>
  <c r="G365" i="1"/>
  <c r="E365" i="1"/>
  <c r="B365" i="1"/>
  <c r="A365" i="1"/>
  <c r="H364" i="1"/>
  <c r="G364" i="1"/>
  <c r="B364" i="1"/>
  <c r="A364" i="1"/>
  <c r="H363" i="1"/>
  <c r="G363" i="1"/>
  <c r="E363" i="1"/>
  <c r="B363" i="1"/>
  <c r="A363" i="1"/>
  <c r="H362" i="1"/>
  <c r="G362" i="1"/>
  <c r="E362" i="1"/>
  <c r="B362" i="1"/>
  <c r="A362" i="1"/>
  <c r="H361" i="1"/>
  <c r="G361" i="1"/>
  <c r="E361" i="1"/>
  <c r="B361" i="1"/>
  <c r="A361" i="1"/>
  <c r="H360" i="1"/>
  <c r="G360" i="1"/>
  <c r="E360" i="1"/>
  <c r="B360" i="1"/>
  <c r="A360" i="1"/>
  <c r="H359" i="1"/>
  <c r="G359" i="1"/>
  <c r="E359" i="1"/>
  <c r="B359" i="1"/>
  <c r="A359" i="1"/>
  <c r="H358" i="1"/>
  <c r="G358" i="1"/>
  <c r="E358" i="1"/>
  <c r="B358" i="1"/>
  <c r="A358" i="1"/>
  <c r="H357" i="1"/>
  <c r="G357" i="1"/>
  <c r="E357" i="1"/>
  <c r="B357" i="1"/>
  <c r="A357" i="1"/>
  <c r="H356" i="1"/>
  <c r="G356" i="1"/>
  <c r="E356" i="1"/>
  <c r="B356" i="1"/>
  <c r="A356" i="1"/>
  <c r="H355" i="1"/>
  <c r="G355" i="1"/>
  <c r="E355" i="1"/>
  <c r="B355" i="1"/>
  <c r="A355" i="1"/>
  <c r="H354" i="1"/>
  <c r="G354" i="1"/>
  <c r="E354" i="1"/>
  <c r="B354" i="1"/>
  <c r="A354" i="1"/>
  <c r="H353" i="1"/>
  <c r="G353" i="1"/>
  <c r="E353" i="1"/>
  <c r="B353" i="1"/>
  <c r="A353" i="1"/>
  <c r="H352" i="1"/>
  <c r="G352" i="1"/>
  <c r="E352" i="1"/>
  <c r="B352" i="1"/>
  <c r="A352" i="1"/>
  <c r="H351" i="1"/>
  <c r="G351" i="1"/>
  <c r="E351" i="1"/>
  <c r="B351" i="1"/>
  <c r="A351" i="1"/>
  <c r="H350" i="1"/>
  <c r="G350" i="1"/>
  <c r="E350" i="1"/>
  <c r="B350" i="1"/>
  <c r="A350" i="1"/>
  <c r="H349" i="1"/>
  <c r="G349" i="1"/>
  <c r="E349" i="1"/>
  <c r="B349" i="1"/>
  <c r="A349" i="1"/>
  <c r="H348" i="1"/>
  <c r="G348" i="1"/>
  <c r="E348" i="1"/>
  <c r="B348" i="1"/>
  <c r="A348" i="1"/>
  <c r="H347" i="1"/>
  <c r="G347" i="1"/>
  <c r="E347" i="1"/>
  <c r="B347" i="1"/>
  <c r="A347" i="1"/>
  <c r="H346" i="1"/>
  <c r="G346" i="1"/>
  <c r="E346" i="1"/>
  <c r="B346" i="1"/>
  <c r="A346" i="1"/>
  <c r="H345" i="1"/>
  <c r="G345" i="1"/>
  <c r="E345" i="1"/>
  <c r="B345" i="1"/>
  <c r="A345" i="1"/>
  <c r="H344" i="1"/>
  <c r="G344" i="1"/>
  <c r="E344" i="1"/>
  <c r="B344" i="1"/>
  <c r="A344" i="1"/>
  <c r="H343" i="1"/>
  <c r="G343" i="1"/>
  <c r="E343" i="1"/>
  <c r="B343" i="1"/>
  <c r="A343" i="1"/>
  <c r="H342" i="1"/>
  <c r="G342" i="1"/>
  <c r="E342" i="1"/>
  <c r="B342" i="1"/>
  <c r="A342" i="1"/>
  <c r="H341" i="1"/>
  <c r="G341" i="1"/>
  <c r="E341" i="1"/>
  <c r="B341" i="1"/>
  <c r="A341" i="1"/>
  <c r="H340" i="1"/>
  <c r="G340" i="1"/>
  <c r="E340" i="1"/>
  <c r="B340" i="1"/>
  <c r="A340" i="1"/>
  <c r="H339" i="1"/>
  <c r="G339" i="1"/>
  <c r="E339" i="1"/>
  <c r="B339" i="1"/>
  <c r="A339" i="1"/>
  <c r="H338" i="1"/>
  <c r="G338" i="1"/>
  <c r="E338" i="1"/>
  <c r="B338" i="1"/>
  <c r="A338" i="1"/>
  <c r="H337" i="1"/>
  <c r="G337" i="1"/>
  <c r="E337" i="1"/>
  <c r="B337" i="1"/>
  <c r="A337" i="1"/>
  <c r="H336" i="1"/>
  <c r="G336" i="1"/>
  <c r="E336" i="1"/>
  <c r="B336" i="1"/>
  <c r="A336" i="1"/>
  <c r="H335" i="1"/>
  <c r="G335" i="1"/>
  <c r="E335" i="1"/>
  <c r="B335" i="1"/>
  <c r="A335" i="1"/>
  <c r="H334" i="1"/>
  <c r="G334" i="1"/>
  <c r="E334" i="1"/>
  <c r="B334" i="1"/>
  <c r="A334" i="1"/>
  <c r="H333" i="1"/>
  <c r="G333" i="1"/>
  <c r="E333" i="1"/>
  <c r="B333" i="1"/>
  <c r="A333" i="1"/>
  <c r="H332" i="1"/>
  <c r="G332" i="1"/>
  <c r="E332" i="1"/>
  <c r="B332" i="1"/>
  <c r="A332" i="1"/>
  <c r="H331" i="1"/>
  <c r="G331" i="1"/>
  <c r="E331" i="1"/>
  <c r="B331" i="1"/>
  <c r="A331" i="1"/>
  <c r="H330" i="1"/>
  <c r="G330" i="1"/>
  <c r="E330" i="1"/>
  <c r="B330" i="1"/>
  <c r="A330" i="1"/>
  <c r="H329" i="1"/>
  <c r="G329" i="1"/>
  <c r="E329" i="1"/>
  <c r="B329" i="1"/>
  <c r="A329" i="1"/>
  <c r="H328" i="1"/>
  <c r="G328" i="1"/>
  <c r="E328" i="1"/>
  <c r="B328" i="1"/>
  <c r="A328" i="1"/>
  <c r="H327" i="1"/>
  <c r="G327" i="1"/>
  <c r="E327" i="1"/>
  <c r="B327" i="1"/>
  <c r="A327" i="1"/>
  <c r="H326" i="1"/>
  <c r="G326" i="1"/>
  <c r="B326" i="1"/>
  <c r="A326" i="1"/>
  <c r="H325" i="1"/>
  <c r="G325" i="1"/>
  <c r="E325" i="1"/>
  <c r="B325" i="1"/>
  <c r="A325" i="1"/>
  <c r="H324" i="1"/>
  <c r="G324" i="1"/>
  <c r="E324" i="1"/>
  <c r="B324" i="1"/>
  <c r="A324" i="1"/>
  <c r="H323" i="1"/>
  <c r="G323" i="1"/>
  <c r="E323" i="1"/>
  <c r="B323" i="1"/>
  <c r="A323" i="1"/>
  <c r="H322" i="1"/>
  <c r="G322" i="1"/>
  <c r="E322" i="1"/>
  <c r="B322" i="1"/>
  <c r="A322" i="1"/>
  <c r="H321" i="1"/>
  <c r="G321" i="1"/>
  <c r="E321" i="1"/>
  <c r="B321" i="1"/>
  <c r="A321" i="1"/>
  <c r="H320" i="1"/>
  <c r="G320" i="1"/>
  <c r="E320" i="1"/>
  <c r="B320" i="1"/>
  <c r="A320" i="1"/>
  <c r="H319" i="1"/>
  <c r="G319" i="1"/>
  <c r="E319" i="1"/>
  <c r="B319" i="1"/>
  <c r="A319" i="1"/>
  <c r="H318" i="1"/>
  <c r="G318" i="1"/>
  <c r="E318" i="1"/>
  <c r="B318" i="1"/>
  <c r="A318" i="1"/>
  <c r="H317" i="1"/>
  <c r="G317" i="1"/>
  <c r="E317" i="1"/>
  <c r="B317" i="1"/>
  <c r="A317" i="1"/>
  <c r="H316" i="1"/>
  <c r="G316" i="1"/>
  <c r="E316" i="1"/>
  <c r="B316" i="1"/>
  <c r="A316" i="1"/>
  <c r="H315" i="1"/>
  <c r="G315" i="1"/>
  <c r="E315" i="1"/>
  <c r="B315" i="1"/>
  <c r="A315" i="1"/>
  <c r="H314" i="1"/>
  <c r="G314" i="1"/>
  <c r="E314" i="1"/>
  <c r="B314" i="1"/>
  <c r="A314" i="1"/>
  <c r="H313" i="1"/>
  <c r="G313" i="1"/>
  <c r="E313" i="1"/>
  <c r="B313" i="1"/>
  <c r="A313" i="1"/>
  <c r="H312" i="1"/>
  <c r="G312" i="1"/>
  <c r="E312" i="1"/>
  <c r="B312" i="1"/>
  <c r="A312" i="1"/>
  <c r="H311" i="1"/>
  <c r="G311" i="1"/>
  <c r="E311" i="1"/>
  <c r="B311" i="1"/>
  <c r="A311" i="1"/>
  <c r="H310" i="1"/>
  <c r="G310" i="1"/>
  <c r="E310" i="1"/>
  <c r="B310" i="1"/>
  <c r="A310" i="1"/>
  <c r="H309" i="1"/>
  <c r="G309" i="1"/>
  <c r="E309" i="1"/>
  <c r="B309" i="1"/>
  <c r="A309" i="1"/>
  <c r="H308" i="1"/>
  <c r="G308" i="1"/>
  <c r="E308" i="1"/>
  <c r="B308" i="1"/>
  <c r="A308" i="1"/>
  <c r="H307" i="1"/>
  <c r="G307" i="1"/>
  <c r="E307" i="1"/>
  <c r="B307" i="1"/>
  <c r="A307" i="1"/>
  <c r="H306" i="1"/>
  <c r="G306" i="1"/>
  <c r="E306" i="1"/>
  <c r="B306" i="1"/>
  <c r="A306" i="1"/>
  <c r="H305" i="1"/>
  <c r="G305" i="1"/>
  <c r="E305" i="1"/>
  <c r="B305" i="1"/>
  <c r="A305" i="1"/>
  <c r="H304" i="1"/>
  <c r="G304" i="1"/>
  <c r="E304" i="1"/>
  <c r="B304" i="1"/>
  <c r="A304" i="1"/>
  <c r="H303" i="1"/>
  <c r="G303" i="1"/>
  <c r="E303" i="1"/>
  <c r="B303" i="1"/>
  <c r="A303" i="1"/>
  <c r="H302" i="1"/>
  <c r="G302" i="1"/>
  <c r="E302" i="1"/>
  <c r="B302" i="1"/>
  <c r="A302" i="1"/>
  <c r="H301" i="1"/>
  <c r="G301" i="1"/>
  <c r="E301" i="1"/>
  <c r="B301" i="1"/>
  <c r="A301" i="1"/>
  <c r="H300" i="1"/>
  <c r="G300" i="1"/>
  <c r="E300" i="1"/>
  <c r="B300" i="1"/>
  <c r="A300" i="1"/>
  <c r="H299" i="1"/>
  <c r="G299" i="1"/>
  <c r="E299" i="1"/>
  <c r="B299" i="1"/>
  <c r="A299" i="1"/>
  <c r="H298" i="1"/>
  <c r="G298" i="1"/>
  <c r="E298" i="1"/>
  <c r="B298" i="1"/>
  <c r="A298" i="1"/>
  <c r="H297" i="1"/>
  <c r="G297" i="1"/>
  <c r="E297" i="1"/>
  <c r="B297" i="1"/>
  <c r="A297" i="1"/>
  <c r="H296" i="1"/>
  <c r="G296" i="1"/>
  <c r="E296" i="1"/>
  <c r="B296" i="1"/>
  <c r="A296" i="1"/>
  <c r="H295" i="1"/>
  <c r="G295" i="1"/>
  <c r="E295" i="1"/>
  <c r="B295" i="1"/>
  <c r="A295" i="1"/>
  <c r="H294" i="1"/>
  <c r="G294" i="1"/>
  <c r="E294" i="1"/>
  <c r="B294" i="1"/>
  <c r="A294" i="1"/>
  <c r="H293" i="1"/>
  <c r="G293" i="1"/>
  <c r="E293" i="1"/>
  <c r="B293" i="1"/>
  <c r="A293" i="1"/>
  <c r="H292" i="1"/>
  <c r="G292" i="1"/>
  <c r="E292" i="1"/>
  <c r="B292" i="1"/>
  <c r="A292" i="1"/>
  <c r="H291" i="1"/>
  <c r="G291" i="1"/>
  <c r="E291" i="1"/>
  <c r="B291" i="1"/>
  <c r="A291" i="1"/>
  <c r="H290" i="1"/>
  <c r="G290" i="1"/>
  <c r="E290" i="1"/>
  <c r="B290" i="1"/>
  <c r="A290" i="1"/>
  <c r="H289" i="1"/>
  <c r="G289" i="1"/>
  <c r="E289" i="1"/>
  <c r="B289" i="1"/>
  <c r="A289" i="1"/>
  <c r="H288" i="1"/>
  <c r="G288" i="1"/>
  <c r="E288" i="1"/>
  <c r="B288" i="1"/>
  <c r="A288" i="1"/>
  <c r="H287" i="1"/>
  <c r="G287" i="1"/>
  <c r="E287" i="1"/>
  <c r="B287" i="1"/>
  <c r="A287" i="1"/>
  <c r="H286" i="1"/>
  <c r="G286" i="1"/>
  <c r="E286" i="1"/>
  <c r="B286" i="1"/>
  <c r="A286" i="1"/>
  <c r="H285" i="1"/>
  <c r="G285" i="1"/>
  <c r="E285" i="1"/>
  <c r="B285" i="1"/>
  <c r="A285" i="1"/>
  <c r="H284" i="1"/>
  <c r="G284" i="1"/>
  <c r="E284" i="1"/>
  <c r="B284" i="1"/>
  <c r="A284" i="1"/>
  <c r="H283" i="1"/>
  <c r="G283" i="1"/>
  <c r="E283" i="1"/>
  <c r="B283" i="1"/>
  <c r="A283" i="1"/>
  <c r="H282" i="1"/>
  <c r="G282" i="1"/>
  <c r="E282" i="1"/>
  <c r="B282" i="1"/>
  <c r="A282" i="1"/>
  <c r="H281" i="1"/>
  <c r="G281" i="1"/>
  <c r="E281" i="1"/>
  <c r="B281" i="1"/>
  <c r="A281" i="1"/>
  <c r="H280" i="1"/>
  <c r="G280" i="1"/>
  <c r="E280" i="1"/>
  <c r="B280" i="1"/>
  <c r="A280" i="1"/>
  <c r="H279" i="1"/>
  <c r="G279" i="1"/>
  <c r="E279" i="1"/>
  <c r="B279" i="1"/>
  <c r="A279" i="1"/>
  <c r="H278" i="1"/>
  <c r="G278" i="1"/>
  <c r="E278" i="1"/>
  <c r="B278" i="1"/>
  <c r="A278" i="1"/>
  <c r="H277" i="1"/>
  <c r="G277" i="1"/>
  <c r="E277" i="1"/>
  <c r="B277" i="1"/>
  <c r="A277" i="1"/>
  <c r="H276" i="1"/>
  <c r="G276" i="1"/>
  <c r="E276" i="1"/>
  <c r="B276" i="1"/>
  <c r="A276" i="1"/>
  <c r="H275" i="1"/>
  <c r="G275" i="1"/>
  <c r="E275" i="1"/>
  <c r="B275" i="1"/>
  <c r="A275" i="1"/>
  <c r="H274" i="1"/>
  <c r="G274" i="1"/>
  <c r="E274" i="1"/>
  <c r="B274" i="1"/>
  <c r="A274" i="1"/>
  <c r="H273" i="1"/>
  <c r="G273" i="1"/>
  <c r="E273" i="1"/>
  <c r="B273" i="1"/>
  <c r="A273" i="1"/>
  <c r="H272" i="1"/>
  <c r="G272" i="1"/>
  <c r="E272" i="1"/>
  <c r="B272" i="1"/>
  <c r="A272" i="1"/>
  <c r="H271" i="1"/>
  <c r="G271" i="1"/>
  <c r="E271" i="1"/>
  <c r="B271" i="1"/>
  <c r="A271" i="1"/>
  <c r="H270" i="1"/>
  <c r="G270" i="1"/>
  <c r="E270" i="1"/>
  <c r="B270" i="1"/>
  <c r="A270" i="1"/>
  <c r="H269" i="1"/>
  <c r="G269" i="1"/>
  <c r="E269" i="1"/>
  <c r="B269" i="1"/>
  <c r="A269" i="1"/>
  <c r="H268" i="1"/>
  <c r="G268" i="1"/>
  <c r="E268" i="1"/>
  <c r="B268" i="1"/>
  <c r="A268" i="1"/>
  <c r="H267" i="1"/>
  <c r="G267" i="1"/>
  <c r="E267" i="1"/>
  <c r="B267" i="1"/>
  <c r="A267" i="1"/>
  <c r="H266" i="1"/>
  <c r="G266" i="1"/>
  <c r="E266" i="1"/>
  <c r="B266" i="1"/>
  <c r="A266" i="1"/>
  <c r="H265" i="1"/>
  <c r="G265" i="1"/>
  <c r="E265" i="1"/>
  <c r="B265" i="1"/>
  <c r="A265" i="1"/>
  <c r="H264" i="1"/>
  <c r="G264" i="1"/>
  <c r="E264" i="1"/>
  <c r="B264" i="1"/>
  <c r="A264" i="1"/>
  <c r="H263" i="1"/>
  <c r="G263" i="1"/>
  <c r="E263" i="1"/>
  <c r="B263" i="1"/>
  <c r="A263" i="1"/>
  <c r="H262" i="1"/>
  <c r="G262" i="1"/>
  <c r="E262" i="1"/>
  <c r="B262" i="1"/>
  <c r="A262" i="1"/>
  <c r="H261" i="1"/>
  <c r="G261" i="1"/>
  <c r="E261" i="1"/>
  <c r="B261" i="1"/>
  <c r="A261" i="1"/>
  <c r="H260" i="1"/>
  <c r="G260" i="1"/>
  <c r="E260" i="1"/>
  <c r="B260" i="1"/>
  <c r="A260" i="1"/>
  <c r="H259" i="1"/>
  <c r="G259" i="1"/>
  <c r="E259" i="1"/>
  <c r="B259" i="1"/>
  <c r="A259" i="1"/>
  <c r="H258" i="1"/>
  <c r="G258" i="1"/>
  <c r="E258" i="1"/>
  <c r="B258" i="1"/>
  <c r="A258" i="1"/>
  <c r="H257" i="1"/>
  <c r="G257" i="1"/>
  <c r="E257" i="1"/>
  <c r="B257" i="1"/>
  <c r="A257" i="1"/>
  <c r="H256" i="1"/>
  <c r="G256" i="1"/>
  <c r="E256" i="1"/>
  <c r="B256" i="1"/>
  <c r="A256" i="1"/>
  <c r="H255" i="1"/>
  <c r="G255" i="1"/>
  <c r="E255" i="1"/>
  <c r="B255" i="1"/>
  <c r="A255" i="1"/>
  <c r="H254" i="1"/>
  <c r="G254" i="1"/>
  <c r="E254" i="1"/>
  <c r="B254" i="1"/>
  <c r="A254" i="1"/>
  <c r="H253" i="1"/>
  <c r="G253" i="1"/>
  <c r="E253" i="1"/>
  <c r="B253" i="1"/>
  <c r="A253" i="1"/>
  <c r="H252" i="1"/>
  <c r="G252" i="1"/>
  <c r="E252" i="1"/>
  <c r="B252" i="1"/>
  <c r="A252" i="1"/>
  <c r="H251" i="1"/>
  <c r="G251" i="1"/>
  <c r="E251" i="1"/>
  <c r="B251" i="1"/>
  <c r="A251" i="1"/>
  <c r="H250" i="1"/>
  <c r="G250" i="1"/>
  <c r="E250" i="1"/>
  <c r="B250" i="1"/>
  <c r="A250" i="1"/>
  <c r="H249" i="1"/>
  <c r="G249" i="1"/>
  <c r="E249" i="1"/>
  <c r="B249" i="1"/>
  <c r="A249" i="1"/>
  <c r="H248" i="1"/>
  <c r="G248" i="1"/>
  <c r="E248" i="1"/>
  <c r="B248" i="1"/>
  <c r="A248" i="1"/>
  <c r="H247" i="1"/>
  <c r="G247" i="1"/>
  <c r="E247" i="1"/>
  <c r="B247" i="1"/>
  <c r="A247" i="1"/>
  <c r="H246" i="1"/>
  <c r="G246" i="1"/>
  <c r="E246" i="1"/>
  <c r="B246" i="1"/>
  <c r="A246" i="1"/>
  <c r="H245" i="1"/>
  <c r="G245" i="1"/>
  <c r="E245" i="1"/>
  <c r="B245" i="1"/>
  <c r="A245" i="1"/>
  <c r="H244" i="1"/>
  <c r="G244" i="1"/>
  <c r="E244" i="1"/>
  <c r="B244" i="1"/>
  <c r="A244" i="1"/>
  <c r="H243" i="1"/>
  <c r="G243" i="1"/>
  <c r="E243" i="1"/>
  <c r="B243" i="1"/>
  <c r="A243" i="1"/>
  <c r="H242" i="1"/>
  <c r="G242" i="1"/>
  <c r="E242" i="1"/>
  <c r="B242" i="1"/>
  <c r="A242" i="1"/>
  <c r="H241" i="1"/>
  <c r="G241" i="1"/>
  <c r="E241" i="1"/>
  <c r="B241" i="1"/>
  <c r="A241" i="1"/>
  <c r="H240" i="1"/>
  <c r="G240" i="1"/>
  <c r="E240" i="1"/>
  <c r="B240" i="1"/>
  <c r="A240" i="1"/>
  <c r="H239" i="1"/>
  <c r="G239" i="1"/>
  <c r="E239" i="1"/>
  <c r="B239" i="1"/>
  <c r="A239" i="1"/>
  <c r="H238" i="1"/>
  <c r="G238" i="1"/>
  <c r="E238" i="1"/>
  <c r="B238" i="1"/>
  <c r="A238" i="1"/>
  <c r="H237" i="1"/>
  <c r="G237" i="1"/>
  <c r="E237" i="1"/>
  <c r="B237" i="1"/>
  <c r="A237" i="1"/>
  <c r="H236" i="1"/>
  <c r="G236" i="1"/>
  <c r="E236" i="1"/>
  <c r="B236" i="1"/>
  <c r="A236" i="1"/>
  <c r="H235" i="1"/>
  <c r="G235" i="1"/>
  <c r="E235" i="1"/>
  <c r="B235" i="1"/>
  <c r="A235" i="1"/>
  <c r="H234" i="1"/>
  <c r="G234" i="1"/>
  <c r="E234" i="1"/>
  <c r="B234" i="1"/>
  <c r="A234" i="1"/>
  <c r="H233" i="1"/>
  <c r="G233" i="1"/>
  <c r="E233" i="1"/>
  <c r="B233" i="1"/>
  <c r="A233" i="1"/>
  <c r="H232" i="1"/>
  <c r="G232" i="1"/>
  <c r="E232" i="1"/>
  <c r="B232" i="1"/>
  <c r="A232" i="1"/>
  <c r="H231" i="1"/>
  <c r="G231" i="1"/>
  <c r="E231" i="1"/>
  <c r="B231" i="1"/>
  <c r="A231" i="1"/>
  <c r="H230" i="1"/>
  <c r="G230" i="1"/>
  <c r="E230" i="1"/>
  <c r="B230" i="1"/>
  <c r="A230" i="1"/>
  <c r="H229" i="1"/>
  <c r="G229" i="1"/>
  <c r="E229" i="1"/>
  <c r="B229" i="1"/>
  <c r="A229" i="1"/>
  <c r="H228" i="1"/>
  <c r="G228" i="1"/>
  <c r="E228" i="1"/>
  <c r="B228" i="1"/>
  <c r="A228" i="1"/>
  <c r="H227" i="1"/>
  <c r="G227" i="1"/>
  <c r="E227" i="1"/>
  <c r="B227" i="1"/>
  <c r="A227" i="1"/>
  <c r="H226" i="1"/>
  <c r="G226" i="1"/>
  <c r="E226" i="1"/>
  <c r="B226" i="1"/>
  <c r="A226" i="1"/>
  <c r="H225" i="1"/>
  <c r="G225" i="1"/>
  <c r="E225" i="1"/>
  <c r="B225" i="1"/>
  <c r="A225" i="1"/>
  <c r="H224" i="1"/>
  <c r="G224" i="1"/>
  <c r="E224" i="1"/>
  <c r="B224" i="1"/>
  <c r="A224" i="1"/>
  <c r="H223" i="1"/>
  <c r="G223" i="1"/>
  <c r="E223" i="1"/>
  <c r="B223" i="1"/>
  <c r="A223" i="1"/>
  <c r="H222" i="1"/>
  <c r="G222" i="1"/>
  <c r="E222" i="1"/>
  <c r="B222" i="1"/>
  <c r="A222" i="1"/>
  <c r="H221" i="1"/>
  <c r="G221" i="1"/>
  <c r="E221" i="1"/>
  <c r="B221" i="1"/>
  <c r="A221" i="1"/>
  <c r="H220" i="1"/>
  <c r="G220" i="1"/>
  <c r="E220" i="1"/>
  <c r="B220" i="1"/>
  <c r="A220" i="1"/>
  <c r="H219" i="1"/>
  <c r="G219" i="1"/>
  <c r="B219" i="1"/>
  <c r="A219" i="1"/>
  <c r="H218" i="1"/>
  <c r="G218" i="1"/>
  <c r="E218" i="1"/>
  <c r="B218" i="1"/>
  <c r="A218" i="1"/>
  <c r="H217" i="1"/>
  <c r="G217" i="1"/>
  <c r="E217" i="1"/>
  <c r="B217" i="1"/>
  <c r="A217" i="1"/>
  <c r="H216" i="1"/>
  <c r="G216" i="1"/>
  <c r="E216" i="1"/>
  <c r="B216" i="1"/>
  <c r="A216" i="1"/>
  <c r="H215" i="1"/>
  <c r="G215" i="1"/>
  <c r="E215" i="1"/>
  <c r="B215" i="1"/>
  <c r="A215" i="1"/>
  <c r="H214" i="1"/>
  <c r="G214" i="1"/>
  <c r="E214" i="1"/>
  <c r="B214" i="1"/>
  <c r="A214" i="1"/>
  <c r="H213" i="1"/>
  <c r="G213" i="1"/>
  <c r="E213" i="1"/>
  <c r="B213" i="1"/>
  <c r="A213" i="1"/>
  <c r="H212" i="1"/>
  <c r="G212" i="1"/>
  <c r="E212" i="1"/>
  <c r="B212" i="1"/>
  <c r="A212" i="1"/>
  <c r="H211" i="1"/>
  <c r="G211" i="1"/>
  <c r="B211" i="1"/>
  <c r="A211" i="1"/>
  <c r="H210" i="1"/>
  <c r="G210" i="1"/>
  <c r="E210" i="1"/>
  <c r="B210" i="1"/>
  <c r="A210" i="1"/>
  <c r="H209" i="1"/>
  <c r="G209" i="1"/>
  <c r="E209" i="1"/>
  <c r="B209" i="1"/>
  <c r="A209" i="1"/>
  <c r="H208" i="1"/>
  <c r="G208" i="1"/>
  <c r="E208" i="1"/>
  <c r="B208" i="1"/>
  <c r="A208" i="1"/>
  <c r="H207" i="1"/>
  <c r="G207" i="1"/>
  <c r="E207" i="1"/>
  <c r="B207" i="1"/>
  <c r="A207" i="1"/>
  <c r="H206" i="1"/>
  <c r="G206" i="1"/>
  <c r="E206" i="1"/>
  <c r="B206" i="1"/>
  <c r="A206" i="1"/>
  <c r="H205" i="1"/>
  <c r="G205" i="1"/>
  <c r="E205" i="1"/>
  <c r="B205" i="1"/>
  <c r="A205" i="1"/>
  <c r="H204" i="1"/>
  <c r="G204" i="1"/>
  <c r="E204" i="1"/>
  <c r="B204" i="1"/>
  <c r="A204" i="1"/>
  <c r="H203" i="1"/>
  <c r="G203" i="1"/>
  <c r="E203" i="1"/>
  <c r="B203" i="1"/>
  <c r="A203" i="1"/>
  <c r="H202" i="1"/>
  <c r="G202" i="1"/>
  <c r="E202" i="1"/>
  <c r="B202" i="1"/>
  <c r="A202" i="1"/>
  <c r="H201" i="1"/>
  <c r="G201" i="1"/>
  <c r="E201" i="1"/>
  <c r="B201" i="1"/>
  <c r="A201" i="1"/>
  <c r="H200" i="1"/>
  <c r="G200" i="1"/>
  <c r="E200" i="1"/>
  <c r="B200" i="1"/>
  <c r="A200" i="1"/>
  <c r="H199" i="1"/>
  <c r="G199" i="1"/>
  <c r="E199" i="1"/>
  <c r="B199" i="1"/>
  <c r="A199" i="1"/>
  <c r="H198" i="1"/>
  <c r="G198" i="1"/>
  <c r="E198" i="1"/>
  <c r="B198" i="1"/>
  <c r="A198" i="1"/>
  <c r="H197" i="1"/>
  <c r="G197" i="1"/>
  <c r="E197" i="1"/>
  <c r="B197" i="1"/>
  <c r="A197" i="1"/>
  <c r="H196" i="1"/>
  <c r="G196" i="1"/>
  <c r="E196" i="1"/>
  <c r="B196" i="1"/>
  <c r="A196" i="1"/>
  <c r="H195" i="1"/>
  <c r="G195" i="1"/>
  <c r="E195" i="1"/>
  <c r="B195" i="1"/>
  <c r="A195" i="1"/>
  <c r="H194" i="1"/>
  <c r="G194" i="1"/>
  <c r="E194" i="1"/>
  <c r="B194" i="1"/>
  <c r="A194" i="1"/>
  <c r="H193" i="1"/>
  <c r="G193" i="1"/>
  <c r="E193" i="1"/>
  <c r="B193" i="1"/>
  <c r="A193" i="1"/>
  <c r="H192" i="1"/>
  <c r="G192" i="1"/>
  <c r="E192" i="1"/>
  <c r="B192" i="1"/>
  <c r="A192" i="1"/>
  <c r="H191" i="1"/>
  <c r="G191" i="1"/>
  <c r="E191" i="1"/>
  <c r="B191" i="1"/>
  <c r="A191" i="1"/>
  <c r="H190" i="1"/>
  <c r="G190" i="1"/>
  <c r="E190" i="1"/>
  <c r="B190" i="1"/>
  <c r="A190" i="1"/>
  <c r="H189" i="1"/>
  <c r="G189" i="1"/>
  <c r="E189" i="1"/>
  <c r="B189" i="1"/>
  <c r="A189" i="1"/>
  <c r="H188" i="1"/>
  <c r="G188" i="1"/>
  <c r="E188" i="1"/>
  <c r="B188" i="1"/>
  <c r="A188" i="1"/>
  <c r="H187" i="1"/>
  <c r="G187" i="1"/>
  <c r="E187" i="1"/>
  <c r="B187" i="1"/>
  <c r="A187" i="1"/>
  <c r="H186" i="1"/>
  <c r="G186" i="1"/>
  <c r="E186" i="1"/>
  <c r="B186" i="1"/>
  <c r="A186" i="1"/>
  <c r="H185" i="1"/>
  <c r="G185" i="1"/>
  <c r="E185" i="1"/>
  <c r="B185" i="1"/>
  <c r="A185" i="1"/>
  <c r="H184" i="1"/>
  <c r="G184" i="1"/>
  <c r="E184" i="1"/>
  <c r="B184" i="1"/>
  <c r="A184" i="1"/>
  <c r="H183" i="1"/>
  <c r="G183" i="1"/>
  <c r="E183" i="1"/>
  <c r="B183" i="1"/>
  <c r="A183" i="1"/>
  <c r="H182" i="1"/>
  <c r="G182" i="1"/>
  <c r="E182" i="1"/>
  <c r="B182" i="1"/>
  <c r="A182" i="1"/>
  <c r="H181" i="1"/>
  <c r="G181" i="1"/>
  <c r="E181" i="1"/>
  <c r="B181" i="1"/>
  <c r="A181" i="1"/>
  <c r="H180" i="1"/>
  <c r="G180" i="1"/>
  <c r="E180" i="1"/>
  <c r="B180" i="1"/>
  <c r="A180" i="1"/>
  <c r="H179" i="1"/>
  <c r="G179" i="1"/>
  <c r="E179" i="1"/>
  <c r="B179" i="1"/>
  <c r="A179" i="1"/>
  <c r="H178" i="1"/>
  <c r="G178" i="1"/>
  <c r="E178" i="1"/>
  <c r="B178" i="1"/>
  <c r="A178" i="1"/>
  <c r="H177" i="1"/>
  <c r="G177" i="1"/>
  <c r="E177" i="1"/>
  <c r="B177" i="1"/>
  <c r="A177" i="1"/>
  <c r="H176" i="1"/>
  <c r="G176" i="1"/>
  <c r="E176" i="1"/>
  <c r="B176" i="1"/>
  <c r="A176" i="1"/>
  <c r="H175" i="1"/>
  <c r="G175" i="1"/>
  <c r="E175" i="1"/>
  <c r="B175" i="1"/>
  <c r="A175" i="1"/>
  <c r="H174" i="1"/>
  <c r="G174" i="1"/>
  <c r="E174" i="1"/>
  <c r="B174" i="1"/>
  <c r="A174" i="1"/>
  <c r="H173" i="1"/>
  <c r="G173" i="1"/>
  <c r="E173" i="1"/>
  <c r="B173" i="1"/>
  <c r="A173" i="1"/>
  <c r="H172" i="1"/>
  <c r="G172" i="1"/>
  <c r="E172" i="1"/>
  <c r="B172" i="1"/>
  <c r="A172" i="1"/>
  <c r="H171" i="1"/>
  <c r="G171" i="1"/>
  <c r="E171" i="1"/>
  <c r="B171" i="1"/>
  <c r="A171" i="1"/>
  <c r="H170" i="1"/>
  <c r="G170" i="1"/>
  <c r="E170" i="1"/>
  <c r="B170" i="1"/>
  <c r="A170" i="1"/>
  <c r="H169" i="1"/>
  <c r="G169" i="1"/>
  <c r="E169" i="1"/>
  <c r="B169" i="1"/>
  <c r="A169" i="1"/>
  <c r="H168" i="1"/>
  <c r="G168" i="1"/>
  <c r="E168" i="1"/>
  <c r="B168" i="1"/>
  <c r="A168" i="1"/>
  <c r="H167" i="1"/>
  <c r="G167" i="1"/>
  <c r="B167" i="1"/>
  <c r="A167" i="1"/>
  <c r="H166" i="1"/>
  <c r="G166" i="1"/>
  <c r="E166" i="1"/>
  <c r="B166" i="1"/>
  <c r="A166" i="1"/>
  <c r="H165" i="1"/>
  <c r="G165" i="1"/>
  <c r="E165" i="1"/>
  <c r="B165" i="1"/>
  <c r="A165" i="1"/>
  <c r="H164" i="1"/>
  <c r="G164" i="1"/>
  <c r="E164" i="1"/>
  <c r="B164" i="1"/>
  <c r="A164" i="1"/>
  <c r="H163" i="1"/>
  <c r="G163" i="1"/>
  <c r="E163" i="1"/>
  <c r="B163" i="1"/>
  <c r="A163" i="1"/>
  <c r="H162" i="1"/>
  <c r="G162" i="1"/>
  <c r="E162" i="1"/>
  <c r="B162" i="1"/>
  <c r="A162" i="1"/>
  <c r="H161" i="1"/>
  <c r="G161" i="1"/>
  <c r="E161" i="1"/>
  <c r="B161" i="1"/>
  <c r="A161" i="1"/>
  <c r="H160" i="1"/>
  <c r="G160" i="1"/>
  <c r="E160" i="1"/>
  <c r="B160" i="1"/>
  <c r="A160" i="1"/>
  <c r="H159" i="1"/>
  <c r="G159" i="1"/>
  <c r="E159" i="1"/>
  <c r="B159" i="1"/>
  <c r="A159" i="1"/>
  <c r="H158" i="1"/>
  <c r="G158" i="1"/>
  <c r="E158" i="1"/>
  <c r="B158" i="1"/>
  <c r="A158" i="1"/>
  <c r="H157" i="1"/>
  <c r="G157" i="1"/>
  <c r="E157" i="1"/>
  <c r="B157" i="1"/>
  <c r="A157" i="1"/>
  <c r="H156" i="1"/>
  <c r="G156" i="1"/>
  <c r="E156" i="1"/>
  <c r="B156" i="1"/>
  <c r="A156" i="1"/>
  <c r="H155" i="1"/>
  <c r="G155" i="1"/>
  <c r="E155" i="1"/>
  <c r="B155" i="1"/>
  <c r="A155" i="1"/>
  <c r="H154" i="1"/>
  <c r="G154" i="1"/>
  <c r="E154" i="1"/>
  <c r="B154" i="1"/>
  <c r="A154" i="1"/>
  <c r="H153" i="1"/>
  <c r="G153" i="1"/>
  <c r="E153" i="1"/>
  <c r="B153" i="1"/>
  <c r="A153" i="1"/>
  <c r="H152" i="1"/>
  <c r="G152" i="1"/>
  <c r="E152" i="1"/>
  <c r="B152" i="1"/>
  <c r="A152" i="1"/>
  <c r="H151" i="1"/>
  <c r="G151" i="1"/>
  <c r="E151" i="1"/>
  <c r="B151" i="1"/>
  <c r="A151" i="1"/>
  <c r="H150" i="1"/>
  <c r="G150" i="1"/>
  <c r="E150" i="1"/>
  <c r="B150" i="1"/>
  <c r="A150" i="1"/>
  <c r="H149" i="1"/>
  <c r="G149" i="1"/>
  <c r="E149" i="1"/>
  <c r="B149" i="1"/>
  <c r="A149" i="1"/>
  <c r="H148" i="1"/>
  <c r="G148" i="1"/>
  <c r="E148" i="1"/>
  <c r="B148" i="1"/>
  <c r="A148" i="1"/>
  <c r="H147" i="1"/>
  <c r="G147" i="1"/>
  <c r="E147" i="1"/>
  <c r="B147" i="1"/>
  <c r="A147" i="1"/>
  <c r="H146" i="1"/>
  <c r="G146" i="1"/>
  <c r="B146" i="1"/>
  <c r="A146" i="1"/>
  <c r="H145" i="1"/>
  <c r="G145" i="1"/>
  <c r="E145" i="1"/>
  <c r="B145" i="1"/>
  <c r="A145" i="1"/>
  <c r="H144" i="1"/>
  <c r="G144" i="1"/>
  <c r="E144" i="1"/>
  <c r="B144" i="1"/>
  <c r="A144" i="1"/>
  <c r="H143" i="1"/>
  <c r="G143" i="1"/>
  <c r="E143" i="1"/>
  <c r="B143" i="1"/>
  <c r="A143" i="1"/>
  <c r="H142" i="1"/>
  <c r="G142" i="1"/>
  <c r="E142" i="1"/>
  <c r="B142" i="1"/>
  <c r="A142" i="1"/>
  <c r="H141" i="1"/>
  <c r="G141" i="1"/>
  <c r="E141" i="1"/>
  <c r="B141" i="1"/>
  <c r="A141" i="1"/>
  <c r="H140" i="1"/>
  <c r="G140" i="1"/>
  <c r="E140" i="1"/>
  <c r="B140" i="1"/>
  <c r="A140" i="1"/>
  <c r="H139" i="1"/>
  <c r="G139" i="1"/>
  <c r="E139" i="1"/>
  <c r="B139" i="1"/>
  <c r="A139" i="1"/>
  <c r="H138" i="1"/>
  <c r="G138" i="1"/>
  <c r="E138" i="1"/>
  <c r="B138" i="1"/>
  <c r="A138" i="1"/>
  <c r="H137" i="1"/>
  <c r="G137" i="1"/>
  <c r="E137" i="1"/>
  <c r="B137" i="1"/>
  <c r="A137" i="1"/>
  <c r="H136" i="1"/>
  <c r="G136" i="1"/>
  <c r="E136" i="1"/>
  <c r="B136" i="1"/>
  <c r="A136" i="1"/>
  <c r="H135" i="1"/>
  <c r="G135" i="1"/>
  <c r="E135" i="1"/>
  <c r="B135" i="1"/>
  <c r="A135" i="1"/>
  <c r="H134" i="1"/>
  <c r="G134" i="1"/>
  <c r="E134" i="1"/>
  <c r="B134" i="1"/>
  <c r="A134" i="1"/>
  <c r="H133" i="1"/>
  <c r="G133" i="1"/>
  <c r="E133" i="1"/>
  <c r="B133" i="1"/>
  <c r="A133" i="1"/>
  <c r="H132" i="1"/>
  <c r="G132" i="1"/>
  <c r="E132" i="1"/>
  <c r="B132" i="1"/>
  <c r="A132" i="1"/>
  <c r="H131" i="1"/>
  <c r="G131" i="1"/>
  <c r="E131" i="1"/>
  <c r="B131" i="1"/>
  <c r="A131" i="1"/>
  <c r="H130" i="1"/>
  <c r="G130" i="1"/>
  <c r="E130" i="1"/>
  <c r="B130" i="1"/>
  <c r="A130" i="1"/>
  <c r="H129" i="1"/>
  <c r="G129" i="1"/>
  <c r="E129" i="1"/>
  <c r="B129" i="1"/>
  <c r="A129" i="1"/>
  <c r="H128" i="1"/>
  <c r="G128" i="1"/>
  <c r="E128" i="1"/>
  <c r="B128" i="1"/>
  <c r="A128" i="1"/>
  <c r="H127" i="1"/>
  <c r="G127" i="1"/>
  <c r="E127" i="1"/>
  <c r="B127" i="1"/>
  <c r="A127" i="1"/>
  <c r="H126" i="1"/>
  <c r="G126" i="1"/>
  <c r="E126" i="1"/>
  <c r="B126" i="1"/>
  <c r="A126" i="1"/>
  <c r="H125" i="1"/>
  <c r="G125" i="1"/>
  <c r="E125" i="1"/>
  <c r="B125" i="1"/>
  <c r="A125" i="1"/>
  <c r="H124" i="1"/>
  <c r="G124" i="1"/>
  <c r="E124" i="1"/>
  <c r="B124" i="1"/>
  <c r="A124" i="1"/>
  <c r="H123" i="1"/>
  <c r="G123" i="1"/>
  <c r="E123" i="1"/>
  <c r="B123" i="1"/>
  <c r="A123" i="1"/>
  <c r="H122" i="1"/>
  <c r="G122" i="1"/>
  <c r="E122" i="1"/>
  <c r="B122" i="1"/>
  <c r="A122" i="1"/>
  <c r="H121" i="1"/>
  <c r="G121" i="1"/>
  <c r="E121" i="1"/>
  <c r="B121" i="1"/>
  <c r="A121" i="1"/>
  <c r="H120" i="1"/>
  <c r="G120" i="1"/>
  <c r="E120" i="1"/>
  <c r="B120" i="1"/>
  <c r="A120" i="1"/>
  <c r="H119" i="1"/>
  <c r="G119" i="1"/>
  <c r="E119" i="1"/>
  <c r="B119" i="1"/>
  <c r="A119" i="1"/>
  <c r="H118" i="1"/>
  <c r="G118" i="1"/>
  <c r="E118" i="1"/>
  <c r="B118" i="1"/>
  <c r="A118" i="1"/>
  <c r="H117" i="1"/>
  <c r="G117" i="1"/>
  <c r="E117" i="1"/>
  <c r="B117" i="1"/>
  <c r="A117" i="1"/>
  <c r="H116" i="1"/>
  <c r="G116" i="1"/>
  <c r="E116" i="1"/>
  <c r="B116" i="1"/>
  <c r="A116" i="1"/>
  <c r="H115" i="1"/>
  <c r="G115" i="1"/>
  <c r="E115" i="1"/>
  <c r="B115" i="1"/>
  <c r="A115" i="1"/>
  <c r="H114" i="1"/>
  <c r="G114" i="1"/>
  <c r="E114" i="1"/>
  <c r="B114" i="1"/>
  <c r="A114" i="1"/>
  <c r="H113" i="1"/>
  <c r="G113" i="1"/>
  <c r="E113" i="1"/>
  <c r="B113" i="1"/>
  <c r="A113" i="1"/>
  <c r="H112" i="1"/>
  <c r="G112" i="1"/>
  <c r="E112" i="1"/>
  <c r="B112" i="1"/>
  <c r="A112" i="1"/>
  <c r="H111" i="1"/>
  <c r="G111" i="1"/>
  <c r="E111" i="1"/>
  <c r="B111" i="1"/>
  <c r="A111" i="1"/>
  <c r="H110" i="1"/>
  <c r="G110" i="1"/>
  <c r="B110" i="1"/>
  <c r="A110" i="1"/>
  <c r="H109" i="1"/>
  <c r="G109" i="1"/>
  <c r="B109" i="1"/>
  <c r="A109" i="1"/>
  <c r="H108" i="1"/>
  <c r="G108" i="1"/>
  <c r="E108" i="1"/>
  <c r="B108" i="1"/>
  <c r="A108" i="1"/>
  <c r="H107" i="1"/>
  <c r="G107" i="1"/>
  <c r="E107" i="1"/>
  <c r="B107" i="1"/>
  <c r="A107" i="1"/>
  <c r="H106" i="1"/>
  <c r="G106" i="1"/>
  <c r="E106" i="1"/>
  <c r="B106" i="1"/>
  <c r="A106" i="1"/>
  <c r="H105" i="1"/>
  <c r="G105" i="1"/>
  <c r="E105" i="1"/>
  <c r="B105" i="1"/>
  <c r="A105" i="1"/>
  <c r="H104" i="1"/>
  <c r="G104" i="1"/>
  <c r="E104" i="1"/>
  <c r="B104" i="1"/>
  <c r="A104" i="1"/>
  <c r="H103" i="1"/>
  <c r="G103" i="1"/>
  <c r="E103" i="1"/>
  <c r="B103" i="1"/>
  <c r="A103" i="1"/>
  <c r="H102" i="1"/>
  <c r="G102" i="1"/>
  <c r="E102" i="1"/>
  <c r="B102" i="1"/>
  <c r="A102" i="1"/>
  <c r="H101" i="1"/>
  <c r="G101" i="1"/>
  <c r="E101" i="1"/>
  <c r="B101" i="1"/>
  <c r="A101" i="1"/>
  <c r="H100" i="1"/>
  <c r="G100" i="1"/>
  <c r="E100" i="1"/>
  <c r="B100" i="1"/>
  <c r="A100" i="1"/>
  <c r="H99" i="1"/>
  <c r="G99" i="1"/>
  <c r="E99" i="1"/>
  <c r="B99" i="1"/>
  <c r="A99" i="1"/>
  <c r="H98" i="1"/>
  <c r="G98" i="1"/>
  <c r="E98" i="1"/>
  <c r="B98" i="1"/>
  <c r="A98" i="1"/>
  <c r="H97" i="1"/>
  <c r="G97" i="1"/>
  <c r="E97" i="1"/>
  <c r="B97" i="1"/>
  <c r="A97" i="1"/>
  <c r="H96" i="1"/>
  <c r="G96" i="1"/>
  <c r="E96" i="1"/>
  <c r="B96" i="1"/>
  <c r="A96" i="1"/>
  <c r="H95" i="1"/>
  <c r="G95" i="1"/>
  <c r="E95" i="1"/>
  <c r="B95" i="1"/>
  <c r="A95" i="1"/>
  <c r="H94" i="1"/>
  <c r="G94" i="1"/>
  <c r="E94" i="1"/>
  <c r="B94" i="1"/>
  <c r="A94" i="1"/>
  <c r="H93" i="1"/>
  <c r="G93" i="1"/>
  <c r="E93" i="1"/>
  <c r="B93" i="1"/>
  <c r="A93" i="1"/>
  <c r="H92" i="1"/>
  <c r="G92" i="1"/>
  <c r="E92" i="1"/>
  <c r="B92" i="1"/>
  <c r="A92" i="1"/>
  <c r="H91" i="1"/>
  <c r="G91" i="1"/>
  <c r="E91" i="1"/>
  <c r="B91" i="1"/>
  <c r="A91" i="1"/>
  <c r="H90" i="1"/>
  <c r="G90" i="1"/>
  <c r="E90" i="1"/>
  <c r="B90" i="1"/>
  <c r="A90" i="1"/>
  <c r="H89" i="1"/>
  <c r="G89" i="1"/>
  <c r="E89" i="1"/>
  <c r="B89" i="1"/>
  <c r="A89" i="1"/>
  <c r="H88" i="1"/>
  <c r="G88" i="1"/>
  <c r="E88" i="1"/>
  <c r="B88" i="1"/>
  <c r="A88" i="1"/>
  <c r="H87" i="1"/>
  <c r="G87" i="1"/>
  <c r="E87" i="1"/>
  <c r="B87" i="1"/>
  <c r="A87" i="1"/>
  <c r="H86" i="1"/>
  <c r="G86" i="1"/>
  <c r="E86" i="1"/>
  <c r="B86" i="1"/>
  <c r="A86" i="1"/>
  <c r="H85" i="1"/>
  <c r="G85" i="1"/>
  <c r="E85" i="1"/>
  <c r="B85" i="1"/>
  <c r="A85" i="1"/>
  <c r="H84" i="1"/>
  <c r="G84" i="1"/>
  <c r="E84" i="1"/>
  <c r="B84" i="1"/>
  <c r="A84" i="1"/>
  <c r="H83" i="1"/>
  <c r="G83" i="1"/>
  <c r="E83" i="1"/>
  <c r="B83" i="1"/>
  <c r="A83" i="1"/>
  <c r="H82" i="1"/>
  <c r="G82" i="1"/>
  <c r="E82" i="1"/>
  <c r="B82" i="1"/>
  <c r="A82" i="1"/>
  <c r="H81" i="1"/>
  <c r="G81" i="1"/>
  <c r="B81" i="1"/>
  <c r="A81" i="1"/>
  <c r="H80" i="1"/>
  <c r="G80" i="1"/>
  <c r="E80" i="1"/>
  <c r="B80" i="1"/>
  <c r="A80" i="1"/>
  <c r="H79" i="1"/>
  <c r="G79" i="1"/>
  <c r="E79" i="1"/>
  <c r="B79" i="1"/>
  <c r="A79" i="1"/>
  <c r="H78" i="1"/>
  <c r="G78" i="1"/>
  <c r="E78" i="1"/>
  <c r="B78" i="1"/>
  <c r="A78" i="1"/>
  <c r="H77" i="1"/>
  <c r="G77" i="1"/>
  <c r="E77" i="1"/>
  <c r="B77" i="1"/>
  <c r="A77" i="1"/>
  <c r="H76" i="1"/>
  <c r="G76" i="1"/>
  <c r="E76" i="1"/>
  <c r="B76" i="1"/>
  <c r="A76" i="1"/>
  <c r="H75" i="1"/>
  <c r="G75" i="1"/>
  <c r="E75" i="1"/>
  <c r="B75" i="1"/>
  <c r="A75" i="1"/>
  <c r="H74" i="1"/>
  <c r="G74" i="1"/>
  <c r="E74" i="1"/>
  <c r="B74" i="1"/>
  <c r="A74" i="1"/>
  <c r="H73" i="1"/>
  <c r="G73" i="1"/>
  <c r="E73" i="1"/>
  <c r="B73" i="1"/>
  <c r="A73" i="1"/>
  <c r="H72" i="1"/>
  <c r="G72" i="1"/>
  <c r="E72" i="1"/>
  <c r="B72" i="1"/>
  <c r="A72" i="1"/>
  <c r="H71" i="1"/>
  <c r="G71" i="1"/>
  <c r="E71" i="1"/>
  <c r="B71" i="1"/>
  <c r="A71" i="1"/>
  <c r="H70" i="1"/>
  <c r="G70" i="1"/>
  <c r="E70" i="1"/>
  <c r="B70" i="1"/>
  <c r="A70" i="1"/>
  <c r="H69" i="1"/>
  <c r="G69" i="1"/>
  <c r="E69" i="1"/>
  <c r="B69" i="1"/>
  <c r="A69" i="1"/>
  <c r="H68" i="1"/>
  <c r="G68" i="1"/>
  <c r="E68" i="1"/>
  <c r="B68" i="1"/>
  <c r="A68" i="1"/>
  <c r="H67" i="1"/>
  <c r="G67" i="1"/>
  <c r="B67" i="1"/>
  <c r="A67" i="1"/>
  <c r="H66" i="1"/>
  <c r="G66" i="1"/>
  <c r="E66" i="1"/>
  <c r="B66" i="1"/>
  <c r="A66" i="1"/>
  <c r="H65" i="1"/>
  <c r="G65" i="1"/>
  <c r="E65" i="1"/>
  <c r="B65" i="1"/>
  <c r="A65" i="1"/>
  <c r="H64" i="1"/>
  <c r="G64" i="1"/>
  <c r="E64" i="1"/>
  <c r="B64" i="1"/>
  <c r="A64" i="1"/>
  <c r="H63" i="1"/>
  <c r="G63" i="1"/>
  <c r="E63" i="1"/>
  <c r="B63" i="1"/>
  <c r="A63" i="1"/>
  <c r="H62" i="1"/>
  <c r="G62" i="1"/>
  <c r="E62" i="1"/>
  <c r="B62" i="1"/>
  <c r="A62" i="1"/>
  <c r="H61" i="1"/>
  <c r="G61" i="1"/>
  <c r="E61" i="1"/>
  <c r="B61" i="1"/>
  <c r="A61" i="1"/>
  <c r="H60" i="1"/>
  <c r="G60" i="1"/>
  <c r="E60" i="1"/>
  <c r="B60" i="1"/>
  <c r="A60" i="1"/>
  <c r="H59" i="1"/>
  <c r="G59" i="1"/>
  <c r="E59" i="1"/>
  <c r="B59" i="1"/>
  <c r="A59" i="1"/>
  <c r="H58" i="1"/>
  <c r="G58" i="1"/>
  <c r="E58" i="1"/>
  <c r="B58" i="1"/>
  <c r="A58" i="1"/>
  <c r="H57" i="1"/>
  <c r="G57" i="1"/>
  <c r="E57" i="1"/>
  <c r="B57" i="1"/>
  <c r="A57" i="1"/>
  <c r="H56" i="1"/>
  <c r="G56" i="1"/>
  <c r="E56" i="1"/>
  <c r="B56" i="1"/>
  <c r="A56" i="1"/>
  <c r="H55" i="1"/>
  <c r="G55" i="1"/>
  <c r="E55" i="1"/>
  <c r="B55" i="1"/>
  <c r="A55" i="1"/>
  <c r="H54" i="1"/>
  <c r="G54" i="1"/>
  <c r="E54" i="1"/>
  <c r="B54" i="1"/>
  <c r="A54" i="1"/>
  <c r="H53" i="1"/>
  <c r="G53" i="1"/>
  <c r="E53" i="1"/>
  <c r="B53" i="1"/>
  <c r="A53" i="1"/>
  <c r="H52" i="1"/>
  <c r="G52" i="1"/>
  <c r="E52" i="1"/>
  <c r="B52" i="1"/>
  <c r="A52" i="1"/>
  <c r="H51" i="1"/>
  <c r="G51" i="1"/>
  <c r="E51" i="1"/>
  <c r="B51" i="1"/>
  <c r="A51" i="1"/>
  <c r="H50" i="1"/>
  <c r="G50" i="1"/>
  <c r="E50" i="1"/>
  <c r="B50" i="1"/>
  <c r="A50" i="1"/>
  <c r="H49" i="1"/>
  <c r="G49" i="1"/>
  <c r="E49" i="1"/>
  <c r="B49" i="1"/>
  <c r="A49" i="1"/>
  <c r="H48" i="1"/>
  <c r="G48" i="1"/>
  <c r="E48" i="1"/>
  <c r="B48" i="1"/>
  <c r="A48" i="1"/>
  <c r="H47" i="1"/>
  <c r="G47" i="1"/>
  <c r="E47" i="1"/>
  <c r="B47" i="1"/>
  <c r="A47" i="1"/>
  <c r="H46" i="1"/>
  <c r="G46" i="1"/>
  <c r="E46" i="1"/>
  <c r="B46" i="1"/>
  <c r="A46" i="1"/>
  <c r="H45" i="1"/>
  <c r="G45" i="1"/>
  <c r="E45" i="1"/>
  <c r="B45" i="1"/>
  <c r="A45" i="1"/>
  <c r="H44" i="1"/>
  <c r="G44" i="1"/>
  <c r="E44" i="1"/>
  <c r="B44" i="1"/>
  <c r="A44" i="1"/>
  <c r="H43" i="1"/>
  <c r="G43" i="1"/>
  <c r="E43" i="1"/>
  <c r="B43" i="1"/>
  <c r="A43" i="1"/>
  <c r="H42" i="1"/>
  <c r="G42" i="1"/>
  <c r="E42" i="1"/>
  <c r="B42" i="1"/>
  <c r="A42" i="1"/>
  <c r="H41" i="1"/>
  <c r="G41" i="1"/>
  <c r="E41" i="1"/>
  <c r="B41" i="1"/>
  <c r="A41" i="1"/>
  <c r="H40" i="1"/>
  <c r="G40" i="1"/>
  <c r="E40" i="1"/>
  <c r="B40" i="1"/>
  <c r="A40" i="1"/>
  <c r="H39" i="1"/>
  <c r="G39" i="1"/>
  <c r="E39" i="1"/>
  <c r="B39" i="1"/>
  <c r="A39" i="1"/>
  <c r="H38" i="1"/>
  <c r="G38" i="1"/>
  <c r="E38" i="1"/>
  <c r="B38" i="1"/>
  <c r="A38" i="1"/>
  <c r="H37" i="1"/>
  <c r="G37" i="1"/>
  <c r="E37" i="1"/>
  <c r="B37" i="1"/>
  <c r="A37" i="1"/>
  <c r="H36" i="1"/>
  <c r="G36" i="1"/>
  <c r="E36" i="1"/>
  <c r="B36" i="1"/>
  <c r="A36" i="1"/>
  <c r="H35" i="1"/>
  <c r="G35" i="1"/>
  <c r="E35" i="1"/>
  <c r="B35" i="1"/>
  <c r="A35" i="1"/>
  <c r="H34" i="1"/>
  <c r="G34" i="1"/>
  <c r="E34" i="1"/>
  <c r="B34" i="1"/>
  <c r="A34" i="1"/>
  <c r="H33" i="1"/>
  <c r="G33" i="1"/>
  <c r="E33" i="1"/>
  <c r="B33" i="1"/>
  <c r="A33" i="1"/>
  <c r="H32" i="1"/>
  <c r="G32" i="1"/>
  <c r="E32" i="1"/>
  <c r="B32" i="1"/>
  <c r="A32" i="1"/>
  <c r="H31" i="1"/>
  <c r="G31" i="1"/>
  <c r="E31" i="1"/>
  <c r="B31" i="1"/>
  <c r="A31" i="1"/>
  <c r="H30" i="1"/>
  <c r="G30" i="1"/>
  <c r="E30" i="1"/>
  <c r="B30" i="1"/>
  <c r="A30" i="1"/>
  <c r="H29" i="1"/>
  <c r="G29" i="1"/>
  <c r="E29" i="1"/>
  <c r="B29" i="1"/>
  <c r="A29" i="1"/>
  <c r="H28" i="1"/>
  <c r="G28" i="1"/>
  <c r="E28" i="1"/>
  <c r="B28" i="1"/>
  <c r="A28" i="1"/>
  <c r="H27" i="1"/>
  <c r="G27" i="1"/>
  <c r="E27" i="1"/>
  <c r="B27" i="1"/>
  <c r="A27" i="1"/>
  <c r="H26" i="1"/>
  <c r="G26" i="1"/>
  <c r="E26" i="1"/>
  <c r="B26" i="1"/>
  <c r="A26" i="1"/>
  <c r="H25" i="1"/>
  <c r="G25" i="1"/>
  <c r="E25" i="1"/>
  <c r="B25" i="1"/>
  <c r="A25" i="1"/>
  <c r="H24" i="1"/>
  <c r="G24" i="1"/>
  <c r="E24" i="1"/>
  <c r="B24" i="1"/>
  <c r="A24" i="1"/>
  <c r="H23" i="1"/>
  <c r="G23" i="1"/>
  <c r="E23" i="1"/>
  <c r="B23" i="1"/>
  <c r="A23" i="1"/>
  <c r="H22" i="1"/>
  <c r="G22" i="1"/>
  <c r="E22" i="1"/>
  <c r="B22" i="1"/>
  <c r="A22" i="1"/>
  <c r="H21" i="1"/>
  <c r="G21" i="1"/>
  <c r="E21" i="1"/>
  <c r="B21" i="1"/>
  <c r="A21" i="1"/>
  <c r="H20" i="1"/>
  <c r="G20" i="1"/>
  <c r="E20" i="1"/>
  <c r="B20" i="1"/>
  <c r="A20" i="1"/>
  <c r="H19" i="1"/>
  <c r="G19" i="1"/>
  <c r="E19" i="1"/>
  <c r="B19" i="1"/>
  <c r="A19" i="1"/>
  <c r="H18" i="1"/>
  <c r="G18" i="1"/>
  <c r="E18" i="1"/>
  <c r="B18" i="1"/>
  <c r="A18" i="1"/>
  <c r="H17" i="1"/>
  <c r="G17" i="1"/>
  <c r="E17" i="1"/>
  <c r="B17" i="1"/>
  <c r="A17" i="1"/>
  <c r="H16" i="1"/>
  <c r="G16" i="1"/>
  <c r="E16" i="1"/>
  <c r="B16" i="1"/>
  <c r="A16" i="1"/>
  <c r="H15" i="1"/>
  <c r="G15" i="1"/>
  <c r="E15" i="1"/>
  <c r="B15" i="1"/>
  <c r="A15" i="1"/>
  <c r="H14" i="1"/>
  <c r="G14" i="1"/>
  <c r="E14" i="1"/>
  <c r="B14" i="1"/>
  <c r="A14" i="1"/>
  <c r="H13" i="1"/>
  <c r="G13" i="1"/>
  <c r="E13" i="1"/>
  <c r="B13" i="1"/>
  <c r="A13" i="1"/>
  <c r="H12" i="1"/>
  <c r="G12" i="1"/>
  <c r="E12" i="1"/>
  <c r="B12" i="1"/>
  <c r="A12" i="1"/>
  <c r="H11" i="1"/>
  <c r="G11" i="1"/>
  <c r="E11" i="1"/>
  <c r="B11" i="1"/>
  <c r="A11" i="1"/>
  <c r="H10" i="1"/>
  <c r="G10" i="1"/>
  <c r="E10" i="1"/>
  <c r="B10" i="1"/>
  <c r="A10" i="1"/>
  <c r="H9" i="1"/>
  <c r="G9" i="1"/>
  <c r="E9" i="1"/>
  <c r="B9" i="1"/>
  <c r="A9" i="1"/>
  <c r="H8" i="1"/>
  <c r="G8" i="1"/>
  <c r="E8" i="1"/>
  <c r="B8" i="1"/>
  <c r="A8" i="1"/>
  <c r="H7" i="1"/>
  <c r="G7" i="1"/>
  <c r="E7" i="1"/>
  <c r="B7" i="1"/>
  <c r="A7" i="1"/>
  <c r="H6" i="1"/>
  <c r="G6" i="1"/>
  <c r="E6" i="1"/>
  <c r="B6" i="1"/>
  <c r="A6" i="1"/>
  <c r="H5" i="1"/>
  <c r="G5" i="1"/>
  <c r="E5" i="1"/>
  <c r="B5" i="1"/>
  <c r="A5" i="1"/>
  <c r="H4" i="1"/>
  <c r="G4" i="1"/>
  <c r="E4" i="1"/>
  <c r="B4" i="1"/>
  <c r="A4" i="1"/>
  <c r="H3" i="1"/>
  <c r="G3" i="1"/>
  <c r="E3" i="1"/>
  <c r="B3" i="1"/>
  <c r="A3" i="1"/>
  <c r="H2" i="1"/>
  <c r="G2" i="1"/>
  <c r="E2" i="1"/>
  <c r="B2" i="1"/>
  <c r="A2" i="1"/>
</calcChain>
</file>

<file path=xl/sharedStrings.xml><?xml version="1.0" encoding="utf-8"?>
<sst xmlns="http://schemas.openxmlformats.org/spreadsheetml/2006/main" count="40005" uniqueCount="14400">
  <si>
    <t>url</t>
  </si>
  <si>
    <t>canonicalUrl</t>
  </si>
  <si>
    <t>name</t>
  </si>
  <si>
    <t>Amazon Product Title</t>
  </si>
  <si>
    <t>Amazon Product URL</t>
  </si>
  <si>
    <t>ASIN</t>
  </si>
  <si>
    <t>Source Image</t>
  </si>
  <si>
    <t>Amazon Image</t>
  </si>
  <si>
    <t>offers/0/price</t>
  </si>
  <si>
    <t>Amazon Price</t>
  </si>
  <si>
    <t>ROI</t>
  </si>
  <si>
    <t>Rating</t>
  </si>
  <si>
    <t>ReviewCount</t>
  </si>
  <si>
    <t>offerCount</t>
  </si>
  <si>
    <t>offers/0/availability</t>
  </si>
  <si>
    <t>offers/0/regularPrice</t>
  </si>
  <si>
    <t>sku</t>
  </si>
  <si>
    <t>Match?</t>
  </si>
  <si>
    <t>Qualified?</t>
  </si>
  <si>
    <t>Approved</t>
  </si>
  <si>
    <t>Notes</t>
  </si>
  <si>
    <t>Vanilla Mint Soap</t>
  </si>
  <si>
    <t>J.R. Watkins Gel Hand Soap, Scented Liquid Hand Wash for Bathroom or Kitchen, USA Made and Cruelty Free, 11 fl oz, Vanilla Mint, 6 Pack</t>
  </si>
  <si>
    <t>B07KMXHKP6</t>
  </si>
  <si>
    <t>7.95</t>
  </si>
  <si>
    <t>528.93%</t>
  </si>
  <si>
    <t>InStock</t>
  </si>
  <si>
    <t>4548356571225</t>
  </si>
  <si>
    <t>J.R. Watkins Foaming Hand Soap For Bathroom or Kitchen, Scented, USA Made And Cruelty Free, 9 Fl Oz, Vanilla Mint, 3 Pack</t>
  </si>
  <si>
    <t>B07XH6JX7V</t>
  </si>
  <si>
    <t>331.32%</t>
  </si>
  <si>
    <t>Alaffia EveryDay Shea Foaming Hand Soap - For Sensitive Skin, Gently Helps Clean, Moisturize, and Soften Hands with Shea Butter, Neem, and Coconut Oil, Fair Trade, Vanilla Mint, 18 Ounces</t>
  </si>
  <si>
    <t>B0073T0XEY</t>
  </si>
  <si>
    <t>226.92%</t>
  </si>
  <si>
    <t>Sip Champagne Birthday Card</t>
  </si>
  <si>
    <t>iGifts And Cards Congratulations Champagne 3D Pop Up Greeting Card – Happy Anniversary Card For Husband, College Graduation Gift, 21st Birthday Card, Happy New Year Presents, Special Congrats Cheers</t>
  </si>
  <si>
    <t>B0B3C83XSL</t>
  </si>
  <si>
    <t>4.95</t>
  </si>
  <si>
    <t>161.62%</t>
  </si>
  <si>
    <t>undefined</t>
  </si>
  <si>
    <t>4724727119961</t>
  </si>
  <si>
    <t>J.R. Watkins Gel Hand Soap, Scented Liquid Hand Wash for Bathroom or Kitchen, USA Made and Cruelty Free, 11 fl oz, Vanilla Mint, 3 Pack</t>
  </si>
  <si>
    <t>B0857L16SB</t>
  </si>
  <si>
    <t>148.30%</t>
  </si>
  <si>
    <t>Papyrus Birthday Cards, Balloons and Champagne (2-Count)</t>
  </si>
  <si>
    <t>B095CQ98R8</t>
  </si>
  <si>
    <t>136.57%</t>
  </si>
  <si>
    <t>J.R. Watkins Foaming Hand Soap Pump with Dispenser, Moisturizing All Natural Hand Soap Foam, Alcohol-Free, Cruelty-Free, USA Made, Use as Kitchen or Bathroom Soap, Vanilla Mint, 9 fl oz, 3 Pack</t>
  </si>
  <si>
    <t>B0B643BMC8</t>
  </si>
  <si>
    <t>88.30%</t>
  </si>
  <si>
    <t>Thymes Washed Linen Fragrance Reed Diffuser</t>
  </si>
  <si>
    <t>Thymes Washed Linen Petite Reed Diffusers - Home Fragrance Diffuser Set Includes Reed Diffuser Sticks, Fragrance Oil, and Glass Bottle Oil Diffuser - Aromatherapy Diffuser (4.0 fl oz)</t>
  </si>
  <si>
    <t>B084C4KQX7</t>
  </si>
  <si>
    <t>24.95</t>
  </si>
  <si>
    <t>84.37%</t>
  </si>
  <si>
    <t>4789679161433</t>
  </si>
  <si>
    <t>Hand Soap, Foaming, 9 fl oz, Vanilla Mint Vanilla Mint</t>
  </si>
  <si>
    <t>B073RJHXBH</t>
  </si>
  <si>
    <t>70.44%</t>
  </si>
  <si>
    <t>Avanti Press Champagne Glass Girl on Pink A-Press Feminine Birthday Card for Woman : Her</t>
  </si>
  <si>
    <t>B08XQ4T8DP</t>
  </si>
  <si>
    <t>44.44%</t>
  </si>
  <si>
    <t>Thymes Reed Diffuser Oil - Washed Linen - 7.75 Fl Oz</t>
  </si>
  <si>
    <t>B0B4T69TRV</t>
  </si>
  <si>
    <t>40.28%</t>
  </si>
  <si>
    <t>Smoking with Friends Graduation Card</t>
  </si>
  <si>
    <t>NobleWorks - 1 Retro Graduation Card Funny - Congratulations Notecard for Graduate, School and College Grad Humor - Smoking with Friends 3711</t>
  </si>
  <si>
    <t>B001G2K2MM</t>
  </si>
  <si>
    <t>39.19%</t>
  </si>
  <si>
    <t>4585486221401</t>
  </si>
  <si>
    <t>We All Know Wedding Card</t>
  </si>
  <si>
    <t>Hallmark Wedding Card, Bridal Shower Card, or Engagement Card (Enjoy the Journey)</t>
  </si>
  <si>
    <t>B07QGL496N</t>
  </si>
  <si>
    <t>21.01%</t>
  </si>
  <si>
    <t>4724753924185</t>
  </si>
  <si>
    <t>Bluebyrd Soap Vanilla Mint Natural Goat's Milk Soap Bar | Gentle Exfoliating Goatmilk Bar Soaps Made with Organic Ingredients | Coconut Oil &amp; Shea Butter Vanilla Soap (Vanilla Mint)</t>
  </si>
  <si>
    <t>B0CG2RW73Q</t>
  </si>
  <si>
    <t>9.31%</t>
  </si>
  <si>
    <t>What Have I Got To Lose Funny Valentine's Day Card</t>
  </si>
  <si>
    <t>NobleWorks 2404 What Have I Got to Lose Funny Valentine's Day Paper Card with Envelope</t>
  </si>
  <si>
    <t>B005TABY42</t>
  </si>
  <si>
    <t>-14.14%</t>
  </si>
  <si>
    <t>4779850137689</t>
  </si>
  <si>
    <t>Thymes Frasier Fir Pine Needle Votive Candle</t>
  </si>
  <si>
    <t>Thymes Frasier Fir Pine Needle Candle - 40 Oz</t>
  </si>
  <si>
    <t>B01KIH4XCA</t>
  </si>
  <si>
    <t>2095.0</t>
  </si>
  <si>
    <t>-94.94%</t>
  </si>
  <si>
    <t>4744451489881</t>
  </si>
  <si>
    <t>Watercolor Landscape Blank Card</t>
  </si>
  <si>
    <t>200 Set Pure Cotton Watercolor Cards Set Blank Cotton Watercolor Cards with Envelopes 140lb Heavyweight Paper Watercolor Postcards for Art Painting Creative Thank Note (Unfoldable, 5 x 7 Inch)</t>
  </si>
  <si>
    <t>B0C5GWQLQC</t>
  </si>
  <si>
    <t>795.0</t>
  </si>
  <si>
    <t>-95.22%</t>
  </si>
  <si>
    <t>7336029061209</t>
  </si>
  <si>
    <t>Thymes Frasier Fir Car Diffuser Refill</t>
  </si>
  <si>
    <t>Thymes Frasier Fir Pura Smart Home Plug-in Diffuser Kit – Long-Lasting Aromatherapy Diffuser Refills with A Fresh Fragrance (1 Diffuser + Frasier Fir Pura Refills)</t>
  </si>
  <si>
    <t>B09HL8DMHN</t>
  </si>
  <si>
    <t>1895.0</t>
  </si>
  <si>
    <t>-95.46%</t>
  </si>
  <si>
    <t>18.95</t>
  </si>
  <si>
    <t>7142251364441</t>
  </si>
  <si>
    <t>Succulents Thank You Card</t>
  </si>
  <si>
    <t>100 PK Sage Green Thank You Cards with Envelopes Bulk - 5 x 3.5 Inches Gold Greenery Wedding Thank You Cards Baby Shower Thank You Notes for Bridal Shower Small Business Birthday Tent Cards</t>
  </si>
  <si>
    <t>B0BD3Z1TC1</t>
  </si>
  <si>
    <t>595.0</t>
  </si>
  <si>
    <t>-95.97%</t>
  </si>
  <si>
    <t>4724746977369</t>
  </si>
  <si>
    <t>Thymes Frasier Fir Gold Travel Tin Candle</t>
  </si>
  <si>
    <t>Thymes Frasier Fir Ceramic 3-Wick Candle - Frasier Fir Scented Candle for Home Fragrance - Gilded White Candle with 24-Karate Gold Rim (20 oz)</t>
  </si>
  <si>
    <t>B0140PRH56</t>
  </si>
  <si>
    <t>1695.0</t>
  </si>
  <si>
    <t>-95.99%</t>
  </si>
  <si>
    <t>6904245354585</t>
  </si>
  <si>
    <t>Thymes Lavender Pura Diffuser Refill</t>
  </si>
  <si>
    <t>Thymes Pura Smart Home Plug-in Diffuser Kit - Eucalyptus &amp; Lavender Pura Refills – Long-Lasting Aromatherapy Diffuser Refills with Fresh &amp; Floral Fragrances (1 Diffuser + 2 Refills)</t>
  </si>
  <si>
    <t>B0C1D8Y98T</t>
  </si>
  <si>
    <t>2495.0</t>
  </si>
  <si>
    <t>-96.55%</t>
  </si>
  <si>
    <t>7053299449945</t>
  </si>
  <si>
    <t>Thymes Eucalyptus Pura Diffuser Refill</t>
  </si>
  <si>
    <t>6943141396569</t>
  </si>
  <si>
    <t>Thymes Fresh-Cut Basil Pura Diffuser Refill</t>
  </si>
  <si>
    <t>7110538559577</t>
  </si>
  <si>
    <t>Thymes Gingerbread Pura Diffuser Refill</t>
  </si>
  <si>
    <t>7159341219929</t>
  </si>
  <si>
    <t>Thymes Frasier Fir Pura Diffuser Refill</t>
  </si>
  <si>
    <t>6827773689945</t>
  </si>
  <si>
    <t>Cactus Thank You Cards with Envelopes for Thank You Notes! Bulk Set of 48 Blank Gift Cards with Envelopes for Baby Shower Note Cards, Watercolor Wedding Thank You Cards and Bridal Shower Thankyou Card</t>
  </si>
  <si>
    <t>B07L517YNQ</t>
  </si>
  <si>
    <t>-96.56%</t>
  </si>
  <si>
    <t>Winter's A Bear Lip Balm</t>
  </si>
  <si>
    <t>Walton Wood Farm Lip Balm Trio (Winter's A Bear) Crème Caramel and Natural Vanilla Flavor 100% All-Natural, Vegetarian Friendly, and Paraben-Free</t>
  </si>
  <si>
    <t>B07G3DBWP9</t>
  </si>
  <si>
    <t>495.0</t>
  </si>
  <si>
    <t>-96.57%</t>
  </si>
  <si>
    <t>OutOfStock</t>
  </si>
  <si>
    <t>4764233695321</t>
  </si>
  <si>
    <t>Spearmint Soap</t>
  </si>
  <si>
    <t>Marvelouskin Grass Fed Beef Tallow Soap – Organic Spearmint Essential oil. 100% Handmade, Grass Fed, Chemical Free Beef Tallow Soap bars (3 Bars).</t>
  </si>
  <si>
    <t>B086R949H6</t>
  </si>
  <si>
    <t>-96.64%</t>
  </si>
  <si>
    <t>4548309680217</t>
  </si>
  <si>
    <t>Week From Hell Hand Rescue Tube</t>
  </si>
  <si>
    <t>Walton Wood Farm Hand Rescue Tube 3 Pack (Week From Hell) Grapefruit &amp; Brown Sugar Scent Vegan-Friendly and Paraben-Free 2 oz</t>
  </si>
  <si>
    <t>B07NRL8V88</t>
  </si>
  <si>
    <t>995.0</t>
  </si>
  <si>
    <t>-96.69%</t>
  </si>
  <si>
    <t>4786053742681</t>
  </si>
  <si>
    <t>Thymes Frasier Fir Green Reed Sticks Refill</t>
  </si>
  <si>
    <t>Thymes Petite Frasier Fir Diffuser - Pine Needle Design - Home Fragrance Diffuser Set Includes Reed Diffuser Sticks, Fragrance Oil, and Glass Bottle Oil Diffuser (4 fl oz)</t>
  </si>
  <si>
    <t>B07PX41PHQ</t>
  </si>
  <si>
    <t>1395.0</t>
  </si>
  <si>
    <t>-96.70%</t>
  </si>
  <si>
    <t>4750422769753</t>
  </si>
  <si>
    <t>Thymes Petite Frasier Fir Diffuser - Home Fragrance Diffuser Set Includes Reed Diffuser Sticks, Fragrance Oil, and Green Glass Bottle Oil Diffuser (4 fl oz)</t>
  </si>
  <si>
    <t>B074KL8KPP</t>
  </si>
  <si>
    <t>Pumpkin Soap</t>
  </si>
  <si>
    <t>Bastion Antibacterial Hand Soap - Pumpkin Spice Moisturizing Pearlized Liquid Hand Wash - 1 Gallon (128 oz.) Bulk Refill Jug. Pumpkin Spice Scented. Non-toxic. Made in the USA.</t>
  </si>
  <si>
    <t>B08LMG7H6V</t>
  </si>
  <si>
    <t>-96.73%</t>
  </si>
  <si>
    <t>4547980525657</t>
  </si>
  <si>
    <t>Week From Hell Lip Balm</t>
  </si>
  <si>
    <t>Walton Wood Farm Lip Balm Trio (Week from Hell) Grapefruit Maple Flavor 100% All-Natural, Vegetarian Friendly, and Paraben-Free</t>
  </si>
  <si>
    <t>B07G3CHTDR</t>
  </si>
  <si>
    <t>-96.76%</t>
  </si>
  <si>
    <t>4764254339161</t>
  </si>
  <si>
    <t>Thymes Frasier Fir Statement Pine Needle Candle</t>
  </si>
  <si>
    <t>3295.0</t>
  </si>
  <si>
    <t>-96.78%</t>
  </si>
  <si>
    <t>32.95</t>
  </si>
  <si>
    <t>4744448278617</t>
  </si>
  <si>
    <t>Restorative Face Serum</t>
  </si>
  <si>
    <t>PCA SKIN Resveratrol Restorative Anti Aging Face Serum - Advanced Antioxidant Dark Spot Corrector &amp; Wrinkle Remover Treatment for All Skin Types (1 fl oz)</t>
  </si>
  <si>
    <t>B07YLDJQXL</t>
  </si>
  <si>
    <t>3900.0</t>
  </si>
  <si>
    <t>-96.82%</t>
  </si>
  <si>
    <t>39.0</t>
  </si>
  <si>
    <t>4583201701977</t>
  </si>
  <si>
    <t>Vanilla Coconut Lip Butter</t>
  </si>
  <si>
    <t>Bee Bella Lip Balm Vanilla Bean (3 Pack) With Beeswax, Coconut Oil, Jojoba Oil, Vitamin E Oil, Argan Oil and More for Soft and Smooth Lips - Long-Lasting Moisture - Handmade in the USA, A thoughtful back-to-school or teacher appreciation gift.</t>
  </si>
  <si>
    <t>B09Q3Q9X29</t>
  </si>
  <si>
    <t>-96.86%</t>
  </si>
  <si>
    <t>4573484679257</t>
  </si>
  <si>
    <t>Bath and Body Works Eucalyptus Spearmint Soap x2</t>
  </si>
  <si>
    <t>B075MML5ST</t>
  </si>
  <si>
    <t>-96.89%</t>
  </si>
  <si>
    <t>Thymes Frasier Fir Gilded Gold Votive Candle</t>
  </si>
  <si>
    <t>2195.0</t>
  </si>
  <si>
    <t>-96.90%</t>
  </si>
  <si>
    <t>21.95</t>
  </si>
  <si>
    <t>7348549779545</t>
  </si>
  <si>
    <t>Funto Blank Watercolor Cards and Envelopes, 50 Cards, 5''x7'', 140lb/300gsm, White, Acid-Free, Heavyweight Paper for Watercolor Painting, Invitations, Thank You Notes, Greeting Cards &amp; All Occasions</t>
  </si>
  <si>
    <t>B0948R321W</t>
  </si>
  <si>
    <t>-96.98%</t>
  </si>
  <si>
    <t>Spotless Stain Remover Soap</t>
  </si>
  <si>
    <t>Charlie’s Soap Laundry Pre-Spray Stain Remover With Refill (16.9 Fl. Oz, 1 Pack With Refill) Natural Laundry Pretreat and Stain Remover – Powerful, Safe, and Effective</t>
  </si>
  <si>
    <t>B094WBWTF7</t>
  </si>
  <si>
    <t>-97.11%</t>
  </si>
  <si>
    <t>4548351033433</t>
  </si>
  <si>
    <t>The Best Card Company - 20 Assorted Boxed Thank You Note Card Set w/Envelope, 2 Each, 10 Design (4 x 5.12 Inch) - Shiplap Succulents AM6438TYG-B2x10</t>
  </si>
  <si>
    <t>B09JB126X2</t>
  </si>
  <si>
    <t>-97.15%</t>
  </si>
  <si>
    <t>NEST Fragrances Pumpkin Chai Liquid Hand Soap, 10 Fl Oz</t>
  </si>
  <si>
    <t>B09853QBMB</t>
  </si>
  <si>
    <t>-97.17%</t>
  </si>
  <si>
    <t>Thymes Frasier Fir Car Diffuser Kit</t>
  </si>
  <si>
    <t>3095.0</t>
  </si>
  <si>
    <t>-97.22%</t>
  </si>
  <si>
    <t>7142249562201</t>
  </si>
  <si>
    <t>Thymes Gilded Candle - 17 Oz - Frasier Fir</t>
  </si>
  <si>
    <t>B076DMLBFR</t>
  </si>
  <si>
    <t>-97.27%</t>
  </si>
  <si>
    <t>Pumice Stone</t>
  </si>
  <si>
    <t>Pumice Stone for Toilet Bowl Deep Cleaning,Toilet Bowl Cleaner,Toilet Pumice Stone with Long Handle for Remove Hard Water Stains-Toilet Brush/Grout/Swim Pool/Grill with 1Wand+8Pumice Stones</t>
  </si>
  <si>
    <t>B0BJP2RL97</t>
  </si>
  <si>
    <t>1000.0</t>
  </si>
  <si>
    <t>-97.30%</t>
  </si>
  <si>
    <t>10.0</t>
  </si>
  <si>
    <t>4554348068953</t>
  </si>
  <si>
    <t>Bath &amp; Body Works Aromatherapy Stress Relief Eucalyptus Spearmint Gentle Foaming Hand Soap 8.75 fl.oz Set of 3</t>
  </si>
  <si>
    <t>B07771V4PC</t>
  </si>
  <si>
    <t>-97.31%</t>
  </si>
  <si>
    <t>Thymes Pine Needle Frasier Fir Luminary Candle - 16 Oz</t>
  </si>
  <si>
    <t>B0B9CDSR3K</t>
  </si>
  <si>
    <t>-97.33%</t>
  </si>
  <si>
    <t>Thymes Frasier Fir Aroma Diffuser Oil</t>
  </si>
  <si>
    <t>Thymes Frasier Fir Diffuser - Pine Needle Design - Home Fragrance Diffuser Set Includes Reed Diffuser Sticks, Fragrance Oil, and Glass Bottle Oil Diffuser (7.75 fl oz)</t>
  </si>
  <si>
    <t>B01KIH4X4S</t>
  </si>
  <si>
    <t>4744454373465</t>
  </si>
  <si>
    <t>Vanilla Coconut Bubble Bath</t>
  </si>
  <si>
    <t>Bath Spa Gift Sets - Luxury Basket With Coconut &amp; Vanilla - Spa Kit Includes Wash, Bubble Bath, Lotion, Bath Salts, Body Scrub, Body Spray, Shower Puff, Bathbombs, Soap and Towel</t>
  </si>
  <si>
    <t>B08JT7KZ1P</t>
  </si>
  <si>
    <t>1600.0</t>
  </si>
  <si>
    <t>-97.38%</t>
  </si>
  <si>
    <t>4601623838809</t>
  </si>
  <si>
    <t>Wonderful Holiday Season Christmas Card</t>
  </si>
  <si>
    <t>Papyrus Holiday Cards Boxed with Envelopes, To A Wonderful Season, Warmest Holiday Wishes (14-Count)</t>
  </si>
  <si>
    <t>B086FBP9ZC</t>
  </si>
  <si>
    <t>750.0</t>
  </si>
  <si>
    <t>-97.47%</t>
  </si>
  <si>
    <t>7295027216473</t>
  </si>
  <si>
    <t>Gooji 4x6 Cactus Thank You Cards (Bulk 36-Pack) Matching Peel-and-Seal White Envelopes | Assorted Set, Watercolor, Colorful Graphics | Succulent, Birthday Party, Baby Shower, Weddings Blank Notes</t>
  </si>
  <si>
    <t>B082CZ1K7K</t>
  </si>
  <si>
    <t>-97.48%</t>
  </si>
  <si>
    <t>100 Pcs Blank Watercolor Cards with Envelopes Set, 140lb Heavyweight 100% Cotton Watercolor Cards, 4 x 6 Inch Foldable Watercolor Cards and Envelopes to Paint or Cards Making for Christmas Birthday</t>
  </si>
  <si>
    <t>B0CCHKKY4M</t>
  </si>
  <si>
    <t>-97.49%</t>
  </si>
  <si>
    <t>Wood Cross Easter Card</t>
  </si>
  <si>
    <t>Small Wooden Cross for Wall Carved in the shape of the Crucifix Cross, Olive Wood Cross Jesus Christ Resurrection Cross Wall Décor, Holy Cross Wall Decor, Religious Easter Decorations for Home</t>
  </si>
  <si>
    <t>B0BTQ67TGH</t>
  </si>
  <si>
    <t>6569525739609</t>
  </si>
  <si>
    <t>Thymes Reed Diffuser Oil Refill - 7.75 Fl Oz - Frasier Fir</t>
  </si>
  <si>
    <t>B001AH8CL6</t>
  </si>
  <si>
    <t>Thymes Frasier Fir Votive Candles - Crisp, Just-Cut Forest Fragrance - 3 Oz (3 Pack)</t>
  </si>
  <si>
    <t>B07Q2D8245</t>
  </si>
  <si>
    <t>-97.52%</t>
  </si>
  <si>
    <t>Thymes Ceramic Sink Caddy</t>
  </si>
  <si>
    <t>Kitchen Sink Organizer with Anti-Slip Legs, Ceramic Drain Tray, Carbon Steel Rustproof Kitchen Sink Caddy Dish Brush Holder Sponge Holder Soap Holder for Kitchen Sink Kitchen Organization and Storage</t>
  </si>
  <si>
    <t>B0C6YR469F</t>
  </si>
  <si>
    <t>895.0</t>
  </si>
  <si>
    <t>-97.54%</t>
  </si>
  <si>
    <t>4789086519385</t>
  </si>
  <si>
    <t>Thymes Frasier Fir Pine Needle Candle</t>
  </si>
  <si>
    <t>4395.0</t>
  </si>
  <si>
    <t>-97.59%</t>
  </si>
  <si>
    <t>43.95</t>
  </si>
  <si>
    <t>6568161869913</t>
  </si>
  <si>
    <t>Birthday Gifts, Bath and Body Gift Set for Women and Men, Vanilla Coconut Birthday Gift Basket, 13pc Spa Gift Set, Gifts for Mom, Gift Sets for Women - Bath Bomb, Body Lotion, Bubble Bath &amp; More</t>
  </si>
  <si>
    <t>B09CLPL6GY</t>
  </si>
  <si>
    <t>AnyDesign Cactus Thank You Cards 36 Pack Watercolor Succulent Note Cards with Matching Seal Stickers Envelopes Greenery Greeting Blank Cards for Birthday Baby Shower Wedding Bridal Party, 4 x 6</t>
  </si>
  <si>
    <t>B0B56B59B9</t>
  </si>
  <si>
    <t>-97.65%</t>
  </si>
  <si>
    <t>AnyDesign Home Plants Thank You Cards 36 Pack Succulent Cactus Note Cards with Matching Seal Stickers Envelopes Greenery Greeting Blank Cards for Birthday Baby Shower Wedding Bridal Party, 4 x 6</t>
  </si>
  <si>
    <t>B0B568X5WJ</t>
  </si>
  <si>
    <t>Spa Baskets For Women - Luxury Bath Set With Coconut &amp; Vanilla - Spa Kit Includes Wash, Bubble Bath, Lotion, Bath Salts, Body Scrub, Body Spray, Shower Puff, Bathbombs, Soap and Towel</t>
  </si>
  <si>
    <t>B09NT37VYV</t>
  </si>
  <si>
    <t>-97.69%</t>
  </si>
  <si>
    <t>Walton Wood Farm Hand Rescue Week from Hell 2 oz, 2 Pack</t>
  </si>
  <si>
    <t>B09WRWX2SN</t>
  </si>
  <si>
    <t>Bath and Body Works 2 Pack Pumpkin Cupcakes Gentle Foaming Hand Soap. 8 Oz</t>
  </si>
  <si>
    <t>B07GGWDQBM</t>
  </si>
  <si>
    <t>-97.72%</t>
  </si>
  <si>
    <t>Bath &amp; Body Works Purrfect Pumpkin Gentle Foaming Hand Soap 8.75 Ounce 2-Pack (Purrfect Pumpkin), 17.5 Ounce, 1.47 pounds</t>
  </si>
  <si>
    <t>B0B6XVYRHD</t>
  </si>
  <si>
    <t>Thymes Frasier Fir Votive Candle 3 Pack</t>
  </si>
  <si>
    <t>2995.0</t>
  </si>
  <si>
    <t>-97.73%</t>
  </si>
  <si>
    <t>29.95</t>
  </si>
  <si>
    <t>6952639856729</t>
  </si>
  <si>
    <t>Rosemary Shampoo Bar Soap</t>
  </si>
  <si>
    <t>Danyelli Laurette Rosemary Mint Solid Shampoo Bar - Radiant Rescue from Damaged Hair - Hydrating, Nourishing, and Refreshing - 100% Plastic Free Packaging, Eco-Friendly - For All Hair Types</t>
  </si>
  <si>
    <t>B0BWYN8N4Z</t>
  </si>
  <si>
    <t>-97.74%</t>
  </si>
  <si>
    <t>4548287463513</t>
  </si>
  <si>
    <t>Watercolor Mountain Landscapes -12 card gift set - high-end luxury greeting cards, thank you cards, birthday card, all-occasion cards</t>
  </si>
  <si>
    <t>B08WKTRBDL</t>
  </si>
  <si>
    <t>48 Sets Easter Greeting Cards He Is Risen Religious Cards 6 x 8'' with Envelopes and Stickers Spring Jesus Cross Inspiring Bible Alleluia Cards for Christians Party Favors</t>
  </si>
  <si>
    <t>B0BVLVNFCJ</t>
  </si>
  <si>
    <t>Beessential All Natural Foaming Hand Soap, SPEARMINT 16 Fl oz 2 Pack | Essential Oils, Made with Moisturizing Aloe &amp; Honey - Made in the USA</t>
  </si>
  <si>
    <t>B085YDZ26C</t>
  </si>
  <si>
    <t>Everyone Liquid Hand Soap, 12.75 Ounce (Pack of 3), Spearmint and Lemongrass, Plant-Based Cleanser with Pure Essential Oils</t>
  </si>
  <si>
    <t>B00KA38GWQ</t>
  </si>
  <si>
    <t>Thymes Frasier Fir Triple-Milled Bar Soap</t>
  </si>
  <si>
    <t>Thymes Frasier Fir Hand Cream, Travel Candle Tin and Bar Soap Gift Set</t>
  </si>
  <si>
    <t>B09HLB6J6X</t>
  </si>
  <si>
    <t>1595.0</t>
  </si>
  <si>
    <t>15.95</t>
  </si>
  <si>
    <t>6748446523481</t>
  </si>
  <si>
    <t>Vanilla Coconut Body Butter</t>
  </si>
  <si>
    <t>NCLA - Hi, Butter Natural Shea Body Butter | Vegan, Cruelty-Free, Clean Skincare (Coconut, 6.8 oz | 200 ml)</t>
  </si>
  <si>
    <t>B0B41DHY6L</t>
  </si>
  <si>
    <t>-97.75%</t>
  </si>
  <si>
    <t>4583285227609</t>
  </si>
  <si>
    <t>SURFCHIQUE Surf Bum Whipped Moisturizing Body Butter with Light Tropical Scent of Coconut, Vanilla, Mango, &amp; Papaya (8 oz)</t>
  </si>
  <si>
    <t>B09KX5QLMN</t>
  </si>
  <si>
    <t>Full Circle Stash, Ceramic Sink Caddy, Green and White</t>
  </si>
  <si>
    <t>B0778XYLJ4</t>
  </si>
  <si>
    <t>-97.77%</t>
  </si>
  <si>
    <t>Nat &amp; Jules Kitchen Cream 8 x 4.5 Ceramic Stoneware Sink Caddy Set of 2</t>
  </si>
  <si>
    <t>B0BLF12CWQ</t>
  </si>
  <si>
    <t>-97.80%</t>
  </si>
  <si>
    <t>Thymes Gilded Ceramic Frasier Fir Candle - 11 Oz</t>
  </si>
  <si>
    <t>B07CSC49XB</t>
  </si>
  <si>
    <t>-97.81%</t>
  </si>
  <si>
    <t>Thymes Frasier Fir Heritage Pillar Candle Small</t>
  </si>
  <si>
    <t>Thymes Heritage 3-Wick Candle - Frasier Fir Scented Candle for Home Fragrance - Green Glass Candle (17 oz)</t>
  </si>
  <si>
    <t>B001LF4DVU</t>
  </si>
  <si>
    <t>2795.0</t>
  </si>
  <si>
    <t>-97.85%</t>
  </si>
  <si>
    <t>27.95</t>
  </si>
  <si>
    <t>7338170744921</t>
  </si>
  <si>
    <t>The Best Card Company - 20 Assorted Blank Plant Cards Boxed (4 x 5.12 Inch) (10 Designs, 2 Each) - Watercolor Botanicals AM3314OCB-B2x10</t>
  </si>
  <si>
    <t>B07F8G6ZVX</t>
  </si>
  <si>
    <t>-97.87%</t>
  </si>
  <si>
    <t>Thymes Frasier Fir Pine Needle Candle Set</t>
  </si>
  <si>
    <t>4995.0</t>
  </si>
  <si>
    <t>-97.88%</t>
  </si>
  <si>
    <t>7141141708889</t>
  </si>
  <si>
    <t>Thymes Frasier Fir Pura Smart Home Plug-in Diffuser Refills - Pack of 2</t>
  </si>
  <si>
    <t>B0BWC7VMG5</t>
  </si>
  <si>
    <t>-97.89%</t>
  </si>
  <si>
    <t>Bath &amp; Body Works Bath and Body Works Sweet Cinnamon Pumpkin Gentle Foaming Hand Soap 8.75 Ounce 2-Pack (Sweet Cinnamon Pumpkin),17.5 fluid ounces, 1.25 pounds</t>
  </si>
  <si>
    <t>B0BJ4VZQGS</t>
  </si>
  <si>
    <t>-97.96%</t>
  </si>
  <si>
    <t>Hallmark Thank You Cards Assortment, Cactus (50 Thank You Notes with Envelopes)</t>
  </si>
  <si>
    <t>B08XWTWY27</t>
  </si>
  <si>
    <t>-97.98%</t>
  </si>
  <si>
    <t>Paper Master Cactus Thank You Cards 36 Pack Succulent Thank You Cards with Envelopes 4*6 Inch Watercolor Assorted Cactus Thank You Cards for Wedding, Bridal Party, Graduation, Greeting</t>
  </si>
  <si>
    <t>B09MYKRV3H</t>
  </si>
  <si>
    <t>Your Moment Card</t>
  </si>
  <si>
    <t>The Best Card Company - 10 Deepest Sympathy Cards with Envelopes (4 x 5.12 Inch) - Sending Hugs Prayers Condolences, Sharing your Sorrow - Misty Moments AM9154SMG-B1x10</t>
  </si>
  <si>
    <t>B08FLHZFDB</t>
  </si>
  <si>
    <t>-97.99%</t>
  </si>
  <si>
    <t>4724731838553</t>
  </si>
  <si>
    <t>Bath and Body Works Pumpkin Pecan Waffles Gentle Foaming Hand Soap, 2-Pack 8.75 Ounce (Pumpkin Pecan Waffles)</t>
  </si>
  <si>
    <t>B09QXNV35X</t>
  </si>
  <si>
    <t>Lovely Landscape Greeting Cards - Set of 10 All Occasion 5x7 Note Cards with Envelopes. Blank Inside. Assorted Watercolor Ocean, Beach &amp; Mountain Designs.</t>
  </si>
  <si>
    <t>B0CFRHXTRD</t>
  </si>
  <si>
    <t>Poo-Pourri Tropical Hibiscus Toilet Spray</t>
  </si>
  <si>
    <t>Poo-Pourri Before-You-Go Toilet Spray, Tropical Hibiscus, Refill Bottle 16 Fl Oz - Hibiscus, Apricot and Citrus</t>
  </si>
  <si>
    <t>B06XX81D7R</t>
  </si>
  <si>
    <t>1495.0</t>
  </si>
  <si>
    <t>14.95</t>
  </si>
  <si>
    <t>6577875058777</t>
  </si>
  <si>
    <t>Poo-Pourri Before-You-Go Toilet Spray 16-Ounce Refill Bottle, Tropical Hibiscus</t>
  </si>
  <si>
    <t>B076TCVZW2</t>
  </si>
  <si>
    <t>-98.00%</t>
  </si>
  <si>
    <t>Kopari Tahitian Vanilla Coconut Melt | Multi Purpose Skin Moisturizer, 100% Unrefined Coconut Oil Skin Care For Body, Hair, Face | Vegan, Cruelty Free, Paraben &amp; Sulfate Free | 5 Oz</t>
  </si>
  <si>
    <t>B09QPK2322</t>
  </si>
  <si>
    <t>Hatoku 25 Pieces Pumice Stones for Cleaning Grey Pumice Scouring Pad Pumice Stick Cleaner for Removing Toilet Bowl Ring, Bath, Kitchen, Pool, Household Cleaning (5.9 x 1.4 x 0.9 Inches)</t>
  </si>
  <si>
    <t>B07V1YV9SY</t>
  </si>
  <si>
    <t>Norme 20 Pieces Pumice Stones for Cleaning - Pumice Scouring Pad, Pumice Stick Cleaner for Removing Toilet Bowl Ring, Bath, Household, Kitchen, Pool, 5.9 x 1.4 x 0.9 Inch (Gray)</t>
  </si>
  <si>
    <t>B07PV9ZZ8D</t>
  </si>
  <si>
    <t>Current Snowflake Season Festive Personalized Christmas Cards – Holiday Greetings, Set of 18 Cards and Envelopes</t>
  </si>
  <si>
    <t>B01LXLK1QK</t>
  </si>
  <si>
    <t>Bath and Body Works Bar Soap 2 pack (Eucalyptus Spearmint)</t>
  </si>
  <si>
    <t>B0B15ZH8N3</t>
  </si>
  <si>
    <t>-98.04%</t>
  </si>
  <si>
    <t>Scent Free Soap</t>
  </si>
  <si>
    <t>Kirk's Castile Bar Soap Clean Soap for Men, Women &amp; Children | Premium Coconut Oil | Sensitive Skin Formula, Vegan | Fragrance-Free/Unscented | 4 oz. Bars - 6 Pack</t>
  </si>
  <si>
    <t>B001F1PV1G</t>
  </si>
  <si>
    <t>-98.06%</t>
  </si>
  <si>
    <t>4543560908889</t>
  </si>
  <si>
    <t>Thymes Frasier Fir Home Fragrance Mist</t>
  </si>
  <si>
    <t>2895.0</t>
  </si>
  <si>
    <t>-98.07%</t>
  </si>
  <si>
    <t>6556806316121</t>
  </si>
  <si>
    <t>Walton Wood Farm Hand Rescue (4 oz, Week From Hell)</t>
  </si>
  <si>
    <t>B072W73X7J</t>
  </si>
  <si>
    <t>Vanilla Coconut Foaming Wash</t>
  </si>
  <si>
    <t>Dove Instant Foaming Body Wash Shea Butter with Warm Vanilla Pack of 4 with NutriumMoisture Technology Effectively Washes Away Bacteria While Nourishing Your Skin 13.5 oz</t>
  </si>
  <si>
    <t>B08373R31B</t>
  </si>
  <si>
    <t>-98.10%</t>
  </si>
  <si>
    <t>16.0</t>
  </si>
  <si>
    <t>4548612292697</t>
  </si>
  <si>
    <t>Vanilla Coconut Body Lotion</t>
  </si>
  <si>
    <t>Bath &amp; Body Works Vanilla Coconut Ultimate Hydration Cream For Women 8 Fl Oz 2- Pack (Vanilla Coconut) 16 Ounce</t>
  </si>
  <si>
    <t>B0BH9BZYTC</t>
  </si>
  <si>
    <t>2100.0</t>
  </si>
  <si>
    <t>4550613860441</t>
  </si>
  <si>
    <t>Michel Design Works Foaming Hand Soap, Pumpkin Prize</t>
  </si>
  <si>
    <t>B0B3YBMLPW</t>
  </si>
  <si>
    <t>-98.11%</t>
  </si>
  <si>
    <t>Serenity Bubble Bath</t>
  </si>
  <si>
    <t>Dr. Teal's Calm &amp; Serenity Pure Epsom Salt Foaming Bath Gift Set (3 Pack, 34 oz ea.) - Rose Essential Oils &amp; Milk Protein Provide Stress Relief &amp; Silky Smooth Skin - Long Lasting Bubbles Nourish Skin</t>
  </si>
  <si>
    <t>B08L84NX49</t>
  </si>
  <si>
    <t>-98.13%</t>
  </si>
  <si>
    <t>4601514033241</t>
  </si>
  <si>
    <t>Wright Home &amp; Gift Watercolor Landscapes Assorted Variety All-Occasion Blank Note Greeting Cards | 10 Pack Set + Envelopes, Landscape Nature Note Cards Blank (4x6)</t>
  </si>
  <si>
    <t>B0C4K3127Z</t>
  </si>
  <si>
    <t>Rainbow Anniversary Card</t>
  </si>
  <si>
    <t>iGifts And Cards Gay Rainbow Wisteria Flower Tunnel 3D Pop Up Greeting Card - Romantic, Engagement, Anniversary, Wedding, Pride, Lovers, Grooms, LGBT</t>
  </si>
  <si>
    <t>B089LH23ZY</t>
  </si>
  <si>
    <t>695.0</t>
  </si>
  <si>
    <t>-98.14%</t>
  </si>
  <si>
    <t>6.95</t>
  </si>
  <si>
    <t>7336036237401</t>
  </si>
  <si>
    <t>iGifts And Cards Lesbian Rainbow Wisteria Flower Tunnel 3D Pop Up Greeting Card - Wedding, Marriage, Engagement, Anniversary, Pride, Lovers, Romantic</t>
  </si>
  <si>
    <t>B08BKYG1S8</t>
  </si>
  <si>
    <t>NIQUEA.D Happy Anniversary Card, Rainbow Heart (NA-0008)</t>
  </si>
  <si>
    <t>B0948DZW7Z</t>
  </si>
  <si>
    <t>NOLE Shampoo Bar Rosemary for Balance, Dandruff Shampoo Bar for Hair | Sustainable, 100% Plastic Free Packaging, Eco-Friendly | 3 oz</t>
  </si>
  <si>
    <t>B09MWNZHJB</t>
  </si>
  <si>
    <t>Tea Tree Natural Deodorant</t>
  </si>
  <si>
    <t>CRYSTAL Deodorant Magnesium Solid Stick Natural Deodorant, Non-Irritating Deodorant for Men or Women, Safely and Effectively Fights Odor, Baking Soda Free, Charcoal &amp; Tea Tree, 2.5 oz (Pack of 2)</t>
  </si>
  <si>
    <t>B0931ZPRNR</t>
  </si>
  <si>
    <t>1400.0</t>
  </si>
  <si>
    <t>14.0</t>
  </si>
  <si>
    <t>4550350962777</t>
  </si>
  <si>
    <t>-98.15%</t>
  </si>
  <si>
    <t>Thymes Eucalyptus Bar Soap</t>
  </si>
  <si>
    <t>Simple Scents Australia Eucalyptus Natural Soap (12 bars)</t>
  </si>
  <si>
    <t>B00J8QQERK</t>
  </si>
  <si>
    <t>4579866476633</t>
  </si>
  <si>
    <t>Thymes Petite Reed Diffuser - 4 Fl Oz - Fresh-Cut Basil</t>
  </si>
  <si>
    <t>B084C52SWG</t>
  </si>
  <si>
    <t>-98.16%</t>
  </si>
  <si>
    <t>Week From Hell Hand Rescue</t>
  </si>
  <si>
    <t>1795.0</t>
  </si>
  <si>
    <t>4764254109785</t>
  </si>
  <si>
    <t>Thymes Pine Needle Candle - 3.75 Oz - Frasier Fir</t>
  </si>
  <si>
    <t>B0140PRD7I</t>
  </si>
  <si>
    <t>-98.19%</t>
  </si>
  <si>
    <t>Thymes Eucalyptus Pura Smart Home Plug-in Diffuser Refills - Pack of 2</t>
  </si>
  <si>
    <t>B0BWBSGP1S</t>
  </si>
  <si>
    <t>-98.20%</t>
  </si>
  <si>
    <t>Thymes Mandarin Coriander Pura Diffuser Refill</t>
  </si>
  <si>
    <t>Thymes Mandarin Coriander Pura Smart Home Plug-in Diffuser Refills - Pack of 2</t>
  </si>
  <si>
    <t>B0BWC8V2Y7</t>
  </si>
  <si>
    <t>7062824714329</t>
  </si>
  <si>
    <t>You're Totally My Jam Card</t>
  </si>
  <si>
    <t>You Are Totally My Jam Peanut Butter &amp; Jelly Themed Valentine's Day Cards for Kids to give to Friends &amp; Classmates, Thirty (30) 3.5" x 5" Fill In Cards (Without Envelopes) by AmandaCreation</t>
  </si>
  <si>
    <t>B08PW4JPFG</t>
  </si>
  <si>
    <t>850.0</t>
  </si>
  <si>
    <t>-98.24%</t>
  </si>
  <si>
    <t>7336030961753</t>
  </si>
  <si>
    <t>You're My Butter Half Valentine's Day Card</t>
  </si>
  <si>
    <t>4779469504601</t>
  </si>
  <si>
    <t>Soothing Touch Vegan Lip Balm - Coconut Lavender, Coconut Lime, Vanilla Rose, Vanilla Chai - Variety Pack of 4</t>
  </si>
  <si>
    <t>B08VHQSL8V</t>
  </si>
  <si>
    <t>Michel Design Works Large Bath Soap Bar, Pumpkin Prize</t>
  </si>
  <si>
    <t>B0B3Z344PC</t>
  </si>
  <si>
    <t>Rosemary Oil Shampoo Bar for Hair Growth, Strengthening. With Rice Protein, Jojoba, Castor Oil. Eco Friendly, Vegan. Color Safe, pH Balanced. No Harsh Chemicals. Higher Concentration Than Liquid</t>
  </si>
  <si>
    <t>B0C154RFVK</t>
  </si>
  <si>
    <t>-98.25%</t>
  </si>
  <si>
    <t>Tree Hut Vanilla Shea Sugar Scrub Bundled With Whipped Body Butter, New Scent Gift Set 2023, 26.4 Ounce beige</t>
  </si>
  <si>
    <t>B0BX4RXP3C</t>
  </si>
  <si>
    <t>-98.26%</t>
  </si>
  <si>
    <t>By 22CRAFT - Love Rainbow Cat Couple LGBT Pop Up Card, 6"x 8" Gay Birthday Card, Lesbian Birthday Card, Gay Wedding Card, Lesbia Wedding Card, Anniversary Pride Gift, Gay Lesbian Valentines Day Card</t>
  </si>
  <si>
    <t>B0C4SW8V51</t>
  </si>
  <si>
    <t>-98.27%</t>
  </si>
  <si>
    <t>Liif Love Bears Couple Gay LGBT 3D Pop Up Greeting Card - Rainbow, Pride, Happy, Anniversary, Birthday, Wedding, Engagement, Lover, Men, Husband, Boyfriend, Congratulations, Romance, Gift</t>
  </si>
  <si>
    <t>B08GTRRHNV</t>
  </si>
  <si>
    <t>-98.28%</t>
  </si>
  <si>
    <t>Thymes Goldleaf Gardenia Hand Wash</t>
  </si>
  <si>
    <t>Thymes Fragrance Duo - Contains Petite Hand Cream &amp; Perfume Spray Pen - Goldleaf Gardenia</t>
  </si>
  <si>
    <t>B08CVSFY68</t>
  </si>
  <si>
    <t>4756067450969</t>
  </si>
  <si>
    <t>Thymes Goldleaf Hand Wash</t>
  </si>
  <si>
    <t>Thymes Fragrance Duo - Contains Petite Hand Cream &amp; Perfume Spray Pen - Goldleaf</t>
  </si>
  <si>
    <t>B08CVSR74R</t>
  </si>
  <si>
    <t>4572235366489</t>
  </si>
  <si>
    <t>Thymes Goldleaf Hand Lotion</t>
  </si>
  <si>
    <t>20.95</t>
  </si>
  <si>
    <t>4572223144025</t>
  </si>
  <si>
    <t>Thymes Goldleaf Gardenia Hand Lotion</t>
  </si>
  <si>
    <t>4756069220441</t>
  </si>
  <si>
    <t>Walton Wood Farm Hand Rescue (10 Mini Week From Hell Sachet)</t>
  </si>
  <si>
    <t>B07X6JL4B3</t>
  </si>
  <si>
    <t>-98.29%</t>
  </si>
  <si>
    <t>-98.30%</t>
  </si>
  <si>
    <t>Pumice Stone for Toilet Bowl Cleaning with Handle Toilet Stone Household Cleaning 8 Pack</t>
  </si>
  <si>
    <t>B07PJS533B</t>
  </si>
  <si>
    <t>Papyrus Thank You Cards with Envelopes, Succulents (20-Count)</t>
  </si>
  <si>
    <t>B08FRQRQGS</t>
  </si>
  <si>
    <t>-98.31%</t>
  </si>
  <si>
    <t>Thymes Goldleaf Eau De Parfum Spray Pen</t>
  </si>
  <si>
    <t>Thymes Goldleaf Gardenia Eau De Parfum - 1.5 fl oz</t>
  </si>
  <si>
    <t>B013IU14SK</t>
  </si>
  <si>
    <t>3495.0</t>
  </si>
  <si>
    <t>4572204400729</t>
  </si>
  <si>
    <t>Deep Steep Classic Bubble Bath Lathering Lavender Chamomile and Coconut Variety Bundle Pack of 2, 33.8 Ounce (Pack of 2)</t>
  </si>
  <si>
    <t>B09CHFKXTF</t>
  </si>
  <si>
    <t>-98.33%</t>
  </si>
  <si>
    <t>Poo-Pourri Ship Happens Toilet Spray</t>
  </si>
  <si>
    <t>Poo-Pourri Before You Go Toilet Spray Original Citrus, Ship Happens and Lavender Vanilla 1.4 Ounce Bottles</t>
  </si>
  <si>
    <t>B07T91KZVV</t>
  </si>
  <si>
    <t>-98.34%</t>
  </si>
  <si>
    <t>6577868243033</t>
  </si>
  <si>
    <t>Poo-Pourri Ship Happens Before You Go Toilet Spray 1.4 Ounce Bottle, 3 Pack</t>
  </si>
  <si>
    <t>B07SR5X23B</t>
  </si>
  <si>
    <t>Thymes Natural Reed Sticks Refill For Diffusers</t>
  </si>
  <si>
    <t>Urban Naturals Balsam Forest Essential Oil Reed Diffuser Refill | Large 8 Ounce Size | Includes a Free Set of Reed Sticks! Made in The USA | Pine Fir Needles, Evergreen, Woodsy Cedar and Sandalwood</t>
  </si>
  <si>
    <t>B0CDKGQ4C8</t>
  </si>
  <si>
    <t>-98.35%</t>
  </si>
  <si>
    <t>6598325567577</t>
  </si>
  <si>
    <t>iGifts And Cards Awesome Lesbian Couple True Love 3D Pop Up Greeting Card - Wedding, Marriage, Engagement, Anniversary, Half-Fold, Pride, Lovers, Women, Brides, Wives, LGBT, Romantic, Rainbow</t>
  </si>
  <si>
    <t>B07PWYG5N7</t>
  </si>
  <si>
    <t>Thymes Frasier Fir Statement 3-Wick Candle - Scented Candle with Crisp Notes of Siberian Fir Needles, Cedarwood, and relaxing Sandalwood - Luxury Home Fragrance - Silver Candle (12.5 oz)</t>
  </si>
  <si>
    <t>B01KIH4W6W</t>
  </si>
  <si>
    <t>-98.36%</t>
  </si>
  <si>
    <t>Spa Day Happy Mother's Day Card</t>
  </si>
  <si>
    <t>PopLife Happy Mother's Day 3D Pop Up Card - Spring Gardening, Flower Theme Gift - for Mom, Wife, Sister, Grandma, Step-mom, Mother-In-Law</t>
  </si>
  <si>
    <t>B08QYYLWLV</t>
  </si>
  <si>
    <t>6918472728665</t>
  </si>
  <si>
    <t>Poo-Pourri Original Citrus Toilet Spray</t>
  </si>
  <si>
    <t>Poo-Pourri Before-You- go Toilet Spray, 8 Fl Oz (Pack of 1), Original Citrus Scent</t>
  </si>
  <si>
    <t>B01BCU9RIW</t>
  </si>
  <si>
    <t>-98.37%</t>
  </si>
  <si>
    <t>6577865687129</t>
  </si>
  <si>
    <t>Rosemary Mint Body Butter</t>
  </si>
  <si>
    <t>Natural Inspirations Eucalyptus Rosemary Mint Ultra-Moisturizing Body Butter 12oz</t>
  </si>
  <si>
    <t>B0BBXN2KC7</t>
  </si>
  <si>
    <t>-98.38%</t>
  </si>
  <si>
    <t>7279926542425</t>
  </si>
  <si>
    <t>Thymes Hand Cream Trio - Kimono Rose, Lavender Honey &amp; Goldleaf Gardenia</t>
  </si>
  <si>
    <t>B08CVT8XST</t>
  </si>
  <si>
    <t>Thymes Kimono Rose Hand Lotion</t>
  </si>
  <si>
    <t>4579917168729</t>
  </si>
  <si>
    <t>Thymes Lavender Hand Wash</t>
  </si>
  <si>
    <t>Thymes Hand Cream Trio - Lavender, Eucalyptus White Tea &amp; Neroli Sol</t>
  </si>
  <si>
    <t>B08CVS7J4W</t>
  </si>
  <si>
    <t>4784116793433</t>
  </si>
  <si>
    <t>Thymes Kimono Rose Hand Wash</t>
  </si>
  <si>
    <t>4579920379993</t>
  </si>
  <si>
    <t>Thymes Olive Leaf Hand Lotion</t>
  </si>
  <si>
    <t>Thymes Hand Cream Trio Gift Set - Eucalyptus, Olive Leaf &amp; Aqua Coralline - Body Skin Care Products with Vitamin E - Hand Moisturizer Set Includes Three Moisturizing Creams - 1 oz ea</t>
  </si>
  <si>
    <t>B08CVS65TK</t>
  </si>
  <si>
    <t>6851196452953</t>
  </si>
  <si>
    <t>Thymes Frasier Fir Pine Needle Candle - Highly Scented Candles for a Luxury Home Fragrance - Holiday Candles with a Forest Fragrance - Single-Wick Candle (6.5 oz)</t>
  </si>
  <si>
    <t>B00YPP2LBM</t>
  </si>
  <si>
    <t>Thymes Eucalyptus Hand Lotion</t>
  </si>
  <si>
    <t>4579833249881</t>
  </si>
  <si>
    <t>Thymes Fresh-Cut Basil Hand Wash</t>
  </si>
  <si>
    <t>Thymes Hand Wash Refill - 24.5 Fl Oz - Fresh-Cut Basil</t>
  </si>
  <si>
    <t>B084C3VV3K</t>
  </si>
  <si>
    <t>4789066367065</t>
  </si>
  <si>
    <t>EOS Eos Shea Better Body Lotion - Vanilla Cashmere &amp; Coconut Waters | Bundle of two | 16 Oz</t>
  </si>
  <si>
    <t>B0C1TWJHVV</t>
  </si>
  <si>
    <t>Victoria's Secret Pink Coco Vanilla Body Lotion</t>
  </si>
  <si>
    <t>B0BNK52FFR</t>
  </si>
  <si>
    <t>-98.40%</t>
  </si>
  <si>
    <t>Thymes Aqua Coralline Pura Diffuser Refill</t>
  </si>
  <si>
    <t>Thymes Aqua Coralline Pura Smart Home Plug-in Diffuser Refills - Pack of 2</t>
  </si>
  <si>
    <t>B0BWC27162</t>
  </si>
  <si>
    <t>7238982008921</t>
  </si>
  <si>
    <t>Thymes Lavender Pura Smart Home Plug-in Diffuser Refills - Pack of 2</t>
  </si>
  <si>
    <t>B0BWC23NGH</t>
  </si>
  <si>
    <t>Thymes Magnolia Willow Pura Diffuser Refill</t>
  </si>
  <si>
    <t>Thymes Magnolia Willow Pura Smart Home Plug-in Diffuser Refills - Pack of 2</t>
  </si>
  <si>
    <t>B0BWBVM5HG</t>
  </si>
  <si>
    <t>7101129490521</t>
  </si>
  <si>
    <t>Thymes Lemon Leaf Pura Diffuser Refill</t>
  </si>
  <si>
    <t>Thymes Lemon Leaf Pura Smart Home Plug-in Diffuser Refills - Pack of 2</t>
  </si>
  <si>
    <t>B0BWC26L2W</t>
  </si>
  <si>
    <t>7062819635289</t>
  </si>
  <si>
    <t>Thymes Highland Frost Pura Diffuser Refill</t>
  </si>
  <si>
    <t>Thymes Highland Frost Pura Smart Home Plug-in Diffuser Refills - Pack of 2</t>
  </si>
  <si>
    <t>B0BWBZLHRF</t>
  </si>
  <si>
    <t>7159342399577</t>
  </si>
  <si>
    <t>Thymes Simmered Cider Pura Diffuser Refill</t>
  </si>
  <si>
    <t>Thymes Simmered Cider Pura Smart Home Plug-in Scent Diffuser Refills - Pack of 2</t>
  </si>
  <si>
    <t>B0BWBVM5HJ</t>
  </si>
  <si>
    <t>7110570901593</t>
  </si>
  <si>
    <t>Thymes Fresh-Cut Basil Pura Smart Home Plug-in Diffuser Refills - Pack of 2</t>
  </si>
  <si>
    <t>B0BWC6LWSY</t>
  </si>
  <si>
    <t>Graphique Seasons Greetings Holiday Cards | Pack of 15 Cards with Envelopes | Christmas Greetings | Glitter Accents | Boxed Set | 4.25" x 5.5"</t>
  </si>
  <si>
    <t>1477080686</t>
  </si>
  <si>
    <t>Poo-Pourri Before-You-Go Toilet Spray, Original Citrus, Refill Bottle 16 Fl Oz - Lemon, Bergamot and Lemongrass</t>
  </si>
  <si>
    <t>B0071B09Y8</t>
  </si>
  <si>
    <t>Thymes Washed Linen Home Fragrance Mist</t>
  </si>
  <si>
    <t>-98.41%</t>
  </si>
  <si>
    <t>4789687451737</t>
  </si>
  <si>
    <t>Uiddo Ceramic Sponge Holder， Sponge Holder for Kitchen Sink,Compact Sink Caddy Organizer - Scouring Pad and Dish Sponge Holder, Farmhouse Kitchen Decor and Cute Kitchen Gadgets and Accessories (White)</t>
  </si>
  <si>
    <t>B0CBBJ7GWX</t>
  </si>
  <si>
    <t>-98.44%</t>
  </si>
  <si>
    <t>Foaming Hand Soap - Pack of 3 - Moisturizing Hand Soap with Aloe Vera &amp; Essential Oils - Alcohol-Free Hand Wash in Vanilla Coconut Scent - Scented Hand Wash for Kitchen or Bathroom - Free Flawless Crystal Bracelet</t>
  </si>
  <si>
    <t>B08YDYW68T</t>
  </si>
  <si>
    <t>Thymes Mandarin Coriander Laundry Fragrance Oil</t>
  </si>
  <si>
    <t>Thymes Mandarin Coriander Wool Dryer Balls Set – Includes 3 Wool Laundry Balls + 1 Mandarin Fragrance Oil for Dryer – Eliminate Wrinkles, Static &amp; Lint – Scented Laundry Supplies (0.5 fl oz)</t>
  </si>
  <si>
    <t>B0B75T73J8</t>
  </si>
  <si>
    <t>-98.45%</t>
  </si>
  <si>
    <t>7110543278169</t>
  </si>
  <si>
    <t>Thymes Washed Linen Laundry Fragrance Oil</t>
  </si>
  <si>
    <t>Thymes Washed Linen Wool Dryer Balls Set – Includes 3 Wool Laundry Balls + 1 Washed Linen Laundry Fragrance Oil for Dryer – Eliminate Wrinkles, Static &amp; Lint – Scented Laundry Supplies (0.5 fl oz)</t>
  </si>
  <si>
    <t>B0B75XKBXS</t>
  </si>
  <si>
    <t>7110558810201</t>
  </si>
  <si>
    <t>Thymes Lemon Leaf Laundry Fragrance Oil</t>
  </si>
  <si>
    <t>Thymes Lemon Leaf Wool Dryer Balls Set – Includes 3 Wool Laundry Balls + 1 Lemon Fragrance Oil for Dryer – Eliminate Wrinkles, Static &amp; Lint – Scented Laundry Supplies (0.5 fl oz)</t>
  </si>
  <si>
    <t>B0B75Q5Z4C</t>
  </si>
  <si>
    <t>7110535250009</t>
  </si>
  <si>
    <t>Thymes Frasier Fir Hand Wash</t>
  </si>
  <si>
    <t>Thymes Hand Wash Refill - 24.5 Fl Oz - Frasier Fir</t>
  </si>
  <si>
    <t>B07Q2GVV9J</t>
  </si>
  <si>
    <t>6725321490521</t>
  </si>
  <si>
    <t>So Grateful Mother's Day Card</t>
  </si>
  <si>
    <t>Lovepop Mothers Day Grateful for Mom Pop Up Card - 3D Card, Mothers Day Card, Card for Mom, Paper Flowers Pop Up Card, Happy Mother's Day, Mother's Day Pop Up Card</t>
  </si>
  <si>
    <t>B08WRXV7VN</t>
  </si>
  <si>
    <t>-98.47%</t>
  </si>
  <si>
    <t>6566926581849</t>
  </si>
  <si>
    <t>Thymes Tiare Monoi Hand Wash, 8.25 Ounce</t>
  </si>
  <si>
    <t>B00J0HST2A</t>
  </si>
  <si>
    <t>Thymes Lavender Hand Lotion</t>
  </si>
  <si>
    <t>Lavender Moisturizing Hand Lotion: With Lavender Essential Oil From Provence, With Nourishing Shea Butter, Soften Skin, Soothing Scent</t>
  </si>
  <si>
    <t>B0055EPHLS</t>
  </si>
  <si>
    <t>4756135903321</t>
  </si>
  <si>
    <t>Thymes Travel Set and Beauty Bag - Contains Body Wash, Body Lotion &amp; Hand Cream - Eucalyptus</t>
  </si>
  <si>
    <t>B08CVS6XFP</t>
  </si>
  <si>
    <t>Thymes Hand Cream Silver - 3 Fl Oz - Eucalyptus White Tea</t>
  </si>
  <si>
    <t>B07RP2V9NP</t>
  </si>
  <si>
    <t>Thymes Perfumed Travel Set and Beauty Bag - Contains Body Wash, Body Lotion &amp; Hand Cream - Goldleaf</t>
  </si>
  <si>
    <t>B09HL8YZNG</t>
  </si>
  <si>
    <t>Thymes Travel Set and Beauty Bag - Contains Body Wash, Body Lotion &amp; Hand Cream - Kimono Rose</t>
  </si>
  <si>
    <t>B08CVR64W7</t>
  </si>
  <si>
    <t>Thymes Goldleaf Gardenia Perfumed Body Crème - Moisturizing Body Cream - Shea Butter Body Lotion with Aloe Vera &amp; Honey for Skin Care Routine - Body and Hand Lotion for Women &amp; Men (9.25 fl oz)</t>
  </si>
  <si>
    <t>B06WGWNNV4</t>
  </si>
  <si>
    <t>Thymes Goldleaf Perfumed Body Crème - Moisturizing Body Cream - Shea Butter Body Lotion with Vitamin E, jojoba Oil, and Honey for Skin Care Routine - Body and Hand Lotion for Women &amp; Men (9.25 fl oz)</t>
  </si>
  <si>
    <t>B06XSNHQ5G</t>
  </si>
  <si>
    <t>Philorganic Hair Growth Shampoo Bar, natural and organic ingredients Rosemary, Peppermint and Tea Tree, Made in US, pH balanced, Parabens FREE</t>
  </si>
  <si>
    <t>B09PKTC7FR</t>
  </si>
  <si>
    <t>-98.49%</t>
  </si>
  <si>
    <t>Dr. Squatch All Natural Bar Soap for Men with Zero Grit, Spearmint Basil</t>
  </si>
  <si>
    <t>B00TXRG2W6</t>
  </si>
  <si>
    <t>100% PURE Restorative Sea Culture Replenishing Serum, Anti-Aging Serum, Hyaluronic Acid for Face, Hydrating Serum for Everyday Use - 1 Fl Oz</t>
  </si>
  <si>
    <t>B076CRDZ1J</t>
  </si>
  <si>
    <t>-98.51%</t>
  </si>
  <si>
    <t>Thymes Frasier Fir Statement Silver Candle</t>
  </si>
  <si>
    <t>4744447623257</t>
  </si>
  <si>
    <t>Thymes Frasier Fir Heritage Pillar Candle Large</t>
  </si>
  <si>
    <t>4095.0</t>
  </si>
  <si>
    <t>-98.53%</t>
  </si>
  <si>
    <t>40.95</t>
  </si>
  <si>
    <t>7338176315481</t>
  </si>
  <si>
    <t>Thymes Frasier Fir Pine Needle Reed Diffuser</t>
  </si>
  <si>
    <t>7295.0</t>
  </si>
  <si>
    <t>-98.55%</t>
  </si>
  <si>
    <t>6565956419673</t>
  </si>
  <si>
    <t>Spa Gift Baskets for Women, 11pcs Coconut Vanilla Bath Sets for Women Gift with Shea Butter &amp; Essential Oil with Shower Gel, Bubble Bath, Bath Bombs, Jojoba Oil, Makeup Bag. Birthday Gifts for Women Mother Fathers Day</t>
  </si>
  <si>
    <t>B099RYHHBD</t>
  </si>
  <si>
    <t>-98.56%</t>
  </si>
  <si>
    <t>Foaming Hand Soap - Made with Essential Oils - 11 Fl Oz - 2-Pack (Vanilla Coconut) - Mood-boosting Scents - Luxury-minded Hand Care Collection</t>
  </si>
  <si>
    <t>B0C7NSXLDP</t>
  </si>
  <si>
    <t>-98.57%</t>
  </si>
  <si>
    <t>Rosemary Mint Body Lotion</t>
  </si>
  <si>
    <t>Gilchrist &amp; Soames Rosemary Mint Hand and Body Lotion - 12oz - Pure Essential Oils, Nourishing, Zero Parabens, Sulfates, and Phthalates</t>
  </si>
  <si>
    <t>B01N9MOEVW</t>
  </si>
  <si>
    <t>7279922774105</t>
  </si>
  <si>
    <t>Acqua Aroma Fraser Fir Reed Oil Diffuser 6.1 FL OZ (180ml) Contain Essential Oils. Frasier Fir Christmas Scent Handcrafted</t>
  </si>
  <si>
    <t>B07SWLGTBR</t>
  </si>
  <si>
    <t>Winter's A B*tch Hand Rescue Tube</t>
  </si>
  <si>
    <t>Walton Wood Farm Hand Rescue Tube Winter's a Btch Scent Vegan-Friendly and Paraben-Free 2 oz</t>
  </si>
  <si>
    <t>B09FR6NHSZ</t>
  </si>
  <si>
    <t>-98.59%</t>
  </si>
  <si>
    <t>4786056495193</t>
  </si>
  <si>
    <t>Thymes Diffuser Oil Refill - Scented Oil for Reed Diffuser - Flameless Home Fragrance - Gingerbread - 7.75 fl oz</t>
  </si>
  <si>
    <t>B09HLBTL3X</t>
  </si>
  <si>
    <t>-98.60%</t>
  </si>
  <si>
    <t>Thymes Reed Diffuser Oil - Fresh-Cut Basil - 7.75 Fl Oz</t>
  </si>
  <si>
    <t>B0B4T5C48F</t>
  </si>
  <si>
    <t>Spell It Out Valentine's Day Card</t>
  </si>
  <si>
    <t>NobleWorks, Valentines Card for Adults - Funny Valentine's Gift, Humor Card with Envelope - Spell It Out 2425</t>
  </si>
  <si>
    <t>B000Y4MM1C</t>
  </si>
  <si>
    <t>-98.61%</t>
  </si>
  <si>
    <t>4779849547865</t>
  </si>
  <si>
    <t>Liif Religious Easter Card, 3D Greeting Pop Up Easter Card - Butterfly Flower Cross, Religious Sympancy Card, Condolence Card - Lord, Blessing, Holy | With Message Note &amp; Envelop | Size 7 x 5 Inch</t>
  </si>
  <si>
    <t>B0BXVNFXFS</t>
  </si>
  <si>
    <t>-98.62%</t>
  </si>
  <si>
    <t>USB Rechargeable LED Beanie - Black</t>
  </si>
  <si>
    <t>SATINIOR 9 Pieces LED Light Beanie Hat 4 LED Headlamp Hat Unisex Winter Knitted Hat Cap for Running (Black, Gray, Navy Blue, USB Rechargeable Design)</t>
  </si>
  <si>
    <t>B09L15BPC6</t>
  </si>
  <si>
    <t>7187902824537</t>
  </si>
  <si>
    <t>GLIMMER GODDESS Organic Body Butter - (Rosemary Mint) Vegan, Cruelty-Free, 24 hour Hydration, Reduces Stretch Marks, Great for Eczema and all Skin Types, Baby Friendly, Organic Ingredients 8 oz.</t>
  </si>
  <si>
    <t>B09K2HCB1B</t>
  </si>
  <si>
    <t>-98.63%</t>
  </si>
  <si>
    <t>Scent Free Body Butter</t>
  </si>
  <si>
    <t>GLIMMER GODDESS Organic Whipped Body Butter - Unscented, Vegan, Cruelty-Free, 24 hour Hydration, Reduces Stretch Marks, Great for Eczema and all Skin Types, Baby Friendly, Organic Ingredients 8 oz</t>
  </si>
  <si>
    <t>B08F7HCCBZ</t>
  </si>
  <si>
    <t>4547978625113</t>
  </si>
  <si>
    <t>Thymes Frasier Fir Heritage Molded Green Glass Candle</t>
  </si>
  <si>
    <t>6597942476889</t>
  </si>
  <si>
    <t>Thymes Simmered Cider Copper Cup Candle</t>
  </si>
  <si>
    <t>Thymes Copper Pot Candle - 18 Oz - Simmered Cider</t>
  </si>
  <si>
    <t>B074KKWZXP</t>
  </si>
  <si>
    <t>7219871809625</t>
  </si>
  <si>
    <t>Poo-Pourri Before-You- Go Toilet Spray 2 oz Bottle, Original Citrus Scent (2 Pack), 2 Fl Oz (Pack of 2)</t>
  </si>
  <si>
    <t>B07SRCNVK7</t>
  </si>
  <si>
    <t>-98.66%</t>
  </si>
  <si>
    <t>Thymes Frasier Fir Hand Lotion</t>
  </si>
  <si>
    <t>Thymes Hand Wash - 15 Fl Oz - Frasier Fir</t>
  </si>
  <si>
    <t>B07CSHZGPB</t>
  </si>
  <si>
    <t>4785087873113</t>
  </si>
  <si>
    <t>Thymes Eucalyptus Body Lotion - Shea Butter Lotion wIth Vitamin E, jojoba Oil, and Honey for Skin Care Routine - Body and Hand Lotion for Women &amp; Men (9.25 fl oz)</t>
  </si>
  <si>
    <t>B0029F2HO6</t>
  </si>
  <si>
    <t>Thymes Eucalyptus Body Scrub - Body Exfoliator for Skin Care Routine - Moisturizing and Exfoliating Body Scrub, Face Scrub, Foot Scrub, or Hand Scrub (7 Fl Oz)</t>
  </si>
  <si>
    <t>B09HL8RKVG</t>
  </si>
  <si>
    <t>Thymes Goldleaf Gardenia Body Scrub - Body Exfoliator for Skin Care Routine - Moisturizing and Exfoliating Body Scrub, Face Scrub, Foot Scrub, or Hand Scrub (7 Fl Oz)</t>
  </si>
  <si>
    <t>B09HLD6STB</t>
  </si>
  <si>
    <t>Thymes Large Hand Wash - Goldleaf Gardenia - 15 Fl Oz</t>
  </si>
  <si>
    <t>B0B75S3PRX</t>
  </si>
  <si>
    <t>Thymes Washed Linen Hand Wash</t>
  </si>
  <si>
    <t>Thymes Hand Wash - 15 Fl Oz - Washed Linen</t>
  </si>
  <si>
    <t>B07NRV8RDF</t>
  </si>
  <si>
    <t>4789685321817</t>
  </si>
  <si>
    <t>Thymes Washed Linen Hand Lotion</t>
  </si>
  <si>
    <t>4789685747801</t>
  </si>
  <si>
    <t>Thymes Lemon Leaf Hand Lotion</t>
  </si>
  <si>
    <t>Thymes Olive Leaf Body Lotion - Shea Butter Lotion wIth Vitamin E &amp; Olive Oil for Skin Care Routine - Body and Hand Lotion for Women &amp; Men (9.25 fl oz)</t>
  </si>
  <si>
    <t>B073Z3VMFX</t>
  </si>
  <si>
    <t>4789209268313</t>
  </si>
  <si>
    <t>Variety Pack Cocktail Bombs</t>
  </si>
  <si>
    <t>MyDrinkBomb Cocktail Bombs Mix Party Cocktail and Mocktail Set - Pack of 6 Cocktail Bomb Cocktail Mix Home Kit For Parties, Liquor, Non Alcoholic Mocktails (6 Pack Mix)</t>
  </si>
  <si>
    <t>B09B81QP69</t>
  </si>
  <si>
    <t>-98.67%</t>
  </si>
  <si>
    <t>6641327145049</t>
  </si>
  <si>
    <t>Mint Rosemary Hand and Body Lotion</t>
  </si>
  <si>
    <t>B081PP5DWY</t>
  </si>
  <si>
    <t>Burt's Bees Lip Balm, Moisturizing Lip Care, 100% Natural, Sweet Sorbet - Original Beeswax, Cucumber Mint, Coconut &amp; Pear, Vanilla (4 Pack)</t>
  </si>
  <si>
    <t>B07ZPDPKN2</t>
  </si>
  <si>
    <t>-98.68%</t>
  </si>
  <si>
    <t>Deep Steep Bubble Bath, 17 Ounce (Pack of 2) (Vanilla Coconut)</t>
  </si>
  <si>
    <t>B08BZSN1XC</t>
  </si>
  <si>
    <t>-98.69%</t>
  </si>
  <si>
    <t>Purifying Toner 100ml</t>
  </si>
  <si>
    <t>Kaya Skin Clinic Acne Free Purifying Toner, 100ml</t>
  </si>
  <si>
    <t>B008KH68GA</t>
  </si>
  <si>
    <t>2700.0</t>
  </si>
  <si>
    <t>-98.70%</t>
  </si>
  <si>
    <t>27.0</t>
  </si>
  <si>
    <t>4554312351833</t>
  </si>
  <si>
    <t>Creamy Coconut Collagen Milk Bath Soak Powder Moisturize &amp; Soften Skin – Vanilla Jasmine Luxury Spa Bubble Bath Salt Mother's Birthday Christmas Relaxation Gifts for Women Perfect Stocking Stuffers</t>
  </si>
  <si>
    <t>B0B6N37J6V</t>
  </si>
  <si>
    <t>-98.71%</t>
  </si>
  <si>
    <t>Vanilla Coconut Bath Salts Jar</t>
  </si>
  <si>
    <t>Lovestee Epsom Salt Spa Gift Set of 6 Bath Salts - Coconut Vanilla, Jasmine Osmanthus, Eucalyptus Mint, Lavender Honey, Chamomile Rose, Grapefruit Lemon Epsom Salts for Soaking Bath Gift Set for Women</t>
  </si>
  <si>
    <t>B0BM2CG5SV</t>
  </si>
  <si>
    <t>2500.0</t>
  </si>
  <si>
    <t>-98.72%</t>
  </si>
  <si>
    <t>4613130846297</t>
  </si>
  <si>
    <t>Thymes Eucalyptus Surface Scrub</t>
  </si>
  <si>
    <t>7319487414361</t>
  </si>
  <si>
    <t>-98.73%</t>
  </si>
  <si>
    <t>Thymes Frosted Plaid Frasier Fir Candle Set - 3 Oz (2 Pack)</t>
  </si>
  <si>
    <t>B0B9CB8SL9</t>
  </si>
  <si>
    <t>Lip Smacker Sugar Bear Lip Balm Grapeful-4-U</t>
  </si>
  <si>
    <t>B09N7ZCFGP</t>
  </si>
  <si>
    <t>-98.74%</t>
  </si>
  <si>
    <t>Sonett Organic Liquid Stain Remover For Clothes- Concentrated Laundry Stain Remover Detergent Gall Soap For Deep Cleaning- Highly Effective Against Ink, Blood, Grease, Fruit Stains- 4oz, Pack of 2</t>
  </si>
  <si>
    <t>B0C4RPGNHQ</t>
  </si>
  <si>
    <t>The Yellow Bird Solid Bar Shampoo Soap. Grapefruit, Rosemary, and Lavender. Mild Natural and Organic Ingredients. Sulfate Free. Gentle Scalp + Hair Care</t>
  </si>
  <si>
    <t>B073X7M383</t>
  </si>
  <si>
    <t>Pacifica Beauty, Vegan Lip Balm Trio, Variety Pack, Coconut, Watermelon, Vanilla, Dry Cracked Lips, Soft Lips, Lip Care, Vitamin E, Olive Oil, Clean, Vegan + Cruelty Free, 0.15 Ounce (Pack of 3)</t>
  </si>
  <si>
    <t>B0B72RW7P1</t>
  </si>
  <si>
    <t>VERT 100% Natural Shampoo Bar for Hair 2 Pieces Solid Shampoo Soap for Treated Dry Damaged Hair Vegetarian Plant Essence Helps Stop Hair Loss and Promotes Healthy Hair Growth 4.2oz (Honey &amp; Rosemary)</t>
  </si>
  <si>
    <t>B07R1RF551</t>
  </si>
  <si>
    <t>HADDIY Happy Mothers day Cards Bulk,12 Set Floral Mother's Day Greeting Card Note Cards with Envelopes and Stickers for Mom-12 Assorted Designs</t>
  </si>
  <si>
    <t>B0BWXC6MDG</t>
  </si>
  <si>
    <t>Sweet Grapefruit Lip Butter</t>
  </si>
  <si>
    <t>Lavender Latte &amp; Sweet Grapefruit 2-Pack Lip Balm</t>
  </si>
  <si>
    <t>B07QZTXVKC</t>
  </si>
  <si>
    <t>4718811775065</t>
  </si>
  <si>
    <t>Nature Watercolor Card - Single Notecard - Pine Tree Greeting Card, Forest Pond Card, Blank Inside Card, Pine Reflections Notecard, Watercolor Landscape Card</t>
  </si>
  <si>
    <t>B0BSTLLVXJ</t>
  </si>
  <si>
    <t>50 Pieces Watercolor Postcards, 100% Cotton 140lb/300gsm Blank Postcards 4x6 Inch Watercolor Paper Post Cards for Watercolor Journal, DIY, Mailing, Painting, Invitations, Greeting Cards</t>
  </si>
  <si>
    <t>B0C5M64FQ7</t>
  </si>
  <si>
    <t>Hotiary Rosemary Hair Regrowth Shampoo Bar, Deep Cleansing Shampoo Bar for Hair &amp; Scalp Anti Hair Loss Rosemary Shampoo Soap Natural Organic Oil Control, Cruelty Free 0 Silicone Oil (Rosemary)</t>
  </si>
  <si>
    <t>B0BS6P8PZ6</t>
  </si>
  <si>
    <t>Stonewall Kitchen Pumpkin Harvest Hand Soap, 16.9 Ounces</t>
  </si>
  <si>
    <t>B075MPH336</t>
  </si>
  <si>
    <t>-98.75%</t>
  </si>
  <si>
    <t>The Weekender Navy Drawstring Pants</t>
  </si>
  <si>
    <t>adidas Men's Tapered Weekender Drawstring Pants (X-Large, Collegiate Navy/Dark Grey)</t>
  </si>
  <si>
    <t>B01MXUH4VQ</t>
  </si>
  <si>
    <t>3995.0</t>
  </si>
  <si>
    <t>4656174858329</t>
  </si>
  <si>
    <t>The Weekender Grey Drawstring Pants</t>
  </si>
  <si>
    <t>4656180133977</t>
  </si>
  <si>
    <t>adidas Mens Tapered Weekender Drawstring Pants (Dark Grey, Medium)</t>
  </si>
  <si>
    <t>B077T152VZ</t>
  </si>
  <si>
    <t>Video Game Men's Crew Socks</t>
  </si>
  <si>
    <t>Seven Times Six Nintendo Super Mario Bros. Socks Men's Retro NES Video Game 3 Pack MId-Calf Adult Crew Socks</t>
  </si>
  <si>
    <t>B08ZDTV6P1</t>
  </si>
  <si>
    <t>1995.0</t>
  </si>
  <si>
    <t>19.95</t>
  </si>
  <si>
    <t>7334117310553</t>
  </si>
  <si>
    <t>You Make Life Better Card</t>
  </si>
  <si>
    <t>T MARIE 50 Appreciation and Recognition Postcards - You Make the World a Better Place - Kudos Note Cards for Staff, Volunteer, Team, Donor, Teacher, Student, Nurses, Doctors and More</t>
  </si>
  <si>
    <t>B094938T8H</t>
  </si>
  <si>
    <t>7336086175833</t>
  </si>
  <si>
    <t>White Sparkle Ball Stud Earrings</t>
  </si>
  <si>
    <t>TILO JEWELRY 14k White Gold Diamond-cut Ball Stud Earrings…</t>
  </si>
  <si>
    <t>B07RM94F5T</t>
  </si>
  <si>
    <t>6000.0</t>
  </si>
  <si>
    <t>4562838323289</t>
  </si>
  <si>
    <t>Poo-Pourri Before-You-Go Toilet Spray, In A Pinch Pack, Variety Travel Size 10 mL - Original Citrus, Lavender Vanilla, Tropical Hibiscus, Vanilla Mint and Lavender Peppermint (Packaging May Vary)</t>
  </si>
  <si>
    <t>B07CNPBS7T</t>
  </si>
  <si>
    <t>Thymes Goldleaf Hand Creme</t>
  </si>
  <si>
    <t>-98.76%</t>
  </si>
  <si>
    <t>28.95</t>
  </si>
  <si>
    <t>4572216918105</t>
  </si>
  <si>
    <t>Thymes Goldleaf Gardenia Hand Creme</t>
  </si>
  <si>
    <t>4771672653913</t>
  </si>
  <si>
    <t>Better Shea Butter Whipped Body Butter for Women, Unscented Body Butter, Body Moisturizer with Raw Shea Butter for Dry, Delicate Skin, Paraben Free, No Synthetic Fragrances, Non Greasy Body Cream 8 oz</t>
  </si>
  <si>
    <t>B07WK4K525</t>
  </si>
  <si>
    <t>-98.78%</t>
  </si>
  <si>
    <t>Poo-Pourri Before-You-go Toilet Spray Refill (Sprayer not Included), Original Citrus Scent, 9 Fl Oz</t>
  </si>
  <si>
    <t>B08BB8DM3Y</t>
  </si>
  <si>
    <t>-98.80%</t>
  </si>
  <si>
    <t>Thymes Frasier Fir Heritage Small Pine Needle Luminary Candle</t>
  </si>
  <si>
    <t>4695.0</t>
  </si>
  <si>
    <t>-98.81%</t>
  </si>
  <si>
    <t>7294987436121</t>
  </si>
  <si>
    <t>Thymes Eucalyptus Body Wash</t>
  </si>
  <si>
    <t>Malin + Goetz Eucalyptus Hand + Body Wash — cleansing, purifying, hydrating for women and men. for all skin types, even sensitive. no stripping or irritation. Cruelty-free + vegan</t>
  </si>
  <si>
    <t>B07QQS24M8</t>
  </si>
  <si>
    <t>3195.0</t>
  </si>
  <si>
    <t>4579789406297</t>
  </si>
  <si>
    <t>Pizza Unisex Crew Socks In A Box</t>
  </si>
  <si>
    <t>Rainbow Socks PIZZA SOCKS BOX 4 pairs MIX Hawaii Italian Vege Cotton Socks Made In EU</t>
  </si>
  <si>
    <t>B01N1PFGE1</t>
  </si>
  <si>
    <t>-98.82%</t>
  </si>
  <si>
    <t>6798008549465</t>
  </si>
  <si>
    <t>Rainbow Socks PIZZA SOCKS BOX 4 pairs MIX Vege Capriciosa Pepperoni Cotton Socks Made In EU</t>
  </si>
  <si>
    <t>B01NCJ8W3U</t>
  </si>
  <si>
    <t>Rainbow Socks PIZZA SOCKS BOX Pepperoni 4 pairs Cotton Socks Made In Europe Unisex Funny Gift!</t>
  </si>
  <si>
    <t>B01N0NXBM4</t>
  </si>
  <si>
    <t>Prana Yellow Gold Meditation Ring</t>
  </si>
  <si>
    <t>Hindu Pendants Dainty 10k Yellow Gold Yoga Meditation Band Diamond Om Ring (Size 8.25)</t>
  </si>
  <si>
    <t>B00JPPJQ1K</t>
  </si>
  <si>
    <t>11900.0</t>
  </si>
  <si>
    <t>6886613680217</t>
  </si>
  <si>
    <t>You Did It Graduation Card</t>
  </si>
  <si>
    <t>36 Pieces 2023 Graduation Cards with 36 Envelopes Set You Did It Graduation Greeting Cards Black and Gold Grad Gift Card for Graduation Party Teachers Classmates Gift Supplies</t>
  </si>
  <si>
    <t>B09YRJVPHT</t>
  </si>
  <si>
    <t>6974087856217</t>
  </si>
  <si>
    <t>24 Greenery Thank You Cards with Envelopes Greenery, 6x4in Thank You Cards with Envelopes Green, 6 Designs of Floral Thank You Cards with Envelopes Floral, Green Thank You Cards with Envelopes Flowers</t>
  </si>
  <si>
    <t>B0BCQJF3FK</t>
  </si>
  <si>
    <t>-98.83%</t>
  </si>
  <si>
    <t>Thymes Kimono Rose Hand Creme</t>
  </si>
  <si>
    <t>4579913662553</t>
  </si>
  <si>
    <t>Thymes Lavender Hand Creme</t>
  </si>
  <si>
    <t>4771651223641</t>
  </si>
  <si>
    <t>Thymes Olive Leaf Hand Cream</t>
  </si>
  <si>
    <t>34.95</t>
  </si>
  <si>
    <t>6851209265241</t>
  </si>
  <si>
    <t>Thymes Eucalyptus Hand Creme</t>
  </si>
  <si>
    <t>4579837313113</t>
  </si>
  <si>
    <t>Tool Man Father's Day Card</t>
  </si>
  <si>
    <t>RIHDXCH Birthday Card For Men Christmas Greeting Card Thank you Gift Card For Dad.Best Dad Ever 3D Tool Box Pop Up Card Father's Day With Envelopes.Unique Father's Day Gift for Dad, Son, Husband, Grandpa,Brother,Grandfather, Step Dad.</t>
  </si>
  <si>
    <t>B0C5JTDGLQ</t>
  </si>
  <si>
    <t>950.0</t>
  </si>
  <si>
    <t>-98.84%</t>
  </si>
  <si>
    <t>6577892065369</t>
  </si>
  <si>
    <t>-98.85%</t>
  </si>
  <si>
    <t>Thymes Body Wash - 9.25 Fl Oz - Kimono Rose</t>
  </si>
  <si>
    <t>B0746QFMH8</t>
  </si>
  <si>
    <t>Thymes Olive Leaf Hand Wash</t>
  </si>
  <si>
    <t>Thymes - Olive Leaf Body Wash - Hydrating Shower Gel with Natural Olive Oil - 9.25 oz</t>
  </si>
  <si>
    <t>B0746QSJMS</t>
  </si>
  <si>
    <t>6851188785241</t>
  </si>
  <si>
    <t>Thymes - Goldleaf Gardenia Perfumed Body Wash with Pump - Luxury Floral Shower Gel for Women - 9.25 oz</t>
  </si>
  <si>
    <t>B06W5DQWGQ</t>
  </si>
  <si>
    <t>Your Love Guides Me Mother's Day Card</t>
  </si>
  <si>
    <t>Papyrus Mother's Day Card for Mom (Your Love Holds Us Together)</t>
  </si>
  <si>
    <t>B0BGRF5JL2</t>
  </si>
  <si>
    <t>6566926155865</t>
  </si>
  <si>
    <t>Super Dad Father's Day Card</t>
  </si>
  <si>
    <t>iGifts And Cards Super Dad 3D Pop Up Greeting Card - Happy Father's Day, Dad's Birthday, Super Hero Dad, Cool, Awesome, Inspirational, Funny, Perfect, Fun, Special Occasion</t>
  </si>
  <si>
    <t>B089471GGM</t>
  </si>
  <si>
    <t>1050.0</t>
  </si>
  <si>
    <t>-98.86%</t>
  </si>
  <si>
    <t>10.5</t>
  </si>
  <si>
    <t>6973984342105</t>
  </si>
  <si>
    <t>To My Husband Father's Day Card</t>
  </si>
  <si>
    <t>UK Greetings Father's Day Card - To My Husband Father's Day Card - Funny Father's Day Card - Joke Father's Day Card - Father's Day Card foe Husband, Multi (659665-0-1)</t>
  </si>
  <si>
    <t>B09XMT1743</t>
  </si>
  <si>
    <t>-98.87%</t>
  </si>
  <si>
    <t>6577895637081</t>
  </si>
  <si>
    <t>HEMPZ Natural Lip Balm - Buttercream Cake - Hemp Seed Oil, Shea Butter, Coconut &amp; Avocado Oil with Vanilla, Sugarcane, Sweet Almond Moisturizing Lip Care Hydrating Lip Repair Balm - 0.5 oz Stick</t>
  </si>
  <si>
    <t>B0BNP9B4V6</t>
  </si>
  <si>
    <t>Happy Father's Day to My Favorite DILF Fathers Day Card for Husband from Wife</t>
  </si>
  <si>
    <t>B07R6RHYWF</t>
  </si>
  <si>
    <t>Poo-Pourri Ship Happens Before You Go Toilet Spray 1.4 Ounce Bottle, 2 Pack</t>
  </si>
  <si>
    <t>B07ST6VYCQ</t>
  </si>
  <si>
    <t>Thymes Passionfruit Neroli Hard-Working Hand Cream</t>
  </si>
  <si>
    <t>Thymes Hard-Working Hand Cream - Magnolia Willow - 2.5 Fl Oz</t>
  </si>
  <si>
    <t>B0B1G56QBJ</t>
  </si>
  <si>
    <t>2395.0</t>
  </si>
  <si>
    <t>4789544157273</t>
  </si>
  <si>
    <t>USDA Organic Lip Balm 4-Pack by Earth's Daughter - Vanilla Flavor, Beeswax, Coconut Oil, Vitamin E - Best Lip Repair Chapstick for Dry Cracked Lips.</t>
  </si>
  <si>
    <t>B08MQ175H8</t>
  </si>
  <si>
    <t>-98.88%</t>
  </si>
  <si>
    <t>Tahitian Vanilla Hydrating Body Wash with Coconut Water, Aloe &amp; Sea Kelp | Cleanses Without Stripping Moisture or Natural Oils | Infused with Notes of Warm Vanilla | Vegan and Cruelty-Free | 9.0 Oz</t>
  </si>
  <si>
    <t>B0B142XTDT</t>
  </si>
  <si>
    <t>-98.89%</t>
  </si>
  <si>
    <t>Vanilla Coconut Organic Sugar Scrub</t>
  </si>
  <si>
    <t>pureSCRUBS Premium Organic Brown Sugar VANILLA FACE &amp; BODY SCRUB Set - Large 16oz, Infused With Organic Essential Oils, Glycolic Acid &amp; INCLUDES Wooden Spoon, Loofah &amp; Mini Exfoliating Bar Soap</t>
  </si>
  <si>
    <t>B07M5PKHWX</t>
  </si>
  <si>
    <t>2600.0</t>
  </si>
  <si>
    <t>4651251335257</t>
  </si>
  <si>
    <t>LOVSPA Fraser FIR Reed Diffuser Oil Refill with Replacement Scent Sticks | Pine, Evergreen and Pine with Fresh Woody Notes of Cedar and Sandalwood | DIY Home Fragrance| Made in The USA</t>
  </si>
  <si>
    <t>B0C88WPGJL</t>
  </si>
  <si>
    <t>Thymes Goldleaf Gardenia Home Fragrance Mist</t>
  </si>
  <si>
    <t>Thymes Aromatic Jar Candle - Goldleaf Gardenia Scented Candle for a Floral Home Fragrance - Matte White Candles (7.5 oz)</t>
  </si>
  <si>
    <t>B08XR1T8K4</t>
  </si>
  <si>
    <t>4793139200089</t>
  </si>
  <si>
    <t>Thymes Travel Set and Beauty Bag - Contains Body Wash, Body Lotion &amp; Hand Cream - Lavender</t>
  </si>
  <si>
    <t>B08CVR11MS</t>
  </si>
  <si>
    <t>Thymes Lavender Home Fragrance Mist</t>
  </si>
  <si>
    <t>Thymes Aromatic Jar Candle - Lavender Scented Candle for a Soothing Home Fragrance - Matte White Candles (7.5 oz)</t>
  </si>
  <si>
    <t>B08XR156SJ</t>
  </si>
  <si>
    <t>4756137443417</t>
  </si>
  <si>
    <t>Thymes Perfumed Travel Set and Beauty Bag - Contains Body Wash, Body Lotion &amp; Hand Cream - Goldleaf Gardenia</t>
  </si>
  <si>
    <t>B09HLB81LB</t>
  </si>
  <si>
    <t>Thymes Olive Leaf Home Fragrance Mist</t>
  </si>
  <si>
    <t>Thymes Aromatic Jar Candle - Olive Leaf Scented Candle for a Woody, Floral Home Fragrance - Matte White Candles (7.5 oz)</t>
  </si>
  <si>
    <t>B08YGNHWFT</t>
  </si>
  <si>
    <t>6851237380185</t>
  </si>
  <si>
    <t>Papyrus Christmas Card (Wonderful Holiday)</t>
  </si>
  <si>
    <t>B08635WNGJ</t>
  </si>
  <si>
    <t>Thymes Fresh-Cut Basil Aromatic Candle</t>
  </si>
  <si>
    <t>Thymes Large Candle - 16 Oz - Fresh-Cut Basil</t>
  </si>
  <si>
    <t>B0831T8QBB</t>
  </si>
  <si>
    <t>-98.90%</t>
  </si>
  <si>
    <t>4789053522009</t>
  </si>
  <si>
    <t>Thymes Frasier Fir Statement Poured Candle - Scented Candle With A Crisp Home Fragrance - Pine Needle Design - Silver Candle Jar (6.5 oz)</t>
  </si>
  <si>
    <t>B0B9CG2F5Y</t>
  </si>
  <si>
    <t>-98.91%</t>
  </si>
  <si>
    <t>Outdoorsy Zipped In Greeting/Love Card For Your Special Backpacker Zipped In By Markus Moments | Unique Design 5x7 Greeting Cards Tall | Eco-Friendly Cards With Recycled Gloss Cover Paper And Envelope</t>
  </si>
  <si>
    <t>B0BH38RWK4</t>
  </si>
  <si>
    <t>Zote Laundry Soap Bar - Stain Remover Laundry Detergent for Clothes Catfish Bait, Super Washing Travel Jabon Para Lavar Ropa Pink Underwear Clothes Washing Soap (400 grams) Pack of 2</t>
  </si>
  <si>
    <t>B07K33BW9P</t>
  </si>
  <si>
    <t>Sick As Shit Loose Leaf Herbal Tea</t>
  </si>
  <si>
    <t>Tealyra - Echinacea ImmuneTEA - Fennel Mint Lemongrass Cinnamon - Detox Wellness Herbal Loose Leaf Tea - Caffeine Free - 112g (4-ounce)</t>
  </si>
  <si>
    <t>B06XZD846B</t>
  </si>
  <si>
    <t>1295.0</t>
  </si>
  <si>
    <t>-98.92%</t>
  </si>
  <si>
    <t>7115204558937</t>
  </si>
  <si>
    <t>Thymes Frasier Fir Gilded Ceramic Medium Candle</t>
  </si>
  <si>
    <t>6295.0</t>
  </si>
  <si>
    <t>62.95</t>
  </si>
  <si>
    <t>6748462973017</t>
  </si>
  <si>
    <t>Papyrus Anniversary Card (Rainbows)</t>
  </si>
  <si>
    <t>B08J981HX3</t>
  </si>
  <si>
    <t>Retirement Card</t>
  </si>
  <si>
    <t>Papyrus Retirement Card (Take It All In)</t>
  </si>
  <si>
    <t>B08J992S5V</t>
  </si>
  <si>
    <t>7336085225561</t>
  </si>
  <si>
    <t>Shitty Day Loose Leaf Herbal Tea</t>
  </si>
  <si>
    <t>teapigs Lazy Days Lemon &amp; Ginger Loose Herbal Tea, 200g, Naturally Caffeine Free Big Leaf Tea, Refreshing and Crisp</t>
  </si>
  <si>
    <t>B07HHQR46C</t>
  </si>
  <si>
    <t>7115205115993</t>
  </si>
  <si>
    <t>Thymes Frasier Fir Gilded Gold Pine Needle Candle</t>
  </si>
  <si>
    <t>5195.0</t>
  </si>
  <si>
    <t>51.95</t>
  </si>
  <si>
    <t>7338178347097</t>
  </si>
  <si>
    <t>Really Cute New Baby Card</t>
  </si>
  <si>
    <t>Baby Shower Card, Cute New Baby Card, Funny Newborn Chicken Card, Congrats On Your Little Nugget</t>
  </si>
  <si>
    <t>B093K9VNZJ</t>
  </si>
  <si>
    <t>650.0</t>
  </si>
  <si>
    <t>7336064254041</t>
  </si>
  <si>
    <t>CENTRAL 23 - Cute New Baby Card - 'Congrats On Your New Dumpling - Sweet Congratulations Card - Adorable New Baby Boy Card New Baby Girl Card - Comes with Fun Stickers</t>
  </si>
  <si>
    <t>B08M43YQQJ</t>
  </si>
  <si>
    <t>Urban Naturals Balsam Forest Oil Reed Diffuser Refill + Free Set of Reed Sticks - Fragrance Notes of Pine Fir Needles, Evergreen, Woodsy Cedar and Sandalwood – Vegan, 4 oz Made in The USA</t>
  </si>
  <si>
    <t>B07VCJY4XG</t>
  </si>
  <si>
    <t>-98.93%</t>
  </si>
  <si>
    <t>EARTH SCIENCE - Aluminum-Free Natural Lavender and Tea Tree Deodorant (2pk, 2.45 oz.)</t>
  </si>
  <si>
    <t>B002LM5MHG</t>
  </si>
  <si>
    <t>Kaiame Naturals Natural Deodorant (Tea Tree) with Activated Charcoal Powder, All Natural and Organic Ingredients, No Aluminum, Parabens, or Phthalates</t>
  </si>
  <si>
    <t>B01E3D2CEG</t>
  </si>
  <si>
    <t>OJsensai Funny Baby Shower Card, Cute New Baby Card for New Mom Dad, Congratulation Card for Couple, And Then There Were Four</t>
  </si>
  <si>
    <t>B09FZ5WNZS</t>
  </si>
  <si>
    <t>Easter Cross Religious Greeting Cards - Set of 8 Large 5" x 7", Religious Easter Cards, Inspiring Bible Messages for Christians and Catholics, White Envelopes</t>
  </si>
  <si>
    <t>B072P2FL9Q</t>
  </si>
  <si>
    <t>This Is My Protest Dish Towel</t>
  </si>
  <si>
    <t>Blue Q, This is My Protest Dish Towel. 100% Cotton, Funny and Functional, Screen-Printed in Rich Vibrant Colors, Measures 28" h x 21" w</t>
  </si>
  <si>
    <t>B074ZJWMZ3</t>
  </si>
  <si>
    <t>4762128220249</t>
  </si>
  <si>
    <t>Poo-Pourri Before You Go Toilet Spray Tropical Hibiscus 1.4 Ounce Bottle, 2 Pack</t>
  </si>
  <si>
    <t>B07T2FQHVN</t>
  </si>
  <si>
    <t>-98.94%</t>
  </si>
  <si>
    <t>Poo-Pourri, Before-You-go Bathroom Spray, Tropical Hibiscus - 1.4 Oz, 2 Pack</t>
  </si>
  <si>
    <t>B07K2BDTN4</t>
  </si>
  <si>
    <t>Tree to Tub Unscented Shea Butter Body Lotion for Dry Skin - Fragrance Free Sensitive Skin Lotion for Women &amp; Men, Vegan Body Moisturizer w/Organic Aloe Vera, Cocoa Butter, Natural Colloidal Oatmeal</t>
  </si>
  <si>
    <t>B01MU8YEZU</t>
  </si>
  <si>
    <t>Serenity Bubble Bath Jack N' Jill 10.14 oz Liquid</t>
  </si>
  <si>
    <t>B0765MZQX8</t>
  </si>
  <si>
    <t>Rosemary Mint Foaming Wash</t>
  </si>
  <si>
    <t>Foaming Hand Soap, Plant-Derived - Aromatic and Nourishing Hand Wash, Infused with Natural Essential Oils - USDA Certified Biobased - 12 Ounce, Rosemary Mint, 2 Pack</t>
  </si>
  <si>
    <t>B09BBSWC9H</t>
  </si>
  <si>
    <t>7279925362777</t>
  </si>
  <si>
    <t>Thymes Frasier Fir Green 4-Wick Candle</t>
  </si>
  <si>
    <t>9995.0</t>
  </si>
  <si>
    <t>99.95</t>
  </si>
  <si>
    <t>7348850262105</t>
  </si>
  <si>
    <t>Bare Botanics Pure &amp; Raw Shea Butter (Unscented) 16oz | Deeply Moisturizing &amp; Hydrating Raw Shea Butter for Women | Unrefined &amp; All Natural Shea Butter Body Moisturizer for Dry Skin | Vegan, Cruelty &amp; GMO Free</t>
  </si>
  <si>
    <t>B0C38ZBGSG</t>
  </si>
  <si>
    <t>Karto Sweet Graduation Card for Her, Large 5.5 x 8.5 Graduation Cards for Daughter, Congratulation Card for Sister Friend Bestie - Girl You Did It</t>
  </si>
  <si>
    <t>B0C54BH2L2</t>
  </si>
  <si>
    <t>Thank You Hand Rescue</t>
  </si>
  <si>
    <t>WWalton Wood Farm Hand Rescue, Thank You - 4 oz</t>
  </si>
  <si>
    <t>B07LB5BTYM</t>
  </si>
  <si>
    <t>17.95</t>
  </si>
  <si>
    <t>4572539715673</t>
  </si>
  <si>
    <t>Transformative Face Cleansing Oil</t>
  </si>
  <si>
    <t>Clarins Total Cleansing Oil | Removes Long-Wearing, Heavy and Waterproof Makeup and Pollutants | Preserves Skin's Microbiota | Easy Rinse | Safe For Use On Face, Eyes and Lips | Dermatologist Tested</t>
  </si>
  <si>
    <t>B08B7X6LDQ</t>
  </si>
  <si>
    <t>3700.0</t>
  </si>
  <si>
    <t>-98.95%</t>
  </si>
  <si>
    <t>4554280108121</t>
  </si>
  <si>
    <t>Wunderkid You Did it! Happy Graduation Card, Cute &amp; Artistic Graduation Card 2023 (1 Single Card, Blank inside)</t>
  </si>
  <si>
    <t>B093B4Z46Y</t>
  </si>
  <si>
    <t>Papyrus Funny Valentine's Day Card (Butter Half)</t>
  </si>
  <si>
    <t>B08DF1PHTB</t>
  </si>
  <si>
    <t>Thymes Hand Cream - 3 Fl Oz - Kimono Rose</t>
  </si>
  <si>
    <t>B002WJHL04</t>
  </si>
  <si>
    <t>Thymes Hand Cream Gold - 3 Fl Oz - Goldleaf</t>
  </si>
  <si>
    <t>B0746R81PK</t>
  </si>
  <si>
    <t>Thymes Frasier Fir Hand Cream - Hand Moisturizer for Dry Skin (3.4 fl oz)</t>
  </si>
  <si>
    <t>B0763QV2GK</t>
  </si>
  <si>
    <t>Thymes Hand Cream - 3 Fl Oz – Lavender</t>
  </si>
  <si>
    <t>B002WJHK1O</t>
  </si>
  <si>
    <t>Thymes Eucalyptus Hand Wash</t>
  </si>
  <si>
    <t>Thymes Hand Cream - 3 Fl Oz – Eucalyptus</t>
  </si>
  <si>
    <t>B002WJHK1E</t>
  </si>
  <si>
    <t>42.95</t>
  </si>
  <si>
    <t>4579840983129</t>
  </si>
  <si>
    <t>Thymes Hand Cream Gold - 3 Fl Oz - Olive Leaf</t>
  </si>
  <si>
    <t>B0746R1Z7V</t>
  </si>
  <si>
    <t>Thymes - Goldleaf Gardenia Hand Crème - Deeply Moisturizing Cream with Light Floral Scent for Women - 3 oz</t>
  </si>
  <si>
    <t>B06WVM6PX7</t>
  </si>
  <si>
    <t>Poo-Pourri Before-You-Go Toilet Spray Bottle, 1.4 oz, Original Scent, 2 Count</t>
  </si>
  <si>
    <t>B07F256TGV</t>
  </si>
  <si>
    <t>Natural Inspirations Eucalyptus Rosemary Mint Nourishing Hand + Body Lotion 12oz</t>
  </si>
  <si>
    <t>B0B9Q41K1Z</t>
  </si>
  <si>
    <t>Wonderful Person Father's Day Card</t>
  </si>
  <si>
    <t>Papyrus Father's Day Card (Wonderful Dad)</t>
  </si>
  <si>
    <t>B081TRNZKB</t>
  </si>
  <si>
    <t>-98.96%</t>
  </si>
  <si>
    <t>6973980377177</t>
  </si>
  <si>
    <t>Unscented Natural Deodorant</t>
  </si>
  <si>
    <t>Tom's of Maine Long-Lasting Aluminum-Free Natural Deodorant for Women, Unscented, 2.25 oz. 3-Pack (Packaging May Vary)</t>
  </si>
  <si>
    <t>B07Y38BKBR</t>
  </si>
  <si>
    <t>4550590038105</t>
  </si>
  <si>
    <t>-98.97%</t>
  </si>
  <si>
    <t>Thymes Goldleaf Gardenia Eau De Parfume Spray Pen</t>
  </si>
  <si>
    <t>4756061454425</t>
  </si>
  <si>
    <t>Purifying Face Serum</t>
  </si>
  <si>
    <t>Waxhead Sun Damaged Skin Repair - Rosehip Seed Oil Organic Cold Pressed, Vitamin E Serum, Vitamin D3, Vitamin A, Coenzyme q10, Antioxidant Serum for Face, Organic Skin Spot Purifying Serum (10mL)</t>
  </si>
  <si>
    <t>B07H1H9CKL</t>
  </si>
  <si>
    <t>4583196786777</t>
  </si>
  <si>
    <t>Alaffia Body Lotion, Vanilla, 32 Oz</t>
  </si>
  <si>
    <t>B003B6JDYO</t>
  </si>
  <si>
    <t>-98.99%</t>
  </si>
  <si>
    <t>Fels Naptha Laundry Soap Bar &amp; Stain Remover - Pack of 2 by Fels Naptha</t>
  </si>
  <si>
    <t>B01AVK332A</t>
  </si>
  <si>
    <t>Shanti Yellow Gold Meditation Ring</t>
  </si>
  <si>
    <t>Unknown Dainty 10k Yellow Gold Yoga Meditation Band Diamond Om Ring</t>
  </si>
  <si>
    <t>B00JPPJO4E</t>
  </si>
  <si>
    <t>13900.0</t>
  </si>
  <si>
    <t>7159517642841</t>
  </si>
  <si>
    <t>Hindu Pendants Dainty 10k Yellow Gold Yoga Meditation Band Diamond Om Ring (Size 5.5)</t>
  </si>
  <si>
    <t>B00JPPJJWQ</t>
  </si>
  <si>
    <t>Retirement Card for Women Her - A Wise Woman Once Said I'm Outta Here - Humorous Funny Leaving Cards for Work Colleagues, 5.7 x 5.7 Inch Birthday Greeting Cards, Happy Retirement Cards for Women</t>
  </si>
  <si>
    <t>B09MSMRL9F</t>
  </si>
  <si>
    <t>Happy Retirement Card, Congratulation Retirement for Him Her, Retired Card for Coworker, New Retirement Schedule</t>
  </si>
  <si>
    <t>B0B4VKGQVK</t>
  </si>
  <si>
    <t>LIYALAN Shampoo Bar for Hair Solid Soap(2 Pack) Rosemary and Jasmine Organic Shampoo Bar,Deep Cleansing Hair Shampoo for Fine &amp; Oily Hair</t>
  </si>
  <si>
    <t>B0BTDP46HT</t>
  </si>
  <si>
    <t>Ribbon Flower Mother's Day Card</t>
  </si>
  <si>
    <t>Lovepop Mother's Day Tulips Card with Mini Bouquet - Mothers Day Card with Paper Flowers, Card for Mom, Card for Wife, Pop Up Paper Flowers, 3D Mom Card, Happy Mother's Day Greeting Card</t>
  </si>
  <si>
    <t>B08Z69T3MP</t>
  </si>
  <si>
    <t>-99.00%</t>
  </si>
  <si>
    <t>6566922977369</t>
  </si>
  <si>
    <t>Winter's A B*tch Hand Rescue</t>
  </si>
  <si>
    <t>Walton Wood Farm Hand Rescue (Winter's a B*tch) Vegan-Friendly and Paraben-Free 4 oz</t>
  </si>
  <si>
    <t>B072W64562</t>
  </si>
  <si>
    <t>4764209184857</t>
  </si>
  <si>
    <t>Sunday Men's Crew Socks</t>
  </si>
  <si>
    <t>COOVAN Men's 6P-Pack Premium Athletic Crew Socks Men Thick Cushion Casual Work Sock With Moisture Wicking</t>
  </si>
  <si>
    <t>B07HG1DR3Q</t>
  </si>
  <si>
    <t>7311850307673</t>
  </si>
  <si>
    <t>Pudus Classic Slipper Socks Geometric Raspberry</t>
  </si>
  <si>
    <t>Pudus Geometric Raspberry Cozy Winter Slipper Socks for Women and Men with Non-Slip Grippers and Faux Fur Sherpa Fleece - Adult Regular Fuzzy Socks</t>
  </si>
  <si>
    <t>B07VYBCYR3</t>
  </si>
  <si>
    <t>6901018230873</t>
  </si>
  <si>
    <t>Thymes Frasier Fir Pillar Candle - Place on Candle Holder - Winter &amp; Fall Candles with a Luxury Home Fragrance - Highly Scented Candles (3 x 6 Pillar)</t>
  </si>
  <si>
    <t>B0BZ1Z7HQ8</t>
  </si>
  <si>
    <t>Pudus Classic Slipper Socks Hockey Red</t>
  </si>
  <si>
    <t>Pudus Classic Slipper Socks - Large Lumberjack Red - Fuzzy Socks for Men</t>
  </si>
  <si>
    <t>B07FYVPW31</t>
  </si>
  <si>
    <t>4746389848153</t>
  </si>
  <si>
    <t>Thymes Goldleaf Body Wash</t>
  </si>
  <si>
    <t>4572181332057</t>
  </si>
  <si>
    <t>Thymes Lavender Body Wash</t>
  </si>
  <si>
    <t>4756156776537</t>
  </si>
  <si>
    <t>Thymes Kimono Rose Body Wash</t>
  </si>
  <si>
    <t>4579890856025</t>
  </si>
  <si>
    <t>Thymes Eucalyptus Countertop Spray All-Purpose Cleaner</t>
  </si>
  <si>
    <t>Natural Flower Power - All-Purpose Cleaner, Multi-Surface Cleaning Spray, Countertop Spray, Non-Toxic, No Harsh Fumes or Chemicals, Child and Pet Safe - 32 oz (Pack of 2), Citrus &amp; Spice</t>
  </si>
  <si>
    <t>B01FT2BUNY</t>
  </si>
  <si>
    <t>7319427285081</t>
  </si>
  <si>
    <t>Cocktail Crate Premium Drink Mixer Variety Pack | Award Winning Craft Cocktail Mixers for True Connoisseurs | Premium Cocktail Syrup Creations with Aromatic Bitters, Demerara Sugar | 12oz - 3 pack</t>
  </si>
  <si>
    <t>B08127MZ5K</t>
  </si>
  <si>
    <t>Poo-Pourri Before-You-Go Toilet Spray, Original Citrus, 2 Fl Oz - Lemon, Bergamot and Lemongrass &amp; Before-You-Go Toilet Spray, Original Citrus, Travel Size 10 mL - Lemon, Bergamot and Lemongrass</t>
  </si>
  <si>
    <t>B0BVZ8Z9F5</t>
  </si>
  <si>
    <t>Seven Times Six Xbox Socks Men's Video Game Controllers Gaming Logo Patterns 3 Pack Mid-Calf Adult Crew Socks</t>
  </si>
  <si>
    <t>B0913GXZQ2</t>
  </si>
  <si>
    <t>Papyrus Blank Thinking of You Card (You're My Jam)</t>
  </si>
  <si>
    <t>B092LC91PD</t>
  </si>
  <si>
    <t>Whippersnapper Men's Crew Socks</t>
  </si>
  <si>
    <t>Conscious Step Men's Fair Trade Organic Cotton Crew Socks | Every Pair Helps Support our Humanitarian Partners | Gift Box</t>
  </si>
  <si>
    <t>B073BPC4T5</t>
  </si>
  <si>
    <t>7311878651993</t>
  </si>
  <si>
    <t>Drink Katy’s Berry Loose Leaf Tea, Herbal Fruit Tea (30 Day Supply / 60 Tsps)</t>
  </si>
  <si>
    <t>B0831T7BXM</t>
  </si>
  <si>
    <t>The Best Card Company - 1 Retirement Card with Envelope - Yellow Classic Automobile, Animal Car Ride Greeting Notecard - Driving Divas Llama C9276ARTG</t>
  </si>
  <si>
    <t>B08Q6CTZFS</t>
  </si>
  <si>
    <t>-99.01%</t>
  </si>
  <si>
    <t>2 Pcs Grand Canal Soap,Grand Underwear Cleaning Soap Comes, Natural Powerful Stain Remover Soap Bar for Clothing Underwear Shoes Bedclothes Carpet,Natural Plant Soap Long-Lasting Fragrance</t>
  </si>
  <si>
    <t>B0BRSP3D3D</t>
  </si>
  <si>
    <t>Thymes Mandarin Coriander Reed Diffuser Refill</t>
  </si>
  <si>
    <t>Thymes Petite Reed Diffuser - 4 Fl Oz - Mandarin Coriander</t>
  </si>
  <si>
    <t>B083F8X532</t>
  </si>
  <si>
    <t>-99.02%</t>
  </si>
  <si>
    <t>7110539083865</t>
  </si>
  <si>
    <t>Thymes Frasier Fir Reed Diffuser Refill</t>
  </si>
  <si>
    <t>4744457715801</t>
  </si>
  <si>
    <t>Thymes Frasier Fir Gift Set</t>
  </si>
  <si>
    <t>6748528902233</t>
  </si>
  <si>
    <t>Thymes Lemon Leaf Reed Diffuser Refill</t>
  </si>
  <si>
    <t>Thymes Petite Reed Diffuser - 4 Fl Oz - Lemon Leaf</t>
  </si>
  <si>
    <t>B084BRX7CV</t>
  </si>
  <si>
    <t>7110536822873</t>
  </si>
  <si>
    <t>Thymes Washed Linen Reed Diffuser Refill</t>
  </si>
  <si>
    <t>7110547275865</t>
  </si>
  <si>
    <t>Thymes Frasier Fir Gilded Poured Candle Trio</t>
  </si>
  <si>
    <t>6995.0</t>
  </si>
  <si>
    <t>-99.03%</t>
  </si>
  <si>
    <t>7131969355865</t>
  </si>
  <si>
    <t>Thymes Lavender Large Hand Wash with Pump - Hydrating Liquid Hand Soap with Calming Lavender Scent (15 fl oz)</t>
  </si>
  <si>
    <t>B0011MJPGG</t>
  </si>
  <si>
    <t>Pudus southwest red adult regular cozy winter classic slipper socks with grippers</t>
  </si>
  <si>
    <t>B07C5BCCQR</t>
  </si>
  <si>
    <t>-99.04%</t>
  </si>
  <si>
    <t>Organic Vanilla Coconut Sugar Scrub for Body Polish, Exfoliating Body Scrub Exfoliator &amp; Foot Scrub, Body Exfoliator for Women Exfoliation, Sugar Scrubs for Women &amp; Men</t>
  </si>
  <si>
    <t>B09233TW6F</t>
  </si>
  <si>
    <t>ILLUME Elemental Collection Cypress Lavender 8oz Hand Lotion</t>
  </si>
  <si>
    <t>B09TMXLXH2</t>
  </si>
  <si>
    <t>-99.05%</t>
  </si>
  <si>
    <t>ROSLYN Aromatic Hand Wash, Scented Liquid Hand Soap, Pack of 1, 16.9 fl oz, Eucalyptus Mint, 100% Vegan</t>
  </si>
  <si>
    <t>B0BF5D4KZ9</t>
  </si>
  <si>
    <t>Traverse Bay Bath and Body- All natural handmade cold process bar soap, Eucalyptus and Peppermint, made in the USA, essential oils. 3 bar pack 15 + oz. For men and women, face and body.</t>
  </si>
  <si>
    <t>B07NCQ2LP5</t>
  </si>
  <si>
    <t>Giiffu Father’s Day Toolbox Pop-Up Card, Father’s Day Card, Handcrafted 3D Pop-Up Greeting Card, Unique Father's Day Gift for Dad, Son, Husband, Grandpa, Grandfather, Step Dad</t>
  </si>
  <si>
    <t>B09YMK4KSB</t>
  </si>
  <si>
    <t>Thymes Eucalyptus Body Scrub</t>
  </si>
  <si>
    <t>Aromatherapy Eucalyptus Spearmint Sugar Body Scrub 13 oz / 368 g</t>
  </si>
  <si>
    <t>B0BTNGDBXG</t>
  </si>
  <si>
    <t>3595.0</t>
  </si>
  <si>
    <t>6768017440857</t>
  </si>
  <si>
    <t>Hallmark Paper Wonder 3D Pop Up Mothers Day Card for Wife (Bridge, So Grateful) (899MBC1109)</t>
  </si>
  <si>
    <t>B07M7LD6G7</t>
  </si>
  <si>
    <t>-99.06%</t>
  </si>
  <si>
    <t>Thymes Eucalyptus Reed Diffuser Refill</t>
  </si>
  <si>
    <t>NEST New York Wild Mint &amp; Eucalyptus Reed Diffuser Liquid Refill</t>
  </si>
  <si>
    <t>B0BG3M6WX7</t>
  </si>
  <si>
    <t>4579827449945</t>
  </si>
  <si>
    <t>Thymes Lavender Reed Diffuser Refill</t>
  </si>
  <si>
    <t>Reed Diffuser Refill Lavender with Lavender Essential Oil 34 Fl Oz - 2 x 500ml - Fragrance Oil Reed Diffuser Refill - Room Diffuser Refill - Lavender Room Freshener - Floral Fragrance</t>
  </si>
  <si>
    <t>B0933HFFCR</t>
  </si>
  <si>
    <t>4756136951897</t>
  </si>
  <si>
    <t>Blue Mountain Arts Little Keepsake Book "I'm So Grateful You're My Mom" 4 x 3 in. Pocket-Sized Gift Book Is Perfect for Mother's Day, Christmas, Birthday, or Just to Say "I Love You," by Suzy Toronto</t>
  </si>
  <si>
    <t>B074WCM9N4</t>
  </si>
  <si>
    <t>Deep Steep Bubble Bath, Vanilla Coconut, 17 Ounce</t>
  </si>
  <si>
    <t>B01MQ3OLA5</t>
  </si>
  <si>
    <t>-99.07%</t>
  </si>
  <si>
    <t>Deep Steep Body Wash 17 oz (Rosemary Mint)</t>
  </si>
  <si>
    <t>B074G24Q1X</t>
  </si>
  <si>
    <t>DEEP STEEP Rosemary Mint Body Butter, 6 OZ</t>
  </si>
  <si>
    <t>B09TWZFKS4</t>
  </si>
  <si>
    <t>Deep Steep Coconut Oil Body Wash, Vanilla, 17 Fluid Ounce</t>
  </si>
  <si>
    <t>B01ASC51HQ</t>
  </si>
  <si>
    <t>Thymes Frasier Fir Molded Pine Cone Candle</t>
  </si>
  <si>
    <t>5995.0</t>
  </si>
  <si>
    <t>7142263717977</t>
  </si>
  <si>
    <t>Thymes Frasier Fir Heritage Medium Pine Needle Luminary Candle</t>
  </si>
  <si>
    <t>7141142560857</t>
  </si>
  <si>
    <t>Thymes Lavender Bubble Bath</t>
  </si>
  <si>
    <t>Aura Cacia - Relaxing Lavender Aromatherapy Bubble Bath | Pure Essential Oils | Pack of 3-13 fl. oz.</t>
  </si>
  <si>
    <t>B002Q4UC06</t>
  </si>
  <si>
    <t>3895.0</t>
  </si>
  <si>
    <t>4766213701721</t>
  </si>
  <si>
    <t>HOSSIAN Reed Diffuser Sticks - Reed diffusers-Reed Sticks -Diffuser Glass Bottles-Diffuser Refills- Natural Rattan Wood Replacement for Aroma Fragrance (10" Black and Beige)</t>
  </si>
  <si>
    <t>B08PCZNKCF</t>
  </si>
  <si>
    <t>ALL Natural Body Wash - Fights Body Odor, Athlete’s Foot, Jock Itch, Nail Issues, Dandruff, Acne, Eczema, Shower Gel for Women &amp; Men, Skin Cleanser -16 fl oz (Rosemary Mint)</t>
  </si>
  <si>
    <t>B0C4JP954J</t>
  </si>
  <si>
    <t>2-PACK Thai Crystal Deodorant Salt Stone - Clinically Tested, Dermatologist Approved - Natural Unscented for Women Men &amp; Teens</t>
  </si>
  <si>
    <t>B089DMYDH7</t>
  </si>
  <si>
    <t>Papyrus Christmas Card (Warm and Wonderful Holiday Season)</t>
  </si>
  <si>
    <t>B08637FDG5</t>
  </si>
  <si>
    <t>Native Sensitive Deodorant | Natural Deodorant for Women and Men, Aluminum Free, Baking Soda Free, Phthalate Free, Talc Free, Coconut Oil and Shea Butter | Unscented (Sensitive)</t>
  </si>
  <si>
    <t>B08QR7Y1JX</t>
  </si>
  <si>
    <t>Native Deodorant | Natural Deodorant for Women and Men, Aluminum Free with Baking Soda, Probiotics, Coconut Oil and Shea Butter | Unscented</t>
  </si>
  <si>
    <t>B07G9Z5LQD</t>
  </si>
  <si>
    <t>Gardenika Organic Immunity Loose Leaf Tea, Caffeine-Free Leaves, Herbal Ayurvedic Blend with Echinacea, Ashwagandha, Lemongrass, Ginger – 4 oz</t>
  </si>
  <si>
    <t>B08HZJB1FP</t>
  </si>
  <si>
    <t>-99.08%</t>
  </si>
  <si>
    <t>Funny New Baby Card, New Parent Greeting Card, Pregnancy Announcement Card, Cute Baby Shower Card for Dog Mom or Cat Dad</t>
  </si>
  <si>
    <t>B0C4J6BTDB</t>
  </si>
  <si>
    <t>Funny Baby Shower Card for Boy Girls, Cute Baby Shower Congratulation Card, New Baby Card for New Mom Dad Parents, And Then There Were Four Card</t>
  </si>
  <si>
    <t>B0CDG6F27M</t>
  </si>
  <si>
    <t>Thymes Olive Leaf Body Lotion</t>
  </si>
  <si>
    <t>3695.0</t>
  </si>
  <si>
    <t>6851203203161</t>
  </si>
  <si>
    <t>Thymes Eucalyptus Body Serum</t>
  </si>
  <si>
    <t>7008462078041</t>
  </si>
  <si>
    <t>Odacité Acne Serum Concentrate for Face, Pore Cleanser Facial Oil for Pimples with Black Cumin + Cajeput - Purifying Facial Serum with Vitamin A &amp; Natural Ingredients - 0.17 Fl. Oz</t>
  </si>
  <si>
    <t>B00MYMGUF6</t>
  </si>
  <si>
    <t>-99.09%</t>
  </si>
  <si>
    <t>Thymes Goldleaf Eau De Parfum</t>
  </si>
  <si>
    <t>6495.0</t>
  </si>
  <si>
    <t>64.95</t>
  </si>
  <si>
    <t>4572207808601</t>
  </si>
  <si>
    <t>Thymes Goldleaf Gardenia Eau De Parfume</t>
  </si>
  <si>
    <t>4756060307545</t>
  </si>
  <si>
    <t>Dapofajo Cute New Baby Card, Funny Baby Shower Cards for Couple, Congrats New Born Card, Just Got Real Baby Card</t>
  </si>
  <si>
    <t>B0BQDB563P</t>
  </si>
  <si>
    <t>-99.10%</t>
  </si>
  <si>
    <t>Hanes Men's, X-Temp Lightweight Socks, Crew and Ankle, 12-Pack</t>
  </si>
  <si>
    <t>B07W2YDK3S</t>
  </si>
  <si>
    <t>Thymes Lavender Bar Soap</t>
  </si>
  <si>
    <t>Wavertree &amp; London Lavender d Provence (2 Bars), 7oz Moisturizing Natural Soap Bar, French -Milled and enriched with Shea Butter</t>
  </si>
  <si>
    <t>B07QC4PR6N</t>
  </si>
  <si>
    <t>-99.11%</t>
  </si>
  <si>
    <t>4756073971801</t>
  </si>
  <si>
    <t>Thymes Lavender Body Lotion</t>
  </si>
  <si>
    <t>4756074954841</t>
  </si>
  <si>
    <t>Thymes Goldleaf Gardenia Body Scrub</t>
  </si>
  <si>
    <t>6806858727513</t>
  </si>
  <si>
    <t>Thymes Eucalyptus Body Lotion</t>
  </si>
  <si>
    <t>4579776888921</t>
  </si>
  <si>
    <t>American Greetings Congratulations Card (This Is Your Moment)</t>
  </si>
  <si>
    <t>B09C6PDKK8</t>
  </si>
  <si>
    <t>Plantlife Pumpkin Spice Bar Soap - Moisturizing and Soothing Soap for Your Skin - Hand Crafted Using Plant-Based Ingredients - Made in California 4oz Bar</t>
  </si>
  <si>
    <t>B00JBIKKDE</t>
  </si>
  <si>
    <t>-99.12%</t>
  </si>
  <si>
    <t>HERBOGANIC Spearmint and Eucalyptus Herbal Bar Soap | Invigorating Herbal Soap Refreshes and Revitalizes | For Energized, Rejuvenated Skin | All Natural Bar Soap for Men and Women | 5 oz Bar (Pack of 1)</t>
  </si>
  <si>
    <t>B0BLT7C8RK</t>
  </si>
  <si>
    <t>OJsensai Fathers Day Gift for Husband, Dilf Fathers Day Card, Happy Fathers Day to My Favorite Dilf, Dilf Fathers Day Card from Wife, Fathers Day for Boyfriend</t>
  </si>
  <si>
    <t>B09PMNMQFX</t>
  </si>
  <si>
    <t>Thymes Body Lotion - 9.25 Fl Oz - Kimono Rose</t>
  </si>
  <si>
    <t>B0029F2HM8</t>
  </si>
  <si>
    <t>Thymes Body Lotion - 9.25 Fl Oz - Lavender</t>
  </si>
  <si>
    <t>B01JMKLTP8</t>
  </si>
  <si>
    <t>Thymes Goldleaf Gardenia Body Wash</t>
  </si>
  <si>
    <t>4756158251097</t>
  </si>
  <si>
    <t>Thymes Kimono Rose Body Scrub - Body Exfoliator for Skin Care Routine - Moisturizing and Exfoliating Body Scrub, Face Scrub, Foot Scrub, or Hand Scrub (7 Fl Oz)</t>
  </si>
  <si>
    <t>B09HL9R9FZ</t>
  </si>
  <si>
    <t>Thymes Lavender Body Scrub - Body Exfoliator for Skin Care Routine - Moisturizing and Exfoliating Body Scrub, Face Scrub, Foot Scrub, or Hand Scrub (7 Fl Oz)</t>
  </si>
  <si>
    <t>B09HLBJ5K7</t>
  </si>
  <si>
    <t>Thymes Olive Leaf Body Wash</t>
  </si>
  <si>
    <t>6851200122969</t>
  </si>
  <si>
    <t>Scent Free Body Lotion</t>
  </si>
  <si>
    <t>CeraVe Daily Moisturizing Lotion for Dry Skin | Body Lotion &amp; Facial Moisturizer with Hyaluronic Acid and Ceramides | Fragrance Free | 19 Ounce</t>
  </si>
  <si>
    <t>B07RK4HST7</t>
  </si>
  <si>
    <t>4550611861593</t>
  </si>
  <si>
    <t>Dove Body Wash Invigorating With Aloe &amp; Eucalyptus 4 Count For Dry Skin Refreshes and Invigorates Skin 20 oz</t>
  </si>
  <si>
    <t>B0BVC1FNLH</t>
  </si>
  <si>
    <t>Soap &amp; Glory Smoothie Star Body Butter - Vanilla and Almond Infused Coconut Butter with Vitamin E + Shea Butter - Rich Moisturizing Cream for Dry Skin - Scent-Sationally Soft Skin (300ml)</t>
  </si>
  <si>
    <t>B0B2VJ7TX6</t>
  </si>
  <si>
    <t>-99.13%</t>
  </si>
  <si>
    <t>L'Occitane Relaxing &amp; Foaming Lavender Bubble Bath, Refill, 16.9 Fl Oz: Spa-Like Bubble Bath, Soothing Scent, Lavender From Provence, Cleansing</t>
  </si>
  <si>
    <t>B0771SWLPY</t>
  </si>
  <si>
    <t>Thymes Simmered Cider Wax Melt</t>
  </si>
  <si>
    <t>Thymes Wax Melt - 1 Oz - Simmered Cider</t>
  </si>
  <si>
    <t>B01IAM1WVA</t>
  </si>
  <si>
    <t>1150.0</t>
  </si>
  <si>
    <t>7243865849945</t>
  </si>
  <si>
    <t>Poo-Pourri Before-You-Go Toilet Spray, Original Citrus, Travel Size 10 mL - Lemon, Bergamot and Lemongrass &amp; Before-You-Go Toilet Spray, Original Citrus, 1.4 Fl Oz - Lemon, Bergamot and Lemongrass</t>
  </si>
  <si>
    <t>B0C9Z11NTK</t>
  </si>
  <si>
    <t>Thymes Kimono Rose Body Lotion</t>
  </si>
  <si>
    <t>36.95</t>
  </si>
  <si>
    <t>4579885285465</t>
  </si>
  <si>
    <t>-99.14%</t>
  </si>
  <si>
    <t>Thymes Simmered Cider Copper Cup Candle - Warm &amp; Spicy Scented Candle with Notes of Apple, Clove, and Cardamom - Luxury Home Fragrance - Copper Candle (10 oz)</t>
  </si>
  <si>
    <t>B01KIH52E8</t>
  </si>
  <si>
    <t>Proud Cock Creamy Shave Soap</t>
  </si>
  <si>
    <t>Walton Wood Farm Creamy Shave Soap (Proud Cock) Vegan-Friendly and Paraben-Free 8 oz</t>
  </si>
  <si>
    <t>B078KS23M9</t>
  </si>
  <si>
    <t>4764260171865</t>
  </si>
  <si>
    <t>Chenive Funny Retirement Card for Men Women, Retirement Pun Card for Coworker Friend, Retirement Gift, Tell A Joke About Retired People But None Of Them Work</t>
  </si>
  <si>
    <t>B0C64LJ26J</t>
  </si>
  <si>
    <t>OJsensai Happy Retirement Card for Boss Leader, Hilarious Retired Gifts for Women Men, Congratulation Leaving Card for Teacher Doctor, Unique Retiring Gift Ideas for Coworker Colleague</t>
  </si>
  <si>
    <t>B0CCHRV8RZ</t>
  </si>
  <si>
    <t>Ogeby Funny Retirement Card for Coworker Colleague Friend, Humor Retiring Card Gift for Him Her, Fucking Quitter I Mean Happy Retirement</t>
  </si>
  <si>
    <t>B0B281XR6T</t>
  </si>
  <si>
    <t>Thymes Fresh-Cut Basil Hand Lotion</t>
  </si>
  <si>
    <t>Thymes Hand Cream - 2.5 Fl Oz - Fresh-Cut Basil</t>
  </si>
  <si>
    <t>B07Q2G3DJR</t>
  </si>
  <si>
    <t>4789067120729</t>
  </si>
  <si>
    <t>Thymes Lemon Leaf Hand Wash</t>
  </si>
  <si>
    <t>Thymes Hand Cream - 2.5 Fl Oz - Lemon Leaf</t>
  </si>
  <si>
    <t>B084BRSNB1</t>
  </si>
  <si>
    <t>4789209661529</t>
  </si>
  <si>
    <t>Thymes Mandarin Coriander Hand Lotion</t>
  </si>
  <si>
    <t>Thymes Hand Cream - 2.5 Fl Oz - Mandarin Coriander</t>
  </si>
  <si>
    <t>B004MAL13O</t>
  </si>
  <si>
    <t>4789532491865</t>
  </si>
  <si>
    <t>Thymes Hand Cream - 2.5 Fl Oz - Washed Linen</t>
  </si>
  <si>
    <t>B07Q2F1STC</t>
  </si>
  <si>
    <t>C.O. Bigelow Village Perfumer Moisturizing Body Lotion for Women and Men, Rosemary Mint Scented Lotion - No. 1532, 10 fl oz</t>
  </si>
  <si>
    <t>B08WFDDQ94</t>
  </si>
  <si>
    <t>Swanson Vanilla and Coconut Lip Balm 0.18 Ounce (5 g) Balm</t>
  </si>
  <si>
    <t>B012OFHGSW</t>
  </si>
  <si>
    <t>Thymes Frasier Fir 3-Wick Green Glass Candle</t>
  </si>
  <si>
    <t>7995.0</t>
  </si>
  <si>
    <t>-99.15%</t>
  </si>
  <si>
    <t>79.95</t>
  </si>
  <si>
    <t>4755148636249</t>
  </si>
  <si>
    <t>Thymes - Frasier Fir Limited Edition Statement Poured Candle, Small - 5 Ounce</t>
  </si>
  <si>
    <t>B01KIH5ACM</t>
  </si>
  <si>
    <t>Maryton Foot Pumice Stone for Feet Hard Skin Callus Remover and Scrubber (Pack of 4) (Blue)</t>
  </si>
  <si>
    <t>B07R6JZRS1</t>
  </si>
  <si>
    <t>Thymes Eucalyptus Hand Wash - Liquid Hand Soap In Pump Bottle (8.25 Fl Oz)</t>
  </si>
  <si>
    <t>B002WJHL3Q</t>
  </si>
  <si>
    <t>-99.16%</t>
  </si>
  <si>
    <t>Thymes Goldleaf Bar Soap</t>
  </si>
  <si>
    <t>Thymes - Goldleaf Hand Wash with Pump - Hydrating Liquid Hand Soap with Elegant Floral Scent - 8.25 oz</t>
  </si>
  <si>
    <t>B003718H1I</t>
  </si>
  <si>
    <t>4572238741593</t>
  </si>
  <si>
    <t>Thymes - Lavender Hand Wash with Pump - Hydrating Liquid Hand Soap with Calming Lavender Scent - 8.25 oz</t>
  </si>
  <si>
    <t>B002WJHL4A</t>
  </si>
  <si>
    <t>Thymes Olive Leaf Bar Soap</t>
  </si>
  <si>
    <t>Thymes Olive Leaf Hand Wash - Liquid Hand Soap In Pump Bottle (8.25 Fl Oz)</t>
  </si>
  <si>
    <t>B002WJHL54</t>
  </si>
  <si>
    <t>6900514848857</t>
  </si>
  <si>
    <t>Thymes Frasier Fir Electric Oil Diffuser Refill - Home Fragrance Oil - Aroma Diffuser Oil Refill - Use with Electric Aromatherapy Scent Diffusers for Home (0.25 fl oz)</t>
  </si>
  <si>
    <t>B08CVRZJQZ</t>
  </si>
  <si>
    <t>Thymes Kimono Rose Bar Soap</t>
  </si>
  <si>
    <t>Thymes - Kimono Rose Hand Wash with Pump - Hydrating Liquid Hand Soap with Soft Vanilla Rose Scent - 8.25 oz</t>
  </si>
  <si>
    <t>B0746Q1XL3</t>
  </si>
  <si>
    <t>4579929882713</t>
  </si>
  <si>
    <t>Rose Gold Sparkle Ball Stud Earrings</t>
  </si>
  <si>
    <t>Ross-Simons 6mm 14kt Rose Gold Ball Stud Earrings</t>
  </si>
  <si>
    <t>B07BB1TWDN</t>
  </si>
  <si>
    <t>7000.0</t>
  </si>
  <si>
    <t>4562902319193</t>
  </si>
  <si>
    <t>GREETING ART Father's Day Toolbox Pop Up Card,Father's Day Card, 3d Pop Up Greeting Card for Him– Father's Day Love Card,Birthday Card for DAD, Men, Husband, Brother</t>
  </si>
  <si>
    <t>B0BRRM317N</t>
  </si>
  <si>
    <t>Aveda Rosemary Mint Lotion Moisturizer - 1 Fl Oz (Pack of 8)</t>
  </si>
  <si>
    <t>B007XXMCG2</t>
  </si>
  <si>
    <t>Thymes Olive Leaf Cologne Spray Pen</t>
  </si>
  <si>
    <t>Thymes Cologne Spray Pen - 0.34 Fl Oz - Olive Leaf</t>
  </si>
  <si>
    <t>B07LFQGT3N</t>
  </si>
  <si>
    <t>-99.17%</t>
  </si>
  <si>
    <t>6851216343129</t>
  </si>
  <si>
    <t>Thymes Frasier Fir Candle - Poured Candle Tin with Gold Lid - Scented Candle with A Fresh Home Fragrance - Pine Needle Design (6.5 oz)</t>
  </si>
  <si>
    <t>B07PZF7X3K</t>
  </si>
  <si>
    <t>Better Office Products Farewell Goodbye Card with Envelope, Elegant Metallic Foil Design, Will Miss You Card, Coworker Goodbye Retirement Card, Classic 5 x 7 Inch Size (Blue Metallic)</t>
  </si>
  <si>
    <t>B0B1496W1C</t>
  </si>
  <si>
    <t>Funny Graduation Card For Him With Envelope - Original And Unique Congratulatory Present For Brother - Boyfriend - Son - Grandson - Best Friend. - Dude You Did It</t>
  </si>
  <si>
    <t>B0BWW96VHS</t>
  </si>
  <si>
    <t>-99.18%</t>
  </si>
  <si>
    <t>Hallmark Pack of Graduation Cards, You Did It (8 Cards with Envelopes)</t>
  </si>
  <si>
    <t>B09R1MKTGC</t>
  </si>
  <si>
    <t>Funny and original graduation card for her with envelope | Inspirational card for women from mom, dad, friend… Fun and empowering present for graduation day | Girl. You Did It</t>
  </si>
  <si>
    <t>B08DRS6J8Z</t>
  </si>
  <si>
    <t>Thymes Body Serum - 6.0 Fl Oz - Eucalyptus</t>
  </si>
  <si>
    <t>B0B1FZC7X7</t>
  </si>
  <si>
    <t>-99.19%</t>
  </si>
  <si>
    <t>Bliss Body Butter - Grapefruit and Aloe - Maximum Moisture Cream - 6.7 Fl Oz - Body Lotion for Dry Skin - Long-Lasting Moisturizer for Women &amp; Men - Vegan and Cruelty-Free</t>
  </si>
  <si>
    <t>B00D09EWHK</t>
  </si>
  <si>
    <t>THE FACE SHOP Real Blend Deep Cleansing Oil</t>
  </si>
  <si>
    <t>B07DSRT17W</t>
  </si>
  <si>
    <t>Thymes Lemon Leaf Fragrance Reed Diffuser</t>
  </si>
  <si>
    <t>5695.0</t>
  </si>
  <si>
    <t>4789216772185</t>
  </si>
  <si>
    <t>Thymes Fresh-Cut Basil Fragrance Reed Diffuser</t>
  </si>
  <si>
    <t>56.95</t>
  </si>
  <si>
    <t>4789064728665</t>
  </si>
  <si>
    <t>Thymes Lavender Body Scrub</t>
  </si>
  <si>
    <t>pureSCRUBS Premium Organic Body Scrub Set - INCLUDES spoon, loofah &amp; soap - Large 16oz LAVENDER BODY SCRUB Dead Sea Salt Infused Organic Essential Oils &amp; Nutrients</t>
  </si>
  <si>
    <t>B07JGHT6C1</t>
  </si>
  <si>
    <t>6768092348505</t>
  </si>
  <si>
    <t>pureSCRUBS Premium Pink Himalayan Salt Body Scrub Set - Large 16oz LAVENDER SCRUB, Organic Essential Oils &amp; Nutrients INCLUDES Wooden Stirring Spoon, Loofah &amp; Mini Exfoliating Bar Soap</t>
  </si>
  <si>
    <t>B07NX1BJVP</t>
  </si>
  <si>
    <t>pureSCRUBS Premium Organic Body Scrub Set 16oz EUCALYPTUS BODY SCRUB Dead Sea Salt Infused with Organic Essential Oils &amp; Nutrients INCLUDES Wooden Spoon, Loofah &amp; Organic Exfoliating Bar Soap</t>
  </si>
  <si>
    <t>B07JH2YG2N</t>
  </si>
  <si>
    <t>The Fearless Octopus Book</t>
  </si>
  <si>
    <t>Fish Baby Books Toys, Touch and Feel Cloth Soft Crinkle Books for Babies,Toddlers,Infants,Kids Activity Early Education Toy, Shark Tails Teething Toys Teether Ring, Baby Book Octopus, Ocean Sea Animal</t>
  </si>
  <si>
    <t>B0838177ZX</t>
  </si>
  <si>
    <t>-99.20%</t>
  </si>
  <si>
    <t>4720704585817</t>
  </si>
  <si>
    <t>Thymes Lemon Leaf All Purpose Cleaning Concentrate</t>
  </si>
  <si>
    <t>Puracy Multi-Surface Cleaner Concentrate, Makes 1 Gallon, Household Natural All Purpose Cleaning Solution (Organic Lemongrass)</t>
  </si>
  <si>
    <t>B08B7DX4ND</t>
  </si>
  <si>
    <t>4789695283289</t>
  </si>
  <si>
    <t>Thymes Body Lotion - 9.25 Fl Oz - Eucalyptus White Tea</t>
  </si>
  <si>
    <t>B07RPBMRWK</t>
  </si>
  <si>
    <t>Thymes Goldleaf Body Serum</t>
  </si>
  <si>
    <t>Thymes Goldleaf Body Scrub - Body Exfoliator for Skin Care Routine - Moisturizing and Exfoliating Body Scrub, Face Scrub, Foot Scrub, or Hand Scrub (7 Fl Oz)</t>
  </si>
  <si>
    <t>B09HLBHL17</t>
  </si>
  <si>
    <t>7021390659673</t>
  </si>
  <si>
    <t>Thymes Lemon Leaf Aromatic Candle</t>
  </si>
  <si>
    <t>Thymes Aromatic Jar Candle - Goldleaf Scented Candle for a Floral Home Fragrance - Matte White Candles (7.5 oz)</t>
  </si>
  <si>
    <t>B08YGYP731</t>
  </si>
  <si>
    <t>4789207728217</t>
  </si>
  <si>
    <t>Thymes Candle - 8 Oz - Lemon Leaf</t>
  </si>
  <si>
    <t>B084BYBJBB</t>
  </si>
  <si>
    <t>Thymes Magnolia Willow Aromatic Candle</t>
  </si>
  <si>
    <t>Thymes Aromatic Candle - Magnolia Willow - 8.0 Oz</t>
  </si>
  <si>
    <t>B0B4T77VNW</t>
  </si>
  <si>
    <t>39.95</t>
  </si>
  <si>
    <t>7288260165721</t>
  </si>
  <si>
    <t>Parqeut Men's Retro Tetris Video Game Blocks Novelty Dress &amp; Trouser Crew Socks</t>
  </si>
  <si>
    <t>B07XTQ7QR7</t>
  </si>
  <si>
    <t>American Greetings Funny Mother's Day Card for Wife, Girlfriend or Significant Other (Makes Me Love You Even More)</t>
  </si>
  <si>
    <t>B07RF4KDHM</t>
  </si>
  <si>
    <t>Riuog LED Beanie Hat with Light,USB Rechargeable Headlight Cap,Unisex Knit Lighted hat, for Outdoor Activities (Black 4 Pack)</t>
  </si>
  <si>
    <t>B0BLN93FD4</t>
  </si>
  <si>
    <t>-99.21%</t>
  </si>
  <si>
    <t>Thymes Frasier Fir Sink Set</t>
  </si>
  <si>
    <t>Frasier Fir Sink Set with Ceramic Caddy</t>
  </si>
  <si>
    <t>B0097LUYJ0</t>
  </si>
  <si>
    <t>5295.0</t>
  </si>
  <si>
    <t>52.95</t>
  </si>
  <si>
    <t>6576272179289</t>
  </si>
  <si>
    <t>Poo-Pourri Before-You-go Toilet Spray, Original Citrus Scent, 10 ml. &amp; Before-You-go Toilet Spray, Tropical Hibiscus 10 ml, (Pack of 1)</t>
  </si>
  <si>
    <t>B0B3F48H92</t>
  </si>
  <si>
    <t>Thymes Frasier Fir Fabric Softener</t>
  </si>
  <si>
    <t>Thymes Heritage Fabric Softener - 16 Fl Oz - Frasier Fir</t>
  </si>
  <si>
    <t>B0B9PH3JV6</t>
  </si>
  <si>
    <t>2295.0</t>
  </si>
  <si>
    <t>-99.22%</t>
  </si>
  <si>
    <t>6748375973977</t>
  </si>
  <si>
    <t>You're Fucking Welcome, Everybody Women's Crew Socks</t>
  </si>
  <si>
    <t>Blue Q You're Fucking Welcome, Everybody Women's Funny Crew Socks. (fits shoe size 5-10)</t>
  </si>
  <si>
    <t>B08C6D795V</t>
  </si>
  <si>
    <t>6941870653529</t>
  </si>
  <si>
    <t>People I Want To Meet: Dogs Women's Crew Socks</t>
  </si>
  <si>
    <t>Blue Q People To Meet: Dogs Crew Socks Shoe Size: 5-10</t>
  </si>
  <si>
    <t>B01IFHTVY0</t>
  </si>
  <si>
    <t>6900994277465</t>
  </si>
  <si>
    <t>Watch Out. I'll Fuckin' Hug You Women's Crew Socks</t>
  </si>
  <si>
    <t>Blue Q Women's Funny Crew Socks - Watch out. I'll Fucking Hug You. Fit shoe size 5-10.</t>
  </si>
  <si>
    <t>B08C6DH66N</t>
  </si>
  <si>
    <t>4769412513881</t>
  </si>
  <si>
    <t>The Ocean Just Gets Me Women's Crew Socks</t>
  </si>
  <si>
    <t>Blue Q Women's Crew Socks, The Ocean Just Gets Me (fits shoe size 5-10)</t>
  </si>
  <si>
    <t>B07T36KYMT</t>
  </si>
  <si>
    <t>4592654778457</t>
  </si>
  <si>
    <t>Dead Sea Collection Lavender Body Wash - with Dead Sea Minerals and Lavender Oil - Gentle Cleanses and Moisturizes Skin - Pack of 2 (67.6 fl. oz)</t>
  </si>
  <si>
    <t>B07T5DF1S5</t>
  </si>
  <si>
    <t>Thymes Goldleaf Body Scrub</t>
  </si>
  <si>
    <t>35.95</t>
  </si>
  <si>
    <t>6768119709785</t>
  </si>
  <si>
    <t>Thymes Kimono Rose Body Scrub</t>
  </si>
  <si>
    <t>6768027795545</t>
  </si>
  <si>
    <t>DISIWENE Pumice Cleaning Stone with Handle Toilet Bowl Cleaner Hard Water Ring Remover for Bath/Pool/Kitchen/Household Cleaning (4)</t>
  </si>
  <si>
    <t>B07Q3NYBG1</t>
  </si>
  <si>
    <t>Thymes Frasier Fir Car Diffuser Kit + Refills - Vent Clip Air Freshener Car Diffuser + 4 Frasier Fir Diffuser Reeds – Car Air Fresheners with Fresh Scent – Long-Lasting Car Fragrance Diffuser Set</t>
  </si>
  <si>
    <t>B0BDSKWH1D</t>
  </si>
  <si>
    <t>WaaHome You Did It Graduation Card for Her Him 2023, 4''x6'' Funny This Calls for Confetti Congrats Grad Gift Card For Girls Boys Seniors, Confetti Graduation Greeting Card with Envelope</t>
  </si>
  <si>
    <t>B0C458MLJ2</t>
  </si>
  <si>
    <t>-99.23%</t>
  </si>
  <si>
    <t>Thymes Frasier Wool Dryer Balls &amp; Fragrance Oil Set</t>
  </si>
  <si>
    <t>Thymes Frasier Fir Wool Dryer Balls Set – Includes 3 Wool Laundry Balls + 1 Frasier Fir Laundry Fragrance Oil for Dryer – Eliminate Wrinkles, Static &amp; Lint – Scented Laundry Supplies (0.5 fl oz)</t>
  </si>
  <si>
    <t>B09HL7NQ95</t>
  </si>
  <si>
    <t>6748388950105</t>
  </si>
  <si>
    <t>Thymes Frasier Fir Candle - Molded Green Glass Candle Jar - Scented Candle For A Fresh Home Fragrance - Single-Wick Candle (6.5 oz)</t>
  </si>
  <si>
    <t>B00YPP2IY2</t>
  </si>
  <si>
    <t>Thymes Frasier Fir Wax Melt</t>
  </si>
  <si>
    <t>Thymes Wax Melt - 1 Oz - Frasier Fir</t>
  </si>
  <si>
    <t>B0140PRIF0</t>
  </si>
  <si>
    <t>12.95</t>
  </si>
  <si>
    <t>4788992082009</t>
  </si>
  <si>
    <t>Thymes Frasier Fir Petite Pine Needle Reed Diffuser</t>
  </si>
  <si>
    <t>59.95</t>
  </si>
  <si>
    <t>4744451719257</t>
  </si>
  <si>
    <t>Thymes Goldleaf Petite Reed Diffuser</t>
  </si>
  <si>
    <t>6999166681177</t>
  </si>
  <si>
    <t>Thymes Eucalyptus Petite Reed Diffuser</t>
  </si>
  <si>
    <t>Thymes Petite Highland Frost Diffuser - Home Fragrance Diffuser Set Includes Reed Diffuser Sticks, Fragrance Oil, and Glass Bottle Oil Diffuser (4 Fl Oz)</t>
  </si>
  <si>
    <t>B0B997QP43</t>
  </si>
  <si>
    <t>6900511866969</t>
  </si>
  <si>
    <t>Thymes Kimono Rose Petite Reed Diffuser</t>
  </si>
  <si>
    <t>Thymes Petite Diffuser - 4 Fl Oz - Kimono Rose</t>
  </si>
  <si>
    <t>B09HLD55TP</t>
  </si>
  <si>
    <t>6902177529945</t>
  </si>
  <si>
    <t>Thymes Petite Simmered Cider Diffuser - Home Fragrance Diffuser Set Includes Reed Diffuser Sticks, Fragrance Oil, and Rose Gold Glass Bottle Oil Diffuser (4 fl oz)</t>
  </si>
  <si>
    <t>B074KLPGCP</t>
  </si>
  <si>
    <t>Thymes Petite Diffuser - 4 Fl Oz - Eucalyptus</t>
  </si>
  <si>
    <t>B09HLBV1ZP</t>
  </si>
  <si>
    <t>Thymes Petite Diffuser - 4 Fl Oz - Goldleaf</t>
  </si>
  <si>
    <t>B09HLCDZ2M</t>
  </si>
  <si>
    <t>Thymes Lavender Petite Reed Diffuser</t>
  </si>
  <si>
    <t>6902178087001</t>
  </si>
  <si>
    <t>Thymes Hand Wash - 9 Fl Oz - Mandarin Coriander</t>
  </si>
  <si>
    <t>B084C24Z33</t>
  </si>
  <si>
    <t>-99.24%</t>
  </si>
  <si>
    <t>Thymes Hand Lotion - 8.25 Fl Oz - Olive Leaf</t>
  </si>
  <si>
    <t>B002WJHK4Q</t>
  </si>
  <si>
    <t>Thymes Hand Lotion - 9 Fl Oz - Washed Linen</t>
  </si>
  <si>
    <t>B084BRZ787</t>
  </si>
  <si>
    <t>Thymes Hand Lotion Gold Pump - 8.25 Fl Oz - Goldleaf Gardenia</t>
  </si>
  <si>
    <t>B06WGWNKWC</t>
  </si>
  <si>
    <t>Thymes Hand Lotion - 9 Fl Oz - Mandarin Coriander</t>
  </si>
  <si>
    <t>B084BVKTZ8</t>
  </si>
  <si>
    <t>Thymes Hand Lotion Gold Pump - 8.25 Fl Oz - Goldleaf</t>
  </si>
  <si>
    <t>B07415CBKY</t>
  </si>
  <si>
    <t>Thymes Hand Lotion - 9 Fl Oz - Lemon Leaf</t>
  </si>
  <si>
    <t>B084BTV8FY</t>
  </si>
  <si>
    <t>Thymes Hand Lotion - 8.25 Fl Oz - Kimono Rose</t>
  </si>
  <si>
    <t>B002WJHL18</t>
  </si>
  <si>
    <t>Thymes Hand Wash - 9 Fl Oz - Lemon Leaf</t>
  </si>
  <si>
    <t>B084BWQP7C</t>
  </si>
  <si>
    <t>Thymes Hand Lotion - 8.25 Fl Oz – Lavender</t>
  </si>
  <si>
    <t>B002WJHL1I</t>
  </si>
  <si>
    <t>Thymes Hand Lotion - 9 Fl Oz - Fresh-Cut Basil</t>
  </si>
  <si>
    <t>B084BVDY2S</t>
  </si>
  <si>
    <t>Thymes Frasier Fir Pine Needle Votive Candle, 1 EA</t>
  </si>
  <si>
    <t>B07Q2GWCCQ</t>
  </si>
  <si>
    <t>Thymes Votive Gold Candle - 2 Oz - Frasier Fir</t>
  </si>
  <si>
    <t>B07RP34MZ3</t>
  </si>
  <si>
    <t>Thymes Hand Wash - 9 Fl Oz - Fresh-Cut Basil</t>
  </si>
  <si>
    <t>B084BZCCBB</t>
  </si>
  <si>
    <t>Thymes Frasier Fir All Purpose Cleaner 475mL</t>
  </si>
  <si>
    <t>Thymes All-Purpose Cleaner - 16 Fl Oz - Frasier Fir</t>
  </si>
  <si>
    <t>B00ZGRL3CG</t>
  </si>
  <si>
    <t>4744444215385</t>
  </si>
  <si>
    <t>Thymes Hand Lotion - 8.25 Fl Oz - Frasier Fir</t>
  </si>
  <si>
    <t>B0140PRCU6</t>
  </si>
  <si>
    <t>Thymes Pine Needle Frasier Fir Candle - 2 Oz</t>
  </si>
  <si>
    <t>B00YPP2UGI</t>
  </si>
  <si>
    <t>Thymes Hand Wash - 8.25 Fl Oz - Frasier Fir</t>
  </si>
  <si>
    <t>B0140PRD4Q</t>
  </si>
  <si>
    <t>Thymes Eucalyptus Aromatic Candle</t>
  </si>
  <si>
    <t>Thymes Aromatic Jar Candle - Lavender Honey Scented Candle for a Warm Home Fragrance - Matte White Candles (7.5 oz)</t>
  </si>
  <si>
    <t>B0B1G86C3F</t>
  </si>
  <si>
    <t>4195.0</t>
  </si>
  <si>
    <t>4784117350489</t>
  </si>
  <si>
    <t>Thymes Aromatic Jar Candle - Eucalyptus Scented Candle for a Fresh Home Fragrance - Luxury Aromatherapy Candle - Single Wick Glass Candle - Matte White Candles (7.5 oz)</t>
  </si>
  <si>
    <t>B08XQZNKW6</t>
  </si>
  <si>
    <t>Thymes Goldleaf Gardenia Aromatic Candle</t>
  </si>
  <si>
    <t>41.95</t>
  </si>
  <si>
    <t>6935129292889</t>
  </si>
  <si>
    <t>Thymes Goldleaf Aromatic Candle</t>
  </si>
  <si>
    <t>4784114237529</t>
  </si>
  <si>
    <t>Thymes Goldleaf Body Creme</t>
  </si>
  <si>
    <t>4572055568473</t>
  </si>
  <si>
    <t>Thymes Lavender Aromatic Candle</t>
  </si>
  <si>
    <t>Votivo Saint Germain Lavender 6.8 oz Aromatic Candle | Soy Wax Blend | Luxury Glass Jar Scented Candle &amp; Box | Candles for Home Scented | Candle Gifts | Long Burning &amp; Highly Scented</t>
  </si>
  <si>
    <t>B07D8XDJCN</t>
  </si>
  <si>
    <t>6543920889945</t>
  </si>
  <si>
    <t>Thymes Mandarin Coriander Aromatic Candle</t>
  </si>
  <si>
    <t>Thymes Candle - 8 Oz - Mandarin Coriander</t>
  </si>
  <si>
    <t>B07P8BQCB7</t>
  </si>
  <si>
    <t>4789527674969</t>
  </si>
  <si>
    <t>Thymes Goldleaf Gardenia Body Creme</t>
  </si>
  <si>
    <t>4781149454425</t>
  </si>
  <si>
    <t>Thymes Kimono Rose Aromatic Candle</t>
  </si>
  <si>
    <t>Thymes Aromatic Jar Candle - Kimono Rose Scented Candle for a Floral Home Fragrance - Matte White Candles (7.5 oz)</t>
  </si>
  <si>
    <t>B08XR2QK12</t>
  </si>
  <si>
    <t>6543924232281</t>
  </si>
  <si>
    <t>WLWLGLUCK Funny Father‘s Day Card with Envelope, Super Daddio Card for Dad Daddy Grandpa, Humor Father‘s Day Greeting Card from Son, Happy Father’s Day Card from Daughter Son</t>
  </si>
  <si>
    <t>B0BZNXVP2W</t>
  </si>
  <si>
    <t>Sharonlily Happy Fathers Day Pop Up Card, Handcrafted 3D Super Dad Greeting Cards from Wife, Daughter, Son, Kids for Father, Husband, Grandfather, All Occasion.</t>
  </si>
  <si>
    <t>B0C5HVFGPP</t>
  </si>
  <si>
    <t>Thymes Fragrance Mist - 3 Oz - Lavender</t>
  </si>
  <si>
    <t>B0035YV2HS</t>
  </si>
  <si>
    <t>Thymes Fragrance Mist - 3 Oz - Goldleaf Gardenia</t>
  </si>
  <si>
    <t>B013GZLXT2</t>
  </si>
  <si>
    <t>Thymes Kimono Rose Home Fragrance Mist</t>
  </si>
  <si>
    <t>Thymes Fragrance Mist - 3 Oz - Kimono Rose</t>
  </si>
  <si>
    <t>B074V4798L</t>
  </si>
  <si>
    <t>4579924967513</t>
  </si>
  <si>
    <t>Thymes Goldleaf Home Fragrance Mist</t>
  </si>
  <si>
    <t>Thymes Fragrance Mist - 3 Oz - Goldleaf</t>
  </si>
  <si>
    <t>B074134LYW</t>
  </si>
  <si>
    <t>4572200665177</t>
  </si>
  <si>
    <t>Thymes Lemon Leaf Home Fragrance Mist</t>
  </si>
  <si>
    <t>Thymes Fragrance Mist - 3 Oz - Lemon Leaf</t>
  </si>
  <si>
    <t>B084BN2BKG</t>
  </si>
  <si>
    <t>4789211856985</t>
  </si>
  <si>
    <t>Thymes Frasier Fir Bar Soap And Dish Set</t>
  </si>
  <si>
    <t>Thymes Bar Soap and Dish Set - 5.5 Oz - Frasier Fir</t>
  </si>
  <si>
    <t>B01KIH4UGY</t>
  </si>
  <si>
    <t>4761845956697</t>
  </si>
  <si>
    <t>Thymes Home Fragrance Mist - Frasier Fir Scented Room Spray for a Fresh Room Fragrance - Air Fresheners for Home - Bedroom &amp; Bathroom Spray Air Freshener (3 oz)</t>
  </si>
  <si>
    <t>B0140PRCX8</t>
  </si>
  <si>
    <t>Thymes Frasier Fir Aroma Refresher Oil</t>
  </si>
  <si>
    <t>Thymes Refresher Oil - 1 Fl Oz - Frasier Fir</t>
  </si>
  <si>
    <t>B0140PREGI</t>
  </si>
  <si>
    <t>4744456863833</t>
  </si>
  <si>
    <t>Thymes Fragrance Mist - 3 Oz - Olive Leaf</t>
  </si>
  <si>
    <t>B0746QZVJK</t>
  </si>
  <si>
    <t>Thymes Mandarin Coriander Home Fragrance Mist</t>
  </si>
  <si>
    <t>Thymes Fragrance Mist - 3 Oz - Mandarin Coriander</t>
  </si>
  <si>
    <t>B0007Z3NA2</t>
  </si>
  <si>
    <t>4789533835353</t>
  </si>
  <si>
    <t>Thymes Eucalyptus Home Fragrance Mist</t>
  </si>
  <si>
    <t>Thymes Fragrance Mist - Scented Room Spray for Home Fragrance - Eucalyptus - 3 oz</t>
  </si>
  <si>
    <t>B0746QW19Y</t>
  </si>
  <si>
    <t>4579848847449</t>
  </si>
  <si>
    <t>Serenity Bath Salts Jar</t>
  </si>
  <si>
    <t>Himalayan pink Salt and Jasmine Bath Salts in Glass Jar with Cork Lid and Bamboo Scoop 7 oz. Self Care Gifts For Her</t>
  </si>
  <si>
    <t>B09Z2QK6VR</t>
  </si>
  <si>
    <t>4613142642777</t>
  </si>
  <si>
    <t>Nature's Answer Coconut Vanilla Body Lotion With Pump, Pure Essential Oil, All Natural, Vegan, Gluten Free, Non GMO 16 FL Oz | For Sensitive Skin | Natural Exfoliation</t>
  </si>
  <si>
    <t>B072JVW271</t>
  </si>
  <si>
    <t>Thymes Washed Linen Wool Dryer Balls &amp; Laundry Fragrance Oil Set</t>
  </si>
  <si>
    <t>4495.0</t>
  </si>
  <si>
    <t>7142092243033</t>
  </si>
  <si>
    <t>Thymes Eucalyptus Hand Wash Refill</t>
  </si>
  <si>
    <t>Thymes Hand Wash Refill - Eucalyptus - 24.5 Fl Oz</t>
  </si>
  <si>
    <t>B0B75V5C7Q</t>
  </si>
  <si>
    <t>7118688878681</t>
  </si>
  <si>
    <t>Thymes Frasier Fir Hand Wash Refill</t>
  </si>
  <si>
    <t>6573477920857</t>
  </si>
  <si>
    <t>Thymes Goldleaf Gardenia Foaming Bath Salts Envelope</t>
  </si>
  <si>
    <t>Thymes - Goldleaf Gardenia Foaming Bath Salts - Soothing Combination of Epsom and Sea Salt for Relaxing Bath Soak - 2 oz</t>
  </si>
  <si>
    <t>B06X974M9R</t>
  </si>
  <si>
    <t>-99.25%</t>
  </si>
  <si>
    <t>4756062732377</t>
  </si>
  <si>
    <t>Thymes Lavender Bath Salts Envelope</t>
  </si>
  <si>
    <t>Thymes - Lavender Bath Salts - Soothing Combination of Epsom and Sea Salt for Relaxing Bath Soak - 2 oz</t>
  </si>
  <si>
    <t>B000FBK4LO</t>
  </si>
  <si>
    <t>4766329733209</t>
  </si>
  <si>
    <t>Thymes Olive Leaf Bath Salts Envelope</t>
  </si>
  <si>
    <t>Thymes - Olive Leaf Bath Salts - Soothing Combination of Epsom and Sea Salt for Relaxing Bath Soak - 2 oz</t>
  </si>
  <si>
    <t>B00152JSTG</t>
  </si>
  <si>
    <t>6851205890137</t>
  </si>
  <si>
    <t>Thymes Frasier Fir Decorative Sachet</t>
  </si>
  <si>
    <t>Thymes Decorative Sachet - Frasier Fir</t>
  </si>
  <si>
    <t>B08CVTR8T7</t>
  </si>
  <si>
    <t>4744452603993</t>
  </si>
  <si>
    <t>2Pcs Grand Canal Soap,200g Underwear Cleaning Soap Bar, Good Stain Remover Bar for Clothes, Cleaning Soap Bar for Stains, Natural Plant Soap Cleaning for Baby &amp; Kid's Clothing.</t>
  </si>
  <si>
    <t>B0BV6CZ34H</t>
  </si>
  <si>
    <t>Thymes Frasier Fir Bar Soap - Pine Tree Scented Hand and Body Soap (5.5 oz)</t>
  </si>
  <si>
    <t>B0140PRD0U</t>
  </si>
  <si>
    <t>Nchigedy Funny DILF Fathers Day Card for Him Husband, Naughty Fathers Day Card from Wife, Happy Father's Day to my Favorite DILF</t>
  </si>
  <si>
    <t>B0C1V1LRKK</t>
  </si>
  <si>
    <t>Father’s Day Card from Wife, Funny Fathers Day Card for Husband, Happy Father's Day to My Favorite DILF</t>
  </si>
  <si>
    <t>B09WD9GZJF</t>
  </si>
  <si>
    <t>Whiskey Men's Crew Socks</t>
  </si>
  <si>
    <t>BUY SOCKS YOU ALL Sippin in a Whiskey Wonderland Men's Socks</t>
  </si>
  <si>
    <t>B0988688LJ</t>
  </si>
  <si>
    <t>7311851389017</t>
  </si>
  <si>
    <t>The Hiccupy Dragon Book</t>
  </si>
  <si>
    <t>Jellycat The Hiccupy Dragon Book</t>
  </si>
  <si>
    <t>B07VYL7PGB</t>
  </si>
  <si>
    <t>4741851807833</t>
  </si>
  <si>
    <t>The Very Brave Lion Book</t>
  </si>
  <si>
    <t>Jellycat The Very Brave Lion, 9 inches</t>
  </si>
  <si>
    <t>B01N10VCD9</t>
  </si>
  <si>
    <t>4720373071961</t>
  </si>
  <si>
    <t>Thymes Mandarin Coriander Hard-Working Hand Cream</t>
  </si>
  <si>
    <t>4789534883929</t>
  </si>
  <si>
    <t>Thymes Lemon Leaf Hard-Working Hand Cream</t>
  </si>
  <si>
    <t>4789155496025</t>
  </si>
  <si>
    <t>Thymes Washed Linen Hard-Working Hand Cream</t>
  </si>
  <si>
    <t>4789688041561</t>
  </si>
  <si>
    <t>Thymes Fresh-Cut Basil Hard-Working Hand Cream</t>
  </si>
  <si>
    <t>4789078327385</t>
  </si>
  <si>
    <t>Pretty Decent Boyfriend Men's Crew Socks</t>
  </si>
  <si>
    <t>Blue Q Socks, Men's Crew, Pretty Decent Boyfriend, Orange, Medium</t>
  </si>
  <si>
    <t>B07MD1MPK7</t>
  </si>
  <si>
    <t>4587265228889</t>
  </si>
  <si>
    <t>ThisWear Whiskey Gifts Whiskey &amp; Cigars Message Socks If My Feet Are Up Pour Me a Cup Novelty Crew Socks</t>
  </si>
  <si>
    <t>B07VKG499J</t>
  </si>
  <si>
    <t>Blue Q Whiskey Socks Men's Funny Crew Socks (fits shoe size 7-12)</t>
  </si>
  <si>
    <t>B08C679Z38</t>
  </si>
  <si>
    <t>Selective Hearing Specialist Men's Crew Socks</t>
  </si>
  <si>
    <t>Blue Q Socks, Men's Crew, Selective Hearing Specialist, Size 7-12</t>
  </si>
  <si>
    <t>B079C5JBXY</t>
  </si>
  <si>
    <t>4587300880473</t>
  </si>
  <si>
    <t>Thymes Body Wash Silver Pump - 9.25 Fl Oz - Eucalyptus White Tea</t>
  </si>
  <si>
    <t>B07RQ6W2G2</t>
  </si>
  <si>
    <t>Thymes - Lavender Body Wash - Hydrating Lavender Shower Gel for Gentle Calming Cleanse - 9.25 oz</t>
  </si>
  <si>
    <t>B001LF4DCY</t>
  </si>
  <si>
    <t>Thymes - Goldleaf Perfumed Body Wash with Pump - Luxury Floral Shower Gel for Women - 9.25 oz</t>
  </si>
  <si>
    <t>B0746RY96D</t>
  </si>
  <si>
    <t>EO Products Bubble Bath Serenity French Lavender with Aloe - 12 fl oz</t>
  </si>
  <si>
    <t>B00APAEG00</t>
  </si>
  <si>
    <t>Bare Botanics Lavender Tea Tree Body Scrub 24oz | Made in Madison, WI | All Natural Sea Salt Exfoliator w/ Skin Loving Moisturizers | Vegan &amp; Cruelty Free | Gift Ready Packaging w/ a Cute Wooden Spoon</t>
  </si>
  <si>
    <t>B08539CGKS</t>
  </si>
  <si>
    <t>Bare Botanics Matcha Eucalyptus Body Scrub 24oz | Made in Madison, WI | All Natural Sea Salt Exfoliator w/Skin Loving Moisturizers | Vegan &amp; Cruelty Free | Gift Ready Packaging w/a Cute Wooden Spoon</t>
  </si>
  <si>
    <t>B09L8PDRH2</t>
  </si>
  <si>
    <t>Soap &amp; Glory Smoothie Star Moisturizing Body Lotion - Skin Softening Cocoa Butter &amp; Coconut Oil Moisturizing Body Lotion - Almond &amp; Vanilla Scented Lotion For Daily Use (500ml)</t>
  </si>
  <si>
    <t>B0B98ZMFJN</t>
  </si>
  <si>
    <t>Happy Fathers Day Card To The King Of My Heart - Romantic Fathers Day Card For Husband From Wife - Father's Day Greeting Card.</t>
  </si>
  <si>
    <t>B0B7BYRNRX</t>
  </si>
  <si>
    <t>WoodWick Frasier Fir Hourglass 3 oz Wax Melt</t>
  </si>
  <si>
    <t>B06XXP2QM9</t>
  </si>
  <si>
    <t>Thymes Eucalyptus and Lavender Pura Smart Home Diffuser Kit</t>
  </si>
  <si>
    <t>11495.0</t>
  </si>
  <si>
    <t>114.95</t>
  </si>
  <si>
    <t>7061290287193</t>
  </si>
  <si>
    <t>Thymes Frasier Fir Pura Smart Home Diffuser Kit</t>
  </si>
  <si>
    <t>6827756355673</t>
  </si>
  <si>
    <t>Thymes Reed Diffuser Oil - Lemon Leaf - 7.75 Fl Oz</t>
  </si>
  <si>
    <t>B0B4T5R39T</t>
  </si>
  <si>
    <t>Thymes Reed Diffuser Oil - Mandarin Coriander - 7.75 Fl Oz</t>
  </si>
  <si>
    <t>B0B4T8DVK2</t>
  </si>
  <si>
    <t>NEST Fragrances Reed Diffuser Refill, Cedar Leaf &amp; Lavender, 5 Fluid Ounces</t>
  </si>
  <si>
    <t>B085HZPKYJ</t>
  </si>
  <si>
    <t>Thymes Reed Diffuser Oil - 7.75 Fl Oz - Lavender</t>
  </si>
  <si>
    <t>B00T8CKQPK</t>
  </si>
  <si>
    <t>Thymes Reed Diffuser Oil - 7.75 Fl Oz – Eucalyptus</t>
  </si>
  <si>
    <t>B06WVJ2CNH</t>
  </si>
  <si>
    <t>Thymes Goldleaf Gardenia Reed Diffuser Refill</t>
  </si>
  <si>
    <t>Thymes Reed Diffuser Oil - 7.75 Fl Oz - Goldleaf Gardenia</t>
  </si>
  <si>
    <t>B06XSR5SRH</t>
  </si>
  <si>
    <t>4756059291737</t>
  </si>
  <si>
    <t>Thymes Goldleaf Reed Diffuser Refill</t>
  </si>
  <si>
    <t>Thymes Reed Diffuser Oil - 7.75 Fl Oz – Goldleaf</t>
  </si>
  <si>
    <t>B00T8EEYO2</t>
  </si>
  <si>
    <t>4572196601945</t>
  </si>
  <si>
    <t>Thymes Body Serum - 6.0 Fl Oz - Goldleaf</t>
  </si>
  <si>
    <t>B0B1G36TKV</t>
  </si>
  <si>
    <t>-99.26%</t>
  </si>
  <si>
    <t>Thymes Frasier Fir Petite Green Reed Diffuser</t>
  </si>
  <si>
    <t>6195.0</t>
  </si>
  <si>
    <t>4757341765721</t>
  </si>
  <si>
    <t>Welcome To My Cooking Show! Oven Mitt</t>
  </si>
  <si>
    <t>Blue Q Funny Oven Mitt ~ Welcome to My Cooking Show. Super-Insulated Quilting, Comfy Natural-fiitting Shape, 100% Cotton.</t>
  </si>
  <si>
    <t>B0C827QY7W</t>
  </si>
  <si>
    <t>22.95</t>
  </si>
  <si>
    <t>7311884714073</t>
  </si>
  <si>
    <t>Thymes Bar Soap - 7 Oz - GoldLeaf</t>
  </si>
  <si>
    <t>B073ZX12FX</t>
  </si>
  <si>
    <t>Thymes Goldleaf Gardenia Bar Soap</t>
  </si>
  <si>
    <t>Thymes Bath Soap - 6 Oz - Goldleaf Gardenia</t>
  </si>
  <si>
    <t>B06X96LG1F</t>
  </si>
  <si>
    <t>4755756941401</t>
  </si>
  <si>
    <t>Thymes Bath Soap - 6 Oz - Olive Leaf</t>
  </si>
  <si>
    <t>B0746QDC9G</t>
  </si>
  <si>
    <t>Thymes Eucalyptus Bar Soap - 6 Oz</t>
  </si>
  <si>
    <t>B0B92W9F4Y</t>
  </si>
  <si>
    <t>Thymes Bath Soap - 6 Oz - Kimono Rose</t>
  </si>
  <si>
    <t>B0761X1QFF</t>
  </si>
  <si>
    <t>Hallmark Signature Father's Day Card for Dad (Superman)</t>
  </si>
  <si>
    <t>B06XYWVBDF</t>
  </si>
  <si>
    <t>CJ&amp;M Happy Fathers Day Card | Dad Card | Tools | DIY | Saw | Tape Measure | Spirit Level.Traditional Cute and Humorous Father's Card from Kids.This cute, illustrated card is perfect for your dad on Father's Day.</t>
  </si>
  <si>
    <t>B0C1YRGK7Q</t>
  </si>
  <si>
    <t>Thymes Goldleaf Gardenia Petite Reed Diffuser</t>
  </si>
  <si>
    <t>Thymes Petite Diffuser - 4 Fl Oz - Goldleaf Gardenia</t>
  </si>
  <si>
    <t>B09HL8S3SK</t>
  </si>
  <si>
    <t>-99.27%</t>
  </si>
  <si>
    <t>7287272112217</t>
  </si>
  <si>
    <t>Thymes Frasier Fir Petite Gold Reed Diffuser</t>
  </si>
  <si>
    <t>Thymes Petite Gold Frasier Fir Diffuser - Home Fragrance Diffuser Set Includes Reed Diffuser Sticks, Fragrance Oil, and Glass Bottle Oil Diffuser (4 fl oz)</t>
  </si>
  <si>
    <t>B07KB9S388</t>
  </si>
  <si>
    <t>7131972337753</t>
  </si>
  <si>
    <t>Botanic Hearth Aloe Vera Hand Soap with Eucalyptus Essential Oil - Liquid Hand Wash for Cleansing, Moisturizing, and Nourishing Hand &amp; Body, 16 fl oz</t>
  </si>
  <si>
    <t>B0877YHFW2</t>
  </si>
  <si>
    <t>Thymes Eucalyptus Dishwashing Liquid</t>
  </si>
  <si>
    <t>Thymes Eucalyptus Dishwashing Liquid Soap - Eco Friendly Dish Soap Liquid for Dish Washing - Liquid Dish Soap Refill - Household Cleaning Supplies (16 fl oz)</t>
  </si>
  <si>
    <t>B0C549X14W</t>
  </si>
  <si>
    <t>7319555309657</t>
  </si>
  <si>
    <t>Thymes Frasier Fir Dishwashing Liquid</t>
  </si>
  <si>
    <t>Thymes Dishwashing Liquid (Frasier Fir)</t>
  </si>
  <si>
    <t>B0140PREDG</t>
  </si>
  <si>
    <t>4744441757785</t>
  </si>
  <si>
    <t>Thymes Mandarin Coriander Dishwashing Liquid</t>
  </si>
  <si>
    <t>Thymes Mandarin Coriander Dishwashing Liquid Soap - Eco Friendly Dish Soap Liquid for Dish Washing - Household Cleaning Supplies - 16 fl oz</t>
  </si>
  <si>
    <t>B004MAOISY</t>
  </si>
  <si>
    <t>4789533278297</t>
  </si>
  <si>
    <t>Thymes Mandarin Coriander Deodorizing Linen Spray</t>
  </si>
  <si>
    <t>Thymes Linen Spray - 9 Fl Oz - Mandarin Coriander</t>
  </si>
  <si>
    <t>B084BV3YLN</t>
  </si>
  <si>
    <t>4789537669209</t>
  </si>
  <si>
    <t>Thymes Lemon Leaf Dishwashing Liquid</t>
  </si>
  <si>
    <t>Thymes Lemon Leaf Dishwashing Liquid Soap - Eco Friendly Dish Soap Liquid for Dish Washing - Household Cleaning Supplies - 16 fl oz</t>
  </si>
  <si>
    <t>B084BRZY74</t>
  </si>
  <si>
    <t>4789208481881</t>
  </si>
  <si>
    <t>Thymes Votive Candle - 2 Oz - Frasier Fir in Frosted Plaid Votive, 2 Ounce.</t>
  </si>
  <si>
    <t>B09N2LD2KW</t>
  </si>
  <si>
    <t>Thymes Washed Linen Deodorizing Linen Spray</t>
  </si>
  <si>
    <t>Thymes Countertop Spray - 16.5 Fl Oz - Washed Linen</t>
  </si>
  <si>
    <t>B07PH1HJX3</t>
  </si>
  <si>
    <t>4789688926297</t>
  </si>
  <si>
    <t>Thymes Fresh-Cut Basil Dishwashing Liquid</t>
  </si>
  <si>
    <t>Thymes Fresh-Cut Basil Dishwashing Liquid Soap - Eco Friendly Dish Soap Liquid for Dish Washing - Household Cleaning Supplies - 16 fl oz</t>
  </si>
  <si>
    <t>B07Q1K5S57</t>
  </si>
  <si>
    <t>4789069840473</t>
  </si>
  <si>
    <t>Thymes Lemon Leaf Deodorizing Linen Spray</t>
  </si>
  <si>
    <t>Thymes Linen Spray - 9 Fl Oz - Lemon Leaf</t>
  </si>
  <si>
    <t>B0913J4SVY</t>
  </si>
  <si>
    <t>6538829004889</t>
  </si>
  <si>
    <t>Serenity Massage Oil</t>
  </si>
  <si>
    <t>Serenity Massage Oil 8 Fl. Oz. Edible. Contains Pure Essential Oils of Ylang Ylang, Lavender, Rosemary, Orange, Lemon and Lime with All Natural Plant Oils.</t>
  </si>
  <si>
    <t>B009M91EO6</t>
  </si>
  <si>
    <t>2200.0</t>
  </si>
  <si>
    <t>4651262017625</t>
  </si>
  <si>
    <t>Premium Grade Essential Oils-Serenity- Gift Set 6/10ml Pure Essential Oils for Diffuser, Humidifier, Massage, Aromatherapy, Skin &amp; Hair Care</t>
  </si>
  <si>
    <t>B07TD6VKNC</t>
  </si>
  <si>
    <t>Hallmark Signature Anniversary Card, Valentines Day Card, Love Card (Rainbow Heart)</t>
  </si>
  <si>
    <t>B07HSXBRX9</t>
  </si>
  <si>
    <t>Thymes Kimono Rose Reed Diffuser Refill</t>
  </si>
  <si>
    <t>Thymes Reed Diffuser Oil - Kimono Rose - 7.75 Fl Oz</t>
  </si>
  <si>
    <t>B0B4T7B6NT</t>
  </si>
  <si>
    <t>-99.28%</t>
  </si>
  <si>
    <t>7039808045145</t>
  </si>
  <si>
    <t>Sport Massage Body Butter</t>
  </si>
  <si>
    <t>iON Performance Athlete Warmup Muscle Rub with Cayenne, Creatine, Shea Butter and Orange Essential Oil. Perfect for pre-Game Muscle Massage, Leg, Back and Body. Race, Fight and Training Prep</t>
  </si>
  <si>
    <t>B08N9H3QFC</t>
  </si>
  <si>
    <t>1800.0</t>
  </si>
  <si>
    <t>4585159426137</t>
  </si>
  <si>
    <t>Thymes Kimono Rose Bubble Bath</t>
  </si>
  <si>
    <t>Thymes Bubble Bath - 11.5 Fl Oz - Kimono Rose</t>
  </si>
  <si>
    <t>B0776FCD9J</t>
  </si>
  <si>
    <t>4579893543001</t>
  </si>
  <si>
    <t>Thymes Lemon Leaf Concentrated Laundry Detergent</t>
  </si>
  <si>
    <t>Thymes Laundry Detergent - 32 Fl Oz - Lemon Leaf</t>
  </si>
  <si>
    <t>B0913GCWJT</t>
  </si>
  <si>
    <t>6559373983833</t>
  </si>
  <si>
    <t>Thymes Goldleaf Gardenia Bubble Bath</t>
  </si>
  <si>
    <t>Thymes Bubble Bath - 11.5 Fl Oz - Goldleaf Gardenia</t>
  </si>
  <si>
    <t>B07769SLYG</t>
  </si>
  <si>
    <t>4756064796761</t>
  </si>
  <si>
    <t>Thymes Goldleaf Bubble Bath</t>
  </si>
  <si>
    <t>Thymes Bubble Bath - 11.5 Fl Oz - Goldleaf</t>
  </si>
  <si>
    <t>B0776F82S5</t>
  </si>
  <si>
    <t>4572184019033</t>
  </si>
  <si>
    <t>Thymes Mandarin Coriander Concentrated Laundry Detergent</t>
  </si>
  <si>
    <t>Thymes Laundry Detergent - 32 Fl Oz - Mandarin Coriander</t>
  </si>
  <si>
    <t>B084BVTS9N</t>
  </si>
  <si>
    <t>38.95</t>
  </si>
  <si>
    <t>4789536522329</t>
  </si>
  <si>
    <t>Thymes Washed Linen Concentrated Laundry Detergent</t>
  </si>
  <si>
    <t>Thymes Laundry Detergent - 32 Fl Oz - Washed Linen</t>
  </si>
  <si>
    <t>B084C2DY3B</t>
  </si>
  <si>
    <t>4789688336473</t>
  </si>
  <si>
    <t>Thymes Bubble Bath - 11.5 Fl Oz - Lavender</t>
  </si>
  <si>
    <t>B0776FB7T6</t>
  </si>
  <si>
    <t>Thymes Frasier Fir Concentrated Laundry Detergent</t>
  </si>
  <si>
    <t>Thymes Laundry Detergent - 32 Fl Oz - Frasier Fir</t>
  </si>
  <si>
    <t>B08CVS8VH6</t>
  </si>
  <si>
    <t>4744460075097</t>
  </si>
  <si>
    <t>Thymes Eucalyptus Bubble Bath</t>
  </si>
  <si>
    <t>Thymes Bubble Bath - 11.5 Fl Oz - Eucalyptus</t>
  </si>
  <si>
    <t>B0776BQG1L</t>
  </si>
  <si>
    <t>4579802873945</t>
  </si>
  <si>
    <t>American Greetings Funny Retirement Card (Good things)</t>
  </si>
  <si>
    <t>B0731VKNX4</t>
  </si>
  <si>
    <t>American Greetings Retirement Card (Time of Your Life)</t>
  </si>
  <si>
    <t>B00VNPC4CI</t>
  </si>
  <si>
    <t>Thymes Reed Refill - 14 Reeds - Frasier Fir</t>
  </si>
  <si>
    <t>B0140PRH7Y</t>
  </si>
  <si>
    <t>Vanilla Coconut Foaming Wash Refill</t>
  </si>
  <si>
    <t>Method Premium Foaming Hand Wash Refill, Vanilla + Raspberry, Recyclable Bottles, Biodegradable Formula, 28 fl oz (Pack of 4)</t>
  </si>
  <si>
    <t>B0BQ59BKBP</t>
  </si>
  <si>
    <t>4800.0</t>
  </si>
  <si>
    <t>4548606132313</t>
  </si>
  <si>
    <t>Thymes Frasier Fir Pillar Candle - Place on Candle Holder - Winter &amp; Fall Candles with a Luxury Home Fragrance - Highly Scented Candles (3 x 3 Pillar)</t>
  </si>
  <si>
    <t>B0BZ1NJDYL</t>
  </si>
  <si>
    <t>Thymes Goldleaf Gardenia Eau de Parfum Spray Pen (0.34 fl oz)</t>
  </si>
  <si>
    <t>B07LFPPYNV</t>
  </si>
  <si>
    <t>Thymes Lavender Eau De Parfume Spray Pen</t>
  </si>
  <si>
    <t>Thymes Perfume Spray Pen - 0.34 Fl Oz - Lavender</t>
  </si>
  <si>
    <t>B07LFQSBVQ</t>
  </si>
  <si>
    <t>6538816946265</t>
  </si>
  <si>
    <t>Thymes Eucalyptus Cologne Spray Pen</t>
  </si>
  <si>
    <t>Thymes Cologne Spray Pen - 0.34 Fl Oz - Eucalyptus</t>
  </si>
  <si>
    <t>B07LFNK5P8</t>
  </si>
  <si>
    <t>4579809722457</t>
  </si>
  <si>
    <t>The Lotion Company 24 Hour Skin Therapy Lotion, Fragrance Free, Unscented (Free &amp; Clear) Full Body Moisturizer for sensitive skin, Paraben Free, Made in USA, w/ Aloe Vera, 16 Ounces</t>
  </si>
  <si>
    <t>B00BORS0EG</t>
  </si>
  <si>
    <t>-99.29%</t>
  </si>
  <si>
    <t>Deep Steep Body Lotion, 10oz (Vanilla Coconut)</t>
  </si>
  <si>
    <t>B09WVZZHT3</t>
  </si>
  <si>
    <t>DEEP STEEP Rosemary Mint Body Lotion, 10 FZ</t>
  </si>
  <si>
    <t>B09TX13FXN</t>
  </si>
  <si>
    <t>Thymes Frasier Fir Candle - Travel Tin Candle Jar - Scented Candle for Luxury Home Fragrance - Single-Wick Candle - Gold Candle (2.5 oz)</t>
  </si>
  <si>
    <t>B075DFNK4S</t>
  </si>
  <si>
    <t>Natural Deodorant for Men - Aluminum Free Mens Deodorant. Odor Protection and Freshness with All Natural Tea Tree Deodorant for Men, 2-Pack</t>
  </si>
  <si>
    <t>B089DN1WDJ</t>
  </si>
  <si>
    <t>You're Totally My Jam Peanut Butter &amp; Jelly Valentine Pun Themed Single (1) All Occasion Blank Valentine's Day Card To Send To Friends &amp; Family, 4"x 6" (when folded) Fill In Greeting Note Card by AmandaCreation</t>
  </si>
  <si>
    <t>B09QKFJ2F6</t>
  </si>
  <si>
    <t>-99.30%</t>
  </si>
  <si>
    <t>Hallmark Signature Congratulations Card or Graduation Card (You Did It)</t>
  </si>
  <si>
    <t>B08NR7TTY4</t>
  </si>
  <si>
    <t>Thymes Body Serum - 6.0 Fl Oz - Kimono Rose</t>
  </si>
  <si>
    <t>B0B1G4B6VM</t>
  </si>
  <si>
    <t>Hot Sox Men's Fun Cocktail Drinks Crew Socks - 1 Pair Pack - Happy Hour Cool &amp; Funny Novelty Fashion Socks</t>
  </si>
  <si>
    <t>B0B88VWGSL</t>
  </si>
  <si>
    <t>WeciBor Men's Dress Cool Colorful Fancy Novelty Funny Casual Combed Cotton Crew Socks Pack</t>
  </si>
  <si>
    <t>B07FR23LN4</t>
  </si>
  <si>
    <t>Lenicany 6Pack Pumice Stone for Toilet Cleaning Bowl Stick,Powerfully Cleans Hard Water Rings, Calcium Buildup &amp; Stains, Suitable for Cleaning Toilet, Bathtubs, Kitchen Sink, Grill</t>
  </si>
  <si>
    <t>B09PC1W676</t>
  </si>
  <si>
    <t>Thymes Frasier Fir All Purpose Cleaning Concentrate</t>
  </si>
  <si>
    <t>6935155572825</t>
  </si>
  <si>
    <t>I Love to Rub My Meat,Oven Mitts and Pot Holders Sets of 2，Funny Oven Mitt，Silicone Non-Slip Oven Mitts,BBQ Lover Gift,Chef Gift,Perfect for Kitchen,Cooking,Baking,Grilling</t>
  </si>
  <si>
    <t>B0BYKGFMX9</t>
  </si>
  <si>
    <t>Firefighter Dalmatian Thank You Favor Tags - Fire Rescue Birthday Baby Shower Party Tags - Set of 12</t>
  </si>
  <si>
    <t>B06ZZQ4ZFB</t>
  </si>
  <si>
    <t>-99.31%</t>
  </si>
  <si>
    <t>Visage Pure Ageless Defense - Most Powerful Anti-aging Cellular Restorative Face Serum - Containts Astaxanthin and Resveratrol. Protects the Skin From Aging - USDA Organic - Physician Formulated - Research Supported</t>
  </si>
  <si>
    <t>B08748WJC2</t>
  </si>
  <si>
    <t>Victoria's Secret Body Lotion, Coconut Passion, 8 Ounce</t>
  </si>
  <si>
    <t>B00J4XYN1Q</t>
  </si>
  <si>
    <t>Rainbow Socks PIZZA SOCKS BOX Pepperoni 1 pair Cotton Socks Made In Europe Unisex Funny Gift!</t>
  </si>
  <si>
    <t>B08FXRG888</t>
  </si>
  <si>
    <t>-99.32%</t>
  </si>
  <si>
    <t>Hallmark Father's Day Card for Husband (for A Wonderful Husband and Father)</t>
  </si>
  <si>
    <t>B084ZQRWZT</t>
  </si>
  <si>
    <t>Truck Tooth Fairy Pillow Set</t>
  </si>
  <si>
    <t>MON AMI Tooth Fairy Pillow &amp; Doll Set, Plush Set, Stuffed Doll and Pillow Set, Multi Color, 9 inches, Ages-0+</t>
  </si>
  <si>
    <t>B076WPS154</t>
  </si>
  <si>
    <t>49.95</t>
  </si>
  <si>
    <t>7395839672409</t>
  </si>
  <si>
    <t>Deilin Bluetooth Beanie Hat with Light, Unisex USB Rechargeable 5 LED Headlamp Cap with Headphones,Gifts for Men Women Teen(Upgrade Black)</t>
  </si>
  <si>
    <t>B0BGL6SWYL</t>
  </si>
  <si>
    <t>-99.33%</t>
  </si>
  <si>
    <t>Thymes Frasier Fir Hand Cream - 1 Fl Oz</t>
  </si>
  <si>
    <t>B0779KPHSC</t>
  </si>
  <si>
    <t>Poo-Pourri Before-You-Go Toilet Spray, Ship Happens, 2 Fl Oz - Coconut, Freesia and Citrus</t>
  </si>
  <si>
    <t>B01C659V6K</t>
  </si>
  <si>
    <t>Poo-Pourri Before-You-Go Toilet Spray, On-The-Go, Travel Size Variety 10 mL - Original Citrus, Lavender Vanilla and Fresh Air 0.34 Fl Oz (Pack of 3)</t>
  </si>
  <si>
    <t>B09ZHM3XHH</t>
  </si>
  <si>
    <t>Crazy Dog T-Shirts Women's The Ocean Just Gets Me Socks Funny Beach Vacation Boating Novelty Footwear</t>
  </si>
  <si>
    <t>B09CP1PVJH</t>
  </si>
  <si>
    <t>BodyMed Formulations Deep Tissue Massage Cream, 4 oz. – Fragrance-Free, All-Natural Cream for Massage Therapy – Formulated with Arnica Extract &amp; Cocoa Butter – Hypoallergenic &amp; Paraben Free</t>
  </si>
  <si>
    <t>B0B6WTL28N</t>
  </si>
  <si>
    <t>TILO JEWELRY 14k White Gold Ball Stud Earrings with Secure Screw-backs</t>
  </si>
  <si>
    <t>B01AGYMZ20</t>
  </si>
  <si>
    <t>Super Birthday Cards for Dad - Super Daddio - Dad Birthday Card from Daughter Son Child, Toddler Baby 1st Father's Day, 5.7 x 5.7 Inch Video Game Gamer Papa Fun Funny Greeting Cards</t>
  </si>
  <si>
    <t>B0C37HWL87</t>
  </si>
  <si>
    <t>Hallmark Valentines Day Card for Mom, Dad, or Parents (So Grateful for You)</t>
  </si>
  <si>
    <t>B0BGYGJ58D</t>
  </si>
  <si>
    <t>-99.34%</t>
  </si>
  <si>
    <t>FaCraft You Did It Graduation Card for Her Him Seniors Congratulations Graduation Greeting Cards with Envelope Class of 2023 Graduation Gift Card for Boy Girl Son Daughter High School College Grade</t>
  </si>
  <si>
    <t>B0C43DW3BF</t>
  </si>
  <si>
    <t>-99.35%</t>
  </si>
  <si>
    <t>The Courageous Dragon Book</t>
  </si>
  <si>
    <t>Dragon's Teeth: The Lanny Budd Novels, Book 3</t>
  </si>
  <si>
    <t>B09VCT85PK</t>
  </si>
  <si>
    <t>6798406484057</t>
  </si>
  <si>
    <t>Bioworld Halo Socks Men's Video Game Gaming UNSC Master Chief Patterns 2 Pack Mid-Calf Crew Socks</t>
  </si>
  <si>
    <t>B09M7CVN6F</t>
  </si>
  <si>
    <t>Aromaland 12oz. Hand and Body Lotion for Dry and Dead Skin – Rosemary Mint Body Lotion – Aromatherapy Body Lotion with Peppermint Extracts</t>
  </si>
  <si>
    <t>B002SFNVW4</t>
  </si>
  <si>
    <t>-99.36%</t>
  </si>
  <si>
    <t>Lip Smacker Holiday Sugar Bear Flavored Lip Balm Spice Lattle, Yellow Stocking Stuffer</t>
  </si>
  <si>
    <t>B0BDDBZC79</t>
  </si>
  <si>
    <t>Shit Show Candle</t>
  </si>
  <si>
    <t>Congrats You Made It Out of The Shit Show Candle - Happy Retirement Candle - Funny Coworker Candles - Funny Gifts for Retirement -Coworker - Friendship - Lavender Scented Cand</t>
  </si>
  <si>
    <t>B0BZCBB18H</t>
  </si>
  <si>
    <t>6573468418137</t>
  </si>
  <si>
    <t>I Dew Care Face Serum - Juicy Kitten | With Kale, Heartleaf, Moringa Seed, Willow Bark Extarct, Purifying Power-Green Korean Skincare with Niacinamide, Green Juice for Face, Gift,1.01 Fl Oz</t>
  </si>
  <si>
    <t>B07XTSFF1N</t>
  </si>
  <si>
    <t>Thymes Olive Leaf Cologne</t>
  </si>
  <si>
    <t>6851213328473</t>
  </si>
  <si>
    <t>Coo Candles 16 Ounce Three Wick Soy Blend Make a Statement Funny Adult Candle - Great for White Elephant (Welcome to Shit Show)</t>
  </si>
  <si>
    <t>B07KFY2HTB</t>
  </si>
  <si>
    <t>BUY SOCKS YOU ALL My Favorite Color is Bourbon Men's Fun Cocktail Whiskey Drinks Crew Socks - 1 Pair - Happy Hour Funny Novelty Fashion Socks</t>
  </si>
  <si>
    <t>B07VF9WG88</t>
  </si>
  <si>
    <t>-99.37%</t>
  </si>
  <si>
    <t>Arsagen Cool Handyman Happy Father's Day Card, Measure Tool Card for Mr. Fix Dad, Funny DIY Dad Card, Dad No One Measure Up To You</t>
  </si>
  <si>
    <t>B0BWS1TTJ2</t>
  </si>
  <si>
    <t>EO Body Lotion, Coconut and Vanilla, 8 Ounce</t>
  </si>
  <si>
    <t>B004PYOWOC</t>
  </si>
  <si>
    <t>Spenser &amp; Jensen Hydrating Lavender &amp; Chamomile Body Butter - Gentle On All Skin Types - Moisturizing Body Lotion for Women &amp; Men - Paraben Free - 8 Oz (Pack of 1)</t>
  </si>
  <si>
    <t>B0BQNYFJKW</t>
  </si>
  <si>
    <t>-99.38%</t>
  </si>
  <si>
    <t>Essentially KateS Tea Tree Rosemary Mint Body and Foot Wash 16.9 fl. oz. - Helps Nail, Athletes Foot, Ringworms, Jock Itch, Acne, Eczema &amp; Body Odor, Soothes Itching Skin and Feet</t>
  </si>
  <si>
    <t>B0C8R5H7LK</t>
  </si>
  <si>
    <t>eos Sunset Sips Lip Balms- Island Coconut &amp; Vanilla Frappe, All-Day Moisture, Lip Care, 0.14 oz, 2-Pack</t>
  </si>
  <si>
    <t>B0BVSRQL2F</t>
  </si>
  <si>
    <t>Deep Steep Bubble Bath, 10 oz (Vanilla Coconut)</t>
  </si>
  <si>
    <t>B0B3KRMHRC</t>
  </si>
  <si>
    <t>Thymes Fragrance Duo - Contains Petite Hand Cream &amp; Perfume Spray Pen - Lavender</t>
  </si>
  <si>
    <t>B08CVST7FY</t>
  </si>
  <si>
    <t>Thymes Mandarin Coriander Fragrance Reed Diffuser</t>
  </si>
  <si>
    <t>-99.39%</t>
  </si>
  <si>
    <t>4789530460249</t>
  </si>
  <si>
    <t>Thymes Frasier Fir Gilded Ceramic Reed Diffuser</t>
  </si>
  <si>
    <t>7495.0</t>
  </si>
  <si>
    <t>6748497739865</t>
  </si>
  <si>
    <t>Fathers Day Card Fathers Day Card Gifts from Wife, Gifts for Dad, Funny Father Day Card Gifts, Dad Gifts from Wife, Gifts for Husband, Happy Father's Day to my Favorite DILF, Naughty Father's Day Card</t>
  </si>
  <si>
    <t>B0C1FLQ2HQ</t>
  </si>
  <si>
    <t>NIQUEA.D Father's Day Card, Super Dad Lettering, Includes a Unique Sentiment and Coordinating Envelope (NFD-0012)</t>
  </si>
  <si>
    <t>B09LJTXS9Y</t>
  </si>
  <si>
    <t>FoxRiver Fox River Men's Dry Therm-a-Wick Ultra-Lightweight Liner Crew Socks</t>
  </si>
  <si>
    <t>B0088V73O4</t>
  </si>
  <si>
    <t>-99.40%</t>
  </si>
  <si>
    <t>Poo-Pourri Before-You-Go Toilet Spray, Tropical Hibiscus, 4 Fl Oz - Hibiscus, Apricot and Citrus</t>
  </si>
  <si>
    <t>B01BVWUQX6</t>
  </si>
  <si>
    <t>Arm &amp; Hammer Essentials Natural Deodorant, Unscented - 2.5 oz - 2 pk</t>
  </si>
  <si>
    <t>B00MUEBQAM</t>
  </si>
  <si>
    <t>-99.41%</t>
  </si>
  <si>
    <t>-99.42%</t>
  </si>
  <si>
    <t>Vitabath Bubble Bath Relaxing Heavenly Coconut Crème Aromatherapy Rich Foaming Bubbly Soak, Moisturizing &amp; Nourishing Indulgent Suds for Women &amp; Men All Skin Types - 33.8 fl oz</t>
  </si>
  <si>
    <t>B0776T5RF3</t>
  </si>
  <si>
    <t>Organic Lip Scrub Vanilla - Lip Scrubs Exfoliator &amp; Moisturizer, Lip Exfoliator Scrub, Sugar Lip Scrubs, Lip Sugar Scrub, Lip Care Products for Chapped Lips, Lip Scrubber, Lip Moisturizer for Dry Lips</t>
  </si>
  <si>
    <t>B06XC61Y2B</t>
  </si>
  <si>
    <t>Soap Factory - Organic Sugar Scrub with Coconut and Vanilla for Body and Face, Natural Exfoliator for Women and Men, Organic Certified, Vegan, 8.81 oz, 250g</t>
  </si>
  <si>
    <t>B0BTC7ZJHR</t>
  </si>
  <si>
    <t>Dead Down Wind Odorless Hand &amp; Body Lotion - Unscented - Odor Elimination for Hunting Gear</t>
  </si>
  <si>
    <t>B0084EEJG0</t>
  </si>
  <si>
    <t>Deep Steep Sugar Scrub, 8 Ounce (Vanilla Coconut)</t>
  </si>
  <si>
    <t>B0B3LNWL16</t>
  </si>
  <si>
    <t>-99.43%</t>
  </si>
  <si>
    <t>Avanti Press Two Dogs on Dock : Lake and Rainbow Anniversary Card for Husband or Wife</t>
  </si>
  <si>
    <t>B08XQ579HZ</t>
  </si>
  <si>
    <t>Olivia Care Antibacterial Hand Soap Infused with Sage &amp; Tea Tree Oil &amp; Lavender Thyme Fragrance, Cleansing, Germ-Fighting, Moisturizing Hand Wash for Kitchen &amp; Bathroom - Gentle, Mild – 18.5 fl oz</t>
  </si>
  <si>
    <t>B08LR4J4GH</t>
  </si>
  <si>
    <t>Perlier Lavender Foam Bath Natural &amp; Calming Aromatherapy Bubble Bath for Women &amp; Men, Rich Foaming Formula Provides Deep Moisturization, Hydration for All Skin Types, (16.9 Fl Oz.)</t>
  </si>
  <si>
    <t>B005T4DIRE</t>
  </si>
  <si>
    <t>Thymes Frasier Fir Candle Ceramic</t>
  </si>
  <si>
    <t>B01KIH4YRY</t>
  </si>
  <si>
    <t>Lubriderm Advanced Therapy Fragrance Free Moisturizing Hand &amp; Body Lotion + Pro-Ceramide with Vitamins E &amp; Pro-Vitamin B5, Intense Hydration for Itchy, Extra Dry Skin, Non-Greasy, 32 fl. oz</t>
  </si>
  <si>
    <t>B08G9K79FC</t>
  </si>
  <si>
    <t>K. Bell Socks K BELL Men's Food and Drink Fun Novelty Crew Socks, Cocktails (Black), Shoe Size: 6-12</t>
  </si>
  <si>
    <t>B00H0BP44O</t>
  </si>
  <si>
    <t>SAYSO Cocktail Mixers Variety (8 Pack) - Skinny Margarita Mix Paloma Mule Old Fashioned Flavors - Natural Ingredients, Low Sugar, Low Calorie</t>
  </si>
  <si>
    <t>B0C7WLKJ7V</t>
  </si>
  <si>
    <t>-99.44%</t>
  </si>
  <si>
    <t>Creawoo Wooden Mothers Day Card Happy Mother's Day Gift Cards for Mom Wife Grandma, Best Mom Ever Card from Daughter, Son, Husband, Birthday Holiday Greeting Card with Folded Gift Envelope</t>
  </si>
  <si>
    <t>B0BX3SM7ST</t>
  </si>
  <si>
    <t>Boys personalized tooth fairy pillow, monster truck Tooth chart included!</t>
  </si>
  <si>
    <t>B07XC9CVV7</t>
  </si>
  <si>
    <t>Deep Steep Body Wash 10oz (Vanilla Coconut, 10 oz)</t>
  </si>
  <si>
    <t>B0BK2TPM2H</t>
  </si>
  <si>
    <t>Deep Steep Body Wash 10oz (Rosemary Mint, 10 oz)</t>
  </si>
  <si>
    <t>B0BK2RD5SC</t>
  </si>
  <si>
    <t>Firefighter Thank You Stickers 24 Pcs. Fire Truck Baby Shower, Birthday Party Decorations Supplies, Fire Rescue Themed</t>
  </si>
  <si>
    <t>B07W7D8S78</t>
  </si>
  <si>
    <t>Thymes Frasier Fir Green Pine Needle Candle, 1 EA</t>
  </si>
  <si>
    <t>B07Q2CG3J2</t>
  </si>
  <si>
    <t>-99.45%</t>
  </si>
  <si>
    <t>Greeting Card Thinking of You In The Loss of Your Husband Sympathy Condolences Death RIP - Moments Together Are Never Forgotten</t>
  </si>
  <si>
    <t>B08MDGB33L</t>
  </si>
  <si>
    <t>Sensual Massage Oil Erotic Hemp Massage Oil for Couples Serenity Scent</t>
  </si>
  <si>
    <t>B09H7NGZJ4</t>
  </si>
  <si>
    <t>-99.46%</t>
  </si>
  <si>
    <t>Iconikal Pop Up 3D Mom Mother's Day Greeting Card With Envelope, Spring Flowers</t>
  </si>
  <si>
    <t>B092W79BF1</t>
  </si>
  <si>
    <t>-99.47%</t>
  </si>
  <si>
    <t>Lavender Fragrance Reed Diffuser Refill 17 Fl Oz - 500ml - Lavanda Refill - Wardrobe Freshener - Home Fragrance Oil - Air Freshener - Aromatherapy - Essential Lavender Oil Diffuser - Diffuser Refill</t>
  </si>
  <si>
    <t>B084KZW75C</t>
  </si>
  <si>
    <t>There's a Dragon in Your Book (Who's In Your Book?)</t>
  </si>
  <si>
    <t>1524766380</t>
  </si>
  <si>
    <t>Jergens Eucalyptus Mint Body Butter, Infused with Essential Oils, Helps to Relieve Stress, for All Skin Types, Great Size for Travel, 7 Fluid Ounce</t>
  </si>
  <si>
    <t>B08BM2GV33</t>
  </si>
  <si>
    <t>Andalou Naturals Lavender Thyme Refreshing Body Lotion, Value Size, 32 Ounce</t>
  </si>
  <si>
    <t>B083YGKNQQ</t>
  </si>
  <si>
    <t>Stillwater Bath and Body™ Fraser Fir 3-Wick Scented Candle | Non-Toxic Longer Burning Soy Candles | Festive Home Fragrance | 16 oz Vintage Green Heavy Glass Jar | Hand Made in The USA</t>
  </si>
  <si>
    <t>B08G3HMD8H</t>
  </si>
  <si>
    <t>Hot Sox Men's Fun Famous Artist Paintings Crew Socks - 1 Pair Pack - Cool &amp; Artistic Novelty Art Fashion Socks</t>
  </si>
  <si>
    <t>B00T93DQR8</t>
  </si>
  <si>
    <t>-99.48%</t>
  </si>
  <si>
    <t>Curel Fragrance Free Comforting Body Lotion, Unscented Dry Skin Moisturizer for Sensitive Skin, with Advanced Ceramide Complex, Repairs Moisture Barrier, 20 oz</t>
  </si>
  <si>
    <t>B00171ETM6</t>
  </si>
  <si>
    <t>Thymes Frasier Fir Candle - Candle Tin - Scented Candle for Luxury Home Fragrance - Single-Wick Candle – Holiday Candles with Pine Needle Design (6.5 oz)</t>
  </si>
  <si>
    <t>B00YPP2XMY</t>
  </si>
  <si>
    <t>LED Lighted Beanie Cap,USB Rechargeable 4 LED Headlamp, Winter Warm Cycling Hunting Knitted Hat LED Lighted Cap Led Stocking Caps Hat Cap Hands Free Unisex Lighted Beanie Cap(2-Pack) Black/Grey</t>
  </si>
  <si>
    <t>B09DVH8YMV</t>
  </si>
  <si>
    <t>Unisex LED Beanie with Light, USB Rechargeable Hands Free LED Headlamp Hat, Knitted Night Light Beanie Cap Flashlight Hat, Men Gifts for Dad Father Husband (Black)</t>
  </si>
  <si>
    <t>B09D915WBT</t>
  </si>
  <si>
    <t>605 Products Room Spray - Air Freshener Spray - Home Luxury Scents for Office Bedroom Bathroom Closet - Pillows Linen &amp; Fabric Essential Oil Spray Mist - Long Lasting Room Fragrance (Fresh Lavender, 3.4oz)</t>
  </si>
  <si>
    <t>B0BY3GFKYC</t>
  </si>
  <si>
    <t>-99.49%</t>
  </si>
  <si>
    <t>LaPomme Ringmaster of The Shit Show Candle Microwave Dishwasher Safe Ceramic Candle Funny Candle Funny Candle Funny Candle Gift Candle 9oz</t>
  </si>
  <si>
    <t>B0BWJGZRJ1</t>
  </si>
  <si>
    <t>Aveeno Skin Relief Fragrance-Free Moisturizing Lotion for Sensitive Skin, with Natural Shea Butter &amp; Triple Oat Complex, Unscented Therapeutic Body Lotion for Itchy, Extra-Dry Skin, 18 fl. oz</t>
  </si>
  <si>
    <t>B0013OJUY4</t>
  </si>
  <si>
    <t>PZ 925 Sterling Silver Cross Spinner Ring by Paz Creations, Meditation Ring, Bohemian Jewelry For Women, Rose Gold, Yellow Gold, Sterling Silver ring.</t>
  </si>
  <si>
    <t>B08T1RDTC6</t>
  </si>
  <si>
    <t>-99.50%</t>
  </si>
  <si>
    <t>Greeting Card With Sympathy In The Loss Of Your Mother - Condolences RIP Death May the moments that shone so brightly be the memories that quietly comfort you now and in the days ahead</t>
  </si>
  <si>
    <t>B08MCV56XK</t>
  </si>
  <si>
    <t>Happy Father's Day Card, Sweet Card for Cool Dad, You Were My First Superhero, Sentimental Card</t>
  </si>
  <si>
    <t>B08ZCKKYJX</t>
  </si>
  <si>
    <t>Crazy Dog T-Shirts Men's Easily Distracted By Whiskey Socks Funny Liquor Drinking Joke Footwear</t>
  </si>
  <si>
    <t>B0BKB323P8</t>
  </si>
  <si>
    <t>Craftmix Variety Pack, Makes 12 Drinks, Skinny Cocktail Mixers, Mocktails Non-Alcoholic Drinks - Made With Real Fruit - Vegan Low-Carb, Low-Sugar, Non-GMO, Dairy Free, Gluten Free, Easy to Mix</t>
  </si>
  <si>
    <t>B07FJMQR99</t>
  </si>
  <si>
    <t>Scent Free Everything Wash Refill</t>
  </si>
  <si>
    <t>Ginger Lily Farms Botanicals Nourishing Body Wash, 100% Vegan &amp; Cruelty-Free, Apple Pear Scent, 1 Gallon Refill (128 fl oz)</t>
  </si>
  <si>
    <t>B09Z4KLCF6</t>
  </si>
  <si>
    <t>5000.0</t>
  </si>
  <si>
    <t>50.0</t>
  </si>
  <si>
    <t>4548541644889</t>
  </si>
  <si>
    <t>Alvera, All Natural Roll-On Deodorant, 89ml Bottle - Aloe Unscented</t>
  </si>
  <si>
    <t>B0014AY7LI</t>
  </si>
  <si>
    <t>Deep Steep Foaming Hand Wash, Rosemary Mint, 8 Ounce</t>
  </si>
  <si>
    <t>B0012NZ9K0</t>
  </si>
  <si>
    <t>Deep Steep Foaming Hand Wash, Vanilla Coconut, 8 Ounce</t>
  </si>
  <si>
    <t>B073WLNVXL</t>
  </si>
  <si>
    <t>-99.51%</t>
  </si>
  <si>
    <t>Avalon Organics Hand &amp; Body Lotion, Nourishing Lavender, 32 Oz</t>
  </si>
  <si>
    <t>B0013ALGTA</t>
  </si>
  <si>
    <t>Serious Scrub Pumice Body Scrub</t>
  </si>
  <si>
    <t>SPA REDI – Exfoliating Scrub Pumice Gel, Lemon &amp; Lime, 16 Oz - Manicure, Pedicure and Body Exfoliator Infused with Hyaluronic Acid, Amino Acids, Panthenol and Comfrey Extract</t>
  </si>
  <si>
    <t>B074G3Y6CR</t>
  </si>
  <si>
    <t>-99.52%</t>
  </si>
  <si>
    <t>4651254218841</t>
  </si>
  <si>
    <t>Unisex Beanie with Light, USB Rechargeable LED Headlamp Beanie, Gifts for Dad Father Men Husband Warm Knitted Cap Black</t>
  </si>
  <si>
    <t>B08JQK3PW8</t>
  </si>
  <si>
    <t>Deep Steep Argan Oil Liquid Hand Wash, Lavender Chamomile, 17.6 Fluid Ounce</t>
  </si>
  <si>
    <t>B00PATKL9Q</t>
  </si>
  <si>
    <t>-99.53%</t>
  </si>
  <si>
    <t>Swanky Badger Natural Soap Bar – Fresh Eucalyptus</t>
  </si>
  <si>
    <t>B097QCK3MZ</t>
  </si>
  <si>
    <t>American Greetings Congratulations Card (You Did It)</t>
  </si>
  <si>
    <t>B09BZZVVMX</t>
  </si>
  <si>
    <t>Bath &amp; Body Works Shea Butter Cleansing Bar (Vanilla Coconut)</t>
  </si>
  <si>
    <t>B08FVKMGWR</t>
  </si>
  <si>
    <t>Eucerin Baby Body Lotion, Fragrance Free Baby Lotion, 13.5 Fl Oz Pump Bottle</t>
  </si>
  <si>
    <t>B01A59VMSO</t>
  </si>
  <si>
    <t>1Up Greetings Mother's Day Card For Daughter-In-Law | Pink Cherry Blossom Flowers Over Water | 5”x7.5” | (Single Card With Envelope)</t>
  </si>
  <si>
    <t>B09V5QYP4T</t>
  </si>
  <si>
    <t>-99.54%</t>
  </si>
  <si>
    <t>Petal Fresh Pure Smoothing Coconut Body Butter, Organic Argan Oil, Shea Butter, Intense Hydration, For All Skin Types, Natural Ingredients, Vegan and Cruelty Free, 8 oz</t>
  </si>
  <si>
    <t>B07CBVXHX8</t>
  </si>
  <si>
    <t>Petal Fresh Pure Restoring Honey &amp; Coconut Body Butter, Organic Coconut Oil, Argan Oil, Shea Butter, Intense Hydration, For All Skin Types, Natural Essential Oils, Vegetarian and Cruelty Free, 8 oz</t>
  </si>
  <si>
    <t>B07C23RCR8</t>
  </si>
  <si>
    <t>-99.55%</t>
  </si>
  <si>
    <t>Dawn Free &amp; Clear Powerwash Dish Spray, Dish Soap, Pear Scent Refill, 16oz (6 Pack)</t>
  </si>
  <si>
    <t>B0BGJT4N8C</t>
  </si>
  <si>
    <t>Poo-Pourri Before-You-Go Toilet Spray, Tropical Hibiscus, Travel Size 10 mL - Hibiscus, Apricot and Citrus</t>
  </si>
  <si>
    <t>B07CNCMT65</t>
  </si>
  <si>
    <t>The Courageous Boy (Book 1 The Young Lion Series)</t>
  </si>
  <si>
    <t>B0BTRQ3GWJ</t>
  </si>
  <si>
    <t>Mudder USB Rechargeable Light for LED Knit Beanie Hat, 4 Pieces, Strong Medium and Weak Mode Hat Lights Flashing Hands Free Flashlight Men Dad Father, Black</t>
  </si>
  <si>
    <t>B09H4LQWCZ</t>
  </si>
  <si>
    <t>-99.56%</t>
  </si>
  <si>
    <t>Tickle &amp; Main Unicorn Tooth Fairy Pillow Gift Set for Children, Tooth Fairy Pillow for Girls</t>
  </si>
  <si>
    <t>B09CX1S654</t>
  </si>
  <si>
    <t>Designer Greetings Cross, Pink Flowers and Butterflies Religious Easter Card</t>
  </si>
  <si>
    <t>B01D08A9A4</t>
  </si>
  <si>
    <t>-99.57%</t>
  </si>
  <si>
    <t>KAMA SUTRA Aromatics Massage Oil Serenity – 2 fl oz/59 ml Rich Blend of Essential Oils for an Unforgettable, Relaxing Massage Experience</t>
  </si>
  <si>
    <t>B078WRY77S</t>
  </si>
  <si>
    <t>Slumber Slippers Tie Dye</t>
  </si>
  <si>
    <t>Solyinne Women's Tie-dye Leopard Print Cross Band Soft Plush Fleece House Indoor or Outdoor Slippers</t>
  </si>
  <si>
    <t>B08BC5Z6GH</t>
  </si>
  <si>
    <t>4764642115673</t>
  </si>
  <si>
    <t>High Thyme FARMacy Pine Tar Soap for Men - 5 Ounce Bar of All-Natural Pine Tar Soap - Lye Soap with Real Pine Tar - Cedarwood &amp; Lavender Scent - Handmade Natural Olive Oil Soap - Moisturizing Soap</t>
  </si>
  <si>
    <t>B0B6TCHXSS</t>
  </si>
  <si>
    <t>-99.58%</t>
  </si>
  <si>
    <t>Daughter-in-Law On Your Birthday Greeting Card - Ever since love brought you into our family you have filled so many moments with happiness and warmth</t>
  </si>
  <si>
    <t>B08D8324GZ</t>
  </si>
  <si>
    <t>Thymes Eucalyptus Cologne</t>
  </si>
  <si>
    <t>4579816964185</t>
  </si>
  <si>
    <t>BAYUEBA 925 Sterling Silver Sparkle Crystal Ball Stud Earrings for Women</t>
  </si>
  <si>
    <t>B01NA9FPSV</t>
  </si>
  <si>
    <t>Dead Sea Collection Lavender Salt Body Scrub - Large 23.28 OZ - with Organic Oils and Natural Dead Sea Minerals</t>
  </si>
  <si>
    <t>B07TBFDMGC</t>
  </si>
  <si>
    <t>-99.59%</t>
  </si>
  <si>
    <t>Dead Sea Collection Eucalyptus Salt Body Scrub - Large 23.28 OZ - with Organic Oils and Natural Dead Sea Minerals</t>
  </si>
  <si>
    <t>B0099AJEEA</t>
  </si>
  <si>
    <t>Bath &amp; Body Works Eucalyptus Spearmint Stress Relief Sugar Body Scrub 13 Ounce</t>
  </si>
  <si>
    <t>B08XQNHS6T</t>
  </si>
  <si>
    <t>Greeting Card Mazel Tov on Your Bat Mitzvah Jewish Birthday for Her, Girl - What a pleasure to share the joy of this milestone moment with you</t>
  </si>
  <si>
    <t>B07RD8TLF4</t>
  </si>
  <si>
    <t>The Fucking Candle</t>
  </si>
  <si>
    <t>You Fucking Did It Infused With Hustle And Caffeine | Premium Soy Wax Candle | The Snarky Mermaid | Amber Jar Candle | Made in USA | Snarky Candles | Scented Candles For Women And Men</t>
  </si>
  <si>
    <t>B09K6SFNDW</t>
  </si>
  <si>
    <t>6573451116633</t>
  </si>
  <si>
    <t>Shit Show Infused With Chaos | Premium Soy Wax Candle | The Malicious Mermaid | Amber Jar Candle | Made in USA | Snarky Candles | Scented Candles For Women And Men</t>
  </si>
  <si>
    <t>B07K4YK54P</t>
  </si>
  <si>
    <t>Thymes Eucalyptus Large Hand Wash</t>
  </si>
  <si>
    <t>7106199584857</t>
  </si>
  <si>
    <t>Malicious Women Candle Co - Shit Show, A Hot Mess Infused with Chaos, All-Natural Organic Soy Candle, 9 oz</t>
  </si>
  <si>
    <t>B07HDD1C56</t>
  </si>
  <si>
    <t>Deep Steep Bubble Bath, 17 oz (Eucalyptus Mint)</t>
  </si>
  <si>
    <t>B0BMW8KC3S</t>
  </si>
  <si>
    <t>2PCS Natural Pumice Stone, Asqraqo Lava Pedicure Tools Hard Skin Callus Remover for Feet and Hands - Foot File Exfoliation to Remove Dead Skin, and Callusess</t>
  </si>
  <si>
    <t>B08FMN2S2R</t>
  </si>
  <si>
    <t>-99.60%</t>
  </si>
  <si>
    <t>Tickle &amp; Main Tooth Fairy Superhero Pillow Gift Set, 3-Piece Set Includes Boy's Pillow with Pocket, Dear Tooth Fairy Notepad, Keepsake Photo Pouch</t>
  </si>
  <si>
    <t>B06XSRSC2T</t>
  </si>
  <si>
    <t>Professional Pedicure Foot Pumice Stone for Feet Skin Callus Remover and Scrubber for Dead Skins 2 Sided (Pack of 2)</t>
  </si>
  <si>
    <t>B0BZH3BRVQ</t>
  </si>
  <si>
    <t>B07H2NP977</t>
  </si>
  <si>
    <t>Thymes Lemon Leaf and Mandarin Coriander Pura Smart Home Diffuser Kit</t>
  </si>
  <si>
    <t>-99.61%</t>
  </si>
  <si>
    <t>7123164627033</t>
  </si>
  <si>
    <t>-99.62%</t>
  </si>
  <si>
    <t>Dove Exfoliating Body Polish Body Scrub Crushed Lavender &amp; Coconut Milk 10.5 oz</t>
  </si>
  <si>
    <t>B07M7ZVC89</t>
  </si>
  <si>
    <t>OGX Extra Creamy + Coconut Miracle Oil Ultra Moisture Body Lotion with Vanilla Bean, Fast-Absorbing Lotion for All Skin Types, Paraben-Free and Sulfated-Surfactants Free, 19.5 fl oz</t>
  </si>
  <si>
    <t>B01MCTTDJS</t>
  </si>
  <si>
    <t>Jergens Lavender Body Butter Body and Hand Lotion, Moisturizer for Women, 7 Fl Oz (Pack of 1), with Essential Oils for Indulgent Moisturization White</t>
  </si>
  <si>
    <t>B07QBN245V</t>
  </si>
  <si>
    <t>Brooben Funny Super Dad Birthday Card, Bday Card for Dad, Humorous Father's Day Card from Daughter</t>
  </si>
  <si>
    <t>B09XBCKGLJ</t>
  </si>
  <si>
    <t>Tirtyl Foaming Hand Soap Tablet Refills - 12 Pack - 96 fl oz total (12x 8 fl oz) - NEW Formula - Compostable Packaging - Coconut &amp; Vanilla</t>
  </si>
  <si>
    <t>B08JVH14T4</t>
  </si>
  <si>
    <t>-99.63%</t>
  </si>
  <si>
    <t>High Thyme FARMacy Twisted Shafts of Lavender Handmade Soap - 5 Ounce Bar of Lavender Patchouli Soap - Handcrafted Lye Soap - Exfoliating Soap with Real Lavender Buds - Dry Skin Remedy Soap</t>
  </si>
  <si>
    <t>B0B72B6B84</t>
  </si>
  <si>
    <t>-99.64%</t>
  </si>
  <si>
    <t>Thymes Body Serum - 6.0 Fl Oz - Lavender</t>
  </si>
  <si>
    <t>B0B1G6ZRHZ</t>
  </si>
  <si>
    <t>LAPEQQIOJEJ Tooth Fairy Pillow for boy with Receipts and Tooth Fairy boxs,Tooth Fairy Gifts for Boys,3 Piece Set with Hanging Option,Toothfairy Kit Keepsake Gift</t>
  </si>
  <si>
    <t>B0C5CVF3DT</t>
  </si>
  <si>
    <t>EO Bubble Bath, 12 Ounce (Pack of 1), French Lavender, Organic Plant-Based, Botanical Extracts</t>
  </si>
  <si>
    <t>B000MVRXA2</t>
  </si>
  <si>
    <t>Rose Meditation Ring</t>
  </si>
  <si>
    <t>925 Sterling Silver Cross Spinner Ring by Paz Creations, Meditation Ring, Bohemian Jewelry For Women, Rose Gold, Yellow Gold, Sterling Silver ring.</t>
  </si>
  <si>
    <t>B08T1ZRT7J</t>
  </si>
  <si>
    <t>16900.0</t>
  </si>
  <si>
    <t>-99.65%</t>
  </si>
  <si>
    <t>4748798459993</t>
  </si>
  <si>
    <t>The Not So Scary Dinosaur Book</t>
  </si>
  <si>
    <t>The Not So Scary Scary Monster Coloring Book: "Roaring Fun: A Monster Coloring Book for Kids - Explore Magical Adventures with Adorable Creatures! ... Minds, Hours of Entertainment Guaranteed!"</t>
  </si>
  <si>
    <t>B0CDFCZ2HW</t>
  </si>
  <si>
    <t>4792045863001</t>
  </si>
  <si>
    <t>Paddywax Petite Collection Scented Oil Reed Diffuser, 1.5-Ounce, Lilac-Lavender</t>
  </si>
  <si>
    <t>B07XLNTMW4</t>
  </si>
  <si>
    <t>-99.66%</t>
  </si>
  <si>
    <t>Crystalline Azuria 925 Sterling Silver Woman Earrings with Box Disco Ball White Crystals Dangle Hook Stud Earrings for Women</t>
  </si>
  <si>
    <t>B077QQS6SL</t>
  </si>
  <si>
    <t>Serenity Meditation Ring</t>
  </si>
  <si>
    <t>ENERGY STONE 925 Sterling Silver SERENITY Comfort-fit Tapered Meditation Spinner Ring for Women With Tri-color Spinners (Style US12)</t>
  </si>
  <si>
    <t>B01FT5QHJ8</t>
  </si>
  <si>
    <t>23900.0</t>
  </si>
  <si>
    <t>-99.67%</t>
  </si>
  <si>
    <t>4748801409113</t>
  </si>
  <si>
    <t>LOVSPA Revive Eucalyptus Reed Diffuser Oil Refill with Replacement Reed Sticks | Eucalyptus Essential Oil, Sage, Bamboo, Citrus and Mint. | 4 oz | Made in The USA</t>
  </si>
  <si>
    <t>B079C7NG5C</t>
  </si>
  <si>
    <t>360Feel Lavender Soap -5oz Castile Handmade Soap bar - Lavender floral fragrance - Pure Lavender Essential Oil Natural Soaps- Great as Anniversary Wedding Gifts Christmas stocking stuffer</t>
  </si>
  <si>
    <t>B07NF7ZMND</t>
  </si>
  <si>
    <t>-99.68%</t>
  </si>
  <si>
    <t>Bunnies and Bows Tooth Fairy Pillow with Tooth Fairy Dust and Poem - Backhoe/Tractor/Truck - 6.5" x 6.5" x 2" - Handmade in USA</t>
  </si>
  <si>
    <t>B074SW589R</t>
  </si>
  <si>
    <t>NEVAEHEART Lavender Reed Diffuser Oil Refill and Sticks Set | Includes a Free Set of Reed Sticks | Rich Lavender, Amber, Mint &amp; Bergamot Fragrance Notes, Reed Diffuser Liquid Refill | 6.8 oz</t>
  </si>
  <si>
    <t>B0946SBHFQ</t>
  </si>
  <si>
    <t>Urban Naturals Eucalyptus &amp; Sage Oil Reed Diffuser Refill | Eucalyptus, Sage, Mint, Lime and Cedarwood| Includes a Free Set of Reed Sticks! 4 oz</t>
  </si>
  <si>
    <t>B07BWBWC43</t>
  </si>
  <si>
    <t>PORI JEWELERS Premium 14K Gold Ball Stud Earrings - Available in Yellow, Rose &amp; White Gold- Multiple Options Available</t>
  </si>
  <si>
    <t>B07N5M6HVN</t>
  </si>
  <si>
    <t>Riuog LED Beanie Hat with Light,USB Rechargeable Headlight Cap,Unisex Knit Lighted hat, for Outdoor Activities</t>
  </si>
  <si>
    <t>B0BLN9KM66</t>
  </si>
  <si>
    <t>-99.69%</t>
  </si>
  <si>
    <t>Premium Lavender Bubble Bath Soak - Aromatherapy Bubble Bath Soap and Luxury Lavender Bath Oil for Dry Skin - Moisturizing and Relaxing Bubble Bath for Adults with Aromatherapy Oils for Self Care</t>
  </si>
  <si>
    <t>B00DV76LU2</t>
  </si>
  <si>
    <t>Premium Eucalyptus Bubble Bath Soap - Sulfate Free Adult Bubble Bath for Women and Men with Relaxing Essential Oils with Vitamin E - Foaming Bath Oil for Dry Skin Featuring Aromatherapy Oils</t>
  </si>
  <si>
    <t>B00SRGXY0W</t>
  </si>
  <si>
    <t>Lavender Oil Body Scrub Exfoliator with Shea Butter and Grapefruit Oil by Majestic Pure - Exfoliate &amp; Moisturize Skin, Fights Acne - 10 oz</t>
  </si>
  <si>
    <t>B083F6JJ2Q</t>
  </si>
  <si>
    <t>-99.70%</t>
  </si>
  <si>
    <t>Designer Greetings Die Cut 3 Flowers in Pot Mother's Day Card for Daughter-In-Law</t>
  </si>
  <si>
    <t>B07RN2DT4J</t>
  </si>
  <si>
    <t>-99.71%</t>
  </si>
  <si>
    <t>Cocorrína Lavender Thyme Scented Reed Diffuser Oil Refill with 8 Free Cotton Reed Sticks, Home Fragrance for Bedroom, Bathroom, Oil Diffuser Home Décor, 6.7 oz. (200 ml)</t>
  </si>
  <si>
    <t>B0B4S8W1X8</t>
  </si>
  <si>
    <t>-99.72%</t>
  </si>
  <si>
    <t>Succulent Sparkle Ball Stud Earrings</t>
  </si>
  <si>
    <t>9000.0</t>
  </si>
  <si>
    <t>4544119504985</t>
  </si>
  <si>
    <t>OMOUP Beanie Hat with Light, USB Rechargeable LED Beanie Hat with 3 Brightness Levels, Hands Free Torch Hat Warm Bright Unisex Winter Knit Hat Cap for Running Camping Dog Walking Black</t>
  </si>
  <si>
    <t>B08FBTZLL2</t>
  </si>
  <si>
    <t>Palmer's Cocoa Butter Skin Therapy Cleansing Facial Oil, Gentle Makeup Remover for Face, Rosehip Fragrance, 6.5 Ounce</t>
  </si>
  <si>
    <t>B00W2CTHT4</t>
  </si>
  <si>
    <t>-99.73%</t>
  </si>
  <si>
    <t>Aveeno Stress Relief Moisturizing Body Lotion with Lavender, Natural Oatmeal and Chamomile &amp; Ylang-Ylang Essential Oils to Calm &amp; Relax, 12 fl. oz</t>
  </si>
  <si>
    <t>B0000AJ3PU</t>
  </si>
  <si>
    <t>-99.74%</t>
  </si>
  <si>
    <t>Poker Unisex Crew Socks In A Deck Of Cards Box</t>
  </si>
  <si>
    <t>hahoness Men's Black The King of Spades Poker Player Cards Novelty Crew Dress Socks</t>
  </si>
  <si>
    <t>B074G682KZ</t>
  </si>
  <si>
    <t>6798024114265</t>
  </si>
  <si>
    <t>Thymes Petite Perfumed Body Crème (Goldleaf, 2.5 FL OZ)</t>
  </si>
  <si>
    <t>B0788CV6T1</t>
  </si>
  <si>
    <t>-99.75%</t>
  </si>
  <si>
    <t>MILACOLATO 18K Gold Plated 925 Sterling Silver White Clear CZ Disco Earrings Sparkle Crystal Ball Stud Earrings for Women</t>
  </si>
  <si>
    <t>B092VQ34YL</t>
  </si>
  <si>
    <t>Thymes Petite Hand Cream - 1 Fl Oz - Olive Leaf</t>
  </si>
  <si>
    <t>B07LFQMZF6</t>
  </si>
  <si>
    <t>-99.76%</t>
  </si>
  <si>
    <t>AICHUN BEAUTY Face Serum Eye Essence Anti-Wrinkles Anti-Acne Oil-Control Anti-Freckle Refreshing Moisturizing Purifying Shrink Pores 30ml 1.01FL.oz (10% Alpha Arbutin + 5% Mandelic ACID Face Serum)</t>
  </si>
  <si>
    <t>B09MJNVJ42</t>
  </si>
  <si>
    <t>-99.77%</t>
  </si>
  <si>
    <t>-99.78%</t>
  </si>
  <si>
    <t>Shuxy 4 Pairs Ball Earring Pave Stud Earrings Bling Rhinestone Ear Stud Cubic Zirconia Earring Clear Round Studs Sparkle Crystal Ball Stud Shamballa Earrings Stud for Women, Blue Red Pink and White</t>
  </si>
  <si>
    <t>B083BJSQHK</t>
  </si>
  <si>
    <t>Thymes Eucalyptus Home Fragrance Gift Set</t>
  </si>
  <si>
    <t>COCODOR Signature Reed Diffuser/Lemon Eucalyptus/6.7oz(200ml)/1 Pack/Reed Diffuser, Reed Diffuser Set, Oil Diffuser &amp; Reed Diffuser Sticks, Home Decor &amp; Office Decor, Fragrance and Gifts</t>
  </si>
  <si>
    <t>B08H4K5LHS</t>
  </si>
  <si>
    <t>-99.79%</t>
  </si>
  <si>
    <t>69.95</t>
  </si>
  <si>
    <t>7142255853657</t>
  </si>
  <si>
    <t>LOYALLOOK 10 Pairs Rose Gold Tone Earrings Women Tiny Ball Bar Stud Earrings Set Lotus Flower Earrings Jacket Stud Hoop Stainless Steel Earring Set</t>
  </si>
  <si>
    <t>B07LD56HHY</t>
  </si>
  <si>
    <t>Cocod'or COCODOR Reed Diffuser Oil Refill/Garden Lavender/6.7oz(200ml)/1 Pack/Aroma Therapy, Home Fragrance, Scented Oils, Oils for Reed Diffuser, Office Décor, Decoration</t>
  </si>
  <si>
    <t>B07WFKD7JD</t>
  </si>
  <si>
    <t>Cocorrína Reed Diffuser Refill- Lavender Thyme 6.7 oz. Scented Oil Refill for Reed Diffuser Home Fragrance for Bedroom, Bathroom Office Home Décor</t>
  </si>
  <si>
    <t>B0C33F2KX7</t>
  </si>
  <si>
    <t>Unity Meditation Ring</t>
  </si>
  <si>
    <t>ENERGY STONE UNITY Sterling Silver Meditation Spinner Ring (Style# JP07)</t>
  </si>
  <si>
    <t>B08FF8CLS8</t>
  </si>
  <si>
    <t>32900.0</t>
  </si>
  <si>
    <t>4748798296153</t>
  </si>
  <si>
    <t>Shea Moisture Lavender &amp; Wild Orchid Hand &amp; Body Scrub 12 Ounce (U-BB-2934)</t>
  </si>
  <si>
    <t>B005C2NARQ</t>
  </si>
  <si>
    <t>-99.80%</t>
  </si>
  <si>
    <t>Rose Gold Pearl Sparkle Ball Stud Earrings</t>
  </si>
  <si>
    <t>Gorgeouser 6 Pairs 14K Gold Plated 316L Surgical Steel Cartilage Piercing Tiny Stud Earrings 20G, Style Ball - Pearl - Cubic Zirconia - Disc, Color Gold - Silver - Rose Gold - Black, Diameter 1mm to 3mm…</t>
  </si>
  <si>
    <t>B07TVQSCVF</t>
  </si>
  <si>
    <t>6500.0</t>
  </si>
  <si>
    <t>6978788524121</t>
  </si>
  <si>
    <t>Thymes Perfumed Petite Body Wash - 2.5 Fl Oz - Goldleaf Gardenia</t>
  </si>
  <si>
    <t>B077G6PJ8X</t>
  </si>
  <si>
    <t>-99.81%</t>
  </si>
  <si>
    <t>Silver Box Chain With Removable Extender</t>
  </si>
  <si>
    <t>AOBOCO 925 Sterling Silver Chain Extenders for Necklace Bracelet with Gift Box</t>
  </si>
  <si>
    <t>B07TWQXVZL</t>
  </si>
  <si>
    <t>8500.0</t>
  </si>
  <si>
    <t>7270135300185</t>
  </si>
  <si>
    <t>White Pearl Sparkle Ball Stud Earrings</t>
  </si>
  <si>
    <t>Bling Jewelry Fashion Simple Simulated Pearl Stud Ball Earrings For Women For Teen Sterling Silver Grey White Pink Yellow 9MM</t>
  </si>
  <si>
    <t>B00DMA8V6K</t>
  </si>
  <si>
    <t>7072093208665</t>
  </si>
  <si>
    <t>Prayer Meditation Ring</t>
  </si>
  <si>
    <t>ENERGY STONE OM MANI PADME HUM MANTRA Spinning Wheel Prayer Meditation Spinner Ring in Sterling Silver (Style US24)</t>
  </si>
  <si>
    <t>B01M23YNZ2</t>
  </si>
  <si>
    <t>41900.0</t>
  </si>
  <si>
    <t>-99.82%</t>
  </si>
  <si>
    <t>4748800720985</t>
  </si>
  <si>
    <t>By Nature Purify Purifying Face Serum 2.5 Oz</t>
  </si>
  <si>
    <t>B073KG4692</t>
  </si>
  <si>
    <t>Nune Foaming Hand Soap Tablets 6 Pack - 48 fl oz total (8 oz/tablet) - Natural and Moisturizing Foaming Soap Refills - Coconut &amp; Vanilla</t>
  </si>
  <si>
    <t>B09669622F</t>
  </si>
  <si>
    <t>-99.83%</t>
  </si>
  <si>
    <t>Rosé Sparkle Ball Stud Earrings</t>
  </si>
  <si>
    <t>8000.0</t>
  </si>
  <si>
    <t>-99.84%</t>
  </si>
  <si>
    <t>4562780848217</t>
  </si>
  <si>
    <t>-99.85%</t>
  </si>
  <si>
    <t>Thymes Bath Salt - 2 Oz - Goldleaf</t>
  </si>
  <si>
    <t>B0746Q5RTD</t>
  </si>
  <si>
    <t>Thymes Bath Salt - 2 Oz - Eucalyptus</t>
  </si>
  <si>
    <t>B0746R3T6N</t>
  </si>
  <si>
    <t>Ron Finds His Courage (Ron the Red, The Courageous Bearded Dragon)</t>
  </si>
  <si>
    <t>0578387034</t>
  </si>
  <si>
    <t>Ron's Unlikely Friend (Ron the Red, The Courageous Bearded Dragon)</t>
  </si>
  <si>
    <t>B0CFCZF4TJ</t>
  </si>
  <si>
    <t>LANCHARMED 3 Pcs 925 Sterling Silver Box Chain Necklace Extenders | Durable Strong Removable Necklace Bracelet Anklet Extension Jewelry Making Chains (2 3 4 Inch, 0.8/1mm)</t>
  </si>
  <si>
    <t>B08B3FNNQ6</t>
  </si>
  <si>
    <t>-99.86%</t>
  </si>
  <si>
    <t>White Sparkle Ball Halo Necklace Pendant</t>
  </si>
  <si>
    <t>Cate &amp; Chloe Arabella 18k White Gold Halo Pendant Necklace, Simulated Round Cut Diamond Necklace, Sparkling Wedding Anniversary Necklace for Women, Girls, Sparkle CZ Solitaire Crystal Teardrop</t>
  </si>
  <si>
    <t>B074798V4X</t>
  </si>
  <si>
    <t>15000.0</t>
  </si>
  <si>
    <t>6961958912089</t>
  </si>
  <si>
    <t>Sun Meditation Ring</t>
  </si>
  <si>
    <t>ENERGY STONE SUN WORSHIP Far East Styling Sterling Silver Meditation Spinner Ring for Women with Brass and Silver Spinners (Style US14)</t>
  </si>
  <si>
    <t>B01MCYR6KP</t>
  </si>
  <si>
    <t>45900.0</t>
  </si>
  <si>
    <t>-99.88%</t>
  </si>
  <si>
    <t>4748801540185</t>
  </si>
  <si>
    <t>Sacred Meditation Ring</t>
  </si>
  <si>
    <t>Roxxy Crystals Sri Yantra Sacred Geometry Ring Gold Sacred Geometry Jewelry Spiritual Ring for Meditation. Healing Jewelry</t>
  </si>
  <si>
    <t>B08J2MLK4B</t>
  </si>
  <si>
    <t>-99.89%</t>
  </si>
  <si>
    <t>4748798820441</t>
  </si>
  <si>
    <t>Treasure Meditation Ring</t>
  </si>
  <si>
    <t>GEMPIRES NATURE’S TREASURE Gempires Natural Amethyst Beads Crystal Earring, Yoga Jewelry, Meditation Earring, Crystals Earring, Energy Healing Crystals, Birthday, Gift for Her, Jewelry (Amethyst)</t>
  </si>
  <si>
    <t>B0B1HV134X</t>
  </si>
  <si>
    <t>4748797542489</t>
  </si>
  <si>
    <t>GEMPIRES NATURE’S TREASURE Gempires Natural Raw Emerald Crystal Earring, Yoga Jewelry, Meditation Earring, Crystals Earring, Raw Gemstone, Energy Healing Crystals, Birthday, Gift for Her, Jewelry (Emerald)</t>
  </si>
  <si>
    <t>B09ZP9VG3L</t>
  </si>
  <si>
    <t>Scandinavian Flora Kimono Gown</t>
  </si>
  <si>
    <t>goodmansam Women's Long Floral Satin Kimono Robes Bridal Dressing Gown Wedding Bridesmaid Nightgown</t>
  </si>
  <si>
    <t>B08HD57SJM</t>
  </si>
  <si>
    <t>16995.0</t>
  </si>
  <si>
    <t>169.95</t>
  </si>
  <si>
    <t>7166341840985</t>
  </si>
  <si>
    <t>Valennia Women Long Silky Bathrobe Satin Kimono Robe Floral Printed Dressing Gown Sleepwear</t>
  </si>
  <si>
    <t>B088GLCPD7</t>
  </si>
  <si>
    <t>-99.91%</t>
  </si>
  <si>
    <t>SHUS LIVE North Star Ring for Women, Boho Gold Rings for Women Vintage Knuckle Adjustable Rings, Bohemian Sun Ring Stone Moonstone Meditation Ring, Green &amp; Red Agate Yellow Gold Plated Delicate Rings Women Men</t>
  </si>
  <si>
    <t>B0C4Z22WNK</t>
  </si>
  <si>
    <t>-99.92%</t>
  </si>
  <si>
    <t>Star Meditation Ring</t>
  </si>
  <si>
    <t>Two Tiny Gemstone Hammered Sterling Silver Band Spinner Ring, Chunky Star Meditation Yoga Wide Band Ring for Women, Customize your ring with any gemstone/birthstone, Size</t>
  </si>
  <si>
    <t>B09BDG94HJ</t>
  </si>
  <si>
    <t>36900.0</t>
  </si>
  <si>
    <t>7243896782937</t>
  </si>
  <si>
    <t>Super Shopping-zone Women's Floral Long Silk Kimono Robes Satin Dressing Gown Peacock Blossoms</t>
  </si>
  <si>
    <t>B0812CDZ73</t>
  </si>
  <si>
    <t>Virtue Yellow Gold Meditation Ring</t>
  </si>
  <si>
    <t>B0C4Z26DB3</t>
  </si>
  <si>
    <t>-99.93%</t>
  </si>
  <si>
    <t>4748797313113</t>
  </si>
  <si>
    <t>Tisoro 925 Solid Sterling Silver OM Ring - Buddhism AUM Jewelry - Allergy Free OHM for Yoga, Prayer, Meditation I</t>
  </si>
  <si>
    <t>B07H9FWJX9</t>
  </si>
  <si>
    <t>-99.94%</t>
  </si>
  <si>
    <t>White Pearl Sparkle Ball Long Necklace Pendant</t>
  </si>
  <si>
    <t>MIFYNN Gold Pearl Necklaces for Women Silver Freshwater Pearl Choker Necklace Long Y Lariat Chain Necklace Dainty Faux Pearl Drop Necklace White Pearl Pendant Necklace Birthday Gifts Mother's Day Gifts for Women Jewelry Gifts</t>
  </si>
  <si>
    <t>B0C3QQ2CZW</t>
  </si>
  <si>
    <t>18500.0</t>
  </si>
  <si>
    <t>7072091930713</t>
  </si>
  <si>
    <t>Promise Meditation Ring</t>
  </si>
  <si>
    <t>Generic Labradorite spinner ring, three tone Meditation Ring, Anxiety Ring, Fidget Ring, Anti Stress Ring, Worry Band 925 Sterling Silver Band, gemstone fiddle ring, promise ring, yoga spin ring, by KAPISH,</t>
  </si>
  <si>
    <t>B09PDR8VRJ</t>
  </si>
  <si>
    <t>58900.0</t>
  </si>
  <si>
    <t>-99.95%</t>
  </si>
  <si>
    <t>4748801933401</t>
  </si>
  <si>
    <t>Generic Natural Moonstone Spinner Ring, Fidget Boho Ring, Promise Ring for wedding, Meditation Ring, Solid sterling Silver Ring, Handmade Ring, Women Ring, Gift Her</t>
  </si>
  <si>
    <t>B09LQYPVRL</t>
  </si>
  <si>
    <t>Dtja Lariat Pearl Pendant Y Long Chain Necklace for Women Girls Imitation White Pearl Ball Choker Necklaces Wedding Birthday Jewelry Gift Box</t>
  </si>
  <si>
    <t>B095JN18BD</t>
  </si>
  <si>
    <t>chuanglian-Bird Hut Handmade Unisex 12 Beads Natural Bubinga Wood Prayer Beads Link Wrist Meditation Star Ring Circumstellar Decompression Bracelet Rosary Mala Necklace Chain for Men Women</t>
  </si>
  <si>
    <t>B08W251F3R</t>
  </si>
  <si>
    <t>-99.96%</t>
  </si>
  <si>
    <t>Honey Silver 925 Sterling Silver Spinner Ring for Women, Worry Ring, Meditation Ring, Thumb Ring, Fidget Ring, Handmade Ring, Promise Rings, Spin Ring Size US 8 Gift For Her</t>
  </si>
  <si>
    <t>B09QL99BJT</t>
  </si>
  <si>
    <t>Biitfuu Electronic Counter Plastic Counting Tool Digital Beads Counter Manual Ring for Buddhist Meditation Muslim Prayer(Red)</t>
  </si>
  <si>
    <t>B09D7YCD9S</t>
  </si>
  <si>
    <t>Demeras Demera Tibetan Singing Bowl Ring Pillow,6.3 Inch Singing Bowl Cushion for 7-10 Inches Diameter Meditation Singing Bowls,Silk Brocade,Meditation,Yoga,Relaxation,Chakra Healing,Prayer Mindfulness Blue</t>
  </si>
  <si>
    <t>B08PZFX79B</t>
  </si>
  <si>
    <t>-99.97%</t>
  </si>
  <si>
    <t>Alfalfalulu Handmade Unisex Wood Bracelet, 12 Natural Bubinga Buddhist Prayer Beads Mala Meditation Star Ring Circumstellar Decompression Wrist Beads for Men</t>
  </si>
  <si>
    <t>B0C25568QG</t>
  </si>
  <si>
    <t>MOROYA 9PCS Stainless Steel Spinner Rings for Women Men Fidget Band Rings Moon Star Flower Stress Relieving Meditation Rings Wedding Promise Fidget Rings</t>
  </si>
  <si>
    <t>B09JSN6L6T</t>
  </si>
  <si>
    <t>-99.98%</t>
  </si>
  <si>
    <t>LOYALLOOK 6PCS Stainless Steel Spinner Rings for Women Mens Triple Interlocked Rolling Flower Moon Star Stress Relieving Meditation Rings Sand Blast Finish Wedding Promise Fidget Band Rings</t>
  </si>
  <si>
    <t>B08Z36Q4WJ</t>
  </si>
  <si>
    <t>B08Z31FQVR</t>
  </si>
  <si>
    <t>B08Z3BFK9S</t>
  </si>
  <si>
    <t>FIBO STEEL 6Pcs Stainless Steel Spinner Ring for Women Men Fidget Band Rings Moon Star Meditation Ring Set for Stress Anxiety Relieving Wedding Promise Size 6-11</t>
  </si>
  <si>
    <t>B08Z7LJBYR</t>
  </si>
  <si>
    <t>UBGICIG 4Pcs Stainless Steel Spinner Rings for Women Men Fidget Band Rings Sun Moon Star Women Meditation Worry Rings for Stress Relieving Wedding Promise Fidget Rings Anxiety Ring Set(5-11)</t>
  </si>
  <si>
    <t>B091CDJ46V</t>
  </si>
  <si>
    <t>-99.99%</t>
  </si>
  <si>
    <t>Effects</t>
  </si>
  <si>
    <t>BOSS ME-90 Guitar Multi-Effects | All-In-One Guitar Processor | 11 Onboard AIRD Amp Models | 60 Effects derived from the GT-1000 | 8 Multi-Function Footswitches &amp; Redesigned Expression Pedal</t>
  </si>
  <si>
    <t>B0CB95FW31</t>
  </si>
  <si>
    <t>1,188.85%</t>
  </si>
  <si>
    <t>01234</t>
  </si>
  <si>
    <t>Fender Mustang LT25 Guitar Amp, 25-Watt Combo Amp, 30 Preset Effects with USB Audio Interface for Recording, 12.75Hx14.5Wx8.25D Inches, Wood, Black</t>
  </si>
  <si>
    <t>B07N29M92M</t>
  </si>
  <si>
    <t>492.56%</t>
  </si>
  <si>
    <t>32.0</t>
  </si>
  <si>
    <t>399.97%</t>
  </si>
  <si>
    <t>01527</t>
  </si>
  <si>
    <t>Zoom G1X FOUR Guitar Multi-Effects Processor with Expression Pedal, With 70+ Built-in Effects, Amp Modeling, Looper, Rhythm Section, Tuner, Battery Powered</t>
  </si>
  <si>
    <t>B07MZPR5GP</t>
  </si>
  <si>
    <t>344.41%</t>
  </si>
  <si>
    <t>274.97%</t>
  </si>
  <si>
    <t>44.0</t>
  </si>
  <si>
    <t>263.61%</t>
  </si>
  <si>
    <t>01465</t>
  </si>
  <si>
    <t>172.70%</t>
  </si>
  <si>
    <t>60.0</t>
  </si>
  <si>
    <t>166.65%</t>
  </si>
  <si>
    <t>01712</t>
  </si>
  <si>
    <t>66.0</t>
  </si>
  <si>
    <t>142.41%</t>
  </si>
  <si>
    <t>01713</t>
  </si>
  <si>
    <t>74.0</t>
  </si>
  <si>
    <t>116.20%</t>
  </si>
  <si>
    <t>01607</t>
  </si>
  <si>
    <t>01715</t>
  </si>
  <si>
    <t>75.0</t>
  </si>
  <si>
    <t>113.32%</t>
  </si>
  <si>
    <t>01228</t>
  </si>
  <si>
    <t>170.0</t>
  </si>
  <si>
    <t>104.70%</t>
  </si>
  <si>
    <t>254.0</t>
  </si>
  <si>
    <t>01512</t>
  </si>
  <si>
    <t>99.98%</t>
  </si>
  <si>
    <t>Donner Multi Effects Pedal, Arena 2000 Multieffects Processors Guitar Pedals with 278 Effects, 100 IRs, Looper, Drum Machine, Amp Modeling, Support XLR, MIDI IN</t>
  </si>
  <si>
    <t>B09XQRVFC3</t>
  </si>
  <si>
    <t>115.0</t>
  </si>
  <si>
    <t>87.82%</t>
  </si>
  <si>
    <t>01514</t>
  </si>
  <si>
    <t>81.80%</t>
  </si>
  <si>
    <t>Zoom B1X FOUR Bass Multi-Effects Processor with Expression Pedal, With 70+ Built-in Effects, Amp Modeling, Looper, Rhythm Section, Tuner, Battery Powered</t>
  </si>
  <si>
    <t>B07MZQNKYQ</t>
  </si>
  <si>
    <t>92.0</t>
  </si>
  <si>
    <t>73.90%</t>
  </si>
  <si>
    <t>01614</t>
  </si>
  <si>
    <t>95.0</t>
  </si>
  <si>
    <t>68.41%</t>
  </si>
  <si>
    <t>01121</t>
  </si>
  <si>
    <t>Clinical Effects Multi-Collagen Powder - Collagen Dietary Supplement - 8oz - 30 Servings - 5 Types of Quality-Sourced Multi-Collagen to Support Joint, Bone, Skin and Nail Health - Fast Absorption</t>
  </si>
  <si>
    <t>B085F3PSPB</t>
  </si>
  <si>
    <t>62.78%</t>
  </si>
  <si>
    <t>62.15%</t>
  </si>
  <si>
    <t>Westmore Beauty 60 Second Eye Effects Firming Gel Eye Tightening Serum Instant Eye Lift That Temporarily Reduces Dark Circles Under Eye Bag Remover Eye Cream For Puffiness And Bags Under Eyes</t>
  </si>
  <si>
    <t>B07BYG7D2V</t>
  </si>
  <si>
    <t>60.93%</t>
  </si>
  <si>
    <t>59.99%</t>
  </si>
  <si>
    <t>104.0</t>
  </si>
  <si>
    <t>53.84%</t>
  </si>
  <si>
    <t>01102</t>
  </si>
  <si>
    <t>Crest 3D Whitestrips, Professional Effects, Teeth Whitening Strip Kit, 44 Strips (22 Count Pack)</t>
  </si>
  <si>
    <t>B00AHAWWO0</t>
  </si>
  <si>
    <t>43.72%</t>
  </si>
  <si>
    <t>39.12%</t>
  </si>
  <si>
    <t>36.72%</t>
  </si>
  <si>
    <t>30.42%</t>
  </si>
  <si>
    <t>124.0</t>
  </si>
  <si>
    <t>29.02%</t>
  </si>
  <si>
    <t>01714</t>
  </si>
  <si>
    <t>272.0</t>
  </si>
  <si>
    <t>27.94%</t>
  </si>
  <si>
    <t>01458</t>
  </si>
  <si>
    <t>126.0</t>
  </si>
  <si>
    <t>26.98%</t>
  </si>
  <si>
    <t>01409</t>
  </si>
  <si>
    <t>26.31%</t>
  </si>
  <si>
    <t>99.0</t>
  </si>
  <si>
    <t>21.20%</t>
  </si>
  <si>
    <t>01104</t>
  </si>
  <si>
    <t>138.0</t>
  </si>
  <si>
    <t>15.93%</t>
  </si>
  <si>
    <t>01227</t>
  </si>
  <si>
    <t>15.37%</t>
  </si>
  <si>
    <t>148.0</t>
  </si>
  <si>
    <t>8.10%</t>
  </si>
  <si>
    <t>01511</t>
  </si>
  <si>
    <t>150.0</t>
  </si>
  <si>
    <t>6.66%</t>
  </si>
  <si>
    <t>01103</t>
  </si>
  <si>
    <t>151.0</t>
  </si>
  <si>
    <t>5.95%</t>
  </si>
  <si>
    <t>01100</t>
  </si>
  <si>
    <t>4.34%</t>
  </si>
  <si>
    <t>-1.25%</t>
  </si>
  <si>
    <t>-3.23%</t>
  </si>
  <si>
    <t>-4.77%</t>
  </si>
  <si>
    <t>-5.89%</t>
  </si>
  <si>
    <t>374.0</t>
  </si>
  <si>
    <t>-6.42%</t>
  </si>
  <si>
    <t>01232</t>
  </si>
  <si>
    <t>390.0</t>
  </si>
  <si>
    <t>-10.77%</t>
  </si>
  <si>
    <t>01241</t>
  </si>
  <si>
    <t>180.0</t>
  </si>
  <si>
    <t>-11.12%</t>
  </si>
  <si>
    <t>01830</t>
  </si>
  <si>
    <t>-13.05%</t>
  </si>
  <si>
    <t>186.0</t>
  </si>
  <si>
    <t>-13.98%</t>
  </si>
  <si>
    <t>01447</t>
  </si>
  <si>
    <t>140.0</t>
  </si>
  <si>
    <t>-14.29%</t>
  </si>
  <si>
    <t>01608</t>
  </si>
  <si>
    <t>190.0</t>
  </si>
  <si>
    <t>-15.79%</t>
  </si>
  <si>
    <t>01708</t>
  </si>
  <si>
    <t>01219</t>
  </si>
  <si>
    <t>197.0</t>
  </si>
  <si>
    <t>-18.79%</t>
  </si>
  <si>
    <t>275.0</t>
  </si>
  <si>
    <t>01222</t>
  </si>
  <si>
    <t>-18.93%</t>
  </si>
  <si>
    <t>-20.01%</t>
  </si>
  <si>
    <t>-20.54%</t>
  </si>
  <si>
    <t>Crest 3D White Professional Effects Teeth Whitening Kit</t>
  </si>
  <si>
    <t>-23.35%</t>
  </si>
  <si>
    <t>220.0</t>
  </si>
  <si>
    <t>-27.28%</t>
  </si>
  <si>
    <t>01461</t>
  </si>
  <si>
    <t>165.0</t>
  </si>
  <si>
    <t>01122</t>
  </si>
  <si>
    <t>-27.58%</t>
  </si>
  <si>
    <t>-29.42%</t>
  </si>
  <si>
    <t>228.0</t>
  </si>
  <si>
    <t>-29.83%</t>
  </si>
  <si>
    <t>01705</t>
  </si>
  <si>
    <t>-33.34%</t>
  </si>
  <si>
    <t>01831</t>
  </si>
  <si>
    <t>-34.17%</t>
  </si>
  <si>
    <t>245.0</t>
  </si>
  <si>
    <t>-34.70%</t>
  </si>
  <si>
    <t>02010</t>
  </si>
  <si>
    <t>-35.49%</t>
  </si>
  <si>
    <t>NUX Mighty Plug MP-2 Guitar and Bass Modeling Headphone Amplug with Bluetooth,13 Amplifier Models,20 IR,19 Variety of Effects</t>
  </si>
  <si>
    <t>B08HR3XBZ2</t>
  </si>
  <si>
    <t>-35.65%</t>
  </si>
  <si>
    <t>250.0</t>
  </si>
  <si>
    <t>-36.00%</t>
  </si>
  <si>
    <t>01526</t>
  </si>
  <si>
    <t>01835</t>
  </si>
  <si>
    <t>01225</t>
  </si>
  <si>
    <t>01517</t>
  </si>
  <si>
    <t>01611</t>
  </si>
  <si>
    <t>-36.85%</t>
  </si>
  <si>
    <t>-37.85%</t>
  </si>
  <si>
    <t>262.0</t>
  </si>
  <si>
    <t>-38.94%</t>
  </si>
  <si>
    <t>01224</t>
  </si>
  <si>
    <t>-39.09%</t>
  </si>
  <si>
    <t>264.0</t>
  </si>
  <si>
    <t>-39.40%</t>
  </si>
  <si>
    <t>01525</t>
  </si>
  <si>
    <t>265.0</t>
  </si>
  <si>
    <t>-39.63%</t>
  </si>
  <si>
    <t>01438</t>
  </si>
  <si>
    <t>270.0</t>
  </si>
  <si>
    <t>-40.74%</t>
  </si>
  <si>
    <t>01400</t>
  </si>
  <si>
    <t>-41.18%</t>
  </si>
  <si>
    <t>01235</t>
  </si>
  <si>
    <t>-41.28%</t>
  </si>
  <si>
    <t>-42.07%</t>
  </si>
  <si>
    <t>285.0</t>
  </si>
  <si>
    <t>-43.86%</t>
  </si>
  <si>
    <t>01450</t>
  </si>
  <si>
    <t>-45.46%</t>
  </si>
  <si>
    <t>-47.37%</t>
  </si>
  <si>
    <t>668.0</t>
  </si>
  <si>
    <t>-47.91%</t>
  </si>
  <si>
    <t>01403</t>
  </si>
  <si>
    <t>232.0</t>
  </si>
  <si>
    <t>-48.28%</t>
  </si>
  <si>
    <t>01530</t>
  </si>
  <si>
    <t>315.0</t>
  </si>
  <si>
    <t>-49.21%</t>
  </si>
  <si>
    <t>01305</t>
  </si>
  <si>
    <t>-50.01%</t>
  </si>
  <si>
    <t>-51.02%</t>
  </si>
  <si>
    <t>-52.00%</t>
  </si>
  <si>
    <t>01834</t>
  </si>
  <si>
    <t>-52.77%</t>
  </si>
  <si>
    <t>Clinical Effects: Liver Support - Natural Milk Thistle and Zinc Supplement - 60 Veggie Capsules - Helps Detox and Cleanse The Liver - Supports Liver Function and Digestive Health - Made in The USA</t>
  </si>
  <si>
    <t>B08QDMGYV2</t>
  </si>
  <si>
    <t>-53.33%</t>
  </si>
  <si>
    <t>-54.20%</t>
  </si>
  <si>
    <t>-54.26%</t>
  </si>
  <si>
    <t>-54.55%</t>
  </si>
  <si>
    <t>-54.72%</t>
  </si>
  <si>
    <t>-55.56%</t>
  </si>
  <si>
    <t>-55.78%</t>
  </si>
  <si>
    <t>-55.89%</t>
  </si>
  <si>
    <t>283.0</t>
  </si>
  <si>
    <t>-57.60%</t>
  </si>
  <si>
    <t>01711</t>
  </si>
  <si>
    <t>-57.90%</t>
  </si>
  <si>
    <t>-58.22%</t>
  </si>
  <si>
    <t>385.0</t>
  </si>
  <si>
    <t>-58.44%</t>
  </si>
  <si>
    <t>01240</t>
  </si>
  <si>
    <t>-58.89%</t>
  </si>
  <si>
    <t>-58.98%</t>
  </si>
  <si>
    <t>392.0</t>
  </si>
  <si>
    <t>-59.19%</t>
  </si>
  <si>
    <t>01430</t>
  </si>
  <si>
    <t>408.0</t>
  </si>
  <si>
    <t>-60.79%</t>
  </si>
  <si>
    <t>01452</t>
  </si>
  <si>
    <t>Paint Audio Foot Captain Dual Outputs Expression Pedal Multi-effects Compatible for Tip/Ring Connection (Foot Captain)</t>
  </si>
  <si>
    <t>B0C1ZRFN9K</t>
  </si>
  <si>
    <t>-61.67%</t>
  </si>
  <si>
    <t>-61.91%</t>
  </si>
  <si>
    <t>422.0</t>
  </si>
  <si>
    <t>-62.09%</t>
  </si>
  <si>
    <t>01406</t>
  </si>
  <si>
    <t>-62.22%</t>
  </si>
  <si>
    <t>-62.44%</t>
  </si>
  <si>
    <t>-62.91%</t>
  </si>
  <si>
    <t>432.0</t>
  </si>
  <si>
    <t>-62.97%</t>
  </si>
  <si>
    <t>01311</t>
  </si>
  <si>
    <t>-63.50%</t>
  </si>
  <si>
    <t>440.0</t>
  </si>
  <si>
    <t>-63.64%</t>
  </si>
  <si>
    <t>01408</t>
  </si>
  <si>
    <t>-64.96%</t>
  </si>
  <si>
    <t>-64.98%</t>
  </si>
  <si>
    <t>-65.52%</t>
  </si>
  <si>
    <t>488.0</t>
  </si>
  <si>
    <t>-67.22%</t>
  </si>
  <si>
    <t>01402</t>
  </si>
  <si>
    <t>-67.92%</t>
  </si>
  <si>
    <t>-68.10%</t>
  </si>
  <si>
    <t>-68.51%</t>
  </si>
  <si>
    <t>-68.83%</t>
  </si>
  <si>
    <t>-68.96%</t>
  </si>
  <si>
    <t>516.0</t>
  </si>
  <si>
    <t>-68.99%</t>
  </si>
  <si>
    <t>01407</t>
  </si>
  <si>
    <t>-69.23%</t>
  </si>
  <si>
    <t>-69.39%</t>
  </si>
  <si>
    <t>-70.26%</t>
  </si>
  <si>
    <t>-70.59%</t>
  </si>
  <si>
    <t>-70.64%</t>
  </si>
  <si>
    <t>-71.03%</t>
  </si>
  <si>
    <t>-71.23%</t>
  </si>
  <si>
    <t>-71.57%</t>
  </si>
  <si>
    <t>-72.13%</t>
  </si>
  <si>
    <t>1260.0</t>
  </si>
  <si>
    <t>-72.22%</t>
  </si>
  <si>
    <t>01431</t>
  </si>
  <si>
    <t>-72.73%</t>
  </si>
  <si>
    <t>Eyelash Booster Serum</t>
  </si>
  <si>
    <t>XL Lash and Brow Booster, Growth Serum with Eyelash and Eyebrow Enhancer, Promotes Stronger, Thicker, Healthier Lashes with Botanicals and Peptides</t>
  </si>
  <si>
    <t>B083MZTTB7</t>
  </si>
  <si>
    <t>185.0</t>
  </si>
  <si>
    <t>-72.98%</t>
  </si>
  <si>
    <t>01250</t>
  </si>
  <si>
    <t>Eyelash Growth Serum Booster. Enhanced Length. Works Like Magic. Fuller Lashes &amp; Mesmerizing Look. Nourishing. Thicker. Longer. Your Secret to Gorgeous Eyes. Alluring. Must Have.</t>
  </si>
  <si>
    <t>B0915XLLPJ</t>
  </si>
  <si>
    <t>-72.99%</t>
  </si>
  <si>
    <t>605.0</t>
  </si>
  <si>
    <t>-73.56%</t>
  </si>
  <si>
    <t>01449</t>
  </si>
  <si>
    <t>-73.67%</t>
  </si>
  <si>
    <t>-74.15%</t>
  </si>
  <si>
    <t>-74.44%</t>
  </si>
  <si>
    <t>-74.45%</t>
  </si>
  <si>
    <t>-75.27%</t>
  </si>
  <si>
    <t>-75.41%</t>
  </si>
  <si>
    <t>-75.79%</t>
  </si>
  <si>
    <t>-75.86%</t>
  </si>
  <si>
    <t>-76.05%</t>
  </si>
  <si>
    <t>-76.64%</t>
  </si>
  <si>
    <t>-76.75%</t>
  </si>
  <si>
    <t>-77.13%</t>
  </si>
  <si>
    <t>-77.94%</t>
  </si>
  <si>
    <t>728.0</t>
  </si>
  <si>
    <t>-78.02%</t>
  </si>
  <si>
    <t>01401</t>
  </si>
  <si>
    <t>Olay Total Effects 7-In-1 Face Moisturizer Plus Mature Therapy, Beige, 1.7 Fl Oz</t>
  </si>
  <si>
    <t>B0012J30KU</t>
  </si>
  <si>
    <t>-78.79%</t>
  </si>
  <si>
    <t>1735.0</t>
  </si>
  <si>
    <t>-79.83%</t>
  </si>
  <si>
    <t>01446</t>
  </si>
  <si>
    <t>-80.02%</t>
  </si>
  <si>
    <t>-80.17%</t>
  </si>
  <si>
    <t>-80.25%</t>
  </si>
  <si>
    <t>-80.72%</t>
  </si>
  <si>
    <t>-80.94%</t>
  </si>
  <si>
    <t>845.0</t>
  </si>
  <si>
    <t>-81.07%</t>
  </si>
  <si>
    <t>01443</t>
  </si>
  <si>
    <t>-81.23%</t>
  </si>
  <si>
    <t>-81.27%</t>
  </si>
  <si>
    <t>-81.60%</t>
  </si>
  <si>
    <t>-82.04%</t>
  </si>
  <si>
    <t>-82.27%</t>
  </si>
  <si>
    <t>-82.42%</t>
  </si>
  <si>
    <t>-82.45%</t>
  </si>
  <si>
    <t>-82.50%</t>
  </si>
  <si>
    <t>-82.62%</t>
  </si>
  <si>
    <t>Cell-Power Firming Body Lotion</t>
  </si>
  <si>
    <t>SONA &amp; ANTO Skin Firming and Tightening Lotion with ShapePerfection | Anti Cellulite &amp; Moisturizing Body Lotion | Shrinks Fat Cells to Tighten Loose Belly Skin | Collagen &amp; Lilac Rose | MADE IN FRANCE</t>
  </si>
  <si>
    <t>B0CB71J33F</t>
  </si>
  <si>
    <t>233.0</t>
  </si>
  <si>
    <t>-82.84%</t>
  </si>
  <si>
    <t>01605</t>
  </si>
  <si>
    <t>700.0</t>
  </si>
  <si>
    <t>-82.86%</t>
  </si>
  <si>
    <t>01243</t>
  </si>
  <si>
    <t>-83.35%</t>
  </si>
  <si>
    <t>-83.42%</t>
  </si>
  <si>
    <t>-83.52%</t>
  </si>
  <si>
    <t>-83.54%</t>
  </si>
  <si>
    <t>-83.60%</t>
  </si>
  <si>
    <t>-83.75%</t>
  </si>
  <si>
    <t>-83.84%</t>
  </si>
  <si>
    <t>-83.91%</t>
  </si>
  <si>
    <t>-84.03%</t>
  </si>
  <si>
    <t>AG Care Liquid Effects Extra-Firm Styling Lotion, 8 Fl Oz</t>
  </si>
  <si>
    <t>B0B8GTKXNC</t>
  </si>
  <si>
    <t>-84.06%</t>
  </si>
  <si>
    <t>-84.29%</t>
  </si>
  <si>
    <t>Babe Lash Eyelash &amp; Brow Enhancer Serum for Natural, Fuller &amp; Longer Looking Eyelashes - Eyelash Booster Hydrates Lashes - Used on Lash, Brow &amp; Lash Extensions - 0.03 Fl Oz</t>
  </si>
  <si>
    <t>B07BKV4B6Q</t>
  </si>
  <si>
    <t>-84.32%</t>
  </si>
  <si>
    <t>Liquid Mask Starter Set</t>
  </si>
  <si>
    <t>Acrylic Nail Kit With Everything For Beginners, Professional Nail Starter Kit With UV Light, Acrylic Powder And Liquid Monomer Set, Nail Glitter And DIY Nail Art Tools…</t>
  </si>
  <si>
    <t>B0BTLXZHNZ</t>
  </si>
  <si>
    <t>167.0</t>
  </si>
  <si>
    <t>-84.44%</t>
  </si>
  <si>
    <t>01019</t>
  </si>
  <si>
    <t>-84.65%</t>
  </si>
  <si>
    <t>-84.75%</t>
  </si>
  <si>
    <t>Overly Kind's Volumizing Eyelash &amp; Eyebrow Hair Growth Serum Booster &amp; Enhancer - Thicker, Longer Lash and Brow - USA Made - Vegan &amp; Cruelty Free - Free from Parabens, Sulfates,&amp; Silicones</t>
  </si>
  <si>
    <t>B09WRY42CK</t>
  </si>
  <si>
    <t>-84.87%</t>
  </si>
  <si>
    <t>-85.14%</t>
  </si>
  <si>
    <t>-85.33%</t>
  </si>
  <si>
    <t>-85.80%</t>
  </si>
  <si>
    <t>1140.0</t>
  </si>
  <si>
    <t>-85.97%</t>
  </si>
  <si>
    <t>01441</t>
  </si>
  <si>
    <t>-86.21%</t>
  </si>
  <si>
    <t>Lash &amp; Brow Booster Serum Gives You Longer Fuller Thicker Looking Eyelashes &amp; Eyebrows. Bestselling Conditioner Stimulates The Appearance Of Growth &amp; Regrowth. Natural Eye Lash Oil Free Enhancer</t>
  </si>
  <si>
    <t>B019EXWVQY</t>
  </si>
  <si>
    <t>-86.51%</t>
  </si>
  <si>
    <t>-87.63%</t>
  </si>
  <si>
    <t>-88.05%</t>
  </si>
  <si>
    <t>Hair &amp; Scalp Shampoo</t>
  </si>
  <si>
    <t>PURA D'OR Scalp Therapy Shampoo &amp; Healing Conditioner Set (16oz x 2) For Dry, Itchy Scalp - Hydrates &amp; Nourishes Hair with Tea Tree, Argan Oil &amp; Biotin, All Hair Types, Men Women (Packaging May Vary)</t>
  </si>
  <si>
    <t>B07FWH6TFP</t>
  </si>
  <si>
    <t>-88.19%</t>
  </si>
  <si>
    <t>01460</t>
  </si>
  <si>
    <t>-88.27%</t>
  </si>
  <si>
    <t>-88.38%</t>
  </si>
  <si>
    <t>Enaskin Naturals Inner Thighs Skin Firming Cream Skin Tightening &amp; Cellulite Cream - Body Moisturizing Lotion with Hibiscus and Honey</t>
  </si>
  <si>
    <t>B0CD1FQVPV</t>
  </si>
  <si>
    <t>-88.42%</t>
  </si>
  <si>
    <t>Cell Power Vital Serum</t>
  </si>
  <si>
    <t>'L'Oreal Paris Revitalift Triple Power LZR Retinol Night Serum For Face, With 0.3% Pure Retinol, Moisturizes Skin and Eliminates Deep Wrinkles, For All Skin Types, 30ml</t>
  </si>
  <si>
    <t>B08HSLT1V9</t>
  </si>
  <si>
    <t>157.0</t>
  </si>
  <si>
    <t>-88.47%</t>
  </si>
  <si>
    <t>01221</t>
  </si>
  <si>
    <t>Tea Tree Scalp Care Regeniplex Shampoo, Thickens + Strengthens, For Thinning Hair</t>
  </si>
  <si>
    <t>B01DCCC84S</t>
  </si>
  <si>
    <t>-88.64%</t>
  </si>
  <si>
    <t>ProBliva Fungus Shampoo for Psoriasis , Itchy Scalp and Hair for Men and Women, Help to Reduce Ringworm - Contains Natural Ingredients Coconut Oil, Jojoba Oil, Emu Oil</t>
  </si>
  <si>
    <t>B07RZ9B33D</t>
  </si>
  <si>
    <t>-88.68%</t>
  </si>
  <si>
    <t>-88.71%</t>
  </si>
  <si>
    <t>-88.73%</t>
  </si>
  <si>
    <t>1432.0</t>
  </si>
  <si>
    <t>-88.83%</t>
  </si>
  <si>
    <t>01444</t>
  </si>
  <si>
    <t>-88.86%</t>
  </si>
  <si>
    <t>-88.92%</t>
  </si>
  <si>
    <t>L'Oreal Paris Revitalift Triple Power Anti-Aging Concentrated Face Serum, Hyaluronic Acid and Pro-Xylane, Reduces Wrinkles 1 oz</t>
  </si>
  <si>
    <t>B008FZ562E</t>
  </si>
  <si>
    <t>-89.06%</t>
  </si>
  <si>
    <t>-89.10%</t>
  </si>
  <si>
    <t>-89.35%</t>
  </si>
  <si>
    <t>-89.47%</t>
  </si>
  <si>
    <t>-89.70%</t>
  </si>
  <si>
    <t>Vitality Anti-Aging Facial Serum for All Skin Types: Promotes Healthy Skin Cell Growth | Smooth Fine Lines &amp; Wrinkles, Rejuvenate, Brighten &amp; Tone | All Natural | .17oz Purse Size by Jadience</t>
  </si>
  <si>
    <t>B01L7XDS98</t>
  </si>
  <si>
    <t>-89.84%</t>
  </si>
  <si>
    <t>-89.87%</t>
  </si>
  <si>
    <t>Skin Sealer Protection Shield</t>
  </si>
  <si>
    <t>Tattoo Aftercare Bandage Roll, Tattoo Ink Wrap with Sliding Cut 6''x2.2 Yard, Second Skin Derm Shield Protection Transparent Film Dressing Waterproof Breathable Stretch Adhesive Cover Tattoo Supplies</t>
  </si>
  <si>
    <t>B0BN2VBS72</t>
  </si>
  <si>
    <t>-90.01%</t>
  </si>
  <si>
    <t>01223</t>
  </si>
  <si>
    <t>-90.12%</t>
  </si>
  <si>
    <t>SILKDERMIS B Flat Belly Firming Cream - Skin Tightening &amp; Cellulite Cream for Stomach, Thighs &amp; Butt, Moisturizing Firming Lotion with Powerful Natural Ingredients , 120 ML</t>
  </si>
  <si>
    <t>B0C2HKHKP3</t>
  </si>
  <si>
    <t>-90.13%</t>
  </si>
  <si>
    <t>1670.0</t>
  </si>
  <si>
    <t>-90.42%</t>
  </si>
  <si>
    <t>01440</t>
  </si>
  <si>
    <t>-90.48%</t>
  </si>
  <si>
    <t>-90.99%</t>
  </si>
  <si>
    <t>-91.03%</t>
  </si>
  <si>
    <t>-91.09%</t>
  </si>
  <si>
    <t>It'S SKIN Power 10 Formula YE Effector Ampoule Serum 30ml (1.01 fl oz) - Facial Essence with Lactobacillus Ferment to Revitalize Skin - Soften Rough, Dry Skin Texture, and Restore Glow</t>
  </si>
  <si>
    <t>B006B042E8</t>
  </si>
  <si>
    <t>-91.10%</t>
  </si>
  <si>
    <t>-91.20%</t>
  </si>
  <si>
    <t>-91.58%</t>
  </si>
  <si>
    <t>-91.62%</t>
  </si>
  <si>
    <t>Schick Silk Effects Plus Razor Blade Refills for Women - 5 Count</t>
  </si>
  <si>
    <t>B001KYRZ8A</t>
  </si>
  <si>
    <t>-91.66%</t>
  </si>
  <si>
    <t>4220.0</t>
  </si>
  <si>
    <t>-91.75%</t>
  </si>
  <si>
    <t>01421</t>
  </si>
  <si>
    <t>Tea Tree Special Shampoo, Deep Cleans, Refreshes Scalp, For All Hair Types, Especially Oily Hair</t>
  </si>
  <si>
    <t>B003E1CYHO</t>
  </si>
  <si>
    <t>-91.82%</t>
  </si>
  <si>
    <t>Natural Lash Growth Serum - USA Made Eyebrow Growth Enhancer - Eyelash Booster to Grow Longer Eyelashes - Lash Boost &amp; Brow Enhancing Serum</t>
  </si>
  <si>
    <t>B07XG8KRVJ</t>
  </si>
  <si>
    <t>-91.95%</t>
  </si>
  <si>
    <t>-92.05%</t>
  </si>
  <si>
    <t>2014.0</t>
  </si>
  <si>
    <t>-92.06%</t>
  </si>
  <si>
    <t>01453</t>
  </si>
  <si>
    <t>Gentle Moisturizing Gel</t>
  </si>
  <si>
    <t>Rice Serum,Rice Plant Extract Exfoliating Gel, Moisturizing Exfoliating Gel, Whitening and Rejuvenating Gel Serum, Gentle Exfoliation Gel, Cleansing Exfoliating Gel</t>
  </si>
  <si>
    <t>B09LR46C36</t>
  </si>
  <si>
    <t>144.0</t>
  </si>
  <si>
    <t>-92.09%</t>
  </si>
  <si>
    <t>01226</t>
  </si>
  <si>
    <t>Versed Wash It Out Gel Face Cleanser - Mild, Non-Stripping Gentle Gel Facial Wash with Nourishing Rosewater and Moisturizing Ceramides - Vegan (6.4 fl oz)</t>
  </si>
  <si>
    <t>B08X4L3J17</t>
  </si>
  <si>
    <t>-92.37%</t>
  </si>
  <si>
    <t>-92.40%</t>
  </si>
  <si>
    <t>-92.77%</t>
  </si>
  <si>
    <t>-92.81%</t>
  </si>
  <si>
    <t>-93.08%</t>
  </si>
  <si>
    <t>-93.42%</t>
  </si>
  <si>
    <t>-93.50%</t>
  </si>
  <si>
    <t>-93.68%</t>
  </si>
  <si>
    <t>-94.01%</t>
  </si>
  <si>
    <t>-94.03%</t>
  </si>
  <si>
    <t>-94.04%</t>
  </si>
  <si>
    <t>-94.10%</t>
  </si>
  <si>
    <t>-94.42%</t>
  </si>
  <si>
    <t>-94.49%</t>
  </si>
  <si>
    <t>-94.56%</t>
  </si>
  <si>
    <t>Cell-Power Anti-Cellulite Treatment</t>
  </si>
  <si>
    <t>Anti Cellulite Massage Oil - Infused w/Collagen &amp; Stem Cell - 100% Natural Massage Lotion &amp; Cellulite Cream, Remover &amp; Massager - Helps Skin Tightening &amp; Stretch Mark Treatment for Women &amp; Men - 8 oz</t>
  </si>
  <si>
    <t>B0946K7M62</t>
  </si>
  <si>
    <t>242.0</t>
  </si>
  <si>
    <t>-94.72%</t>
  </si>
  <si>
    <t>01604</t>
  </si>
  <si>
    <t>Yes To Tea Tree Scalp Relief Shampoo, pH Balancing Formula To Calm Dry Itchy Scalp While Moisturizing &amp; Nourishing Hair, With Tea Tree &amp; Sage Oil, Natural, Vegan &amp; Cruelty Free, 12 Fl Oz</t>
  </si>
  <si>
    <t>B019HBMY9C</t>
  </si>
  <si>
    <t>-94.78%</t>
  </si>
  <si>
    <t>-94.86%</t>
  </si>
  <si>
    <t>BEUKING Face Camomile Peeling Gel Deep Cleansing Moisturizing Smoothing Gentle Exfoliating Remove Dirt Tighten Pores Improving Face Skin</t>
  </si>
  <si>
    <t>B08X2DWY1R</t>
  </si>
  <si>
    <t>-95.15%</t>
  </si>
  <si>
    <t>L'Oreal Paris EverPure Scalp Care + Detox Sulfate Free Shampoo for Color-Treated Hair, Anti-Dandruff, Invigorates Scalp and Removes excess build-up, Menthol and Neem Leaf Extract, 8.5 Ounce</t>
  </si>
  <si>
    <t>B0882JHCTC</t>
  </si>
  <si>
    <t>-96.16%</t>
  </si>
  <si>
    <t>-96.21%</t>
  </si>
  <si>
    <t>Aveeno Farm-Fresh Oat Milk Sulfate-Free Shampoo with Colloidal Oatmeal &amp; Almond Milk, Moisturizing Shampoo for All Hair Types, Safe for Color-Treated Hair, Paraben &amp; Dye-Free, 12 Fl Oz</t>
  </si>
  <si>
    <t>B07HMJTH7G</t>
  </si>
  <si>
    <t>-96.37%</t>
  </si>
  <si>
    <t>OGX Extra Strength Refreshing Scalp + Teatree Mint , Invigorating Scalp Shampoo with Tea Tree &amp; Peppermint Oil &amp; Witch Hazel, Paraben/ Sulfate-Free Surfactants, 13 fl oz</t>
  </si>
  <si>
    <t>B076S6KMY9</t>
  </si>
  <si>
    <t>-96.97%</t>
  </si>
  <si>
    <t>OGX Hydrating + Tea Tree Mint Shampoo, Nourishing &amp; Invigorating Scalp Shampoo with Tea Tree &amp; Peppermint Oil &amp; Milk Proteins, Paraben-Free, Sulfate-Free Surfactants, 13 fl oz</t>
  </si>
  <si>
    <t>B000TGC8D2</t>
  </si>
  <si>
    <t>-96.99%</t>
  </si>
  <si>
    <t>-97.00%</t>
  </si>
  <si>
    <t>-97.16%</t>
  </si>
  <si>
    <t>-97.37%</t>
  </si>
  <si>
    <t>-97.40%</t>
  </si>
  <si>
    <t>-97.50%</t>
  </si>
  <si>
    <t>-97.82%</t>
  </si>
  <si>
    <t>-97.84%</t>
  </si>
  <si>
    <t>The Best Eye Serum</t>
  </si>
  <si>
    <t>Cetaphil Deep Hydration Refreshing Eye Serum, 0.5 fl oz, 48Hr Hydrating Under Eye Cream to Reduce the Appearance of Dark Circles, With Hyaluronic Acid, Vitamin E &amp; B5 (Packaging May Vary)</t>
  </si>
  <si>
    <t>B0897V6H9C</t>
  </si>
  <si>
    <t>1176.0</t>
  </si>
  <si>
    <t>01439</t>
  </si>
  <si>
    <t>Cleansing Milk</t>
  </si>
  <si>
    <t>Phytomer Perfect Visage Gentle Cleansing Milk | Relaxing, Soothing, Moisturzing | Daily Face Cleanser &amp; Makeup Remover | Safe, Natural Ingredients | Sustainable &amp; Eco-Friendly Skincare | 250ml</t>
  </si>
  <si>
    <t>B076QFHBV3</t>
  </si>
  <si>
    <t>25.0</t>
  </si>
  <si>
    <t>58.00%</t>
  </si>
  <si>
    <t>6866947276890</t>
  </si>
  <si>
    <t>Shiseido Extra Rich Cleansing Milk - 125 mL - Gentle Cleanser for Hydrated, Moisturized Skin - Gentle &amp; Soap Free - For Dry Skin, Very Dry &amp; Sensitive Skin</t>
  </si>
  <si>
    <t>B07JQ5YLCP</t>
  </si>
  <si>
    <t>44.00%</t>
  </si>
  <si>
    <t>Pro-Collagen Refining Serum</t>
  </si>
  <si>
    <t>Clinical Skin Vitamin C Pro-Collagen Serum, Vitamin E, Anti-Aging, Skin Brightening Formula, For Soft Luminous Skin, for Fine Lines and Wrinkles</t>
  </si>
  <si>
    <t>B0B94L3JMM</t>
  </si>
  <si>
    <t>89.0</t>
  </si>
  <si>
    <t>34.83%</t>
  </si>
  <si>
    <t>6863866495066</t>
  </si>
  <si>
    <t>EMS Light Device</t>
  </si>
  <si>
    <t>Radio Frequency Facial Machine - Light Therapy for Wrinkles Lifting High Frequency Face Massager with EMS - 5 in 1 Home Anti-Aging Skin Tightening Rejuvenation Skin Care Device</t>
  </si>
  <si>
    <t>B0BLLVX329</t>
  </si>
  <si>
    <t>31.30%</t>
  </si>
  <si>
    <t>6768181084250</t>
  </si>
  <si>
    <t>Facial Sculpting Wand</t>
  </si>
  <si>
    <t>SBLA Beauty Facial Instant Sculpting Wand, Advanced Anti-Aging Serum For Smoothing, Skin Tightening, Brightening All Skin Types &amp; Reducing Lines and Wrinkles, Vitamin C Instant Facial Wand, 0.23 Fl Oz / 6.8mL (100 doses)</t>
  </si>
  <si>
    <t>B07TRP4S9V</t>
  </si>
  <si>
    <t>12.00%</t>
  </si>
  <si>
    <t>6562709897306</t>
  </si>
  <si>
    <t>ELEMIS Pro-Collagen Renewal Serum | Retinol Alternative Facial Concentrate Rejuvenates, Firms and Reduces the Look of Fine Lines and Wrinkles | 15 mL</t>
  </si>
  <si>
    <t>B08VPJS3N6</t>
  </si>
  <si>
    <t>6.74%</t>
  </si>
  <si>
    <t>MAKEPREM Safe Me Relief Moisture Cleansing Milk 6.76 Fl Oz Sub-Acid pH 5.5 Mild Makeup Remover Gentle Milk Cleanser Dry Sensitive Acne-Prone Skin Moisturizing Age Defying No Chemicals Non-Irritating</t>
  </si>
  <si>
    <t>B08BZ254B7</t>
  </si>
  <si>
    <t>-0.04%</t>
  </si>
  <si>
    <t>Intense Hydrating Moisturizer</t>
  </si>
  <si>
    <t>IMAGE Skincare, VITAL C Hydrating Intense Moisturizer, Face Lotion with Hyaluronic Acid and Shea Butter, 1.7 fl oz</t>
  </si>
  <si>
    <t>B00CC1BC5W</t>
  </si>
  <si>
    <t>105.0</t>
  </si>
  <si>
    <t>-25.71%</t>
  </si>
  <si>
    <t>6870710485082</t>
  </si>
  <si>
    <t>10% AHA Exfoliant</t>
  </si>
  <si>
    <t>Paula's Choice RESIST Smoothing Treatment 10% AHA Serum, Lactic, Glycolic &amp; Malic Acids, Anti-Aging Exfoliant for Dry Skin, 1 Ounce</t>
  </si>
  <si>
    <t>B07FMW37HT</t>
  </si>
  <si>
    <t>55.0</t>
  </si>
  <si>
    <t>-29.09%</t>
  </si>
  <si>
    <t>6863867576410</t>
  </si>
  <si>
    <t>Paula’s Choice Pro-Collagen Multi-Peptide Booster Serum for Fine Lines &amp; Wrinkles, Supports Collagen Production with Plumping Hyaluronic Acid &amp; Amino Acids, Fragrance-Free &amp; Paraben-Free, 0.67 Ounces</t>
  </si>
  <si>
    <t>B0BV3F1X4H</t>
  </si>
  <si>
    <t>-34.83%</t>
  </si>
  <si>
    <t>Skin Rescue Sheet Mask</t>
  </si>
  <si>
    <t>BioRepublic SkinCare Aloe Rescue Sheet Masks | Soothing &amp; Restorative Aloe Masks | Ideal for All Skin Types | Box of 12</t>
  </si>
  <si>
    <t>B00ZIS53M4</t>
  </si>
  <si>
    <t>-36.36%</t>
  </si>
  <si>
    <t>6643187056730</t>
  </si>
  <si>
    <t>Dewytree Hi Amino All Cleansing Hypoallergenic Mild Cleansing Milk Lotion 200ml(6.76 fl.oz) - for Irritated Skin, Infused with Amino Acids, Moisturizing Facial Cleanser to Improve Skin Elasticity</t>
  </si>
  <si>
    <t>B09332QFBY</t>
  </si>
  <si>
    <t>-38.80%</t>
  </si>
  <si>
    <t>AHA Clarifying Cleanser</t>
  </si>
  <si>
    <t>BIO JOUVANCE PARIS - Clarifying Gel Cleanser 12% AHA 8oz / 240ml - For Normal/Oily/Acne-Prone Skin | Deep Pore Cleanse | Gentle Face Wash &amp; Makeup Remover | Daily Skin Care Treatment Regimen | Made in France</t>
  </si>
  <si>
    <t>B09FSDL6NM</t>
  </si>
  <si>
    <t>-41.82%</t>
  </si>
  <si>
    <t>6848698384474</t>
  </si>
  <si>
    <t>menorah skincare - Ultra Hydration Rescue Sheet Mask (4 Sheets) - with Rice, African Mango, Facial Mask, Skin-friendly Formula, Super Hydration and Moisturizing, Face Skin Care, Hydrating Essence</t>
  </si>
  <si>
    <t>B0C9FK3LRW</t>
  </si>
  <si>
    <t>-42.73%</t>
  </si>
  <si>
    <t>menorah skincare - Anti-Blemish Treatment Rescue Sheet Masks (4 Sheets) - with Pomegranate, Artichoke, Facial Mask, Beauty Care, Instant Recovery, Oil-Water Balabce, For All Skin Type, Acne Skin</t>
  </si>
  <si>
    <t>B0C9F8GRHR</t>
  </si>
  <si>
    <t>Menorah skincare - Anti-Aging Serum Rescue Sheet Masks (4 Sheets) - with Goji Berry, Rosehip, Facial Mask, Skin Firmness and Elasticity</t>
  </si>
  <si>
    <t>B0C9FMCT77</t>
  </si>
  <si>
    <t>menorah skincare - Brighten and Repair Rescue Sheet Masks (4 Sheets) - with Kombucha, Orange, Facial Mask, Radiant, Elastic, Tender, Skin-Friendly, For All Skin Type, Sensitive Skin</t>
  </si>
  <si>
    <t>B0C9FBKH2V</t>
  </si>
  <si>
    <t>Kinship Self Smooth 10% Glycolic Resurfacing Serum - Glycolic Acid Exfoliating Serum for Face - Pore Minimizing Facial Serum with Vitamin C &amp; AHA Exfoliant (2.2 fl oz)</t>
  </si>
  <si>
    <t>B0BB17VVGD</t>
  </si>
  <si>
    <t>-45.45%</t>
  </si>
  <si>
    <t>First Aid Beauty KP Bump Eraser Body Scrub Exfoliant for Keratosis Pilaris with 10% AHA – 8 oz</t>
  </si>
  <si>
    <t>B07XG6BKCV</t>
  </si>
  <si>
    <t>Youth To The People Kombucha + 10% AHA Power Exfoliant - Overnight Liquid Face Peel + Dark Spot Corrector for Uneven Skin Tone - 7% Lactic Acid + 3% Glycolic Acid Face Peel Exfoliator (4oz)</t>
  </si>
  <si>
    <t>B08GY8DVQ8</t>
  </si>
  <si>
    <t>-45.55%</t>
  </si>
  <si>
    <t>Hyaluronic Eye Cream</t>
  </si>
  <si>
    <t>LANEIGE Water Bank Blue Hyaluronic Eye Cream: Hydrate and Visibly Brighten and Reduce Look of Puffiness, 0.8 fl. oz.</t>
  </si>
  <si>
    <t>B09V8WYM88</t>
  </si>
  <si>
    <t>-51.69%</t>
  </si>
  <si>
    <t>6802577129562</t>
  </si>
  <si>
    <t>BOOST Set</t>
  </si>
  <si>
    <t>Cookies, Then Milk Quick Boost Lactation Capsules Set, Pumping &amp; Breastfeeding Supplement Support for Breast Milk Supply, Lactation Support Capsules, Quick Boost Increase, Release, and Period Caps</t>
  </si>
  <si>
    <t>B0BPTK5HK4</t>
  </si>
  <si>
    <t>189.0</t>
  </si>
  <si>
    <t>-59.54%</t>
  </si>
  <si>
    <t>4825413976154</t>
  </si>
  <si>
    <t>Lune+Aster 5 Minute Rescue Mask Assortment Trio - Hydrate, Soothe and Detox - Sheet mask trio assortment restores skin's moisture for a renewed complexion</t>
  </si>
  <si>
    <t>B079ZN63YR</t>
  </si>
  <si>
    <t>-60.00%</t>
  </si>
  <si>
    <t>Skin Hydro Boost</t>
  </si>
  <si>
    <t>Neutrogena Hydro Boost Hyaluronic Acid Hydrating Face Moisturizer Gel-Cream to Hydrate and Smooth Extra-Dry Skin, 1.7 oz</t>
  </si>
  <si>
    <t>B00NR1YQK4</t>
  </si>
  <si>
    <t>45.0</t>
  </si>
  <si>
    <t>-61.00%</t>
  </si>
  <si>
    <t>6584941051994</t>
  </si>
  <si>
    <t>Collagen Sheet Mask</t>
  </si>
  <si>
    <t>LAPCOS Collagen Sheet Mask, Firming Daily Face Mask with Collagen Peptides for Wrinkles &amp; Dark Spots, Korean Beauty Favorite, 5-Pack</t>
  </si>
  <si>
    <t>B07DN4H67T</t>
  </si>
  <si>
    <t>6643187023962</t>
  </si>
  <si>
    <t>AHA / BHA Exfoliating Face Wash - 10% Glycolic Acid &amp; Salicylic Acid Cleanser, Anti Aging Acne &amp; Wrinkle Reducing Facial Exfoliant, Pore Minimizer &amp; Brightening Scrub - Vegan &amp; Cruelty Free, 4 oz (AHA BHA Exfoliator)</t>
  </si>
  <si>
    <t>B083VW53LX</t>
  </si>
  <si>
    <t>-63.73%</t>
  </si>
  <si>
    <t>Mediheal Official Best Korean Sheet Mask - Collagen Essential Face Mask 10 Sheets Lifting and Firming For All Skin Types Value Sets</t>
  </si>
  <si>
    <t>B09XWHB1HR</t>
  </si>
  <si>
    <t>-63.82%</t>
  </si>
  <si>
    <t>TruSkin Soothing Cleansing Milk for Face – Gentle Facial Cleanser for Sensitive Skin with Plant-Based Rice &amp; Oat Milk plus Hyaluronic Acid - Gently Removes Make-Up Without Stripping Skin – 4.2 fl oz</t>
  </si>
  <si>
    <t>B0BRR262Z6</t>
  </si>
  <si>
    <t>-64.04%</t>
  </si>
  <si>
    <t>Neutrogena Hydro Boost Hyaluronic Acid Hydrating Water Gel Daily Face Moisturizer for Dry Skin, Oil-Free, Non-Comedogenic Face Lotion, 1.7 fl. oz</t>
  </si>
  <si>
    <t>B017W3J8TQ</t>
  </si>
  <si>
    <t>-64.56%</t>
  </si>
  <si>
    <t>Andalou Naturals Probiotic Cleansing Milk, Apricot Facial Cleanser for Dry, Dehydrated Skin, Gentle Makeup Remover, Hydrating Anti Aging Face Wash, Cruelty Free, 6 Fl Oz</t>
  </si>
  <si>
    <t>B0052P0XIC</t>
  </si>
  <si>
    <t>-66.04%</t>
  </si>
  <si>
    <t>Neutrogena Hydro Boost Night Moisturizer for Face, Hyaluronic Acid Facial Serum for Dry Skin, Oil-Free and Non-Comedogenic, 1.7 oz</t>
  </si>
  <si>
    <t>B08936CZHQ</t>
  </si>
  <si>
    <t>-66.07%</t>
  </si>
  <si>
    <t>Neutrogena Hydro Boost Hyaluronic Acid Serum For Face with Vitamin B5, Lightweight Hydrating Face Serum for Dry Skin, Oil-Free, Non-Comedogenic, Fragrance Free, 1 oz</t>
  </si>
  <si>
    <t>B08937VD6Z</t>
  </si>
  <si>
    <t>-66.27%</t>
  </si>
  <si>
    <t>Pro 2x Ideal Beauty 24-7 365 Serum - Anti Aging Serum - 2 Month Supply - Resurfacing &amp; Brightening Serum - Vitamin C &amp; AHA - Reduce Appearance of Wrinkles, Age Spots, &amp; Pores - Aid Collagen Production</t>
  </si>
  <si>
    <t>B0C3SKRNBS</t>
  </si>
  <si>
    <t>-66.33%</t>
  </si>
  <si>
    <t>Facial Cryo Lifting</t>
  </si>
  <si>
    <t>Starryland Ice Globes Cryo Sticks Stainless Steel for Facial Massage | Whiskey Wand Lifting Roller Handheld cryosphere Cold Massage Roller Anti Puff Anti Aging Treatment Wands Cooling Roller Tool</t>
  </si>
  <si>
    <t>B08MWXTZ2F</t>
  </si>
  <si>
    <t>-66.68%</t>
  </si>
  <si>
    <t>6801995694170</t>
  </si>
  <si>
    <t>Radiant Renewal Set</t>
  </si>
  <si>
    <t>GOLDFADEN MD Radiant Skin Renewal Starter Kit | Complete Skin Care Regime including Exfoliator, Cleanser &amp; Daily Moisturizer | 3 Pc. Set</t>
  </si>
  <si>
    <t>B00II28S42</t>
  </si>
  <si>
    <t>205.0</t>
  </si>
  <si>
    <t>-68.29%</t>
  </si>
  <si>
    <t>6868110704730</t>
  </si>
  <si>
    <t>Neutrogena Hydro Boost Hyaluronic Acid Facial Moisturizer with Broad Spectrum SPF 50 Sunscreen, Daily Water Gel Face Moisturizer to Hydrate &amp; Soothe Dry Skin, Fragrance-Free, 1.7 fl. oz</t>
  </si>
  <si>
    <t>B097NNR535</t>
  </si>
  <si>
    <t>-68.89%</t>
  </si>
  <si>
    <t>Ebanel 15 Pack Collagen Peptide Hydrating Face Masks, Instant Brightening Firming Anti Aging Face Sheet Masks, Moisturizing Spa Face Masks Skincare with Hyaluronic Acid, Vitamin C, Chamomile, Aloe</t>
  </si>
  <si>
    <t>B07K6V8P2R</t>
  </si>
  <si>
    <t>-69.11%</t>
  </si>
  <si>
    <t>DERMAL 24 Combo Pack A Collagen Essence Korean Face Mask - Hydrating &amp; Soothing Facial Mask with Panthenol - Hypoallergenic Self Care Sheet Mask for All Skin Types - Natural Home Spa Treatment Mask</t>
  </si>
  <si>
    <t>B0722LVW3B</t>
  </si>
  <si>
    <t>-70.93%</t>
  </si>
  <si>
    <t>Rael Face Mask Skin Care, Collagen Face Masks - Bamboo Facial Sheet Mask with Collagen Essence and Fruit Extracts, All Skin Types, Nourishing and Moisturizing (Collagen, 5 Sheets)</t>
  </si>
  <si>
    <t>B0773HT3FT</t>
  </si>
  <si>
    <t>-72.75%</t>
  </si>
  <si>
    <t>Mandelic Acid 10% with Salicylic Acid 2%, Tea Tree Oil, AHA BHA Skin Exfoliant Peel Solution, for Dark Spots, Blackheads, Enlarged Pores,(1.FL.Oz)</t>
  </si>
  <si>
    <t>B09JLGX56T</t>
  </si>
  <si>
    <t>-72.82%</t>
  </si>
  <si>
    <t>BANILA CO Clean It Zero Pore Clarifying Foam Cleanser, Face Wash Cleanser, Purifying Foaming Cleanser balances unclog pores AHA, BHA, LHA</t>
  </si>
  <si>
    <t>B089QVB67D</t>
  </si>
  <si>
    <t>-74.55%</t>
  </si>
  <si>
    <t>Filorga Time-Filler Super Smoothing Face Mask, Sheet Mask Soaked in Renewing Serum with Collagen and Polysaccharides For Visibly Smoother Skin in 15 Minutes, Hydrating Facial Treatment, .67 fl. oz.</t>
  </si>
  <si>
    <t>B01N28YETO</t>
  </si>
  <si>
    <t>Lumene Nordic Hydra Intense Hydration 24H Face Moisturizer Fragrance-Free - Lightweight Face Cream + Dry Skin Hydrating Moisturizer - Birch Sap, Arctic Spring Water &amp; Plumping Hyaluronic Acid (1.7oz)</t>
  </si>
  <si>
    <t>B09RVNWB3M</t>
  </si>
  <si>
    <t>-74.57%</t>
  </si>
  <si>
    <t>Hydrating Power DUO</t>
  </si>
  <si>
    <t>Naturium Retinol Power Duo, Retinol Complex Serum &amp; Retinol Complex Cream, Anti-Wrinkle &amp; Hydrating Skin Treatment</t>
  </si>
  <si>
    <t>B0B2KPFMJR</t>
  </si>
  <si>
    <t>145.0</t>
  </si>
  <si>
    <t>-75.19%</t>
  </si>
  <si>
    <t>6639443705946</t>
  </si>
  <si>
    <t>RoC Multi Correxion Hyaluronic Acid Anti Aging Under Eye Cream for Puffiness &amp; Dark Circles (.5 OZ) + RoC Retinol Capsules (7 CT), Fragrance &amp; Paraben Free Skin Care for Women &amp; Men</t>
  </si>
  <si>
    <t>B092B2WX9N</t>
  </si>
  <si>
    <t>-75.29%</t>
  </si>
  <si>
    <t>Ebanel 10 Pack Collagen Face Mask, Instant Brightening &amp; Hydrating Face Sheet Mask with Aloe Vera, Hyaluronic Acid, Vitamin C and E, Chamomile, Anti Aging Face Mask with Hydrolyzed Collagen, Peptide</t>
  </si>
  <si>
    <t>B01N37AK8V</t>
  </si>
  <si>
    <t>-76.38%</t>
  </si>
  <si>
    <t>Mario Badescu Hyaluronic Eye Cream Anti Aging for All Skin Types, Under Eye Cream for Dark Circles and Puffiness, Formulated with Hyaluronic Acid &amp; Glycerin, 0.5 Ounce</t>
  </si>
  <si>
    <t>B0015Z2XD6</t>
  </si>
  <si>
    <t>-79.78%</t>
  </si>
  <si>
    <t>Progenix Collagen Face Serum Skin Care Moisturizer Booster. Instant Plumping Serum With Hyaluronic Acid To Plump Fine Lines. 1 Fl Oz (Pack of 2)</t>
  </si>
  <si>
    <t>B0BB3BW35R</t>
  </si>
  <si>
    <t>-79.79%</t>
  </si>
  <si>
    <t>BioRepublic SkinCare Aloe Rescue Sheet Masks | Soothing &amp; Restorative Aloe Masks | Ideal for All Skin Types | Pack of 3</t>
  </si>
  <si>
    <t>B00ZIS538I</t>
  </si>
  <si>
    <t>-80.91%</t>
  </si>
  <si>
    <t>Retinol Eye Cream for Dark Circles and Puffiness, Anti Aging Eye Cream with Hyaluronic Acid and Collagen, Under Eye Cream, Smooth Fine Lines and Hydrate Eye Area</t>
  </si>
  <si>
    <t>B0BWYCD97R</t>
  </si>
  <si>
    <t>-80.92%</t>
  </si>
  <si>
    <t>FREEMAN Clarifying Cleanser &amp; Soothing Facial Moisturizer, Contains Botanical Extracts, AHAs, Ceramides, &amp; Aloe Vera, Hydrates &amp; Calms Skin, Safe For Sensitive Skin, Vegan &amp; Cruelty-Free, 2 Count</t>
  </si>
  <si>
    <t>B0B6Q9S8J9</t>
  </si>
  <si>
    <t>-81.84%</t>
  </si>
  <si>
    <t>CeraVe Eye Cream for Wrinkles | Under Eye Cream with Caffeine, Peptides, Hyaluronic Acid, Niacinamide, and Ceramides for Fine Lines | Fragrance Free &amp; Ophthalmologist Tested |0.5 Ounces</t>
  </si>
  <si>
    <t>B0B3GCCRVH</t>
  </si>
  <si>
    <t>-83.18%</t>
  </si>
  <si>
    <t>DERMA-E Hydrating Eye Cream – Firming and Lifting Hyaluronic Acid Treatment - Under Eye and Upper Eyelid Cream Reduces Puffiness and Appearance of Fine Lines, 0.5 oz</t>
  </si>
  <si>
    <t>B00A2F06Z2</t>
  </si>
  <si>
    <t>-84.22%</t>
  </si>
  <si>
    <t>Neutrogena Hydro Boost Eye Cream, Under-Eye Moisturizer with Hyaluronic Acid, Fragrance Free and Non-Comedogenic, 0.5 Oz</t>
  </si>
  <si>
    <t>B00NR1YIKM</t>
  </si>
  <si>
    <t>-84.84%</t>
  </si>
  <si>
    <t>Sheet Mask Power Duo | 10 Sheet Masks</t>
  </si>
  <si>
    <t>FACETORY Collection Facial Mask Set - Hydrating, Purifying, Soothing, Moisturizing, and Revitalizing - Soft, Form-Fitting Face Masks, For All Skin Types, Pack of 10 Sheet Masks</t>
  </si>
  <si>
    <t>B07NVTQW1K</t>
  </si>
  <si>
    <t>-84.90%</t>
  </si>
  <si>
    <t>6657563492442</t>
  </si>
  <si>
    <t>Anti-Blemish Solution Set</t>
  </si>
  <si>
    <t>NxN Acne Treatment Kit 4-Step Clear Skin System with Salicylic Acid, Probiotics, Sulfer &amp; Natural Retinols, Control Blemishes &amp; Breakouts, Face Care Solution Set for All Skin Types Including Sensitive</t>
  </si>
  <si>
    <t>B07KGKZQ5G</t>
  </si>
  <si>
    <t>219.0</t>
  </si>
  <si>
    <t>-84.94%</t>
  </si>
  <si>
    <t>6848698581082</t>
  </si>
  <si>
    <t>Supreme Glow Set</t>
  </si>
  <si>
    <t>Estee Lauder 7pcs Firm, Lift &amp; Glow Gift Set Includes Revitalizing Supreme+ Youth Power Creme Moisturizers, Eye, Advanced Night Repair Serum and More</t>
  </si>
  <si>
    <t>B0B1CMSJXQ</t>
  </si>
  <si>
    <t>229.0</t>
  </si>
  <si>
    <t>-85.20%</t>
  </si>
  <si>
    <t>6835976011866</t>
  </si>
  <si>
    <t>Beauty Set</t>
  </si>
  <si>
    <t>LUCOTIYA Birthday Gifts for Women Best Spa Gifts Baskets Box for Her Wife Mom Best Friend Mother Grandma Bday Bath and Body Kit Sets Self Care Present Beauty Products Package Rose Scent</t>
  </si>
  <si>
    <t>B09JFZFN2T</t>
  </si>
  <si>
    <t>-85.27%</t>
  </si>
  <si>
    <t>6562709110874</t>
  </si>
  <si>
    <t>Cetaphil Hydrating Eye Gel-Cream, With Hyaluronic Acid, 0.5 fl oz, Brightens and Smooths Under Eyes, 24 Hour Hydration for All Skin Types, (Packaging May Vary)</t>
  </si>
  <si>
    <t>B07798MG7Q</t>
  </si>
  <si>
    <t>-85.40%</t>
  </si>
  <si>
    <t>Lune+Aster 5 Minute Rescue Mask - Detox - Ultra-soothing sheet mask helps to calm and relieve stressed skin in 5-10 minutes.</t>
  </si>
  <si>
    <t>B079ZP793C</t>
  </si>
  <si>
    <t>-85.45%</t>
  </si>
  <si>
    <t>The Ordinary Face Serum Set! Caffeine Solution 5%+EGCG! Hyaluronic Acid 2%+B5! Niacinamide 10% + Zinc 1%! Help Fight Visible Blemishes And Improve The Look Of Skin Texture&amp;Radiance</t>
  </si>
  <si>
    <t>B07QFHZZZL</t>
  </si>
  <si>
    <t>Tree of Life Pro Collagen Peptides Serum for Face - 1 Fl Oz - Formulated w/Argireline &amp; Replexium for Anti Aging &amp; Reducing Wrinkles, Fine Lines - Dermatologist-Tested Peptide for Skin Care</t>
  </si>
  <si>
    <t>B0BZTFCCWJ</t>
  </si>
  <si>
    <t>-86.53%</t>
  </si>
  <si>
    <t>-87.66%</t>
  </si>
  <si>
    <t>Clinique Anti-Blemish Solutions Clearing Moisturizer for Unisex, Oil Free, 1.7 Ounce</t>
  </si>
  <si>
    <t>B001JZ5HKS</t>
  </si>
  <si>
    <t>-88.13%</t>
  </si>
  <si>
    <t>Estee Lauder 7pcs REVITALIZING SUPREME GLOBAL ANTI AGING Firm &amp; Glow Gift Set Includes Advanced Night Repair Serum (Worth $154 Value)</t>
  </si>
  <si>
    <t>B098Q9DY13</t>
  </si>
  <si>
    <t>-89.08%</t>
  </si>
  <si>
    <t>Knours - Sweet Rescue Nourishing Mask | Rose Water Toning Mask Hydrating Brightening Rejuvenating Age-defying Facial Nourishing Sheet Mask - EWG Verified Clean Beauty (1 ct)</t>
  </si>
  <si>
    <t>B07VZWGPPT</t>
  </si>
  <si>
    <t>-89.09%</t>
  </si>
  <si>
    <t>St. Ives Skin Care Sheet Mask, Glow Apricot, 6 Count</t>
  </si>
  <si>
    <t>B079JVY2V4</t>
  </si>
  <si>
    <t>-89.11%</t>
  </si>
  <si>
    <t>Pacifica Beauty | Glow Baby Vitamin C Trial + Value Kit | 3-Piece Skin Care Gift Set | Travel Friendly | Brightening Face Serum, Face Wash/Cleanser, Under Eye Patches | Glycolic Acid, AHA | Vegan</t>
  </si>
  <si>
    <t>B09WH3KJRJ</t>
  </si>
  <si>
    <t>-89.48%</t>
  </si>
  <si>
    <t>DERMAL Calming Collagen Essence Masks Assorted Sheet Mask Mega 10 Pack - The Ultimate Supreme Collection for Every Skin Condition Day to Day Skin Concerns. Nature made Freshly packed Korean Face Mask</t>
  </si>
  <si>
    <t>B0C1GNR2QX</t>
  </si>
  <si>
    <t>-89.91%</t>
  </si>
  <si>
    <t>Clinique Anti-Blemish Solutions Cleansing Foam (All Skin Types) 4.2 oz</t>
  </si>
  <si>
    <t>B001JZ5F6E</t>
  </si>
  <si>
    <t>-91.32%</t>
  </si>
  <si>
    <t>Pacifica Beauty, Wanderlust Hair Perfume &amp; Body Spray Trial Set, Island Vanilla, Mini Bottles, 3 Scents, Fragrance Sampler Gift Set, Natural &amp; Essential Oils, Clean, Vegan &amp; Cruelty Free</t>
  </si>
  <si>
    <t>B09TRZ3DXV</t>
  </si>
  <si>
    <t>-92.11%</t>
  </si>
  <si>
    <t>JET SET NATURAL | Sleep Specialist Created | Jet Lag Relief | Jet to Relax &amp; Boost Immunity | Set to Energize &amp; Restore | Herbs, Vitamins &amp; Minerals Pills</t>
  </si>
  <si>
    <t>B07HDFXT56</t>
  </si>
  <si>
    <t>-92.41%</t>
  </si>
  <si>
    <t>AHA 30% + BHA 2% Peeling Solution, Exfoliating AHA 30% BHA 2% Peeling Solution Anti Acne Serum Chemical Peel for Face at Home, BHA AHA Mask Red Peel, BHA Liquid Exfoliant for Blemishes-1 Floz</t>
  </si>
  <si>
    <t>B09DP7P4QN</t>
  </si>
  <si>
    <t>-96.11%</t>
  </si>
  <si>
    <t>Eyebrow Tweezer Set for Women, TsMADDTs 6 Pcs Precision Tweezers Set for Eyebrows with Curved Scissors for Ingrown Hair, Hair Plucking Daily Beauty Tools with Leather Travel Case</t>
  </si>
  <si>
    <t>B088PRW7NQ</t>
  </si>
  <si>
    <t>-96.32%</t>
  </si>
  <si>
    <t>Night Rescue</t>
  </si>
  <si>
    <t>Clark's Botanicals Retinol Rescue Overnight Cream: Night Cream with Hyaluronic Acid &amp; Vitamin C for All Skin Types, Patented Time-Release Retinol, Targets Fine Lines, Wrinkles, and Dryness, 60ml | 2oz</t>
  </si>
  <si>
    <t>B0BZQFD2J2</t>
  </si>
  <si>
    <t>837.50%</t>
  </si>
  <si>
    <t>7852153929896</t>
  </si>
  <si>
    <t>Charlotte Tilbury Magic Night Rescue Cream 50Ml</t>
  </si>
  <si>
    <t>B01N6PX1K6</t>
  </si>
  <si>
    <t>749.94%</t>
  </si>
  <si>
    <t>Space Bar Underarm Soap</t>
  </si>
  <si>
    <t>Megababe Ultimate Underarm 3-Piece Bundle - Geo Deo Daily Deodorant 2.6 oz, Space Bar Detox Soap 3.5 oz &amp; Happy Pits Underarm Mask 3 fl oz | Odor Protection, Aluminum Free</t>
  </si>
  <si>
    <t>B0BYF9RYV9</t>
  </si>
  <si>
    <t>8.0</t>
  </si>
  <si>
    <t>362.38%</t>
  </si>
  <si>
    <t>6135666442408</t>
  </si>
  <si>
    <t>Megababe Ultimate Underarm 3-Piece Bundle - Smoothie Deo Daily Deodorant 2.6 oz, Space Bar Detox Soap 3.5 oz &amp; Happy Pits Underarm Mask 3 fl oz | Odor Protection, Aluminum Free</t>
  </si>
  <si>
    <t>B0BYFD8H7H</t>
  </si>
  <si>
    <t>Megababe Ultimate Underarm 3-Piece Bundle - Rosy Pits Daily Deodorant 2.6 oz, Space Bar Detox Soap 3.5 oz &amp; Happy Pits Underarm Mask 3 fl oz | Odor Protection, Aluminum Free</t>
  </si>
  <si>
    <t>B0BYF9R4WL</t>
  </si>
  <si>
    <t>Nioxin Night Density Rescue, Overnight Leave-in Treatment, Antioxidant Serum for Hair Density and Thickness, 2.4 fl oz</t>
  </si>
  <si>
    <t>B087KG95BK</t>
  </si>
  <si>
    <t>212.50%</t>
  </si>
  <si>
    <t>Rosy Pits</t>
  </si>
  <si>
    <t>164.21%</t>
  </si>
  <si>
    <t>9587835922</t>
  </si>
  <si>
    <t>Megababe Underarm 2-Piece Bundle - Geo Deo Daily Deodorant 2.6 oz &amp; Space Bar Detox Soap 3.5 oz | Odor Protection, Aluminum Free</t>
  </si>
  <si>
    <t>B0BYF6ZLQN</t>
  </si>
  <si>
    <t>162.37%</t>
  </si>
  <si>
    <t>Megababe Underarm 2-Piece Bundle - Smoothie Deo Daily Deodorant 2.6 oz &amp; Space Bar Detox Soap 3.5 oz | Odor Protection, Aluminum Free</t>
  </si>
  <si>
    <t>B0BYF9W57D</t>
  </si>
  <si>
    <t>Megababe Underarm 2-Piece Bundle - Rosy Pits Daily Deodorant 2.6 oz &amp; Space Bar Detox Soap 3.5 oz | Odor Protection, Aluminum Free</t>
  </si>
  <si>
    <t>B0BYF7Z36F</t>
  </si>
  <si>
    <t>Happy Pits Underarm Mask</t>
  </si>
  <si>
    <t>131.19%</t>
  </si>
  <si>
    <t>4186523304075</t>
  </si>
  <si>
    <t>Magic Powder</t>
  </si>
  <si>
    <t>Herbs of Honor - Magic Powder Immune Support - Andrographis, Woad, Echinacea, Dandelion (120 Capsules)</t>
  </si>
  <si>
    <t>B09RKLFZG2</t>
  </si>
  <si>
    <t>118.75%</t>
  </si>
  <si>
    <t>6570918576296</t>
  </si>
  <si>
    <t>Megababe Underarm 2-Piece Bundle - Rosy Pits Daily Deodorant 2.6 oz &amp; Happy Pits Underarm Mask 3 fl oz | Odor Protection, Aluminum Free</t>
  </si>
  <si>
    <t>B0BWHKSRW9</t>
  </si>
  <si>
    <t>107.07%</t>
  </si>
  <si>
    <t>Rescue Remedy Rescue Night Spray, 20 ML</t>
  </si>
  <si>
    <t>B001EIQ5FQ</t>
  </si>
  <si>
    <t>101.50%</t>
  </si>
  <si>
    <t>Megababe Daily Deodorant - Rosy Pits | Aluminum-Free, Clear &amp; Clean | 2.6 oz - 2 Pack</t>
  </si>
  <si>
    <t>B09QQTQ3BK</t>
  </si>
  <si>
    <t>99.71%</t>
  </si>
  <si>
    <t>81.19%</t>
  </si>
  <si>
    <t>Megababe Underarm 2-Piece Bundle - Smoothie Deo Daily Deodorant 2.6 oz &amp; Happy Pits Underarm Mask 3 fl oz | Odor Protection, Aluminum Free</t>
  </si>
  <si>
    <t>B0BW4WXBBX</t>
  </si>
  <si>
    <t>Magic Platinum Shaving Powder 4.5oz. Skin Conditioning (6 Pack)</t>
  </si>
  <si>
    <t>B00JKQDYVC</t>
  </si>
  <si>
    <t>68.31%</t>
  </si>
  <si>
    <t>49.93%</t>
  </si>
  <si>
    <t>Body Dust Mini</t>
  </si>
  <si>
    <t>Herb &amp; Root Rose Perfumed Body Dusting Powder for Women, Talc Free, Anti-Chafing, Feminine Powder, dusting Powder, 6 oz (Rose- Old)</t>
  </si>
  <si>
    <t>B07ZG1G9XW</t>
  </si>
  <si>
    <t>49.90%</t>
  </si>
  <si>
    <t>7532196888744</t>
  </si>
  <si>
    <t>The Geo Deo Mini</t>
  </si>
  <si>
    <t>Lavanila Vanilla Grapefruit Aluminum-Free Mini Deodorant 2-Pack - The Healthy Deodorant for Men &amp; Women, Solid Stick (0.9 Ounce Each), Natural, Vegan</t>
  </si>
  <si>
    <t>B0C53WS4MN</t>
  </si>
  <si>
    <t>40.00%</t>
  </si>
  <si>
    <t>7461888098472</t>
  </si>
  <si>
    <t>Megababe Daily Deodorant - The Geo Deo with Multi-Minerals | Aluminum-Free, All Natural | Eucalyptus, Cedarwood &amp; Mint | 2.6 oz</t>
  </si>
  <si>
    <t>B09PPSB4LK</t>
  </si>
  <si>
    <t>39.90%</t>
  </si>
  <si>
    <t>The Smoothie Deo Mini</t>
  </si>
  <si>
    <t>Megababe Daily Deodorant - The Smoothie Deo with Fruit Enzymes | Aluminum-Free, All Natural | 2.6 oz</t>
  </si>
  <si>
    <t>B09PZH8VDT</t>
  </si>
  <si>
    <t>7431984545960</t>
  </si>
  <si>
    <t>Megababe Underarm Mask - Happy Pits | With Detoxifying Charcoal &amp; Vitamin C | 3 fl oz</t>
  </si>
  <si>
    <t>B085RDY91N</t>
  </si>
  <si>
    <t>-0.06%</t>
  </si>
  <si>
    <t>Megababe Night Rescue | Brightening &amp; Soothing | 2.12 oz</t>
  </si>
  <si>
    <t>B0C8BHKF5J</t>
  </si>
  <si>
    <t>The Smoothie Deo</t>
  </si>
  <si>
    <t>-0.07%</t>
  </si>
  <si>
    <t>6562073182376</t>
  </si>
  <si>
    <t>Beachy Pits</t>
  </si>
  <si>
    <t>Beachy Pits Daily Deodorant by Megababe, 2.6 Ounce (Pack of 1)</t>
  </si>
  <si>
    <t>B097SL3P9G</t>
  </si>
  <si>
    <t>4481604026507</t>
  </si>
  <si>
    <t>The Geo Deo</t>
  </si>
  <si>
    <t>7006020042920</t>
  </si>
  <si>
    <t>The Glow Deo Daily Deodorant</t>
  </si>
  <si>
    <t>7858801180840</t>
  </si>
  <si>
    <t>Megababe Daily Deodorant - The Cream Deo with Odor-Blocking AHAs | Aluminum-Free, All Natural | 3 fl oz</t>
  </si>
  <si>
    <t>B0C16422G1</t>
  </si>
  <si>
    <t>The Green Deo</t>
  </si>
  <si>
    <t>Megababe Daily Deodorant - The Green Deo with Anti-Antioxidants | Aluminum-Free, All Natural | 2.6 oz</t>
  </si>
  <si>
    <t>B095RYSMWP</t>
  </si>
  <si>
    <t>6562047852712</t>
  </si>
  <si>
    <t>Unscented Thigh Rescue</t>
  </si>
  <si>
    <t>Megababe Thigh Rescue Anti-Chafe Stick | Prevents Skin Chafe &amp; Irritation | Thighs, arms, bra-lines &amp; more | 2.12oz - Unscented</t>
  </si>
  <si>
    <t>B0C3WSSKZW</t>
  </si>
  <si>
    <t>2296337498166</t>
  </si>
  <si>
    <t>Megababe Underarm Bar Soap - Space Bar | With Detoxifying Charcoal for Odor Control | 3.5 oz</t>
  </si>
  <si>
    <t>B0BWPHZQVD</t>
  </si>
  <si>
    <t>-0.12%</t>
  </si>
  <si>
    <t>Le Tush Butt Mask</t>
  </si>
  <si>
    <t>Megababe Butt &amp; Body Acne Mask - Le Tush | Clarifying, Exfoliating &amp; Hydrating | 6.7 fl oz</t>
  </si>
  <si>
    <t>B08MV8H1BC</t>
  </si>
  <si>
    <t>22.0</t>
  </si>
  <si>
    <t>-0.23%</t>
  </si>
  <si>
    <t>4562078236811</t>
  </si>
  <si>
    <t>Magic Shave Shaving Powder Gold-5 oz, 3 pk</t>
  </si>
  <si>
    <t>B00HDONBX4</t>
  </si>
  <si>
    <t>-3.12%</t>
  </si>
  <si>
    <t>Magic Platinum Shaving Powder 4.5oz. Skin Conditioning (3 Pack)</t>
  </si>
  <si>
    <t>B00GMQ2VGC</t>
  </si>
  <si>
    <t>-5.37%</t>
  </si>
  <si>
    <t>Bach Rescue Night (10ml)</t>
  </si>
  <si>
    <t>B001F4HEXG</t>
  </si>
  <si>
    <t>-14.06%</t>
  </si>
  <si>
    <t>Girls 100% Natural Deodorant | Tea Tree Essential | NO Baking Soda Aluminum, or Propylene Glycol (Rosy Pits, Single Item)</t>
  </si>
  <si>
    <t>B08F5K969V</t>
  </si>
  <si>
    <t>-21.50%</t>
  </si>
  <si>
    <t>Magic Shaving Powder Red 5 Ounce Extra-Strength (145ml) (2 Pack)</t>
  </si>
  <si>
    <t>B00NFVH0ZY</t>
  </si>
  <si>
    <t>-37.62%</t>
  </si>
  <si>
    <t>Magic Platinum Shaving Powder 4.5oz. Skin Conditioning (2 Pack)</t>
  </si>
  <si>
    <t>B00NFVGZIC</t>
  </si>
  <si>
    <t>-43.81%</t>
  </si>
  <si>
    <t>BAWDY Slap It - Caffeine Beauty Butt Mask - Retexturizing + Detoxifying Mask for Your Behind - 2 Sheets, One for Each Cheek - Clean Beauty Mask for Your Butt (2 Sheets - Single Use)</t>
  </si>
  <si>
    <t>B07DYCFJ32</t>
  </si>
  <si>
    <t>-54.59%</t>
  </si>
  <si>
    <t>BAWDY Bite It - Plant Based Collagen Butt Mask - Hydrating + Toning Beauty Mask for Your Butt - 2 Sheets, One for Each Cheek - Clean Beauty Mask for Your Butt (2 Sheets - Single Use)</t>
  </si>
  <si>
    <t>B07DYD1KGK</t>
  </si>
  <si>
    <t>BAWDY Shake It - Marine Algae Beauty Mask for Your Butt - Firming + Illuminating Mask for Your Behind - 2 Sheets, One for Each Cheek - Clean Beauty Mask for Your Butt (2 Sheets - Single-Use)</t>
  </si>
  <si>
    <t>B07DYG44KC</t>
  </si>
  <si>
    <t>BAWDY Squeeze It - Citrus Beauty Butt Mask - Illuminating + Rejuvenating Bum Mask - 2 Sheets, One for Each Cheek - Clean Beauty Mask for Your Butt (2 Sheets - Single Use)</t>
  </si>
  <si>
    <t>B07DY84LJ7</t>
  </si>
  <si>
    <t>Magic Shave Powder Platinum Size: 4.5 OZ</t>
  </si>
  <si>
    <t>B00E0H2FB6</t>
  </si>
  <si>
    <t>-56.88%</t>
  </si>
  <si>
    <t>Soft Sheen Carson Magic Regular Strength Shaving Powder Blue 5Oz/142G by Magic</t>
  </si>
  <si>
    <t>B01GR1ZPUU</t>
  </si>
  <si>
    <t>-58.75%</t>
  </si>
  <si>
    <t>SoftSheen-Carson Magic Razorless Shaving for Men, Magic Extra Strength Shaving Powder, for Coarse Textured Beards, formulated for Black Men, Depilatory, Helps Stop Razor Bumps, 5 oz</t>
  </si>
  <si>
    <t>B00CREUEV2</t>
  </si>
  <si>
    <t>-62.56%</t>
  </si>
  <si>
    <t>Alone in the Night (Pet Rescue Adventures)</t>
  </si>
  <si>
    <t>1680104098</t>
  </si>
  <si>
    <t>-68.81%</t>
  </si>
  <si>
    <t>SoftSheen-Carson Magic Razorless Shaving for Men, Magic Shaving Powder with Fragrance, Coarse Textured Beards, Formulated for Black Men, Depilatory, Helps Stop Razor Bumps, Since 1901, 4.5 oz</t>
  </si>
  <si>
    <t>B0048ZIFA0</t>
  </si>
  <si>
    <t>-82.69%</t>
  </si>
  <si>
    <t>Our Dining Table Contemporary Geometry Design Glass</t>
  </si>
  <si>
    <t>Signature Design by Ashley Barchoni Contemporary Round 39.5" Dining Room Table with A Marble Print Glass Top, White &amp; Goldtone Finish</t>
  </si>
  <si>
    <t>B0BV7XW1VM</t>
  </si>
  <si>
    <t>24.99</t>
  </si>
  <si>
    <t>1,300.52%</t>
  </si>
  <si>
    <t>8047252046059</t>
  </si>
  <si>
    <t>JaxKelly Rose Quartz Candle</t>
  </si>
  <si>
    <t>Crystal Manifestation Candle to Attract Love and Abundance | Rose Quartz | Clear Quartz | Obsidian | 3-Wick Meditation Candle | Healing Crystal Candle | Candles with Crystals Inside</t>
  </si>
  <si>
    <t>B0C4C2R2MR</t>
  </si>
  <si>
    <t>13.99</t>
  </si>
  <si>
    <t>114.08%</t>
  </si>
  <si>
    <t>27.99</t>
  </si>
  <si>
    <t>4594636816477</t>
  </si>
  <si>
    <t>ORCHID AURA Soy Candles with Healing Crystals. Citrine, Rose Quartz, Amethyst Crystal. Eucalyptus + Lemongrass, Jasmine + Sandalwood, Clary Sage + Lavender. 3PC Scented Candle Set, 2.47oz Each</t>
  </si>
  <si>
    <t>B08DZ8QWSN</t>
  </si>
  <si>
    <t>78.48%</t>
  </si>
  <si>
    <t>Healing Crystal Candle, French Vanilla Scented Rose Quartz Candle in 10 oz Jar - Natural Crystal for Love and Healing - Elegant Home Decor and Gift Idea</t>
  </si>
  <si>
    <t>B0C4SG7CLH</t>
  </si>
  <si>
    <t>78.34%</t>
  </si>
  <si>
    <t>Lavender Vanilla Scented Candles with Rose Quartz Healing Crystals, Dried Rose Petals and Natural Soy Wax for Home Decor - Aromatherapy-Meditation- 7.7oz with White jar, Packing Box</t>
  </si>
  <si>
    <t>B0BKN3CCX7</t>
  </si>
  <si>
    <t>64.40%</t>
  </si>
  <si>
    <t>Healing Crystal Candle - Lavender Scented Healing Candles with Rose Quartz Crystals - Meditation Candle with Crystals Inside for Aromatherapy Manifestation</t>
  </si>
  <si>
    <t>B09DB4D8MR</t>
  </si>
  <si>
    <t>64.33%</t>
  </si>
  <si>
    <t>Mother of the Moon Moonlight Moth 6x6 Art Print</t>
  </si>
  <si>
    <t>Mother Daughter Moon - Silhouette Art - Authentic Upcycled Dictionary Art Print - Home or Office Decor (D378)</t>
  </si>
  <si>
    <t>B08ZSR397M</t>
  </si>
  <si>
    <t>7.99</t>
  </si>
  <si>
    <t>50.06%</t>
  </si>
  <si>
    <t>15.99</t>
  </si>
  <si>
    <t>7772894003435</t>
  </si>
  <si>
    <t>Lucky Feather Zodiac Ceramic Dish</t>
  </si>
  <si>
    <t>Lucky Feather Zodiac Pisces Jewelry Dish and Bracelet - Ideal Gifts for Women and Teenage Girls</t>
  </si>
  <si>
    <t>B08C5NTZYV</t>
  </si>
  <si>
    <t>49.97%</t>
  </si>
  <si>
    <t>5926141362334</t>
  </si>
  <si>
    <t>Fractalista Designs 6" Moon Phase Etched Selenite</t>
  </si>
  <si>
    <t>CrystalsAhoy 6" Etched Selenite Charging Plate, Moon Phases, Flower of Life, Metatrons Cube E1032</t>
  </si>
  <si>
    <t>B07YVKVG8J</t>
  </si>
  <si>
    <t>29.99</t>
  </si>
  <si>
    <t>49.88%</t>
  </si>
  <si>
    <t>7454873616619</t>
  </si>
  <si>
    <t>Rose Quartz Crystal Candle, Jar Candles, Aromatherapy Candle,10 oz 55-60 Hours Burn, All Natural Soy Candles, Non Toxic Candles, Gifts for Her (ROSE QUARTZ CRYSTALS)</t>
  </si>
  <si>
    <t>B0BSDRZ68D</t>
  </si>
  <si>
    <t>42.89%</t>
  </si>
  <si>
    <t>KITSCH Satin Pillowcase</t>
  </si>
  <si>
    <t>Kitsch Satin Sleep Set | Softer Than Silk Pillowcase and Eyemask Set - Includes 1 Pillowcase | 1 Eye Mask | and 1 Volume Scrunchie for Hair (Blush)</t>
  </si>
  <si>
    <t>B07XCY9QXC</t>
  </si>
  <si>
    <t>23.99</t>
  </si>
  <si>
    <t>41.23%</t>
  </si>
  <si>
    <t>8047259287787</t>
  </si>
  <si>
    <t>Gift Republic Enamel Mug</t>
  </si>
  <si>
    <t>Gift Republic Ecologie Bee Enamel Mug</t>
  </si>
  <si>
    <t>B08FJF2Q85</t>
  </si>
  <si>
    <t>14.99</t>
  </si>
  <si>
    <t>38.76%</t>
  </si>
  <si>
    <t>7919945875691</t>
  </si>
  <si>
    <t>CrystalsAhoy Moon Phase Etched 6" Selenite Charging Plate, Mined Ethically, Etched in USA E1100</t>
  </si>
  <si>
    <t>B084M8SLJT</t>
  </si>
  <si>
    <t>33.21%</t>
  </si>
  <si>
    <t>Rose Quartz Candle for Love, Inner Peace, Heart Chakra with Reiki Energy, Floral Scented, 11oz</t>
  </si>
  <si>
    <t>B06XDV45C5</t>
  </si>
  <si>
    <t>28.31%</t>
  </si>
  <si>
    <t>Kitsch 100% Satin Pillowcase with Zipper | Softer Than Silk | Cooling Satin Pillowcase | Satin Pillow Case Cover | Vegan Silk Pillowcase for Hair &amp; Skin | Standard/Queen Silk Pillowcase (2pc, Blush)</t>
  </si>
  <si>
    <t>B09WHJ9DDH</t>
  </si>
  <si>
    <t>20.84%</t>
  </si>
  <si>
    <t>Skeem Design Empty Cloche</t>
  </si>
  <si>
    <t>Skeem Design Fireplace Glass Match Cloche with Striker - Violet - 120 Large Match Sticks</t>
  </si>
  <si>
    <t>B07YBKR49W</t>
  </si>
  <si>
    <t>48.99</t>
  </si>
  <si>
    <t>20.33%</t>
  </si>
  <si>
    <t>5956602200222</t>
  </si>
  <si>
    <t>Gift Republic Space Astronomia Enamel Mug, Multi</t>
  </si>
  <si>
    <t>B07YBN4QS9</t>
  </si>
  <si>
    <t>13.21%</t>
  </si>
  <si>
    <t>Gift Republic Botanical Enamel Mug</t>
  </si>
  <si>
    <t>B07MVQRPNL</t>
  </si>
  <si>
    <t>13.01%</t>
  </si>
  <si>
    <t>Gift Republic Fish Enamel Mug, 1 Count (Pack of 1), multi, 450 milliliters</t>
  </si>
  <si>
    <t>B0090K2GNA</t>
  </si>
  <si>
    <t>10.94%</t>
  </si>
  <si>
    <t>Gift Republic GR270058 Mushroom Enamel Mug, Multi, 500 milliliters</t>
  </si>
  <si>
    <t>B00F417SQE</t>
  </si>
  <si>
    <t>8.87%</t>
  </si>
  <si>
    <t>Gift Republic Butterflies Enamel Mug</t>
  </si>
  <si>
    <t>B0168KOK4C</t>
  </si>
  <si>
    <t>5.80%</t>
  </si>
  <si>
    <t>Gift Republic Garden Birds Enamel Mug, 1 Count (Pack of 1), Multicolor, 450 milliliters</t>
  </si>
  <si>
    <t>B00R3XZ1KQ</t>
  </si>
  <si>
    <t>1.33%</t>
  </si>
  <si>
    <t>Elements of Sage Mini Floral Sage Bundles</t>
  </si>
  <si>
    <t>Mecka White Sage Smudge Sticks Floral Variety Pack (6 Pack) | Sage,Flower Bundles with Rose,Sunflower for Stress Relief,Open Chakras,Serenity | Burn for Cleansing,Smudging,Removal of Negative Energy</t>
  </si>
  <si>
    <t>B0BQLRKDB4</t>
  </si>
  <si>
    <t>19.99</t>
  </si>
  <si>
    <t>0.00%</t>
  </si>
  <si>
    <t>6045477830814</t>
  </si>
  <si>
    <t>Gift Republic Insects Enamel Mug, 1 Count (Pack of 1), Multicolor,500 ml</t>
  </si>
  <si>
    <t>B0168KQ99Q</t>
  </si>
  <si>
    <t>-6.60%</t>
  </si>
  <si>
    <t>Gift Republic Wild Flower Enamel Mug, 1 Count (Pack of 1), Multicolor, 325 milliliters</t>
  </si>
  <si>
    <t>B00R3XZ4DA</t>
  </si>
  <si>
    <t>-6.67%</t>
  </si>
  <si>
    <t>SoulWellness Rose Quartz Candle, Crystal Infused Candle, Rose Quartz Crystal, Natural Stone, 100% Natural Soy Wax Candle, Home Decor, Love, Romance, Emotion</t>
  </si>
  <si>
    <t>B09YDJXQ86</t>
  </si>
  <si>
    <t>-7.15%</t>
  </si>
  <si>
    <t>Gift Republic Dinosaur Enamel-Mug, 1 Count (Pack of 1), Multi, 500ml</t>
  </si>
  <si>
    <t>B07YBNFYML</t>
  </si>
  <si>
    <t>-10.61%</t>
  </si>
  <si>
    <t>Pavilia Faux Fur Sherpa Throw Blanket</t>
  </si>
  <si>
    <t>Chanasya Premium Wolf Faux Fur Throw Blanket - Soft, Fuzzy Sherpa &amp; Minky Throw Blanket - for Bed or Couch - 50" x 65” - Gray</t>
  </si>
  <si>
    <t>B00XLV72H4</t>
  </si>
  <si>
    <t>39.99</t>
  </si>
  <si>
    <t>-12.50%</t>
  </si>
  <si>
    <t>8047253651691</t>
  </si>
  <si>
    <t>Botanica Incense Sticks</t>
  </si>
  <si>
    <t>Original Botanica Indian Tobacco Incense Stick for Cleansing Spiritual Healing Negative Energy Protection Positive Vibes House Smudging Sticks, 19"</t>
  </si>
  <si>
    <t>B01CMPPCY4</t>
  </si>
  <si>
    <t>22.99</t>
  </si>
  <si>
    <t>-17.57%</t>
  </si>
  <si>
    <t>4722558500957</t>
  </si>
  <si>
    <t>Kitsch Cooling Satin Pillowcase with Zipper for Hair &amp; Skin -Softer Than Silk | Pillow Case Cover Standard Queen (Silver, 1 Pack)</t>
  </si>
  <si>
    <t>B07XDZRF3H</t>
  </si>
  <si>
    <t>-20.84%</t>
  </si>
  <si>
    <t>Pavilia Diamond Knit Textured Fringe Throw Blanket</t>
  </si>
  <si>
    <t>Knit Throw Blanket 50x60 in Diamond Pattern Design and Fringe Edges for a Cozy Touch to Your Living Space – Grey, Lightweight, Breathable, Easy Care, Versatile, All-Season, Ideal for Lounging, Gift</t>
  </si>
  <si>
    <t>B08T9WXNLN</t>
  </si>
  <si>
    <t>-22.56%</t>
  </si>
  <si>
    <t>8047253618923</t>
  </si>
  <si>
    <t>ColorbloKC Sun and Moon Print</t>
  </si>
  <si>
    <t>WDIRARA Girl's 2 Piece Outfit Sun Moon Print Two Tone Long Sleeve Hoodie and Sweatpants Set</t>
  </si>
  <si>
    <t>B0BL3FB8LV</t>
  </si>
  <si>
    <t>38.99</t>
  </si>
  <si>
    <t>-23.08%</t>
  </si>
  <si>
    <t>6795924963486</t>
  </si>
  <si>
    <t>Lucky Feather Zodiac Ring Dish for Women and Girls – Glazed Ceramic Jewelry Tray with Astrological Constellation Depicted in Opulent Metallic Gold - Scorpio</t>
  </si>
  <si>
    <t>B07NXW9HY3</t>
  </si>
  <si>
    <t>-25.08%</t>
  </si>
  <si>
    <t>PAVILIA Faux Fur Throw Blanket Twin Tie-Dye Purple, Soft Warm Sherpa Blankets &amp; Throws for Bed, Fluffy Plush Thick Fleece Throw Blanket for Couch Sofa, Reversible Furry Shaggy Blanket, Purple 60x80</t>
  </si>
  <si>
    <t>B0BGVGH4T5</t>
  </si>
  <si>
    <t>-30.01%</t>
  </si>
  <si>
    <t>PAVILIA Soft Fluffy Faux Fur Throw Blanket, Twin Tan Taupe Camel, Shaggy Furry Warm Sherpa Blanket Fleece Throw for Bed, Sofa, Couch, Decorative Fuzzy Plush Comfy Thick Throw Blanket, 60x80 Inches</t>
  </si>
  <si>
    <t>B0BDNRYF83</t>
  </si>
  <si>
    <t>Cognitive Surplus The Botany of Tea Ceramic Mug</t>
  </si>
  <si>
    <t>Ambesonne Science Mug, Photosynthesis in Plant Diagram Biology Botany Agriculture Environment Foliage, Ceramic Coffee Mug Cup for Water Tea Drinks, 11 oz, Brown Blue</t>
  </si>
  <si>
    <t>B0786DTSHP</t>
  </si>
  <si>
    <t>-32.30%</t>
  </si>
  <si>
    <t>8047256535275</t>
  </si>
  <si>
    <t>Cedar and Myrrh Palo Santo Incense</t>
  </si>
  <si>
    <t>Huacense Woody Incense Sticks Variety Pack - Gift Set - 6 Scents of 120 Insenses Aromaticos - Palo Santo Dragon's Blood Frankincense Sandalwood, Cedar Oud Wood - Natural Organic Non-Toxic</t>
  </si>
  <si>
    <t>B0C4L798G1</t>
  </si>
  <si>
    <t>18.99</t>
  </si>
  <si>
    <t>-33.70%</t>
  </si>
  <si>
    <t>6070315647134</t>
  </si>
  <si>
    <t>HORIMOTE HOME Cozy Chunky Cream Knit Throw Blanket with Textured Basket Weave Pattern and Fringe, Perfect for Couch, Chair, Sofa, or Bed. Boho Chic Style, 50"x60"</t>
  </si>
  <si>
    <t>B0BYHLBNVW</t>
  </si>
  <si>
    <t>-35.01%</t>
  </si>
  <si>
    <t>PAVILIA Light Gray Chenille Throw Blanket for Couch, Soft Grey Knit Blanket with Tassel Fringe, Woven Chenille Knitted Decorative Blanket for Sofa Bed Living Room, Decor Gift, 50x60</t>
  </si>
  <si>
    <t>B08DBRYWGT</t>
  </si>
  <si>
    <t>Cedar and Myrrh Palo Santo Sticks</t>
  </si>
  <si>
    <t>Folkulture Palo Santo and Cedar Incense Sticks - Pack of 75 Insenses for Healing - Natural and Non -Toxic Inscents-Sticks - Farmhouse Gift Set for Meditation - Slow Burning (Palo Santo and Cedar)</t>
  </si>
  <si>
    <t>B0BJF5BK2C</t>
  </si>
  <si>
    <t>-35.74%</t>
  </si>
  <si>
    <t>6070315712670</t>
  </si>
  <si>
    <t>Bambusi Bamboo Bathtub Extendable Tray</t>
  </si>
  <si>
    <t>ZHTYRE Bathtub Tray Bathtub Shelf Extendable Bathtub Shelf with Bamboo Bookshelf and soap Tray 1 or 2 Person Bath and Bed Tray (Black) (Black)</t>
  </si>
  <si>
    <t>B0B6SVLBQB</t>
  </si>
  <si>
    <t>64.99</t>
  </si>
  <si>
    <t>-40.01%</t>
  </si>
  <si>
    <t>8047251194091</t>
  </si>
  <si>
    <t>Elements of Sage Rose Sage Bundle</t>
  </si>
  <si>
    <t>35.99</t>
  </si>
  <si>
    <t>-44.46%</t>
  </si>
  <si>
    <t>5859538600094</t>
  </si>
  <si>
    <t>The Connecticut Home Company Throw Blanket, Soft Plush Reversible Faux Fur and Sherpa, Warm Thick Throws for Bed, Comfy Washable Bedding Accent Blankets for Sofa Couch Chair, 65x50, Dusty Rose</t>
  </si>
  <si>
    <t>B07NMS4XNF</t>
  </si>
  <si>
    <t>-45.06%</t>
  </si>
  <si>
    <t>Cedar and Myrrh Handmade Palo Santo Cone</t>
  </si>
  <si>
    <t>Luna Sundara Handmade Palo Santo Incense Cones (10 Cones Per Box) Sustainably Harvested Palo Santo from Peru</t>
  </si>
  <si>
    <t>B097S1QCYT</t>
  </si>
  <si>
    <t>25.99</t>
  </si>
  <si>
    <t>-46.17%</t>
  </si>
  <si>
    <t>8088635834603</t>
  </si>
  <si>
    <t>Halfmoon Cotton Practice Rug</t>
  </si>
  <si>
    <t>Halfmoon Cotton Yoga Blanket | 60” x 80” - Handwoven Soft &amp; Large Throw Blankets for Home Decor, Yoga Practice, Camping, Outdoors, Travel, Meditation &amp; Room Decor (Melange Carbon)</t>
  </si>
  <si>
    <t>B09BGG9KFG</t>
  </si>
  <si>
    <t>122.99</t>
  </si>
  <si>
    <t>-47.96%</t>
  </si>
  <si>
    <t>8047260205291</t>
  </si>
  <si>
    <t>Original Botanica Run Devil Run Incense Stick for Cleansing Spiritual Healing Negative Energy Protection Positive Vibes House Smudging Sticks, Evil Spirit Removal, 10 1/2"</t>
  </si>
  <si>
    <t>B01C4YXJRU</t>
  </si>
  <si>
    <t>-48.02%</t>
  </si>
  <si>
    <t>-52.66%</t>
  </si>
  <si>
    <t>Bless International Palo Santo 100%-Natural-Incense-Cones Handmade-Hand-Dipped The-Best-scents 20 Count (Palo Santo)</t>
  </si>
  <si>
    <t>B0B751ZHHD</t>
  </si>
  <si>
    <t>-53.87%</t>
  </si>
  <si>
    <t>Halfmoon Cotton Yoga Blanket | 60” x 80” - Handwoven Soft &amp; Large Throw Blankets for Home Decor, Yoga Practice, Camping, Outdoors, Travel, Meditation &amp; Room Decor (Sandstone)</t>
  </si>
  <si>
    <t>B07G3LDD5T</t>
  </si>
  <si>
    <t>-56.09%</t>
  </si>
  <si>
    <t>Our Dining Table Iridescent Glass Mug with Bamboo Lid</t>
  </si>
  <si>
    <t>1500° C TABLETOP Mermaid Iridescent Glass Coffee Mug with Lid 12.0 oz with Bamboo Lid for Latte Chocolate Americano Milk Oats Yoghurt</t>
  </si>
  <si>
    <t>B0BMFDFRX3</t>
  </si>
  <si>
    <t>34.99</t>
  </si>
  <si>
    <t>-57.16%</t>
  </si>
  <si>
    <t>8047252078827</t>
  </si>
  <si>
    <t>PAVILIA Light Grey Plush Throw Blanket for Couch, Sherpa Soft Cozy Blanket and Throw for Sofa Bed, Decorative Fur Fuzzy Warm Fleece Blanket, Lightweight Boho Home Decor All Season, 50x60</t>
  </si>
  <si>
    <t>B07K43M5HJ</t>
  </si>
  <si>
    <t>-60.02%</t>
  </si>
  <si>
    <t>Flora Jane's All Natural Palo Santo Incense Cones - 11 Handmade Easy to Light Cones in Reusable Storage Tin for Smudging, Meditation, Stress Relief…</t>
  </si>
  <si>
    <t>B0CCFVFXJZ</t>
  </si>
  <si>
    <t>-61.56%</t>
  </si>
  <si>
    <t>OFlyDesigns Sun and Moon Print, Mid Century Modern Wall Art, Boho Decor, Sun Wall Decor, Moon Art Print, Bedroom Decor, Set of 2, 8x10 Inch Unframed</t>
  </si>
  <si>
    <t>B08MCGNNSK</t>
  </si>
  <si>
    <t>-61.89%</t>
  </si>
  <si>
    <t>ViscoSoft Faux Fur Sherpa Luxury Blanket, Gray, Throw 50"x 60"</t>
  </si>
  <si>
    <t>B07GDVCJTC</t>
  </si>
  <si>
    <t>-62.62%</t>
  </si>
  <si>
    <t>Herbs Botanica Sandalwood Sticks Natural Chandan Ki Lakdi Sacred Sandalwood Sticks: Aromatic Bliss Spiritual Serenity Incense Havan, Holy Sticks, Mediation Yoga Pooja Tikka 3-4 inch Sticks 3.5 oz</t>
  </si>
  <si>
    <t>B0C7MZ7381</t>
  </si>
  <si>
    <t>-64.11%</t>
  </si>
  <si>
    <t>Cedar and Myrrh Matt Brass Incense Holder with Ash Catcher</t>
  </si>
  <si>
    <t>Incense Holder for Sticks and Cones- Incense Burner Brass Holder with Removable Glass Ash Catcher for Yoga Meditation Spa Decor (Walnut Wood)</t>
  </si>
  <si>
    <t>B0C5W2LY3V</t>
  </si>
  <si>
    <t>47.99</t>
  </si>
  <si>
    <t>-64.60%</t>
  </si>
  <si>
    <t>8088635769067</t>
  </si>
  <si>
    <t>Halfmoon Round Meditation Cushion</t>
  </si>
  <si>
    <t>GABUR Kapok Dreams; Zafu Round Meditation Cushion 100% Kapok, Blue Tones, Thai Design Pillow</t>
  </si>
  <si>
    <t>B01LATPZA4</t>
  </si>
  <si>
    <t>120.99</t>
  </si>
  <si>
    <t>-67.28%</t>
  </si>
  <si>
    <t>8047259943147</t>
  </si>
  <si>
    <t>Codi Meditation Floor Pillow, Round Large Pillows Seating for Adults, Bohemian Mandala Circle Cushion for Outdoor Fireplace Yoga Living Room, 32 Inch, Memory Foam Added, Coral</t>
  </si>
  <si>
    <t>B09TDXR7BL</t>
  </si>
  <si>
    <t>-67.77%</t>
  </si>
  <si>
    <t>REEHUT Zafu Yoga Meditation Cushion, Round Meditation Pillow Filled with Buckwheat, Zippered Organic Cotton Cover, Machine Washable - 4 Colors and 3 Sizes</t>
  </si>
  <si>
    <t>B071CDJ24R</t>
  </si>
  <si>
    <t>-70.25%</t>
  </si>
  <si>
    <t>Meditation Floor Pillow, Round Large Pillows Seating for Adults, Tufted Corduroy Cushion for Tatami Living Room, Grey, 22 Inch- 1 Count (Pack of 1)</t>
  </si>
  <si>
    <t>B0B195GWFB</t>
  </si>
  <si>
    <t>-75.21%</t>
  </si>
  <si>
    <t>Codi Meditation Floor Pillow, Boho Pillows Seating for Adults &amp; Kids, Large Round Cushion for Yoga Living Room Tatami Sitting, Memory Foam Added, 22x22 Inch, Indigo Elephant</t>
  </si>
  <si>
    <t>B0BLTY7V9V</t>
  </si>
  <si>
    <t>-76.87%</t>
  </si>
  <si>
    <t>2 Sets Incense Holder for Sticks, Wooden Modern Upside Down Incense Burner Ash Catcher Handmade Round Incense Tray Stand with Brass Incense Stick Silicone Mat for Home Decor Yoga Spa Mediation Zen</t>
  </si>
  <si>
    <t>B0C4HBWHCQ</t>
  </si>
  <si>
    <t>-79.18%</t>
  </si>
  <si>
    <t>HIGOGOGO Boho Cushion, Round Meditation Pillow Bohemia Striped Style Seat Cushion Yoga Cushion India Mandala Floor Pad for Living Room Bedroom Balcony Garden Party Decoration, 22 Inch, Stripe Red</t>
  </si>
  <si>
    <t>B07WRGV2MB</t>
  </si>
  <si>
    <t>-79.35%</t>
  </si>
  <si>
    <t>Third Eye Export 32" Blue Mandala Hippie Room Decor Floor Pillow Meditation Cushion Round Pillows Seating Cushions Cover Outdoor Pouf Circle Boho Gypsy Yoga Covers</t>
  </si>
  <si>
    <t>B078MWQ23Y</t>
  </si>
  <si>
    <t>-90.92%</t>
  </si>
  <si>
    <t>Olaplex No. 5 Bond Maintenance Conditioner</t>
  </si>
  <si>
    <t>Olaplex No. 5 Bond Maintenance Conditioner, 1L</t>
  </si>
  <si>
    <t>B0BDBRK1B6</t>
  </si>
  <si>
    <t>220.13%</t>
  </si>
  <si>
    <t>28.0</t>
  </si>
  <si>
    <t>5364874084503</t>
  </si>
  <si>
    <t>Olaplex No 4 Shampoo</t>
  </si>
  <si>
    <t>Olaplex No. 4 Bond Maintenance Shampoo, 1L</t>
  </si>
  <si>
    <t>B0BDBL9LVF</t>
  </si>
  <si>
    <t>207.32%</t>
  </si>
  <si>
    <t>5364830699671</t>
  </si>
  <si>
    <t>Olaplex No. 3 Hair Perfector</t>
  </si>
  <si>
    <t>Olaplex Hair Perfector No 3 Repairing Treatment</t>
  </si>
  <si>
    <t>B00SNM5US4</t>
  </si>
  <si>
    <t>20.99</t>
  </si>
  <si>
    <t>42.93%</t>
  </si>
  <si>
    <t>5377917419671</t>
  </si>
  <si>
    <t>Olaplex No. 6 Bond Smoother 3.3 fl oz</t>
  </si>
  <si>
    <t>Olaplex No 6 Bond Smoother, 3.3 Fl Oz</t>
  </si>
  <si>
    <t>B07PW4MTHV</t>
  </si>
  <si>
    <t>23.8</t>
  </si>
  <si>
    <t>26.05%</t>
  </si>
  <si>
    <t>5378081489047</t>
  </si>
  <si>
    <t>Olaplex No. 8 Bond Intense Moisture Mask 3.3 fl.oz</t>
  </si>
  <si>
    <t>Olaplex No. 8 Bond Intense Moisture Mask</t>
  </si>
  <si>
    <t>B092DNPHC9</t>
  </si>
  <si>
    <t>25.05%</t>
  </si>
  <si>
    <t>6709406630083</t>
  </si>
  <si>
    <t>B07D37SBHF</t>
  </si>
  <si>
    <t>Olaplex No. 4C Bond Maintenance Clarifying Shampoo, 250 milliliters</t>
  </si>
  <si>
    <t>B0B4BG3HPM</t>
  </si>
  <si>
    <t>Olaplex No. 4 Bond Maintenance Shampoo</t>
  </si>
  <si>
    <t>B07D37PQGL</t>
  </si>
  <si>
    <t>20.05%</t>
  </si>
  <si>
    <t>Olaplex No. 4P Blonde Enhancing Toning Shampoo, 8.5 Fl Oz</t>
  </si>
  <si>
    <t>B09FYK7FKR</t>
  </si>
  <si>
    <t>Olaplex No. 4D Clean Volume Detox Dry Shampoo</t>
  </si>
  <si>
    <t>B0BTWR89FV</t>
  </si>
  <si>
    <t>Olaplex No. 2 Bond Perfector 67.62 fl oz</t>
  </si>
  <si>
    <t>Olaplex No.0 Intensive Bond Building Treatment, White, 5.2 Fl Oz</t>
  </si>
  <si>
    <t>B08HTNRZMH</t>
  </si>
  <si>
    <t>182.5</t>
  </si>
  <si>
    <t>-83.56%</t>
  </si>
  <si>
    <t>5392206495895</t>
  </si>
  <si>
    <t>Silk Face Mask</t>
  </si>
  <si>
    <t>ROSEWARD 100% Mulberry Silk Face Mask for Women Men Reusable Adjustable with Filter Pocket</t>
  </si>
  <si>
    <t>B08FLVD7WT</t>
  </si>
  <si>
    <t>15.0</t>
  </si>
  <si>
    <t>13.27%</t>
  </si>
  <si>
    <t>7151671345332</t>
  </si>
  <si>
    <t>DCSTA Mulberry Silk Face Mask with Filter Pocket Nose Wire Adjustable Cloth Face Mask</t>
  </si>
  <si>
    <t>B08XXJ2G6F</t>
  </si>
  <si>
    <t>6.60%</t>
  </si>
  <si>
    <t>KARIZMA Beverly Hills Silk Face Mask Collection Pack. Fashionable Designer Face Mask for Women. Real Mulberry Silk Masks</t>
  </si>
  <si>
    <t>B092JM8QK9</t>
  </si>
  <si>
    <t>Secret Gold 24k Gold Mask</t>
  </si>
  <si>
    <t>OLIVIA QUIDO Clinical Skin Care Secret Gold 24K Mask | Anti-Aging Night Cream for Face and Neck | Tightens Wrinkles &amp; Fine Lines | Whitens Dark Spots, Melasma &amp; Acne Scars | Non-Comedogenic Night Mask</t>
  </si>
  <si>
    <t>B00KY613PQ</t>
  </si>
  <si>
    <t>-0.01%</t>
  </si>
  <si>
    <t>6879913214132</t>
  </si>
  <si>
    <t>Milk Brightening Bar</t>
  </si>
  <si>
    <t>OLIVIA QUIDO Clinical Skincare Milk Brightening Bar (5oz) | Luxurious Cleansing Bar Soap | With Papaya, Shea Butter, and Bamboo Stem | Exfoliates, Hydrates, and Brightens | Helps Protects from UV Rays</t>
  </si>
  <si>
    <t>B0BHXJ5PYY</t>
  </si>
  <si>
    <t>20.0</t>
  </si>
  <si>
    <t>-0.05%</t>
  </si>
  <si>
    <t>6904787730612</t>
  </si>
  <si>
    <t>Healthy Hair Shampoo &amp; Conditioner Bundle</t>
  </si>
  <si>
    <t>cibu Repair + Protect Shampoo and Conditioner Bundle 90002 Restores Damaged Hair | Protects From Breakage | Safe for Color-Treated Hair Sulfate-Free Smooths &amp; Strengthens Fresh Scent 11.83oz Pack of 2</t>
  </si>
  <si>
    <t>B0BM1WQFQ9</t>
  </si>
  <si>
    <t>-12.00%</t>
  </si>
  <si>
    <t>8037507989825</t>
  </si>
  <si>
    <t>Celestial Silk Premium 22 Momme Silk Face Mask Reusable and Washable Anti Dust Mouth Cover with Adjustable Ear Loops Women (Pleated, Black)</t>
  </si>
  <si>
    <t>B08KJ1W1X8</t>
  </si>
  <si>
    <t>-13.40%</t>
  </si>
  <si>
    <t>Daily Essentials Travel Set</t>
  </si>
  <si>
    <t>Daily Essentials Set</t>
  </si>
  <si>
    <t>B0BN26QVDW</t>
  </si>
  <si>
    <t>8653209698625</t>
  </si>
  <si>
    <t>8 Pcs Adult Silk Face Masks Reusable Face Cover Washable Silk Face Covering Adjustable Silk Face Covers Washable Silk Face Covering for Women Men</t>
  </si>
  <si>
    <t>B09VBZJXW2</t>
  </si>
  <si>
    <t>-16.73%</t>
  </si>
  <si>
    <t>Pure Silk Mask for Acne Prone Skin Pink Face Mask for Dust Anti Acne Silk Face Mask Reusable Pink Cloth Face Mask Bridesmaid Face Mask Fancy Face Mask for Women Cute Silk Mask to Cover Mouth</t>
  </si>
  <si>
    <t>B092KGQVLF</t>
  </si>
  <si>
    <t>-20.07%</t>
  </si>
  <si>
    <t>Dr. Squatch Citrus &amp; Cypress Men's Shampoo + Conditioner Hair Bundle - Keeps Hair Looking Full, Healthy, Hydrated</t>
  </si>
  <si>
    <t>B06XTG99F9</t>
  </si>
  <si>
    <t>-22.10%</t>
  </si>
  <si>
    <t>Raw Sugar Scalp Intensive Ritual Bundle - Shampoo, Conditioner, Scalp Scrub &amp; Hair Masque, Clean Ingredients, Formulated without Sulfates &amp; Parabens</t>
  </si>
  <si>
    <t>B0B6H383L9</t>
  </si>
  <si>
    <t>-26.02%</t>
  </si>
  <si>
    <t>KARIZMA 90210 Silk Face Mask (Black). Luxury Fashion Masks, 19 Momme Mulberry Silk Mask. Fashionable Designer Face Mask for Women, Washable Fabric Face Mask, Reusable Facemask 6A Grade Fabric</t>
  </si>
  <si>
    <t>B08HDS5FB3</t>
  </si>
  <si>
    <t>-33.40%</t>
  </si>
  <si>
    <t>DFFGGD 4 Pcs Adult Washable Double-Sided Silk Face Masks with Nose Wire. Adjustable, Reusable. Women Gift.</t>
  </si>
  <si>
    <t>B09BKZNDP9</t>
  </si>
  <si>
    <t>LightenUp, Lactic Acid Exfoliating Soap | 7.7 oz / 200 g | Brightening Bar, AHA Soaps for Knees, Body, Armpits | with Shea Butter, Apricot, Milk Protein</t>
  </si>
  <si>
    <t>B08BTH1DPY</t>
  </si>
  <si>
    <t>-45.05%</t>
  </si>
  <si>
    <t>Sunny Isle Jamaican Black Castor Oil Extreme Hydrating Shampoo &amp; Conditioner 10.1oz, Root Repair and Growth Butter 4oz and Extra Dark JBCO 2oz, 4-Piece Hair Growth Bundle</t>
  </si>
  <si>
    <t>B0BNJXZX21</t>
  </si>
  <si>
    <t>-49.02%</t>
  </si>
  <si>
    <t>New Mielle - Rosemary Mint - Biotin Infused - Encourages Growth Hair Products for Stronger and Healthier Hair - Shampoo &amp; New Conditioner Styling Bundle Set 2 PCS</t>
  </si>
  <si>
    <t>B0BNQXSCNW</t>
  </si>
  <si>
    <t>-50.06%</t>
  </si>
  <si>
    <t>Glutathione Collagen White Soap for Face, Skin Brightening &amp; Body Moisturizers with Rice Milk and Coconut Oil, Reduce Wrinkles, Freckles &amp; Acne-Firm for Dry Skin, Vegetarian Soap 3.52 Oz (2 Bars)</t>
  </si>
  <si>
    <t>B073LR6QPP</t>
  </si>
  <si>
    <t>-50.10%</t>
  </si>
  <si>
    <t>Daily Essentials Regimen</t>
  </si>
  <si>
    <t>Privai Mature Skin Essentials Travel Kit - On The Go Daily Facial Regimen for Mature Skin, Replenishing (Bonus Gift Lip Creme + Rose Gold Cosmetic Bag)</t>
  </si>
  <si>
    <t>B081NJ219K</t>
  </si>
  <si>
    <t>212.0</t>
  </si>
  <si>
    <t>-50.47%</t>
  </si>
  <si>
    <t>7144865824948</t>
  </si>
  <si>
    <t>KARIZMA Beverly Hills Silk Face Mask. Black Fashionable Designer Face Mask for Women. Washable Fabric Face Mask Reusable Facemask. 19 Momme Mulberry Silk Mask - Luxury Fashion Masks for Women</t>
  </si>
  <si>
    <t>B08H1GX91G</t>
  </si>
  <si>
    <t>-53.40%</t>
  </si>
  <si>
    <t>Bundles &amp; Bits Biotin and Honey Volumizing Shampoo and Conditioner - for Thicker, Stronger, Healthier Hair - Regrowth, Thinning Hair, Anti-Hair Loss - 2 Pieces, 12oz each</t>
  </si>
  <si>
    <t>B0B86NQZPS</t>
  </si>
  <si>
    <t>-56.02%</t>
  </si>
  <si>
    <t>Acne Benzoyl Wash</t>
  </si>
  <si>
    <t>Dr Song Benzoyl Peroxide Wash 10% Acne Treatment: Acne Face Wash &amp; Body Wash (8 Fl Oz (Pack of 1))</t>
  </si>
  <si>
    <t>B07GJLMK14</t>
  </si>
  <si>
    <t>58.0</t>
  </si>
  <si>
    <t>-57.03%</t>
  </si>
  <si>
    <t>8157472260417</t>
  </si>
  <si>
    <t>Compression Packing Cubes for Suitcases, BAGSMART 6 Set/4 Set/2 Set Travel Essentials for Travel Organizer Cubes, Lightweight Luggage Suitcase Organizer Bags, Packing Organizers as Travel Accessories</t>
  </si>
  <si>
    <t>B0BFHQYW9M</t>
  </si>
  <si>
    <t>-57.91%</t>
  </si>
  <si>
    <t>MOWAT’S Sea Salt Goat Milk Soap Bar, Natural Himalayan Salt for Acne &amp; Black Head W/Lavender Extract, Shea Butter &amp; Glycerine, Cleansing &amp; Brightening Handmade Soap for Hand, Face &amp; Body - 4.2 Ounce</t>
  </si>
  <si>
    <t>B09XL19YS5</t>
  </si>
  <si>
    <t>BeNat All-Natural Shampoo &amp; Conditioner Bars Bundle Handmade &amp; Sulfate Free Shampoo Bergamot &amp; Hair Conditioner Bar Nourishes Your Follicles with Antioxidants to Support Healthy Hair Eco-Friendly</t>
  </si>
  <si>
    <t>B0847D59CR</t>
  </si>
  <si>
    <t>-61.12%</t>
  </si>
  <si>
    <t>humane Regular-Strength Acne Wash - 5% Benzoyl Peroxide Acne Treatment for Face, Skin, Butt, Back and Body - 8 Fl Oz - Dermatologist-Tested Non-Foaming Cleanser - Vegan, Cruelty-Free</t>
  </si>
  <si>
    <t>B08TRN7GNY</t>
  </si>
  <si>
    <t>-62.16%</t>
  </si>
  <si>
    <t>Acne Cream</t>
  </si>
  <si>
    <t>Acne Medication Face Cream - Made in USA Fast Acting Drug Acne Treatment For Stubborn Pimple Blackhead Whitehead Blemish - Soothing Acne Moisturizer for Inflammation Relief &amp; Acne Scar Prevention 2oz</t>
  </si>
  <si>
    <t>B0B6WNY4S8</t>
  </si>
  <si>
    <t>68.0</t>
  </si>
  <si>
    <t>-66.34%</t>
  </si>
  <si>
    <t>8157328343361</t>
  </si>
  <si>
    <t>Marc Anthony Hydrating Coconut Oil &amp; Shea Butter Shampoo – Biotin Shampoo and Conditioner Bundle - Sulfate Free, Color Safe, Anti Frizz Gift Set for Dry Damaged Hair, 8.45 Ounce (Pack of 2)</t>
  </si>
  <si>
    <t>B09DJQ1WDT</t>
  </si>
  <si>
    <t>-68.56%</t>
  </si>
  <si>
    <t>CeraVe Acne Foaming Cream Wash | Face and Body Acne Wash with Benzoyl Peroxide 10% Maximum Strength | Fragrance Free | 5 Oz</t>
  </si>
  <si>
    <t>B0C7J25MVB</t>
  </si>
  <si>
    <t>-68.98%</t>
  </si>
  <si>
    <t>La Roche-Posay Effaclar Duo Dual Action Acne Spot Treatment Cream with Benzoyl Peroxide Acne Treatment, Blemish Cream for Acne and Blackheads, Lightweight Sheerness, Safe For Sensitive Skin</t>
  </si>
  <si>
    <t>B07DP9MCCJ</t>
  </si>
  <si>
    <t>-69.13%</t>
  </si>
  <si>
    <t>REBONCEL Korean Skin Care Set Travel Kit, TSA Approved Travel Size Toiletries, Cleanser, Toner, Essence, Cream, Serum | Travel Essentials Gift Set | All-Natural Moisturizing Skincare</t>
  </si>
  <si>
    <t>B0BTNW39ZM</t>
  </si>
  <si>
    <t>8 Set Packing Cubes for Suitcases, Travel Bag Organizers for Carry on Luggage, Veken Suitcase Organizer Bags Set for Travel Essentials Travel Accessories in 4 Sizes(Extra Large, Large, Medium, Small)</t>
  </si>
  <si>
    <t>B0C3QC22D2</t>
  </si>
  <si>
    <t>-76.85%</t>
  </si>
  <si>
    <t>CeraVe Acne Foaming Cream Cleanser | Acne Treatment Face Wash with 4% Benzoyl Peroxide, Hyaluronic Acid, and Niacinamide | Cream to Foam Formula | Fragrance Free &amp; Non Comedogenic | 5 Oz</t>
  </si>
  <si>
    <t>B07YLJPMC3</t>
  </si>
  <si>
    <t>-78.22%</t>
  </si>
  <si>
    <t>Packing Cubes for Suitcases, BAGSMART 7 Set Packing Cubes for Travel Essentials, Lightweight Luggage Suitcase Organizer Bags Set with Shoe Bag, Keep Shape Travel Cubes for Packing</t>
  </si>
  <si>
    <t>B09JNV515V</t>
  </si>
  <si>
    <t>-78.96%</t>
  </si>
  <si>
    <t>-81.96%</t>
  </si>
  <si>
    <t>Finishing Touch Flawless Silk Face Mask Washable Soft and Gentle on Skin, Blush, 1 Count</t>
  </si>
  <si>
    <t>B08WRFGMFL</t>
  </si>
  <si>
    <t>-83.27%</t>
  </si>
  <si>
    <t>PanOxyl Acne Foaming Wash Benzoyl Peroxide 10% Maximum Strength Antimicrobial, 5.5 Oz</t>
  </si>
  <si>
    <t>B081KL2QYJ</t>
  </si>
  <si>
    <t>-83.47%</t>
  </si>
  <si>
    <t>PanOxyl Antimicrobial Hydrating Acne Creamy Wash, 4% Benzoyl Peroxide, 6 Ounce</t>
  </si>
  <si>
    <t>B081KLNHSG</t>
  </si>
  <si>
    <t>AcneFree Severe Acne 10% Benzoyl Peroxide Foaming Cleansing Wash, 5 Ounce</t>
  </si>
  <si>
    <t>B09FN2QRYR</t>
  </si>
  <si>
    <t>-84.50%</t>
  </si>
  <si>
    <t>Perrigo 10 Benzoyl Peroxide Acne Medication Face Wash Quantity 1, 5 Ounce</t>
  </si>
  <si>
    <t>B071HVKYJF</t>
  </si>
  <si>
    <t>-84.57%</t>
  </si>
  <si>
    <t>Neutrogena Rapid Clear Stubborn Acne Spot Treatment Gel with Maximum Strength 10% Benzoyl Peroxide Acne Treatment Medication, Pimple Cream for Acne Prone Skin Care, 1 oz</t>
  </si>
  <si>
    <t>B00NR1YVYU</t>
  </si>
  <si>
    <t>-85.32%</t>
  </si>
  <si>
    <t>Urban Skin Rx Even Tone Essentials Starter Kit | Daily Regimen Includes 4 Top Products Formulated To Cleanse, Tone And Protect For Visibly Brighter, More Even-Looking Skin</t>
  </si>
  <si>
    <t>B08CTJVJF3</t>
  </si>
  <si>
    <t>-85.85%</t>
  </si>
  <si>
    <t>Kojic Acid</t>
  </si>
  <si>
    <t>Dark Spot Remover For Face, Hyperpigmentation Treatment, Kojic Acid, Niacinamide, Tranexamic Acid, Turmeric Serum, Dark Spot Corrector, Discoloration Correcting Serum, Made in USA, Dark Spot Wand</t>
  </si>
  <si>
    <t>B0CB52VKKK</t>
  </si>
  <si>
    <t>160.0</t>
  </si>
  <si>
    <t>-87.56%</t>
  </si>
  <si>
    <t>7120103735476</t>
  </si>
  <si>
    <t>Underarm Brightener</t>
  </si>
  <si>
    <t>Skin Brightener Gel for Body Face Neck Armpit Knees Elbows Underarms Bikini and Sensitive Areas Dark Spot Remover Cream Anti-Aging Skin Lightening Corrector for Women and Men All-Natural Ingredients</t>
  </si>
  <si>
    <t>B08D9T356H</t>
  </si>
  <si>
    <t>6933869625524</t>
  </si>
  <si>
    <t>Acne Free Oil-Free Acne Cleanser, Benzoyl Peroxide 2.5% Acne Face Wash with Glycolic Acid to Prevent and Treat Breakouts, 8 Ounce.</t>
  </si>
  <si>
    <t>B00BEUB15S</t>
  </si>
  <si>
    <t>-89.67%</t>
  </si>
  <si>
    <t>Asepxia Acne Spot Treatment Cream for Pimples and Blackheads with 10% Benzoyl Peroxide, 1 ounce, White, (GEN00669)</t>
  </si>
  <si>
    <t>B01FJG5HFW</t>
  </si>
  <si>
    <t>-89.72%</t>
  </si>
  <si>
    <t>The Secret Collection</t>
  </si>
  <si>
    <t>The Luxury Collection: Hotel Secrets - Assouline Coffee Table Book</t>
  </si>
  <si>
    <t>1614288569</t>
  </si>
  <si>
    <t>560.0</t>
  </si>
  <si>
    <t>-90.09%</t>
  </si>
  <si>
    <t>7144865792180</t>
  </si>
  <si>
    <t>VALITIC Kojic Acid Dark Spot Remover Soap Bars with Vitamin C, Retinol, Collagen, Turmeric - Original Japanese Complex Infused with Hyaluronic Acid, Vitamin E, Shea Butter, Castile Olive Oil (2 Pack)</t>
  </si>
  <si>
    <t>B09MFMCTRK</t>
  </si>
  <si>
    <t>-90.63%</t>
  </si>
  <si>
    <t>Inlifay Kojic Acid Soap, Dark Spot Remover with Vitamin C, Vitamin E, Retinol, Collagen, Turmeric, Hyaluronic Acid, Moisturizing for Body &amp; Face 50g-3 pack</t>
  </si>
  <si>
    <t>B0BL6LSPBH</t>
  </si>
  <si>
    <t>-90.64%</t>
  </si>
  <si>
    <t>AZURE 24K Gold Firming Face Mask- Anti Aging, Hydrating, Toning &amp; Firming Facial Sheet Mask - Helps Reduce Wrinkles &amp; Fine Lines - With Hyaluronic Acid &amp; Collagen - Skin Care Made in Korea - 5 Pack</t>
  </si>
  <si>
    <t>B085LQK14G</t>
  </si>
  <si>
    <t>-90.72%</t>
  </si>
  <si>
    <t>Pure Kojic Acid Powder | LIGHTENS &amp; BRIGHTENS SKIN | Diminishes the Appearance of Brown Spots &amp; Discoloration | for DIY Soaps, Creams, and Serums</t>
  </si>
  <si>
    <t>B08D6X7G66</t>
  </si>
  <si>
    <t>-91.28%</t>
  </si>
  <si>
    <t>AZURE 24K Gold Firming Face Mask- Anti Aging, Hydrating, Toning &amp; Firming Facial Mask - Helps Reduce Wrinkles &amp; Fine Lines - With Hyaluronic Acid &amp; Collagen - Skin Care Made in Korea - 5 Pack</t>
  </si>
  <si>
    <t>B075JRK87L</t>
  </si>
  <si>
    <t>-91.46%</t>
  </si>
  <si>
    <t>WONDER FAMILY 24K Gold Sheet Mask Set - Discover the Secret of Korean beauty - Nourish and Moisturize your Skin for a Refreshed - Glowing Complexion - 10pack</t>
  </si>
  <si>
    <t>B0CFYMS147</t>
  </si>
  <si>
    <t>-91.79%</t>
  </si>
  <si>
    <t>AcneFree Terminator 10 Acne Spot Treatment with Benzoyl Peroxide 10% Maximum Strength Acne Cream Treatment, 1 Ounce - Pack Of 1</t>
  </si>
  <si>
    <t>B0014VTOAQ</t>
  </si>
  <si>
    <t>-91.93%</t>
  </si>
  <si>
    <t>Gold Gel Collagen Facial Masks - 24K Gold Firming Face Mask -Gold Face Mask(5 pc) -Vegan Gold Facial Mask -Anti Aging, Puffiness, Moisturizing, Deep Tissue Rejuvenation and Hydrates Skin</t>
  </si>
  <si>
    <t>B0BLKSRS55</t>
  </si>
  <si>
    <t>-92.15%</t>
  </si>
  <si>
    <t>Kojic Acid Powder, skin lightening, pure 50g</t>
  </si>
  <si>
    <t>B07J2VQ58X</t>
  </si>
  <si>
    <t>-92.53%</t>
  </si>
  <si>
    <t>Clean &amp; Clear Persa-Gel 10 Oil-Free Acne Spot Treatment with Maximum Strength 10% Benzoyl Peroxide, Topical Pimple Cream &amp; Acne Gel Medication for Face Acne, Fragrance-Free, 1 fl. oz</t>
  </si>
  <si>
    <t>B00KZ22ED4</t>
  </si>
  <si>
    <t>-92.69%</t>
  </si>
  <si>
    <t>NIYET 24K Gold Gel Collagen Crystal Facial Masks (6 Pack), Anti-Aging, Puffiness, Wrinkle Reduction, Moisturizing, Deep Tissue Rejuvenation, and Skin Hydration</t>
  </si>
  <si>
    <t>B0C5XV59FT</t>
  </si>
  <si>
    <t>-92.86%</t>
  </si>
  <si>
    <t>24K Gold Facial Mask / 24K Gold Tearing Mask, Anti-Aging Face Mask For Flawless Skin, Reduces the Appearances OF Fine Lines &amp; Wrinkles, Clears Acne, Minimizes Pores, Moisturizes &amp; Firms Our Skin</t>
  </si>
  <si>
    <t>B089M9N7CG</t>
  </si>
  <si>
    <t>The Secret Series Five-Books Collection Hardcover (Hero, The Power, The Secret, The Magic [Paperback], The Greatest Secret) By Rhonda Byrne</t>
  </si>
  <si>
    <t>B09TKZZTXS</t>
  </si>
  <si>
    <t>-93.17%</t>
  </si>
  <si>
    <t>Kojie San Skin Brightening Soap - Original Kojic Acid Soap for Dark Spots, Hyperpigmentation, &amp; Scars with Coconut &amp; Tea Tree Oil - 65g x 2 Bars</t>
  </si>
  <si>
    <t>B00R602KOQ</t>
  </si>
  <si>
    <t>-93.76%</t>
  </si>
  <si>
    <t>B08P3YFR7B</t>
  </si>
  <si>
    <t>-93.78%</t>
  </si>
  <si>
    <t>Pure Kojic Acid Powder (50 Gram), for Skin Whitening Lightening, Even Your Skin Tone &amp; Diminishes the Appearance of Dark Spots, Freckles &amp; Scars, for DIY Soaps, Creams and Serums</t>
  </si>
  <si>
    <t>B0B7Q9XXG3</t>
  </si>
  <si>
    <t>Pure Kojic Acid Skin Brightening Soap for Dark Spot &amp; Glowing Skin, Moisturizing for Face &amp; Body, Acne Scars, Melasma, Uneven Skin Tone with Tea Tree, Coconut Oil, Vegan Soap 2.82 oz (2 Bars)</t>
  </si>
  <si>
    <t>B071KNC9Q9</t>
  </si>
  <si>
    <t>The Unicorn's Secret Collection (Boxed Set): Moonsilver; The Silver Thread; The Silver Bracelet; The Mountains of the Moon; The Sunset Gates; True Heart; Castle Avamir; The Journey Home</t>
  </si>
  <si>
    <t>1534439374</t>
  </si>
  <si>
    <t>-94.29%</t>
  </si>
  <si>
    <t>LAPCOS 24K Gold Hydra Collagen Premium Face Mask (1 Pack) Anti Wrinkle Treatment for Fine Lines &amp; Puffiness - Korean Skin Care for Firm, Hydrated Skin</t>
  </si>
  <si>
    <t>B0BFC6YZPB</t>
  </si>
  <si>
    <t>Pure Kojic Acid Powder Natural and Organic Kojic Acid (1 Ounce / 28 Gram)</t>
  </si>
  <si>
    <t>B08SJ5HFV9</t>
  </si>
  <si>
    <t>-94.38%</t>
  </si>
  <si>
    <t>The Secret Series Complete Collection</t>
  </si>
  <si>
    <t>0316219819</t>
  </si>
  <si>
    <t>-95.18%</t>
  </si>
  <si>
    <t>Adventures with The Secret Explorers: Collection Two: 4-Book Box Set of Educational Chapter Books</t>
  </si>
  <si>
    <t>0744072824</t>
  </si>
  <si>
    <t>-96.34%</t>
  </si>
  <si>
    <t>The Lies We Tell: A Standalone Forbidden Romance (Secrets Collection)</t>
  </si>
  <si>
    <t>B0C2LG5HV9</t>
  </si>
  <si>
    <t>The Watchers: BWWM (Sinful Secrets Collection)</t>
  </si>
  <si>
    <t>B014FS3SLK</t>
  </si>
  <si>
    <t>Weightless Moisturizer SPF 25</t>
  </si>
  <si>
    <t>DML Facial Moisturizer SPF 25, 1.5 Oz (3 Pack) (SG_B0064JD6VQ_US)</t>
  </si>
  <si>
    <t>B0064JD6VQ</t>
  </si>
  <si>
    <t>18.0</t>
  </si>
  <si>
    <t>165.39%</t>
  </si>
  <si>
    <t>4383440633929</t>
  </si>
  <si>
    <t>Bright Beauty Peeling Pads</t>
  </si>
  <si>
    <t>Bella Schneider Beauty Facial Cleanser Peel Pads, Culmine Extra Strength Exfoliating Skin Pads for Healthy, Clean &amp; Brighter Skin, Salicylic and Glycolic Acid Pads for Face Cleanser</t>
  </si>
  <si>
    <t>B00DGKH5VS</t>
  </si>
  <si>
    <t>33.0</t>
  </si>
  <si>
    <t>106.06%</t>
  </si>
  <si>
    <t>4383439749193</t>
  </si>
  <si>
    <t>Cucumber Eye Cream</t>
  </si>
  <si>
    <t>3x Action Cucumber Eye Cream By bioBare® | With Hyaluronic Acid, Squalane, Peptides &amp; Vitamins E &amp; A | Depuff, Hydrate And Firm The Delicate Skin Around Eyes | Made In USA | Cruelty, Gluten &amp; Paraben Free 0.5 Oz</t>
  </si>
  <si>
    <t>B0BBZCCLVD</t>
  </si>
  <si>
    <t>77.27%</t>
  </si>
  <si>
    <t>661691531315</t>
  </si>
  <si>
    <t>Shir-Organic Pure Cucumber Eye Cream For Dark Circles Eye Puffiness Wrinkles Instant Hydration Anti Aging Eye Cream for All Skin Type (15 ML)</t>
  </si>
  <si>
    <t>B08JM46G9W</t>
  </si>
  <si>
    <t>Vitamin C+ Serum 12%</t>
  </si>
  <si>
    <t>Cosmesis Vitamin C Serum: Rejuvenate &amp; Protect Skin with 12% Concentrated Vitamin C &amp; Antioxidant Tea Extracts for Brighter, Healthier Skin - 1 fl oz.</t>
  </si>
  <si>
    <t>B0BZFPPSNR</t>
  </si>
  <si>
    <t>48.0</t>
  </si>
  <si>
    <t>44.79%</t>
  </si>
  <si>
    <t>661690056755</t>
  </si>
  <si>
    <t>Lactic Acid Exfoliator 10%</t>
  </si>
  <si>
    <t>29.0</t>
  </si>
  <si>
    <t>34.48%</t>
  </si>
  <si>
    <t>630706634803</t>
  </si>
  <si>
    <t>Neck-Cessity Neck Firming Cream</t>
  </si>
  <si>
    <t>StriVectin TL Advanced™ Tightening Neck Cream PLUS, 1.0 oz for Tightening and Firming Neck &amp; Décolleté Lines, Visibly Reducing Sagging and Crepey Skin for Smooth Healthy Looking Skin</t>
  </si>
  <si>
    <t>B0C5FD2G3V</t>
  </si>
  <si>
    <t>34.09%</t>
  </si>
  <si>
    <t>661689073715</t>
  </si>
  <si>
    <t>Olay Regenerist Whip Face Moisturizer Cream with Sunscreen SPF 25, 1.7 oz</t>
  </si>
  <si>
    <t>B075WZQ8RF</t>
  </si>
  <si>
    <t>29.94%</t>
  </si>
  <si>
    <t>100% Pure Argan Oil</t>
  </si>
  <si>
    <t>Soapeauty Cold Pressed Refined ARGAN OIL | 100% Natural &amp; Pure | Carrier for Essential Oils, Argan Oil for Skin, Argan Oil for Hair Growth &amp; Moisturizer | 32 fl oz</t>
  </si>
  <si>
    <t>B077TS8QM8</t>
  </si>
  <si>
    <t>26.79%</t>
  </si>
  <si>
    <t>661692350515</t>
  </si>
  <si>
    <t>Bio-Peptide Growth Factor Serum</t>
  </si>
  <si>
    <t>Growth Factor Serum for Face - EGF Epidermal Grow Factors Peptide Complex, Retinol, Niacinamide, Hyaluronic Acid Hydrating Anti-Aging Facial Wrinkles Skin Repair Tightening Cream, LE MIN JOLLYIDEA</t>
  </si>
  <si>
    <t>B0BM8VN9J5</t>
  </si>
  <si>
    <t>70.0</t>
  </si>
  <si>
    <t>21.41%</t>
  </si>
  <si>
    <t>661693169715</t>
  </si>
  <si>
    <t>It Works Firming Neck Treatment Cream 1.7 oz, 50 g</t>
  </si>
  <si>
    <t>B083C2YPVJ</t>
  </si>
  <si>
    <t>13.64%</t>
  </si>
  <si>
    <t>Neutrogena Triple Age Repair Anti-Aging Daily Facial Moisturizer with SPF 25 Sunscreen &amp; Vitamin C, Firming Anti-Wrinkle Face &amp; Neck Cream for Dark Spots, Glycerin &amp; Shea Butter, 1.7 oz</t>
  </si>
  <si>
    <t>B00HNSSPHC</t>
  </si>
  <si>
    <t>10.89%</t>
  </si>
  <si>
    <t>100% Pure Hyaluronic Moisturizer</t>
  </si>
  <si>
    <t>100% PURE Rose Water Hydrating Milk Face Moisturizer Natural Care Hyaluronic Acid, Squalene Replenish Suppleness Dry Dehydrated Skin - Vegan - 1.7oz</t>
  </si>
  <si>
    <t>B09KX53LWN</t>
  </si>
  <si>
    <t>46.0</t>
  </si>
  <si>
    <t>4.35%</t>
  </si>
  <si>
    <t>661688516659</t>
  </si>
  <si>
    <t>100% PURE Hydra Drench Cream, Daily Face Moisturizer with Hyaluronic Acid, Rose Water, Skin Care for All Skin Types, Natural Face Cream - 1.4 Fl Oz</t>
  </si>
  <si>
    <t>B076CW7NX2</t>
  </si>
  <si>
    <t>100% PURE Argan Oil, Cold-Pressed, Natural Moisturizer for Skin, Hair &amp; Nails, Facial Serum, Hair Detangler, Cuticle Oil, Makeup Remover - 1.52 Fl Oz</t>
  </si>
  <si>
    <t>B008QA6YOC</t>
  </si>
  <si>
    <t>3.03%</t>
  </si>
  <si>
    <t>Anti-Aging Under Eye Cream, Best 3-in-1 Treatment For Dark Circles, Puffy Eyes, Bags &amp; Wrinkles - Firming, Moisturizing &amp; Hydrating - Natural Cucumber, Collagen, Hyaluronic Acid, Retinol, Vitamin E</t>
  </si>
  <si>
    <t>B0796YJ9ZP</t>
  </si>
  <si>
    <t>-0.14%</t>
  </si>
  <si>
    <t>L'Oreal Paris Revitalift 12% Pure Vitamin C Serum + 1.5% Pure Hyaluronic Acid Face Serum + Moisturizer Sample</t>
  </si>
  <si>
    <t>B0C3H5L532</t>
  </si>
  <si>
    <t>-0.85%</t>
  </si>
  <si>
    <t>Timeless Skin Care Hyaluronic Acid 100% Pure Serum - 8 oz - Powerful Formula to Rehydrate Skin &amp; Boost Moisture Levels + Relieves Appearance of Skin Tightness - Recommended for All Skin Types</t>
  </si>
  <si>
    <t>B0047AKVW6</t>
  </si>
  <si>
    <t>-2.28%</t>
  </si>
  <si>
    <t>DML Daily Facial Moisturizer, SPF 25-1.5 oz</t>
  </si>
  <si>
    <t>B000052YN5</t>
  </si>
  <si>
    <t>-10.67%</t>
  </si>
  <si>
    <t>Vitamin C,B,E &amp; Ferulic</t>
  </si>
  <si>
    <t>Vitamin C B E, and Ferulic Serum For Face By BioBare | 20% Pure Vitamin C W/Hyaluronic Acid | Helps Keep Skin Young, Moist, Bright &amp; Glowing | Helps With Fine Lines, Wrinkles, Dark Spots | 1Fl Oz</t>
  </si>
  <si>
    <t>B07KV5FWXQ</t>
  </si>
  <si>
    <t>-10.91%</t>
  </si>
  <si>
    <t>661690155059</t>
  </si>
  <si>
    <t>Multi Peptide Serum</t>
  </si>
  <si>
    <t>-17.14%</t>
  </si>
  <si>
    <t>661689663539</t>
  </si>
  <si>
    <t>DERMALOGY by NEOGENLAB Bio-Peel Gauze Peeling Pads (Lemon, 30 pads) - Exfoliating &amp; Brightening Peeling Pad with PHA &amp; Lemon &amp; Lemongrass - Korean Skin Care</t>
  </si>
  <si>
    <t>B019RULW50</t>
  </si>
  <si>
    <t>-18.18%</t>
  </si>
  <si>
    <t>Triple Action Vitamin C</t>
  </si>
  <si>
    <t>nutrazul Immune Triple Action Effervescent Tablets - Vitamin C 1000 mg, Vitamin D 400 IU, Zinc 10mg I Orange (Pack of 5X20) | Gluten Free, Sugar Free, Lactose Free &amp; Preservative Free</t>
  </si>
  <si>
    <t>B0BLT4RD8P</t>
  </si>
  <si>
    <t>-18.20%</t>
  </si>
  <si>
    <t>661692547123</t>
  </si>
  <si>
    <t>Cosmesis Triple Action Vitamin C Cream - Get Youthful Skin with Collagen Synthesis, Hydration &amp; Blemish Reduction - 1oz</t>
  </si>
  <si>
    <t>B0BZFDSDCC</t>
  </si>
  <si>
    <t>-19.55%</t>
  </si>
  <si>
    <t>Miracle Wrinkle Repair Serum</t>
  </si>
  <si>
    <t>Paula's Choice RESIST Intensive Wrinkle-Repair Retinol Serum, Squalane, Vitamin C &amp; E, Anti-Aging &amp; Wrinkle Treatment, 1 Ounce</t>
  </si>
  <si>
    <t>B00TU7YIC0</t>
  </si>
  <si>
    <t>57.0</t>
  </si>
  <si>
    <t>-21.05%</t>
  </si>
  <si>
    <t>4387192733769</t>
  </si>
  <si>
    <t>Planet Eden 20% Gly-Lactic Face and Body Skin Cream Lotion - 10% Glycolic and 10% lactic Acid for Exfoliation (8 oz)</t>
  </si>
  <si>
    <t>B08JJP1ZXV</t>
  </si>
  <si>
    <t>-22.41%</t>
  </si>
  <si>
    <t>DNA CODE Skin Care OIL FREE-DMAE+MSM+NIACIN Firming Moisturizer, 100% Pure Hyaluronic Acid +Matrixyl 3000</t>
  </si>
  <si>
    <t>B06XS4SYGV</t>
  </si>
  <si>
    <t>-24.02%</t>
  </si>
  <si>
    <t>Multi Peptide Cream</t>
  </si>
  <si>
    <t>REJUVENATE Growth Factor Serum for Face, Epidermal Growth Factor EGF Serum for Face, Multi-Peptide Cream with Collagen Stimulators, Anti Aging, Tightens, Lifts, Hydrating Stem Cell Serum for Face</t>
  </si>
  <si>
    <t>B07YZNP7QZ</t>
  </si>
  <si>
    <t>64.0</t>
  </si>
  <si>
    <t>-25.39%</t>
  </si>
  <si>
    <t>661689696307</t>
  </si>
  <si>
    <t>Hyalogic Lactic Acid 10% Serum for Face with Hyaluronic Acid &amp; Essential Oils – Non-Abrasive Face Exfoliant- For Clearer &amp; Radiant Skin (1 fl. oz.)</t>
  </si>
  <si>
    <t>B07W44W57H</t>
  </si>
  <si>
    <t>-31.07%</t>
  </si>
  <si>
    <t>Hyaluronic Cream</t>
  </si>
  <si>
    <t>Honest Beauty Hydrogel Cream with Hyaluronic Acid, Jojoba, + Squalane | Oil Free, Lightweight, Moisturizing | EWG Verified, Vegan + Cruelty Free | 1.7 fl oz</t>
  </si>
  <si>
    <t>B07M7C2MPJ</t>
  </si>
  <si>
    <t>661688418355</t>
  </si>
  <si>
    <t>-31.21%</t>
  </si>
  <si>
    <t>-31.79%</t>
  </si>
  <si>
    <t>Overnight Collagen Mask</t>
  </si>
  <si>
    <t>NOACIER Overnight Hydrolyzed Collagen Facial Mask – Anti Aging, Hydrating Face Cream or Moisturizer Helps Plump, Smooth, &amp; Brighten Skin – Infused with Squalane Oil, Peptides, &amp; Glycerin, 2 Oz.</t>
  </si>
  <si>
    <t>B08C8SBGJP</t>
  </si>
  <si>
    <t>37.0</t>
  </si>
  <si>
    <t>-32.46%</t>
  </si>
  <si>
    <t>4389877284937</t>
  </si>
  <si>
    <t>Ialuset Hyaluronic Acid Cream - 100% Pure, Undiluted - 3.3 ounces (100 g)</t>
  </si>
  <si>
    <t>B01HNCUT0I</t>
  </si>
  <si>
    <t>Reviva's Nasolabial Fold+ Multi-Peptide Complex 2oz | This potent Anti-Aging Cream helps combat, fine lines, deep wrinkles, and visibly improves slackened skin</t>
  </si>
  <si>
    <t>B0007UC7C2</t>
  </si>
  <si>
    <t>-37.52%</t>
  </si>
  <si>
    <t>AHA 10% Lactic Acid Liquid Gel Daily Exfoliating Clearing Serum for Pigmentation, Sun Damage, Keratosis Pilaris, Pimples, Anti Aging &amp; Fine Lines for Acne-Free, and Smooth Skin 1 oz - Divulge Beauty</t>
  </si>
  <si>
    <t>B084QGT8YX</t>
  </si>
  <si>
    <t>-38.10%</t>
  </si>
  <si>
    <t>Le Mieux Vita-C Clear Skin Pad - Triple-Action Facial Exfoliant Pads with Glycolic Acid Pads &amp; Antioxidant Vitamin C (2 oz / 30 pads)</t>
  </si>
  <si>
    <t>B07G1R5914</t>
  </si>
  <si>
    <t>-38.24%</t>
  </si>
  <si>
    <t>wellage Real Hyaluronic Cream 100-100% Pure Hyaluronic Acid Face Moisturizer - Powerful Moisturizing &amp; Firming for Dry Skin - Lightweight Gel Cream, 2.7oz.</t>
  </si>
  <si>
    <t>B0BYMJNZJ7</t>
  </si>
  <si>
    <t>-39.13%</t>
  </si>
  <si>
    <t>First Aid Beauty Facial Radiance Pads – Daily Exfoliating Pads with AHA that Help Tone &amp; Brighten Skin – Compostable for Daily Use – 28 Pads</t>
  </si>
  <si>
    <t>B0CBL5NSP6</t>
  </si>
  <si>
    <t>-39.39%</t>
  </si>
  <si>
    <t>-39.48%</t>
  </si>
  <si>
    <t>TMR Cosmetics Vitamin C Serum for Face – Skin Brightening Serum with 12 Percent Pure Vitamin C, Helps Reduce the Appearance of Wrinkles and Age Spots for Glowing Skin (30ml)</t>
  </si>
  <si>
    <t>B098LT1WFK</t>
  </si>
  <si>
    <t>-41.77%</t>
  </si>
  <si>
    <t>COSRX Hyaluronic Acid Moisturizing Cream, Long-lasting Hydration, Rich Moisturizer for Sensitive Skin 3.53 oz / 100g, Korean Skin Care, Animal Testing Free, Parabens Free</t>
  </si>
  <si>
    <t>B072FH17NJ</t>
  </si>
  <si>
    <t>-42.17%</t>
  </si>
  <si>
    <t>Retinol Cream</t>
  </si>
  <si>
    <t>LilyAna Naturals Retinol Cream - Made in USA, Anti Aging Moisturizer for Face and Neck,Wrinkle, Retinol Complex - 1.7oz</t>
  </si>
  <si>
    <t>B01ES349CY</t>
  </si>
  <si>
    <t>-43.16%</t>
  </si>
  <si>
    <t>661689761843</t>
  </si>
  <si>
    <t>RoC Retinol Correxion Max Daily Hydration Anti-Aging Daily Face Moisturizer with Hyaluronic Acid, Oil Free Skin Care Cream for Fine Lines, Dark Spots, Post-Acne Scars, 1.7 oz (Packaging May Vary)</t>
  </si>
  <si>
    <t>B0744JV661</t>
  </si>
  <si>
    <t>-43.25%</t>
  </si>
  <si>
    <t>L'Oreal Paris Revitalift 12% Pure Vitamin C Serum, Vitamin E, Salicylic Acid, Brightening 1 oz + Moisturizer Sample</t>
  </si>
  <si>
    <t>B0B645WSPG</t>
  </si>
  <si>
    <t>-45.90%</t>
  </si>
  <si>
    <t>Neck Cream, Skin Tightening Cream, Neck Firming Cream Improves Skin Elasticity and Reduce Neck Lines, Double Chin Reducer, Anti Aging Moisturizer for Neck &amp; Décolleté - Day &amp; Night Skin Firming and Tightening Lotion, Korean Skin Care 1.7 FL OZ</t>
  </si>
  <si>
    <t>B0BCKYQS3J</t>
  </si>
  <si>
    <t>-47.95%</t>
  </si>
  <si>
    <t>Elastalift Hyaluronic Acid Moisturizer Body Lotion | Anti Aging Skin Care Body Cream &amp; Face Lotion Diminishes Look Of Wrinkles, Sagging Skin, Crepey Skin, Cellulite, Stretch Marks, Dry Skin, 15 Fl Oz</t>
  </si>
  <si>
    <t>B088KRDZ2H</t>
  </si>
  <si>
    <t>-48.31%</t>
  </si>
  <si>
    <t>Goldfaden MD Brightening Elixir | Serum w/Vitamin C, Ferulic Acid, Vitamin B &amp; Vitamin E | Helps Aid Against Appearance of Photoaging | Leaves Skin Feeling Hydrated &amp; Looking Radiant TRIAL .34 Fl Oz</t>
  </si>
  <si>
    <t>B002LDXUVU</t>
  </si>
  <si>
    <t>-49.09%</t>
  </si>
  <si>
    <t>Mad Hippie Vitamin C Serum for Face with Hyaluronic Acid, Vitamin E &amp; Ferulic Acid - Vitamin C Face Serum for Women/Men, Skin-Brightening Serum, 1.02 Fl Oz</t>
  </si>
  <si>
    <t>B00DKF7XPW</t>
  </si>
  <si>
    <t>-49.11%</t>
  </si>
  <si>
    <t>Physicians Formula RefreshMint Cucumber &amp; Bamboo Eye De-Puffer Stick | Under Eye Cream for Dark Circles and Puffiness | Dermatologist Tested</t>
  </si>
  <si>
    <t>B077PR1PNW</t>
  </si>
  <si>
    <t>-50.05%</t>
  </si>
  <si>
    <t>Neck Firming Cream, Double Chin Reducer, Skin Tightening, Anti Aging Moisturizer for Neck &amp; Décolleté with Retinol Collagen &amp; Hyaluronic Acid-Lifting, Firming &amp; Hydrating Neck Cream - 1.7 FL OZ</t>
  </si>
  <si>
    <t>B0B28615TM</t>
  </si>
  <si>
    <t>-50.11%</t>
  </si>
  <si>
    <t>CeraVe Skin Renewing Night Cream | Niacinamide, Peptide Complex, and Hyaluronic Acid Moisturizer for Face | 1.7 Ounce, Packaging may Vary</t>
  </si>
  <si>
    <t>B00SNPCSUY</t>
  </si>
  <si>
    <t>-50.21%</t>
  </si>
  <si>
    <t>St. Ives Clear Skin Lotion - 3-in-1 SPF 25 Face Moisturizer for Acne Prone, Oily, or Combo Skin, Lightweight Sheer Daily Face Lotion with Tea Tree Extract &amp; Witch Hazel, 3 Fl Oz</t>
  </si>
  <si>
    <t>B09DDCX9TX</t>
  </si>
  <si>
    <t>-50.78%</t>
  </si>
  <si>
    <t>Organic Argan Oil from Kate Blanc. 100% Pure, Coldpressed, and USDA Certified Organic. Stimulate Growth for Dry and Damaged Hair. Skin Moisturizer. Nails Protector (Light 4oz)</t>
  </si>
  <si>
    <t>B06WWLKQX5</t>
  </si>
  <si>
    <t>-51.67%</t>
  </si>
  <si>
    <t>Retinol Cream for Face - Collagen and Retinol Moisturizer with Hyaluronic Acid, Day-Night Anti-Aging Retinol Face Moisturizer for Women, Men, Collagen Cream for Face Reduces Wrinkles, Dryness, 1.85 Oz</t>
  </si>
  <si>
    <t>B09TTNWNQL</t>
  </si>
  <si>
    <t>-53.83%</t>
  </si>
  <si>
    <t>SilverCeuticals Triple Action Nano Silver Immune Gummies - Berry Lemonade - Vitamin C &amp; D - Elderberry - Zinc - 3rd Party Tested - Non-GMO - Gluten &amp; Gelatin Free - Natural Flavor - 60 Count</t>
  </si>
  <si>
    <t>B0C7WG3K4Z</t>
  </si>
  <si>
    <t>-54.56%</t>
  </si>
  <si>
    <t>LEMCUH Neck Firming Cream, Neck Cream, Neck Firming Cream Tightening Lifting Sagging Skin, Tighten &amp; Lift Neck Firming Cream, Skin Tightening Cream &amp; Anti Aging Moisturizer for Neck &amp; Décolleté</t>
  </si>
  <si>
    <t>B0C8L9CXFY</t>
  </si>
  <si>
    <t>-54.57%</t>
  </si>
  <si>
    <t>Retinol Cream for Face - Facial Moisturizer with Collagen Cream and Hyaluronic Acid, Anti-Wrinkle Reduce Fine Lines with Vitamin C+E Natural-Ingredient Day and Night Anti-Aging Cream For Women and Men</t>
  </si>
  <si>
    <t>B0B5TBVX6C</t>
  </si>
  <si>
    <t>Premium Nature Argan Oil for Hair, Virgin, 100% Pure, Cold Pressed Argon Oil Hair Serum For Hair Stimulate Growth for Dry and Damaged Hair. Argan Oil for Skin Body Moisturizer. Nails Protector 4 oz</t>
  </si>
  <si>
    <t>B08KTGQCGV</t>
  </si>
  <si>
    <t>-54.58%</t>
  </si>
  <si>
    <t>e.l.f. SKIN Holy Hydration! Face Cream, Moisturizer For Nourishing &amp; Plumping Skin, Infused With Hyaluronic Acid, Vegan &amp; Cruelty-Free, 1.8 Oz</t>
  </si>
  <si>
    <t>B08127SC4G</t>
  </si>
  <si>
    <t>-56.41%</t>
  </si>
  <si>
    <t>BIODANCE Bio-Collagen Real Deep Mask, Overnight Mask, Hydrogel Mask Sheet, Pore Tightening, Hydrating, Low Molecular Collagen Face Mask | 34g x4ea</t>
  </si>
  <si>
    <t>B0B2RM68G2</t>
  </si>
  <si>
    <t>-56.76%</t>
  </si>
  <si>
    <t>Retinol Cream for Face - Anti-Aging Face Moisturizer - Retinol Cream with Hyaluronic Acid - Moisturizer for Dry Skin - Collagen Face Cream for Fine Lines - Day and Night Retinol Moisturizer for Face</t>
  </si>
  <si>
    <t>B08FBFDYR8</t>
  </si>
  <si>
    <t>-56.93%</t>
  </si>
  <si>
    <t>No7 Lift &amp; Luminate Triple Action Face Serum - Collagen Peptide Anti-Wrinkle Serum + Brightening Emblica &amp; Vitamin C Face Serum + Pro Retinol Skin Firming Hyaluronic Acid &amp; Hibiscus (30ml)</t>
  </si>
  <si>
    <t>B07R4XBR83</t>
  </si>
  <si>
    <t>-57.27%</t>
  </si>
  <si>
    <t>L'Oreal Paris Revitalift Derm Intensives Derm Grade 12% Vitamin C + E + Salicylic Serum, 1.0 Fl. Oz., 0.32 pounds</t>
  </si>
  <si>
    <t>B0BMJVWLTK</t>
  </si>
  <si>
    <t>-57.81%</t>
  </si>
  <si>
    <t>SeoulCeuticals Korean Skin Care Beauty - 20% Vitamin C Hyaluronic Acid Serum + CE Ferulic Acid Provides Potent Anti Aging, Anti Wrinkle 1oz</t>
  </si>
  <si>
    <t>B072K1LNNY</t>
  </si>
  <si>
    <t>-58.33%</t>
  </si>
  <si>
    <t>No7 Lift &amp; Luminate Triple Action Night Cream - Anti Aging and Wrinkle Cream with Vitamin C For Face - Hydrating Night Cream With Hyaluronic Acid &amp; Hibiscus + Collagen For Skin (50ml)</t>
  </si>
  <si>
    <t>B0B174QZGX</t>
  </si>
  <si>
    <t>-58.45%</t>
  </si>
  <si>
    <t>Neutrogena Rapid Wrinkle Repair 0.3% Concentrated Retinol Face Oil, Daily Anti-Aging Face Serum to Fight Fine Lines, Deep Wrinkles, &amp; Dark Spots, 1.0 fl. oz</t>
  </si>
  <si>
    <t>B07GPZYZBC</t>
  </si>
  <si>
    <t>-58.46%</t>
  </si>
  <si>
    <t>No7 Restore &amp; Renew Face &amp; Neck Multi Action Serum - Collagen Anti Aging Facial Serum - Hyaluronic Acid Hydrating Serum + Pro Retinol Skin &amp; Neck Firming Hibiscus Peptides (50ml)</t>
  </si>
  <si>
    <t>B072FCDDHJ</t>
  </si>
  <si>
    <t>-58.60%</t>
  </si>
  <si>
    <t>Evolve Organic Beauty - Natural Multi Peptide 360 Anti-Aging Cream | Small-Batch, Vegan Clean Beauty (1 oz | 30 mL)</t>
  </si>
  <si>
    <t>B09ZJ6KJR3</t>
  </si>
  <si>
    <t>-59.38%</t>
  </si>
  <si>
    <t>No7 Lift &amp; Luminate Triple Action Face Serum - Collagen Peptide Anti Wrinkle Serum + Brightening Emblica &amp; Vitamin C Face Serum + Pro Retinol Skin Firming Hyaluronic Acid &amp; Hibiscus (30ml)</t>
  </si>
  <si>
    <t>B01GQVAVKA</t>
  </si>
  <si>
    <t>-60.36%</t>
  </si>
  <si>
    <t>Vanicream Vitamin C Serum - Free of Dyes, Fragrance, Masking Fragrance, Lanolin, Parabens &amp; Formaldehyde Releasers - For Sensitive Skin - 1.2 Fl Oz</t>
  </si>
  <si>
    <t>B0BJ4GZTK1</t>
  </si>
  <si>
    <t>-60.44%</t>
  </si>
  <si>
    <t>Pacifica Beauty, Glow Baby Brightening Peel Pads 10 Percent AHA And BHA, 60 Pc, Brightens And Exfoliates, For All Skin Types, Fragrance Free, Clean Skin Care, Vegan and Cruelty Free</t>
  </si>
  <si>
    <t>B08P8K2M6Z</t>
  </si>
  <si>
    <t>-60.64%</t>
  </si>
  <si>
    <t>PURA D'OR Organic Moroccan Argan Oil (4oz / 118mL) USDA Certified 100% Pure Cold Pressed Virgin Premium Grade Moisturizer Treatment for Dry, Damaged Skin, Hair, Face, Body, Scalp (Packaging may vary)</t>
  </si>
  <si>
    <t>B004Z209HS</t>
  </si>
  <si>
    <t>Neutrogena Rapid Wrinkle Repair Retinol Night Face Moisturizer, Daily Anti-Aging Face Cream with Retinol &amp; Hyaluronic Acid to Fight Fine Lines &amp; Wrinkles, 1 fl. oz</t>
  </si>
  <si>
    <t>B004D2C4Q4</t>
  </si>
  <si>
    <t>-61.57%</t>
  </si>
  <si>
    <t>Multi-Technology Peptide Serum Formally Known as Buffet Serum 30 milliliters 1 fl oz Pack of 2</t>
  </si>
  <si>
    <t>B07CNFMYYD</t>
  </si>
  <si>
    <t>-62.93%</t>
  </si>
  <si>
    <t>The Crème Shop Korean Skincare | Overnight Gel Mask for Moisturizing and Hydrating, Anti-Aging, Brightening, Relief facial skin care - 2.36 oz (Collagen)</t>
  </si>
  <si>
    <t>B072R4C8DP</t>
  </si>
  <si>
    <t>-63.46%</t>
  </si>
  <si>
    <t>15% Pure Vitamin C + B E Ferulic Hyaluronic Acid Face Serum | Antioxidant &amp; Anti-aging | Reduce Wrinkles + Fine Lines + Sun Damage | Boost Collagen &amp; Clarity | Gentle for Sensitive Skin - 1oz</t>
  </si>
  <si>
    <t>B08BNFG471</t>
  </si>
  <si>
    <t>Vitamin C Face Serum - CE Ferulic Facial Serum with 15% Pure L-Ascorbic Acid, Ferulic Acid, Vitamin E, &amp; Hyaluronic Acid - Anti Aging, Anti Wrinkle Skin Brightening Serum, Dark Spot Corrector, 30ml/1oz.</t>
  </si>
  <si>
    <t>B0BVRP97DV</t>
  </si>
  <si>
    <t>-63.65%</t>
  </si>
  <si>
    <t>NIVEA Skin Firming and Anti Wrinkle Neck and Chest Cream, 24-Hour Moisturizing Body Cream Reduces the Look of Fine Lines and Wrinkles, 6.7 Oz Tube</t>
  </si>
  <si>
    <t>B0CF2TGX9K</t>
  </si>
  <si>
    <t>-63.66%</t>
  </si>
  <si>
    <t>Matrixyl 3000 + Argireline, Vitamin C, Hyaluronic Acid Serum, Anti-Aging Face Serum, Anti-Wrinkle Serum for face, Multi Peptide Firming Serum - 8oz</t>
  </si>
  <si>
    <t>B0C8W71689</t>
  </si>
  <si>
    <t>-64.36%</t>
  </si>
  <si>
    <t>Minimalist 10% AHA BHA Exfoliating Serum For Beginners | AHAs (Lactic Acid &amp; Glycolic Acid) &amp; BHA (Salicylic Acid) Serum (30 ml)</t>
  </si>
  <si>
    <t>B08GG5X3WZ</t>
  </si>
  <si>
    <t>-65.55%</t>
  </si>
  <si>
    <t>Medix 10% Glycolic Acid Face Peel Exfoliating Serum W/Lactic Acid + Salicylic Acid | Gentle Skin Care Exfoliate Facial Peel Treatment Targets Fine Lines, Wrinkles, Large Pores, Age Spots |1.75 FL Oz</t>
  </si>
  <si>
    <t>B08KSK1ZY6</t>
  </si>
  <si>
    <t>No7 Restore &amp; Renew Multi Action Face &amp; Neck Night Cream - Collagen Peptide Anti Aging Face Cream - Hydrating Hyaluronic Acid + Skin Firming Fragrance Free (50ml)</t>
  </si>
  <si>
    <t>B0B988NPBF</t>
  </si>
  <si>
    <t>-65.78%</t>
  </si>
  <si>
    <t>Hyaluronic Acid Serum for Skin 100% Pure Anti Aging Serum Intense Hydration Moisture Non greasy Paraben free, Wrinkle Reducing and Brightening Serum (Pro Formula) 2oz</t>
  </si>
  <si>
    <t>B0090UJFYI</t>
  </si>
  <si>
    <t>-67.43%</t>
  </si>
  <si>
    <t>Retinol Cream for Face with Collagen and Hyaluronic Acid - Night and Day Anti Aging Face Moisturizer for Women - Helps with Fine Lines, Dry Skin, Wrinkles - For All Skin Types - American Quality. (1.7 FlOz (Pack of 1) - Retinol)</t>
  </si>
  <si>
    <t>B0C78G8TXK</t>
  </si>
  <si>
    <t>-68.20%</t>
  </si>
  <si>
    <t>Valjean Labs Renew Sleeping Mask | Collagen + Fruit Enzymes | Helps to Hydrate, Soften, Exfoliate Skin Overnight | Cruelty Free, Paraben Free, Made in USA (3.5 oz)</t>
  </si>
  <si>
    <t>B07K3579DK</t>
  </si>
  <si>
    <t>-68.38%</t>
  </si>
  <si>
    <t>ROLANYIN Lactic Acid 5% + HA Exfoliator Serum</t>
  </si>
  <si>
    <t>B0BZYDRPFP</t>
  </si>
  <si>
    <t>-69.03%</t>
  </si>
  <si>
    <t>-69.57%</t>
  </si>
  <si>
    <t>Sheamoisture Multi-Tasking Oil for Smooth Hair and Skin 100% Pure Argan Oil Head-to-Toe Formula 1.6 Fl Oz</t>
  </si>
  <si>
    <t>B07NQKB9WF</t>
  </si>
  <si>
    <t>-69.73%</t>
  </si>
  <si>
    <t>Cliganic Organic Argan Oil, 100% Pure - for Hair, Face &amp; Skin | Cold Pressed Carrier Oil</t>
  </si>
  <si>
    <t>B07QBLQ7V6</t>
  </si>
  <si>
    <t>Pure Body Naturals Argan Oil for Skin and Face, 4 fl oz - Cold Pressed, Light, Pure Argan Oil for Hair - Aceite de Argan</t>
  </si>
  <si>
    <t>B00OR0UE00</t>
  </si>
  <si>
    <t>HSBCC Neck firming cream with peptides, Neck Cream, Neck Moisturizer Cream 2 fl oz.</t>
  </si>
  <si>
    <t>B0811DRT92</t>
  </si>
  <si>
    <t>-70.02%</t>
  </si>
  <si>
    <t>HEMPWAY Elderberry Gummies | Supports Immune System | Triple Action with 200% Vitamin C &amp; Zinc | for Adults &amp; Kids | All Natural No Fructose, No Corn Syrup | Made in USA | 30 ct Vegan</t>
  </si>
  <si>
    <t>B08M364DFX</t>
  </si>
  <si>
    <t>ACURE Radically Rejuvenating Whipped Night Cream - Anti-Aging Support, Multi-Peptides, Ferulic Acid &amp; Vitamin C - Ultimate Night Repair, Hydrate and Rejuvenate - Vegan Plant Based-Infused - 1.7 Fl Oz</t>
  </si>
  <si>
    <t>B07NJ4H5S3</t>
  </si>
  <si>
    <t>-72.03%</t>
  </si>
  <si>
    <t>Conscious Chemist Multi Peptide Retinol Face Cream | Anti Aging Night Cream | Lightweight Gel Moisturiser for Neck Lines, Fine Lines and Wrinkles | All Skin Types | Fragrance Free, Cruelty Free | 50ml</t>
  </si>
  <si>
    <t>B09TLB8FQ4</t>
  </si>
  <si>
    <t>-73.45%</t>
  </si>
  <si>
    <t>Eva Naturals Collagen Peptide Serum - Anti Aging Collagen Serum for Face, Reduces Fine Lines &amp; Wrinkles, Heals, and Repairs Skin, Microneedling Serum with Aloe Vera &amp; Hyaluronic Acid (2 oz)</t>
  </si>
  <si>
    <t>B013O70Z3M</t>
  </si>
  <si>
    <t>-73.70%</t>
  </si>
  <si>
    <t>Emergen-C Immune+ Triple Action Immune Support Powder, BetaVia (R), 1000mg Vitamin C, B Vitamins, Vitamin D and Antioxidants, Super Orange – 30 Count</t>
  </si>
  <si>
    <t>B00NNR38JC</t>
  </si>
  <si>
    <t>-73.75%</t>
  </si>
  <si>
    <t>Naturium Multi-Peptide Eye Cream Plus Squalene &amp; Hyaluronic Acid, Smoothing &amp; Anti-Aging Skincare, 0.5 oz</t>
  </si>
  <si>
    <t>B09KHK2BM1</t>
  </si>
  <si>
    <t>-75.02%</t>
  </si>
  <si>
    <t>MOUNTAIN TOP Argan Oil USDA Organic 100% Pure Cold Pressed Unrefined - Premium Grade Pure Moisturizer for Dry &amp; Damaged Skin, Hair, Face, Body, Scalp &amp; Nails</t>
  </si>
  <si>
    <t>B07YWT34VD</t>
  </si>
  <si>
    <t>-77.45%</t>
  </si>
  <si>
    <t>1 oz. Hyaluronic Acid Serum For Skin, Made with 100% Pure Hyaluronic Acid, Plumping, Anti-Aging, Hydrating, Moisturizing HA Serum With Vitamin B5 by Dr. Brenner</t>
  </si>
  <si>
    <t>B079G6MF1B</t>
  </si>
  <si>
    <t>-78.28%</t>
  </si>
  <si>
    <t>Hyaluronic Acid Serum for Skin- 100% Pure-Anti-Aging Serum-Intense Hydration + Moisture, Non-greasy, Paraben-free-Hyaluronic Acid for Your Face (Pro Formula)</t>
  </si>
  <si>
    <t>B00CLILRMY</t>
  </si>
  <si>
    <t>Anti Aging Wrinkle Filler of 100% Pure Hyaluronic Acid for Face - No Alcohol, No Parabens, Vegan &amp; USA - Hyaluronic Levels Simply Decrease with Age Causing Sagging, Wrinkles, Dry Skin &amp; Fine Lines</t>
  </si>
  <si>
    <t>B005XP4YNQ</t>
  </si>
  <si>
    <t>-79.37%</t>
  </si>
  <si>
    <t>Good Molecules Gentle Retinol Cream 30ml/1oz - Night Cream With Retinol And Bakuchiol - Anti-Aging Skincare For Face Minimize Fine Lines, Wrinkles, Breakouts, Enlarged Pores, Hyperpigmentation</t>
  </si>
  <si>
    <t>B09BST7MMP</t>
  </si>
  <si>
    <t>-81.82%</t>
  </si>
  <si>
    <t>Versace bright crystal by gianni versace body lotion 6.7 oz</t>
  </si>
  <si>
    <t>Versace Bright Crystal By Gianni Versace Gift Set For Women Edt Spray 3 Oz &amp; Body Lotion 3.4 Oz (Travel Offer)</t>
  </si>
  <si>
    <t>B00BOJV0KK</t>
  </si>
  <si>
    <t>59.39</t>
  </si>
  <si>
    <t>39.74%</t>
  </si>
  <si>
    <t>6773434286152</t>
  </si>
  <si>
    <t>White tea by elizabeth arden shower gel 13.5 oz</t>
  </si>
  <si>
    <t>White Tea by Elizabeth Arden, Women's Body Lotion, Pure Indulgence, 13.5 Oz</t>
  </si>
  <si>
    <t>B01N4LCTIY</t>
  </si>
  <si>
    <t>25.93%</t>
  </si>
  <si>
    <t>6772303560776</t>
  </si>
  <si>
    <t>Green tea by elizabeth arden shower gel 6.8 oz</t>
  </si>
  <si>
    <t>Green Tea by Elizabeth Arden, Women's Refreshing Body Lotion, Green Tea Extract, 6.8 Oz</t>
  </si>
  <si>
    <t>B0020MM7K2</t>
  </si>
  <si>
    <t>15.3</t>
  </si>
  <si>
    <t>24.18%</t>
  </si>
  <si>
    <t>6772301267016</t>
  </si>
  <si>
    <t>Versace Versace Bright Crystal Women 1oz EDT Spray, 1.7oz Body Lotion 2 Pc Gift Set</t>
  </si>
  <si>
    <t>B07YZJMKLV</t>
  </si>
  <si>
    <t>-7.85%</t>
  </si>
  <si>
    <t>L'air du temps by nina ricci shower gel 6.8 oz</t>
  </si>
  <si>
    <t>Nina Ricci L'air Du Temps Perfumed Bath &amp; Shower Gel-6.7 oz.</t>
  </si>
  <si>
    <t>B001B1GRB8</t>
  </si>
  <si>
    <t>62.99</t>
  </si>
  <si>
    <t>-8.08%</t>
  </si>
  <si>
    <t>6772304904264</t>
  </si>
  <si>
    <t>L'air du Temps by Nina Ricci for Women 3.3 oz Eau de Toilette Spray</t>
  </si>
  <si>
    <t>B0BSL4SV85</t>
  </si>
  <si>
    <t>-15.15%</t>
  </si>
  <si>
    <t>Bright Crystal/Versace Body Lotion 6.7 Oz (W)</t>
  </si>
  <si>
    <t>B0018S4A7M</t>
  </si>
  <si>
    <t>-16.47%</t>
  </si>
  <si>
    <t>L'AIR DU TEMPS by Nina Ricci Eau De Toilette Spray with B/Cap 1 oz</t>
  </si>
  <si>
    <t>B002SUJ1K0</t>
  </si>
  <si>
    <t>-30.48%</t>
  </si>
  <si>
    <t>Versace Bright Crystal By Gianni Versace For Women, Body Lotion, 6.7-Ounce Bottle</t>
  </si>
  <si>
    <t>B000VOJIQM</t>
  </si>
  <si>
    <t>-35.07%</t>
  </si>
  <si>
    <t>Versace Bright Crystal 3 Piece Mini Set: .8 oz B&amp;S Gel.17 EDT.8 oz Body Lotion</t>
  </si>
  <si>
    <t>B007UGQ3I0</t>
  </si>
  <si>
    <t>-37.72%</t>
  </si>
  <si>
    <t>Nina Ricci Gentle Shower Gel, L'air Du Temps, 6.8 Ounce</t>
  </si>
  <si>
    <t>B000Q2YBDO</t>
  </si>
  <si>
    <t>-39.67%</t>
  </si>
  <si>
    <t>L'air Du Temps By Nina Ricci For Women. Eau De Toilette Spray 1.7 Oz</t>
  </si>
  <si>
    <t>B000XDY6PO</t>
  </si>
  <si>
    <t>-44.45%</t>
  </si>
  <si>
    <t>VERSACE CRYSTAL NOIR by Gianni Versace Gift Set for WOMEN: EDT .17 OZ MINI &amp; BODY LOTION .8 OZ &amp; SHOWER GEL .8 OZ</t>
  </si>
  <si>
    <t>B004JAK1JW</t>
  </si>
  <si>
    <t>-49.52%</t>
  </si>
  <si>
    <t>L'AIR DU TEMPS by Nina Ricci - Eau De Toilette Spray with B/Cap 1 oz - Women</t>
  </si>
  <si>
    <t>B00EOP8VZI</t>
  </si>
  <si>
    <t>-59.04%</t>
  </si>
  <si>
    <t>Mustang by estee lauder aftershave 1 oz</t>
  </si>
  <si>
    <t>MUSTANG BLUE by Estee Lauder COLOGNE SPRAY 3.4 OZ for MEN</t>
  </si>
  <si>
    <t>B004UHW70A</t>
  </si>
  <si>
    <t>11.7</t>
  </si>
  <si>
    <t>264.87%</t>
  </si>
  <si>
    <t>6769976311880</t>
  </si>
  <si>
    <t>Mustang blue by estee lauder body spray 6.8 oz</t>
  </si>
  <si>
    <t>12.59</t>
  </si>
  <si>
    <t>239.08%</t>
  </si>
  <si>
    <t>6769976377416</t>
  </si>
  <si>
    <t>Eau du soir by sisley deodorant spray 5 oz</t>
  </si>
  <si>
    <t>Sisley Eau Du Soir Eau De Parfum Spray 3oz/ 100 Ml for Women By 3fl Oz</t>
  </si>
  <si>
    <t>B00022DIO6</t>
  </si>
  <si>
    <t>63.89</t>
  </si>
  <si>
    <t>94.79%</t>
  </si>
  <si>
    <t>6769981784136</t>
  </si>
  <si>
    <t>Versace bright crystal by gianni versace deodorant stick 1.7 oz</t>
  </si>
  <si>
    <t>VERSACE BRIGHT CRYSTAL by Gianni Versace EDT SPRAY 1.7 OZ</t>
  </si>
  <si>
    <t>B00BOJGEF6</t>
  </si>
  <si>
    <t>37.8</t>
  </si>
  <si>
    <t>55.19%</t>
  </si>
  <si>
    <t>6773433958472</t>
  </si>
  <si>
    <t>Eau Du Soir By Sisley For Women. Eau De Parfum Spray 1 OZ</t>
  </si>
  <si>
    <t>B000JLAR9Y</t>
  </si>
  <si>
    <t>42.12%</t>
  </si>
  <si>
    <t>Red door by elizabeth arden deodorant cream 1.5 oz</t>
  </si>
  <si>
    <t>Blue Grass Perfume By Elizabeth Arden Cream Deodorant Stick Perfume for Women 1.5 oz Cream Deodorant Stick [Happy shopping]</t>
  </si>
  <si>
    <t>B09JNSKDJR</t>
  </si>
  <si>
    <t>10.79</t>
  </si>
  <si>
    <t>11.12%</t>
  </si>
  <si>
    <t>6772302020680</t>
  </si>
  <si>
    <t>Green tea by elizabeth arden deodorant cream 1.5 oz</t>
  </si>
  <si>
    <t>10.8</t>
  </si>
  <si>
    <t>11.02%</t>
  </si>
  <si>
    <t>6772301365320</t>
  </si>
  <si>
    <t>Blue grass by elizabeth arden deodorant cream 1.5 oz</t>
  </si>
  <si>
    <t>1.5 oz Cream Deodorant SticK Blue Grass Perfume By Elizabeth Arden Cream Deodorant SticK Perfume for Women [Preferred commodity], t-fex-417507</t>
  </si>
  <si>
    <t>B09HTNSWN5</t>
  </si>
  <si>
    <t>6.58%</t>
  </si>
  <si>
    <t>6772301627464</t>
  </si>
  <si>
    <t>6.48%</t>
  </si>
  <si>
    <t>Eau de private collection by estee lauder fragrance spray 1.7 oz</t>
  </si>
  <si>
    <t>Estee Lauder Private Collection Tuberose Gardenia Eau De Parfum Spray - 30ml/1oz</t>
  </si>
  <si>
    <t>B004ZQ8VUG</t>
  </si>
  <si>
    <t>108.89</t>
  </si>
  <si>
    <t>4.69%</t>
  </si>
  <si>
    <t>6769976508488</t>
  </si>
  <si>
    <t>Bed head men by tigi balm down cooling aftershave 4.2 oz</t>
  </si>
  <si>
    <t>TIGI Bed Head Balm Down Cooling Aftershave for Men - 4.22 Oz After Shave, 4.22 Oz</t>
  </si>
  <si>
    <t>B06VXND8LX</t>
  </si>
  <si>
    <t>15.26</t>
  </si>
  <si>
    <t>-5.64%</t>
  </si>
  <si>
    <t>6769973854280</t>
  </si>
  <si>
    <t>Versace Bright Crystal by Versace for Women 1.7 oz Perfumed Deodorant Spray</t>
  </si>
  <si>
    <t>B000SSQJYU</t>
  </si>
  <si>
    <t>-23.65%</t>
  </si>
  <si>
    <t>Versace Yellow Diamond by Versace Deodorant Stick 1.7 oz Women</t>
  </si>
  <si>
    <t>B009RQTFPE</t>
  </si>
  <si>
    <t>-29.87%</t>
  </si>
  <si>
    <t>Private Collection By Estee Lauder For Women. Eau De Parfum Spray 1.7 oz</t>
  </si>
  <si>
    <t>B000P22T98</t>
  </si>
  <si>
    <t>-38.47%</t>
  </si>
  <si>
    <t>Eau De Private Collection By Estee Lauder Fragrance Spray 1.7 Oz Women</t>
  </si>
  <si>
    <t>B01MTJ0OSL</t>
  </si>
  <si>
    <t>-38.56%</t>
  </si>
  <si>
    <t>-44.49%</t>
  </si>
  <si>
    <t>Eau De Private Collection by Estee Lauder for Women Fragrance Spray, 1.7 Ounce</t>
  </si>
  <si>
    <t>B000NVCTMS</t>
  </si>
  <si>
    <t>-54.13%</t>
  </si>
  <si>
    <t>Sensuous by Estee Lauder for Women Eau De Parfum Spray 1.7 oz</t>
  </si>
  <si>
    <t>B00DDFJNYS</t>
  </si>
  <si>
    <t>-61.43%</t>
  </si>
  <si>
    <t>VERSACE BRIGHT CRYSTAL by Gianni Versace (WOMEN) -EDT 0.17 OZ MINI</t>
  </si>
  <si>
    <t>B07T4269V6</t>
  </si>
  <si>
    <t>-73.65%</t>
  </si>
  <si>
    <t>Obagi Professional C Serum 10%, Vitamin C Facial Serum with Concentrated 10% L Ascorbic Acid for Normal to Oily Skin, 1.0 Fl Oz.</t>
  </si>
  <si>
    <t>Obagi Professional C Serum 20%, Vitamin C Facial Serum with Concentrated 20% L Ascorbic Acid for Normal to Oily Skin, 1.0 Fl Oz Pack of 2</t>
  </si>
  <si>
    <t>B08D3W16BZ</t>
  </si>
  <si>
    <t>49.99</t>
  </si>
  <si>
    <t>382.90%</t>
  </si>
  <si>
    <t>6757616549960</t>
  </si>
  <si>
    <t>Atelier Cologne Oolang Infini Cologne, 3.3 Ounce</t>
  </si>
  <si>
    <t>Atelier Cologne Eau de Parfum, Oolang Infini, 6.7 Ounce</t>
  </si>
  <si>
    <t>B007PPGZTS</t>
  </si>
  <si>
    <t>346.19%</t>
  </si>
  <si>
    <t>6758114099272</t>
  </si>
  <si>
    <t>Obagi Professional C Serum 20%, Vitamin C Facial Serum with Concentrated 20% L Ascorbic Acid for Normal to Oily Skin, 1.0 Fl Oz</t>
  </si>
  <si>
    <t>59.99</t>
  </si>
  <si>
    <t>302.40%</t>
  </si>
  <si>
    <t>6757616451656</t>
  </si>
  <si>
    <t>3CE Mood Recipe Matte Lip Color, 909</t>
  </si>
  <si>
    <t>3CE MOOD RECIPE MATTE LIP COLOR # 222</t>
  </si>
  <si>
    <t>B0777JF4PR</t>
  </si>
  <si>
    <t>300.50%</t>
  </si>
  <si>
    <t>6771911360584</t>
  </si>
  <si>
    <t>3CE Mood Recipe Matte Lip Color, 116</t>
  </si>
  <si>
    <t>3CE MOOD RECIPE MATTE LIP COLOR #218</t>
  </si>
  <si>
    <t>B0777DZC8Q</t>
  </si>
  <si>
    <t>6771911327816</t>
  </si>
  <si>
    <t>3CE (3 Concept Eyes) Mood Recipe Matte Lip Color (#115)</t>
  </si>
  <si>
    <t>B01N52PM26</t>
  </si>
  <si>
    <t>La Mer Soft Fluid Foundation SF20 120</t>
  </si>
  <si>
    <t>LA MER The Soft Fluid Long Wear Foundation SPF20 30 ml.# Shell - for Light skin with Cool undertone</t>
  </si>
  <si>
    <t>B01MG7U45H</t>
  </si>
  <si>
    <t>300.08%</t>
  </si>
  <si>
    <t>6708763459656</t>
  </si>
  <si>
    <t>ELIXIR SUPERIEUR Enriched Wrinkle Cream L 22g</t>
  </si>
  <si>
    <t>Japan Health and Beauty - Shiseido Elixir Superieur Enriched cream CB 45g csAF27</t>
  </si>
  <si>
    <t>B016VYIAYQ</t>
  </si>
  <si>
    <t>287.57%</t>
  </si>
  <si>
    <t>6771755614280</t>
  </si>
  <si>
    <t>Obagi Professional C Serum 15%, Vitamin C Facial Serum with Concentrated 15% L Ascorbic Acid for Normal to Oily Skin 1.0 Fl Oz</t>
  </si>
  <si>
    <t>B08D3XBXCJ</t>
  </si>
  <si>
    <t>283.40%</t>
  </si>
  <si>
    <t>3CE (MOOD RECIPE) (MATTE LIP COLOR #222)</t>
  </si>
  <si>
    <t>B078TCLM3H</t>
  </si>
  <si>
    <t>275.34%</t>
  </si>
  <si>
    <t>3CE Red Recipe Matte Lip Color, No.215</t>
  </si>
  <si>
    <t>B079HTSF9W</t>
  </si>
  <si>
    <t>274.09%</t>
  </si>
  <si>
    <t>Drunk Elephant Lala Retro Whipped Cream 50 Milliliters</t>
  </si>
  <si>
    <t>Drunk Elephant Full Sized Retro Renew Facial Duo - Skin Renewal Facial Duo. T.L.C. Sukari Babyfacial (50 mL / 1.69 Fl Oz) Lala Retro Whipped Cream Facial Moisturizer (50 mL / 1.69 Fl Oz)</t>
  </si>
  <si>
    <t>B07CH6Y844</t>
  </si>
  <si>
    <t>271.51%</t>
  </si>
  <si>
    <t>6762921427016</t>
  </si>
  <si>
    <t>ZO Skin Health Daily Power Defense</t>
  </si>
  <si>
    <t>ZO SKIN HEALTH Daily Power Defense (50ml / 1.7 Fl Oz)</t>
  </si>
  <si>
    <t>B0C3WFQFCD</t>
  </si>
  <si>
    <t>268.39%</t>
  </si>
  <si>
    <t>6758899220552</t>
  </si>
  <si>
    <t>Le Labo Eau de Parfum Rose 31</t>
  </si>
  <si>
    <t>Le Labo Rose 31 Eau de Parfum Spray 1.7oz/50 ml (Unisex)</t>
  </si>
  <si>
    <t>B071J8QXDF</t>
  </si>
  <si>
    <t>54.99</t>
  </si>
  <si>
    <t>261.88%</t>
  </si>
  <si>
    <t>6766097596488</t>
  </si>
  <si>
    <t>3CE Mood Recipe Face Blush - #Rose Beige</t>
  </si>
  <si>
    <t>3CE MOOD RECIPE FACE BLUSH (# MONO PINK)</t>
  </si>
  <si>
    <t>B0777NGV7S</t>
  </si>
  <si>
    <t>260.33%</t>
  </si>
  <si>
    <t>6761036218440</t>
  </si>
  <si>
    <t>3CE New Velvet Lip Tint #ABSORBED Love long lasting matte finish</t>
  </si>
  <si>
    <t>3CE New Velvet Lip Tint #Simply Speaking long lasting matte finish</t>
  </si>
  <si>
    <t>B07DJ5BL6K</t>
  </si>
  <si>
    <t>256.70%</t>
  </si>
  <si>
    <t>6761023963208</t>
  </si>
  <si>
    <t>3CE Mood Recipe Matte Lip Color 3 Concept Eyes Season 2 (#220 Hit Me Up)</t>
  </si>
  <si>
    <t>3CE Mood Recipe Matte Lip Color 3 Concept Eyes Season 2 (#218 Mirrorlike)</t>
  </si>
  <si>
    <t>B078TCYVC7</t>
  </si>
  <si>
    <t>251.19%</t>
  </si>
  <si>
    <t>6771911065672</t>
  </si>
  <si>
    <t>Diptyque Figuier Candle</t>
  </si>
  <si>
    <t>Diptyque Set of Five Scented Candles - Baies, Roses, Figuier, Fue De Bois, Narguile - Travel Size 2020 Fall Collection</t>
  </si>
  <si>
    <t>B08FP55867</t>
  </si>
  <si>
    <t>245.06%</t>
  </si>
  <si>
    <t>6771912573000</t>
  </si>
  <si>
    <t>Dabalash Eye Lash Enhancer</t>
  </si>
  <si>
    <t>Dabalash Eye Lash Enhancer - PACK OF 3</t>
  </si>
  <si>
    <t>B09F9L3ZXH</t>
  </si>
  <si>
    <t>239.77%</t>
  </si>
  <si>
    <t>6771755581512</t>
  </si>
  <si>
    <t>Narciso Rodriguez Fleur Musc for Women Eau de Parfum Spray, 3.4 Ounce</t>
  </si>
  <si>
    <t>Narciso Rodriguez Narciso Rodriguez for Her Fleur Musc Eau De Parfum Spray, 5 Ounce</t>
  </si>
  <si>
    <t>B07B4CBK2N</t>
  </si>
  <si>
    <t>44.99</t>
  </si>
  <si>
    <t>237.61%</t>
  </si>
  <si>
    <t>6766097367112</t>
  </si>
  <si>
    <t>B079W98JCS</t>
  </si>
  <si>
    <t>225.28%</t>
  </si>
  <si>
    <t>3CE NEW Mood Recipe Matte Lip Color (3 Concept Eyes) Season 2, 218, 219, 220, 221, 222 (218)</t>
  </si>
  <si>
    <t>B077CLJGZG</t>
  </si>
  <si>
    <t>223.90%</t>
  </si>
  <si>
    <t>Suqqu The Cream Foundation (110) SPF25 PA++ 30g Japan</t>
  </si>
  <si>
    <t>Suqqu The Cream Foundation (210) SPF25 PA++ 30g Japan</t>
  </si>
  <si>
    <t>B08H871CL1</t>
  </si>
  <si>
    <t>215.01%</t>
  </si>
  <si>
    <t>6771911524424</t>
  </si>
  <si>
    <t>B079W9GLQL</t>
  </si>
  <si>
    <t>212.77%</t>
  </si>
  <si>
    <t>Diptyque Philosykos Eau de Toilette-3.4 oz</t>
  </si>
  <si>
    <t>Diptyque Philosykos 1.7 oz Eau de Toilette Spray</t>
  </si>
  <si>
    <t>B00134T8XC</t>
  </si>
  <si>
    <t>200.05%</t>
  </si>
  <si>
    <t>6758090997832</t>
  </si>
  <si>
    <t>Estee Lauder Pure Color Envy Sculpting Lipstick #360 Fierce, 0.12 Ounce</t>
  </si>
  <si>
    <t>Estee Lauder Pure Color Envy Sculpting Lipstick 122 Naked Desire 0.12 oz</t>
  </si>
  <si>
    <t>B0711X8CQF</t>
  </si>
  <si>
    <t>200.00%</t>
  </si>
  <si>
    <t>6751779815496</t>
  </si>
  <si>
    <t>Atelier Cologne Grand Neroli Cologne, 3.3 Ounce</t>
  </si>
  <si>
    <t>B009TQ0SRQ</t>
  </si>
  <si>
    <t>198.06%</t>
  </si>
  <si>
    <t>Estee Lauder Pure Color Envy Sculpting Lipsticks Trio Women 3 oz, 3 x 0.12, (I0117229)</t>
  </si>
  <si>
    <t>B08F5KM9RB</t>
  </si>
  <si>
    <t>195.86%</t>
  </si>
  <si>
    <t>La Mer The Soft Fluid Long Wear Foundation Spf 20 - # 12 Natural By La Mer for Women - 1 Oz Foundation, 1 Oz</t>
  </si>
  <si>
    <t>B01M30X0KO</t>
  </si>
  <si>
    <t>194.06%</t>
  </si>
  <si>
    <t>La Mer The Soft Fluid Foundation SPF 20-1 oz. Porcelain</t>
  </si>
  <si>
    <t>6709197045832</t>
  </si>
  <si>
    <t>B07DJ4BWFQ</t>
  </si>
  <si>
    <t>192.62%</t>
  </si>
  <si>
    <t>3CE NEW Mood Recipe Matte Lip Color (3 Concept Eyes) Season 2, 218, 219, 220, 221, 222 (221)</t>
  </si>
  <si>
    <t>B077CMF9NB</t>
  </si>
  <si>
    <t>190.61%</t>
  </si>
  <si>
    <t>3CE NEW Mood Recipe Matte Lip Color (3 Concept Eyes) Season 2, 218, 219, 220, 221, 222 (219)</t>
  </si>
  <si>
    <t>B077CK73GB</t>
  </si>
  <si>
    <t>187.86%</t>
  </si>
  <si>
    <t>B0777H6BSW</t>
  </si>
  <si>
    <t>3CE NEW Mood Recipe Matte Lip Color (3 Concept Eyes) Season 2, 218, 219, 220, 221, 222 (222)</t>
  </si>
  <si>
    <t>B077CJX6Z5</t>
  </si>
  <si>
    <t>187.36%</t>
  </si>
  <si>
    <t>Pack of 3 x Estee Lauder Pure Color Envy Sculpting Lipstick 440 Irresistible, 0.12 oz each Sample Size Unboxed</t>
  </si>
  <si>
    <t>B088S6R9VZ</t>
  </si>
  <si>
    <t>186.46%</t>
  </si>
  <si>
    <t>B00F6XZZMY</t>
  </si>
  <si>
    <t>184.06%</t>
  </si>
  <si>
    <t>Diptyque Vetyverio Eau de Toilette-3.4 oz (Model: 3700431405784)</t>
  </si>
  <si>
    <t>B00992AGY0</t>
  </si>
  <si>
    <t>181.71%</t>
  </si>
  <si>
    <t>Diptyque Tam Dao Eau de Toilette-3.4 oz.</t>
  </si>
  <si>
    <t>6758093029448</t>
  </si>
  <si>
    <t>B078T8881J</t>
  </si>
  <si>
    <t>181.60%</t>
  </si>
  <si>
    <t>Diptyque Olene Eau de Toilette-3.4 oz</t>
  </si>
  <si>
    <t>B00992AF7I</t>
  </si>
  <si>
    <t>181.23%</t>
  </si>
  <si>
    <t>3CE Velvet Lip Tint (4g) Stylenanda (Private)</t>
  </si>
  <si>
    <t>3CE (Velvet Lip) (VELVET LIP TINT #PRIVATE)</t>
  </si>
  <si>
    <t>B0795FH4GQ</t>
  </si>
  <si>
    <t>180.85%</t>
  </si>
  <si>
    <t>6761027764296</t>
  </si>
  <si>
    <t>La Mer The Soft Fluid Long Wear Foundation SPF 20 - # 22 Neutral 30ml/1oz</t>
  </si>
  <si>
    <t>B01MG45I4H</t>
  </si>
  <si>
    <t>180.06%</t>
  </si>
  <si>
    <t>La Mer The Moisturizing Soft Lotion</t>
  </si>
  <si>
    <t>La Mer The Moisturizing Soft Cream for Unisex, 2 Oz</t>
  </si>
  <si>
    <t>B009AWTPE6</t>
  </si>
  <si>
    <t>69.99</t>
  </si>
  <si>
    <t>169.00%</t>
  </si>
  <si>
    <t>6674655084616</t>
  </si>
  <si>
    <t>Diptyque L'ombre Dans L'eau Eau De Toilette Spray For Women 100Ml 3.4 Fl Oz</t>
  </si>
  <si>
    <t>Diptyque L'ombre Dans L'eau Eau De Parfum Spray For Women 75Ml/2.5Oz</t>
  </si>
  <si>
    <t>B00L36HV0W</t>
  </si>
  <si>
    <t>168.49%</t>
  </si>
  <si>
    <t>6758097977416</t>
  </si>
  <si>
    <t>Atelier Cologne Bois Blonds Cologne, 3.3 Ounce</t>
  </si>
  <si>
    <t>B009TQ0TFW</t>
  </si>
  <si>
    <t>166.01%</t>
  </si>
  <si>
    <t>3CE MOOD RECIPE FACE BLUSH (# NUDE PEACH)</t>
  </si>
  <si>
    <t>B0777FK974</t>
  </si>
  <si>
    <t>165.08%</t>
  </si>
  <si>
    <t>Drunk Elephant Hit It Off Face Wash and Facial Moisturizer Set Beste No. 9 Jelly Cleanser (150 mL / 5 Fl Oz) and Lala Retro Whipped Cream (50 mL / 1.69 Fl Oz)</t>
  </si>
  <si>
    <t>B07CH346S8</t>
  </si>
  <si>
    <t>162.93%</t>
  </si>
  <si>
    <t>3CE Velvet Lip Tint (4g/ea) 10 colors / Newly Launched / Mlbb / Mlbb Lips / Stylenanda (Best Ever)</t>
  </si>
  <si>
    <t>B076J83H6F</t>
  </si>
  <si>
    <t>162.83%</t>
  </si>
  <si>
    <t>Byredo Rose of No Man's Land Eau De Parfum Spray, 3.3 Ounce</t>
  </si>
  <si>
    <t>B017JBDXBK</t>
  </si>
  <si>
    <t>161.71%</t>
  </si>
  <si>
    <t>6763239604296</t>
  </si>
  <si>
    <t>3CE Velvet Lip Tint (4g/ea) 10 colors / Newly Launched / Mlbb / Mlbb Lips / Stylenanda (Private)</t>
  </si>
  <si>
    <t>B076J9P2Q5</t>
  </si>
  <si>
    <t>161.58%</t>
  </si>
  <si>
    <t>3CE NEW Mood Recipe Matte Lip Color (3 Concept Eyes) Season 2, 218, 219, 220, 221, 222 (220)</t>
  </si>
  <si>
    <t>B077CL1Y59</t>
  </si>
  <si>
    <t>161.08%</t>
  </si>
  <si>
    <t>3CE Velvet Lip Tint (4g/ea) 10 colors / Newly Launched / Mlbb / Mlbb Lips / Stylenanda (Near and Dear)</t>
  </si>
  <si>
    <t>B076J8C8XJ</t>
  </si>
  <si>
    <t>158.20%</t>
  </si>
  <si>
    <t>Diptyque Green Figuier Candle-10.2 oz, Green</t>
  </si>
  <si>
    <t>B00309YVPS</t>
  </si>
  <si>
    <t>155.06%</t>
  </si>
  <si>
    <t>3CE NEW Mood Recipe Face Blush Style Nanda 3 Concept Eyes (Mono Pink)</t>
  </si>
  <si>
    <t>3CE NEW Mood Recipe Face Blush Style Nanda 3 Concept Eyes (Season 2) (Nude Peach)</t>
  </si>
  <si>
    <t>B077CKPKH1</t>
  </si>
  <si>
    <t>153.94%</t>
  </si>
  <si>
    <t>6761031467080</t>
  </si>
  <si>
    <t>Estee Lauder Advanced Night Repair Synchronized Multi-Recovery Complex, Unisex, 1.7 Oz</t>
  </si>
  <si>
    <t>Estee Lauder Advanced Night Repair Synchronized Multi-Recovery Complex Duo 2x100ml/3.4oz</t>
  </si>
  <si>
    <t>B093FGRR8F</t>
  </si>
  <si>
    <t>149.94%</t>
  </si>
  <si>
    <t>6763953520712</t>
  </si>
  <si>
    <t>Estée Lauder Advanced Night Repair Synchronized Multi-Recovery Complex Duo 2x 1.7 oz / 50 mL</t>
  </si>
  <si>
    <t>B08HRNFY49</t>
  </si>
  <si>
    <t>Loewe 001 Man 3.4 oz Eau de Parfume Spray</t>
  </si>
  <si>
    <t>Loewe 001 Woman by Loewe Eau De Parfum Spray 3.4 oz Women</t>
  </si>
  <si>
    <t>B084BJ1BNC</t>
  </si>
  <si>
    <t>148.61%</t>
  </si>
  <si>
    <t>6758464127048</t>
  </si>
  <si>
    <t>Atelier Cologne Trefle Pur Cologne, 3.3 Ounce</t>
  </si>
  <si>
    <t>B009TQ5PMO</t>
  </si>
  <si>
    <t>139.41%</t>
  </si>
  <si>
    <t>3CE Velvet Lip Tint (4g/ea) 10 colors / Newly Launched / Mlbb / Mlbb Lips / Stylenanda (Childlike)</t>
  </si>
  <si>
    <t>B076J8T94Z</t>
  </si>
  <si>
    <t>137.80%</t>
  </si>
  <si>
    <t>3CE Velvet Lip Tint (4g/ea) Stylenanda (Childlike)</t>
  </si>
  <si>
    <t>6761024094280</t>
  </si>
  <si>
    <t>Kilian Eau De Parfum Refillable Spray 1.7 oz</t>
  </si>
  <si>
    <t>Kilian Back To Black-Aphrodisiac Refillable Eau de Parfum Spray for Unisex, 1.7 Ounce</t>
  </si>
  <si>
    <t>B002U79OQC</t>
  </si>
  <si>
    <t>119.99</t>
  </si>
  <si>
    <t>137.37%</t>
  </si>
  <si>
    <t>6769900224584</t>
  </si>
  <si>
    <t>136.71%</t>
  </si>
  <si>
    <t>Clarins Extra-Firming Neck and Décolleté Cream</t>
  </si>
  <si>
    <t>Clarins Super Restorative Décolleté and Neck Concentrate | Deeply Replenishing, Anti-Aging Cream For Mature Skin | Skin Texture Is Refined and Chest Creases Are Visibly Diminished After 4 Weeks*</t>
  </si>
  <si>
    <t>B01BG0SS4M</t>
  </si>
  <si>
    <t>136.05%</t>
  </si>
  <si>
    <t>6757626347592</t>
  </si>
  <si>
    <t>Diptyque Tam Dao Eau de Toilette-3.4 oz. (11040u)</t>
  </si>
  <si>
    <t>B002SQ6WII</t>
  </si>
  <si>
    <t>134.52%</t>
  </si>
  <si>
    <t>ZO Skin Health Wrinkle + Texture Repair</t>
  </si>
  <si>
    <t>ZO SKIN HEALTH WRINKLE + TEXTURE REPAIR 0.5% Retinol-- 1 oz/30ml formerly called ZO Medical Retamax™ Active Vitamin A Micro Emulsion 0.5% Retinol</t>
  </si>
  <si>
    <t>B0BS9R7RRK</t>
  </si>
  <si>
    <t>133.41%</t>
  </si>
  <si>
    <t>6708910030920</t>
  </si>
  <si>
    <t>Diptyque Votive Candle Trio-Baies, Figuier, Roses-3 ct.</t>
  </si>
  <si>
    <t>B003XT04ME</t>
  </si>
  <si>
    <t>132.56%</t>
  </si>
  <si>
    <t>B00F6XZVHS</t>
  </si>
  <si>
    <t>130.05%</t>
  </si>
  <si>
    <t>La Mer The Moisturizing Matte Lotion, 1.7 Fl Oz</t>
  </si>
  <si>
    <t>B071K9Q21H</t>
  </si>
  <si>
    <t>127.69%</t>
  </si>
  <si>
    <t>MAKE UP FOR EVER Ultra HD Microfinishing Pressed Powder Translucent</t>
  </si>
  <si>
    <t>Make Up For Ever HD Microfinish Pressed Powder Travel size 2g/0.07 oz. (Compact)</t>
  </si>
  <si>
    <t>B00IO92GU6</t>
  </si>
  <si>
    <t>126.68%</t>
  </si>
  <si>
    <t>6771911163976</t>
  </si>
  <si>
    <t>La Mer The Concentrate, 1.7 oz./ 50 mL</t>
  </si>
  <si>
    <t>La Mer The Lifting and Firming Mask 50ml/1.7oz</t>
  </si>
  <si>
    <t>B00JAFGY2Y</t>
  </si>
  <si>
    <t>79.99</t>
  </si>
  <si>
    <t>125.02%</t>
  </si>
  <si>
    <t>6671567224904</t>
  </si>
  <si>
    <t>By Kilian - Good Girl Gone Bad - 1.7 fl. Oz</t>
  </si>
  <si>
    <t>Kilian women Parfum Good girl gone bad extreme 1.7 OZ</t>
  </si>
  <si>
    <t>B08B81VSLS</t>
  </si>
  <si>
    <t>114.99</t>
  </si>
  <si>
    <t>124.80%</t>
  </si>
  <si>
    <t>6763235868744</t>
  </si>
  <si>
    <t>diptyque Volutes Eau De Toilette-3.4 oz.</t>
  </si>
  <si>
    <t>B009U9SWW0</t>
  </si>
  <si>
    <t>123.37%</t>
  </si>
  <si>
    <t>Diptyque Roses Candle-6.5 oz</t>
  </si>
  <si>
    <t>Diptyque Vetyver Candle-6.5 oz</t>
  </si>
  <si>
    <t>B0058PB09W</t>
  </si>
  <si>
    <t>119.75%</t>
  </si>
  <si>
    <t>6771912605768</t>
  </si>
  <si>
    <t>La Mer The Cleansing Foam, Oz 4.2 Ounce</t>
  </si>
  <si>
    <t>La Mer The Cleansing Foam, 4.2 oz</t>
  </si>
  <si>
    <t>B078WLQJVQ</t>
  </si>
  <si>
    <t>118.80%</t>
  </si>
  <si>
    <t>6707064766536</t>
  </si>
  <si>
    <t>3CE Mood Recipe Multi Eye Color Palette #PLOT TWIST 9 Tone on tone Eyeshadows</t>
  </si>
  <si>
    <t>B07B7KBYXC</t>
  </si>
  <si>
    <t>117.76%</t>
  </si>
  <si>
    <t>6771911229512</t>
  </si>
  <si>
    <t>3CE Multi Eye Color Palette,Beach Muse,Makeup Palette 9 Color</t>
  </si>
  <si>
    <t>6758468583496</t>
  </si>
  <si>
    <t>ZO SKIN HEALTH WRINKLE + TEXTURE REPAIR</t>
  </si>
  <si>
    <t>B08R282JKQ</t>
  </si>
  <si>
    <t>116.71%</t>
  </si>
  <si>
    <t>3CE Multi Eye Color Palette #Butter Cream with Eyeshadow Brushes</t>
  </si>
  <si>
    <t>3CE Multi Eye Color Palette #Butter Cream with Eyeshadow Brushes 4ea</t>
  </si>
  <si>
    <t>B08ZY99QWQ</t>
  </si>
  <si>
    <t>115.11%</t>
  </si>
  <si>
    <t>6771911295048</t>
  </si>
  <si>
    <t>3CE NEW Mood Recipe Face Blush Style Nanda 3 Concept Eyes (Season 2) (Mono Pink)</t>
  </si>
  <si>
    <t>B077CMDPZB</t>
  </si>
  <si>
    <t>111.51%</t>
  </si>
  <si>
    <t>La Mer The Moisturizing Soft Cream, 1 Ounce</t>
  </si>
  <si>
    <t>B00D3VBI4A</t>
  </si>
  <si>
    <t>110.46%</t>
  </si>
  <si>
    <t>Make Up For Ever Ultra HD Microfinishing Loose Powder Full Size Translucent 0.29 uncji</t>
  </si>
  <si>
    <t>B0719RCNVQ</t>
  </si>
  <si>
    <t>109.81%</t>
  </si>
  <si>
    <t>Tam Dao Eau de Toilette 50ml by Diptyque</t>
  </si>
  <si>
    <t>B00134UTQW</t>
  </si>
  <si>
    <t>107.27%</t>
  </si>
  <si>
    <t>Narciso Rodriguez Cristal for Women Eau de Parfum Spray, 3 Ounce</t>
  </si>
  <si>
    <t>B09YNNRVWT</t>
  </si>
  <si>
    <t>104.47%</t>
  </si>
  <si>
    <t>Frederic Malle Portrait of A Lady Eau De Parfum Spray 3.4 oz For Women</t>
  </si>
  <si>
    <t>Frederic Malle Portrait of a Lady Eau de Parfum New in Box, 3.4 Fl Oz</t>
  </si>
  <si>
    <t>B018O3J8DY</t>
  </si>
  <si>
    <t>139.99</t>
  </si>
  <si>
    <t>103.58%</t>
  </si>
  <si>
    <t>6763238457416</t>
  </si>
  <si>
    <t>Diptyque Patchouli Candle-6.5 oz, Standard (I0082972)</t>
  </si>
  <si>
    <t>B001O8AD04</t>
  </si>
  <si>
    <t>102.30%</t>
  </si>
  <si>
    <t>La Mer The Soft Fluid Long Wear Foundation SPF 20 - # 42 Tan 30ml/1oz</t>
  </si>
  <si>
    <t>B01MDNSIK4</t>
  </si>
  <si>
    <t>100.04%</t>
  </si>
  <si>
    <t>B00F6XZVXC</t>
  </si>
  <si>
    <t>ZO Skin Health Daily Power Defense 1 Fl. Oz. 30mL Softgel</t>
  </si>
  <si>
    <t>B07QF1B66M</t>
  </si>
  <si>
    <t>100.03%</t>
  </si>
  <si>
    <t>Elizabeth Arden Capsules Serum</t>
  </si>
  <si>
    <t>Elizabeth Arden Ceramide Skin Care Set, Advanced Ceramide Capsules Serum, Advanced Ceramide Eye Capsule Serum, Ceramide Cleanser and Superstart</t>
  </si>
  <si>
    <t>B01N5HLNB8</t>
  </si>
  <si>
    <t>6759943700552</t>
  </si>
  <si>
    <t>Elizabeth Arden Retinol Ceramide Capsule Serum, Night Skin Care, Fine Line and Wrinkle Erasing Face Serum, 90 Count</t>
  </si>
  <si>
    <t>B07TN8WFZJ</t>
  </si>
  <si>
    <t>Kilian Playing With Devil Eau de Parfum Refillable Spray for Women, 1.7 Ounce</t>
  </si>
  <si>
    <t>B00F8Q0GGO</t>
  </si>
  <si>
    <t>By Kilian Good Girl Gone Bad eau de parfum 50 ml vapo with Clutch</t>
  </si>
  <si>
    <t>B087BS9Y4L</t>
  </si>
  <si>
    <t>99.97%</t>
  </si>
  <si>
    <t>Narciso Rodriguez Musc Noir Rose for Women Eau de Parfum Spray, 3.3 Ounce</t>
  </si>
  <si>
    <t>B09TR47MZ7</t>
  </si>
  <si>
    <t>98.80%</t>
  </si>
  <si>
    <t>IPSA creative concealer ex 4.5g</t>
  </si>
  <si>
    <t>IPSA CREATIVE CONCEALER EX 4.5g</t>
  </si>
  <si>
    <t>B01K7MW1IY</t>
  </si>
  <si>
    <t>97.65%</t>
  </si>
  <si>
    <t>6765719650376</t>
  </si>
  <si>
    <t>Clarins Extra-Firming Neck and Décolleté Cream | Award-Winning | Anti-Aging Moisturizer | Visibly Firms, Smoothes and Lifts | Minimizes Appearance Of Wrinkles | Targets Dark Spots | 2.5 Ounces</t>
  </si>
  <si>
    <t>B084MDRPPJ</t>
  </si>
  <si>
    <t>96.04%</t>
  </si>
  <si>
    <t>Diptyque Santal Candle-6.5 oz</t>
  </si>
  <si>
    <t>B002LK4E7W</t>
  </si>
  <si>
    <t>95.02%</t>
  </si>
  <si>
    <t>3CE Multi Eye Color Palette Clear Warm &amp; Cool #Butter Cream 9Colors Peal Glow Eye Shadow Staylenanda</t>
  </si>
  <si>
    <t>B08W8HSQCF</t>
  </si>
  <si>
    <t>94.60%</t>
  </si>
  <si>
    <t>3CE Multi Eye Color Palette Clear Warm &amp; Cool #Some DEF 9Colors Peal Glow Eye Shadow Staylenanda</t>
  </si>
  <si>
    <t>B08W9YWS9B</t>
  </si>
  <si>
    <t>94.50%</t>
  </si>
  <si>
    <t>La Mer Brume De The Mist 100ml/3.4oz</t>
  </si>
  <si>
    <t>B077BFZMM1</t>
  </si>
  <si>
    <t>93.17%</t>
  </si>
  <si>
    <t>6707152126024</t>
  </si>
  <si>
    <t>SK-II Facial Treatment Mask/10 pc.</t>
  </si>
  <si>
    <t>SK-II Facial Treatment Mask 6 Sheets</t>
  </si>
  <si>
    <t>B099W3S5FM</t>
  </si>
  <si>
    <t>93.04%</t>
  </si>
  <si>
    <t>84.99</t>
  </si>
  <si>
    <t>6708131070024</t>
  </si>
  <si>
    <t>Clarins Double Serum</t>
  </si>
  <si>
    <t>Clarins Double Serum | Anti-Aging | Visibly Firms, Smoothes and Boosts Radiance in Just 7 Days* | 21 Plant Ingredients, Including Turmeric | All Skin Types, Ages and Ethnicities</t>
  </si>
  <si>
    <t>B07CRK4J3S</t>
  </si>
  <si>
    <t>91.46%</t>
  </si>
  <si>
    <t>112.2</t>
  </si>
  <si>
    <t>6751779586120</t>
  </si>
  <si>
    <t>Clarins Double Serum Light | Anti Aging | Visibly Firms, Smoothes &amp; Boosts Radiance in 7 Days* | 21 Plant Ingredients | Turmeric | Lighter Texture | Great for Oily Skin and Humid Climates</t>
  </si>
  <si>
    <t>B0BRR1ML5C</t>
  </si>
  <si>
    <t>Ipsa Creative Concealer SPF25 4.5g/0.15oz</t>
  </si>
  <si>
    <t>B009ZBZIX4</t>
  </si>
  <si>
    <t>90.05%</t>
  </si>
  <si>
    <t>La Mer The Lifting Contour Serum - 1 Ounce</t>
  </si>
  <si>
    <t>B00HKGBS1M</t>
  </si>
  <si>
    <t>129.99</t>
  </si>
  <si>
    <t>89.24%</t>
  </si>
  <si>
    <t>6674673238088</t>
  </si>
  <si>
    <t>La Mer The Soft Fluid Long Wear Spf 20 Foundation for Women, 32 Beige, 1 Ounce</t>
  </si>
  <si>
    <t>B01M4MTXYQ</t>
  </si>
  <si>
    <t>88.04%</t>
  </si>
  <si>
    <t>Baylis &amp; Harding Goodness Sea Kelp &amp; Peppermint, 500 ml Hand Wash, Pack of 3</t>
  </si>
  <si>
    <t>Baylis &amp; Harding Elements Lemon &amp; Mint, 500 ml Hand Wash, Pack of 3</t>
  </si>
  <si>
    <t>B081S25C49</t>
  </si>
  <si>
    <t>13.17</t>
  </si>
  <si>
    <t>87.78%</t>
  </si>
  <si>
    <t>6771757088840</t>
  </si>
  <si>
    <t>B081S1KYCH</t>
  </si>
  <si>
    <t>87.24%</t>
  </si>
  <si>
    <t>Baylis &amp; Harding Goodness Lemongrass &amp; Ginger, 500 ml Hand Wash, Pack of 3</t>
  </si>
  <si>
    <t>Baylis &amp; Harding Dark Fig &amp; Amber Elements Hand Wash, 500ml (Pack of 3) - Vegan Friendly</t>
  </si>
  <si>
    <t>B08MXSBRSV</t>
  </si>
  <si>
    <t>18.98</t>
  </si>
  <si>
    <t>84.35%</t>
  </si>
  <si>
    <t>6771757023304</t>
  </si>
  <si>
    <t>Diptyque - Figuier Candle, Green, Standard</t>
  </si>
  <si>
    <t>B000S95R74</t>
  </si>
  <si>
    <t>84.20%</t>
  </si>
  <si>
    <t>81.04%</t>
  </si>
  <si>
    <t>LiLash Purified Eyelash Physician-Formulated Serum for Fuller &amp; Longer Looking Eyelashes (0.2 fl oz / 5.91 ml)</t>
  </si>
  <si>
    <t>LiLash Purified Eyelash Physician-Formulated Serum for Fuller &amp; Longer Looking Eyelashes | Natural Eyelash Enhancer Safe for Sensitive Eyes &amp; Contact Lens Wearers | 90-Day Supply (2mL)</t>
  </si>
  <si>
    <t>B07CVM7DLJ</t>
  </si>
  <si>
    <t>80.04%</t>
  </si>
  <si>
    <t>6729864314952</t>
  </si>
  <si>
    <t>BYREDO Gypsy Water Eau de Parfume 3.4 Oz/100 ml</t>
  </si>
  <si>
    <t>BYREDO Gypsy Water Eau de Parfum 3.4 Oz/100 ml</t>
  </si>
  <si>
    <t>B07F649S6K</t>
  </si>
  <si>
    <t>79.20%</t>
  </si>
  <si>
    <t>6758481395784</t>
  </si>
  <si>
    <t>Diptyque Baies Candle-6.5 oz.</t>
  </si>
  <si>
    <t>B00429KMH6</t>
  </si>
  <si>
    <t>78.89%</t>
  </si>
  <si>
    <t>La Mer Soft Fluid Found SF20 120</t>
  </si>
  <si>
    <t>B01M30X3VA</t>
  </si>
  <si>
    <t>77.78%</t>
  </si>
  <si>
    <t>SK-II FACIAL TREATMENT MASK (10 SHEET)</t>
  </si>
  <si>
    <t>B01M6YV69X</t>
  </si>
  <si>
    <t>76.04%</t>
  </si>
  <si>
    <t>Diptyque Mimosa Candle-6.5 oz.,White,B0043TVXSC</t>
  </si>
  <si>
    <t>B0043TVXSC</t>
  </si>
  <si>
    <t>75.04%</t>
  </si>
  <si>
    <t>Diptyque Tubereuse Candle-6.5 oz., White , scented</t>
  </si>
  <si>
    <t>6766102184008</t>
  </si>
  <si>
    <t>Diptyque Roses Scented Candle Candle For Unisex 6.5 oz</t>
  </si>
  <si>
    <t>B077B8TQMB</t>
  </si>
  <si>
    <t>Diptyque Mimosa Candle-6.5 oz.,White</t>
  </si>
  <si>
    <t>6766102478920</t>
  </si>
  <si>
    <t>ELIXIR SUPERIEUR Enrich Wrinkle Cream L 22g</t>
  </si>
  <si>
    <t>B07CPWRYKB</t>
  </si>
  <si>
    <t>75.02%</t>
  </si>
  <si>
    <t>Diptyque Roses Candle-6.5 oz. scented</t>
  </si>
  <si>
    <t>B001DTSDEM</t>
  </si>
  <si>
    <t>74.97%</t>
  </si>
  <si>
    <t>Baylis &amp; Harding Elements Pink Blossom and Lotus Flower Hand Wash, 500 ml (Pack of 3) - Vegan Friendly</t>
  </si>
  <si>
    <t>B08MXSWX8Z</t>
  </si>
  <si>
    <t>74.56%</t>
  </si>
  <si>
    <t>Diptyque Feuille de Lavande Candle-6.5 oz.,Lavender,I0088712</t>
  </si>
  <si>
    <t>B0043TSH1S</t>
  </si>
  <si>
    <t>74.42%</t>
  </si>
  <si>
    <t>B08P5QCMZ8</t>
  </si>
  <si>
    <t>74.02%</t>
  </si>
  <si>
    <t>doTERRA Correct-X Essential Ointment - 2 Pack</t>
  </si>
  <si>
    <t>doTERRA Correct-X® Essential Ointment - 2 Pack</t>
  </si>
  <si>
    <t>B09X27SJ3B</t>
  </si>
  <si>
    <t>73.39%</t>
  </si>
  <si>
    <t>6708778958920</t>
  </si>
  <si>
    <t>Elizabeth Arden 5 Piece Ceramide Capsule Serum Skin Care Set, Twist &amp; Lift Ceramide Capsules, Face Lift and Firm, Anti Aging Serum, 5 Piece Skin Care Set</t>
  </si>
  <si>
    <t>B09BP4ZQMX</t>
  </si>
  <si>
    <t>73.36%</t>
  </si>
  <si>
    <t>DabaLash Professional Eyelash Enhancer 0.18FL OZ/5.32 ml</t>
  </si>
  <si>
    <t>B07XRPJS1T</t>
  </si>
  <si>
    <t>72.09%</t>
  </si>
  <si>
    <t>La Mer The Eye and Expression Cream for Women, 0.5 Ounce</t>
  </si>
  <si>
    <t>B0759VGCJG</t>
  </si>
  <si>
    <t>179.99</t>
  </si>
  <si>
    <t>71.62%</t>
  </si>
  <si>
    <t>6707797819464</t>
  </si>
  <si>
    <t>B01HTZJWNY</t>
  </si>
  <si>
    <t>71.45%</t>
  </si>
  <si>
    <t>Diptyque Eau des Sens De Toilette, Size 100 ml, 3.4 Ounce</t>
  </si>
  <si>
    <t>B01DAPBON8</t>
  </si>
  <si>
    <t>133.0</t>
  </si>
  <si>
    <t>6763236786248</t>
  </si>
  <si>
    <t>Kilian Kilian Good girl gone bad by kilian for women - 1.7 Ounce edp spray (refillable), 1.7 Ounce</t>
  </si>
  <si>
    <t>B00A5AKUH8</t>
  </si>
  <si>
    <t>17.99</t>
  </si>
  <si>
    <t>66.76%</t>
  </si>
  <si>
    <t>6761001025608</t>
  </si>
  <si>
    <t>66.69%</t>
  </si>
  <si>
    <t>Byredo Gypsy Water Eau De Parfum Spray 50ml/1.6oz</t>
  </si>
  <si>
    <t>B00GDKSSV4</t>
  </si>
  <si>
    <t>65.03%</t>
  </si>
  <si>
    <t>Eau De Parfum Spray Refill (Unisex) 1.7 oz</t>
  </si>
  <si>
    <t>B004EHKI6Q</t>
  </si>
  <si>
    <t>61.13%</t>
  </si>
  <si>
    <t>Diptyque Figuier Candle, 1 Count</t>
  </si>
  <si>
    <t>B0043TOF1E</t>
  </si>
  <si>
    <t>60.64%</t>
  </si>
  <si>
    <t>Ipsa Creative Concealer EX 4.5g/0.15oz SPF25</t>
  </si>
  <si>
    <t>B01KU1WM3Q</t>
  </si>
  <si>
    <t>59.53%</t>
  </si>
  <si>
    <t>SK-II Facial Treatment Mask, 10 ct.</t>
  </si>
  <si>
    <t>B00JDVP18S</t>
  </si>
  <si>
    <t>58.81%</t>
  </si>
  <si>
    <t>Elizabeth Arden Vitamin C Ceramide Capsules Serum, Daily Skin Care, Birghtening Face Serum</t>
  </si>
  <si>
    <t>B07TRW8BC8</t>
  </si>
  <si>
    <t>58.36%</t>
  </si>
  <si>
    <t>Elizabeth Arden Retinol Ceramide Capsule Serum, Night Skin Care, Fine Line and Wrinkle Erasing Face Serum, 60 Count</t>
  </si>
  <si>
    <t>B07FCS2HHB</t>
  </si>
  <si>
    <t>Synchronized Multi-Recovery Complex,Multiple protection | Serum | Oil Free | Advanced Night Repair Synchronized Recovery Complex For Estee Lauder (3.4 oz/100ml)</t>
  </si>
  <si>
    <t>B0BPHKJFWJ</t>
  </si>
  <si>
    <t>58.04%</t>
  </si>
  <si>
    <t>Atelier Cologne Orange Sanguine Cologne, 3.3 Ounce</t>
  </si>
  <si>
    <t>B00AUG7AKC</t>
  </si>
  <si>
    <t>58.01%</t>
  </si>
  <si>
    <t>SK-II Facial Treatment Mask, 6 ct.</t>
  </si>
  <si>
    <t>B000ZFTAOM</t>
  </si>
  <si>
    <t>Narciso Rodriguez Fleur Musc by Narciso Rodriguez for Women Eau de Parfum Spray, 3.4 Ounce</t>
  </si>
  <si>
    <t>B079SWKK6T</t>
  </si>
  <si>
    <t>57.81%</t>
  </si>
  <si>
    <t>La Mer Powder Brush - 2 g</t>
  </si>
  <si>
    <t>La Mer Foundation Brush - 2 g</t>
  </si>
  <si>
    <t>B01MDLKUCC</t>
  </si>
  <si>
    <t>57.51%</t>
  </si>
  <si>
    <t>71.0</t>
  </si>
  <si>
    <t>6707208978504</t>
  </si>
  <si>
    <t>B07SPS4HHG</t>
  </si>
  <si>
    <t>56.58%</t>
  </si>
  <si>
    <t>By Kilian - Good Girl Gone Bad - 1.7 fl. Oz - no clutch</t>
  </si>
  <si>
    <t>B087ZMKKHJ</t>
  </si>
  <si>
    <t>56.53%</t>
  </si>
  <si>
    <t>Good girl gone Bad by KILIAN - Travel Set 30ML (atomizer and 4x7.5ml)</t>
  </si>
  <si>
    <t>B08L9GYY38</t>
  </si>
  <si>
    <t>53.90%</t>
  </si>
  <si>
    <t>Estee Lauder Perfectionist CP+R Wrinkle Lifting/Firming Serum, 50ml/1.7 Ounce (All Skin Types)</t>
  </si>
  <si>
    <t>B00BNAOW3C</t>
  </si>
  <si>
    <t>52.79%</t>
  </si>
  <si>
    <t>76.95</t>
  </si>
  <si>
    <t>6751780044872</t>
  </si>
  <si>
    <t>B0716F3DHR</t>
  </si>
  <si>
    <t>50.10%</t>
  </si>
  <si>
    <t>doTERRA Correct-X Essential Ointment</t>
  </si>
  <si>
    <t>doTERRA Correct-X® Essential Ointment</t>
  </si>
  <si>
    <t>B00O2E4J7A</t>
  </si>
  <si>
    <t>9.99</t>
  </si>
  <si>
    <t>50.05%</t>
  </si>
  <si>
    <t>6771863519304</t>
  </si>
  <si>
    <t>L'Ombre Dans L'Eau FOR WOMEN by Diptyque - 3.4 oz EDT Spray</t>
  </si>
  <si>
    <t>B01MAWN8L1</t>
  </si>
  <si>
    <t>50.03%</t>
  </si>
  <si>
    <t>SISLEY Neck Cream The Enriched Formula Women, 1.6 Ounce</t>
  </si>
  <si>
    <t>SISLEY Neck Cream The Enriched Formula Women, 1.6 Ounce (3473311298102)</t>
  </si>
  <si>
    <t>B01JG5T2A8</t>
  </si>
  <si>
    <t>50.02%</t>
  </si>
  <si>
    <t>6772274036808</t>
  </si>
  <si>
    <t>Byredo - Rose of No Man's Land Eau de Parfum - 100ml 100M by Byredo</t>
  </si>
  <si>
    <t>B01N4LGOV1</t>
  </si>
  <si>
    <t>49.94%</t>
  </si>
  <si>
    <t>La Mer The Moisturizing Soft Cream, 1 oz</t>
  </si>
  <si>
    <t>B009NSTQMS</t>
  </si>
  <si>
    <t>45.72%</t>
  </si>
  <si>
    <t>B00E5PWWHK</t>
  </si>
  <si>
    <t>45.45%</t>
  </si>
  <si>
    <t>Loewe 001 Man 3.4 oz Eau de Parfum Spray</t>
  </si>
  <si>
    <t>B01LZNWGAA</t>
  </si>
  <si>
    <t>45.04%</t>
  </si>
  <si>
    <t>3CE Mood Recipe Multi Eye Color Palette #OVERTAKE 9 Tone on tone Eyeshadows</t>
  </si>
  <si>
    <t>B078C7QSRY</t>
  </si>
  <si>
    <t>45.02%</t>
  </si>
  <si>
    <t>Narciso Rodriguez Fleur Musc for Her 3.3 Ounce Eau De Parfum Spray, 3.3 Ounce</t>
  </si>
  <si>
    <t>B06XDB52L4</t>
  </si>
  <si>
    <t>42.70%</t>
  </si>
  <si>
    <t>SK-II Facial Treatment Mask - 6 Sheets</t>
  </si>
  <si>
    <t>B078MQP5ZF</t>
  </si>
  <si>
    <t>42.03%</t>
  </si>
  <si>
    <t>Sisley Black Rose Cream Masque for Women, 2.1 Ounce</t>
  </si>
  <si>
    <t>B0074O7LHK</t>
  </si>
  <si>
    <t>40.40%</t>
  </si>
  <si>
    <t>6675770310728</t>
  </si>
  <si>
    <t>Elizabeth Arden Skin Illuminating Brightening Night Capsules With Advanced MI Concentrate, 50 Capsules</t>
  </si>
  <si>
    <t>B01C8052IO</t>
  </si>
  <si>
    <t>40.02%</t>
  </si>
  <si>
    <t>66.99</t>
  </si>
  <si>
    <t>38.83%</t>
  </si>
  <si>
    <t>6773030748232</t>
  </si>
  <si>
    <t>Diptyque Tubereuse Candle-6.5 oz., White (11033u), scented</t>
  </si>
  <si>
    <t>B0043TU1VM</t>
  </si>
  <si>
    <t>34.78%</t>
  </si>
  <si>
    <t>Drunk Elephant Lala Retro Whipped Cream. Replenishing Moisturizer for Skin Protection and Rejuvenation. 50 Milliliters.</t>
  </si>
  <si>
    <t>B01J1ZBJSG</t>
  </si>
  <si>
    <t>34.32%</t>
  </si>
  <si>
    <t>Kilian Eau de Parfum Spray Refill, Good Girls Gone Bad, 1.7 Ounce</t>
  </si>
  <si>
    <t>B00F8Q5CSG</t>
  </si>
  <si>
    <t>32.91%</t>
  </si>
  <si>
    <t>29.93%</t>
  </si>
  <si>
    <t>27.37%</t>
  </si>
  <si>
    <t>Diptyque L'ombre Dans L'eau Eau De Toilette Spray For Women 100Ml 3.4 Fl Oz (Pack of 1)</t>
  </si>
  <si>
    <t>B00HR1ZSTS</t>
  </si>
  <si>
    <t>27.02%</t>
  </si>
  <si>
    <t>Narciso Rodriguez Fleur Musc for Her Eau De Parfum Spray, 1.6 Ounce, Multi</t>
  </si>
  <si>
    <t>B06XCTKKXP</t>
  </si>
  <si>
    <t>24.32%</t>
  </si>
  <si>
    <t>Estee Lauder Pure Color Envy Sculpting Lipstick - # 420 Rebellious Rose 3.5g/0.12oz</t>
  </si>
  <si>
    <t>B00JG7Y5T0</t>
  </si>
  <si>
    <t>19.55%</t>
  </si>
  <si>
    <t>Clarins Double Serum Eye | Anti-Aging Eye Treatment | Visibly Smoothes, Firms, Hydrates and Revitalizes For More Youthful-Looking Eyes In Just 7 Days* | 13 Plant Extracts, Including Turmeric | 0.6 Oz</t>
  </si>
  <si>
    <t>B09F3QR6LB</t>
  </si>
  <si>
    <t>18.59%</t>
  </si>
  <si>
    <t>Thrive Causemetics Liquid Lash Extensions Brynn Rich Black .38oz Full Size, 0.38 Ounce</t>
  </si>
  <si>
    <t>Thrive Causemetics Liquid Lash Extensions Brynn Rich Black .38oz Full Size, 0.38 Ounce (Pack of 1)</t>
  </si>
  <si>
    <t>B0B3PF5FJT</t>
  </si>
  <si>
    <t>17.56%</t>
  </si>
  <si>
    <t>6708179894344</t>
  </si>
  <si>
    <t>Diptyque Baies Candle 190g - (Tangy Coolness of Freshly Picked Blackcurrant Berries)</t>
  </si>
  <si>
    <t>B094LHLB1R</t>
  </si>
  <si>
    <t>16.02%</t>
  </si>
  <si>
    <t>6771910869064</t>
  </si>
  <si>
    <t>Advanced Night Repair Synchronized Recovery Complex II - 50ml/1.7oz by Estee Lauder</t>
  </si>
  <si>
    <t>B01N3NQ9VN</t>
  </si>
  <si>
    <t>15.03%</t>
  </si>
  <si>
    <t>Figuier (Fig) Mini Candle 70 g by Diptyque</t>
  </si>
  <si>
    <t>B004SFHMUO</t>
  </si>
  <si>
    <t>12.53%</t>
  </si>
  <si>
    <t>SK_II, SK2 Facial Treatment Mask 5 sheets , NO BOX</t>
  </si>
  <si>
    <t>B07595LCYK</t>
  </si>
  <si>
    <t>11.82%</t>
  </si>
  <si>
    <t>Elizabeth Arden Advanced Ceramide Eye Serum Capsules, Youth Restoring Daily Skin Care, 60 Count</t>
  </si>
  <si>
    <t>B072C3KZ48</t>
  </si>
  <si>
    <t>11.69%</t>
  </si>
  <si>
    <t>B08DHQCGH9</t>
  </si>
  <si>
    <t>10.28%</t>
  </si>
  <si>
    <t>Estee Lauder I0113189 Advanced Night Repair Synchronized Multi-Recovery Complex, 30 ml</t>
  </si>
  <si>
    <t>B08DH979F7</t>
  </si>
  <si>
    <t>10.00%</t>
  </si>
  <si>
    <t>Diptyque Do Son Eau de Toilette-3.4 Fl Oz.</t>
  </si>
  <si>
    <t>6763236524104</t>
  </si>
  <si>
    <t>Dabalash Professional Eyelash Enhancer Serum 0.18FL OZ/5.32 ml</t>
  </si>
  <si>
    <t>B089S5J4JQ</t>
  </si>
  <si>
    <t>4.30%</t>
  </si>
  <si>
    <t>Estee Lauder Pure Color Envy Sculpting Lipstick #340 Envious 0.12 oz / 3.5 g Full Size, Unboxed Limited Edition</t>
  </si>
  <si>
    <t>B081KYH7DR</t>
  </si>
  <si>
    <t>2.60%</t>
  </si>
  <si>
    <t>Estee Lauder Pure Color Envy Matte Sculpting Lipstick - 333 Persuasive Women 0.12 oz</t>
  </si>
  <si>
    <t>B072178J4F</t>
  </si>
  <si>
    <t>-3.34%</t>
  </si>
  <si>
    <t>Estee Lauder Pure Color Envy/Hi-Lustre Light Sculpting Lipstick, 0.12 oz. / 3.5 g •• (Rebellious Rose 420) ••</t>
  </si>
  <si>
    <t>B082GKGDLR</t>
  </si>
  <si>
    <t>-3.67%</t>
  </si>
  <si>
    <t>Elizabeth Arden Retinol Ceramide Capsule Serum, Night Skin Care, Fine Line and Wrinkle Erasing Face Serum, 30 Count</t>
  </si>
  <si>
    <t>B07FKBBK1L</t>
  </si>
  <si>
    <t>-9.98%</t>
  </si>
  <si>
    <t>Elizabeth Arden ADVANCED LIGHT CERAMIDE CAPSULES STRENGTHENING &amp; REFINING SERUM</t>
  </si>
  <si>
    <t>B0BTTLKPZC</t>
  </si>
  <si>
    <t>Elizabeth Arden Hyaluronic Acid Ceramide Capsule Serum, Hydra-Plumping Skin Care Serum</t>
  </si>
  <si>
    <t>B08F76M1YF</t>
  </si>
  <si>
    <t>Miracolove Eyelash Serum, Lash Serum, Eyelash Growth Serum, Eyelash Serum and Eyebrow Growth Serum, Eyelash Enhancer for Longer, Thicker and Fuller Eyelash &amp; Eyebrow, Grow Longer Fuller Eyelashes - 3mL</t>
  </si>
  <si>
    <t>B09DGS5424</t>
  </si>
  <si>
    <t>-10.01%</t>
  </si>
  <si>
    <t>Drunk Elephant Whipped Cream Replenishing Moisturizer for Skin Protection and Rejuvenation. 1.69 Ounce. - Whipped Cream 50 Milliliters</t>
  </si>
  <si>
    <t>B0B9XDGRHK</t>
  </si>
  <si>
    <t>-12.83%</t>
  </si>
  <si>
    <t>Estee Lauder Pure Color Envy Sculpting Lipstick in Promotional Case, 561 Intense Nude 0.12 oz. / 3.5 g, Unboxed</t>
  </si>
  <si>
    <t>B0CFSXDYF4</t>
  </si>
  <si>
    <t>-13.41%</t>
  </si>
  <si>
    <t>LAURA GELLER NEW YORK Better Together Two-Piece Makeup Brush Set for Powders and Foundation - Retractable Round Airbrush Kabuki Brush &amp; Full Face Powder Makeup Brush</t>
  </si>
  <si>
    <t>B0BHZZS928</t>
  </si>
  <si>
    <t>-17.48%</t>
  </si>
  <si>
    <t>Hyaluronic acid intensifier (H.A.)</t>
  </si>
  <si>
    <t>La Roche-Posay Hyalu B5 Pure Hyaluronic Acid Serum for Face, with Vitamin B5, Anti-Aging Serum for Fine Lines and Wrinkles, Hydrating Serum to Plump and Repair Dry Skin, Safe on Sensitive Skin</t>
  </si>
  <si>
    <t>B075VX4QVM</t>
  </si>
  <si>
    <t>-20.00%</t>
  </si>
  <si>
    <t>6751727714376</t>
  </si>
  <si>
    <t>RENEUE Anti-Aging Skin Serum with Collagen Peptides, Vitamin C, and Hyaluronic Acid. Reverses Skin Aging, Diminishes Wrinkles, and Erases Dark Spots</t>
  </si>
  <si>
    <t>B09NK9YJSN</t>
  </si>
  <si>
    <t>Del Mar Laboratories HydraGlo - Dietary Hyaluronic Acid Supplement - Aging and Joint Health Support - Helps Restore Smooth, Supple Skin - 60 Veggie Capsules</t>
  </si>
  <si>
    <t>B0847G981W</t>
  </si>
  <si>
    <t>-20.18%</t>
  </si>
  <si>
    <t>Big Bottle Pure Hyaluronic Acid Serum for Face (8 Oz) - Serum for Skin and Lips - Medical Quality Hydrating and Moisturizing Face Serum for All Skin Types - Paraben and Fragrance-Free</t>
  </si>
  <si>
    <t>B00LUA11F2</t>
  </si>
  <si>
    <t>-22.00%</t>
  </si>
  <si>
    <t>Frederic Malle Ladies Portrait of a Lady EDP Spray 0.34 oz Fragrances 3700135003941</t>
  </si>
  <si>
    <t>B074YDZGR3</t>
  </si>
  <si>
    <t>-40.00%</t>
  </si>
  <si>
    <t>2020d Estee Lauder Advanced Night Repair Synchronized Multi-Recovery Complex Promo Size (Pack of 4, 7ml/0.23oz Each, 28ml/0.92oz Total)</t>
  </si>
  <si>
    <t>B08FYX198N</t>
  </si>
  <si>
    <t>-42.06%</t>
  </si>
  <si>
    <t>La Mer The Moisturizing Soft Cream .24 oz. Mini</t>
  </si>
  <si>
    <t>B00AATSD8W</t>
  </si>
  <si>
    <t>-42.85%</t>
  </si>
  <si>
    <t>BIOSSANCE Squalane + Vitamin C Rose Oil, 30ml</t>
  </si>
  <si>
    <t>BIOSSANCE Squalane + Vitamin C Rose Oil, Green Bottle, 30ml</t>
  </si>
  <si>
    <t>B08K2XWW2Z</t>
  </si>
  <si>
    <t>-49.99%</t>
  </si>
  <si>
    <t>6707955236936</t>
  </si>
  <si>
    <t>Pure Hyaluronic Acid 1% Powder Serum for Face 10,000ppm - Anti Aging + Fine Line + Intense Hydration + facial moisturizer + Visibly Plumped Skin + Prevent Bladder Pain 8 Fl Oz</t>
  </si>
  <si>
    <t>B098QM7RJQ</t>
  </si>
  <si>
    <t>-52.01%</t>
  </si>
  <si>
    <t>-54.19%</t>
  </si>
  <si>
    <t>MIRIS No.36080 | Impression of Gypsy Water | Unisex For Women and Men Eau de Parfum | 3.4 Fl Oz / 100 ml</t>
  </si>
  <si>
    <t>B0B6GG29FR</t>
  </si>
  <si>
    <t>-54.31%</t>
  </si>
  <si>
    <t>Hyaluronic Acid Serum 8 fl oz And 2 fl oz, Made From Pure Hyaluronic Acid, Anti Aging/ Wrinkle, Ultra-Hydrating Moisturizer That Reduces Dry Skin Manufactured In USA</t>
  </si>
  <si>
    <t>B084X51ZPM</t>
  </si>
  <si>
    <t>-60.01%</t>
  </si>
  <si>
    <t>Naturium Quadruple Hyaluronic Acid Serum 5%, Hydrating &amp; Anti-Aging Face Moisturizer, Fragrance Free, 1.0 oz</t>
  </si>
  <si>
    <t>B07WSSG9R6</t>
  </si>
  <si>
    <t>-66.01%</t>
  </si>
  <si>
    <t>Powder Brush MOGILAN Large Powder Foundation Brush for Pressd Powder Premium Fluffy Synthetic Kabuki Makeup Brush Perfect For Blending Buffing with Loose Powder Liquid Foundation Full Coverage</t>
  </si>
  <si>
    <t>B09LQXDSSF</t>
  </si>
  <si>
    <t>-70.03%</t>
  </si>
  <si>
    <t>Le Labo AnOther 13 Eau de Parfum Dabber Sample - .025 oz.</t>
  </si>
  <si>
    <t>B07GJNMQY2</t>
  </si>
  <si>
    <t>-72.74%</t>
  </si>
  <si>
    <t>CA Perfume Club Impression of Le Lb Rose For Women &amp; Men Replica Version Fragrance Dupes Concentrated Long Lasting Eau de Parfum Spray Refillable Atomizer Bottle 0.27 Fl Oz-X1</t>
  </si>
  <si>
    <t>B09XL9MQ88</t>
  </si>
  <si>
    <t>TEXAMO Powder Makeup Brush, Large Finishing Mineral Powder Brush for Full Face, Vegan Face Brush for Bronzer Contouring, Loose, Mineral, Compact, Translucent Powders</t>
  </si>
  <si>
    <t>B09XGZXDYY</t>
  </si>
  <si>
    <t>Foundation Brush,Daubigny Large Powder Brush Flat Arched Premium Durable Kabuki Makeup Brush Perfect For Blending Liquid,Cream and Flawless Powder,Buffing, Blending,Concealer …</t>
  </si>
  <si>
    <t>B07FDLPX88</t>
  </si>
  <si>
    <t>Real Techniques Ultra Plush Powder Makeup Brush, For Setting Powder, Bronzer, &amp; Blush, Sheer, Buildable Coverage, Large, Fluffy Powder Brush, Vegan, Cruelty-Free &amp; Synthetic Bristles, 1 Count</t>
  </si>
  <si>
    <t>B004TSF8R4</t>
  </si>
  <si>
    <t>-77.52%</t>
  </si>
  <si>
    <t>Matto Powder Mineral Brush - Makeup Brush for Large Coverage Mineral Powder Foundation Blending Buffing 1 Piece</t>
  </si>
  <si>
    <t>B01G4UVWE2</t>
  </si>
  <si>
    <t>CA Perfume Impression of Good Girl Gone Bad For Women Replica Version Fragrance Dupes Concentrated Long Lasting Eau de Parfum Spray Refillable Atomizer Bottle 1.7 Fl Oz/50ml-X1</t>
  </si>
  <si>
    <t>B09VFDXLSN</t>
  </si>
  <si>
    <t>-78.26%</t>
  </si>
  <si>
    <t>Le Labo Baie 19 Eau de Parfum 0.025 Ounce Sample</t>
  </si>
  <si>
    <t>B081BDZD6D</t>
  </si>
  <si>
    <t>-79.09%</t>
  </si>
  <si>
    <t>Le Labo Rose 31 Eau de Parfum .025 oz. Small Sample</t>
  </si>
  <si>
    <t>B07S91M78Q</t>
  </si>
  <si>
    <t>-80.27%</t>
  </si>
  <si>
    <t>LE LABO Tonka 25 Eau de Parfum, Mini.025 oz</t>
  </si>
  <si>
    <t>B07KWFZWB3</t>
  </si>
  <si>
    <t>-81.81%</t>
  </si>
  <si>
    <t>BIOCURA BC Perfume 202 Inspired by Good Girl Gone Bad For Women Replica Fragrance Dupes Eau de Parfum Spray Bottle 1.7 Fl Oz/50ml-X1</t>
  </si>
  <si>
    <t>B0C1DT2SLM</t>
  </si>
  <si>
    <t>MIRIS No.42855 | Impression of Portrait Of A Lady | Women Eau de Parfum | 3.4 Fl Oz / 100 ml</t>
  </si>
  <si>
    <t>B09N7SJ2YG</t>
  </si>
  <si>
    <t>-83.30%</t>
  </si>
  <si>
    <t>BYREDO Rose Of No Man's Land Eau De Parfum, Deluxe Travel Size, 0.06 oz</t>
  </si>
  <si>
    <t>1477021868</t>
  </si>
  <si>
    <t>Luxspire Powder Makeup Brush, Flat Kabuki Brush, Single Large Makeup Brush Soft Face Mineral Powder Foundation Brush Blush Brush for Blending Makeup, Black &amp; Gold</t>
  </si>
  <si>
    <t>B08DR9M7KR</t>
  </si>
  <si>
    <t>-85.30%</t>
  </si>
  <si>
    <t>CA Perfume Impression of Good Girl Gone Bad For Women Replica Fragrance Body Oil Dupes Alcohol-Free Essential Aromatherapy Sample Travel Size Concentrated Long Lasting Attar Roll-On 0.3 Fl Oz/10ml</t>
  </si>
  <si>
    <t>B097MS2X42</t>
  </si>
  <si>
    <t>-88.70%</t>
  </si>
  <si>
    <t>La Mer The Moisturizing Soft Lotion 3ml/0.1oz by La Mer</t>
  </si>
  <si>
    <t>B01N9OXFZP</t>
  </si>
  <si>
    <t>Loewe 001 Woman Eau de Parfume Spray 100Ml</t>
  </si>
  <si>
    <t>6758479888456</t>
  </si>
  <si>
    <t>Loewe 001 Woman Eau De Perfume Spray 100Ml</t>
  </si>
  <si>
    <t>B01LXDX9DI</t>
  </si>
  <si>
    <t>37.53%</t>
  </si>
  <si>
    <t>Asterwood Triple Repair Matrixyl 3000 + Argireline + Hyaluronic Acid + Organic Vitamin C Serum for Face; Anti-Aging Face Serum, Anti-Wrinkle Serum, Facial Skin Serum Skin Care Products, 237ml/8 oz</t>
  </si>
  <si>
    <t>B01GVYEMUM</t>
  </si>
  <si>
    <t>Beaumax Pure Hyaluronic Acid Serum - Intense Moisturizer for Face 54 ml (1.8 fl oz)</t>
  </si>
  <si>
    <t>B09PC6R79V</t>
  </si>
  <si>
    <t>Asterwood Pure Hyaluronic Acid Serum for Face; Plumping Anti-Aging Face Serum, Hydrating Facial Skin Care Product, Fragrance Free, Pairs Well with Vitamin C Serum &amp; Retinol Serum, 118ml/4 oz</t>
  </si>
  <si>
    <t>B01GUK7NV2</t>
  </si>
  <si>
    <t>Matto Makeup Powder Foundation Brush for Setting Loose Pressed Powder Mineral Blush Large Face Brush</t>
  </si>
  <si>
    <t>B07RLWMXGD</t>
  </si>
  <si>
    <t>Matto Bamboo Powder Mineral Kabuki Brush - Large Coverage Powder Mineral Foundation Makeup Brush 1 Piece</t>
  </si>
  <si>
    <t>B01GCV3I8G</t>
  </si>
  <si>
    <t>Hyaluronic Acid Serum for Face &amp; Skin | 8 oz | Paraben &amp; SLS Free Moisturizer | Packaging May Vary</t>
  </si>
  <si>
    <t>B07QD1S56R</t>
  </si>
  <si>
    <t>-84.27%</t>
  </si>
  <si>
    <t>Large Powder Mineral Brush,Foundation Makeup Brush,Powder Brush and Blush Brush for Daily Makeup (Gold-Colorful) …</t>
  </si>
  <si>
    <t>B07SCQWSP1</t>
  </si>
  <si>
    <t>Bed head men by tigi pure texture molding paste 2.93 oz (gold packaging)</t>
  </si>
  <si>
    <t>TIGI Bed Head for Men Pure Texture Molding Paste, 2.93 oz (Pack of 8)</t>
  </si>
  <si>
    <t>B01IAFDKG2</t>
  </si>
  <si>
    <t>14.85</t>
  </si>
  <si>
    <t>505.72%</t>
  </si>
  <si>
    <t>6769973723208</t>
  </si>
  <si>
    <t>Bed head by tigi urban anti+dotes recovery shampoo 2.5 oz</t>
  </si>
  <si>
    <t>Tigi Bed Head Urban Antidotes Recovery Shampoo + Conditioner Damage Level 2 Duo Pack (2 X 25.36 Ounce)</t>
  </si>
  <si>
    <t>B077GY53L3</t>
  </si>
  <si>
    <t>6.29</t>
  </si>
  <si>
    <t>459.94%</t>
  </si>
  <si>
    <t>6769970446408</t>
  </si>
  <si>
    <t>Bed head by tigi masterpiece extra strong hold hairspray 2.4 oz</t>
  </si>
  <si>
    <t>Tigi Bed Head Hard Head Extra Strong Hold Hairspray 10.6 Oz (Pack Of 2)</t>
  </si>
  <si>
    <t>B09BK8VPKS</t>
  </si>
  <si>
    <t>9.9</t>
  </si>
  <si>
    <t>382.22%</t>
  </si>
  <si>
    <t>6769971986504</t>
  </si>
  <si>
    <t>Urban Antidotes by Tigi Bed Head Hair Care Recovery Competition Set - Shampoo 250ml &amp; Conditioner 200ml 250ml</t>
  </si>
  <si>
    <t>B004ZBFOW4</t>
  </si>
  <si>
    <t>376.63%</t>
  </si>
  <si>
    <t>Catwalk by tigi curls rock amplifier 5 oz</t>
  </si>
  <si>
    <t>Catwalk Curls Rock Amplifier 5.07ounce (6 Pack) by TIGI</t>
  </si>
  <si>
    <t>B00O57Y3ZM</t>
  </si>
  <si>
    <t>18.9</t>
  </si>
  <si>
    <t>361.22%</t>
  </si>
  <si>
    <t>6769972838472</t>
  </si>
  <si>
    <t>Bed head by tigi urban anti+dotes resurrection shampoo 2.5 oz</t>
  </si>
  <si>
    <t>Tigi Bed Head Urban Anti+dotes Resurrection Shampoo 750ml/25.36oz</t>
  </si>
  <si>
    <t>B00JVGQP0I</t>
  </si>
  <si>
    <t>329.25%</t>
  </si>
  <si>
    <t>6769970511944</t>
  </si>
  <si>
    <t>Bed head by tigi manipulator 2 oz</t>
  </si>
  <si>
    <t>TIGI Bed Head Manipulator Texture Paste 2 oz (Pack of 7)</t>
  </si>
  <si>
    <t>B01IAEN982</t>
  </si>
  <si>
    <t>19.8</t>
  </si>
  <si>
    <t>328.28%</t>
  </si>
  <si>
    <t>6769971036232</t>
  </si>
  <si>
    <t>TIGI Bed Head Urban Anti-dote PFZoVz Recovery Shampoo &amp; Conditioner Duo Damage Level 2, 25.36 Oz, 2 Units</t>
  </si>
  <si>
    <t>B07487K2RB</t>
  </si>
  <si>
    <t>308.90%</t>
  </si>
  <si>
    <t>Bed Head by TIGI Urban Antidotes Recovery Shampoo and Conditioner for Dry Hair 25.36 fl oz 2 count</t>
  </si>
  <si>
    <t>B003T1G0XI</t>
  </si>
  <si>
    <t>280.76%</t>
  </si>
  <si>
    <t>Bed head by tigi small talk thickening cream 4.23 oz</t>
  </si>
  <si>
    <t>Bed Head Small Talk 3-in-1 Thickifier by TIGI- 8oz (Pack of 3)</t>
  </si>
  <si>
    <t>B00EV2XY7E</t>
  </si>
  <si>
    <t>278.89%</t>
  </si>
  <si>
    <t>6769972609096</t>
  </si>
  <si>
    <t>TIGI Catwalk Curls Rock Amplifier 5.07 Oz (Pack of 7)</t>
  </si>
  <si>
    <t>B0C37XXY3T</t>
  </si>
  <si>
    <t>231.80%</t>
  </si>
  <si>
    <t>Bed head by tigi manipulator matte 2 oz</t>
  </si>
  <si>
    <t>TIGI Bed Head Manipulator Matte Wax, 2 oz (Pack of 4)</t>
  </si>
  <si>
    <t>B01IAEVDEY</t>
  </si>
  <si>
    <t>228.23%</t>
  </si>
  <si>
    <t>6769970937928</t>
  </si>
  <si>
    <t>Catwalk by tigi oatmeal &amp; honey shampoo 10.14 oz</t>
  </si>
  <si>
    <t>Tigi Catwalk Honey &amp; Oatmeal Shampoo (12 oz) and Conditioner (8.5 oz) by TIGI Ãƒ¦Ã‚ÂÃ‚ÂÃƒ¥Ã‚ÂŸÃ‚º</t>
  </si>
  <si>
    <t>B01M0X10TH</t>
  </si>
  <si>
    <t>221.04%</t>
  </si>
  <si>
    <t>6769972904008</t>
  </si>
  <si>
    <t>Catwalk by tigi oatmeal &amp; honey conditioner 8.45 oz</t>
  </si>
  <si>
    <t>220.20%</t>
  </si>
  <si>
    <t>6769972936776</t>
  </si>
  <si>
    <t>Bed head by tigi recovery shampoo 3.38 oz</t>
  </si>
  <si>
    <t>8.09</t>
  </si>
  <si>
    <t>217.92%</t>
  </si>
  <si>
    <t>6769972478024</t>
  </si>
  <si>
    <t>Bed Head by TIGI Shampoo &amp; Conditioner For Dry Hair Recovery With Prickly Pear Cactus Extract 2 x 25.36 fl oz,Citrus</t>
  </si>
  <si>
    <t>B0BRT9LM3J</t>
  </si>
  <si>
    <t>208.90%</t>
  </si>
  <si>
    <t>Bed head by tigi resurrection conditioner 3.38 oz</t>
  </si>
  <si>
    <t>TIGI Bed Head Shampoo &amp; Conditioner For Damaged Hair Resurrection Infused With The Resurrection Plant 2 x 25.36 fl oz</t>
  </si>
  <si>
    <t>B0BRTBN9PB</t>
  </si>
  <si>
    <t>6769972510792</t>
  </si>
  <si>
    <t>Bed head by tigi resurrection shampoo 3.38 oz</t>
  </si>
  <si>
    <t>6769972543560</t>
  </si>
  <si>
    <t>Bed Head by TIGI Urban Antidotes Resurrection Shampoo and Conditioner for Damaged Hair 25.36 fl oz 2 count</t>
  </si>
  <si>
    <t>B003T18TE6</t>
  </si>
  <si>
    <t>208.11%</t>
  </si>
  <si>
    <t>Bed head by tigi queen for a day thickening spray 10.5 oz</t>
  </si>
  <si>
    <t>TIGI Bed Head Superstar Queen For a Day Thickening Spray - For Long Lasting Hold, Volume &amp; Lift, Amplifes Body &amp; Texture, Thickens, Strengthens &amp; Conditions Hair, Natural Finish, 10.2 oz (Pack of 5)</t>
  </si>
  <si>
    <t>B00GBE9LEK</t>
  </si>
  <si>
    <t>202.98%</t>
  </si>
  <si>
    <t>6769971888200</t>
  </si>
  <si>
    <t>196.04%</t>
  </si>
  <si>
    <t>Bed head by tigi urban anti+dotes resurrection conditioner 2.5 oz</t>
  </si>
  <si>
    <t>TIGI Bed Head Urban Anti+dotes Resurrection Conditioner level-3 25.36 oz (Pack Of 1)</t>
  </si>
  <si>
    <t>B006A6TU5Y</t>
  </si>
  <si>
    <t>195.71%</t>
  </si>
  <si>
    <t>6769970479176</t>
  </si>
  <si>
    <t>TIGI Bed Head Manipulator Matte Wax, 2 oz (Pack of 6)</t>
  </si>
  <si>
    <t>B01IAEVFWO</t>
  </si>
  <si>
    <t>193.18%</t>
  </si>
  <si>
    <t>Bed head by tigi flexi head hair spray 10.6 oz</t>
  </si>
  <si>
    <t>Tigi Bed Head Flexi Head Strong Flexible Hold Hair Spray for Unisex, 10.6 Ounce - Pack of 2</t>
  </si>
  <si>
    <t>B00XIP6QWK</t>
  </si>
  <si>
    <t>20.7</t>
  </si>
  <si>
    <t>185.60%</t>
  </si>
  <si>
    <t>6769970905160</t>
  </si>
  <si>
    <t>Bed head by tigi straighten out anti-frizz serum for show stopping smooth &amp; shine 3.38 oz</t>
  </si>
  <si>
    <t>TIGI Bed Head Straighten Out Anti Frizz Serum for Smooth Shiny Hair 3.38 fl oz (Pack of 4)</t>
  </si>
  <si>
    <t>B0BK1ZHNZM</t>
  </si>
  <si>
    <t>182.63%</t>
  </si>
  <si>
    <t>6769972052040</t>
  </si>
  <si>
    <t>Bed Head by TIGI Urban Antidotes Re-Energize Daily Shampoo and Conditioner 25.36 fl oz 2 count</t>
  </si>
  <si>
    <t>B003T1CQDQ</t>
  </si>
  <si>
    <t>176.27%</t>
  </si>
  <si>
    <t>Bed Head by TIGI Superstar Queen For a Day Thickening Spray 10.2 Oz (Pack of 5)</t>
  </si>
  <si>
    <t>B0C4QTYM1F</t>
  </si>
  <si>
    <t>173.08%</t>
  </si>
  <si>
    <t>TIGI Bed Head Manipulator Styling Cream 2.0 oz. Pack of 4</t>
  </si>
  <si>
    <t>B0731GYGCF</t>
  </si>
  <si>
    <t>172.73%</t>
  </si>
  <si>
    <t>172.63%</t>
  </si>
  <si>
    <t>Bed head by tigi moisture maniac conditioner 13.53 oz</t>
  </si>
  <si>
    <t>Bed Head Tigi Moisture Maniac Moisturizing Shampoo 13.53oz &amp; Moisture Maniac Moisturising Conditioner 8.45oz</t>
  </si>
  <si>
    <t>B017TETEL0</t>
  </si>
  <si>
    <t>168.69%</t>
  </si>
  <si>
    <t>6769971560520</t>
  </si>
  <si>
    <t>Bed head by tigi foxy curls extreme curl mousse 8.45 oz</t>
  </si>
  <si>
    <t>Bed Head by TIGI Foxy CurlsTM Curly Hair Mousse for Strong Hold 8.4 oz (Pack of 4)</t>
  </si>
  <si>
    <t>B09RZLDM4R</t>
  </si>
  <si>
    <t>167.63%</t>
  </si>
  <si>
    <t>6769971232840</t>
  </si>
  <si>
    <t>Bed head by tigi resurrection shampoo 8.45 oz</t>
  </si>
  <si>
    <t>Tigi Bed Head Urban Antidotes Resurrection Shampoo Damage Level 3 25.36 Oz (Pack Of 2)</t>
  </si>
  <si>
    <t>B09BK81WTZ</t>
  </si>
  <si>
    <t>13.5</t>
  </si>
  <si>
    <t>166.59%</t>
  </si>
  <si>
    <t>6769971462216</t>
  </si>
  <si>
    <t>Bed head by tigi stick - a hair stick for cool people 2.7 oz</t>
  </si>
  <si>
    <t>BED HEAD by Tigi STICK - A HAIR STICK FOR COOL PEOPLE 2.7 OZ for UNISEX -(Package Of 3)</t>
  </si>
  <si>
    <t>B000NTZDHI</t>
  </si>
  <si>
    <t>149.72%</t>
  </si>
  <si>
    <t>6769971134536</t>
  </si>
  <si>
    <t>Bed Head Small Talk 3-in-1 Thickifier by TIGI- 8oz</t>
  </si>
  <si>
    <t>B001EWF29M</t>
  </si>
  <si>
    <t>142.93%</t>
  </si>
  <si>
    <t>Bed head by tigi resurrection shampoo 13.53 oz</t>
  </si>
  <si>
    <t>142.36%</t>
  </si>
  <si>
    <t>6769972346952</t>
  </si>
  <si>
    <t>Catwalk by tigi sleek mystique look-lock hair spray 9.2 oz</t>
  </si>
  <si>
    <t>TIGI Catwalk Straight Collection Sleek Mystique Look-lock Hair Spray, 9.2 Ounce (Pack of 3)</t>
  </si>
  <si>
    <t>B075G239KR</t>
  </si>
  <si>
    <t>140.91%</t>
  </si>
  <si>
    <t>6769972740168</t>
  </si>
  <si>
    <t>139.56%</t>
  </si>
  <si>
    <t>TIGI Catwalk Curl Collection Curlesque Curls Rock Amplifier, 5.07 Ounce, (2 Pack)</t>
  </si>
  <si>
    <t>B00V8TK29Q</t>
  </si>
  <si>
    <t>138.04%</t>
  </si>
  <si>
    <t>129.91%</t>
  </si>
  <si>
    <t>Bed head by tigi lightheaded hairspray light hold 5.5 oz</t>
  </si>
  <si>
    <t>Bed Head by TIGI Masterpiece Shiny Hairspray with Strong Hold 10.3 Oz (Pack of 2)</t>
  </si>
  <si>
    <t>B0C4R4X1N5</t>
  </si>
  <si>
    <t>128.64%</t>
  </si>
  <si>
    <t>6769972150344</t>
  </si>
  <si>
    <t>Tigi Bed Head Urban Antidotes Recovery Shampoo, 2.54 Ounce</t>
  </si>
  <si>
    <t>B07CRD1BZV</t>
  </si>
  <si>
    <t>116.06%</t>
  </si>
  <si>
    <t>Bed head by tigi colour goddess oil infused shampoo for coloured hair 13.5 oz</t>
  </si>
  <si>
    <t>TIGI Bed Head Colour Goddess Shampoo &amp; Conditioner Bundle for Coloured Hair 13.53 fl oz</t>
  </si>
  <si>
    <t>B0BNWF9TQ8</t>
  </si>
  <si>
    <t>115.49%</t>
  </si>
  <si>
    <t>6769970708552</t>
  </si>
  <si>
    <t>Bed head men by tigi wise up scalp shampoo 8.45 oz</t>
  </si>
  <si>
    <t>Tigi Bed Head B for Men Clean Up Kit By for Men - 2 Pc Kit 25.36 Oz Shampoo, 25.36 Oz Conditioner, 2count</t>
  </si>
  <si>
    <t>B01BVV6CVM</t>
  </si>
  <si>
    <t>114.74%</t>
  </si>
  <si>
    <t>6769973690440</t>
  </si>
  <si>
    <t>Bed Head by TIGI Small Talk MINI 3-in-1 Thicking Cream 4.2 Oz (Pack of 2)</t>
  </si>
  <si>
    <t>B0C4R1537H</t>
  </si>
  <si>
    <t>112.02%</t>
  </si>
  <si>
    <t>TIGI Bed Head Superstar Queen for a Day Thickening Spray, 10.2 oz (Pack of 3)</t>
  </si>
  <si>
    <t>B00GBE5EJ6</t>
  </si>
  <si>
    <t>TIGI Bed Head Foxy CurlsTM Curly Hair Mousse for Strong Hold 8.4 oz (Pack of 3)</t>
  </si>
  <si>
    <t>B08ZNT9QL4</t>
  </si>
  <si>
    <t>107.02%</t>
  </si>
  <si>
    <t>TIGI Bed Hard Head Extra Strong Hold Hair Spray, 10.6 Ounce (Pack of 2)</t>
  </si>
  <si>
    <t>B003E0ZZC6</t>
  </si>
  <si>
    <t>102.80%</t>
  </si>
  <si>
    <t>TIGI Bed Head Moisture Maniac Moisturizing Conditioner, 25.36 oz</t>
  </si>
  <si>
    <t>B0054Y2Y3I</t>
  </si>
  <si>
    <t>100.00%</t>
  </si>
  <si>
    <t>TIGI Bedhead Foxy Curls Extreme Curl Mousse, 8.45 oz, 2 pk by TIGI</t>
  </si>
  <si>
    <t>B01N9OY5BM</t>
  </si>
  <si>
    <t>96.67%</t>
  </si>
  <si>
    <t>TIGI Catwalk Shampoo and Conditioner, Oatmeal &amp; Honey, 25.36 Oz With Pumps</t>
  </si>
  <si>
    <t>B074QWY4VV</t>
  </si>
  <si>
    <t>95.61%</t>
  </si>
  <si>
    <t>95.10%</t>
  </si>
  <si>
    <t>Catwalk by tigi your highness elevating conditioner for fine lifeless hair 8.45 oz</t>
  </si>
  <si>
    <t>TIGI Catwalk by tigi your highness elevating conditioner for fine, lifeless hair, 25.36 Ounce</t>
  </si>
  <si>
    <t>B00EVWYBYO</t>
  </si>
  <si>
    <t>13.49</t>
  </si>
  <si>
    <t>92.66%</t>
  </si>
  <si>
    <t>6769972674632</t>
  </si>
  <si>
    <t>TIGI Bed Head RESURRECTION REPAIR CONDITIONER FOR DAMAGED HAIR 20.29 fl oz</t>
  </si>
  <si>
    <t>B08X8SD5BH</t>
  </si>
  <si>
    <t>85.41%</t>
  </si>
  <si>
    <t>Bed head men by tigi charge up conditioner 6.7 oz</t>
  </si>
  <si>
    <t>BED HEAD MEN by Tigi CHARGE UP CONDITIONER 25 OZ</t>
  </si>
  <si>
    <t>B00BE5BDEW</t>
  </si>
  <si>
    <t>85.26%</t>
  </si>
  <si>
    <t>6769973657672</t>
  </si>
  <si>
    <t>TIGI Catwalk Curls Rock Amplifier 5.07 Oz (Pack of 2)</t>
  </si>
  <si>
    <t>B0C37XGYY6</t>
  </si>
  <si>
    <t>84.07%</t>
  </si>
  <si>
    <t>81.82%</t>
  </si>
  <si>
    <t>Bed head by tigi brunette goddess shine spray 4.23 oz</t>
  </si>
  <si>
    <t>Bed Head by TIGI Headrush Shine Mist Hair Spray 5.3 Oz (Pack of 2)</t>
  </si>
  <si>
    <t>B0C4R6QJJD</t>
  </si>
  <si>
    <t>77.98%</t>
  </si>
  <si>
    <t>6769971298376</t>
  </si>
  <si>
    <t>Bed head by tigi recovery conditioner 25.36 oz</t>
  </si>
  <si>
    <t>77.88%</t>
  </si>
  <si>
    <t>6769971363912</t>
  </si>
  <si>
    <t>Bed head by tigi resurrection conditioner 6.76 oz</t>
  </si>
  <si>
    <t>Bed Head Urban Antidotes/Tigi Resurrection Conditioner 6.76 Oz</t>
  </si>
  <si>
    <t>B00EDKRVXW</t>
  </si>
  <si>
    <t>14.4</t>
  </si>
  <si>
    <t>73.54%</t>
  </si>
  <si>
    <t>6769971494984</t>
  </si>
  <si>
    <t>Bed head by tigi recovery shampoo 13.53 oz</t>
  </si>
  <si>
    <t>73.20%</t>
  </si>
  <si>
    <t>6769972248648</t>
  </si>
  <si>
    <t>TIGI BED HEAD RECOVERY MOISTURIZING SHAMPOO FOR DRY HAIR 20.29 fl oz</t>
  </si>
  <si>
    <t>B08XJNMX5T</t>
  </si>
  <si>
    <t>71.20%</t>
  </si>
  <si>
    <t>Catwalk by tigi session series finishing hair spray 9.2 oz</t>
  </si>
  <si>
    <t>tigi catwalk X3 session series finishing hair spray 8.3 onz each retail $ 63.00</t>
  </si>
  <si>
    <t>B007W4DKWW</t>
  </si>
  <si>
    <t>69.19%</t>
  </si>
  <si>
    <t>6769973035080</t>
  </si>
  <si>
    <t>68.28%</t>
  </si>
  <si>
    <t>Bed head by tigi resurrection conditioner 13.53 oz</t>
  </si>
  <si>
    <t>6769972314184</t>
  </si>
  <si>
    <t>Bed Head by TIGI Foxy CurlsTM Curly Hair Mousse for Strong Hold 8.4 oz (Pack of 2)</t>
  </si>
  <si>
    <t>B08ZNSCGYY</t>
  </si>
  <si>
    <t>68.18%</t>
  </si>
  <si>
    <t>TIGI Bed Head RESURRECTION REPAIR SHAMPOO FOR DAMAGED HAIR 13.53 fl oz</t>
  </si>
  <si>
    <t>B093FWKM1H</t>
  </si>
  <si>
    <t>67.86%</t>
  </si>
  <si>
    <t>TIGI Bed Head Shampoo &amp; Conditioner For Colored Hair Colour Goddess With Sweet Almond &amp; Coconut Oils 2 x 25.36 fl oz</t>
  </si>
  <si>
    <t>B0BRTB98JS</t>
  </si>
  <si>
    <t>67.68%</t>
  </si>
  <si>
    <t>Bed head by tigi resurrection shampoo 25.36 oz</t>
  </si>
  <si>
    <t>21.59</t>
  </si>
  <si>
    <t>66.70%</t>
  </si>
  <si>
    <t>6769971396680</t>
  </si>
  <si>
    <t>66.32%</t>
  </si>
  <si>
    <t>Tigi s factor stunning volume shampoo 8.45 oz</t>
  </si>
  <si>
    <t>TIGI S-Factor Stunning Volume Shampoo for Unisex Fine Flat Hair, 25.36 Ounce</t>
  </si>
  <si>
    <t>B00NJ23DVY</t>
  </si>
  <si>
    <t>66.30%</t>
  </si>
  <si>
    <t>6769973166152</t>
  </si>
  <si>
    <t>Bed Head by TIGI Masterpiece Shiny Hairspray for Strong Hold Travel Size 2.4 Oz (Pack of 2)</t>
  </si>
  <si>
    <t>B0C4QWXTLT</t>
  </si>
  <si>
    <t>65.05%</t>
  </si>
  <si>
    <t>Bed head by tigi recovery shampoo 25.36 oz</t>
  </si>
  <si>
    <t>63.13%</t>
  </si>
  <si>
    <t>6769971331144</t>
  </si>
  <si>
    <t>61.28%</t>
  </si>
  <si>
    <t>Bed head by tigi elasticate conditioner 6.76 oz</t>
  </si>
  <si>
    <t>Elasticate by TIGI Bed Head Shampoo 250ml &amp; Conditioner 200ml 250ml</t>
  </si>
  <si>
    <t>B009UGNSCW</t>
  </si>
  <si>
    <t>60.35%</t>
  </si>
  <si>
    <t>6769970577480</t>
  </si>
  <si>
    <t>Tigi Catwalk Oatmeal &amp; Honey Shampoo (Size 10.14 oz) and Conditioner (Size 8.45 oz) Duo pack</t>
  </si>
  <si>
    <t>B01LYNEGFF</t>
  </si>
  <si>
    <t>58.91%</t>
  </si>
  <si>
    <t>Bed head by tigi colour combat colour goddess leave-in conditioner 8.45 oz</t>
  </si>
  <si>
    <t>BED HEAD by Tigi COLOUR COMBAT COLOUR GODDESS LEAVE-IN CONDITIONER 8.45 OZ ( Package Of 2 )</t>
  </si>
  <si>
    <t>B00GBEX3IA</t>
  </si>
  <si>
    <t>12.56</t>
  </si>
  <si>
    <t>58.84%</t>
  </si>
  <si>
    <t>6769971265608</t>
  </si>
  <si>
    <t>Bed head by tigi dumb blonde shampoo for chemically treated hair 13.5 oz</t>
  </si>
  <si>
    <t>Bed Head by TIGI Dumb Blonde Shampoo and Conditioner for Blonde Hair 25.36 fl oz 2 count</t>
  </si>
  <si>
    <t>B001DDCW6S</t>
  </si>
  <si>
    <t>58.68%</t>
  </si>
  <si>
    <t>6769970675784</t>
  </si>
  <si>
    <t>58.50%</t>
  </si>
  <si>
    <t>Bed head by tigi moisture maniac conditioner 25.36 oz</t>
  </si>
  <si>
    <t>TIGI Bed Head Moisture Maniac Shampoo - For Lightweight Moisture, Replensishes Shine &amp; Smoothness, Moisturizes Hair, For All Hair Types, 25.36 oz (Pack of 1)</t>
  </si>
  <si>
    <t>B000G014X6</t>
  </si>
  <si>
    <t>6769971167304</t>
  </si>
  <si>
    <t>Bed head by tigi recharge conditioner 6.76 oz</t>
  </si>
  <si>
    <t>TIGI Bed Head Hi-Def Curls Conditioner 6.76 oz</t>
  </si>
  <si>
    <t>B008JGZ7KK</t>
  </si>
  <si>
    <t>56.25%</t>
  </si>
  <si>
    <t>6769970610248</t>
  </si>
  <si>
    <t>Bed Head by TIGI Shampoo and Conditioner For Dry Hair Moisture Maniac Sulfate-Free Shampoo &amp; Moisturizing Conditioner with Argan Oil 25.36 fl oz 2 count</t>
  </si>
  <si>
    <t>B09VLG4BRX</t>
  </si>
  <si>
    <t>54.81%</t>
  </si>
  <si>
    <t>Bed head by tigi elasticate shampoo 8.45 oz</t>
  </si>
  <si>
    <t>12.6</t>
  </si>
  <si>
    <t>53.81%</t>
  </si>
  <si>
    <t>6769970544712</t>
  </si>
  <si>
    <t>TIGI Bed Head Urban Anti+dotes Recovery Shampoo Damage Level 2, 25.36-Ounce (Pack of 2)</t>
  </si>
  <si>
    <t>B0BGQPZ4YK</t>
  </si>
  <si>
    <t>52.39%</t>
  </si>
  <si>
    <t>Bed Head Some Like It Hot Heat &amp; Humidity Resistant Sulfate-Free Shampoo - Tigi - Bed Head - Hair Care - 250ml/8.45oz</t>
  </si>
  <si>
    <t>B0036G5BAE</t>
  </si>
  <si>
    <t>52.38%</t>
  </si>
  <si>
    <t>50.51%</t>
  </si>
  <si>
    <t>Bed head men by tigi matte separation wax 3 oz</t>
  </si>
  <si>
    <t>Bed Head by TIGI Manipulator MatteTM Hair Wax Paste with Strong Hold 2 oz (Pack of 3)</t>
  </si>
  <si>
    <t>B08ZYXFY1J</t>
  </si>
  <si>
    <t>19.35</t>
  </si>
  <si>
    <t>49.35%</t>
  </si>
  <si>
    <t>6769973755976</t>
  </si>
  <si>
    <t>Bed Head By TIGI Colour Goddess Shampoo And Conditioner For Coloured Hair 25.35 Fl Oz 2 Count, Clean</t>
  </si>
  <si>
    <t>B0127XF0CA</t>
  </si>
  <si>
    <t>47.54%</t>
  </si>
  <si>
    <t>45.96%</t>
  </si>
  <si>
    <t>TIGI Bed Head Urban Anti+Dotes Recovery Conditioner, 25.36 oz (Pack of 4)</t>
  </si>
  <si>
    <t>B01IAEN6SU</t>
  </si>
  <si>
    <t>45.10%</t>
  </si>
  <si>
    <t>Brunette Goddess Shine Spray 4.23 Oz By Bed Head</t>
  </si>
  <si>
    <t>B00DULXCHE</t>
  </si>
  <si>
    <t>44.17%</t>
  </si>
  <si>
    <t>Bed head by tigi dumb blonde reconstructor 6.7 oz</t>
  </si>
  <si>
    <t>Tigi Tigi Bed Head Dumb Blonde Shampoo &amp; Reconstructor Conditioner Duo Pack, 50 Oz</t>
  </si>
  <si>
    <t>B00HEMAWQY</t>
  </si>
  <si>
    <t>16.07</t>
  </si>
  <si>
    <t>43.93%</t>
  </si>
  <si>
    <t>6769971069000</t>
  </si>
  <si>
    <t>43.56%</t>
  </si>
  <si>
    <t>B01AC3TC0S</t>
  </si>
  <si>
    <t>42.87%</t>
  </si>
  <si>
    <t>42.19%</t>
  </si>
  <si>
    <t>TIGI Bed Head Small Talk Thickening Cream Unisex Cream 8.12 oz</t>
  </si>
  <si>
    <t>B08R4VQ3WX</t>
  </si>
  <si>
    <t>40.51%</t>
  </si>
  <si>
    <t>34.58%</t>
  </si>
  <si>
    <t>Bed Head by TIGI Manipulator Matte Wax Gel 2 Oz (Pack of 2)</t>
  </si>
  <si>
    <t>B0C4QWNCZF</t>
  </si>
  <si>
    <t>33.54%</t>
  </si>
  <si>
    <t>TIGI Bed Head for Men Pure Texture Molding Paste 2.93 oz (Pack of 2)</t>
  </si>
  <si>
    <t>B01IAFDDRI</t>
  </si>
  <si>
    <t>32.59%</t>
  </si>
  <si>
    <t>Bed head by tigi blow-out golden illuminating shine cream 3.4 oz</t>
  </si>
  <si>
    <t>TIGI Bed Head Blow-Out Golden Illuminating Shine Cream, 3.4 oz (Pack of 3)</t>
  </si>
  <si>
    <t>B01IAEUCKK</t>
  </si>
  <si>
    <t>31.40%</t>
  </si>
  <si>
    <t>6769970741320</t>
  </si>
  <si>
    <t>31.21%</t>
  </si>
  <si>
    <t>Bed head men by tigi dense up style building shampoo 8.5 oz</t>
  </si>
  <si>
    <t>Bed Head for Men by Tigi Dense Up Mens Thickening Style Building Shampoo 750 ml</t>
  </si>
  <si>
    <t>B07GJP93JJ</t>
  </si>
  <si>
    <t>15.29</t>
  </si>
  <si>
    <t>30.74%</t>
  </si>
  <si>
    <t>6769973821512</t>
  </si>
  <si>
    <t>30.51%</t>
  </si>
  <si>
    <t>29.90%</t>
  </si>
  <si>
    <t>Tigi Bed Head Urban Anti+dotes Recovery Conditioner Damage Level 2, 25.36-Ounce (Pack of 2)</t>
  </si>
  <si>
    <t>B005NOQ6CY</t>
  </si>
  <si>
    <t>29.39%</t>
  </si>
  <si>
    <t>29.17%</t>
  </si>
  <si>
    <t>Bed head by tigi back it up texturizing cream 4.23 oz</t>
  </si>
  <si>
    <t>Bed Head by TIGI Back It UpTM Texturizing Cream for Shape and Texture 125ml (Pack of 2)</t>
  </si>
  <si>
    <t>B08ZWRYKQF</t>
  </si>
  <si>
    <t>28.89%</t>
  </si>
  <si>
    <t>6769972117576</t>
  </si>
  <si>
    <t>TIGI Bed Head Manipulator - Styling Gel, Thickens Hair, Adds Control, Workable Hold &amp; Definition, Build Texture, Fight Frizz &amp; Humidity, 2 oz (2 pack)</t>
  </si>
  <si>
    <t>B00NFUQST4</t>
  </si>
  <si>
    <t>28.79%</t>
  </si>
  <si>
    <t>Tigi Bed Head Men Charge Up Conditioner, 6.76 Ounce</t>
  </si>
  <si>
    <t>B0717BM37F</t>
  </si>
  <si>
    <t>27.90%</t>
  </si>
  <si>
    <t>25.25%</t>
  </si>
  <si>
    <t>Tigi Catwalk Oatmeal &amp; Honey Shampoo (For Damaged Hair) 750ml/25.36oz</t>
  </si>
  <si>
    <t>B009QZBCTS</t>
  </si>
  <si>
    <t>25.23%</t>
  </si>
  <si>
    <t>25.06%</t>
  </si>
  <si>
    <t>Tigi Bed Head Dumb Blonde Reconstructor (For Chemically Treated Hair) 750ml/25.36oz</t>
  </si>
  <si>
    <t>B00SJKNA5A</t>
  </si>
  <si>
    <t>25.02%</t>
  </si>
  <si>
    <t>Tigi Bed Head Urban Anti+dotes Recovery Shampoo Damage Level 2, 25.36-Ounce | Pack of 2</t>
  </si>
  <si>
    <t>B00MME7CCQ</t>
  </si>
  <si>
    <t>25.01%</t>
  </si>
  <si>
    <t>Bed head by tigi resurrection shampoo 32.8 oz</t>
  </si>
  <si>
    <t>28.8</t>
  </si>
  <si>
    <t>24.97%</t>
  </si>
  <si>
    <t>6769972412488</t>
  </si>
  <si>
    <t>Bed head by tigi manipulator 1 oz</t>
  </si>
  <si>
    <t>TIGI Bed Head Manipulator texturizing Putty with Firm Hold 2.01 oz</t>
  </si>
  <si>
    <t>B08R4XX2QR</t>
  </si>
  <si>
    <t>23.74%</t>
  </si>
  <si>
    <t>6769970413640</t>
  </si>
  <si>
    <t>TIGI Bed Head Moisture Maniac Moisturizing Conditioner, 25.36 Ounce</t>
  </si>
  <si>
    <t>B000FZXGH4</t>
  </si>
  <si>
    <t>20.94%</t>
  </si>
  <si>
    <t>TIGI Bed Head Urban Anti+Dotes Recovery Conditioner, 25.36 oz (Pack of 3)</t>
  </si>
  <si>
    <t>B01IAEN55O</t>
  </si>
  <si>
    <t>20.00%</t>
  </si>
  <si>
    <t>Tigi Bed Head For Men Charge Up Thickening Conditioner (200ml)</t>
  </si>
  <si>
    <t>B019JE27RG</t>
  </si>
  <si>
    <t>19.18%</t>
  </si>
  <si>
    <t>19.13%</t>
  </si>
  <si>
    <t>Tigi Bed Head Urban Antidotes Conditioner, Recovery, 25.36 Ounce</t>
  </si>
  <si>
    <t>B00450LEX8</t>
  </si>
  <si>
    <t>16.11%</t>
  </si>
  <si>
    <t>TIGI Bed Head Urban Antidotes Re-Energize Shampoo 25.36 oz (Pack of 2)</t>
  </si>
  <si>
    <t>B0127Y9CI2</t>
  </si>
  <si>
    <t>15.19%</t>
  </si>
  <si>
    <t>Tigi Bed Head For Men Wise Up Scalp Shampoo (250ml) (Pack of 2)</t>
  </si>
  <si>
    <t>B01M7XRU53</t>
  </si>
  <si>
    <t>13.33%</t>
  </si>
  <si>
    <t>Bed head by tigi colour goddess oil infused shampoo for coloured hair 32.8 oz</t>
  </si>
  <si>
    <t>11.11%</t>
  </si>
  <si>
    <t>6769971757128</t>
  </si>
  <si>
    <t>10.93%</t>
  </si>
  <si>
    <t>Tigi Bed Head Tigi Bed Head Dumb Blonde Reconstructor Conditioner, 25.36 Oz, 1 Lb</t>
  </si>
  <si>
    <t>B077Y81BF2</t>
  </si>
  <si>
    <t>8.59%</t>
  </si>
  <si>
    <t>Bed Head Men Matte Separation Workable Wax by TIGI- 3oz (2pk)</t>
  </si>
  <si>
    <t>B00Z08NA8Q</t>
  </si>
  <si>
    <t>8.48%</t>
  </si>
  <si>
    <t>Bed head by tigi resurrection conditioner 25.36 oz</t>
  </si>
  <si>
    <t>Tigi Bed Head Urban Anti+dotes Resurrection Shampoo &amp; Conditioner Damage Level 3, 25.36 Ounce(Pack of 2)</t>
  </si>
  <si>
    <t>B01AC34TS8</t>
  </si>
  <si>
    <t>7.69%</t>
  </si>
  <si>
    <t>6769971429448</t>
  </si>
  <si>
    <t>Tigi Bed Head Urban Anti+dotes Resurrection Shampoo Damage Level 3, 25.36 Ounce</t>
  </si>
  <si>
    <t>B004T19PAC</t>
  </si>
  <si>
    <t>6.44%</t>
  </si>
  <si>
    <t>Tigi Bed Head Hard Head Hair Spray, 10.6 oz</t>
  </si>
  <si>
    <t>B000LLYFUE</t>
  </si>
  <si>
    <t>6.23%</t>
  </si>
  <si>
    <t>BED HEAD by Tigi, DUMB BLONDE RECONSTRUCTOR 6.7 OZ</t>
  </si>
  <si>
    <t>B0014XOWJM</t>
  </si>
  <si>
    <t>5.97%</t>
  </si>
  <si>
    <t>TIGI Catwalk Straight Collection Sleek Mystique Look-lock Hair Spray, 9.2 Ounce</t>
  </si>
  <si>
    <t>B00BVOAQ8K</t>
  </si>
  <si>
    <t>4.90%</t>
  </si>
  <si>
    <t>Bed head men by tigi clean up peppermint conditioner 25.36 oz (gold packaging)</t>
  </si>
  <si>
    <t>27.72</t>
  </si>
  <si>
    <t>4.58%</t>
  </si>
  <si>
    <t>6769973788744</t>
  </si>
  <si>
    <t>4.17%</t>
  </si>
  <si>
    <t>TIGI Bed Head Purple Toning Shampoo for Chemically Treated Hair Serial Blonde Sulfate-Free Shampoo 13.53 fl oz</t>
  </si>
  <si>
    <t>B09JC6NWVQ</t>
  </si>
  <si>
    <t>4.10%</t>
  </si>
  <si>
    <t>Bed head by tigi totally beachin' shampoo 8.45 oz</t>
  </si>
  <si>
    <t>Tigi Bed Head Fully Loaded Massive Volume Shampoo 8.45 Oz by Tigi Bed Head</t>
  </si>
  <si>
    <t>B01GR1RSVO</t>
  </si>
  <si>
    <t>3.47%</t>
  </si>
  <si>
    <t>6769970872392</t>
  </si>
  <si>
    <t>Bed head by tigi after party smoothing cream for silky shiny hair 3.4 oz</t>
  </si>
  <si>
    <t>Bed Head by TIGI After Party Smoothing Cream for Shiny Hair Travel Size 50ml 1 ea (Pack of 3)</t>
  </si>
  <si>
    <t>B08ZW3HD5N</t>
  </si>
  <si>
    <t>22.05</t>
  </si>
  <si>
    <t>1.27%</t>
  </si>
  <si>
    <t>6769970970696</t>
  </si>
  <si>
    <t>Catwalk by tigi fashionista brunette mask for warm tones 7.05 oz</t>
  </si>
  <si>
    <t>Tigi Catwalk Fashionista Brunette Conditioner (For Warm Tones) 750ml/25.36oz</t>
  </si>
  <si>
    <t>B07C3Z923R</t>
  </si>
  <si>
    <t>1.16%</t>
  </si>
  <si>
    <t>6769973100616</t>
  </si>
  <si>
    <t>1.01%</t>
  </si>
  <si>
    <t>TIGI Bed Head Masterpiece Shiny Hairspray for Strong Hold Travel Size 2.4 oz</t>
  </si>
  <si>
    <t>B08XWHZBF1</t>
  </si>
  <si>
    <t>0.91%</t>
  </si>
  <si>
    <t>Bed head by tigi gimme grip texturizing shampoo 13.53 oz</t>
  </si>
  <si>
    <t>TIGI Bed Head GIMME GRIP TEXTURIZING SHAMPOO FOR HAIR TEXTURE 20.29 fl oz</t>
  </si>
  <si>
    <t>B08XJSB7WN</t>
  </si>
  <si>
    <t>0.13%</t>
  </si>
  <si>
    <t>6769971724360</t>
  </si>
  <si>
    <t>Bed head by tigi gimme grip texturizing conditioner 13.53 oz</t>
  </si>
  <si>
    <t>6769971691592</t>
  </si>
  <si>
    <t>TIGI Bed Head Foxy Curls Extreme Curl Mousse, 8.45 Ounce</t>
  </si>
  <si>
    <t>B002RS6KV6</t>
  </si>
  <si>
    <t>TIGI Catwalk Oatmeal &amp; Honey Conditioner 8.5 oz (Pack of 2)</t>
  </si>
  <si>
    <t>B01IAEKQCY</t>
  </si>
  <si>
    <t>-2.03%</t>
  </si>
  <si>
    <t>TIGI Bed Head Manipulator Matte Wax Gel for Unisex 2 Ounce (Pack of 2)</t>
  </si>
  <si>
    <t>B00Y1NIW3Y</t>
  </si>
  <si>
    <t>-2.53%</t>
  </si>
  <si>
    <t>TIGI Bed Head Manipulator Matte Hair Wax Paste with Strong Hold 2.01 oz</t>
  </si>
  <si>
    <t>B08R4Z9H3Y</t>
  </si>
  <si>
    <t>-3.13%</t>
  </si>
  <si>
    <t>Bed head by tigi down 'n dirty lightweight conditioner 13.53 oz</t>
  </si>
  <si>
    <t>TIGI Bed Head Down N' Dirty Lightweight Conditioner for Detox and Repair 20.29 fl oz</t>
  </si>
  <si>
    <t>B08X9CV5G4</t>
  </si>
  <si>
    <t>-3.37%</t>
  </si>
  <si>
    <t>6769971593288</t>
  </si>
  <si>
    <t>BED HEAD MEN by Tigi CLEAN UP PEPPERMINT CONDITIONER 6.7 OZ ( Package Of 2 )</t>
  </si>
  <si>
    <t>B00GBF1CCS</t>
  </si>
  <si>
    <t>-3.71%</t>
  </si>
  <si>
    <t>TIGI Bed Head Manipulator Matte Gel for Unisex - Maximum Long Lasting Hold, Creates Texture, Controls Frizz &amp; Flyaways, Humiditiy Resistant, 2 oz (Pack of1 )</t>
  </si>
  <si>
    <t>B00MI2SVJK</t>
  </si>
  <si>
    <t>-4.04%</t>
  </si>
  <si>
    <t>Sisley color perfecting shampoo 6.7 oz</t>
  </si>
  <si>
    <t>Sisley Hair Rituel #4 Color Perfecting Shampoo with Hibiscus Flower Extract, 6.7 Ouce</t>
  </si>
  <si>
    <t>B0847KJMMD</t>
  </si>
  <si>
    <t>63.0</t>
  </si>
  <si>
    <t>-4.14%</t>
  </si>
  <si>
    <t>6769983750216</t>
  </si>
  <si>
    <t>Catwalk Fashionista Brunette Mask (For Warm Tones) 580g/20.46oz by TIGI æåŸº</t>
  </si>
  <si>
    <t>B01JV8OE3A</t>
  </si>
  <si>
    <t>-4.76%</t>
  </si>
  <si>
    <t>TIGI Catwalk Curls Rock Amplifier, 5.07 oz</t>
  </si>
  <si>
    <t>B00NB3YG8U</t>
  </si>
  <si>
    <t>Bed Head Some Like It Hot Shampoo By Tigi, 8.45 Ounce</t>
  </si>
  <si>
    <t>B002H3DUVE</t>
  </si>
  <si>
    <t>-4.84%</t>
  </si>
  <si>
    <t>TIGI Bed Head Clean Up Daily Shampoo For Men 8.45 oz</t>
  </si>
  <si>
    <t>B002N5MI2I</t>
  </si>
  <si>
    <t>-5.32%</t>
  </si>
  <si>
    <t>Bed Head Gimme Grip Texturizing Conditioner for Hair Texture 20.29 fl oz</t>
  </si>
  <si>
    <t>B08XWL1SP8</t>
  </si>
  <si>
    <t>-5.66%</t>
  </si>
  <si>
    <t>Bed Head Colour Goddess Oil Infused Shampoo (for Coloured Hair) 400ml/13.5oz by TIGI</t>
  </si>
  <si>
    <t>B01D0SIGUO</t>
  </si>
  <si>
    <t>-6.06%</t>
  </si>
  <si>
    <t>-6.25%</t>
  </si>
  <si>
    <t>TIGI Bed Head Dumb Blonde Reconstructor Conditioner, 6.76 Ounce</t>
  </si>
  <si>
    <t>B0009I4M66</t>
  </si>
  <si>
    <t>-6.72%</t>
  </si>
  <si>
    <t>-6.73%</t>
  </si>
  <si>
    <t>TIGI Bed Head Urban Anti + Dotes Recovery Shampoo, 25.36 oz</t>
  </si>
  <si>
    <t>B01M7XA02U</t>
  </si>
  <si>
    <t>-7.41%</t>
  </si>
  <si>
    <t>Tigi S Factor Stunning Volume Shampoo &amp; Conditioner 8.5 Oz</t>
  </si>
  <si>
    <t>B00OY8SPO2</t>
  </si>
  <si>
    <t>-7.44%</t>
  </si>
  <si>
    <t>Sisley hair rituel restructuring conditioner with cotton proteins 6.7 oz</t>
  </si>
  <si>
    <t>(1) Sisley-Paris Hair Rituel Restructuring Conditioner with Cotton Proteins 6.7oz</t>
  </si>
  <si>
    <t>B07C5XZRB4</t>
  </si>
  <si>
    <t>67.5</t>
  </si>
  <si>
    <t>-7.45%</t>
  </si>
  <si>
    <t>6769985486920</t>
  </si>
  <si>
    <t>Tigi Bed Head Urban Anti+dotes Recovery Conditioner Damage Level 2, 25.36-Ounce , blue</t>
  </si>
  <si>
    <t>B004T19P0W</t>
  </si>
  <si>
    <t>-8.43%</t>
  </si>
  <si>
    <t>-8.55%</t>
  </si>
  <si>
    <t>Catwalk by tigi sleek mystique fast fixx style prep 9.13 oz</t>
  </si>
  <si>
    <t>TIGI Catwalk Straight Collection Sleek Mystique Fast Fixx Style Prep, 9.13 Ounce</t>
  </si>
  <si>
    <t>B003UHACG2</t>
  </si>
  <si>
    <t>-8.75%</t>
  </si>
  <si>
    <t>6769972707400</t>
  </si>
  <si>
    <t>TIGI Catwalk: Sleek Mystique Fast Fixx Style Prep, 9.13 oz</t>
  </si>
  <si>
    <t>B0044E8ILG</t>
  </si>
  <si>
    <t>Bed head by tigi showdown anti-frizz strong hold hairspray 5.5 oz</t>
  </si>
  <si>
    <t>TIGI Bed Head Showdown Anti-Frizz Hairspray Unisex Hair Spray 5.5 oz</t>
  </si>
  <si>
    <t>B083RGYZZ3</t>
  </si>
  <si>
    <t>-9.85%</t>
  </si>
  <si>
    <t>6769972641864</t>
  </si>
  <si>
    <t>-10.24%</t>
  </si>
  <si>
    <t>Bed head by tigi recovery shampoo 32.8 oz</t>
  </si>
  <si>
    <t>-10.69%</t>
  </si>
  <si>
    <t>6769972281416</t>
  </si>
  <si>
    <t>-11.63%</t>
  </si>
  <si>
    <t>TIGI Bed Head Urban Anti+dotes Recovery Shampoo, 25.36 Ounce, multi (B00DSDJUJI)</t>
  </si>
  <si>
    <t>B00DSDJUJI</t>
  </si>
  <si>
    <t>-12.04%</t>
  </si>
  <si>
    <t>TIGI Bed Head GIMME GRIP TEXTURIZING SHAMPOO FOR HAIR TEXTURE 13.53 fl oz</t>
  </si>
  <si>
    <t>B093CXM4K6</t>
  </si>
  <si>
    <t>-12.53%</t>
  </si>
  <si>
    <t>TIGI Bed Head Dumb Blonde Reconstructor Conditioner 6.76 oz</t>
  </si>
  <si>
    <t>B00B5PD3JO</t>
  </si>
  <si>
    <t>-12.94%</t>
  </si>
  <si>
    <t>Sisley sisley hair rituel revitalizing serum for the scalp 2 oz</t>
  </si>
  <si>
    <t>Sisley Hair Rituel Revitalizing Fortiying Serum 60 ml / 2 oz</t>
  </si>
  <si>
    <t>B079Q9DRN5</t>
  </si>
  <si>
    <t>175.5</t>
  </si>
  <si>
    <t>-13.03%</t>
  </si>
  <si>
    <t>6769985388616</t>
  </si>
  <si>
    <t>-13.23%</t>
  </si>
  <si>
    <t>-13.54%</t>
  </si>
  <si>
    <t>Bed Head by TIGI Resurrection Repair Shampoo for Damaged Hair 600ml</t>
  </si>
  <si>
    <t>B08R4ZR4F1</t>
  </si>
  <si>
    <t>-13.60%</t>
  </si>
  <si>
    <t>Tigi Bed Head Stick - A Hair Stick For Cool People (Soft Pliable Hold That Creates Texture) 75ml/2.7oz</t>
  </si>
  <si>
    <t>B01J7RZVI2</t>
  </si>
  <si>
    <t>-13.73%</t>
  </si>
  <si>
    <t>-13.77%</t>
  </si>
  <si>
    <t>-13.85%</t>
  </si>
  <si>
    <t>Catwalk by tigi sleek mystique calming conditioner 8.45 oz</t>
  </si>
  <si>
    <t>Tigi Catwalk Sleek Mystique Calming Conditioner, 8.45 Ounce</t>
  </si>
  <si>
    <t>B003VHXBBO</t>
  </si>
  <si>
    <t>16.16</t>
  </si>
  <si>
    <t>-13.86%</t>
  </si>
  <si>
    <t>6769972772936</t>
  </si>
  <si>
    <t>TIGI Bed Head Blow Out Golden Illuminating Shine Cream, 3.4 Oz</t>
  </si>
  <si>
    <t>B01HQH9VVI</t>
  </si>
  <si>
    <t>-15.51%</t>
  </si>
  <si>
    <t>TIGI Bed Head Gimme Grip Texturizing Conditioner for Hair Texture 13.53 fl oz</t>
  </si>
  <si>
    <t>B093CX4HYB</t>
  </si>
  <si>
    <t>-16.30%</t>
  </si>
  <si>
    <t>-16.84%</t>
  </si>
  <si>
    <t>Tigi copyright custom care shine booster 15.22 oz</t>
  </si>
  <si>
    <t>TIGI Copyright Shine Booster - 15.22oz</t>
  </si>
  <si>
    <t>B07MXNG5V2</t>
  </si>
  <si>
    <t>28.79</t>
  </si>
  <si>
    <t>-17.12%</t>
  </si>
  <si>
    <t>6769973592136</t>
  </si>
  <si>
    <t>Bed head by tigi recovery conditioner 32.8 oz</t>
  </si>
  <si>
    <t>30.59</t>
  </si>
  <si>
    <t>-18.31%</t>
  </si>
  <si>
    <t>6769972215880</t>
  </si>
  <si>
    <t>-19.18%</t>
  </si>
  <si>
    <t>B003XJDE6W</t>
  </si>
  <si>
    <t>-19.78%</t>
  </si>
  <si>
    <t>Tigi Bed Head Urban Anti+dotes Recovery Shampoo Damage Level 2, 25.36-Ounce(pack of 1),750 milliliters</t>
  </si>
  <si>
    <t>B004T19P16</t>
  </si>
  <si>
    <t>-19.82%</t>
  </si>
  <si>
    <t>TIGI Catwalk Curl Collection Curlesque Curls Rock Amplifier, 5.07 Ounce</t>
  </si>
  <si>
    <t>B00FZN3JSW</t>
  </si>
  <si>
    <t>-20.11%</t>
  </si>
  <si>
    <t>TIGI - Bed Head Blow-Out - Golden Illuminating Shine Cream, 3.4 Ounce</t>
  </si>
  <si>
    <t>B015UVE0C2</t>
  </si>
  <si>
    <t>-20.53%</t>
  </si>
  <si>
    <t>TIGI BED HEAD RECOVERY MOISTURIZING SHAMPOO FOR DRY HAIR 13.53 fl oz</t>
  </si>
  <si>
    <t>B08R4SDKTD</t>
  </si>
  <si>
    <t>TIGI Bed Head For Men Charge Up Thickening Conditioner, 6.76 oz</t>
  </si>
  <si>
    <t>B0080FQVQ4</t>
  </si>
  <si>
    <t>-20.76%</t>
  </si>
  <si>
    <t>Tigi Bed Head Colour Combat Colour Goddess Leave-in Conditioner, 8.45 Ounce</t>
  </si>
  <si>
    <t>B004DKQCOQ</t>
  </si>
  <si>
    <t>-20.78%</t>
  </si>
  <si>
    <t>-21.71%</t>
  </si>
  <si>
    <t>-22.33%</t>
  </si>
  <si>
    <t>-22.40%</t>
  </si>
  <si>
    <t>TIGI Bed Head Lightheaded Hairspray with a Light Flexible Hold 5.5 oz</t>
  </si>
  <si>
    <t>B09S387KRS</t>
  </si>
  <si>
    <t>-22.68%</t>
  </si>
  <si>
    <t>TIGI Bed Head Urban Antidotes Recovery Conditioner, Level 2, 25.36 oz</t>
  </si>
  <si>
    <t>B01J6MW94C</t>
  </si>
  <si>
    <t>-23.38%</t>
  </si>
  <si>
    <t>-23.92%</t>
  </si>
  <si>
    <t>Tigi Bed Head Urban Anti+dotes Resurrection Shampoo Damage Level 3, 8.45-Ounce</t>
  </si>
  <si>
    <t>B004T19OKI</t>
  </si>
  <si>
    <t>-24.07%</t>
  </si>
  <si>
    <t>Bed head by tigi oh bee hive volumizing dry shampoo 5 oz</t>
  </si>
  <si>
    <t>TIGI Bed Head Oh Bee Hive volumizing Dry Shampoo for Day 2 Hair 5 oz</t>
  </si>
  <si>
    <t>B00SC48FG2</t>
  </si>
  <si>
    <t>-24.29%</t>
  </si>
  <si>
    <t>6769971855432</t>
  </si>
  <si>
    <t>TIGI Bed Head Showdown Anti-Frizz Hairspray with Strong Hold 5.5 oz</t>
  </si>
  <si>
    <t>B09S3B5CZT</t>
  </si>
  <si>
    <t>-24.49%</t>
  </si>
  <si>
    <t>TIGI Bed Head Manipulator Mini Texturizer, 1 Ounce</t>
  </si>
  <si>
    <t>B01ENS6WJW</t>
  </si>
  <si>
    <t>-24.65%</t>
  </si>
  <si>
    <t>Tigi  Tigi Bed Head for Men Matte Separation Workable Wax, 3 Oz/ 85g, 4.8 Oz</t>
  </si>
  <si>
    <t>B001SKHJBE</t>
  </si>
  <si>
    <t>-25.84%</t>
  </si>
  <si>
    <t>Tigi Catwalk Your Highness Elevating Conditioner (For Fine, Lifeless Hair) 250ml/8.45oz</t>
  </si>
  <si>
    <t>B00I87IBTO</t>
  </si>
  <si>
    <t>-25.95%</t>
  </si>
  <si>
    <t>Tigi Tigi S-factor Stunning Volume Conditioner 25.36 Oz, 25.36 Oz</t>
  </si>
  <si>
    <t>B00NJ23HX8</t>
  </si>
  <si>
    <t>-25.96%</t>
  </si>
  <si>
    <t>Bed Head for Men Wise Up Scalp Shampoo, 8.45 Fluid Ounce</t>
  </si>
  <si>
    <t>B019BU27R8</t>
  </si>
  <si>
    <t>-26.00%</t>
  </si>
  <si>
    <t>JUST RELEASED SPRING 2015 - Tigi Bed Head for Men Wise Up Scalp Shampoo 8.45 oz</t>
  </si>
  <si>
    <t>B011M5ZWG8</t>
  </si>
  <si>
    <t>-26.15%</t>
  </si>
  <si>
    <t>B005LA5SWY</t>
  </si>
  <si>
    <t>-26.30%</t>
  </si>
  <si>
    <t>Sisley hair rituel regenerating hair mask with four botanical oils 6.7 oz</t>
  </si>
  <si>
    <t>Sisley-Paris Hair Rituel Regenerating Hair Care Mask with Four Botanical Oils, 6.7 Ounce</t>
  </si>
  <si>
    <t>B079QBHDKR</t>
  </si>
  <si>
    <t>80.99</t>
  </si>
  <si>
    <t>-26.72%</t>
  </si>
  <si>
    <t>6769985519688</t>
  </si>
  <si>
    <t>Tigi Bed Head Urban Anti+dotes Resurrection Conditioner Damage Level 3, 25.36-Ounce</t>
  </si>
  <si>
    <t>B004T19PBG</t>
  </si>
  <si>
    <t>-27.51%</t>
  </si>
  <si>
    <t>Bed Head Back It Up texturizing Cream for Shape and Texture 4.23 fl oz</t>
  </si>
  <si>
    <t>B08R51L3RS</t>
  </si>
  <si>
    <t>-27.83%</t>
  </si>
  <si>
    <t>Versace dylan turquoise by gianni versace hair mist 1 oz</t>
  </si>
  <si>
    <t>VERSACE DYLAN TURQUOISE Pour Femme Perfumed Hair Mist for Women 1.0 Ounce</t>
  </si>
  <si>
    <t>B08ZV1PTBX</t>
  </si>
  <si>
    <t>-28.91%</t>
  </si>
  <si>
    <t>6773436317768</t>
  </si>
  <si>
    <t>TIGI Bed Head After Party Smoothing Cream for Silky and Shiny Hair 3.38 fl oz</t>
  </si>
  <si>
    <t>B08X8MTQWF</t>
  </si>
  <si>
    <t>-28.93%</t>
  </si>
  <si>
    <t>Sisley Restructuring Conditioner with Cotton Proteins, 6.7 Ounce</t>
  </si>
  <si>
    <t>B079PZXD6Z</t>
  </si>
  <si>
    <t>-29.07%</t>
  </si>
  <si>
    <t>TIGI Bed Head After Party Smoothing Cream for Shiny Hair Travel Size 1.69 fl oz (Pack of 2)</t>
  </si>
  <si>
    <t>B0BK1WQXQK</t>
  </si>
  <si>
    <t>-29.34%</t>
  </si>
  <si>
    <t>Bed head by tigi dumb blonde reconstructor for chemically treated hair 25.36 oz</t>
  </si>
  <si>
    <t>32.4</t>
  </si>
  <si>
    <t>-29.48%</t>
  </si>
  <si>
    <t>6769970806856</t>
  </si>
  <si>
    <t>TIGI Bed Head Superstar Queen for a Day Thickening Spray, 10.2 Ounce</t>
  </si>
  <si>
    <t>B002RS6KU2</t>
  </si>
  <si>
    <t>-30.00%</t>
  </si>
  <si>
    <t>Bed head by tigi trouble maker dry spray way 5.6 oz</t>
  </si>
  <si>
    <t>TIGI Bed Head Trouble Maker Dry Spray Wax Texture Finishing Spray 5.6 oz</t>
  </si>
  <si>
    <t>B09S3LXGCV</t>
  </si>
  <si>
    <t>-30.30%</t>
  </si>
  <si>
    <t>6769972084808</t>
  </si>
  <si>
    <t>Bed Head by TIGI Hair Wax Stick For Cool People, For a Soft, Pliable Hold, Hair Styling Product With Beeswax &amp; Japan Wax 2.57 oz</t>
  </si>
  <si>
    <t>B000141L58</t>
  </si>
  <si>
    <t>-30.33%</t>
  </si>
  <si>
    <t>Bed Head by Tigi Superstar Queen for a Day Thickening Spray 10.2 Oz Unisex</t>
  </si>
  <si>
    <t>B0002SEHKO</t>
  </si>
  <si>
    <t>-30.35%</t>
  </si>
  <si>
    <t>Sisley hair rituel revitalizing volumizing shampoo with camellia oil 6.7 oz</t>
  </si>
  <si>
    <t>Sisley Hair Rituel by Sisley Revitalizing Smoothing Shampoo wiht Macadamia Oil 200ml/6.7oz Parallel import goods</t>
  </si>
  <si>
    <t>B079PW545W</t>
  </si>
  <si>
    <t>-30.40%</t>
  </si>
  <si>
    <t>6769985421384</t>
  </si>
  <si>
    <t>Sisley hair rituel revitalizing smoothing shampoo with macadamia oil 6.7 oz</t>
  </si>
  <si>
    <t>6769985454152</t>
  </si>
  <si>
    <t>-30.52%</t>
  </si>
  <si>
    <t>Tigi copyright custom care repair booster 15.22 oz</t>
  </si>
  <si>
    <t>TIGI Copyright Repair Booster - 15.22oz</t>
  </si>
  <si>
    <t>B07YGWJGY6</t>
  </si>
  <si>
    <t>-30.53%</t>
  </si>
  <si>
    <t>6769973559368</t>
  </si>
  <si>
    <t>TIGI S-Factor Stunning Volume Shampoo, 8.45 Fluid Ounce</t>
  </si>
  <si>
    <t>B01BY66AUC</t>
  </si>
  <si>
    <t>-31.11%</t>
  </si>
  <si>
    <t>TIGI Bed Head Recharge High-Octane Shine Conditioner, 6.76 Ounce</t>
  </si>
  <si>
    <t>B0097CTGVQ</t>
  </si>
  <si>
    <t>-31.25%</t>
  </si>
  <si>
    <t>TIGI Bed Head Flexi Head Strong Flexible Hold Hair Spray for Unisex, 10.6 Ounce</t>
  </si>
  <si>
    <t>B00MI2SRO4</t>
  </si>
  <si>
    <t>-31.40%</t>
  </si>
  <si>
    <t>TIGI Bed Head After Party Smoothing Cream for Silky Shiny Hair, 3.4 Ounce</t>
  </si>
  <si>
    <t>B000X2DMHS</t>
  </si>
  <si>
    <t>-32.02%</t>
  </si>
  <si>
    <t>Bed head by tigi salty not sorry epic texturizing salt spray 3.38 oz</t>
  </si>
  <si>
    <t>TIGI Bed Head Salty Not Sorry texturizing Salt Spray for Natural Undone Hairstyles 3.38 fl oz</t>
  </si>
  <si>
    <t>B08R4XW81K</t>
  </si>
  <si>
    <t>-32.47%</t>
  </si>
  <si>
    <t>6769972445256</t>
  </si>
  <si>
    <t>-32.71%</t>
  </si>
  <si>
    <t>Catwalk by tigi fashionista violet shampoo safe for color 25.36 oz</t>
  </si>
  <si>
    <t>Tigi Catwalk By Tigi Fashionista Violet Shampoo + Conditioner Tween Duo Pack, 25.36 Oz</t>
  </si>
  <si>
    <t>B01B2A1PN2</t>
  </si>
  <si>
    <t>34.65</t>
  </si>
  <si>
    <t>-32.76%</t>
  </si>
  <si>
    <t>6769973002312</t>
  </si>
  <si>
    <t>TIGI Bed Head Queen For A Day Thickening Spray for Fine Hair 10.5 oz</t>
  </si>
  <si>
    <t>B093FWQYPK</t>
  </si>
  <si>
    <t>-32.78%</t>
  </si>
  <si>
    <t>TIGI Bed Head for Men Charge Up Thickening Conditioner, 6.76 Ounce</t>
  </si>
  <si>
    <t>B002UD52J4</t>
  </si>
  <si>
    <t>-32.81%</t>
  </si>
  <si>
    <t>-35.70%</t>
  </si>
  <si>
    <t>-35.85%</t>
  </si>
  <si>
    <t>Catwalk by tigi fashionista violet conditioner 25.36 oz</t>
  </si>
  <si>
    <t>Catwalk Shampoo and Conditioner, Fashionista Violet, 25.36 Fl Oz (Pack of 2)</t>
  </si>
  <si>
    <t>B074QW89BV</t>
  </si>
  <si>
    <t>36.9</t>
  </si>
  <si>
    <t>-36.04%</t>
  </si>
  <si>
    <t>6769972969544</t>
  </si>
  <si>
    <t>TIGI Bed Head Lightheaded Flexible Hold Hairspray Unisex Hair Spray 5.5 oz</t>
  </si>
  <si>
    <t>B07YNCSRZS</t>
  </si>
  <si>
    <t>-36.11%</t>
  </si>
  <si>
    <t>-36.86%</t>
  </si>
  <si>
    <t>-37.99%</t>
  </si>
  <si>
    <t>-38.23%</t>
  </si>
  <si>
    <t>TIGI Bed Head for Men Matte Separation Workable Wax, 3 Ounce</t>
  </si>
  <si>
    <t>B002N5MI2S</t>
  </si>
  <si>
    <t>-40.57%</t>
  </si>
  <si>
    <t>-40.62%</t>
  </si>
  <si>
    <t>Bed Head B For Men Clean Up Peppermint Conditioner Tigi 25.36 oz Conditioner For Men</t>
  </si>
  <si>
    <t>B003U4FPKI</t>
  </si>
  <si>
    <t>-41.63%</t>
  </si>
  <si>
    <t>TIGI Bed Head Blow-Out Golden Illuminating Shine Cream</t>
  </si>
  <si>
    <t>B00MI2SNMU</t>
  </si>
  <si>
    <t>-42.27%</t>
  </si>
  <si>
    <t>Bed Head Tigi Manipulator Pack 3.15 Lb, 2 Ounce</t>
  </si>
  <si>
    <t>B00BAXUWSQ</t>
  </si>
  <si>
    <t>TIGI Catwalk Sleek Mystique Calming Conditioner, 8.45 oz</t>
  </si>
  <si>
    <t>B004LEL2E4</t>
  </si>
  <si>
    <t>-44.62%</t>
  </si>
  <si>
    <t>Bed head by tigi queen beach salt texture spray 3.4 oz</t>
  </si>
  <si>
    <t>Bed Head Queen Beach Salt Spray, 3.4 Oz, 1count</t>
  </si>
  <si>
    <t>B06X1D75Y2</t>
  </si>
  <si>
    <t>-45.28%</t>
  </si>
  <si>
    <t>6769970348104</t>
  </si>
  <si>
    <t>Catwalk by TIGI Session Series Finishing Hairspray 8.3 Ounces</t>
  </si>
  <si>
    <t>B00520N64K</t>
  </si>
  <si>
    <t>-46.97%</t>
  </si>
  <si>
    <t>Hair Wax Stick for Wigs, Bed Head Stick Edge Control Slick Stick Hair Pomade Stick Non-greasy Styling Wax Long Lasting Strong Hold Temporary Hair Styling Product for Edge Frizz Hair 2.7 Oz (Pack of 3)</t>
  </si>
  <si>
    <t>B0B8S7XFNX</t>
  </si>
  <si>
    <t>-47.76%</t>
  </si>
  <si>
    <t>-48.18%</t>
  </si>
  <si>
    <t>Catwalk by tigi fashionista brunette mask for warm tones 20.46 oz</t>
  </si>
  <si>
    <t>6769973133384</t>
  </si>
  <si>
    <t>TIGI Bed Head Dumb Blonde Reconstructor Conditioner 6.76 Ounce, ()</t>
  </si>
  <si>
    <t>B001G7POOI</t>
  </si>
  <si>
    <t>-49.04%</t>
  </si>
  <si>
    <t>-50.41%</t>
  </si>
  <si>
    <t>-51.22%</t>
  </si>
  <si>
    <t>-51.56%</t>
  </si>
  <si>
    <t>-51.57%</t>
  </si>
  <si>
    <t>-51.91%</t>
  </si>
  <si>
    <t>-52.02%</t>
  </si>
  <si>
    <t>TIGI Catwalk Fashionista Brunette Mask for Warm Tones, 7.05 Ounce</t>
  </si>
  <si>
    <t>B00N555Z5W</t>
  </si>
  <si>
    <t>-52.38%</t>
  </si>
  <si>
    <t>-52.85%</t>
  </si>
  <si>
    <t>-52.93%</t>
  </si>
  <si>
    <t>BED HEAD by Tigi SUPERFUEL RECHARGE CONDITIONER 6.76 OZ</t>
  </si>
  <si>
    <t>B00EHKXWSG</t>
  </si>
  <si>
    <t>-53.19%</t>
  </si>
  <si>
    <t>TIGI BED HEAD RECOVERYTM MOISTURIZING CONDITIONER FOR DRY HAIR 20.29 fl oz</t>
  </si>
  <si>
    <t>B08XVYT9T5</t>
  </si>
  <si>
    <t>-54.33%</t>
  </si>
  <si>
    <t>Catwalk by TIGI Session Series Finishing Hairspray 8.3 Ounces by TIGI BEAUTY by TIGI</t>
  </si>
  <si>
    <t>B00KJSAFKI</t>
  </si>
  <si>
    <t>-54.60%</t>
  </si>
  <si>
    <t>Tigi Bed Head Elasticate Strengthening Conditioner, 6.76 Ounce</t>
  </si>
  <si>
    <t>B0097CPES0</t>
  </si>
  <si>
    <t>-54.93%</t>
  </si>
  <si>
    <t>TIGI Catwalk Fashionista Violet Conditioner (For Blondes and Highlights), 25.36 Ounce</t>
  </si>
  <si>
    <t>B01H0EFGWK</t>
  </si>
  <si>
    <t>-59.76%</t>
  </si>
  <si>
    <t>-62.52%</t>
  </si>
  <si>
    <t>Tigi Catwalk Fashionista Violet Conditioner for Unisex, 25.36 Ounce</t>
  </si>
  <si>
    <t>B00ENNVC66</t>
  </si>
  <si>
    <t>-63.06%</t>
  </si>
  <si>
    <t>TIGI Catwalk Session Series Finishing Hairspray 9.2 oz.</t>
  </si>
  <si>
    <t>B008KC5TME</t>
  </si>
  <si>
    <t>-68.23%</t>
  </si>
  <si>
    <t>Tigi copyright custom care volume conditioner 32.79 oz</t>
  </si>
  <si>
    <t>Tigi Copyright Volume Conditioner 32.79 fl.oz./ 970ml</t>
  </si>
  <si>
    <t>B07YBMQY7Q</t>
  </si>
  <si>
    <t>32.39</t>
  </si>
  <si>
    <t>-69.22%</t>
  </si>
  <si>
    <t>6769973461064</t>
  </si>
  <si>
    <t>TIGI Copyright Custom Care REPAIR Conditioner - 1.69oz</t>
  </si>
  <si>
    <t>B07H8V65PX</t>
  </si>
  <si>
    <t>-73.95%</t>
  </si>
  <si>
    <t>-75.61%</t>
  </si>
  <si>
    <t>-75.73%</t>
  </si>
  <si>
    <t>-76.84%</t>
  </si>
  <si>
    <t>Hair Wax Stick for Wigs, Bed Head Stick Edge Control Slick Stick Hair Pomade Stick Non-greasy Styling Wax, Long Lasting, Strong Hold Temporary Hair Styling Product for Edge Frizz Hair SOVONCARE 2.7 Oz (Pack of 1)</t>
  </si>
  <si>
    <t>B0B8S886B4</t>
  </si>
  <si>
    <t>TIGI Copyright Custom Care MOISTURE Conditioner - 1.69oz</t>
  </si>
  <si>
    <t>B07H8VD1ZQ</t>
  </si>
  <si>
    <t>-78.42%</t>
  </si>
  <si>
    <t>TIGI Copyright Custom Care REPAIR Booster - 3.04oz</t>
  </si>
  <si>
    <t>B07H6RX16J</t>
  </si>
  <si>
    <t>-80.03%</t>
  </si>
  <si>
    <t>Sisley phyto levres perfect lipliner with lip brush and sharpener - #6 chocolat 1.2g/0.04oz</t>
  </si>
  <si>
    <t>Sisley Phyto-Levres Perfect Lipliner with Lip Brush and Sharpener Ruby</t>
  </si>
  <si>
    <t>B004EHRG0M</t>
  </si>
  <si>
    <t>49.5</t>
  </si>
  <si>
    <t>219.86%</t>
  </si>
  <si>
    <t>6769986994248</t>
  </si>
  <si>
    <t>Sisley phyto levres perfect lipliner with lip brush and sharpener - #1 nude 1.2g/0.04oz</t>
  </si>
  <si>
    <t>6769987158088</t>
  </si>
  <si>
    <t>Sisley phyto levres perfect lipliner with lip brush and sharpener - #5 burgundy 1.2g/0.04oz</t>
  </si>
  <si>
    <t>6769986928712</t>
  </si>
  <si>
    <t>Sisley phyto levres perfect lipliner with lip brush and sharpener - #10 auburn 1.2g/0.04oz</t>
  </si>
  <si>
    <t>6769987354696</t>
  </si>
  <si>
    <t>MAC small eye shadow refill pan - antiqued -1.3g/0.04oz</t>
  </si>
  <si>
    <t>MAC Small Eye Shadow Refill Pan - Cork - 1.5g/0.05oz</t>
  </si>
  <si>
    <t>B008VFW4LY</t>
  </si>
  <si>
    <t>185.86%</t>
  </si>
  <si>
    <t>6766504443976</t>
  </si>
  <si>
    <t>Estee Lauder Pure Color Envy Matte Sculpting Lipstick - 113 Raw Edge Lipstick Women 0.12 oz</t>
  </si>
  <si>
    <t>B072MN9LJM</t>
  </si>
  <si>
    <t>178.39%</t>
  </si>
  <si>
    <t>175.34%</t>
  </si>
  <si>
    <t>Clinique chubby stick - no. 07 super strawberry --3g/0.10oz</t>
  </si>
  <si>
    <t>Clinique Have a Little Colour Chubby Stick Moisturizing Lip Colour Balm Full Size Trio Set: Super Strawberry 07 + Two Ton Tomato 11 + Mighty Mimosa 13</t>
  </si>
  <si>
    <t>B00KJCOLGI</t>
  </si>
  <si>
    <t>21.6</t>
  </si>
  <si>
    <t>173.15%</t>
  </si>
  <si>
    <t>6764856901704</t>
  </si>
  <si>
    <t>Estee Lauder Pure Color Envy Velvet Matte Sculpting Lipstick, 0.12 oz Blush Crush</t>
  </si>
  <si>
    <t>B072K2F587</t>
  </si>
  <si>
    <t>139.83%</t>
  </si>
  <si>
    <t>MAC small eye shadow refill pan - rule -1.5g/0.05oz</t>
  </si>
  <si>
    <t>135.38%</t>
  </si>
  <si>
    <t>6766504509512</t>
  </si>
  <si>
    <t>MAC Small Eye Shadow Refill Pan - All That Glitters 1.3g/0.04oz</t>
  </si>
  <si>
    <t>B00DST2YW2</t>
  </si>
  <si>
    <t>126.37%</t>
  </si>
  <si>
    <t>Sisley eye &amp; lip contour balm 16ml/0.5oz</t>
  </si>
  <si>
    <t>Sisley by Sisley Sisley Botanical Eye &amp; Lip Contour Balm-30ml/1oz</t>
  </si>
  <si>
    <t>B00EOQ7PF4</t>
  </si>
  <si>
    <t>58.49</t>
  </si>
  <si>
    <t>109.73%</t>
  </si>
  <si>
    <t>6769983160392</t>
  </si>
  <si>
    <t>MAC Small Eye Shadow Refill Pan - Shroom - 1.5g/0.05oz</t>
  </si>
  <si>
    <t>B01GR1R8ZU</t>
  </si>
  <si>
    <t>88.32%</t>
  </si>
  <si>
    <t>86.40%</t>
  </si>
  <si>
    <t>Clinique take the day off make up remover --125ml/4.2oz</t>
  </si>
  <si>
    <t>2 PCS Clinique Take the Day Off Makeup Remover 125ml X2= 250ml Cleanser</t>
  </si>
  <si>
    <t>B00IUGQX7A</t>
  </si>
  <si>
    <t>23.39</t>
  </si>
  <si>
    <t>72.81%</t>
  </si>
  <si>
    <t>6764856311880</t>
  </si>
  <si>
    <t>MAC Eye Shadow Pro Palette Refill Pan Rule (Matte)</t>
  </si>
  <si>
    <t>B004FVFSWU</t>
  </si>
  <si>
    <t>63.44%</t>
  </si>
  <si>
    <t>MAC Small Eye Shadow Refill Pan - Naked Lunch - 1.5g/0.05oz</t>
  </si>
  <si>
    <t>B008VFW5B8</t>
  </si>
  <si>
    <t>MAC eye kohl - phone number -1.36g/0.048oz</t>
  </si>
  <si>
    <t>MAC Eye Kohl Phone Number</t>
  </si>
  <si>
    <t>B001JDC09Q</t>
  </si>
  <si>
    <t>22.49</t>
  </si>
  <si>
    <t>55.49%</t>
  </si>
  <si>
    <t>6766505394248</t>
  </si>
  <si>
    <t>55.07%</t>
  </si>
  <si>
    <t>B00MDXWEME</t>
  </si>
  <si>
    <t>52.10%</t>
  </si>
  <si>
    <t>MAC studio fix soft matte foundation stick - nw13 -9g/0.32oz</t>
  </si>
  <si>
    <t>Mac Studio Fix Soft Matte Foundation Stick NC30</t>
  </si>
  <si>
    <t>B081J99TY9</t>
  </si>
  <si>
    <t>34.19</t>
  </si>
  <si>
    <t>52.09%</t>
  </si>
  <si>
    <t>6766504247368</t>
  </si>
  <si>
    <t>MAC studio fix soft matte foundation stick - nc38 -9g/0.32oz</t>
  </si>
  <si>
    <t>6766504181832</t>
  </si>
  <si>
    <t>MAC studio fix soft matte foundation stick - nw18 -9g/0.32oz</t>
  </si>
  <si>
    <t>6766504280136</t>
  </si>
  <si>
    <t>MAC studio fix soft matte foundation stick - nw22 -9g/0.32oz</t>
  </si>
  <si>
    <t>6766504312904</t>
  </si>
  <si>
    <t>MAC studio fix soft matte foundation stick - nw30 -9g/0.32oz</t>
  </si>
  <si>
    <t>6766504345672</t>
  </si>
  <si>
    <t>MAC studio fix soft matte foundation stick - nc35 -9g/0.32oz</t>
  </si>
  <si>
    <t>6766504116296</t>
  </si>
  <si>
    <t>MAC studio fix soft matte foundation stick - nc37 -9g/0.32oz</t>
  </si>
  <si>
    <t>6766504149064</t>
  </si>
  <si>
    <t>MAC pencil sharpener</t>
  </si>
  <si>
    <t>MAC Pencil Sharpener Small for Brow, Eye and Lip Pencils</t>
  </si>
  <si>
    <t>B004KGUP9G</t>
  </si>
  <si>
    <t>48.19%</t>
  </si>
  <si>
    <t>6766505164872</t>
  </si>
  <si>
    <t>46.76%</t>
  </si>
  <si>
    <t>MAC eye kohl - powersurge -1.36g/0.048oz</t>
  </si>
  <si>
    <t>MAC Eye Kohl - Powersurge - 1.45g/0.05oz</t>
  </si>
  <si>
    <t>B000A6JGY0</t>
  </si>
  <si>
    <t>40.94%</t>
  </si>
  <si>
    <t>6766505427016</t>
  </si>
  <si>
    <t>MAC powder kiss lipstick - style shocked -3g/0.1oz</t>
  </si>
  <si>
    <t>Powder Kiss Lipstick - 303 Style Shocked .1oz / 3g</t>
  </si>
  <si>
    <t>B08XSDM5TZ</t>
  </si>
  <si>
    <t>26.09</t>
  </si>
  <si>
    <t>40.71%</t>
  </si>
  <si>
    <t>6766504771656</t>
  </si>
  <si>
    <t>sisley paris Botanical Eye &amp; Lip Contour Balm, 1-Ounce Jar, (SISLEY-516008)</t>
  </si>
  <si>
    <t>B002AMUGMI</t>
  </si>
  <si>
    <t>35.39%</t>
  </si>
  <si>
    <t>Estee Lauder brow now brow defining pencil - # 02 light brunette 1.2g/0.04oz</t>
  </si>
  <si>
    <t>Estee Lauder Brow Now Volumizing Brow Tint - # 02 Light Brunette 1.7ml/0.05oz,ESTCOSC74188303</t>
  </si>
  <si>
    <t>B06W2L5CF3</t>
  </si>
  <si>
    <t>23.4</t>
  </si>
  <si>
    <t>28.16%</t>
  </si>
  <si>
    <t>6769974902856</t>
  </si>
  <si>
    <t>Clinique Women's Take The Day Off Make-Up Remover, 6.7 Ounce</t>
  </si>
  <si>
    <t>B00VODRK64</t>
  </si>
  <si>
    <t>27.79%</t>
  </si>
  <si>
    <t>Elizabeth Arden elizabeth arden eight hour lipcare stick spf 153.7g/0.13oz</t>
  </si>
  <si>
    <t>Elizabeth Arden Eight Hour Cream Lip Protectant Stick, Moisturizing Lip Balm, Sheer with Sunscreen, SPF 15, 0.13 Oz</t>
  </si>
  <si>
    <t>B00375L8R4</t>
  </si>
  <si>
    <t>19.79</t>
  </si>
  <si>
    <t>26.33%</t>
  </si>
  <si>
    <t>6772298743880</t>
  </si>
  <si>
    <t>MAC Eye Shadow-Brule (S) Refill Pan 1.5 g / 0.05 oz</t>
  </si>
  <si>
    <t>B008VFW6LM</t>
  </si>
  <si>
    <t>26.10%</t>
  </si>
  <si>
    <t>Phyto Levres Perfect Lip Liner With Lip Brush &amp; Sharpener - Burgundy by Sisley for Women - 1.45 g Lipliner</t>
  </si>
  <si>
    <t>B003J9KMYI</t>
  </si>
  <si>
    <t>23.96%</t>
  </si>
  <si>
    <t>Estee Lauder brow now stay in place brow gel - # clear 1.7ml/0.05oz</t>
  </si>
  <si>
    <t>24.3</t>
  </si>
  <si>
    <t>23.42%</t>
  </si>
  <si>
    <t>6769974968392</t>
  </si>
  <si>
    <t>Mac Studio Fix Soft Matte Foundation Stick NW35</t>
  </si>
  <si>
    <t>B081HX9PYY</t>
  </si>
  <si>
    <t>22.67%</t>
  </si>
  <si>
    <t>MAC love me lipstick - nine lives-3g/0.1oz</t>
  </si>
  <si>
    <t>MAC by Make-Up Artist Cosmetics , Love Me Lipstick - Vanity Bonfire--3g/0.1oz</t>
  </si>
  <si>
    <t>B0BG3L695H</t>
  </si>
  <si>
    <t>20.69</t>
  </si>
  <si>
    <t>20.06%</t>
  </si>
  <si>
    <t>6766505656392</t>
  </si>
  <si>
    <t>MAC love me lipstick - you're so vain-3g/0.1oz</t>
  </si>
  <si>
    <t>6766505721928</t>
  </si>
  <si>
    <t>MAC studio fix 24-hour smooth wear concealer - nc48 -6.8ml/0.23oz</t>
  </si>
  <si>
    <t>MAC Studio Fix 24-Hour Smooth Wear Concealer NW34</t>
  </si>
  <si>
    <t>B07QP2D7L8</t>
  </si>
  <si>
    <t>26.99</t>
  </si>
  <si>
    <t>18.45%</t>
  </si>
  <si>
    <t>6766505099336</t>
  </si>
  <si>
    <t>Studio Fix soft matte foundation stick - NW22</t>
  </si>
  <si>
    <t>B0953Z8HJS</t>
  </si>
  <si>
    <t>16.73%</t>
  </si>
  <si>
    <t>Mac Studio Fix Soft Matte Foundation Stick NW15</t>
  </si>
  <si>
    <t>B081J6WCWW</t>
  </si>
  <si>
    <t>16.41%</t>
  </si>
  <si>
    <t>B0006LNCBM</t>
  </si>
  <si>
    <t>15.74%</t>
  </si>
  <si>
    <t>MAC Eye Kohl - Teddy - 1.36g/0.048oz</t>
  </si>
  <si>
    <t>B00166TMNS</t>
  </si>
  <si>
    <t>15.56%</t>
  </si>
  <si>
    <t>MAC studio fix powder plus foundation - nc15 -15g/0.52oz</t>
  </si>
  <si>
    <t>AcM MAC Studio Fix Powder Plus Foundation Nc20, 0.52 Oz</t>
  </si>
  <si>
    <t>B0085B1E0Q</t>
  </si>
  <si>
    <t>36.89</t>
  </si>
  <si>
    <t>13.85%</t>
  </si>
  <si>
    <t>6766503985224</t>
  </si>
  <si>
    <t>M.A.C ~ MAC Studio Fix Powder Plus Foundation NC15~ 15g/0.52 US Oz</t>
  </si>
  <si>
    <t>B0096W4JAU</t>
  </si>
  <si>
    <t>13.82%</t>
  </si>
  <si>
    <t>sisley paris Perfect Lip Liner with Lip Brush and Sharpener, Nude, Phyto Levres, 0.05 Ounce (KS81201)</t>
  </si>
  <si>
    <t>B0038JX1HO</t>
  </si>
  <si>
    <t>12.32%</t>
  </si>
  <si>
    <t>Sisley phyto cernes eclat eye concealer - # 02 15ml/0.61oz</t>
  </si>
  <si>
    <t>Sisley Phyto Cernes Eclat Eye Concealer - # 01 - 15ml/0.61oz</t>
  </si>
  <si>
    <t>B00KCJDAJW</t>
  </si>
  <si>
    <t>73.8</t>
  </si>
  <si>
    <t>11.79%</t>
  </si>
  <si>
    <t>6769986732104</t>
  </si>
  <si>
    <t>Clarins instant eye make up remover 125ml/4.2oz</t>
  </si>
  <si>
    <t>Clarins Instant Eye Make-Up Remover | Bi-Phase Remover For Heavy and Waterproof Eye Make-Up | Soothing and Moisturizing | Non-Irritating | Allergy Tested | Ophthalmologist Tested | 4.2 Ounces</t>
  </si>
  <si>
    <t>B000KU70PI</t>
  </si>
  <si>
    <t>29.7</t>
  </si>
  <si>
    <t>6772297171016</t>
  </si>
  <si>
    <t>Mac Studio Fix Powder Plus Foundation Nw20 15gm/0.52 Ounce</t>
  </si>
  <si>
    <t>B004DSKYH4</t>
  </si>
  <si>
    <t>11.01%</t>
  </si>
  <si>
    <t>Sisley phyto teint nude water infused second skin foundation -# 00c swan 30ml/1oz</t>
  </si>
  <si>
    <t>Sisley by Sisley, Phyto Teint Nude Water Infused Second Skin Foundation -# 2N Ivory Beige -30ml/1oz</t>
  </si>
  <si>
    <t>B09MZ86F6H</t>
  </si>
  <si>
    <t>85.5</t>
  </si>
  <si>
    <t>10.19%</t>
  </si>
  <si>
    <t>6769982308424</t>
  </si>
  <si>
    <t>Sisley phyto teint nude water infused second skin foundation -# 3w1 warm almond 30ml/1oz</t>
  </si>
  <si>
    <t>6769982373960</t>
  </si>
  <si>
    <t>MAC studio fix soft matte foundation stick - nc60 -9g/0.32oz</t>
  </si>
  <si>
    <t>MAC Studio Fix Soft Matte Foundation Stick NC60</t>
  </si>
  <si>
    <t>B093VVBB9D</t>
  </si>
  <si>
    <t>9.33%</t>
  </si>
  <si>
    <t>6766504214600</t>
  </si>
  <si>
    <t>Sisley phyto levres perfect lipliner - #ruby 1.2g/0.04oz</t>
  </si>
  <si>
    <t>Sisley Sisley phyto levres perfect lipliner - #6 chocolat, 0.04oz, 0.04 Ounce</t>
  </si>
  <si>
    <t>B00YBM7HSQ</t>
  </si>
  <si>
    <t>56.7</t>
  </si>
  <si>
    <t>8.92%</t>
  </si>
  <si>
    <t>6769988042824</t>
  </si>
  <si>
    <t>Sisley phyto levres perfect lipliner - # rose the 1.2g/0.04oz</t>
  </si>
  <si>
    <t>6769988173896</t>
  </si>
  <si>
    <t>M.A.C. Love Me Lipstick - 420 Nine Lives .1oz / 3g</t>
  </si>
  <si>
    <t>B08XQY84FW</t>
  </si>
  <si>
    <t>8.75%</t>
  </si>
  <si>
    <t>Clinique stay matte powder oil free - no. 03 stay beige --7.6g/0.27oz</t>
  </si>
  <si>
    <t>Stay Matte Powder Oil Free - No. 04 Stay Honey - Clinique - Powder - Stay Matte Powder Oil Free - 7.6g/0.27oz</t>
  </si>
  <si>
    <t>B000ALBLXY</t>
  </si>
  <si>
    <t>8.32%</t>
  </si>
  <si>
    <t>6764856868936</t>
  </si>
  <si>
    <t>CLINIQUE Take The Day Off Cleansing Balm Makeup Remover 3.8 oz/ 125 mL</t>
  </si>
  <si>
    <t>B00EXZF01W</t>
  </si>
  <si>
    <t>6.46%</t>
  </si>
  <si>
    <t>sisley paris Phyto-Levres Perfect with Lip Brush and Sharpener for Women, Nude, 0.04 Pound</t>
  </si>
  <si>
    <t>B00VJHTUJ0</t>
  </si>
  <si>
    <t>5.90%</t>
  </si>
  <si>
    <t>Sisley Women's Phyto-Levres Perfect Lipliner with Lip Brush and Sharpener, 3 Rose, 0.04 Ounce</t>
  </si>
  <si>
    <t>B0137OHSTG</t>
  </si>
  <si>
    <t>5.86%</t>
  </si>
  <si>
    <t>Sisley phyto levres perfect lipliner with lip brush and sharpener - #4 rose passion 1.2g/0.04oz</t>
  </si>
  <si>
    <t>6769986830408</t>
  </si>
  <si>
    <t>5.82%</t>
  </si>
  <si>
    <t>Sisley phyto lip twist - # 9 chestnut 2.5g/0.08oz</t>
  </si>
  <si>
    <t>Sisley Phyto Lip Twist for Women, 9 Chestnut, 0.08 Ounce</t>
  </si>
  <si>
    <t>B00TGS2PFA</t>
  </si>
  <si>
    <t>6769988108360</t>
  </si>
  <si>
    <t>Mac Studio Fix Powder Plus Foundation Nc15 15gm/0.52 Oz</t>
  </si>
  <si>
    <t>B008I5LI96</t>
  </si>
  <si>
    <t>5.72%</t>
  </si>
  <si>
    <t>Clinique 07 SUPER STRAWBERRY Chubby Stick Moisturizing Lip Colour Balm (Travel Size)</t>
  </si>
  <si>
    <t>B007MHBFQ2</t>
  </si>
  <si>
    <t>5.51%</t>
  </si>
  <si>
    <t>Sisley Women's Phyto-Levres Perfect Lipliner with Lip Brush and Sharpener, 10 Auburn, 0.04 Ounce</t>
  </si>
  <si>
    <t>B00ZRPV3JK</t>
  </si>
  <si>
    <t>4.55%</t>
  </si>
  <si>
    <t>Sisley phyto teint nude water infused second skin foundation - # 00n pearl 30ml/1oz</t>
  </si>
  <si>
    <t>90.0</t>
  </si>
  <si>
    <t>4.36%</t>
  </si>
  <si>
    <t>6769982144584</t>
  </si>
  <si>
    <t>MAC Studio Fix 24 Hour Smooth Wear Concealer - NC30 Concealer Women 0.24 oz</t>
  </si>
  <si>
    <t>B004OKTJM2</t>
  </si>
  <si>
    <t>3.74%</t>
  </si>
  <si>
    <t>MAC Studio Fix 24-Hour Smooth Wear Concealer NW51</t>
  </si>
  <si>
    <t>B07QP2VRXZ</t>
  </si>
  <si>
    <t>3.11%</t>
  </si>
  <si>
    <t>Estee Lauder double wear stay in place makeup spf 10 - no. 3n2 wheat 30ml/1oz</t>
  </si>
  <si>
    <t>Estee Lauder Double Wear Stay-in-place Makeup SPF 10, No. 3w0 Warm Creme, 1 Ounce</t>
  </si>
  <si>
    <t>B00KU6CGZ6</t>
  </si>
  <si>
    <t>3.07%</t>
  </si>
  <si>
    <t>6769976180808</t>
  </si>
  <si>
    <t>Stay Matte Powder Oil Free - No. 03 Stay Beige - 7.6g/0.27oz</t>
  </si>
  <si>
    <t>B005REN0DI</t>
  </si>
  <si>
    <t>3.01%</t>
  </si>
  <si>
    <t>Clinique Stay Matte Powder Oil Free - No. 03 Stay Beige 7.6g/0.27oz</t>
  </si>
  <si>
    <t>B002NMXYF6</t>
  </si>
  <si>
    <t>Clinique chubby lash fattening mascara - #01 jumbo jet --10ml/0.4oz</t>
  </si>
  <si>
    <t>Clinique Chubby Lash Fattening Mascara 01 Jumbo Jet, 1 Ounce</t>
  </si>
  <si>
    <t>B0093OJWTO</t>
  </si>
  <si>
    <t>2.57%</t>
  </si>
  <si>
    <t>6764857229384</t>
  </si>
  <si>
    <t>Sisley phyto khol star waterproof - # 10 mystic plum 0.3g/0.01oz</t>
  </si>
  <si>
    <t>Phyto-Khol Star Waterproof by Sisley 10 Mystic Plum</t>
  </si>
  <si>
    <t>B088R2NN1N</t>
  </si>
  <si>
    <t>2.30%</t>
  </si>
  <si>
    <t>6769984012360</t>
  </si>
  <si>
    <t>MAC COSMETICS/STUDIO FIX SOFT MATTE FOUNDATION STICK (NC16) 0.32 OZ (0.9 ML)</t>
  </si>
  <si>
    <t>B09RXZZP1M</t>
  </si>
  <si>
    <t>2.28%</t>
  </si>
  <si>
    <t>Clinique Take The Day Off Cleanser 4.2 Oz Clinique/Take The Day Off Makeup Remover 4.2 Oz For Lids, Lashes &amp; Lips</t>
  </si>
  <si>
    <t>B07PJ94K7R</t>
  </si>
  <si>
    <t>1.67%</t>
  </si>
  <si>
    <t>Sisley phyto sourcils fix thickening gel - # 2 medium dark 5ml/0.16oz</t>
  </si>
  <si>
    <t>Sisley Phyto Sourcils Fix Thickening Gel, No.02 Medium Dark, 0.16 Ounce</t>
  </si>
  <si>
    <t>B075PKQFGM</t>
  </si>
  <si>
    <t>52.2</t>
  </si>
  <si>
    <t>1.38%</t>
  </si>
  <si>
    <t>6769985749064</t>
  </si>
  <si>
    <t>MAC blush powder - desert rose -6g/0.21oz</t>
  </si>
  <si>
    <t>MAC Powder Blush Desert Rose, 1 Count</t>
  </si>
  <si>
    <t>B013E0Y63E</t>
  </si>
  <si>
    <t>1.32%</t>
  </si>
  <si>
    <t>6766505295944</t>
  </si>
  <si>
    <t>Clinique Women's Chubby Lash Fattening Mascara, # 01 Jumbo Jet, 0.3 Ounce</t>
  </si>
  <si>
    <t>B01BU5DYLA</t>
  </si>
  <si>
    <t>1.07%</t>
  </si>
  <si>
    <t>Sisley Phyto Levres Perfect Lipliner with Lip Brush and Sharpener for Women, 06 Chocolat, 0.04 Ounce</t>
  </si>
  <si>
    <t>B00375W2GK</t>
  </si>
  <si>
    <t>0.63%</t>
  </si>
  <si>
    <t>MAC Studio Fix 24-Hour Smooth Wear Concealer, NC40, 0.24 oz</t>
  </si>
  <si>
    <t>B07QP2PD55</t>
  </si>
  <si>
    <t>0.56%</t>
  </si>
  <si>
    <t>Sisley phyto sourcils design 3 in 1 brow architect pencil - # 1 cappuccino 2x0.2g/0.007oz</t>
  </si>
  <si>
    <t>Phyto Sourcils Design 3 In 1 Brow Architect Pencil - # 4 Moka - 2x 0.2g/0.007oz</t>
  </si>
  <si>
    <t>B088R2P2MY</t>
  </si>
  <si>
    <t>65.7</t>
  </si>
  <si>
    <t>0.30%</t>
  </si>
  <si>
    <t>6769985683528</t>
  </si>
  <si>
    <t>Sisley phyto teint ultra eclat # 4+ cinnamon 30ml/1oz</t>
  </si>
  <si>
    <t>Sisley Phyto-Teint Ultra Eclat Long Lasting Foundation 03 Natural 1oz / 30ml</t>
  </si>
  <si>
    <t>B07XG1V9RY</t>
  </si>
  <si>
    <t>6769984274504</t>
  </si>
  <si>
    <t>MAC Studio Fix 24-Hour Smooth Wear Concealer NC35</t>
  </si>
  <si>
    <t>B093VWRXKB</t>
  </si>
  <si>
    <t>Sisley phyto teint nude water infused second skin foundation -# 4c honey 30ml/1oz</t>
  </si>
  <si>
    <t>94.5</t>
  </si>
  <si>
    <t>-0.31%</t>
  </si>
  <si>
    <t>6769982210120</t>
  </si>
  <si>
    <t>Sisley phyto teint nude water infused second skin foundation - # 1w cream 30ml/1oz</t>
  </si>
  <si>
    <t>6769982177352</t>
  </si>
  <si>
    <t>Sisley phyto teint nude water infused second skin foundation -# 3c natural 30ml/1oz</t>
  </si>
  <si>
    <t>6769982111816</t>
  </si>
  <si>
    <t>Estee Lauder double wear stay in place flawless wear concealer - # 4n medium deep (neutral) 7ml/0.24oz</t>
  </si>
  <si>
    <t>Estee Lauder (esu7j) Estee Lauder Double Wear Stay-in-place Flawless Wear Concealer - 5n - Deep (neutral) .24 Oz for Women, 0.24 Fl Oz</t>
  </si>
  <si>
    <t>B00DZO6IJA</t>
  </si>
  <si>
    <t>33.29</t>
  </si>
  <si>
    <t>-0.90%</t>
  </si>
  <si>
    <t>6769974640712</t>
  </si>
  <si>
    <t>Sisley Phyto-Teint Ultra Eclat Long Lasting Foundation 04 Honey 1oz / 30ml</t>
  </si>
  <si>
    <t>B07XG2W8ML</t>
  </si>
  <si>
    <t>-1.19%</t>
  </si>
  <si>
    <t>MAC Studio Fix 24-Hour Smooth Wear Concealer NC43</t>
  </si>
  <si>
    <t>B093VVZ673</t>
  </si>
  <si>
    <t>-1.82%</t>
  </si>
  <si>
    <t>Sisley phyto lip twist - # 26 true red 2.5g/0.08oz</t>
  </si>
  <si>
    <t>sisley Phyto Lip Twist - 26 True Red Lipstick Women 0.08 oz</t>
  </si>
  <si>
    <t>B09MKJ57FJ</t>
  </si>
  <si>
    <t>-2.36%</t>
  </si>
  <si>
    <t>6769982505032</t>
  </si>
  <si>
    <t>Sisley - Phytocernes Eye Concealer - #1 Natural - 15ml/0.58oz</t>
  </si>
  <si>
    <t>B00CEQKP1W</t>
  </si>
  <si>
    <t>-2.64%</t>
  </si>
  <si>
    <t>Clinique Take the Day Off Makeup Remover, No Color, 4.2 Oz</t>
  </si>
  <si>
    <t>B000WZCA6U</t>
  </si>
  <si>
    <t>-3.81%</t>
  </si>
  <si>
    <t>Estee Lauder double wear stay in place flawless wear concealer - # 3c medium (cool) 7ml/0.24oz</t>
  </si>
  <si>
    <t>Estee Lauder Double Wear Stay-in-Place Flawless Wear Concealer, 3C Medium</t>
  </si>
  <si>
    <t>B005QCT3OQ</t>
  </si>
  <si>
    <t>-3.88%</t>
  </si>
  <si>
    <t>6769974771784</t>
  </si>
  <si>
    <t>Sisley Phyto-Levres Perfect Lipliner with Lip Brush and Sharpener, 7 Ruby, 0.04 Ounce</t>
  </si>
  <si>
    <t>B00TTLDVXY</t>
  </si>
  <si>
    <t>-4.57%</t>
  </si>
  <si>
    <t>Sisley phyto teint ultra eclat # 00 swan 30ml/1oz</t>
  </si>
  <si>
    <t>-4.71%</t>
  </si>
  <si>
    <t>6769983553608</t>
  </si>
  <si>
    <t>MAC love me lipstick - shamelessly vain -3g/0.1oz</t>
  </si>
  <si>
    <t>-4.79%</t>
  </si>
  <si>
    <t>6766504411208</t>
  </si>
  <si>
    <t>Sisley phyto lip twist - # 15 nut 2.5g/0.08oz</t>
  </si>
  <si>
    <t>Sisley Women's Phyto-Lip Twist Lipstick, 15 Nut, 0.08 Ounce</t>
  </si>
  <si>
    <t>B01BNMZKTE</t>
  </si>
  <si>
    <t>-5.17%</t>
  </si>
  <si>
    <t>6769987715144</t>
  </si>
  <si>
    <t>Sisley phyto khol perfect eyeliner (with blender and sharpener) - deep jungle 1.2g/0.04oz</t>
  </si>
  <si>
    <t>SISLEY Phyto Khol Perfect Eyeliner with Blender and Sharpener 9 Deep Jungle, black, 0.5 Oz</t>
  </si>
  <si>
    <t>B0041PUDLG</t>
  </si>
  <si>
    <t>46.8</t>
  </si>
  <si>
    <t>6769986797640</t>
  </si>
  <si>
    <t>Sisley sisleya le teint anti aging foundation - # 3r peach 30ml/1oz</t>
  </si>
  <si>
    <t>Sisley Sisley Sisleya Le Teint Anti Aging Foundation - #3r, Peach, 30 Ml/1 Ounce, 1 Ounce</t>
  </si>
  <si>
    <t>B01LW997L9</t>
  </si>
  <si>
    <t>166.5</t>
  </si>
  <si>
    <t>-5.74%</t>
  </si>
  <si>
    <t>6769987518536</t>
  </si>
  <si>
    <t>Clinique Chubby Lash Fattening Mascara, No. 01 Jumbo Jet, 0.4 Ounce</t>
  </si>
  <si>
    <t>B01APOXKL6</t>
  </si>
  <si>
    <t>-5.94%</t>
  </si>
  <si>
    <t>Estee Lauder double wear stay in place makeup spf 10 - 5w1 bronze 30ml/1oz</t>
  </si>
  <si>
    <t>Moisture Double Wear Stay-in-Place Makeup 3N1 IVORY BEIGE for Estee Lauder ,1oz/30ml</t>
  </si>
  <si>
    <t>B09DCC674C</t>
  </si>
  <si>
    <t>46.79</t>
  </si>
  <si>
    <t>-5.98%</t>
  </si>
  <si>
    <t>6769976148040</t>
  </si>
  <si>
    <t>-6.13%</t>
  </si>
  <si>
    <t>Estee Lauder Brow Now Defining Pencil Light Brunette 1.2 g/0.04 Oz</t>
  </si>
  <si>
    <t>B015COASLO</t>
  </si>
  <si>
    <t>-6.15%</t>
  </si>
  <si>
    <t>Sisley phyto lip twist - # 25 soft berry 2.5g/0.08oz</t>
  </si>
  <si>
    <t>sisley paris Phyto Lip Twist - 25 Soft Berry Lipstick Women 0.08 oz</t>
  </si>
  <si>
    <t>B09MKJXXVM</t>
  </si>
  <si>
    <t>-6.93%</t>
  </si>
  <si>
    <t>6769982537800</t>
  </si>
  <si>
    <t>Sisley phyto lip twist - # 5 berry 2.5g/0.08oz</t>
  </si>
  <si>
    <t>6769988862024</t>
  </si>
  <si>
    <t>MAC mineralize skinfinish natural - dark deepest -10g/0.35oz</t>
  </si>
  <si>
    <t>MAC Mineralize Skinfinish Natural, 0.35 oz. - Dark Deepest (BNIB)</t>
  </si>
  <si>
    <t>B01B8ABHK2</t>
  </si>
  <si>
    <t>-7.27%</t>
  </si>
  <si>
    <t>6766504542280</t>
  </si>
  <si>
    <t>Clinique Stay-Matte Sheer Pressed Powder | Shine-Absorbing, Oil-Free Formula | Create a Perfect Matte Appearance | Free of Parabens, Phthalates, and Sulfates | Stay Beige - 0.27 oz</t>
  </si>
  <si>
    <t>B000JYNJBY</t>
  </si>
  <si>
    <t>-7.37%</t>
  </si>
  <si>
    <t>MAC Studio Fix Powder Plus Foundation - C2 0.52 oz</t>
  </si>
  <si>
    <t>B0006LNQ4U</t>
  </si>
  <si>
    <t>-8.02%</t>
  </si>
  <si>
    <t>MAC Studio Fix 24-Hour Smooth Wear Concealer, NW10, 0.24 oz</t>
  </si>
  <si>
    <t>B07QL3V2HD</t>
  </si>
  <si>
    <t>-8.93%</t>
  </si>
  <si>
    <t>MAC Studio Fix 24-Hour Smooth Wear Concealer NW50</t>
  </si>
  <si>
    <t>B07QP3SHX7</t>
  </si>
  <si>
    <t>-9.15%</t>
  </si>
  <si>
    <t>MAC Studio Fix Soft Matte Foundation Stick - NW30</t>
  </si>
  <si>
    <t>B09RY4CNTK</t>
  </si>
  <si>
    <t>-9.33%</t>
  </si>
  <si>
    <t>MAC cremesheen lipstick - dare you -3g/0.1oz</t>
  </si>
  <si>
    <t>MAC Cremesheen Lipstick - Dare You by CoCo-Shop</t>
  </si>
  <si>
    <t>B00IUHXOLC</t>
  </si>
  <si>
    <t>25.19</t>
  </si>
  <si>
    <t>-10.68%</t>
  </si>
  <si>
    <t>6766505230408</t>
  </si>
  <si>
    <t>MAC Lipstick Cremesheen Dare You</t>
  </si>
  <si>
    <t>B003CJ08JO</t>
  </si>
  <si>
    <t>Chubby Lash Fattening Mascara by Clinique 01 Jumbo Jet / 0.3 fl.oz. 9ml</t>
  </si>
  <si>
    <t>B09Q3L12YK</t>
  </si>
  <si>
    <t>Estee Lauder Double Wear Stay-in-Place Flawless Wear Concealer, 2c Light Medium Cool, 0.24 Fl.Oz</t>
  </si>
  <si>
    <t>B074T9GHWS</t>
  </si>
  <si>
    <t>-11.05%</t>
  </si>
  <si>
    <t>Sisley phyto lip twist - # 2 baby 2.5g/0.08oz</t>
  </si>
  <si>
    <t>Sisley Phyto-Lip Twist Lipstick for Women, No. 2 Baby, 0.04 Pound</t>
  </si>
  <si>
    <t>B00IQ82ENE</t>
  </si>
  <si>
    <t>-11.13%</t>
  </si>
  <si>
    <t>6769988763720</t>
  </si>
  <si>
    <t>Sisley by Sisley, Phyto Teint Nude Water Infused Second Skin Foundation -# 4C Honey -30ml/1oz</t>
  </si>
  <si>
    <t>B09MZ82V4B</t>
  </si>
  <si>
    <t>-11.16%</t>
  </si>
  <si>
    <t>Sisley phyto teint nude water infused second skin foundation -# 2w1 light beige 30ml/1oz</t>
  </si>
  <si>
    <t>6769982341192</t>
  </si>
  <si>
    <t>-11.17%</t>
  </si>
  <si>
    <t>Sisley Phyto-Teint Ultra Eclat Long Lasting Foundation 02+ Sand 1oz / 30ml</t>
  </si>
  <si>
    <t>B07XC3GWRZ</t>
  </si>
  <si>
    <t>-11.49%</t>
  </si>
  <si>
    <t>Sisley botanical eye &amp; lip contour balm 30ml/1oz</t>
  </si>
  <si>
    <t>139.5</t>
  </si>
  <si>
    <t>-12.06%</t>
  </si>
  <si>
    <t>6769986338888</t>
  </si>
  <si>
    <t>Studio Fix Soft Matte Foundation Stick - NW18 .31oz / 9g</t>
  </si>
  <si>
    <t>B08WYF7WZH</t>
  </si>
  <si>
    <t>-12.55%</t>
  </si>
  <si>
    <t>Sisley l'orchidee highlighter blush with white lily - coral 15g/0.52oz</t>
  </si>
  <si>
    <t>Sisley Women's L'orchidee Highlighter Blush with White Lily, 0.52 Ounce</t>
  </si>
  <si>
    <t>B00D2UYHHW</t>
  </si>
  <si>
    <t>-12.58%</t>
  </si>
  <si>
    <t>6769984340040</t>
  </si>
  <si>
    <t>Mac Studio Fix Soft Matte Foundation Stick NC18</t>
  </si>
  <si>
    <t>B081J4X4S6</t>
  </si>
  <si>
    <t>-12.96%</t>
  </si>
  <si>
    <t>-13.02%</t>
  </si>
  <si>
    <t>MAC Cremesheen Lipstick Creme in Your Coffee 3g, dare you- cremesheen, 1 Count</t>
  </si>
  <si>
    <t>B00OQ913CA</t>
  </si>
  <si>
    <t>-13.06%</t>
  </si>
  <si>
    <t>2 Pcs CLINIQUE Chubby Lash Fattening Mascara in 01 Jumbo Jet Travel-Size Set 0.14oz/4ml</t>
  </si>
  <si>
    <t>B01L4XUE9I</t>
  </si>
  <si>
    <t>-14.54%</t>
  </si>
  <si>
    <t>Estee Lauder double wear 24h waterproof gel eye pencil - # 05 smoke 1.2g/0.04oz</t>
  </si>
  <si>
    <t>Estee Lauder Double Wear 24H Waterproof Gel Eye Pencil - 05 Smoke Eye Pencil Women 0.04 oz</t>
  </si>
  <si>
    <t>B0B34YXD6P</t>
  </si>
  <si>
    <t>-14.81%</t>
  </si>
  <si>
    <t>6769975918664</t>
  </si>
  <si>
    <t>MAC Studio Fix Powder Plus Foundation, NC42, 1 Count, 0.52 Ounce (Pack of 1) (MACM51058)</t>
  </si>
  <si>
    <t>B0041PKZD2</t>
  </si>
  <si>
    <t>-14.83%</t>
  </si>
  <si>
    <t>MAC Studio Fix Soft Matte Foundation Stick NW13</t>
  </si>
  <si>
    <t>B093VXZ1B2</t>
  </si>
  <si>
    <t>-15.21%</t>
  </si>
  <si>
    <t>MAC lipstick - mocha (satin) -3g/0.1oz</t>
  </si>
  <si>
    <t>Mac Satin Lipstick MOCHA 0.1 Oz</t>
  </si>
  <si>
    <t>B00908K760</t>
  </si>
  <si>
    <t>-15.60%</t>
  </si>
  <si>
    <t>6766503919688</t>
  </si>
  <si>
    <t>Sisley eye contour mask 30ml/1oz</t>
  </si>
  <si>
    <t>Sisley Eye Contour Mask 30ml</t>
  </si>
  <si>
    <t>B00WMZ91WE</t>
  </si>
  <si>
    <t>146.7</t>
  </si>
  <si>
    <t>-15.65%</t>
  </si>
  <si>
    <t>6769987223624</t>
  </si>
  <si>
    <t>-15.91%</t>
  </si>
  <si>
    <t>Estee Lauder Double Wear Stay-in-Place Makeup | 24-Hour Wear, Flawless, Natural, Matte Foundation for All Skin Types | Waterproof and SPF 10 | Shade: 3C2 Pebble - Cool / Rosy Undertone | 1 oz</t>
  </si>
  <si>
    <t>B001JZ1XK6</t>
  </si>
  <si>
    <t>-16.22%</t>
  </si>
  <si>
    <t>Clinique High Impact Waterproof Mascara #01 Black --8ml/0.28oz</t>
  </si>
  <si>
    <t>Clinique High Impact Waterproof Mascara - # 01 Black - 8ml/0.28oz</t>
  </si>
  <si>
    <t>B00CTIR99Q</t>
  </si>
  <si>
    <t>-16.44%</t>
  </si>
  <si>
    <t>6764857000008</t>
  </si>
  <si>
    <t>MAC powder kiss lipstick - a little tamed -3g/0.1oz</t>
  </si>
  <si>
    <t>MAC Power Kiss Lipstick A Little Tamed</t>
  </si>
  <si>
    <t>B07HLW4JVK</t>
  </si>
  <si>
    <t>-16.63%</t>
  </si>
  <si>
    <t>6766504575048</t>
  </si>
  <si>
    <t>Estee Lauder Double Wear Stay-In-Place Flawless Wear Concealer 2N Light Medium (Neutral), 0.34 Ounce</t>
  </si>
  <si>
    <t>B07W68ZCQM</t>
  </si>
  <si>
    <t>-16.76%</t>
  </si>
  <si>
    <t>MAC Studio Fix 24-Hour Smooth Wear Concealer NW28</t>
  </si>
  <si>
    <t>B07QP366P8</t>
  </si>
  <si>
    <t>-17.30%</t>
  </si>
  <si>
    <t>Sisley phyto sourcils perfect eyebrow pencil (with brush &amp; sharpener) - no. 01 blond 0.55g/0.019oz</t>
  </si>
  <si>
    <t>Sisley - Phyto Sourcils Perfect Eyebrow Pencil (With Brush and Sharpener) - No. 03 Brun 0.55g/0.019oz</t>
  </si>
  <si>
    <t>B00C4QVV3I</t>
  </si>
  <si>
    <t>59.4</t>
  </si>
  <si>
    <t>-17.41%</t>
  </si>
  <si>
    <t>6769987092552</t>
  </si>
  <si>
    <t>Sisley phyto sourcils perfect eyebrow pencil (with brush &amp; sharpener) - no. 03 brun 0.55g/0.019oz</t>
  </si>
  <si>
    <t>6769987125320</t>
  </si>
  <si>
    <t>Sisley phyto cernes eclat eye concealer - # 03 15ml/0.61oz</t>
  </si>
  <si>
    <t>Sisley Phyto Cernes Eclat Eye Concealer, No.03, 0.61 Ounce</t>
  </si>
  <si>
    <t>B07DN21NBV</t>
  </si>
  <si>
    <t>106.2</t>
  </si>
  <si>
    <t>-17.59%</t>
  </si>
  <si>
    <t>6769988993096</t>
  </si>
  <si>
    <t>Sisley Phyto Sourcils Design 3 In 1 Brow Architect Pencil - # 1 Cappuccino 2x0.2g/0.007oz</t>
  </si>
  <si>
    <t>B075PJJYSV</t>
  </si>
  <si>
    <t>-17.63%</t>
  </si>
  <si>
    <t>MAC powder kiss lipstick - mandarin o -3g/0.1oz</t>
  </si>
  <si>
    <t>MAC Powder Kiss Lipstick # Mandarin O</t>
  </si>
  <si>
    <t>B07JFLL7QQ</t>
  </si>
  <si>
    <t>-17.67%</t>
  </si>
  <si>
    <t>6766504673352</t>
  </si>
  <si>
    <t>Sisley phyto lip twist - # 1 nude 2.5g/0.08oz</t>
  </si>
  <si>
    <t>Sisley Phyto-Lip Twist Lipstick for Women, No. 1 Nude, 0.04 Pound</t>
  </si>
  <si>
    <t>B00IQ82E02</t>
  </si>
  <si>
    <t>-17.98%</t>
  </si>
  <si>
    <t>6769988730952</t>
  </si>
  <si>
    <t>Studio Fix soft matte foundation stick - NC38</t>
  </si>
  <si>
    <t>B0953XTSDB</t>
  </si>
  <si>
    <t>-18.10%</t>
  </si>
  <si>
    <t>Estee Lauder Double Wear Stay-in Place Makeup Spf 10-2c1 - Pure Beige 1.0 Oz. / 30 Ml for Women</t>
  </si>
  <si>
    <t>B07GVP3SS4</t>
  </si>
  <si>
    <t>-18.34%</t>
  </si>
  <si>
    <t>Sisley so intense mascara - # 2 deep brown 7.5ml/0.27oz</t>
  </si>
  <si>
    <t>Sisley by Sisley So Intense Mascara - # 1 Deep Black -7ml/0.27oz for WOMEN 100% Authentic</t>
  </si>
  <si>
    <t>B07JRBRRBW</t>
  </si>
  <si>
    <t>70.2</t>
  </si>
  <si>
    <t>-18.46%</t>
  </si>
  <si>
    <t>6769989156936</t>
  </si>
  <si>
    <t>Sisley so volume mascara - # 1 deep black 8ml/0.27oz</t>
  </si>
  <si>
    <t>6769984208968</t>
  </si>
  <si>
    <t>Sisley so intense mascara - # 1 deep black 7ml/0.27oz</t>
  </si>
  <si>
    <t>6769989124168</t>
  </si>
  <si>
    <t>Clinique Even Better Refresh #CN40 - Cream Chamois --30ml/1oz</t>
  </si>
  <si>
    <t>Clinique Even Better Refresh Hydrating &amp; Repairing Makeup - Cream Chamois CN 40</t>
  </si>
  <si>
    <t>B07PWJ5RDQ</t>
  </si>
  <si>
    <t>40.49</t>
  </si>
  <si>
    <t>-18.50%</t>
  </si>
  <si>
    <t>6764857032776</t>
  </si>
  <si>
    <t>sisley paris Sisley Sisley phyto levres perfect lipliner - #rose passion, 0.04oz, 0.04 Ounce (3473311876140)</t>
  </si>
  <si>
    <t>B00VK11RF0</t>
  </si>
  <si>
    <t>-18.80%</t>
  </si>
  <si>
    <t>-19.62%</t>
  </si>
  <si>
    <t>-19.63%</t>
  </si>
  <si>
    <t>Sisley l'orchidee highlighter blush with white lily peach 15g/0.52oz</t>
  </si>
  <si>
    <t>108.0</t>
  </si>
  <si>
    <t>-19.86%</t>
  </si>
  <si>
    <t>6769988501576</t>
  </si>
  <si>
    <t>Estee Lauder bronze goddess powder bronzer - # 02 medium 21g/0.74oz</t>
  </si>
  <si>
    <t>BRONZE GODDESS powder bronzer #02-medium 21 gr by Estee Lauder</t>
  </si>
  <si>
    <t>B00IIO9W5O</t>
  </si>
  <si>
    <t>54.89</t>
  </si>
  <si>
    <t>-20.60%</t>
  </si>
  <si>
    <t>6769975230536</t>
  </si>
  <si>
    <t>MAC Studio Fix Powder Plus Foundation NC10,0.52 Ounce (Pack of 1)</t>
  </si>
  <si>
    <t>B071X5Z88H</t>
  </si>
  <si>
    <t>-20.71%</t>
  </si>
  <si>
    <t>Estee Lauder double wear stay in place flawless wear concealer - # 1c light (cool) 7ml/0.24oz</t>
  </si>
  <si>
    <t>35.09</t>
  </si>
  <si>
    <t>-21.03%</t>
  </si>
  <si>
    <t>6769974739016</t>
  </si>
  <si>
    <t>Sisley Phyto Sourcils Design 3 In 1 Brow Architect Pencil - # 3 Brun 2x0.2g/0.007oz</t>
  </si>
  <si>
    <t>B075PL35XB</t>
  </si>
  <si>
    <t>-22.30%</t>
  </si>
  <si>
    <t>Sisley phyto cernes eclat eye concealer - # 01 15ml/0.61oz</t>
  </si>
  <si>
    <t>-22.32%</t>
  </si>
  <si>
    <t>6769986699336</t>
  </si>
  <si>
    <t>Clinique Chubby Stick Intense Moisturizing Lip Colour Balm #01 Curviest Caramel --3g/0.10oz</t>
  </si>
  <si>
    <t>Clinique Chubby Stick Intense Moisturizing Lip Color Balm, No. 01 Curviest Caramel, 0.1 Ounce</t>
  </si>
  <si>
    <t>B00AATN2II</t>
  </si>
  <si>
    <t>6764856934472</t>
  </si>
  <si>
    <t>Sisley phyto lip twist - # 7 coral 2.5g/0.08oz</t>
  </si>
  <si>
    <t>Sisley Phyto-Lip Twist # 7 Coral for Women Lipstick, 0.08 Ounce</t>
  </si>
  <si>
    <t>B00TGS2FTG</t>
  </si>
  <si>
    <t>-22.51%</t>
  </si>
  <si>
    <t>6769988075592</t>
  </si>
  <si>
    <t>Estee Lauder Double Wear Stay In Place Flawless Concealer, 01 Light, 0.24 Ounce</t>
  </si>
  <si>
    <t>B00AUNLIWG</t>
  </si>
  <si>
    <t>-22.60%</t>
  </si>
  <si>
    <t>Clinique Take The Day Off Makeup Remover For Lids, Lashes &amp; Lips 1.7 oz / 50 ml Each, 5.1 oz / 150 ml Total (Lot of 3)</t>
  </si>
  <si>
    <t>B00XH96EEC</t>
  </si>
  <si>
    <t>-23.09%</t>
  </si>
  <si>
    <t>MAC powder kiss lipstick - shocking revelation -3g/0.1oz</t>
  </si>
  <si>
    <t>MAC Powder Kiss Lipstick # Shocking Revelation</t>
  </si>
  <si>
    <t>B07QGVM9Z6</t>
  </si>
  <si>
    <t>-23.30%</t>
  </si>
  <si>
    <t>6766504706120</t>
  </si>
  <si>
    <t>High Impact Waterproof Mascara by clinique,Black, full size : 8ml</t>
  </si>
  <si>
    <t>B0CBWT78F6</t>
  </si>
  <si>
    <t>-23.46%</t>
  </si>
  <si>
    <t>Estee Lauder sumptuous extreme waterproof lash multiplying volume mascara - # 01 extreme black 8ml/0.27oz</t>
  </si>
  <si>
    <t>Estee Lauder Sumptuous Extreme Waterproof Lash Multiplying Volume Mascara, Extreme Black, 0.3 Ounce</t>
  </si>
  <si>
    <t>B00BMR8T8K</t>
  </si>
  <si>
    <t>-23.98%</t>
  </si>
  <si>
    <t>6769975165000</t>
  </si>
  <si>
    <t>Estee Lauder Pure Color Envy/Hi-Lustre Light Sculpting Lipstick, 0.12 oz. / 3.5 g •• (Envious 340) ••</t>
  </si>
  <si>
    <t>B082GLP2X7</t>
  </si>
  <si>
    <t>-24.08%</t>
  </si>
  <si>
    <t>MAC Eye Kohl Eye Liner Pencil Powersurge Color by M.A.C</t>
  </si>
  <si>
    <t>B01LMNO3QU</t>
  </si>
  <si>
    <t>-24.36%</t>
  </si>
  <si>
    <t>Estee Lauder double wear pump</t>
  </si>
  <si>
    <t>2PCS Foundation Pump for Estee Lauder Double Wear Foundation(Upgrade)</t>
  </si>
  <si>
    <t>B07RXK8PH9</t>
  </si>
  <si>
    <t>9.89</t>
  </si>
  <si>
    <t>-24.67%</t>
  </si>
  <si>
    <t>6769974706248</t>
  </si>
  <si>
    <t>MAC Studio Fix 24-Hour Smooth Wear Concealer NC25</t>
  </si>
  <si>
    <t>B07QN1J4D2</t>
  </si>
  <si>
    <t>-25.19%</t>
  </si>
  <si>
    <t>Estée Lauder Double Wear Stay in Place Liquid Makeup Spf 10#4W1 Honey Bronze, 1 Ounce</t>
  </si>
  <si>
    <t>B00B71MWXO</t>
  </si>
  <si>
    <t>-25.22%</t>
  </si>
  <si>
    <t>Estee Lauder Bronze Goddess Powder Bronzer, No. 02 Medium, 0.74 Oz</t>
  </si>
  <si>
    <t>B00I6E7XHU</t>
  </si>
  <si>
    <t>-25.51%</t>
  </si>
  <si>
    <t>Estee Lauder Double Wear Stay In Place SPF 10 Makeup, Wheat, 1 Ounce</t>
  </si>
  <si>
    <t>B0009TNBWG</t>
  </si>
  <si>
    <t>-26.65%</t>
  </si>
  <si>
    <t>Sisley So Intense Mascara # 2 Deep Brown 7.5Ml/0.27Oz</t>
  </si>
  <si>
    <t>B00D8GYJ2I</t>
  </si>
  <si>
    <t>-27.02%</t>
  </si>
  <si>
    <t>3x Clinique Take The Day Off Makeup Remover 1.7oz / 50ml, Totals 150ml/5.1oz</t>
  </si>
  <si>
    <t>B00SKDPUTU</t>
  </si>
  <si>
    <t>-27.36%</t>
  </si>
  <si>
    <t>Estee Lauder Estee Double Wear Stay In Place Flawless Concealer 1w Light (warm), 0.24 Oz</t>
  </si>
  <si>
    <t>B00H2Q5GV8</t>
  </si>
  <si>
    <t>-27.50%</t>
  </si>
  <si>
    <t>Estee Lauder Double Wear Stay-in-Place Makeup SPF 10 for All Skin Types, No. 1W2 Sand, 1 Ounce</t>
  </si>
  <si>
    <t>B009KKOZ5W</t>
  </si>
  <si>
    <t>-27.68%</t>
  </si>
  <si>
    <t>Clarins blush brush</t>
  </si>
  <si>
    <t>Clarins Blush Brush | Angled Brush | Color, Contour and Highlight With Natural Looking Results | Ultra-Soft Synthetic Fibers and Sustainably Sourced Birch Handle</t>
  </si>
  <si>
    <t>B07CQX1NMW</t>
  </si>
  <si>
    <t>43.19</t>
  </si>
  <si>
    <t>-28.22%</t>
  </si>
  <si>
    <t>6772296351816</t>
  </si>
  <si>
    <t>sisley paris Phyto-Teint Ultra Eclat Long Lasting Foundation 02 Soft Beige 1oz / 30ml (908-05621)</t>
  </si>
  <si>
    <t>B07XC3F67C</t>
  </si>
  <si>
    <t>-28.46%</t>
  </si>
  <si>
    <t>Estee Lauder Double Wear Stay-In-Place Flawless Concealer SPF 10, No. 1C Light/Cool, 0.24 Ounce</t>
  </si>
  <si>
    <t>B00GSGZP50</t>
  </si>
  <si>
    <t>-28.75%</t>
  </si>
  <si>
    <t>Estee Lauder double wear stay in place makeup spf 10 - no. 98 spiced sand (4n2) 30ml/1oz</t>
  </si>
  <si>
    <t>47.69</t>
  </si>
  <si>
    <t>-29.04%</t>
  </si>
  <si>
    <t>6769975132232</t>
  </si>
  <si>
    <t>4 Pieces Replacement Foundation Pump Black Plastic Cosmetic Liquid Foundation Make-Up Pump Replacement Tool for and Estee Lauder Double Wear Foundation</t>
  </si>
  <si>
    <t>B07TGD2T9L</t>
  </si>
  <si>
    <t>-29.32%</t>
  </si>
  <si>
    <t>2Pack Foundation Pump for Estee Lauder Double Wear Foundation(Upgrade )</t>
  </si>
  <si>
    <t>B092M7RK6V</t>
  </si>
  <si>
    <t>-29.73%</t>
  </si>
  <si>
    <t>sisley paris So Volume Mascara - 1 Deep Black Women 0.27 oz</t>
  </si>
  <si>
    <t>B07P6RKRGF</t>
  </si>
  <si>
    <t>-29.93%</t>
  </si>
  <si>
    <t>MAC cremesheen lipstick - on hold -3g/0.1oz</t>
  </si>
  <si>
    <t>Mac Cremesheen Lipstick ON HOLD</t>
  </si>
  <si>
    <t>B07S29C761</t>
  </si>
  <si>
    <t>27.89</t>
  </si>
  <si>
    <t>-30.08%</t>
  </si>
  <si>
    <t>6766505263176</t>
  </si>
  <si>
    <t>Eye Contour Mask - 30ml/1oz</t>
  </si>
  <si>
    <t>B003KRQSEW</t>
  </si>
  <si>
    <t>-30.09%</t>
  </si>
  <si>
    <t>Estee Lauder Double Wear Stay-in-place Flawless Wear Concealer - 3c Medium Cool By Estee Lauder for Women - 0.24 Ounce</t>
  </si>
  <si>
    <t>B009JESQ8G</t>
  </si>
  <si>
    <t>-30.16%</t>
  </si>
  <si>
    <t>MAC Blush Powder - Raizin 6g/0.21oz</t>
  </si>
  <si>
    <t>B00B3PF3ZS</t>
  </si>
  <si>
    <t>-30.18%</t>
  </si>
  <si>
    <t>Sisley gentle make-up remover face and eyes 300ml/10.1oz</t>
  </si>
  <si>
    <t>SISLEY Women's Eau Efficace Gentle MakeUp Remover for Face Eyes All Skin Types Ounce, 10.1 Fl Oz</t>
  </si>
  <si>
    <t>B00AJWU90K</t>
  </si>
  <si>
    <t>-30.36%</t>
  </si>
  <si>
    <t>6769988632648</t>
  </si>
  <si>
    <t>Sisley phyto poudre compacte matifying and beautifying pressed powder - # 1 rosy 12g/0.42oz</t>
  </si>
  <si>
    <t>Sisley - Phyto Poudre Compacte Matifying and Beautifying Pressed Powder - # 4 Bronze 12g/0.42oz</t>
  </si>
  <si>
    <t>B088R2NS8H</t>
  </si>
  <si>
    <t>-30.60%</t>
  </si>
  <si>
    <t>6769983848520</t>
  </si>
  <si>
    <t>Sisley phyto poudre compacte matifying and beautifying pressed powder - # 3 sandy 12g/0.42oz</t>
  </si>
  <si>
    <t>6769983881288</t>
  </si>
  <si>
    <t>Mac Studio Fix Powder Plus Foundation Nw33 15gm/0.52 Oz</t>
  </si>
  <si>
    <t>B00EKUG4S8</t>
  </si>
  <si>
    <t>-30.88%</t>
  </si>
  <si>
    <t>Sisley L'orchidee Rose Highlighter Blush with White Lily for Women, Blush, 0.52 Ounce</t>
  </si>
  <si>
    <t>B00BNY5K7U</t>
  </si>
  <si>
    <t>-30.89%</t>
  </si>
  <si>
    <t>Estee Lauder Brow Now Stay-in-Place, Clear, 0.05 Ounce</t>
  </si>
  <si>
    <t>B01EH1DJGO</t>
  </si>
  <si>
    <t>-31.73%</t>
  </si>
  <si>
    <t>-32.03%</t>
  </si>
  <si>
    <t>-32.34%</t>
  </si>
  <si>
    <t>Sisley phyto khol star waterproof - # 2 sparkling grey 0.3g/0.01oz</t>
  </si>
  <si>
    <t>sisley paris Phyto Khol Star Waterproof - 02 Sparkling Grey By Sisley for Women - 0.01 Oz Eyeliner, 0.10 Oz</t>
  </si>
  <si>
    <t>B079LGVH62</t>
  </si>
  <si>
    <t>55.8</t>
  </si>
  <si>
    <t>-32.72%</t>
  </si>
  <si>
    <t>6769985945672</t>
  </si>
  <si>
    <t>-33.74%</t>
  </si>
  <si>
    <t>Sisley Sisley Phyto Sourcils Design 3 In 1 Brow Architect Pencil - #2 Chatain, 2x0.2 G/0.007 Ounce, 0.007 Ounce</t>
  </si>
  <si>
    <t>B075PKRX85</t>
  </si>
  <si>
    <t>-33.87%</t>
  </si>
  <si>
    <t>MAC Studio Fix Soft Matte Foundation Stick NC38</t>
  </si>
  <si>
    <t>B093VXV5MY</t>
  </si>
  <si>
    <t>Sisley phyto khol star waterproof - # 1 sparkling black 0.3g/0.01oz</t>
  </si>
  <si>
    <t>Sisley Phyto Khol Star Waterproof - 01 Sparkling Black By Sisley for Women - 0.01 Oz Eyeliner, 0.10 Oz</t>
  </si>
  <si>
    <t>B079LGL12N</t>
  </si>
  <si>
    <t>-35.66%</t>
  </si>
  <si>
    <t>6769985880136</t>
  </si>
  <si>
    <t>-36.65%</t>
  </si>
  <si>
    <t>Sisley phyto khol star waterproof - # 6 mystic purple 0.3g/0.01oz</t>
  </si>
  <si>
    <t>sisley paris Phyto Khol Star Waterproof - 06 Mystic Purple By Sisley for Women - 0.01 Oz Eyeliner, 0.10 Oz</t>
  </si>
  <si>
    <t>B079LCVRWX</t>
  </si>
  <si>
    <t>-37.20%</t>
  </si>
  <si>
    <t>6769986043976</t>
  </si>
  <si>
    <t>Estee Lauder pure color envy matte sculpting lipstick - # 559 demand 3.5g/0.12oz</t>
  </si>
  <si>
    <t>Estee Lauder Pure Color Envy Matte Sculpting Lipstick #330 Decisive Poppy, 0.12 Ounce</t>
  </si>
  <si>
    <t>B015R9MLUU</t>
  </si>
  <si>
    <t>39.59</t>
  </si>
  <si>
    <t>-37.28%</t>
  </si>
  <si>
    <t>6769975558216</t>
  </si>
  <si>
    <t>Sisley phyto khol star waterproof - # 8 mystic green 0.3g/0.01oz</t>
  </si>
  <si>
    <t>Sisley Phyto Khol Star Waterproof - 08 Mystic Green By Sisley for Women - 0.01 Oz Eyeliner, 0.10 Oz</t>
  </si>
  <si>
    <t>B079LG543S</t>
  </si>
  <si>
    <t>-39.05%</t>
  </si>
  <si>
    <t>6769986109512</t>
  </si>
  <si>
    <t>Sisley sisleya le teint anti aging foundation - # 2r organza 30ml/1oz</t>
  </si>
  <si>
    <t>Sisley Sisleya Le Teint Anti Aging Foundation, 2r Organza, 1 Ounce</t>
  </si>
  <si>
    <t>B01LVZ4N1J</t>
  </si>
  <si>
    <t>184.5</t>
  </si>
  <si>
    <t>-39.26%</t>
  </si>
  <si>
    <t>6769987485768</t>
  </si>
  <si>
    <t>Clinique high impact zero gravity mascara - # 01 black --8ml/0.27oz</t>
  </si>
  <si>
    <t>29.69</t>
  </si>
  <si>
    <t>-39.37%</t>
  </si>
  <si>
    <t>6764857196616</t>
  </si>
  <si>
    <t>OBHRRY 2Pack Foundation Pump Compatible with Estee Lauder Double Wear Foundation(Upgrade)</t>
  </si>
  <si>
    <t>B0B8JVSQ7K</t>
  </si>
  <si>
    <t>-39.43%</t>
  </si>
  <si>
    <t>2Pack DW Foundation Pump for Estee Lauder Double Wear Pump 30ML Vacuum Pump Head Press Dedicated</t>
  </si>
  <si>
    <t>B09KTC9KFL</t>
  </si>
  <si>
    <t>-39.53%</t>
  </si>
  <si>
    <t>Bluecell 2pcs Replacement Foundation Pump for MAC and Estee Lauder Double Wear Foundation</t>
  </si>
  <si>
    <t>B07NRWCLM5</t>
  </si>
  <si>
    <t>-40.44%</t>
  </si>
  <si>
    <t>Estee Lauder Double Wear Stay-in-Place Flawless Wear Concealer, 4n Medium Deep, 0.24 Ounce, Medium Deep</t>
  </si>
  <si>
    <t>B009JEUKOE</t>
  </si>
  <si>
    <t>-40.67%</t>
  </si>
  <si>
    <t>Sisley phyto touche illusion d'ete sun glow bronzing gel powder 11g/0.38oz</t>
  </si>
  <si>
    <t>Sisley Women's Phyto-Touche Illusion D'ete Sun Glow Bronzing Gel Powder, 0.38 Ounce</t>
  </si>
  <si>
    <t>B00IQ82DBW</t>
  </si>
  <si>
    <t>117.0</t>
  </si>
  <si>
    <t>-41.32%</t>
  </si>
  <si>
    <t>6769988927560</t>
  </si>
  <si>
    <t>Phyto-Teint Eclat # 4 + Ultra-cinnamon 30 Ml</t>
  </si>
  <si>
    <t>B07XB3GXPQ</t>
  </si>
  <si>
    <t>-41.53%</t>
  </si>
  <si>
    <t>Mac Studio Fix Soft Matte Foundation Stick NC15</t>
  </si>
  <si>
    <t>B07XLF4NXW</t>
  </si>
  <si>
    <t>MAC by Make-Up Artist Cosmetics, Love Me Lipstick - Shamelessly Vain -3g/0.1oz</t>
  </si>
  <si>
    <t>B0BKR5RHM6</t>
  </si>
  <si>
    <t>-42.05%</t>
  </si>
  <si>
    <t>Mac Studio Fix Powder Plus Foundation Nw15 0.52 Ounce</t>
  </si>
  <si>
    <t>B007O0WLI8</t>
  </si>
  <si>
    <t>-43.18%</t>
  </si>
  <si>
    <t>Sumptuous Extreme Lash Multiplying Volume Mascara for Estee Lauder 01 Extreme Black Full Size Unboxed</t>
  </si>
  <si>
    <t>B09DD3XD5N</t>
  </si>
  <si>
    <t>-43.35%</t>
  </si>
  <si>
    <t>MAC Powder Kiss Lipstick Shocking Revelation 0.1 OZ.</t>
  </si>
  <si>
    <t>B08SVQ6PY4</t>
  </si>
  <si>
    <t>-44.50%</t>
  </si>
  <si>
    <t>sisley paris Phyto Cernes Eclat No. 01 Eye Concealer for Women, 0.09 Pound (SISLEY-615213)</t>
  </si>
  <si>
    <t>B009QZ5RRG</t>
  </si>
  <si>
    <t>-46.44%</t>
  </si>
  <si>
    <t>-47.68%</t>
  </si>
  <si>
    <t>SISLEY Eye Contour Mask 30ml/1oz (10093)</t>
  </si>
  <si>
    <t>B00AHIQYXM</t>
  </si>
  <si>
    <t>-48.88%</t>
  </si>
  <si>
    <t>-54.04%</t>
  </si>
  <si>
    <t>-54.74%</t>
  </si>
  <si>
    <t>CLINIQUE Mini Take The Day Off Makeup Remover For Lids, Lashes &amp; Lips 1.69 oz/ 50 mL</t>
  </si>
  <si>
    <t>B0037ONFIK</t>
  </si>
  <si>
    <t>-57.29%</t>
  </si>
  <si>
    <t>MAC Eye Kohl - Fascinating - 1.36g/0.048oz</t>
  </si>
  <si>
    <t>B00D0NOCQ2</t>
  </si>
  <si>
    <t>-58.36%</t>
  </si>
  <si>
    <t>Chris.W 2Pack Foundation Pump for Estee Lauder Double Wear Foundation(Gold)</t>
  </si>
  <si>
    <t>B07BSS5LTW</t>
  </si>
  <si>
    <t>-62.69%</t>
  </si>
  <si>
    <t>Estee Lauder Sumptuous Extreme Lash Multiplying Volume Mascara 01 Extreme Black</t>
  </si>
  <si>
    <t>B008QRBQES</t>
  </si>
  <si>
    <t>-77.63%</t>
  </si>
  <si>
    <t>Estee Lauder Bronze Goddess Powder Bronzer - 02 Medium 0.12 oz UB</t>
  </si>
  <si>
    <t>B07L391SB9</t>
  </si>
  <si>
    <t>Sisley white ginger contouring oil for legs sample 8ml/0.27oz</t>
  </si>
  <si>
    <t>Sisley Sisley white ginger contouring oil for legs, 5oz, 5 Ounce</t>
  </si>
  <si>
    <t>B06WRPJ3NH</t>
  </si>
  <si>
    <t>7.19</t>
  </si>
  <si>
    <t>2,666.34%</t>
  </si>
  <si>
    <t>6769982603336</t>
  </si>
  <si>
    <t>L'extase nina ricci body lotion 3.4 oz</t>
  </si>
  <si>
    <t>Nina Ricci L'air du Temps for Women 3 Piece Set Includes: 3.4 oz Eau de Toilette Spray + 3.5 oz Caressing Body Soap + 3.4 oz Body Lotion</t>
  </si>
  <si>
    <t>B091WZVG17</t>
  </si>
  <si>
    <t>251.95%</t>
  </si>
  <si>
    <t>6772305428552</t>
  </si>
  <si>
    <t>NINA ROUGE BY NINA RICCI 2.7 OZ.EDT SPRAY + 3.4 OZ.CREAMY BODY LOTION.</t>
  </si>
  <si>
    <t>B09J1NNXTN</t>
  </si>
  <si>
    <t>231.94%</t>
  </si>
  <si>
    <t>White tea wild rose by elizabeth arden body cream 13.5 oz</t>
  </si>
  <si>
    <t>White Tea by Elizabeth Arden, Women's Perfume, Eau de Toilette Spray, Wild Rose, 3.3 Fl Oz</t>
  </si>
  <si>
    <t>B07ND5W2PF</t>
  </si>
  <si>
    <t>202.36%</t>
  </si>
  <si>
    <t>6772304412744</t>
  </si>
  <si>
    <t>Elizabeth Arden eight hour cream intensive moisturizing hand treatment 30ml/1oz</t>
  </si>
  <si>
    <t>Elizabeth Arden Eight Hour Cream Intensive Moisturizing Body Treatment, Body Lotion, Skin Care for Women</t>
  </si>
  <si>
    <t>B0BC1QC9XF</t>
  </si>
  <si>
    <t>166.86%</t>
  </si>
  <si>
    <t>6772298121288</t>
  </si>
  <si>
    <t>Green tea by elizabeth arden body lotion 6.8 oz</t>
  </si>
  <si>
    <t>152.04%</t>
  </si>
  <si>
    <t>6772301234248</t>
  </si>
  <si>
    <t>Estee Lauder perfectly clean multi-action foam cleanser/ purifying mask 150ml/5oz</t>
  </si>
  <si>
    <t>Perfectly Clean Multi-Action Foam Cleanser/Purifying Mask - All Skin Types Estee Lauder Cleanser Unisex 5 oz (Pack of 2)</t>
  </si>
  <si>
    <t>B075FYW5LB</t>
  </si>
  <si>
    <t>31.49</t>
  </si>
  <si>
    <t>90.50%</t>
  </si>
  <si>
    <t>6769975197768</t>
  </si>
  <si>
    <t>La Mer Brume De La Mer - The Mist 100ml/3.4oz</t>
  </si>
  <si>
    <t>B00NM6S7ZE</t>
  </si>
  <si>
    <t>78.57%</t>
  </si>
  <si>
    <t>Clarins remove micellar cleansing water 200ml/6.8oz</t>
  </si>
  <si>
    <t>Clarins Cleansing Micellar Water | Quickly Removes Make-Up, Pollution and Grime | No Rinse Needed | Preserves Skin's Microbiota | Safe For Use on Eyes, Face and Lips | Dermatologist Tested</t>
  </si>
  <si>
    <t>B08B847XJS</t>
  </si>
  <si>
    <t>18.89</t>
  </si>
  <si>
    <t>74.70%</t>
  </si>
  <si>
    <t>6772291108936</t>
  </si>
  <si>
    <t>Soir de lune by sisley body cream 5 oz</t>
  </si>
  <si>
    <t>Sisley Soir De Lune Coffret: EDP Spray 100ml/3.3oz + Body Lotion 150ml/5.1oz 2pcs</t>
  </si>
  <si>
    <t>B016DHKAYY</t>
  </si>
  <si>
    <t>115.2</t>
  </si>
  <si>
    <t>74.17%</t>
  </si>
  <si>
    <t>6769989255240</t>
  </si>
  <si>
    <t>Elizabeth Arden eight hour cream lip protectant 13ml/0.43oz</t>
  </si>
  <si>
    <t>73.61%</t>
  </si>
  <si>
    <t>6772298186824</t>
  </si>
  <si>
    <t>Elizabeth Arden superstart skin renewal booster 30ml/1oz</t>
  </si>
  <si>
    <t>Elizabeth Arden SUPERSTART Skin Renewal Booster</t>
  </si>
  <si>
    <t>B01IBQHY6M</t>
  </si>
  <si>
    <t>66.67%</t>
  </si>
  <si>
    <t>6772299300936</t>
  </si>
  <si>
    <t>57.99%</t>
  </si>
  <si>
    <t>White tea vanilla orchid by elizabeth arden body cream 13.5 oz</t>
  </si>
  <si>
    <t>51.18%</t>
  </si>
  <si>
    <t>6772303986760</t>
  </si>
  <si>
    <t>Elizabeth Arden White Tea Ginger Lily Body Cream, Moisturizing &amp; Hydrating with Shea Butter, 13.5 oz. (Pack of 1)</t>
  </si>
  <si>
    <t>B08VY8XS3R</t>
  </si>
  <si>
    <t>50.01%</t>
  </si>
  <si>
    <t>Elizabeth Arden advanced ceramide lift and firm night cream 50ml/1.7oz</t>
  </si>
  <si>
    <t>Elizabeth Arden 3 Piece Ceramide Skin Care Set, Lift and Firm Day Cream, Lift and Firm Night Cream, Adavanced Ceramide Capsules</t>
  </si>
  <si>
    <t>B09QH4X24H</t>
  </si>
  <si>
    <t>46.67%</t>
  </si>
  <si>
    <t>6772300447816</t>
  </si>
  <si>
    <t>Estee Lauder Perfectly Clean Multi-Action Foam Cleanser-Purifying Mask Unisex Cleanser 5 oz (Pack of 2)</t>
  </si>
  <si>
    <t>B0C1G8NJZC</t>
  </si>
  <si>
    <t>46.08%</t>
  </si>
  <si>
    <t>Estee Lauder Perfectly Clean Multi-action Foam Cleanser/Purifying Mask, 5 Ounce (Pack of 2)</t>
  </si>
  <si>
    <t>B0CB69M7MS</t>
  </si>
  <si>
    <t>Elizabeth Arden ceramide retinol capsules line erasing night serum 60 caps</t>
  </si>
  <si>
    <t>82.8</t>
  </si>
  <si>
    <t>44.93%</t>
  </si>
  <si>
    <t>6772299104328</t>
  </si>
  <si>
    <t>40.85%</t>
  </si>
  <si>
    <t>Clinique cream shaper for eyes - # 105 chocolate lustre --1.2g/0.04oz</t>
  </si>
  <si>
    <t>Clinique Cream Shaper For Eyes - # 105 Chocolate Lustre 1.2g/0.04oz</t>
  </si>
  <si>
    <t>B00D58QBF2</t>
  </si>
  <si>
    <t>39.28%</t>
  </si>
  <si>
    <t>6764857131080</t>
  </si>
  <si>
    <t>Elizabeth Arden ceramide capsules daily youth restoring serum advanced 30caps</t>
  </si>
  <si>
    <t>48.6</t>
  </si>
  <si>
    <t>37.86%</t>
  </si>
  <si>
    <t>6772299169864</t>
  </si>
  <si>
    <t>Fifth avenue by elizabeth arden body lotion 6.8 oz</t>
  </si>
  <si>
    <t>Elizabeth Arden Fifth Avenue Moisturizing Body Lotion, 6.8 Fl Oz</t>
  </si>
  <si>
    <t>B0002JBXG4</t>
  </si>
  <si>
    <t>22.5</t>
  </si>
  <si>
    <t>37.78%</t>
  </si>
  <si>
    <t>6772300709960</t>
  </si>
  <si>
    <t>Clarins moisture rich body lotion ( for dry skin )200ml/6.8oz</t>
  </si>
  <si>
    <t>Clarins Moisture-Rich Body Lotion | Intensely Hydrates | Nourishes, Softens and Smoothes | Non-Greasy and Fast Absorbing | 88% Natural Ingredients | Body Cream With Shea Butter | For Dry Skin Types</t>
  </si>
  <si>
    <t>B08XXDFDLH</t>
  </si>
  <si>
    <t>36.79%</t>
  </si>
  <si>
    <t>6772296843336</t>
  </si>
  <si>
    <t>Clinique rinse off foaming cleanser--150ml/5oz</t>
  </si>
  <si>
    <t>Clinique All About Clean Rinse-Off Foaming Cleanser, 8.4 Ounce</t>
  </si>
  <si>
    <t>B071JV46Y7</t>
  </si>
  <si>
    <t>34.97%</t>
  </si>
  <si>
    <t>6764856606792</t>
  </si>
  <si>
    <t>26.11%</t>
  </si>
  <si>
    <t>White tea by elizabeth arden body cream 13.5 oz</t>
  </si>
  <si>
    <t>25.97%</t>
  </si>
  <si>
    <t>6772303495240</t>
  </si>
  <si>
    <t>White tea mandarin blossom by elizabeth arden body cream 13.5 oz</t>
  </si>
  <si>
    <t>6772304281672</t>
  </si>
  <si>
    <t>White tea ginger lily by elizabeth arden body cream 13.5 oz</t>
  </si>
  <si>
    <t>6772304609352</t>
  </si>
  <si>
    <t>My fifth avenue by elizabeth arden body lotion 5 oz</t>
  </si>
  <si>
    <t>6772303822920</t>
  </si>
  <si>
    <t>Elizabeth Arden ceramide premiere intense moisture and renewal regeneration eye cream 15ml/0.5oz</t>
  </si>
  <si>
    <t>Elizabeth Arden Ceramide Premiere Intense Moisture and Renewal Regeneration Eye Cream</t>
  </si>
  <si>
    <t>B007XCIM8K</t>
  </si>
  <si>
    <t>68.4</t>
  </si>
  <si>
    <t>22.81%</t>
  </si>
  <si>
    <t>6772297826376</t>
  </si>
  <si>
    <t>L'EXTSE Sensual Body Lotion By Nina Ricci 100 ML. 3.4 Oz</t>
  </si>
  <si>
    <t>B01FH2FJDI</t>
  </si>
  <si>
    <t>22.68%</t>
  </si>
  <si>
    <t>Pack of 3 x Clinique Rinse Off Foaming Cleanser 1.7 oz each, Mini Size Unboxed</t>
  </si>
  <si>
    <t>B089RTQQ4Q</t>
  </si>
  <si>
    <t>19.06%</t>
  </si>
  <si>
    <t>18.02%</t>
  </si>
  <si>
    <t>Elizabeth Arden ceramide retinol capsules line erasing night serum 90caps</t>
  </si>
  <si>
    <t>102.6</t>
  </si>
  <si>
    <t>16.96%</t>
  </si>
  <si>
    <t>6772300316744</t>
  </si>
  <si>
    <t>Sisley sisley phyto-touche sun glow gel30ml/1oz</t>
  </si>
  <si>
    <t>Sisley Phyto Touches Sun Glow Pressed Powder Trio - Peach Gold Powder Women 0.34 oz</t>
  </si>
  <si>
    <t>B06WW6FQYX</t>
  </si>
  <si>
    <t>16.06%</t>
  </si>
  <si>
    <t>6769986535496</t>
  </si>
  <si>
    <t>Elizabeth Arden eight hour cream lip protectant stick spf 15 #02 blush 3.7g/0.13oz</t>
  </si>
  <si>
    <t>6772298285128</t>
  </si>
  <si>
    <t>Clarins men line control eye balm 20ml/0.6oz</t>
  </si>
  <si>
    <t>CLARINS MEN Line-Control Eye Balm | Anti-Aging Eye Cream For Men | Targets Puffiness,Dark Circles and Crow's Feet | Visibly Firms and Smoothes Deep Creases and Wrinkles | 0.6 Oz</t>
  </si>
  <si>
    <t>B0B1Q3NQVW</t>
  </si>
  <si>
    <t>6772296482888</t>
  </si>
  <si>
    <t>14.81%</t>
  </si>
  <si>
    <t>14.73%</t>
  </si>
  <si>
    <t>Clarins men energizing eye gel 15ml/0.5oz</t>
  </si>
  <si>
    <t>CLARINSMEN Energizing Eye Gel | Cooling, Roll-On Gel Energizes Tired-Looking Eyes | Targets Dark Circles and Puffiness | Locks In Moisture | Visibly Smoothes Eye Contours | Fragrance-No | 0.5 Ounces</t>
  </si>
  <si>
    <t>B08XX9TMMN</t>
  </si>
  <si>
    <t>34.2</t>
  </si>
  <si>
    <t>14.68%</t>
  </si>
  <si>
    <t>6772290748488</t>
  </si>
  <si>
    <t>Clarins body treatment oil contour 100ml/3.4oz</t>
  </si>
  <si>
    <t>CLARINS Contour Body Treatment Oil | Visibly Firms, Tones and Reduces Sponginess | Skin Texture Is Improved To The Touch After First Use* | Dermatologist Tested | Natural 100% Plant Extracts</t>
  </si>
  <si>
    <t>B09Z2T1LLR</t>
  </si>
  <si>
    <t>14.29%</t>
  </si>
  <si>
    <t>6772293402696</t>
  </si>
  <si>
    <t>Clarins body treatment oil tonic 100ml/3.4oz</t>
  </si>
  <si>
    <t>CLARINS Tonic Body Treatment Oil | Stretch Mark Pregnancy Care | Skin Elasticity Is Improved After 28 Days* | Visibly Firms and Tones | Dermatologist Tested | Natural 100% Plant Extracts</t>
  </si>
  <si>
    <t>B0B1MD1NSY</t>
  </si>
  <si>
    <t>6772297039944</t>
  </si>
  <si>
    <t>Clarins body treatment oil relax 100ml/3.4oz</t>
  </si>
  <si>
    <t>CLARINS Relax Body Treatment Oil | Relaxes, Moisturizes and Soothes Aching Muscles | Relieves Stress and Fatigue | Nourished &amp; Comfortable Skin After The First Use* | Natural 100% Plant Extracts</t>
  </si>
  <si>
    <t>B0B1MCGKXZ</t>
  </si>
  <si>
    <t>6772297072712</t>
  </si>
  <si>
    <t>Clarins total eye contour gel 20ml/0.6oz</t>
  </si>
  <si>
    <t>Clarins Total Eye Contour Gel | Cooling Eye Gel | Visibly Reduces Dark Circles and Puffiness | Refreshes, Hydrates and Soothes | Blend Of Natural Ingredients | All Skin Types | 0.6 Ounces</t>
  </si>
  <si>
    <t>B09ZLQZ9QH</t>
  </si>
  <si>
    <t>40.5</t>
  </si>
  <si>
    <t>13.58%</t>
  </si>
  <si>
    <t>6772293238856</t>
  </si>
  <si>
    <t>Clarins super restorative day cream 50ml/1.7oz</t>
  </si>
  <si>
    <t>Clarins Super Restorative Day Cream, Broad Spectrum SPF 20 Sunscreen | Anti-Aging Moisturizer For Mature Skin Weakened By Hormonal Changes | UVA/UVB Protection | Replenishes, Illuminates and Densifies Skin | Targets Age Spots and Wrinkles | 1.7 Oz</t>
  </si>
  <si>
    <t>B00IT12EP6</t>
  </si>
  <si>
    <t>118.8</t>
  </si>
  <si>
    <t>12.79%</t>
  </si>
  <si>
    <t>6772296908872</t>
  </si>
  <si>
    <t>Clarins Super Restorative Rose Radiance Cream | 3-In-1 Anti-Aging Moisturizer For Mature Skin | Smoothes Skin,Boosts Luminosity and Promotes Even Skin Tone After 28 Days* | Youthful Glow | 1.7 Ounces</t>
  </si>
  <si>
    <t>B07QCLL5RW</t>
  </si>
  <si>
    <t>Clarins super restorative night cream 50ml/1.7oz</t>
  </si>
  <si>
    <t>Clarins Super Restorative Night Cream | Anti-Aging Moisturizer For Mature Skin Weakened By Hormonal Changes | Illuminates &amp; Densifies Skin | Lifts &amp; Tones | Targets Spots &amp; Wrinkles | 1.7 Ounces</t>
  </si>
  <si>
    <t>B0B5VMF3Q5</t>
  </si>
  <si>
    <t>12.70%</t>
  </si>
  <si>
    <t>6772294582344</t>
  </si>
  <si>
    <t>Clarins exfoliating body scrub for smooth skin 200ml/7oz</t>
  </si>
  <si>
    <t>Clarins Exfoliating Body Scrub For Smooth Skin | Softens, Smoothes and Visibly Firms | Preps Skin For Treatments To Follow | Non-Drying |Natural Extracts, Including Soothing Shea Butter</t>
  </si>
  <si>
    <t>B06XCWW9XT</t>
  </si>
  <si>
    <t>6772297498696</t>
  </si>
  <si>
    <t>Elizabeth Arden advanced ceramide capsules daily youth restoring eye serum 60caps</t>
  </si>
  <si>
    <t>60.3</t>
  </si>
  <si>
    <t>6772299399240</t>
  </si>
  <si>
    <t>Elizabeth Arden eight hour cream intensive moisturizing hand treatment 75ml/2.5oz</t>
  </si>
  <si>
    <t>6772298317896</t>
  </si>
  <si>
    <t>Elizabeth Arden ceramide replenishing cleansing oil 195ml/6.6oz</t>
  </si>
  <si>
    <t>Elizabeth Arden Ceramide Replenishing Cleansing Oil, Skin Care Cleanser, 6.6 oz</t>
  </si>
  <si>
    <t>B017IZGN50</t>
  </si>
  <si>
    <t>6772299333704</t>
  </si>
  <si>
    <t>Clarins super restorative hand cream 100ml/3.3oz</t>
  </si>
  <si>
    <t>Clarins Super Restorative Hand Cream | Anti-Aging | Targets Dark Spots and Wrinkles | Promotes Youthful-Looking Hands Immediately and Over Time | Shea and Mango Butters Nourish, Soften and Smoothe</t>
  </si>
  <si>
    <t>B0B1Q5RM98</t>
  </si>
  <si>
    <t>45.9</t>
  </si>
  <si>
    <t>6772294418504</t>
  </si>
  <si>
    <t>Clarins body partner stretch mark expert 175ml/5.8oz</t>
  </si>
  <si>
    <t>Clarins Body Partner Stretch Mark Expert | Award-Winning | Stretch Mark Cream For Pregnancy and Weight Fluctuations | Tested and Recommended By Pregnant Women | Fragrance Free | Minimal Ingredients</t>
  </si>
  <si>
    <t>B084RH5VZT</t>
  </si>
  <si>
    <t>6772291633224</t>
  </si>
  <si>
    <t>Clarins my clarins pore-less blur &amp; matte stick 3.2g/0.1oz</t>
  </si>
  <si>
    <t>Clarins My PORE-LESS Blur and Matte Stick | Blurs The Appearance of Pores and Imperfections | Oil-Absorbing | Mattifies and Reduces Shine | Use On-The-Go For Touch-Ups | Vegan | Paraben-Free | 0.1 Oz</t>
  </si>
  <si>
    <t>B07PS5ZXJF</t>
  </si>
  <si>
    <t>6772291338312</t>
  </si>
  <si>
    <t>Elizabeth Arden visible difference refining moisture cream complex 75ml/2.5oz</t>
  </si>
  <si>
    <t>Elizabeth Arden Visible Difference Face Cream, Refining Moisture Cream Complex, 2.5 Oz</t>
  </si>
  <si>
    <t>B001PTFXKW</t>
  </si>
  <si>
    <t>54.0</t>
  </si>
  <si>
    <t>6772298711112</t>
  </si>
  <si>
    <t>Elizabeth Arden ceramide retinol line erasing eye cream 15ml/0.5oz</t>
  </si>
  <si>
    <t>Elizabeth Arden Retinol Ceramide, Fine Line and Wrinkle Earasing Eye Cream</t>
  </si>
  <si>
    <t>B091334GYF</t>
  </si>
  <si>
    <t>62.1</t>
  </si>
  <si>
    <t>6772299759688</t>
  </si>
  <si>
    <t>Clarins one step facial cleanser 200ml/6.7oz</t>
  </si>
  <si>
    <t>Clarins One-Step Facial Cleanser With Orange Extract | 2-In-1 Cleanser and Exfoliator | Restores Radiance | No Rinsing Necessary | All Skin Types | 6.8 Ounces</t>
  </si>
  <si>
    <t>B002N5MKE4</t>
  </si>
  <si>
    <t>35.1</t>
  </si>
  <si>
    <t>6772297236552</t>
  </si>
  <si>
    <t>Bronze goddess by estee lauder eau fraiche skinscent spray 1.7 oz (edition 2017)</t>
  </si>
  <si>
    <t>Bronze Goddess by Estee Lauder Eau Fraiche Skinscent Spray (New Packaging) 3.4 oz</t>
  </si>
  <si>
    <t>B071P6D6RR</t>
  </si>
  <si>
    <t>64.79</t>
  </si>
  <si>
    <t>10.48%</t>
  </si>
  <si>
    <t>6769976475720</t>
  </si>
  <si>
    <t>Clarins men super moisture gel 50ml/1.7oz</t>
  </si>
  <si>
    <t>CLARINSMEN Super Moisture Gel | Cooling Gel For Men | Hydrates, Mattifies, Soothes, Energizes and Defies Shine | Calms and Tones Skin After Shaving | All Skin Types | 1.7 Ounces</t>
  </si>
  <si>
    <t>B096V2M8YV</t>
  </si>
  <si>
    <t>38.25</t>
  </si>
  <si>
    <t>9.80%</t>
  </si>
  <si>
    <t>6772295860296</t>
  </si>
  <si>
    <t>Clarins men super moisture balm 50ml/1.7oz</t>
  </si>
  <si>
    <t>CLARINSMEN Super Moisture Balm | 1.6 Ounces</t>
  </si>
  <si>
    <t>B0BNWMVW7M</t>
  </si>
  <si>
    <t>6772295893064</t>
  </si>
  <si>
    <t>Clarins v shaping facial lift 50ml/1.6oz</t>
  </si>
  <si>
    <t>Clarins V Shaping Facial Lift Serum | All Skin Types | 1.6 Ounces</t>
  </si>
  <si>
    <t>B0BL1PYBLT</t>
  </si>
  <si>
    <t>79.2</t>
  </si>
  <si>
    <t>6772294189128</t>
  </si>
  <si>
    <t>Estee Lauder re-nutriv intensive softening lotion 250ml/8.4oz</t>
  </si>
  <si>
    <t>Re-Nutriv Intensive Softening Lotion 250ml/8.4oz</t>
  </si>
  <si>
    <t>B00EXW0DAS</t>
  </si>
  <si>
    <t>69.29</t>
  </si>
  <si>
    <t>9.18%</t>
  </si>
  <si>
    <t>6769975492680</t>
  </si>
  <si>
    <t>7.54%</t>
  </si>
  <si>
    <t>Clarins men line control balm 50ml/1.7oz</t>
  </si>
  <si>
    <t>CLARINSMEN Line-Control Balm | Anti-Aging Moisturizer For Men | Visibly Firms and Tightens Sagging Skin Around Chin | Visibly Smoothes Deep Lines and Wrinkles | Dermatologist Tested | 1.7 Ounces</t>
  </si>
  <si>
    <t>B09JWYRLD6</t>
  </si>
  <si>
    <t>58.05</t>
  </si>
  <si>
    <t>6.80%</t>
  </si>
  <si>
    <t>6772296450120</t>
  </si>
  <si>
    <t>Clarins men line control cream for dry skin50ml/1.7oz</t>
  </si>
  <si>
    <t>CLARINSMEN Line-Control Cream | Anti-Aging Moisturizer For Men | Visibly Firms and Tightens Sagging Skin Around Chin | Visibly Smoothes Deep Lines and Wrinkles | Dermatologist Tested | Dry Skin Type</t>
  </si>
  <si>
    <t>B097JQMJFZ</t>
  </si>
  <si>
    <t>6.00%</t>
  </si>
  <si>
    <t>6772294451272</t>
  </si>
  <si>
    <t>1.15%</t>
  </si>
  <si>
    <t>Clarins comfort scrub nourishing oil scrub 50ml/1.7oz</t>
  </si>
  <si>
    <t>Clarins Comfort Scrub | Award-Winning | Nourishing, Oil-Infused Face Scrub With Sugar Microcrystals | Gently Exfoliates and Soothes | Paraben-Free | SLS-Free | Mineral Oil Free | Normal To Dry Skin</t>
  </si>
  <si>
    <t>B07TVZ7JXH</t>
  </si>
  <si>
    <t>6772294320200</t>
  </si>
  <si>
    <t>Sisley Soir De Lune Moisturizing Perfumed Body Cream, 5 Ounce</t>
  </si>
  <si>
    <t>B001SL4HM2</t>
  </si>
  <si>
    <t>-0.22%</t>
  </si>
  <si>
    <t>Elizabeth Arden advanced ceramide capsules daily youth restoring serum &amp; eye serum (limited edition) 2x30caps</t>
  </si>
  <si>
    <t>67.49</t>
  </si>
  <si>
    <t>-0.73%</t>
  </si>
  <si>
    <t>6772300382280</t>
  </si>
  <si>
    <t>Sisley phyto-blanc ultra lightening mask 60ml/2oz</t>
  </si>
  <si>
    <t>Sisley Phyto-Blanc Ultra Lightening Mask, 2.2 Ounce</t>
  </si>
  <si>
    <t>B002AMUGO6</t>
  </si>
  <si>
    <t>134.99</t>
  </si>
  <si>
    <t>6769986666568</t>
  </si>
  <si>
    <t>-1.26%</t>
  </si>
  <si>
    <t>Sisley ecological compound (with pump) 125ml/4.2oz</t>
  </si>
  <si>
    <t>Sisley Ecological Compound (With Pump)-125ml/4.2oz</t>
  </si>
  <si>
    <t>B0858ZDNKY</t>
  </si>
  <si>
    <t>250.2</t>
  </si>
  <si>
    <t>-1.63%</t>
  </si>
  <si>
    <t>6769986502728</t>
  </si>
  <si>
    <t>Estee Lauder revitalizing supreme + youth power creme 50ml/1.7oz</t>
  </si>
  <si>
    <t>Estee Lauder Revitalizing Supreme+ Youth Power Creme - 2.5 oz / 75 mL</t>
  </si>
  <si>
    <t>B0C4G1RFJH</t>
  </si>
  <si>
    <t>91.79</t>
  </si>
  <si>
    <t>-1.95%</t>
  </si>
  <si>
    <t>6769975820360</t>
  </si>
  <si>
    <t>Clinique Pack of 5 x All About Clean Rinse-Off Foaming Cleanser, 1 oz each Sample Size Unboxed</t>
  </si>
  <si>
    <t>B08LR2VKXG</t>
  </si>
  <si>
    <t>-2.78%</t>
  </si>
  <si>
    <t>Sunflowers by elizabeth arden hydrating cream cleanser 3.3 oz</t>
  </si>
  <si>
    <t>PureScents Sunflowers by Elìzabeth Ardën, Hydrating Cream Cleanser 3.3 oz</t>
  </si>
  <si>
    <t>B0C3838SXT</t>
  </si>
  <si>
    <t>7.2</t>
  </si>
  <si>
    <t>-3.47%</t>
  </si>
  <si>
    <t>6772300873800</t>
  </si>
  <si>
    <t>Elizabeth Arden green tea refreshing body lotion 500ml/16.9oz</t>
  </si>
  <si>
    <t>6772300218440</t>
  </si>
  <si>
    <t>Clinique Cleanser, 150ml/5oz Rinse Off Foaming Cleanser for Women</t>
  </si>
  <si>
    <t>B00H8K8A9S</t>
  </si>
  <si>
    <t>-4.72%</t>
  </si>
  <si>
    <t>Rinse Off Foaming Cleanser Clinique 5 FL oz Cleanser for Unisex</t>
  </si>
  <si>
    <t>B0045KBP9Q</t>
  </si>
  <si>
    <t>Clinique Rinse-off Foaming Cleanser 5oz, 150ml Skincare Cleansers NEW</t>
  </si>
  <si>
    <t>B00GLLAN0Y</t>
  </si>
  <si>
    <t>Clinique Rinse Off Foaming Cleanser, 5 Ounce</t>
  </si>
  <si>
    <t>B005ZOWEMS</t>
  </si>
  <si>
    <t>-5.88%</t>
  </si>
  <si>
    <t>Sisley sisley radiant glow express mask with red clays60ml/2oz</t>
  </si>
  <si>
    <t>Sisley Radiant Glow Express Mask With Red Clays 60ml/2.1oz</t>
  </si>
  <si>
    <t>B003BQOTKM</t>
  </si>
  <si>
    <t>97.2</t>
  </si>
  <si>
    <t>-7.80%</t>
  </si>
  <si>
    <t>6769986568264</t>
  </si>
  <si>
    <t>Estee Lauder | Perfectly Clean | Multi-Action Crème Cleanser/Moisture Mask | Conditions | Nourishes | Non-foaming creme | 5 oz</t>
  </si>
  <si>
    <t>B00CAUJGRG</t>
  </si>
  <si>
    <t>-8.80%</t>
  </si>
  <si>
    <t>Clarins V-Shaping Facial Lift Eye Concentrate | Anti-Aging | Eye Contours Are Visibly De-Puffed After 14 Days Of Use* | D12Visibly Lifts Heavy Eyelids,Targets Puffiness and Dark Circles | Brightening</t>
  </si>
  <si>
    <t>B099ZDQ6QS</t>
  </si>
  <si>
    <t>-9.09%</t>
  </si>
  <si>
    <t>Estee Lauder revitalizing supreme + global anti-aging cell power eye balm 15ml/0.5oz</t>
  </si>
  <si>
    <t>Estee Lauder Revitalizing Supreme + Global Anti-Aging Cell Power Eye Gelee RJ2H 8ml/0.27oz</t>
  </si>
  <si>
    <t>B01N15UDZ4</t>
  </si>
  <si>
    <t>6769975001160</t>
  </si>
  <si>
    <t>-10.42%</t>
  </si>
  <si>
    <t>CLINIQUE by Clinique Clinique Rinse Off Foaming Cleanser--150ml/5oz</t>
  </si>
  <si>
    <t>B00J45AV74</t>
  </si>
  <si>
    <t>-11.08%</t>
  </si>
  <si>
    <t>Clinique deep comfort body lotion --400ml/13oz</t>
  </si>
  <si>
    <t>Clinique Deep Comfort Body Lotion 400ml/13.5oz</t>
  </si>
  <si>
    <t>B003O5H6F0</t>
  </si>
  <si>
    <t>6764856279112</t>
  </si>
  <si>
    <t>Estee Lauder nightwear plus anti-oxidant night detox creme 50ml/1.7oz</t>
  </si>
  <si>
    <t>Estee Lauder Daywear &amp; Nightwear Plus Anti-oxidant Creme Duo Pack - O.5 Oz/15 Ml X 2</t>
  </si>
  <si>
    <t>B015LLE1O8</t>
  </si>
  <si>
    <t>-12.44%</t>
  </si>
  <si>
    <t>6769975361608</t>
  </si>
  <si>
    <t>Sisley Women's Phyto-Touche Sun Glow Gel, 1 Ounce</t>
  </si>
  <si>
    <t>B00BVO9PD2</t>
  </si>
  <si>
    <t>-12.69%</t>
  </si>
  <si>
    <t>Clarins my clarins reboost matifying hydrating cream oily skin 50ml/1.7oz</t>
  </si>
  <si>
    <t>My Clarins Re-Boost Matifying Hydrating Cream | Matte Gel Moisturizer | Hydrates, Comforts and Refines | Fights Blemishes | Vegan | Paraben-Free | Combination To Oily Skin Types | 1.7 Ounces</t>
  </si>
  <si>
    <t>B0B5VS1SSG</t>
  </si>
  <si>
    <t>31.5</t>
  </si>
  <si>
    <t>6772291207240</t>
  </si>
  <si>
    <t>Sisley botanical buff &amp; wash facial gel (tube) 100ml/3.3oz</t>
  </si>
  <si>
    <t>Sisley Botanical Buff &amp; Wash Facial Gel, 3.3-Ounce Tube</t>
  </si>
  <si>
    <t>B002AMUGOG</t>
  </si>
  <si>
    <t>121.5</t>
  </si>
  <si>
    <t>-14.61%</t>
  </si>
  <si>
    <t>6769986371656</t>
  </si>
  <si>
    <t>Elizabeth Arden ceramide capsules daily youth restoring serum advanced 60caps</t>
  </si>
  <si>
    <t>-15.40%</t>
  </si>
  <si>
    <t>6772299694152</t>
  </si>
  <si>
    <t>-15.56%</t>
  </si>
  <si>
    <t>Estee Lauder perfectly clean multi-action cleansing gelee/ refiner 150ml/5oz</t>
  </si>
  <si>
    <t>Estee Lauder Perfectly Clean Multi-action Cleansing for Unisex, Gelee/Refiner, 5 Ounce</t>
  </si>
  <si>
    <t>B00CAUJHRA</t>
  </si>
  <si>
    <t>-15.92%</t>
  </si>
  <si>
    <t>6769975263304</t>
  </si>
  <si>
    <t>Sisley phyto touche sun glow gel - mat 30ml/1oz</t>
  </si>
  <si>
    <t>-17.06%</t>
  </si>
  <si>
    <t>6769986863176</t>
  </si>
  <si>
    <t>Sisley botanical creme moisturizer with cucumber (jar) 50ml/1.7oz</t>
  </si>
  <si>
    <t>Sisley Day Care, 50ml/1.7oz Botanical Creme Moisturizer With Cucumber (Jar) for Women</t>
  </si>
  <si>
    <t>B00H8K49LG</t>
  </si>
  <si>
    <t>177.3</t>
  </si>
  <si>
    <t>-17.34%</t>
  </si>
  <si>
    <t>6769986601032</t>
  </si>
  <si>
    <t>Elizabeth Arden superstart skin renewal booster 50ml/1.7oz</t>
  </si>
  <si>
    <t>B013WW8A0E</t>
  </si>
  <si>
    <t>-17.78%</t>
  </si>
  <si>
    <t>6772299268168</t>
  </si>
  <si>
    <t>Clinique take the day off cleansing balm --125ml/3.8oz</t>
  </si>
  <si>
    <t>CLINIQUE Take The Day Off™ Charcoal Cleansing Balm Makeup Remover 4.2 oz / 125 mL</t>
  </si>
  <si>
    <t>B0BQHT413D</t>
  </si>
  <si>
    <t>-18.19%</t>
  </si>
  <si>
    <t>6764856508488</t>
  </si>
  <si>
    <t>-19.71%</t>
  </si>
  <si>
    <t>Clinique Take The Day Off Cleansing Balm, Clear, 3.8 Fl Oz</t>
  </si>
  <si>
    <t>B07D5C86RX</t>
  </si>
  <si>
    <t>-21.14%</t>
  </si>
  <si>
    <t>Take The Day Off Cleansing Balm-/3.8OZ</t>
  </si>
  <si>
    <t>B0792DTPTN</t>
  </si>
  <si>
    <t>-21.20%</t>
  </si>
  <si>
    <t>-23.72%</t>
  </si>
  <si>
    <t>Sisley botanical soapless facial cleansing bar 125g/4.2oz</t>
  </si>
  <si>
    <t>Sisley Botanical Soapless Facial Cleansing Bar, 4.4-Ounce Box</t>
  </si>
  <si>
    <t>B002N5MKAS</t>
  </si>
  <si>
    <t>-23.93%</t>
  </si>
  <si>
    <t>6769986142280</t>
  </si>
  <si>
    <t>Sisley botanical facial mask with linden blossom 60ml/2oz</t>
  </si>
  <si>
    <t>Sisley Botanical Facial Mask With Linden Blossom, 2.4-Ounce Tube</t>
  </si>
  <si>
    <t>B002AMUGNW</t>
  </si>
  <si>
    <t>-25.16%</t>
  </si>
  <si>
    <t>6769986469960</t>
  </si>
  <si>
    <t>Estee Lauder Women's Nightwear Plus Anti-Oxidant Night Detox Creme, All Skin Types,1.7 Ounce (Pack of 1)</t>
  </si>
  <si>
    <t>B01AYB72DC</t>
  </si>
  <si>
    <t>-26.62%</t>
  </si>
  <si>
    <t>-27.19%</t>
  </si>
  <si>
    <t>Clinique TAKE THE DAY OFF CLEANSING BALM-/3.8OZ, (215552)</t>
  </si>
  <si>
    <t>B000WN6N56</t>
  </si>
  <si>
    <t>-27.49%</t>
  </si>
  <si>
    <t>Clinique Take The Day Off Cleansing Balm 3.8 oz</t>
  </si>
  <si>
    <t>B005JNVI90</t>
  </si>
  <si>
    <t>-27.92%</t>
  </si>
  <si>
    <t>Estee Lauder Revitalizing Supreme Plus Youth Cell Power Creme Cream Unisex 1.7 oz</t>
  </si>
  <si>
    <t>B09RKM1T5G</t>
  </si>
  <si>
    <t>-29.19%</t>
  </si>
  <si>
    <t>Sisley botanical gentle facial buffing cream 50ml/1.7oz</t>
  </si>
  <si>
    <t>SISLEY Botanical Gentle Facial Buffing Cream, 1.7 Ounce, 50ml/1/6 Ounce</t>
  </si>
  <si>
    <t>B000R8U730</t>
  </si>
  <si>
    <t>87.3</t>
  </si>
  <si>
    <t>-29.27%</t>
  </si>
  <si>
    <t>6769986306120</t>
  </si>
  <si>
    <t>Sisley Botanical Gentle Facial Buffing Cream, 1.4 Ounce</t>
  </si>
  <si>
    <t>B000R8QOU0</t>
  </si>
  <si>
    <t>-29.55%</t>
  </si>
  <si>
    <t>Sisley express flower gel 60ml/2oz</t>
  </si>
  <si>
    <t>Express Flower Gel 60ml/2oz</t>
  </si>
  <si>
    <t>B00AK7XK4Q</t>
  </si>
  <si>
    <t>-30.80%</t>
  </si>
  <si>
    <t>6769986404424</t>
  </si>
  <si>
    <t>Sisley Radiant Glow Express Mask with Red Clays, 2.3-Ounce Tube</t>
  </si>
  <si>
    <t>B002AMUGOQ</t>
  </si>
  <si>
    <t>-31.74%</t>
  </si>
  <si>
    <t>Sisley Phyto-Blanc Ultra Lightening Mask, 2 Ounce</t>
  </si>
  <si>
    <t>B000K19TH4</t>
  </si>
  <si>
    <t>-32.59%</t>
  </si>
  <si>
    <t>Sisley - Radiant Glow Express Mask With Red Clays - 60ml/2oz</t>
  </si>
  <si>
    <t>B00BNAR18U</t>
  </si>
  <si>
    <t>-32.92%</t>
  </si>
  <si>
    <t>Sisley Botanical Gentle Facial Buffing Cream, 1.4-Ounce Tube</t>
  </si>
  <si>
    <t>B002AMUGTQ</t>
  </si>
  <si>
    <t>-33.63%</t>
  </si>
  <si>
    <t>Elizabeth Arden ceramide vitamin c capsules radiance renewal serum 60caps</t>
  </si>
  <si>
    <t>B07TRFZ8K6</t>
  </si>
  <si>
    <t>-34.78%</t>
  </si>
  <si>
    <t>6772300283976</t>
  </si>
  <si>
    <t>Sisley phyto teint expert - #4 honey 30ml/1oz</t>
  </si>
  <si>
    <t>132.3</t>
  </si>
  <si>
    <t>-36.15%</t>
  </si>
  <si>
    <t>6769988010056</t>
  </si>
  <si>
    <t>Sisley hydra-global intense anti-aging hydration 40ml/1.4oz</t>
  </si>
  <si>
    <t>sisley paris Hydra Global Intense Anti-Aging Hydration Facial Treatment, 1.4 Ounce</t>
  </si>
  <si>
    <t>B000WN546U</t>
  </si>
  <si>
    <t>256.5</t>
  </si>
  <si>
    <t>-36.40%</t>
  </si>
  <si>
    <t>6769987256392</t>
  </si>
  <si>
    <t>Estee Lauder Pack of 3 x Perfectly Clean Multi-Action Foam Cleanser/Purifying Mask, 1 oz each Sample Size Unboxed</t>
  </si>
  <si>
    <t>B092NY7J37</t>
  </si>
  <si>
    <t>-36.52%</t>
  </si>
  <si>
    <t>Estee Lauder micro essence treatment lotion with bio-ferment 200ml/6.7oz</t>
  </si>
  <si>
    <t>Estee Lauder Micro Essence Treatment Lotuon with Bio-Ferment 13.5 Ounces</t>
  </si>
  <si>
    <t>B0B2JJ199L</t>
  </si>
  <si>
    <t>109.8</t>
  </si>
  <si>
    <t>-37.16%</t>
  </si>
  <si>
    <t>6769975754824</t>
  </si>
  <si>
    <t>Estee Lauder daywear eye cooling anti-oxidant moisture gel cream 15ml/0.5oz</t>
  </si>
  <si>
    <t>Estee Lauder Daywear Eye Cooling Anti-Oxidant Moisture Gel Crème, 0.5 Oz</t>
  </si>
  <si>
    <t>B078PR212S</t>
  </si>
  <si>
    <t>41.4</t>
  </si>
  <si>
    <t>-37.17%</t>
  </si>
  <si>
    <t>6769974837320</t>
  </si>
  <si>
    <t>Sisley botanical floral toning lotion alcohol-free 250ml/8.4oz</t>
  </si>
  <si>
    <t>Sisley Botanical Floral Toning Lotion Alcohol-Free, 8.4-Ounce Box</t>
  </si>
  <si>
    <t>B00JR3CD60</t>
  </si>
  <si>
    <t>103.5</t>
  </si>
  <si>
    <t>-37.29%</t>
  </si>
  <si>
    <t>6769986175048</t>
  </si>
  <si>
    <t>Sisley Botanical Floral Toning Lotion Alcohol-Free 8.4 Ounce</t>
  </si>
  <si>
    <t>B002AMUGQY</t>
  </si>
  <si>
    <t>-38.71%</t>
  </si>
  <si>
    <t>Sisley Botanical Gentle Facial Buffing Cream, 1.6-Ounce Jar</t>
  </si>
  <si>
    <t>B002AMUGS2</t>
  </si>
  <si>
    <t>-38.98%</t>
  </si>
  <si>
    <t>Sisley sisley restorative hand cream 75ml/2.5oz</t>
  </si>
  <si>
    <t>sisley paris Restorative Hand Cream 2.5oz / 75ml (76595)</t>
  </si>
  <si>
    <t>B07XF5ZWRT</t>
  </si>
  <si>
    <t>-39.54%</t>
  </si>
  <si>
    <t>6769983815752</t>
  </si>
  <si>
    <t>Red door by elizabeth arden body lotion 6.8 oz</t>
  </si>
  <si>
    <t>-39.68%</t>
  </si>
  <si>
    <t>6772301922376</t>
  </si>
  <si>
    <t>Sisley after sun care tan extender 200ml/6.7oz</t>
  </si>
  <si>
    <t>Sisley After-Sun Care Tan Extender for Unisex, 0.56 Pound</t>
  </si>
  <si>
    <t>B00HFTGNY6</t>
  </si>
  <si>
    <t>171.0</t>
  </si>
  <si>
    <t>-40.94%</t>
  </si>
  <si>
    <t>6769988960328</t>
  </si>
  <si>
    <t>Sisley botanical grapefruit toning lotion 250ml/8.3oz</t>
  </si>
  <si>
    <t>Personal Care - Sisley - Botanical Floral Toning Lotion Alcohol-Free 250ml/8.4oz</t>
  </si>
  <si>
    <t>B00D58LMJM</t>
  </si>
  <si>
    <t>-41.94%</t>
  </si>
  <si>
    <t>6769986207816</t>
  </si>
  <si>
    <t>-42.59%</t>
  </si>
  <si>
    <t>Sisley black rose cream mask 60ml/2.1oz</t>
  </si>
  <si>
    <t>SISLEY Black Rose Cream Mask 2.1oz, 60ml</t>
  </si>
  <si>
    <t>B0087L4QKY</t>
  </si>
  <si>
    <t>162.0</t>
  </si>
  <si>
    <t>-42.62%</t>
  </si>
  <si>
    <t>6769988534344</t>
  </si>
  <si>
    <t>Estee Lauder nutritious super-pomegranate radiant energy 2-in-1 cleansing foam 125ml/4.2oz</t>
  </si>
  <si>
    <t>Estee Lauder Nutritious Super-Pomegranate Radiant Energy 2-In-1 Cleansing Foam, Full Size, 4.2 Fl Oz</t>
  </si>
  <si>
    <t>B00HYAX290</t>
  </si>
  <si>
    <t>45.89</t>
  </si>
  <si>
    <t>-43.34%</t>
  </si>
  <si>
    <t>6769974673480</t>
  </si>
  <si>
    <t>Sisley hydra flash intensive formula 60ml/2oz</t>
  </si>
  <si>
    <t>Sisley Sisley Hydra Flash Intensive Formula--/2OZ</t>
  </si>
  <si>
    <t>B0045KB7CQ</t>
  </si>
  <si>
    <t>212.4</t>
  </si>
  <si>
    <t>-43.95%</t>
  </si>
  <si>
    <t>6769986437192</t>
  </si>
  <si>
    <t>Sisley botanical restorative facial cream w/shea butter 50ml/1.7oz</t>
  </si>
  <si>
    <t>SISLEY Botanical Restorative Facial Cream with Shea Butter, 1.6-Ounce Jar (sisley-3473311218001)</t>
  </si>
  <si>
    <t>B002AMUGHS</t>
  </si>
  <si>
    <t>-44.42%</t>
  </si>
  <si>
    <t>6769986240584</t>
  </si>
  <si>
    <t>Estee Lauder advanced night repair synchronized multi-recovery complex 115ml/3.9oz</t>
  </si>
  <si>
    <t>-47.12%</t>
  </si>
  <si>
    <t>6769976115272</t>
  </si>
  <si>
    <t>Elizabeth Arden ceramide vitamin c capsules radiance renewal serum 90caps</t>
  </si>
  <si>
    <t>6772299825224</t>
  </si>
  <si>
    <t>Sisley botanical night cream with collagen &amp; woodmallow 50ml/1.6oz</t>
  </si>
  <si>
    <t>SISLEY Botanical Night Cream With Collagen &amp; Woodmallow, 1.6 Oz (SISLEY-228000)</t>
  </si>
  <si>
    <t>B002AMUGH8</t>
  </si>
  <si>
    <t>202.5</t>
  </si>
  <si>
    <t>-50.62%</t>
  </si>
  <si>
    <t>6769986273352</t>
  </si>
  <si>
    <t>Sisley velvet nourishing cream with saffron flowers 50ml/1.6oz</t>
  </si>
  <si>
    <t>SISLEY Velvet Nourishing Cream With Saffron Flowers, 1.6 Fl Oz</t>
  </si>
  <si>
    <t>B07GX2CLZX</t>
  </si>
  <si>
    <t>225.0</t>
  </si>
  <si>
    <t>6769984438344</t>
  </si>
  <si>
    <t>Sisley global perfect pore minimizer 30ml/1oz</t>
  </si>
  <si>
    <t>sisley Global Perfect Pore Minimizer Concentrate for Unisex, 1.00 fl oz</t>
  </si>
  <si>
    <t>B00ADMLUUY</t>
  </si>
  <si>
    <t>217.8</t>
  </si>
  <si>
    <t>-51.81%</t>
  </si>
  <si>
    <t>6769988567112</t>
  </si>
  <si>
    <t>Sisley Hydra-Global Intense Anti-Aging Hydration, 1.4 Ounce</t>
  </si>
  <si>
    <t>B000U2X0BY</t>
  </si>
  <si>
    <t>-53.14%</t>
  </si>
  <si>
    <t>Sisley black rose precious face oil 25ml/0.84oz</t>
  </si>
  <si>
    <t>SISLEY Black Rose Precious Face Oil, 0.84 Oz</t>
  </si>
  <si>
    <t>B00RKMS2ME</t>
  </si>
  <si>
    <t>234.0</t>
  </si>
  <si>
    <t>-55.98%</t>
  </si>
  <si>
    <t>6769987911752</t>
  </si>
  <si>
    <t>Estee Lauder Advanced Night Repair Face &amp; Eye Duo - Eye Supercharged Complex 0.5 oz, 15ml &amp; Multi-Recovery Complex 1 oz, 30ml</t>
  </si>
  <si>
    <t>B08R55TK4G</t>
  </si>
  <si>
    <t>-56.68%</t>
  </si>
  <si>
    <t>Estee Lauder Revitalizing Supreme+ Global Anti-Aging Cell Power Eye Balm, 0.5 oz Full Size Unboxed</t>
  </si>
  <si>
    <t>B0927V5ZH5</t>
  </si>
  <si>
    <t>-58.15%</t>
  </si>
  <si>
    <t>-58.74%</t>
  </si>
  <si>
    <t>Estee Lauder Micro Essence Treatment Lotion With Bio-Ferment, 3.4 oz/100 ml</t>
  </si>
  <si>
    <t>B0BB44W3QP</t>
  </si>
  <si>
    <t>-59.93%</t>
  </si>
  <si>
    <t>Estee Lauder resilience multi-effect tri-peptide night face and neck creme (all skin types) 50ml/1.7oz</t>
  </si>
  <si>
    <t>Estee Lauder Resilience Multi-Effect Night Tri-Peptide Face and Neck Creme, 1 oz / 30 ml, Full Size Unboxed</t>
  </si>
  <si>
    <t>B08J9KWFVK</t>
  </si>
  <si>
    <t>110.69</t>
  </si>
  <si>
    <t>-60.26%</t>
  </si>
  <si>
    <t>6769974575176</t>
  </si>
  <si>
    <t>Sisley Hydra-Global Intense Anti-Aging Hydration, 1.4-Ounce Bottle</t>
  </si>
  <si>
    <t>B002AMUGEQ</t>
  </si>
  <si>
    <t>-60.33%</t>
  </si>
  <si>
    <t>Sisley Black Rose Cream Mask 60ml/2.1oz [parallel import goods]</t>
  </si>
  <si>
    <t>B00SR8Z74Q</t>
  </si>
  <si>
    <t>-60.74%</t>
  </si>
  <si>
    <t>sisley paris Botanical Grapefruit Toning Lotion, 8.4-Ounce Bottle</t>
  </si>
  <si>
    <t>B002AMUGR8</t>
  </si>
  <si>
    <t>-61.33%</t>
  </si>
  <si>
    <t>Pack of 3 x Clinique Take The Day Off Cleansing Balm, 0.5 oz each Sample Size Unboxed, 0.5 Ounce (Pack of 3)</t>
  </si>
  <si>
    <t>B093XQJC5C</t>
  </si>
  <si>
    <t>-62.05%</t>
  </si>
  <si>
    <t>SISLEY Black Cream Mask rose, 2.1 ounce</t>
  </si>
  <si>
    <t>B00ARBUZCA</t>
  </si>
  <si>
    <t>-62.39%</t>
  </si>
  <si>
    <t>Estee Lauder perfectionist pro rapid brightening treatment 100ml/3.4oz</t>
  </si>
  <si>
    <t>Perfectionist Pro Rapid Brightening Treatment with Ferment² + Vitamin C - 100ml/3.4oz</t>
  </si>
  <si>
    <t>B08HM76HZH</t>
  </si>
  <si>
    <t>-63.53%</t>
  </si>
  <si>
    <t>6769975885896</t>
  </si>
  <si>
    <t>Estée Lauder Micro Essence Treatment Lotion with Bio-Ferment 6.7 oz/ 200 mL</t>
  </si>
  <si>
    <t>B09Y3DG7WT</t>
  </si>
  <si>
    <t>-64.07%</t>
  </si>
  <si>
    <t>CLINIQUE'S by Clinique Take The Day Off Cleansing Balm -30ml</t>
  </si>
  <si>
    <t>B08PSX1LW2</t>
  </si>
  <si>
    <t>-66.49%</t>
  </si>
  <si>
    <t>-66.56%</t>
  </si>
  <si>
    <t>Tree of Life Hyaluronic Acid Serum for Face Anti Aging, Fine Lines, Dark Spots, &amp; Dry Skin - 2 Fl Oz Hydrating Facial Serum - Smoothing &amp; Brightening Skin - Dermatologist-Tested</t>
  </si>
  <si>
    <t>B010MX4E74</t>
  </si>
  <si>
    <t>-67.01%</t>
  </si>
  <si>
    <t>Estee Lauder Micro Essence Skin Activating Treatment Lotion 200ml/6.7oz</t>
  </si>
  <si>
    <t>B06Y56Z857</t>
  </si>
  <si>
    <t>-68.13%</t>
  </si>
  <si>
    <t>Estee Lauder Perfectionist Pro Rapid Brightening Treatment Unisex Serum 1.7 oz</t>
  </si>
  <si>
    <t>B084DNFS7H</t>
  </si>
  <si>
    <t>-70.38%</t>
  </si>
  <si>
    <t>Clinique Take-the-Day-Off Cleansing Balm 0.5 oz -15ml | Pack of 2</t>
  </si>
  <si>
    <t>B076ZT3715</t>
  </si>
  <si>
    <t>-70.79%</t>
  </si>
  <si>
    <t>Estee Lauder Lot of 2 x Revitalizing Supreme+ Youth Power Creme 0.5 oz / 15ml each, Unboxed</t>
  </si>
  <si>
    <t>B0BXNCHK4X</t>
  </si>
  <si>
    <t>-72.79%</t>
  </si>
  <si>
    <t>-76.67%</t>
  </si>
  <si>
    <t>-76.72%</t>
  </si>
  <si>
    <t>Clinique Take the Day Off Cleansing Balm .5 oz Makeup Remover</t>
  </si>
  <si>
    <t>B06X6NLTJX</t>
  </si>
  <si>
    <t>-79.85%</t>
  </si>
  <si>
    <t>Estee Lauder Revitalizing Supreme+ Global Anti-Aging Cell Power Eye Balm, 0.34 oz Deluxe Size Unboxed</t>
  </si>
  <si>
    <t>B0927WSV28</t>
  </si>
  <si>
    <t>-81.25%</t>
  </si>
  <si>
    <t>Estee Lauder NightWear Plus Anti-Oxidant Night Detox Crème Sample 0.17 oz / 5 ml</t>
  </si>
  <si>
    <t>B01BE0WYJ4</t>
  </si>
  <si>
    <t>-84.36%</t>
  </si>
  <si>
    <t>Estee Lauder Micro Essence Treatment Lotion With Bio-Ferment, 1.0 oz/30 ml (Pack of 2 0.5 oz/15 ml)</t>
  </si>
  <si>
    <t>B0C9WCTG5J</t>
  </si>
  <si>
    <t>-88.17%</t>
  </si>
  <si>
    <t>-91.27%</t>
  </si>
  <si>
    <t>Estee Lauder Advanced Night Repair Synchronized Recovery Complex 15ml (No Box)</t>
  </si>
  <si>
    <t>B00C7CAEWI</t>
  </si>
  <si>
    <t>-94.05%</t>
  </si>
  <si>
    <t>Summer Essentials Kit</t>
  </si>
  <si>
    <t>Summer Infant Basic Changing Essentials Kit with Changing Pad, Cover, and Waterproof Liner, Chevron (3 Piece Set)(Pack of 1)</t>
  </si>
  <si>
    <t>B07L524XKM</t>
  </si>
  <si>
    <t>59.0</t>
  </si>
  <si>
    <t>-32.22%</t>
  </si>
  <si>
    <t>7656912879794</t>
  </si>
  <si>
    <t>Perfect Glow Bundle</t>
  </si>
  <si>
    <t>Maybelline Baby Skin Instant Pore Eraser Primer, Clear + Maybelline New York Instant Age Rewind Instant Perfector 4-In-1 Glow Makeup, Light/Medium Bundle</t>
  </si>
  <si>
    <t>B0C1PLCJQP</t>
  </si>
  <si>
    <t>56.0</t>
  </si>
  <si>
    <t>-68.82%</t>
  </si>
  <si>
    <t>53.0</t>
  </si>
  <si>
    <t>7093703540914</t>
  </si>
  <si>
    <t>Chunful 12 Pcs Beach Makeup Bag Summer Beach Themes Cosmetic Bag Bulk Portable Essentials Kit Survival Kit Bag Flamingo Palm Leaves Cosmetic Pouch with Zipper for Women Travel Accessories (Beach)</t>
  </si>
  <si>
    <t>B0BP9K8RPD</t>
  </si>
  <si>
    <t>-69.51%</t>
  </si>
  <si>
    <t>The Perfect Pair</t>
  </si>
  <si>
    <t>Christmas Cookies on a Cruise Ship (The Perfect Pairings)</t>
  </si>
  <si>
    <t>1631122614</t>
  </si>
  <si>
    <t>-75.94%</t>
  </si>
  <si>
    <t>7342101692594</t>
  </si>
  <si>
    <t>The Perfect Pairing</t>
  </si>
  <si>
    <t>B09VB26QVG</t>
  </si>
  <si>
    <t>-88.91%</t>
  </si>
  <si>
    <t>TRAVEL - Ageless Glow Serum BB Cream SPF 40</t>
  </si>
  <si>
    <t>pūrlisse Ageless Glow Serum BB Cream SPF 40 | Full &amp; Flawless Coverage, Hydrates with Collagen - Light Medium (2 Pack)</t>
  </si>
  <si>
    <t>B0C5SND3DN</t>
  </si>
  <si>
    <t>489.20%</t>
  </si>
  <si>
    <t>7085142278322</t>
  </si>
  <si>
    <t>purlisse Ageless Glow Serum BB Cream SPF 40 : Clean &amp; Cruelty-Free, Full &amp; Flawless Coverage, Hydrates with Collagen | Medium 1.4oz</t>
  </si>
  <si>
    <t>B09BY1SDWG</t>
  </si>
  <si>
    <t>290.00%</t>
  </si>
  <si>
    <t>TRAVEL - Silk Glow BB Base Primer</t>
  </si>
  <si>
    <t>purlisse Silk Glow BB Base Primer: Cruelty-Free &amp; Clean, Paraben &amp; Sulfate-Free, Oil-Free, Illuminating Primer with Calming Chamomile|1oz</t>
  </si>
  <si>
    <t>B08WRHRPF7</t>
  </si>
  <si>
    <t>12.0</t>
  </si>
  <si>
    <t>133.33%</t>
  </si>
  <si>
    <t>7137238515890</t>
  </si>
  <si>
    <t>Perfect Glow Blending Sponge</t>
  </si>
  <si>
    <t>DAB&amp;GLOW Ultra Soft Wet Dry Marshmallow Makeup Sponge Set Latex Free Mochi Blender for Foundation Powder Cream Concealer Bronzer Blush Perfect Flawless Airbrush Finish, Pink, 4 Count (Pack of 1)</t>
  </si>
  <si>
    <t>B0BG5N7HDH</t>
  </si>
  <si>
    <t>4468556070970</t>
  </si>
  <si>
    <t>Ageless Glow Serum BB Cream SPF 40</t>
  </si>
  <si>
    <t>51.08%</t>
  </si>
  <si>
    <t>6853383159986</t>
  </si>
  <si>
    <t>Perfect Glow BB Concealer</t>
  </si>
  <si>
    <t>purlisse Perfect Glow BB Cream SPF 30: Clean &amp; Cruelty-Free, Medium Flawless Coverage, Hydrates with Jasmine | Light 1.4oz</t>
  </si>
  <si>
    <t>B01M9FG3PS</t>
  </si>
  <si>
    <t>28.57%</t>
  </si>
  <si>
    <t>7268173414578</t>
  </si>
  <si>
    <t>Perfect Glow BB Cream SPF 30</t>
  </si>
  <si>
    <t>Juice Beauty STEM CELLULAR CC Cream with SPF 30 -Warm Glow | Natural-Looking Coverage, Sun Protection, Age-Defying, Skin-Perfecting Formula with Zinc SPF 30 Sunscreen-1.7 fl oz</t>
  </si>
  <si>
    <t>B00B1IFMH6</t>
  </si>
  <si>
    <t>36.0</t>
  </si>
  <si>
    <t>9.72%</t>
  </si>
  <si>
    <t>9320191684</t>
  </si>
  <si>
    <t>purlisse Radiant Glow Illuminating BB Cream SPF 30: Cruelty-Free &amp; Clean, Paraben &amp; Sulfate-Free, Light Coverage, Brightens with Hawthorn Berry | Medium 1.4oz</t>
  </si>
  <si>
    <t>B08FRT8JK6</t>
  </si>
  <si>
    <t>2.78%</t>
  </si>
  <si>
    <t>Radiant Glow Illuminating BB Cream SPF 30</t>
  </si>
  <si>
    <t>4414266179642</t>
  </si>
  <si>
    <t>purlisse Ageless Glow Serum BB Cream SPF 40 : Clean &amp; Cruelty-Free, Full &amp; Flawless Coverage, Hydrates with Collagen | Medium Golden 1.4oz</t>
  </si>
  <si>
    <t>B09BXXWDQD</t>
  </si>
  <si>
    <t>purlisse Ageless Glow Serum BB Cream SPF 40 : Clean &amp; Cruelty-Free, Full &amp; Flawless Coverage, Hydrates with Collagen | Light Warm 1.4oz</t>
  </si>
  <si>
    <t>B09BY98RD5</t>
  </si>
  <si>
    <t>Blush Glow BB Cheek Color</t>
  </si>
  <si>
    <t>purlisse Blush Glow BB Cheek Color: Cruelty-free &amp; clean, Paraben &amp; Sulfate-free, Cream blush, Long lasting, Vitamin E hydrates | Sweet Rose 0.34oz</t>
  </si>
  <si>
    <t>B08WRW968V</t>
  </si>
  <si>
    <t>6165189623986</t>
  </si>
  <si>
    <t>purlisse Perfect Glow BB Cream SPF 30: Clean &amp; Cruelty-Free, Medium Flawless Coverage, Hydrates with Jasmine | Medium Tan 1.4oz</t>
  </si>
  <si>
    <t>B07KWCGFS6</t>
  </si>
  <si>
    <t>Youth Glow Vitamin C CC Cream SPF 50</t>
  </si>
  <si>
    <t>purlisse Youth Glow Vitamin C CC Cream SPF 50: Cruelty-Free &amp; Clean, Paraben &amp; Sulfate-Free, Full Coverage, Hydrates with Hyaluronic Acid | Medium 1.4oz</t>
  </si>
  <si>
    <t>B08FSSC5N8</t>
  </si>
  <si>
    <t>4544718864442</t>
  </si>
  <si>
    <t>purlisse Perfect Glow BB Cream SPF 30 (Medium Golden)</t>
  </si>
  <si>
    <t>B08J9P3HYW</t>
  </si>
  <si>
    <t>-2.70%</t>
  </si>
  <si>
    <t>purlisse Blush Glow BB Cheek Color: Cruelty-free &amp; clean, Paraben &amp; Sulfate-free, Cream blush, Long lasting, Vitamin E hydrates | Vivid Coral 0.34oz</t>
  </si>
  <si>
    <t>B08WR83DQV</t>
  </si>
  <si>
    <t>-10.00%</t>
  </si>
  <si>
    <t>Rubelli Water Glow BB Cream 40ml SPF30 PA++ | Korean BB Cream | Strong UV Protection, Moist Essence Type</t>
  </si>
  <si>
    <t>B09S11WKFX</t>
  </si>
  <si>
    <t>-29.76%</t>
  </si>
  <si>
    <t>TRAVEL - Perfect Glow BB Concealer</t>
  </si>
  <si>
    <t>Maybelline New York Instant Age Rewind Instant Perfector 4-In-1 Glow Makeup - Primer, Concealer, Highlighter and BB Cream in 1, Fair/Light, 0.68 fl oz</t>
  </si>
  <si>
    <t>B09RHKK6GF</t>
  </si>
  <si>
    <t>-33.47%</t>
  </si>
  <si>
    <t>7317188903090</t>
  </si>
  <si>
    <t>Real Techniques Miracle Complexion Sponge with Case, Makeup Blending Sponge Perfect For Travel, For Foundation, Streak-Free Makeup Tool, Cruelty Free, Orange, Packaging May Vary, 2 Piece Set</t>
  </si>
  <si>
    <t>B075S4K5R8</t>
  </si>
  <si>
    <t>-41.75%</t>
  </si>
  <si>
    <t>ProBeautyCo BB Cream Broad Spectrum SPF 30 - Skin Perfecting Tinted Moisturizing Facial Primer with Sunscreen (Medium)</t>
  </si>
  <si>
    <t>B01G0SM1LQ</t>
  </si>
  <si>
    <t>-44.47%</t>
  </si>
  <si>
    <t>Milani Cheek Kiss Liquid Blush Makeup - Blendable &amp; Buildable Cheek Blush, Lightweight Liquid Blusher and Cheek Color (New Wine Glow) …</t>
  </si>
  <si>
    <t>B0BBPMZQ1Q</t>
  </si>
  <si>
    <t>-44.61%</t>
  </si>
  <si>
    <t>Halo Glow BB Cream Highlighter</t>
  </si>
  <si>
    <t>7758617706674</t>
  </si>
  <si>
    <t>Halo Glow Liquid Filter - Body Glow Shimmer Liquid Highlighter Makeup for Face - Natural Glossy Finish, Lightweight Blendable Cream Face Illuminator - Cruelty-free &amp; Long-lasting (#5)</t>
  </si>
  <si>
    <t>B0CFF5PL5H</t>
  </si>
  <si>
    <t>-55.60%</t>
  </si>
  <si>
    <t>Lamel Dewy Cream BB Highlighter - Lightweight, Buildable and Luxuriously Glossy with Radiant, Natural-looking, Non-Greasy, Moisturizing, and Long-Lasting Formula for Flawless, Skin-Brightening Glow - 401</t>
  </si>
  <si>
    <t>B0BZWCYZWD</t>
  </si>
  <si>
    <t>Maybelline New York Dream Fresh Skin Hydrating BB cream, 8-in-1 Skin Perfecting Beauty Balm with Broad Spectrum SPF 30, Sheer Tint Coverage, Oil-Free, Light/Medium, 1 Fl Oz</t>
  </si>
  <si>
    <t>B008C13146</t>
  </si>
  <si>
    <t>-79.19%</t>
  </si>
  <si>
    <t>Pure NV Balancing Shampoo 250ml</t>
  </si>
  <si>
    <t>Pure NV Balancing Shampoo &amp; Conditioner Balance Moisture Levels &amp; Intensify Shine, Made From Natural Vitamins &amp; Minerals, Keratin, Collagen &amp; Argan Oil Infused To Repair, Restore &amp; Strengthen 33.8 Oz</t>
  </si>
  <si>
    <t>B09B12SQNL</t>
  </si>
  <si>
    <t>25.95</t>
  </si>
  <si>
    <t>362.43%</t>
  </si>
  <si>
    <t>Pure NV Balancing Conditioner 250ml</t>
  </si>
  <si>
    <t>Wella Elements Shampoo 250ml</t>
  </si>
  <si>
    <t>Wella Professionals Elements Renewing Shampoo + Conditioner Set, Sulfate &amp; Silicone Free, Instant Detangling, For All Hair Types, Liter Sizes</t>
  </si>
  <si>
    <t>B0BS7WXXM7</t>
  </si>
  <si>
    <t>24.0</t>
  </si>
  <si>
    <t>352.50%</t>
  </si>
  <si>
    <t>Sebastian Dark Oil Lightweight Shampoo 250ml</t>
  </si>
  <si>
    <t>Sebastian Professional Dark Oil Lightweight Shampoo and Conditioner, Infused With Jojoba Oil &amp; Argan Oil, Liter Set</t>
  </si>
  <si>
    <t>B08KL2ZKRQ</t>
  </si>
  <si>
    <t>19.0</t>
  </si>
  <si>
    <t>352.21%</t>
  </si>
  <si>
    <t>Nutrifuse Nourishing Shampoo 300ml</t>
  </si>
  <si>
    <t>Nutrifuse M Nourishing Shampoo - 34 fl oz.</t>
  </si>
  <si>
    <t>B07L45XHQ3</t>
  </si>
  <si>
    <t>23.5</t>
  </si>
  <si>
    <t>342.34%</t>
  </si>
  <si>
    <t>Wella Invigo Shampoo 300ml</t>
  </si>
  <si>
    <t>Wella Professionals Invigo Brilliance Shampoo + Conditioner Set, for Fine Normal Colored Hair, Professional Color Protecting &amp; Color Vibrancy</t>
  </si>
  <si>
    <t>B0BS8BZMX1</t>
  </si>
  <si>
    <t>17.5</t>
  </si>
  <si>
    <t>338.86%</t>
  </si>
  <si>
    <t>Wella Professionals Invigo Nutri-Enrich Shampoo &amp; Conditioner Set, Deep Moisturizing, For Dry &amp; Damaged Hair, Liter Sizes</t>
  </si>
  <si>
    <t>B0BVSK8WCF</t>
  </si>
  <si>
    <t>Wella Invigo Conditioner 250ml</t>
  </si>
  <si>
    <t>18.5</t>
  </si>
  <si>
    <t>315.14%</t>
  </si>
  <si>
    <t>Sebastian Penetraitt Shampoo 250ml</t>
  </si>
  <si>
    <t>Sebastian Professional Penetraitt, Hair Strengthening and Deep Repair Shampoo, Conditioner &amp; Treatment</t>
  </si>
  <si>
    <t>B08KL7Q5W6</t>
  </si>
  <si>
    <t>19.75</t>
  </si>
  <si>
    <t>294.53%</t>
  </si>
  <si>
    <t>Sebastian Dark Oil Conditioner 250ml</t>
  </si>
  <si>
    <t>290.55%</t>
  </si>
  <si>
    <t>Nutrifuse M Nourishing Shampoo - 10oz Bundled with Nutrifuse M Moisture-Rich Conditioner 10oz</t>
  </si>
  <si>
    <t>B07FYNNLMF</t>
  </si>
  <si>
    <t>248.72%</t>
  </si>
  <si>
    <t>Nutrifuse W Nourishing Shampoo - 10oz Bundled with Nutrifuse W Moisture-Rich Conditioner 10oz</t>
  </si>
  <si>
    <t>B07FYRHNS9</t>
  </si>
  <si>
    <t>Wella Color Motion Shampoo 250ml</t>
  </si>
  <si>
    <t>Wella Professionals ColorMotion+, Color Protection Shampoo + Conditioner + Structure+ Mask Set, For Colored Hair, Preserves Smoothness &amp; Shine While Strengthening &amp; Moisturizing Hair</t>
  </si>
  <si>
    <t>B0BZGL8YCK</t>
  </si>
  <si>
    <t>All Nutrient Volumize Conditioner</t>
  </si>
  <si>
    <t>All-Nutrient VOLUMIZE Shampoo &amp; Conditioner DUO SET, For Added Hair Volume &amp; Dimension (w/Sleek Comb) UV+ Color Protection, 100% Vegan (12 oz + 12 oz DUO KIT)</t>
  </si>
  <si>
    <t>B0872KJSY6</t>
  </si>
  <si>
    <t>178.12%</t>
  </si>
  <si>
    <t>ALVC</t>
  </si>
  <si>
    <t>Pure NV Balancing Shampoo Balances Moisture Levels &amp; Intensifies Shine, Made From Natural Vitamins &amp; Minerals, Keratin, Collagen &amp; Argan Oil Infused To Repair, Restore &amp; Strengthen 33.8 Oz.</t>
  </si>
  <si>
    <t>B00J4QFW9U</t>
  </si>
  <si>
    <t>169.75%</t>
  </si>
  <si>
    <t>Pure NV Balancing Conditioner Balances Moisture Levels &amp; Intensifies Shine, Made From Natural Vitamins &amp; Minerals, Keratin, Collagen &amp; Argan Oil Infused To Repair, Restore &amp; Strengthen 33.8 Oz.</t>
  </si>
  <si>
    <t>B00J4QGOVA</t>
  </si>
  <si>
    <t>Pure NV Hydrating Conditioner 250ml</t>
  </si>
  <si>
    <t>Pure NV Hydrating Conditioner For Ultimate Hydration, Softness &amp; Shine, Made From Natural Vitamins &amp; Minerals, Keratin, Collagen &amp; Argan Oil Infused To Repair, Restore &amp; Strengthen 33.8 Oz.</t>
  </si>
  <si>
    <t>B01885YPNG</t>
  </si>
  <si>
    <t>26.0</t>
  </si>
  <si>
    <t>169.23%</t>
  </si>
  <si>
    <t>Sebastian Penetraitt Repair Masque</t>
  </si>
  <si>
    <t>SARF SB Professional Penetraitt Deep Strengthening and Repair Hair Treatment Masque, 500 ml 16.9oz (2pack)</t>
  </si>
  <si>
    <t>B0C1THDQGM</t>
  </si>
  <si>
    <t>162.50%</t>
  </si>
  <si>
    <t>SPRM</t>
  </si>
  <si>
    <t>All Nutrient Volumize Shampoo (Raspbody)</t>
  </si>
  <si>
    <t>17.0</t>
  </si>
  <si>
    <t>161.76%</t>
  </si>
  <si>
    <t>21112</t>
  </si>
  <si>
    <t>Sebastian Light Conditioner 250ml</t>
  </si>
  <si>
    <t>Sebastian Professional Dark Oil Lightweight Conditioner, Infused With Jojoba Oil &amp; Argan Oil, 33.8 fl oz</t>
  </si>
  <si>
    <t>B07TFVCPBS</t>
  </si>
  <si>
    <t>159.46%</t>
  </si>
  <si>
    <t>All-Nutrient Colorsafe Conditioner 350ml</t>
  </si>
  <si>
    <t>All Nutrient COLOR SAFE Shampoo &amp; Conditioner DUO Set, extends color life (with Sleek Compact Mirror) (12 oz / 350ml Retail DUO Kit)</t>
  </si>
  <si>
    <t>B077SCZK5R</t>
  </si>
  <si>
    <t>150.00%</t>
  </si>
  <si>
    <t>ANPC</t>
  </si>
  <si>
    <t>All-Nutrient Colorsafe Shampoo 350ml</t>
  </si>
  <si>
    <t>ANPS</t>
  </si>
  <si>
    <t>All-Nutrient RESTORE Shampoo &amp; Conditioner DUO SET, Repairs Dry-Damaged Hair (w/Sleek Comb) UV+ Color Protection, 100% Vegan (12 oz + 12 oz DUO KIT)</t>
  </si>
  <si>
    <t>B0872KQFRT</t>
  </si>
  <si>
    <t>Sebastian Professional Dark Oil Lightweight Shampoo &amp; Conditioner, Infused With Jojoba &amp; Argan Oil</t>
  </si>
  <si>
    <t>B07TDR1H6H</t>
  </si>
  <si>
    <t>142.11%</t>
  </si>
  <si>
    <t>Wella Elements Renewing Conditioner 200ml</t>
  </si>
  <si>
    <t>Wella Professionals Elements Gentle Renewing Conditioner, Gentle, Silicone Free, Instant Detangling Conditioner, 1 Liter Pouch</t>
  </si>
  <si>
    <t>B09KQL21XF</t>
  </si>
  <si>
    <t>23.0</t>
  </si>
  <si>
    <t>136.09%</t>
  </si>
  <si>
    <t>Wella Color Motion Conditioner 200ml</t>
  </si>
  <si>
    <t>Wella Professionals ColorMotion+ Moisturizing Color Reflection Conditioner, Intense Nourishment and Moisture for Stronger Hair, 33.8 oz</t>
  </si>
  <si>
    <t>B0BYBLFTDR</t>
  </si>
  <si>
    <t>All-Nutrient Restore Shampoo 350ml</t>
  </si>
  <si>
    <t>135.29%</t>
  </si>
  <si>
    <t>ANRSKB</t>
  </si>
  <si>
    <t>Wella Professionals Invigo Brilliance Shampoo &amp; Conditioner Set, Color Protection &amp; Color Vibrancy for Fine/Normal Hair, Retail Sizes</t>
  </si>
  <si>
    <t>B0B91ZLL1R</t>
  </si>
  <si>
    <t>127.43%</t>
  </si>
  <si>
    <t>Wella Professionals Invigo Brilliance Shampoo &amp; Conditioner Set For Coarse Hair, For Color Protection &amp; Color Vibrancy</t>
  </si>
  <si>
    <t>B0B92RMWFN</t>
  </si>
  <si>
    <t>Wella Professionals Invigo Nutri-Enrich Shampoo &amp; Conditioner Set, Deep Moisturizing, For Dry &amp; Damaged Hair</t>
  </si>
  <si>
    <t>B0B91YPTQ2</t>
  </si>
  <si>
    <t>Wella Professionals ColorMotion+, Color Protection Shampoo For Colored Hair, Preserves Smoothness and Shine While Strengthening Hair, 33.8oz</t>
  </si>
  <si>
    <t>B08JD3GYH1</t>
  </si>
  <si>
    <t>126.25%</t>
  </si>
  <si>
    <t>Wella Professionals Elements Renewing Shampoo, Formulated with Natural Ingredients, Sulfate and Silicone Free Shampoo, For All Hair Types</t>
  </si>
  <si>
    <t>B0B258JPHC</t>
  </si>
  <si>
    <t>All-Nutrient Colorsafe Nourishing Shampoo &amp; Conditioner 12 Oz</t>
  </si>
  <si>
    <t>B0085XI8QW</t>
  </si>
  <si>
    <t>124.94%</t>
  </si>
  <si>
    <t>All Nutrient Volumize Conditioner 25oz</t>
  </si>
  <si>
    <t>B0143NQXGE</t>
  </si>
  <si>
    <t>123.88%</t>
  </si>
  <si>
    <t>Sebastian Light Shampoo 250ml</t>
  </si>
  <si>
    <t>Sebastian Professional Dark Oil Lightweight Shampoo &amp; Conditioner Set, Infused With Jojoba &amp; Argan Oil</t>
  </si>
  <si>
    <t>B09Z7DT3X9</t>
  </si>
  <si>
    <t>121.62%</t>
  </si>
  <si>
    <t>WELLA PROFESSIONALS Invigo Brilliance Shampoo for Fine Normal Colored Hair, Professional Color Protecting &amp; Color Vibrancy Shampoo, 33.8 Fl oz</t>
  </si>
  <si>
    <t>B0BQ3FGHDQ</t>
  </si>
  <si>
    <t>119.43%</t>
  </si>
  <si>
    <t>WELLA PROFESSIONALS Invigo Nutri-Enrich Shampoo, Professional Deep Nourishing Shampoo For Dry &amp; Damaged Hair, 33.8 Fl oz</t>
  </si>
  <si>
    <t>B08BZXBKFY</t>
  </si>
  <si>
    <t>118.18%</t>
  </si>
  <si>
    <t>115.79%</t>
  </si>
  <si>
    <t>Sebastian Professional Penetraitt Shampoo &amp; Conditioner, Strengthening &amp; Repair, For Damaged &amp; Colored Treated Hair</t>
  </si>
  <si>
    <t>B07WZRNRZ2</t>
  </si>
  <si>
    <t>112.66%</t>
  </si>
  <si>
    <t>109.09%</t>
  </si>
  <si>
    <t>Wella Professionals ColorMotion+, Color Protection Shampoo + Conditioner Set, For Colored Hair, Preserves Smoothness and Shine While Strengthening + Moisturizing Hair</t>
  </si>
  <si>
    <t>B0BZGT2HBB</t>
  </si>
  <si>
    <t>108.33%</t>
  </si>
  <si>
    <t>Wella Professionals Elements Renewing Shampoo &amp; Conditioner Set, Sulfate &amp; Silicone Free, Instant Detangling, For All Hair Types, Retail Sizes</t>
  </si>
  <si>
    <t>B0B92LNJTK</t>
  </si>
  <si>
    <t>WELLA PROFESSIONALS Invigo Brilliance Conditioner for Coarse Hair, Color Protecting &amp; Color Vibrancy Conditioner, 33.8 Fl oz</t>
  </si>
  <si>
    <t>B0BQCHFCKH</t>
  </si>
  <si>
    <t>107.57%</t>
  </si>
  <si>
    <t>Wella Professionals Invigo Brilliance Conditioner for Fine Normal Colored Hair, Color Protecting &amp; Color Vibrancy Conditioner, 33.8 Fl oz</t>
  </si>
  <si>
    <t>B0BQCJYK9F</t>
  </si>
  <si>
    <t>Sebastian Professional Penetraitt Shampoo, Strengthening &amp; Repair, For Damaged &amp; Colored Hair, 33.8 fl oz</t>
  </si>
  <si>
    <t>B001PYO3PI</t>
  </si>
  <si>
    <t>102.53%</t>
  </si>
  <si>
    <t>All Nutrient Restore Conditioner 25oz</t>
  </si>
  <si>
    <t>B014N3QPCG</t>
  </si>
  <si>
    <t>100.06%</t>
  </si>
  <si>
    <t>Nioxin Thickening Spray Gel</t>
  </si>
  <si>
    <t>Nioxin Thickening Spray + Thickening Gel Bundle, For Volume and Texture, 5.1 oz</t>
  </si>
  <si>
    <t>B0BF25R5WM</t>
  </si>
  <si>
    <t>90.91%</t>
  </si>
  <si>
    <t>NTSG</t>
  </si>
  <si>
    <t>All-Nutrient Restore Conditioner 12oz</t>
  </si>
  <si>
    <t>88.29%</t>
  </si>
  <si>
    <t>ANRC</t>
  </si>
  <si>
    <t>All Nutrient Hydrate Conditioner 25 fl</t>
  </si>
  <si>
    <t>B01K5LCIH6</t>
  </si>
  <si>
    <t>87.44%</t>
  </si>
  <si>
    <t>Sebastian Professional Penetraitt Shampoo &amp; Conditioner | Strengthening &amp; Repair | For Damaged &amp; Colored Hair | 8.4 fl oz, BUNDLE*</t>
  </si>
  <si>
    <t>B09Z7G1XJM</t>
  </si>
  <si>
    <t>87.34%</t>
  </si>
  <si>
    <t>85.00%</t>
  </si>
  <si>
    <t>All-Nutrient Restore Shampoo 25 oz</t>
  </si>
  <si>
    <t>B014LQYJ6E</t>
  </si>
  <si>
    <t>82.29%</t>
  </si>
  <si>
    <t>81.25%</t>
  </si>
  <si>
    <t>PRO GEN Nutrifuse M Nourishing Shampoo - 10 oz.</t>
  </si>
  <si>
    <t>B078T51QKB</t>
  </si>
  <si>
    <t>78.51%</t>
  </si>
  <si>
    <t>Nutrifuse W Nourishing Shampoo - 10 oz.</t>
  </si>
  <si>
    <t>B078T94T94</t>
  </si>
  <si>
    <t>All Nutrient Hydrate Conditioner 350ml</t>
  </si>
  <si>
    <t>76.41%</t>
  </si>
  <si>
    <t>Sebastian Professional Penetraitt Deep Repair &amp; Strengthening Masque, For Damaged &amp; Color Treated Hair, 16.9 fl oz</t>
  </si>
  <si>
    <t>B07X1WBY7T</t>
  </si>
  <si>
    <t>65.00%</t>
  </si>
  <si>
    <t>All Nutrient Volumize Conditioner 12oz</t>
  </si>
  <si>
    <t>B00AY14QXC</t>
  </si>
  <si>
    <t>43.12%</t>
  </si>
  <si>
    <t>All-Nutrient sculpt+ body amplifier instant volume 250ml</t>
  </si>
  <si>
    <t>All-Nutrient Sculpt + Body Amplifier, Instant Volume Hair Lotion (w/ Sleek Comb) UV+ Color Protection, 100% Vegan (8.4 oz / 250 ml)</t>
  </si>
  <si>
    <t>B08B5LCKSL</t>
  </si>
  <si>
    <t>13.0</t>
  </si>
  <si>
    <t>38.31%</t>
  </si>
  <si>
    <t>Wella EIMI Root Shoot 193g</t>
  </si>
  <si>
    <t>Wella Professionals, EIMI Root Shoot Mousse, For a Precise Root Lift, Added Volume, And A Light Hold, 6.8 oz</t>
  </si>
  <si>
    <t>B016AVH0HI</t>
  </si>
  <si>
    <t>21.5</t>
  </si>
  <si>
    <t>Keune Silver Savior Shampoo</t>
  </si>
  <si>
    <t>KEUNE Care Blonde Savior Shampoo - Sulfate-Free Shampoo Designed to Moistuirze and Repair Sensitized, Compromised, and Decolorized Hair</t>
  </si>
  <si>
    <t>B0BFVF6ZGM</t>
  </si>
  <si>
    <t>28.00%</t>
  </si>
  <si>
    <t>Qshi Sulfate-Free Moisturizing Shampoo</t>
  </si>
  <si>
    <t>Moroccan Argan Oil Shampoo and Conditioner Set - Sulfate Free, Anti Frizz Hydrating Care for Women - Deep Moisturizing Treatment for Color, Keratin Treated, Curly, Damaged and Dry Hair</t>
  </si>
  <si>
    <t>B01CTNRVFM</t>
  </si>
  <si>
    <t>15.5</t>
  </si>
  <si>
    <t>27.61%</t>
  </si>
  <si>
    <t>6fl</t>
  </si>
  <si>
    <t>KEUNE Care Silver Savior Foam Treatment Leave In for Blonde Hair, 6.9 oz.</t>
  </si>
  <si>
    <t>B09HSXYT2M</t>
  </si>
  <si>
    <t>24.00%</t>
  </si>
  <si>
    <t>All-Nutrient RESTORE Shampoo &amp; Conditioner DUO SET, Repairs Dry-Damaged Hair (w/Sleek Comb) UV+ Color Protection, 100% Vegan (3.4 oz + 3.4 oz TRAVEL DUO KIT)</t>
  </si>
  <si>
    <t>B08B5J36BB</t>
  </si>
  <si>
    <t>23.41%</t>
  </si>
  <si>
    <t>All-Nutrient VOLUMIZE Shampoo &amp; Conditioner DUO SET, For Added Hair Volume &amp; Dimension (w/Sleek Comb) UV+ Color Protection, 100% Vegan (3.4 oz + 3.4 oz TRAVEL DUO KIT)</t>
  </si>
  <si>
    <t>B08B5GDLCC</t>
  </si>
  <si>
    <t>All Nutrient Restore Conditioner 12oz</t>
  </si>
  <si>
    <t>B014N3D6QO</t>
  </si>
  <si>
    <t>22.29%</t>
  </si>
  <si>
    <t>All Nutrient Colorsafe Leave-in Detangler 250ml</t>
  </si>
  <si>
    <t>All Nutrient Colorsafe Leave-in Detangler 8.4 Oz</t>
  </si>
  <si>
    <t>B01945ZPRO</t>
  </si>
  <si>
    <t>20.07%</t>
  </si>
  <si>
    <t>All-Nutrient Straight+ Smoothing Creme 250ml</t>
  </si>
  <si>
    <t>All-Nutrient Straight + Smoothing Cream, Frizz-Free Hair Control Creme (w/ Sleek Comb) UV+ Color Protection, 100% Vegan (8.4 oz / 250 ml)</t>
  </si>
  <si>
    <t>B08B5LHR18</t>
  </si>
  <si>
    <t>All-Nutrient Colorsafe Leave-in Detangler, Color Safe Leave In Conditioner Spray (w/ Sleek Comb) Haircolor UV+ Color Protection, 100% Vegan (8.4 OZ / 250 ML)</t>
  </si>
  <si>
    <t>B08B5HPCY1</t>
  </si>
  <si>
    <t>All-Nutrient Spray Gel Natural Styler 250ml</t>
  </si>
  <si>
    <t>All-Nutrient Spray Gel, Natural Styler, Flexible Hold Hair Spray (w/ Sleek Comb) Hairspray UV+ Color Protection, 100% Vegan (8.4 OZ / 250 ML)</t>
  </si>
  <si>
    <t>B08B5LMMMY</t>
  </si>
  <si>
    <t>19.93%</t>
  </si>
  <si>
    <t>All Nutrient Volumize Shampoo 12 Ounce</t>
  </si>
  <si>
    <t>B00918DQVC</t>
  </si>
  <si>
    <t>18.69%</t>
  </si>
  <si>
    <t>all nutrient Restore Conditioner 12 fl oz</t>
  </si>
  <si>
    <t>B09NMLPHQM</t>
  </si>
  <si>
    <t>KEUNE CARE Silver Savior Conditioner, 8.5 Oz (Pack of 1)</t>
  </si>
  <si>
    <t>B07FTFWP9Z</t>
  </si>
  <si>
    <t>16.00%</t>
  </si>
  <si>
    <t>Keune Color Brillianz Conditioner 250ml</t>
  </si>
  <si>
    <t>KEUNE CARE Color Brillianz Conditioner Spray Leave In Treatment, 4.7 Oz.</t>
  </si>
  <si>
    <t>B01MRY6MMH</t>
  </si>
  <si>
    <t>Wella Professionals Invigo Volume Boost Shampoo, For Added Volume, With Bodyfying Spring Blend, 10.1oz</t>
  </si>
  <si>
    <t>B07N1XWFQP</t>
  </si>
  <si>
    <t>13.71%</t>
  </si>
  <si>
    <t>WELLA PROFESSIONALS Invigo Brilliance Shampoo for Fine/Normal Colored Hair, Color Protection &amp; Color Vibrancy, 10.1 oz</t>
  </si>
  <si>
    <t>B0B64J3TBF</t>
  </si>
  <si>
    <t>WELLA PROFESSIONALS Invigo Brilliance Shampoo for Coarse Colored Hair, Color Protection &amp; Color Vibrancy, 10.1 oz</t>
  </si>
  <si>
    <t>B0B64CTSZR</t>
  </si>
  <si>
    <t>Sebastian Professional Dark Oil Lightweight Conditioner, Infused With Jojoba Oil &amp; Argan Oil, 8.4 fl oz</t>
  </si>
  <si>
    <t>B07T8G5RV5</t>
  </si>
  <si>
    <t>13.51%</t>
  </si>
  <si>
    <t>All-Nutrient Name This Stuff Styling Treatment 100ml</t>
  </si>
  <si>
    <t>All-Nutrient Name This Stuff Styling Treatment (w/Sleek Comb) Softens, Relaxes, Smooths Hair UV+ Color Protection, 100% Vegan (3.4 OZ / 100 ML SIZE)</t>
  </si>
  <si>
    <t>B08BXBG6J1</t>
  </si>
  <si>
    <t>31.0</t>
  </si>
  <si>
    <t>12.87%</t>
  </si>
  <si>
    <t>12.50%</t>
  </si>
  <si>
    <t>All-Nutrient Volumize Shampoo (12 oz.)</t>
  </si>
  <si>
    <t>B09HY33G1H</t>
  </si>
  <si>
    <t>11.71%</t>
  </si>
  <si>
    <t>All-Nutrient Hydrate Conditioner - 12 oz by All Nutrient</t>
  </si>
  <si>
    <t>B01N5DS26W</t>
  </si>
  <si>
    <t>KMS Anti-humidity seal spray</t>
  </si>
  <si>
    <t>KMS HAIRSTAY Anti-Humidity Seal, 4.1 oz</t>
  </si>
  <si>
    <t>B06XT7GXM8</t>
  </si>
  <si>
    <t>10.87%</t>
  </si>
  <si>
    <t>Keune Absolute Volume Thermal Protector 200ml</t>
  </si>
  <si>
    <t>KEUNE CARE Absolute Volume Thermal Protector for Hair, 6.8 Oz.</t>
  </si>
  <si>
    <t>B01MQWRLC5</t>
  </si>
  <si>
    <t>9.38%</t>
  </si>
  <si>
    <t>Wella Professionals ColorMotion+ Moisturizing Color Reflection Conditioner, Intense Nourishment and Moisture for Stronger Hair, 6.76oz</t>
  </si>
  <si>
    <t>B0BYBQNCH9</t>
  </si>
  <si>
    <t>8.70%</t>
  </si>
  <si>
    <t>Wella Elements Renewing Mask 150ml</t>
  </si>
  <si>
    <t>Wella Professionals Elements Silicone Free Renewing Moisturizing Hair Mask for All Hair Types, For Normal to Oily Scalp, 5.07 Fl oz</t>
  </si>
  <si>
    <t>B094GLZHZW</t>
  </si>
  <si>
    <t>Wella Professionals Elements Gentle Renewing Conditioner, Gentle Silicone Free &amp; Instant Detangling Conditioner, For All Hair Types, 6.7 oz</t>
  </si>
  <si>
    <t>B0B64DD4QV</t>
  </si>
  <si>
    <t>Wella NutriCurls Milky Waves 150ml</t>
  </si>
  <si>
    <t>WELLA PROFESSIONALS Nutricurls Milky Waves, Milky Leave-In Spray for Wavy Hair, 5.07oz</t>
  </si>
  <si>
    <t>B07YNZMW4G</t>
  </si>
  <si>
    <t>B07T9KT26P</t>
  </si>
  <si>
    <t>8.11%</t>
  </si>
  <si>
    <t>Keune Satin Oil Shampoo 300ml</t>
  </si>
  <si>
    <t>KEUNE CARE Satin Oil Shampoo, 10.1 Oz.</t>
  </si>
  <si>
    <t>B01NAPUTE5</t>
  </si>
  <si>
    <t>8.00%</t>
  </si>
  <si>
    <t>KEUNE CARE Silver Savior Shampoo, 10.1 Oz.</t>
  </si>
  <si>
    <t>B07FTLYSZM</t>
  </si>
  <si>
    <t>Wella EIMI Just Brilliant Pomade 2.50oz</t>
  </si>
  <si>
    <t>Wella EIMI Just Brilliant Shine Pomade, Anti-Frizz &amp; Anti-Humidity Hair Molding Paste, Protect Against Humidity, Smooth And Sleek Finish, 2.5 oz</t>
  </si>
  <si>
    <t>B01FYKYBWS</t>
  </si>
  <si>
    <t>20.5</t>
  </si>
  <si>
    <t>7.80%</t>
  </si>
  <si>
    <t>Wella EIMI Perfect Me Beauty Balm 3.38oz</t>
  </si>
  <si>
    <t>Wella Professionals EIMI Perfect Me Lightweight Beauty Balm BB Lotion, Heat Protectant, Instant Smoothness And Shine, 3.4 fl oz</t>
  </si>
  <si>
    <t>B0175D5Z6I</t>
  </si>
  <si>
    <t>Wella Professionals Invigo Brilliance Conditioner for Fine/Normal Colored Hair, Moisturizing &amp; Color Vibrancy, 8.4 oz</t>
  </si>
  <si>
    <t>B0B64FTW2J</t>
  </si>
  <si>
    <t>7.57%</t>
  </si>
  <si>
    <t>Wella Professionals Invigo Nutri-Enrich Conditioner, Deep Nourishing &amp; Moisturizing, For Dry &amp; Damaged Hair, 8.4 oz</t>
  </si>
  <si>
    <t>B0B64F1DRW</t>
  </si>
  <si>
    <t>Wella Professionals Invigo Brilliance Conditioner for Coarse Colored Hair, Moisturizing &amp; Color Vibrancy, 8.4 oz</t>
  </si>
  <si>
    <t>B0B64CBYH4</t>
  </si>
  <si>
    <t>Wella Professionals Invigo Blonde Recharge Warm Blonde Conditioner, Refresh and Maintain Blonde Color, Rid Brasiness, 6.7oz</t>
  </si>
  <si>
    <t>B07PJ51NXZ</t>
  </si>
  <si>
    <t>Wella Professionals Invigo Blonde Recharge Cool Blonde Conditioner, Refresh and Maintain Blonde Color, Rid Brasiness, 6.7oz</t>
  </si>
  <si>
    <t>B07GYX8QRJ</t>
  </si>
  <si>
    <t>Keune Satin Oil Conditioner 250ml</t>
  </si>
  <si>
    <t>KEUNE CARE Satin Oil Conditioner, 8.5 Fl Oz (Pack of 1)</t>
  </si>
  <si>
    <t>B01MU1E7FT</t>
  </si>
  <si>
    <t>7.41%</t>
  </si>
  <si>
    <t>Keune Care Silver Savior Conditioner 250ml</t>
  </si>
  <si>
    <t>Sebastian Re-Shaper Strong Hold Hairspray</t>
  </si>
  <si>
    <t>Sebastian Professional Shaper Hairspray, Lightweight Control for 24 Hours of Medium to Strong Hold, 10.6 oz</t>
  </si>
  <si>
    <t>B000GCUPIE</t>
  </si>
  <si>
    <t>21.0</t>
  </si>
  <si>
    <t>7.14%</t>
  </si>
  <si>
    <t>SRSSHH</t>
  </si>
  <si>
    <t>Wella Invigo Brilliance Miracle BB Spray 150ml</t>
  </si>
  <si>
    <t>Wella Professionals Invigo Brilliance Miracle BB Hair Color Protection Spray, Professional Moisturizing Spray for Colored Hair, 5.07 oz</t>
  </si>
  <si>
    <t>B07PKS2GJ2</t>
  </si>
  <si>
    <t>5.61%</t>
  </si>
  <si>
    <t>Wella Invigo Frizz Control Cream 5.1fl oz</t>
  </si>
  <si>
    <t>Wella Professionals Invigo Nutri-Enrich Frizz Control Cream, Deeply Nourishing, For Dry &amp; Damaged Hair, 5.07 oz</t>
  </si>
  <si>
    <t>B0B64FD9KX</t>
  </si>
  <si>
    <t>5.56%</t>
  </si>
  <si>
    <t>Wella EIMI Sugar Lift 150ml</t>
  </si>
  <si>
    <t>Wella Professionals EIMI Sugar Lift Spray, Add Volume And Natural Lift, Obtain A Matte Finish Look, 5.07 oz</t>
  </si>
  <si>
    <t>B0175D5XSI</t>
  </si>
  <si>
    <t>5.24%</t>
  </si>
  <si>
    <t>Sebastian Shaper Fierce Hairspray</t>
  </si>
  <si>
    <t>Sebastian Professional Shaper Fierce, Ultra-Firm Hold Finishing Hairspray, 10.6 Ounce (Pack of 1)</t>
  </si>
  <si>
    <t>B002RT71CW</t>
  </si>
  <si>
    <t>Wella Color Fresh Mask – Rose Blaze 150ml</t>
  </si>
  <si>
    <t>Wella Color Fresh Semi-Permanent Hair Mask 150ml - Rose Blaze</t>
  </si>
  <si>
    <t>B08P6LZHWC</t>
  </si>
  <si>
    <t>25.5</t>
  </si>
  <si>
    <t>4.31%</t>
  </si>
  <si>
    <t>Wella Color Fresh Mask – Blue 150ml</t>
  </si>
  <si>
    <t>Wella Color Fresh Semi-Permanent Hair Mask 150ml - Caramel Glaze</t>
  </si>
  <si>
    <t>B08NY5GK6R</t>
  </si>
  <si>
    <t>Wella Color Refresh Mask – Caramel Glaze 150ml</t>
  </si>
  <si>
    <t>Wella Professionals Elements Renewing Shampoo, Gentle Sulfate &amp; Silicone Free Shampoo, For All Hair Types, 8.4 oz</t>
  </si>
  <si>
    <t>B09YKK49JL</t>
  </si>
  <si>
    <t>Sebastian Trilliant Thermal Protection</t>
  </si>
  <si>
    <t>Sebastian Trilliant, Thermal Protection and Shimmer-Complex Spray, 5.07 fl oz</t>
  </si>
  <si>
    <t>B00BILZMZ8</t>
  </si>
  <si>
    <t>4.06%</t>
  </si>
  <si>
    <t>STTP</t>
  </si>
  <si>
    <t>Pure NV Balancing Conditioner Balances Moisture Levels &amp; Intensifies Shine, Made From Natural Vitamins &amp; Minerals, Keratin, Collagen &amp; Argan Oil Infused To Repair, Restore &amp; Strengthen 8.5 Oz.</t>
  </si>
  <si>
    <t>B00J4QGQ68</t>
  </si>
  <si>
    <t>4.05%</t>
  </si>
  <si>
    <t>Pure NV Balancing Shampoo Balances Moisture Levels &amp; Intensifies Shine, Made From Natural Vitamins &amp; Minerals, Keratin, Collagen &amp; Argan Oil Infused To Repair, Restore &amp; Strengthen 8.5 Oz.</t>
  </si>
  <si>
    <t>B00J4QFXT4</t>
  </si>
  <si>
    <t>Pure NV Hydrating Conditioner For Ultimate Hydration, Softness &amp; Shine, Made From Natural Vitamins &amp; Minerals, Keratin, Collagen &amp; Argan Oil Infused To Repair, Restore &amp; Strengthen 8.5 Oz.</t>
  </si>
  <si>
    <t>B018ZI0BPW</t>
  </si>
  <si>
    <t>3.85%</t>
  </si>
  <si>
    <t>Wella Glam Mist 4.86oz</t>
  </si>
  <si>
    <t>Wella Professionals EIMI Glam Mist Finishing Hair Spray, 4.86 Oz</t>
  </si>
  <si>
    <t>B01783RFXQ</t>
  </si>
  <si>
    <t>2.79%</t>
  </si>
  <si>
    <t>Sebastian Preset Conditioner 250ml</t>
  </si>
  <si>
    <t>Sebastian Preset Texture Building Conditioner</t>
  </si>
  <si>
    <t>B07F51FFLZ</t>
  </si>
  <si>
    <t>2.70%</t>
  </si>
  <si>
    <t>2.27%</t>
  </si>
  <si>
    <t>Sebastian Gel Forte 200ml</t>
  </si>
  <si>
    <t>Sebastian Gel Forte Strong-Hold Gel, 6.8 fl oz</t>
  </si>
  <si>
    <t>B002RS6KIE</t>
  </si>
  <si>
    <t>0.25%</t>
  </si>
  <si>
    <t>SGFSH</t>
  </si>
  <si>
    <t>Sebastian Volupt Spray 150ml</t>
  </si>
  <si>
    <t>Sebastian Volupt Spray, Volume-Building Spray Gel, 5.07 fl oz (Packaging may vary )</t>
  </si>
  <si>
    <t>B0037IESXC</t>
  </si>
  <si>
    <t>0.24%</t>
  </si>
  <si>
    <t>Wella Nutri-Enrich Wonder Balm 5.1fl oz</t>
  </si>
  <si>
    <t>Wella Professionals Nutri-Enrich Wonder Hair Balm, Deeply Nourishing, For Dry &amp; Damaged Hair, 5.07 oz</t>
  </si>
  <si>
    <t>B07PSQ56PG</t>
  </si>
  <si>
    <t>0.05%</t>
  </si>
  <si>
    <t>Keune Color Brillianz Shampoo 300ml</t>
  </si>
  <si>
    <t>KEUNE CARE Color Brillianz Shampoo, 10.1 Fl Oz (Pack of 1)</t>
  </si>
  <si>
    <t>B01MXYYRDE</t>
  </si>
  <si>
    <t>Sebastian Shine Define 200ml</t>
  </si>
  <si>
    <t>Sebastian Professional Shine Define Flexible Hold Hair Spray, 6.7 Ounce</t>
  </si>
  <si>
    <t>B001PRSFZ4</t>
  </si>
  <si>
    <t>Thickening Spray Gel, For Fine or Thin Hair Types - With Exclusive Ultraflex Polymer Technology and AlgaePlex Sea Botanicals, Adds Body and Vitality, Firm Hold</t>
  </si>
  <si>
    <t>B07NXTBPQ3</t>
  </si>
  <si>
    <t>Sebastian Dark Oil Silkening Mist 4.5oz</t>
  </si>
  <si>
    <t>Sebastian Professional Dark Oil Silkening Fragrant Mist, Infused with Jojoba Oil and Argan Oil, 4.5 fl oz</t>
  </si>
  <si>
    <t>B07T9KT5B5</t>
  </si>
  <si>
    <t>-4.55%</t>
  </si>
  <si>
    <t>Nioxin Thickening Spray, 3D Styling Hairspray With ProThick Technology, Adds Volume and Texture for Thinning Hair, 5.1 oz</t>
  </si>
  <si>
    <t>B015NKDPXA</t>
  </si>
  <si>
    <t>Nioxin Thickening Gel, Strong Hold and Texture for Thinning Hair, For Fuller and Smooth-Feeling Hair, 5.13 oz</t>
  </si>
  <si>
    <t>B00DP3DJX4</t>
  </si>
  <si>
    <t>B07X2W5GG1</t>
  </si>
  <si>
    <t>-5.00%</t>
  </si>
  <si>
    <t>Sebastian Penetraitt Shampoo, 8.4 oz (Pack of 1)</t>
  </si>
  <si>
    <t>B0034EA60I</t>
  </si>
  <si>
    <t>-8.86%</t>
  </si>
  <si>
    <t>All Nutrient Hydrate Shampoo &amp; Conditioner DUO Set, replenishes moisture (with Sleek Compact Mirror) (3.4 oz TRAVEL SIZE DUO KIT)</t>
  </si>
  <si>
    <t>B08B5J6RFK</t>
  </si>
  <si>
    <t>-12.56%</t>
  </si>
  <si>
    <t>Professional Care by Wella Elements Calming Shampoo 250ml</t>
  </si>
  <si>
    <t>B094GLDQVL</t>
  </si>
  <si>
    <t>-33.38%</t>
  </si>
  <si>
    <t>All-Nutrient Hair Proteinizer Leave-in Reconstructor 8.4oz</t>
  </si>
  <si>
    <t>All-Nutrient Hair Proteinizer, Leave-in Reconstructor, Instant Hydration, Protein Conditioner Spray (w/ Sleek Comb) UV+ Color Protection, 100% Vegan (3.4 OUNCE TRAVEL SIZE)</t>
  </si>
  <si>
    <t>B08B5H2PFD</t>
  </si>
  <si>
    <t>OneTouch Ultra Plus Flex™ meter</t>
  </si>
  <si>
    <t>OneTouch Ultra Plus Flex Value Diabetes Testing Kit | Blood Sugar Test Kit Includes Blood Glucose Meter, Lancing Device, Lancets, OneTouch Ultra Plus Diabetic Test Strips, &amp; Carrying Case | Blood Glucose Monitor Kit</t>
  </si>
  <si>
    <t>B0BGQRD5QM</t>
  </si>
  <si>
    <t>127.23%</t>
  </si>
  <si>
    <t>US-POR-2200017</t>
  </si>
  <si>
    <t>OneTouch Ultra Plus Test Strips for Diabetes Value Pack - 60 Strips | Diabetic Test Strips for Blood Sugar Monitor | Self Glucose Testing | Only Works with OneTouch Ultra Plus Flex Meter)</t>
  </si>
  <si>
    <t>B0BGQN3SW7</t>
  </si>
  <si>
    <t>31.77%</t>
  </si>
  <si>
    <t>OneTouch Verio Flex® meter</t>
  </si>
  <si>
    <t>OneTouch Verio Blood Glucose Flex System {Meter Only}</t>
  </si>
  <si>
    <t>B07G1SQ35B</t>
  </si>
  <si>
    <t>19.15%</t>
  </si>
  <si>
    <t>US-POR-2100029</t>
  </si>
  <si>
    <t>OneTouch Verio Reflect Blood Glucose Meter | Monitor For Sugar Test Kit Includes Monitor, Lancing Device, 10 Sterile Lancets, and Carrying Case</t>
  </si>
  <si>
    <t>B08FXTPCGG</t>
  </si>
  <si>
    <t>15.35%</t>
  </si>
  <si>
    <t>OneTouch Verio Flex Blood Glucose Meter For Sugar Test Kit | Includes Blood Glucose Monitor, Lancing Device, 10 Sterile Lancets, and Carrying Case</t>
  </si>
  <si>
    <t>B08DGZCPSW</t>
  </si>
  <si>
    <t>11.50%</t>
  </si>
  <si>
    <t>OneTouch Verio® Supplies Kit</t>
  </si>
  <si>
    <t>OneTouch Verio Test Strips and OneTouch Delica Plus Lancets For Diabetes Testing | 60-Count Value Pack (30 Lancets &amp; 30 Test Strips) | Diabetic Supplies For Blood Sugar Test Kit</t>
  </si>
  <si>
    <t>B08PVZKVL4</t>
  </si>
  <si>
    <t>-57.10%</t>
  </si>
  <si>
    <t>US-POR-2100026</t>
  </si>
  <si>
    <t>Replacement USB Charger Charging Cable Power Cord for OneTouch Verio IQ Blood Glucose Monitoring System Meter,OneTouch Verio Flex Orbic Journey V,Orbic Slim,CAT S60 S41 S42 S31,Freestyle Libre Reader</t>
  </si>
  <si>
    <t>B0CFR1VLFJ</t>
  </si>
  <si>
    <t>-57.73%</t>
  </si>
  <si>
    <t>Covidien® Curity Abdominal Pad</t>
  </si>
  <si>
    <t>Covidien Curity Abdominal Pads with Wet Proof Barrier, 8 Inch X 10 Inch, Sterile, 18-Count (Pack of 12)</t>
  </si>
  <si>
    <t>B00L4XM172</t>
  </si>
  <si>
    <t>0.38</t>
  </si>
  <si>
    <t>27,392.11%</t>
  </si>
  <si>
    <t>6156838666392</t>
  </si>
  <si>
    <t>Covidien Curity Abdominal Pads with Wet Proof Barrier, 8 Inch X 10 Inch , Sterile, (Case of 216)</t>
  </si>
  <si>
    <t>B00IODXZF2</t>
  </si>
  <si>
    <t>23,157.89%</t>
  </si>
  <si>
    <t>Covidien 9192A Curity Abdominal Pads with Wet Proof Barrier, Sterile, 7-1/2" x 8" Size (Pack of 216)</t>
  </si>
  <si>
    <t>B01BQA2BGS</t>
  </si>
  <si>
    <t>14,031.58%</t>
  </si>
  <si>
    <t>Covidien® Telfa Adhesive Island Dressing 2 x 3.75in</t>
  </si>
  <si>
    <t>Kendall Healthcare Telfa Adhesive Island Dressing 4" W x 14" L (Box of 25 Each)</t>
  </si>
  <si>
    <t>B00JWS6UEG</t>
  </si>
  <si>
    <t>0.39</t>
  </si>
  <si>
    <t>9,692.31%</t>
  </si>
  <si>
    <t>6156963872920</t>
  </si>
  <si>
    <t>Covidien® Telfa Adhesive Dressing 2 x 3in</t>
  </si>
  <si>
    <t>COVIDIEN 7541 Telfa Adhesive Island Dressing, Sterile 1's in Peel-Back Package, 4" x 8" (Pack of 25)</t>
  </si>
  <si>
    <t>B00KJ75ISS</t>
  </si>
  <si>
    <t>7,535.90%</t>
  </si>
  <si>
    <t>6156955386008</t>
  </si>
  <si>
    <t>MCK60172000 - Adhesive Dressing Telfa 2 X 3 Inch 100% Cotton Rectangle Clear Sterile</t>
  </si>
  <si>
    <t>B000SOX97E</t>
  </si>
  <si>
    <t>5,830.77%</t>
  </si>
  <si>
    <t>Telfa Adhesive Island Wound Dressing 4" x 4" - Box of 25</t>
  </si>
  <si>
    <t>B00JJOE6J4</t>
  </si>
  <si>
    <t>5,779.49%</t>
  </si>
  <si>
    <t>Mack's® Pillow Soft® Silicone Putty Ear Plugs</t>
  </si>
  <si>
    <t>Mack's Pillow Soft Silicone Earplugs - 200 Pair Dispenser - The Original Moldable Silicone Putty Ear Plugs for Sleeping, Snoring, Swimming, Travel, Concerts and Studying (Beige) | Made in USA</t>
  </si>
  <si>
    <t>B00MHPOK02</t>
  </si>
  <si>
    <t>2.73</t>
  </si>
  <si>
    <t>5,393.41%</t>
  </si>
  <si>
    <t>6177638711448</t>
  </si>
  <si>
    <t>Mack's Pillow Soft Silicone Earplugs - 200 Pair Dispenser - The Original Moldable Silicone Putty Ear Plugs for Sleeping, Snoring, Swimming, Travel, Concerts and Studying (Orange) | Made in USA</t>
  </si>
  <si>
    <t>B002MYE2OM</t>
  </si>
  <si>
    <t>5,393.04%</t>
  </si>
  <si>
    <t>COVIDIEN Covidien 7540 Telfa Adhesive Island Dressing, Sterile 1's in Peel-Back Package, 4" x 5" (Pack of 25)</t>
  </si>
  <si>
    <t>B00KJ75HVG</t>
  </si>
  <si>
    <t>5,238.46%</t>
  </si>
  <si>
    <t>7540 Dressing Telfa Island Wound LF St Gauze 4x5" White Adhesive 25 Per Box Part No. 7540 by- Kendall Company</t>
  </si>
  <si>
    <t>B004YNPAIQ</t>
  </si>
  <si>
    <t>5,235.90%</t>
  </si>
  <si>
    <t>Baby Love® Baby Wipes Soothing Aloe Vera 72ct</t>
  </si>
  <si>
    <t>MED PRIDE Unscented Baby Wipes Bulk [24 Packs x 80 Wipes=1920 Wipes Total]- Alcohol-Free Baby Wipes With Soothing Aloe Vera &amp; Vitamin E- Extra Soft &amp; Strong, Paraben-Free, Non-Irritating</t>
  </si>
  <si>
    <t>B06XVMBSSR</t>
  </si>
  <si>
    <t>1.0</t>
  </si>
  <si>
    <t>4,899.00%</t>
  </si>
  <si>
    <t>6182806454424</t>
  </si>
  <si>
    <t>Covidien Adhesive Dressing Telfa 100% Cotton 2 X 3" Rectangle Clear (#6017, Sold Per Box)</t>
  </si>
  <si>
    <t>B00YWJODJE</t>
  </si>
  <si>
    <t>4,810.26%</t>
  </si>
  <si>
    <t>Covidien Adhesive Dressing Telfa 2 X 3 Inch Film / Cotton Rectangle White Sterile</t>
  </si>
  <si>
    <t>B014I0XV4O</t>
  </si>
  <si>
    <t>Curity Abdominal Pad</t>
  </si>
  <si>
    <t>B01MFGZHQO</t>
  </si>
  <si>
    <t>4,715.79%</t>
  </si>
  <si>
    <t>Covidien 6017 Telfa Adhesive Dressing, Sterile 1's in Peel-Back Package, 2" x 3" (Pack of 100)</t>
  </si>
  <si>
    <t>B00KJ6WXX2</t>
  </si>
  <si>
    <t>4,315.38%</t>
  </si>
  <si>
    <t>Purell® Advanced Hand Sanitizer Refreshing Gel 2fl. oz.</t>
  </si>
  <si>
    <t>Purell Advanced Hand Sanitizer Refreshing Gel, Clean Scent, 1 fl oz Travel Size flip-Cap Bottle (Pack of 72) - 3901-72-CMR</t>
  </si>
  <si>
    <t>B085W55NKB</t>
  </si>
  <si>
    <t>1.99</t>
  </si>
  <si>
    <t>3,484.92%</t>
  </si>
  <si>
    <t>6219520770200</t>
  </si>
  <si>
    <t>Covidien 9194A Curity Abdominal Pads, Sterile, 8" x 10" (Pack of 18)</t>
  </si>
  <si>
    <t>B00NSPKY46</t>
  </si>
  <si>
    <t>3,463.16%</t>
  </si>
  <si>
    <t>Covidien 9190A Curity Abdominal Pads, Sterile, 5" x 9" (Pack of 36)</t>
  </si>
  <si>
    <t>B00NSPKYQE</t>
  </si>
  <si>
    <t>3,284.21%</t>
  </si>
  <si>
    <t>CURITY Abdominal Pads, Curity Abd Pad Strl 5X9 in, (1 Box, 36 Each)</t>
  </si>
  <si>
    <t>B007AZ4IP6</t>
  </si>
  <si>
    <t>3,152.63%</t>
  </si>
  <si>
    <t>COVIDIEN Abdominal Pad Curity 7 1/2 X 8" #7197D</t>
  </si>
  <si>
    <t>B00YWJOD8A</t>
  </si>
  <si>
    <t>3,134.21%</t>
  </si>
  <si>
    <t>Telfa Adhesive Island Dressings, 2x3.75 Sterile Latex Free Tape &amp; Drsg in 1, 50 ea</t>
  </si>
  <si>
    <t>B00BCOIWX0</t>
  </si>
  <si>
    <t>2,974.36%</t>
  </si>
  <si>
    <t>PURELL Advanced Hand Sanitizer Refreshing Gel, Clean Scent, 12 fl oz Pump Bottle (Pack of 12) - 3659-12</t>
  </si>
  <si>
    <t>B0036Z0YO8</t>
  </si>
  <si>
    <t>2,941.21%</t>
  </si>
  <si>
    <t>Purell Advanced Hand Sanitizer Refreshing Gel, Clean Scent, 1 fl oz Travel Size Flip Cap Bottle with JELLY WRAP Carrier (Pack of 36) – 3900-36-WRP</t>
  </si>
  <si>
    <t>B00CX21P70</t>
  </si>
  <si>
    <t>2,864.32%</t>
  </si>
  <si>
    <t>Pedia-Lax® Glycerin Suppositories</t>
  </si>
  <si>
    <t>Fleet Pedia-Lax Liquid Glycerin Suppositories 6 Each (Pack of 12)</t>
  </si>
  <si>
    <t>B01IAI4QQ2</t>
  </si>
  <si>
    <t>2,711.72%</t>
  </si>
  <si>
    <t>5277915611288</t>
  </si>
  <si>
    <t>PreserVision AREDS Formula Soft Gels</t>
  </si>
  <si>
    <t>PreserVision AREDS 2 Vitamin &amp; Mineral Supplement, Soft Gels 120 ea (Pack of 12)</t>
  </si>
  <si>
    <t>B01IAINANW</t>
  </si>
  <si>
    <t>19.69</t>
  </si>
  <si>
    <t>2,646.37%</t>
  </si>
  <si>
    <t>5240260133016</t>
  </si>
  <si>
    <t>Kleenex® Anti-Viral 3-Ply Tissue 60ct.</t>
  </si>
  <si>
    <t>Kleenex KCC25836CT Anti-Viral Facial Tissue, 3-Ply, 68 Sheets/Box, 27 Boxes/Carton (Pack of 27)</t>
  </si>
  <si>
    <t>B0068IUH9C</t>
  </si>
  <si>
    <t>2.59</t>
  </si>
  <si>
    <t>2,560.62%</t>
  </si>
  <si>
    <t>6219433214104</t>
  </si>
  <si>
    <t>Bulkee II Sterile Super Fluff Sponge 6 x 6.75in</t>
  </si>
  <si>
    <t>Medline NON25853 Bulkee Sterile Diagonal Super Fluff Sponge, , 6" x 6.75" (Pack of 600)</t>
  </si>
  <si>
    <t>B00LOL31KU</t>
  </si>
  <si>
    <t>8.85</t>
  </si>
  <si>
    <t>2,332.66%</t>
  </si>
  <si>
    <t>6156929368216</t>
  </si>
  <si>
    <t>Halls® Relief Honey Lemon Cough Drops</t>
  </si>
  <si>
    <t>HALLS Relief Honey Lemon Sugar Free Cough Drops, Economy Pack, 70 Count (Pack of 12) (840 Total Drops)</t>
  </si>
  <si>
    <t>B079HF9B43</t>
  </si>
  <si>
    <t>3.09</t>
  </si>
  <si>
    <t>1,884.79%</t>
  </si>
  <si>
    <t>6158429159576</t>
  </si>
  <si>
    <t>Mom &amp; World Natural 98% Pure Water Baby Wipes, Plant Based , 3X Soothing With Aloe Vera, Calendula &amp; Cucumber, pH Balanced, Extra Thick | Extra Moist, 72 N Wipes</t>
  </si>
  <si>
    <t>B09VDBCF2Z</t>
  </si>
  <si>
    <t>1,840.00%</t>
  </si>
  <si>
    <t>Colgate® Regular Flavor Cavity Protection Toothpaste 1oz.</t>
  </si>
  <si>
    <t>Colgate Cavity Protection Toothpaste with Fluoride, Great Regular Flavor, 1 Ounce (Pack of 24)</t>
  </si>
  <si>
    <t>B01BNE0HBS</t>
  </si>
  <si>
    <t>1.06</t>
  </si>
  <si>
    <t>1,790.57%</t>
  </si>
  <si>
    <t>6167620321432</t>
  </si>
  <si>
    <t>Reach® Mint Waxed Floss</t>
  </si>
  <si>
    <t>Reach Waxed Dental Floss Bundle | Effective Plaque Removal, Extra Wide Cleaning Surface | Shred Resistance &amp; Tension, Slides Smoothly &amp; Easily, PFAS FREE | Mint Flavored, 200 YD, 6pk</t>
  </si>
  <si>
    <t>B001E96PA0</t>
  </si>
  <si>
    <t>1.56</t>
  </si>
  <si>
    <t>1,630.13%</t>
  </si>
  <si>
    <t>6166112862360</t>
  </si>
  <si>
    <t>Dr. Scholl's® Orthotics for Arthritis Pain Men's Size 8-12</t>
  </si>
  <si>
    <t>Dr. Scholl's Heavy Duty Support Pain Relief Orthotics, Designed for Men Over 200lbs with Technology to Distribute Weight and Absorb Shock with Every Step (for Men's 8-14) (Pack of 12) Blue</t>
  </si>
  <si>
    <t>B0BVGTZ432</t>
  </si>
  <si>
    <t>11.4</t>
  </si>
  <si>
    <t>1,617.89%</t>
  </si>
  <si>
    <t>6209381171352</t>
  </si>
  <si>
    <t>Dr. Scholl’s Plantar Fasciitis Pain Relief Orthotics for Men's Trim to Fit: 8-13 (Pack of 12)</t>
  </si>
  <si>
    <t>B0BW3TFBJ4</t>
  </si>
  <si>
    <t>1,535.79%</t>
  </si>
  <si>
    <t>Medline NON25853 Bulkee Sterile Diagonal Super Fluff Sponge, 6" x 6.75" (Pack of 600)</t>
  </si>
  <si>
    <t>B000K6J37U</t>
  </si>
  <si>
    <t>1,504.07%</t>
  </si>
  <si>
    <t>HALLS Relief Honey Lemon Cough Drops, Economy Pack, 12 Packs of 80 Drop Bags (960 Total Drops)</t>
  </si>
  <si>
    <t>B00IO2H3DS</t>
  </si>
  <si>
    <t>1,500.00%</t>
  </si>
  <si>
    <t>BAND-AID® Hurt-Free Wrap</t>
  </si>
  <si>
    <t>Johnson and Johnson Band-Aid Medium 2 in.Hurt-Free Wrap 2.3 yd. Roll - 24 per case.</t>
  </si>
  <si>
    <t>B01HUNIAN8</t>
  </si>
  <si>
    <t>7.23</t>
  </si>
  <si>
    <t>1,453.94%</t>
  </si>
  <si>
    <t>6146880471192</t>
  </si>
  <si>
    <t>GoodSense® Black Cherry Sugar Free Cough Drops 25ct</t>
  </si>
  <si>
    <t>HALLS Relief Black Cherry Sugar Free Cough Drops, 12 Packs of 25 Drops (300 Total Drops) 25 Count</t>
  </si>
  <si>
    <t>B003WOYK7U</t>
  </si>
  <si>
    <t>2.29</t>
  </si>
  <si>
    <t>1,404.80%</t>
  </si>
  <si>
    <t>6158551548056</t>
  </si>
  <si>
    <t>Reach Mint Waxed Floss, 200 Yards, Pack of 5</t>
  </si>
  <si>
    <t>B003LZQXJS</t>
  </si>
  <si>
    <t>1,389.10%</t>
  </si>
  <si>
    <t>Johnson's® Aloe &amp; Vitamin E Powder</t>
  </si>
  <si>
    <t>JOHNSON'S Aloe &amp; Vitamin E Baby Powder 15 oz (Pack of 6)</t>
  </si>
  <si>
    <t>B01M0JPO2O</t>
  </si>
  <si>
    <t>1,288.03%</t>
  </si>
  <si>
    <t>6180223484056</t>
  </si>
  <si>
    <t>Prince Of Peace Ginger Chews 4oz.</t>
  </si>
  <si>
    <t>Prince of Peace Ginger Chews Candy Bundle — Original, Lemon, Orange, Mango, Lychee and Peanut Butter Flavors — 100% Natural, Vegan and Gluten-Free Candies, Pack of 6, 4oz (113g)</t>
  </si>
  <si>
    <t>B086VPGGVN</t>
  </si>
  <si>
    <t>1.9</t>
  </si>
  <si>
    <t>1,278.95%</t>
  </si>
  <si>
    <t>6157145931928</t>
  </si>
  <si>
    <t>O'Keeffe's Skin Repair Body Lotion 7oz.</t>
  </si>
  <si>
    <t>O'Keeffe's Skin Repair Body Lotion and Dry Skin Moisturizer, 12ounce Pump Bottle, (Pack of 8)</t>
  </si>
  <si>
    <t>B01M9GPO7I</t>
  </si>
  <si>
    <t>9.09</t>
  </si>
  <si>
    <t>1,268.43%</t>
  </si>
  <si>
    <t>6162316132504</t>
  </si>
  <si>
    <t>Phisoderm Anti-Blemish Gel Cleanser 6oz.</t>
  </si>
  <si>
    <t>Phisoderm Anti-Blemish Gel Cleanser 6 oz (Pack of 12)</t>
  </si>
  <si>
    <t>B01IA9888I</t>
  </si>
  <si>
    <t>4.99</t>
  </si>
  <si>
    <t>1,214.03%</t>
  </si>
  <si>
    <t>6160709157016</t>
  </si>
  <si>
    <t>Crest® Pro-Health Sensitive + Enamel Shield Toothpaste 4.6oz.</t>
  </si>
  <si>
    <t>Crest Pro-Health Sensitive &amp; Enamel Shield Toothpaste, 4.6oz (Pack of 12) (Packaging May Vary)</t>
  </si>
  <si>
    <t>B06XC4Z1KV</t>
  </si>
  <si>
    <t>4.33</t>
  </si>
  <si>
    <t>1,188.68%</t>
  </si>
  <si>
    <t>6167721017496</t>
  </si>
  <si>
    <t>Pedia-Lax Laxative Liquid Glycerin Suppositories for Kids, Ages 2-5, 6 CT (5 Pack)</t>
  </si>
  <si>
    <t>B01IAI4AJU</t>
  </si>
  <si>
    <t>1,168.13%</t>
  </si>
  <si>
    <t>Fisherman's Friend® Original Extra Strength Menthol Cough Suppressant Lozenges 20ct.</t>
  </si>
  <si>
    <t>Fisherman's Friend Cough Drops, Cough Suppressant and Sore Throat Lozenges, Original Extra Strong, 10mg Menthol, 480 Drops (24 Packs of 20)</t>
  </si>
  <si>
    <t>B000UDAG5Q</t>
  </si>
  <si>
    <t>2.13</t>
  </si>
  <si>
    <t>1,156.34%</t>
  </si>
  <si>
    <t>6223282634904</t>
  </si>
  <si>
    <t>Colgate Cavity Protection Toothpaste Great Regular Flavor 1 oz (Pack of 12)</t>
  </si>
  <si>
    <t>B00FD89UIW</t>
  </si>
  <si>
    <t>1,148.11%</t>
  </si>
  <si>
    <t>Reach Dental Floss, Waxed, Mint, 200 Yard (Pack of 4)</t>
  </si>
  <si>
    <t>B00L56MEA2</t>
  </si>
  <si>
    <t>1,141.03%</t>
  </si>
  <si>
    <t>Kleenex Anti-Viral 3-Ply Facial Tissue, 60 Count (Pack of 12)</t>
  </si>
  <si>
    <t>B0184SFSMO</t>
  </si>
  <si>
    <t>1,135.14%</t>
  </si>
  <si>
    <t>Kleenex Anti-Viral 3-Ply Facial Tissue - Cube Boxes (12 Pack, 60 tissues)</t>
  </si>
  <si>
    <t>B08258ZK32</t>
  </si>
  <si>
    <t>Apex Oral Syringe 10ml.</t>
  </si>
  <si>
    <t>Easy Glide 10ml 10cc Oral Syringe, Luer Slip, Caps Included, Great for Oral Medicine and Home Care, 100 Count</t>
  </si>
  <si>
    <t>B08FVKN4M4</t>
  </si>
  <si>
    <t>1.79</t>
  </si>
  <si>
    <t>1,128.49%</t>
  </si>
  <si>
    <t>6197942059160</t>
  </si>
  <si>
    <t>GoodSense® ClearLax Laxative Powder</t>
  </si>
  <si>
    <t>Amazon Basic Care ClearLax Polyethylene Glycol 3350 Powder for Solution, Osmotic Laxative, Softens Stool, Relieves Occasional Constipation, Unflavored, 0.5 Oz (Pack of 100)</t>
  </si>
  <si>
    <t>B07WMZ38Z8</t>
  </si>
  <si>
    <t>6.63</t>
  </si>
  <si>
    <t>1,110.71%</t>
  </si>
  <si>
    <t>6226730582168</t>
  </si>
  <si>
    <t>Afrin Original Nasal Spray</t>
  </si>
  <si>
    <t>Afrin Original Nasal Spray &amp; Decongestant Pack of 9</t>
  </si>
  <si>
    <t>B071H4JKQT</t>
  </si>
  <si>
    <t>1,075.22%</t>
  </si>
  <si>
    <t>5240998068376</t>
  </si>
  <si>
    <t>Germ-X® Original Moisturizing Hand Sanitizer</t>
  </si>
  <si>
    <t>Germ-X Original Hand Sanitizer, Back to School Supplies, Non-Drying Moisturizing Gel with Vitamin E, Instant and No Rinse Formula, Large Family-Size Flip Top Bottle, 32 Fl Oz (Pack of 4)</t>
  </si>
  <si>
    <t>B085V653L5</t>
  </si>
  <si>
    <t>2.05</t>
  </si>
  <si>
    <t>1,064.88%</t>
  </si>
  <si>
    <t>6219487183000</t>
  </si>
  <si>
    <t>Mack's Pillow Soft Silicone Earplugs - 6 Pair (Pack of 8), Value Pack – The Original Moldable Silicone Putty Ear Plugs for Sleeping, Snoring, Swimming, Travel, Concerts and Studying</t>
  </si>
  <si>
    <t>B010SCOTQK</t>
  </si>
  <si>
    <t>1,060.44%</t>
  </si>
  <si>
    <t>O'Keeffe's® Cooling Relief Lip Repair</t>
  </si>
  <si>
    <t>O'Keeffe's Cooling Relief Lip Repair Lip Balm for Dry, Cracked Lips, Stick, (Pack of 10)</t>
  </si>
  <si>
    <t>B01M3VNOIM</t>
  </si>
  <si>
    <t>4.59</t>
  </si>
  <si>
    <t>1,044.01%</t>
  </si>
  <si>
    <t>6158640251032</t>
  </si>
  <si>
    <t>Halls® Relief Black Cherry Sugar-Free Cough Drops 25ct</t>
  </si>
  <si>
    <t>1,015.21%</t>
  </si>
  <si>
    <t>6158489026712</t>
  </si>
  <si>
    <t>Duracell® AAA CopperTop Alkaline Batteries</t>
  </si>
  <si>
    <t>Duracell Mn2400bkd Coppertop Alkaline Batteries, AAA, 144/Ct</t>
  </si>
  <si>
    <t>B00PV1L00M</t>
  </si>
  <si>
    <t>7.63</t>
  </si>
  <si>
    <t>1,004.59%</t>
  </si>
  <si>
    <t>6206523048088</t>
  </si>
  <si>
    <t>O'Keeffe's Skin Repair Body Lotion and Dry Skin Moisturizer, 7.0 ounce Tube, (Pack of 8)</t>
  </si>
  <si>
    <t>B01M32X7L1</t>
  </si>
  <si>
    <t>1,003.30%</t>
  </si>
  <si>
    <t>Alka-Seltzer Heartburn + Gas Relief Chews Tropical Punch</t>
  </si>
  <si>
    <t>Alka-Seltzer Heartburn + Gas Relief Chews, Tropical Punch 82 ea ( Pack of 4)</t>
  </si>
  <si>
    <t>B07618ZC9B</t>
  </si>
  <si>
    <t>1,002.78%</t>
  </si>
  <si>
    <t>6217720397976</t>
  </si>
  <si>
    <t>Huggies Natural Care Unscented Sensitive Baby Wipes 56ct.</t>
  </si>
  <si>
    <t>Huggies Natural Care Sensitive Baby Wipes, Unscented, 48 Count (Pack of 6)</t>
  </si>
  <si>
    <t>B07M6XVCBY</t>
  </si>
  <si>
    <t>3.19</t>
  </si>
  <si>
    <t>997.18%</t>
  </si>
  <si>
    <t>6182765297816</t>
  </si>
  <si>
    <t>Accu-Chek Glucose Guide Control Solution</t>
  </si>
  <si>
    <t>Accu-Chek Guide Me Glucose Monitor Kit for Diabetic Blood Sugar Testing: Guide Me Meter, 200 Guide Test Strips, and Control Solution</t>
  </si>
  <si>
    <t>B0923FLV2N</t>
  </si>
  <si>
    <t>10.49</t>
  </si>
  <si>
    <t>996.28%</t>
  </si>
  <si>
    <t>4896095830155</t>
  </si>
  <si>
    <t>O'Keeffe's Skin Repair Body Lotion and Dry Skin Moisturizer, 7.0 ounce Tube, (Pack of 9)</t>
  </si>
  <si>
    <t>B01MQ2AUSZ</t>
  </si>
  <si>
    <t>995.49%</t>
  </si>
  <si>
    <t>Central Sales Company Colgate Cavity Protection Fluoride Toothpaste, Great Regular Flavor, Travel Size TSA Approved, White, 1 Ounce (Pack of 2)</t>
  </si>
  <si>
    <t>B0C1MVRDMD</t>
  </si>
  <si>
    <t>992.45%</t>
  </si>
  <si>
    <t>Colgate® Max Fresh® With Breath Strips Cool Mint Toothpaste 6oz.</t>
  </si>
  <si>
    <t>Colgate Max Fresh Whitening Toothpaste Gel, Liquid Gel Toothpaste for Less Mess Dispensing, Toothpaste with Breath Strips, Cool Mint, 4.6 Ounce, 12 Pack</t>
  </si>
  <si>
    <t>B0046OI5L2</t>
  </si>
  <si>
    <t>979.76%</t>
  </si>
  <si>
    <t>6167653253272</t>
  </si>
  <si>
    <t>Old Spice® Original High Endurance Deodorant 3.0oz.</t>
  </si>
  <si>
    <t>Old Spice High Endurance Anti-Perspirant &amp; Deodorant, Original 3 oz (Pack of 10)</t>
  </si>
  <si>
    <t>B01IA9943G</t>
  </si>
  <si>
    <t>5.39</t>
  </si>
  <si>
    <t>961.41%</t>
  </si>
  <si>
    <t>6175913246872</t>
  </si>
  <si>
    <t>10ml Oral Syringe With Cap (100 Pack) | Oral Dispenser Without Needle, Luer Slip Tip | Individually Wrapped Medicine Dropper For Infants &amp; Pets</t>
  </si>
  <si>
    <t>B07SF7ZC8M</t>
  </si>
  <si>
    <t>960.89%</t>
  </si>
  <si>
    <t>10ml Oral Syringes - 100 Pack – Luer Slip Tip, No Needle, Individually Blister Packed - Medicine Administration For Infants, Toddlers and Small Pets (No cover)</t>
  </si>
  <si>
    <t>B07GX34D34</t>
  </si>
  <si>
    <t>Always Thin Daily Liners Regular Absorbency 20ct.</t>
  </si>
  <si>
    <t>Always Thin No Feel Protection Daily Liners Regular Absorbency Unscented, 162 Count - Pack of 2 (324 Count Total)</t>
  </si>
  <si>
    <t>B0039NMC5G</t>
  </si>
  <si>
    <t>1.89</t>
  </si>
  <si>
    <t>957.67%</t>
  </si>
  <si>
    <t>6177903509656</t>
  </si>
  <si>
    <t>Curad® Germ Shield Antimicrobial Gel</t>
  </si>
  <si>
    <t>GermShield Antimicrobial Silver Wound Gel 0.5 ounces (Pack of 12), for topical cuts, wounds, diabetic sores, MRSA, bacteria, fungus, yeast</t>
  </si>
  <si>
    <t>B075KQV8CM</t>
  </si>
  <si>
    <t>930.46%</t>
  </si>
  <si>
    <t>6147918823576</t>
  </si>
  <si>
    <t>HALLS Relief Variety Pack Honey Lemon and Black Cherry Sugar Free Cough Drops, 25 Count (Pack of 6) (150 Total Drops)</t>
  </si>
  <si>
    <t>B07GSTZXL6</t>
  </si>
  <si>
    <t>921.40%</t>
  </si>
  <si>
    <t>Coricidin® HBP Cold &amp; Flu Relief Tablets</t>
  </si>
  <si>
    <t>Coricidin HBP Cold &amp; Flu Relief Tablets 20CT (Pack of 12)</t>
  </si>
  <si>
    <t>B00KOA9BA6</t>
  </si>
  <si>
    <t>10.99</t>
  </si>
  <si>
    <t>919.84%</t>
  </si>
  <si>
    <t>5242462175384</t>
  </si>
  <si>
    <t>Carmex® Classic Medicated Jar Lip Balm 0.25oz</t>
  </si>
  <si>
    <t>Carmex Classic Lip Balm Medicated Jar 0.25oz - Pack of 11</t>
  </si>
  <si>
    <t>B01IADYBF8</t>
  </si>
  <si>
    <t>909.17%</t>
  </si>
  <si>
    <t>6158732165272</t>
  </si>
  <si>
    <t>Fleet Fleet Laxative - Pedia-Lax Liquid Glycerin Suppositories, 6 each (Pack of 4)</t>
  </si>
  <si>
    <t>B0064FKSVG</t>
  </si>
  <si>
    <t>909.16%</t>
  </si>
  <si>
    <t>Accu-Chek Guide Glucose Test Strips Kit for Diabetic Blood Sugar Testing: 200 Test Strips and Control Solution</t>
  </si>
  <si>
    <t>B0923HDBX5</t>
  </si>
  <si>
    <t>900.95%</t>
  </si>
  <si>
    <t>Prince of Peace Ginger Chews 3 Flavor Variety Pack - 4 oz each - Lemon, Mango &amp; Blood Orange - 100% Natural, Gluten Free</t>
  </si>
  <si>
    <t>B0C9L2PBK2</t>
  </si>
  <si>
    <t>899.47%</t>
  </si>
  <si>
    <t>Prince of Peace 100% Natural Ginger Candy (Chews), 2.2lb/1kg</t>
  </si>
  <si>
    <t>B079MFDT7B</t>
  </si>
  <si>
    <t>Phisoderm Anti-Blemish Gel Cleanser 6 oz (Pack of 9)</t>
  </si>
  <si>
    <t>B0167K6PGO</t>
  </si>
  <si>
    <t>887.78%</t>
  </si>
  <si>
    <t>Coricidin HBP Cold &amp; Flu Tablets, 20 ea (Pack of 12)</t>
  </si>
  <si>
    <t>B01IAIL2NM</t>
  </si>
  <si>
    <t>873.61%</t>
  </si>
  <si>
    <t>Gold Bond® Ultimate Comfort Body Powder 10oz.</t>
  </si>
  <si>
    <t>Gold Bond Ult Pwdd Size 10 Oz Gold Bond Ultimate Comfort Body Powder With Aloe, Pack of 12</t>
  </si>
  <si>
    <t>B01IAIER52</t>
  </si>
  <si>
    <t>859.34%</t>
  </si>
  <si>
    <t>6164772749464</t>
  </si>
  <si>
    <t>BD® Home Sharps Container</t>
  </si>
  <si>
    <t>BD Home Sharps Container, 1.4 Quart, Safe Disposal of Needles and Sharps (12 Count),Red</t>
  </si>
  <si>
    <t>B005PGP67Q</t>
  </si>
  <si>
    <t>4.93</t>
  </si>
  <si>
    <t>848.28%</t>
  </si>
  <si>
    <t>4896169558155</t>
  </si>
  <si>
    <t>Old Spice High Endurance Deodorant Solid, Original 3 oz (Pack of 11)</t>
  </si>
  <si>
    <t>B01IADZVVQ</t>
  </si>
  <si>
    <t>844.34%</t>
  </si>
  <si>
    <t>Summer's Eve® Simply Sensitive® On The Go Cleansing Cloths 16ct.</t>
  </si>
  <si>
    <t>Summer's Eve Simply Sensitive Cleansing Cloths On-The-Go for Sensitive Skin, Individually Wrapped,16-Count per pack (12-Packs Total)</t>
  </si>
  <si>
    <t>B013TC521M</t>
  </si>
  <si>
    <t>3.69</t>
  </si>
  <si>
    <t>843.63%</t>
  </si>
  <si>
    <t>6177915666584</t>
  </si>
  <si>
    <t>Ricola Lemon Mint Cough Drops</t>
  </si>
  <si>
    <t>Ricola Herb Throat Drops, LemonMint, 24 Drops (Pack of 12)</t>
  </si>
  <si>
    <t>B000P5237I</t>
  </si>
  <si>
    <t>3.83</t>
  </si>
  <si>
    <t>841.78%</t>
  </si>
  <si>
    <t>6158522417304</t>
  </si>
  <si>
    <t>Colgate Cavity Protection Fluoride Toothpaste, Great Regular Flavor, Travel Size TSA Aproved, 1 Ounce (Pack of 8)</t>
  </si>
  <si>
    <t>B01MDRE6TG</t>
  </si>
  <si>
    <t>841.51%</t>
  </si>
  <si>
    <t>Colgate Cavity Protection Toothpaste Great Regular Flavor 1 oz ( Pack of 10)</t>
  </si>
  <si>
    <t>B01CCTLOK6</t>
  </si>
  <si>
    <t>839.62%</t>
  </si>
  <si>
    <t>Ricola Herb Throat Drops Lemon Mint -24 Count (Pack of 12)</t>
  </si>
  <si>
    <t>B00016XIM0</t>
  </si>
  <si>
    <t>834.73%</t>
  </si>
  <si>
    <t>Curad® Non-Woven Gauze Pads</t>
  </si>
  <si>
    <t>Non-Woven Sterile Gauze Pads 2x2 Pack of 100| 8 ply Gauze Sponges| Individually Packed 2x2 Gauze Pads sterile| Soft and lint-Free Medical Gauze Pads for Enhanced Absorption and First-Aid Wound Care</t>
  </si>
  <si>
    <t>B0BX79SS9R</t>
  </si>
  <si>
    <t>1.39</t>
  </si>
  <si>
    <t>834.53%</t>
  </si>
  <si>
    <t>6147697705112</t>
  </si>
  <si>
    <t>A+D Original Diaper Rash Ointment</t>
  </si>
  <si>
    <t>A+D Original Diaper Rash Ointment - 3 Pack(16 Ounce) 14 Non-Competing</t>
  </si>
  <si>
    <t>B07QXTR635</t>
  </si>
  <si>
    <t>5.89</t>
  </si>
  <si>
    <t>831.24%</t>
  </si>
  <si>
    <t>6180565942424</t>
  </si>
  <si>
    <t>HALLS Relief Honey Lemon Cough Drops, 12 Packs of 30 Drops (360 Total Drops)</t>
  </si>
  <si>
    <t>B0039MM55Y</t>
  </si>
  <si>
    <t>824.27%</t>
  </si>
  <si>
    <t>Duracell® 381/391 Silver Oxide Button Battery</t>
  </si>
  <si>
    <t>Murata 381/391 Battery SR1120/W/SW 1.55V Silver Oxide Watch Button Cell (5 Batteries)</t>
  </si>
  <si>
    <t>B085VXD1CK</t>
  </si>
  <si>
    <t>0.82</t>
  </si>
  <si>
    <t>821.95%</t>
  </si>
  <si>
    <t>6206466982040</t>
  </si>
  <si>
    <t>O'Keeffe's Working Hands Cream 2.7oz.</t>
  </si>
  <si>
    <t>O'Keeffe's K0350002-9 Working Hands Hand Cream in Jar (9 Pack), 3.2 oz</t>
  </si>
  <si>
    <t>B01M7VCXX2</t>
  </si>
  <si>
    <t>8.43</t>
  </si>
  <si>
    <t>820.17%</t>
  </si>
  <si>
    <t>6162159042712</t>
  </si>
  <si>
    <t>GoodSense® Lice Killing Shampoo 4 fl. oz.</t>
  </si>
  <si>
    <t>Nix Lice Killing Crème Rinse Family Pack, 4 Fl Oz Crème Rinse and 2 Nit Combs (Pack of 6)</t>
  </si>
  <si>
    <t>B0C4B8KHXS</t>
  </si>
  <si>
    <t>818.90%</t>
  </si>
  <si>
    <t>6156986908824</t>
  </si>
  <si>
    <t>BAND-AID® Skin Flex Bandage</t>
  </si>
  <si>
    <t>Band-Aid Brand Skin-Flex Adhesive Bandages, Extra Large, 7 Count (Pack of 12)</t>
  </si>
  <si>
    <t>B075Y9C8HW</t>
  </si>
  <si>
    <t>6.33</t>
  </si>
  <si>
    <t>811.85%</t>
  </si>
  <si>
    <t>6132997685400</t>
  </si>
  <si>
    <t>Duracell® 303/357/76 Silver Oxide Button Battery</t>
  </si>
  <si>
    <t>50 Duracell 357 303 A76 PX76 SR44W/SW LR44 AG13 Silver Oxide Battery</t>
  </si>
  <si>
    <t>B013IJ3VUK</t>
  </si>
  <si>
    <t>8.39</t>
  </si>
  <si>
    <t>805.72%</t>
  </si>
  <si>
    <t>6206488117400</t>
  </si>
  <si>
    <t>Ricola Honey Herb Cough Drops 24ct</t>
  </si>
  <si>
    <t>Ricola Honey Herb Cough Suppressant Throat Drops | Naturally Soothing Long-Lasting Relief - 24 Count (Pack of 12) Bags</t>
  </si>
  <si>
    <t>B00016XIMK</t>
  </si>
  <si>
    <t>805.48%</t>
  </si>
  <si>
    <t>6158507704472</t>
  </si>
  <si>
    <t>Pedia-Lax® Liquid Glycerin Suppositories</t>
  </si>
  <si>
    <t>8.49</t>
  </si>
  <si>
    <t>804.12%</t>
  </si>
  <si>
    <t>6117315870872</t>
  </si>
  <si>
    <t>Johnson &amp; Johnson Reach Mint Waxed Dental Floss, 5 Count</t>
  </si>
  <si>
    <t>B00FZNMHZS</t>
  </si>
  <si>
    <t>781.41%</t>
  </si>
  <si>
    <t>Apex Silicone Ear Plugs 2 Pair</t>
  </si>
  <si>
    <t>Silicone Ear Plugs for Noise Reduction 2 Pairs 30dB Highest NRR Ultra Soft Reusable Ear Plugs for Sleeping Noise Cancelling for Work, Travel, Shooting, Sleep Snoring, 8 Ear Tips in XS/S/M/L, Black……</t>
  </si>
  <si>
    <t>B0B1J1FNTS</t>
  </si>
  <si>
    <t>772.93%</t>
  </si>
  <si>
    <t>6197911126168</t>
  </si>
  <si>
    <t>GoodSense® Instant Ice Compress</t>
  </si>
  <si>
    <t>Ever Ready First Aid Disposable Cold Compress Therapy Instant Ice Pack for Injuries 6" x 9" - 24 Pack</t>
  </si>
  <si>
    <t>B0BMGXVSKV</t>
  </si>
  <si>
    <t>3.23</t>
  </si>
  <si>
    <t>765.33%</t>
  </si>
  <si>
    <t>6152090452120</t>
  </si>
  <si>
    <t>Aveeno® Baby Eczema Therapy Soothing Bath Treatment 5 Packets</t>
  </si>
  <si>
    <t>Aveeno Baby Eczema Therapy Soothing Bath Treatment for Relief of Dry, Itchy and Irritated Skin, Made with Soothing Natural Colloidal Oatmeal, 5 ct. ( Pack of 9)</t>
  </si>
  <si>
    <t>B00KOA214Y</t>
  </si>
  <si>
    <t>8.99</t>
  </si>
  <si>
    <t>758.84%</t>
  </si>
  <si>
    <t>6164759117976</t>
  </si>
  <si>
    <t>Accu-Chek Softclix Glucose Monitor Kit for Diabetic Blood Sugar Testing: Guide Me Meter, Softclix Lancing Device &amp; 110 Lancets, 100 Guide Test Strips, and Control Solution (Packaging May Vary)</t>
  </si>
  <si>
    <t>B08GP43SFP</t>
  </si>
  <si>
    <t>757.96%</t>
  </si>
  <si>
    <t>Accu-Chek FastClix Glucose Monitor Kit for Diabetic Blood Sugar Testing: Guide Me Meter, FastClix Lancing Device &amp; 108 Lancets, 100 Guide Test Strips, and Control Solution (Packaging May Vary)</t>
  </si>
  <si>
    <t>B08GNRK2Y8</t>
  </si>
  <si>
    <t>Carmex Classic Lip Balm Medicated Jar, 0.25 oz - Pack of 12</t>
  </si>
  <si>
    <t>B01AVKMW2W</t>
  </si>
  <si>
    <t>751.09%</t>
  </si>
  <si>
    <t>Aspercreme Pain Relieving Creme</t>
  </si>
  <si>
    <t>ASPERCREME Pain Relieving Creme 5 oz (Pack of 6)</t>
  </si>
  <si>
    <t>B01IAI4A9K</t>
  </si>
  <si>
    <t>724.38%</t>
  </si>
  <si>
    <t>6121412657304</t>
  </si>
  <si>
    <t>Advil 200mg Ibuprofen Tablets</t>
  </si>
  <si>
    <t>Advil Ibuprofen 200mg Coated Tablets , 300 CT (Pack of 3)</t>
  </si>
  <si>
    <t>B00EZWUG4O</t>
  </si>
  <si>
    <t>714.94%</t>
  </si>
  <si>
    <t>5248168394904</t>
  </si>
  <si>
    <t>Airborne Original Immune Support Supplement Chewable Tablets 32ct.</t>
  </si>
  <si>
    <t>Airborne Zinc &amp; Vitamin C – Orange Flavored Chewable Tablets (32ct), Gluten Free &amp; Non-GMO Immune Support Supplement, No Color Added, Naturally Flavored, Antioxidants, 1 Tablet Daily (Pack of 4)</t>
  </si>
  <si>
    <t>B08WHMQD7B</t>
  </si>
  <si>
    <t>10.29</t>
  </si>
  <si>
    <t>710.88%</t>
  </si>
  <si>
    <t>5244770287768</t>
  </si>
  <si>
    <t>Apex Medicine Spoon 10ml.</t>
  </si>
  <si>
    <t>Apex Medicine Spoon 10mL (6 Pack)</t>
  </si>
  <si>
    <t>B01JPYEWG4</t>
  </si>
  <si>
    <t>709.35%</t>
  </si>
  <si>
    <t>6197970698392</t>
  </si>
  <si>
    <t>Gold Bond Ult Pwdd Size 10 Oz Gold Bond Ultimate Comfort Body Powder With Aloe</t>
  </si>
  <si>
    <t>B01IAIEOEQ</t>
  </si>
  <si>
    <t>707.61%</t>
  </si>
  <si>
    <t>Colgate Cavity Protection Toothpaste Great Regular Flavor 1 oz (Pack of 2)</t>
  </si>
  <si>
    <t>B0CB673MB6</t>
  </si>
  <si>
    <t>705.66%</t>
  </si>
  <si>
    <t>Aspercreme Pain Relieving Creme - 5 oz, Pack of 5</t>
  </si>
  <si>
    <t>B00CJEPY4W</t>
  </si>
  <si>
    <t>705.06%</t>
  </si>
  <si>
    <t>Reach Mint Waxed Floss 200 Yards (Pack of 2)</t>
  </si>
  <si>
    <t>B0156ZDORO</t>
  </si>
  <si>
    <t>693.59%</t>
  </si>
  <si>
    <t>JOHNSON'S Aloe &amp; Vitamin E Baby Powder 15 oz (Pack of 3)</t>
  </si>
  <si>
    <t>B00G4EQJME</t>
  </si>
  <si>
    <t>683.17%</t>
  </si>
  <si>
    <t>EOS® Strawberry Sorbet Lip Balm</t>
  </si>
  <si>
    <t>Eos Lip Balm Strawberry S Size .25 Oz Eos Lip Balm Strawberry Sorbet,Pack of 8</t>
  </si>
  <si>
    <t>B00EZWS0WY</t>
  </si>
  <si>
    <t>3.99</t>
  </si>
  <si>
    <t>682.96%</t>
  </si>
  <si>
    <t>6216745615512</t>
  </si>
  <si>
    <t>Aura Cacia Lemon Eucalyptus Essential Oil 0.5 oz.</t>
  </si>
  <si>
    <t>Aura Cacia 100% Pure Eucalyptus Essential Oil | GC/MS Tested for Purity | 120 ml (4 fl. oz.) | Eucalyptus globulus</t>
  </si>
  <si>
    <t>B000QE5M26</t>
  </si>
  <si>
    <t>5.63</t>
  </si>
  <si>
    <t>681.35%</t>
  </si>
  <si>
    <t>4885914353803</t>
  </si>
  <si>
    <t>Biotène® Dry Mouth Gentle Mint Moisturizing Spray 1.5fl. oz.</t>
  </si>
  <si>
    <t>Biotene Dry Mouth Moisturizing Spray Gentle Mint 1.5 Oz (Pack of 10)</t>
  </si>
  <si>
    <t>B072899CXM</t>
  </si>
  <si>
    <t>9.73</t>
  </si>
  <si>
    <t>680.99%</t>
  </si>
  <si>
    <t>6166241378456</t>
  </si>
  <si>
    <t>Johnson &amp; Johnson Pure Cornstarch Baby Powder with Soothing Aloe Vera &amp; Vitamin-E ,15 Ounce (6 Pack) (8978449)</t>
  </si>
  <si>
    <t>B01IN5FT7C</t>
  </si>
  <si>
    <t>673.14%</t>
  </si>
  <si>
    <t>HALLS Relief Honey Lemon Sugar Free Cough Drops, 12 Packs of 25 Drops (300 Total Drops)</t>
  </si>
  <si>
    <t>B003WP0L6S</t>
  </si>
  <si>
    <t>668.93%</t>
  </si>
  <si>
    <t>O'Keeffe's Cooling Relief Lip Repair Lip Balm for Dry, Cracked Lips, Stick, (Pack of 7)</t>
  </si>
  <si>
    <t>B01MPYB5SX</t>
  </si>
  <si>
    <t>667.97%</t>
  </si>
  <si>
    <t>EOS® Sweet Mint Lip Balm</t>
  </si>
  <si>
    <t>EOS Lip Balm Sweet Mint Smooth Sphere (Pack of 8)</t>
  </si>
  <si>
    <t>B0021YV3CW</t>
  </si>
  <si>
    <t>667.42%</t>
  </si>
  <si>
    <t>6216784117912</t>
  </si>
  <si>
    <t>Reach Waxed Dental Floss Bundle | Effective Plaque Removal, Extra Wide Cleaning Surface | Shred Resistance &amp; Tension, Slides Smoothly &amp; Easily, PFAS FREE | Mint Flavored, 55 YD, 6pk</t>
  </si>
  <si>
    <t>B014KZLWX4</t>
  </si>
  <si>
    <t>666.67%</t>
  </si>
  <si>
    <t>Alteril Natural Sleep Aid Supplement Tablets 30ct.</t>
  </si>
  <si>
    <t>Alteril All Natural Sleep Aid 60 Tablets (Pack of 4)</t>
  </si>
  <si>
    <t>B01IAIIIIY</t>
  </si>
  <si>
    <t>17.63</t>
  </si>
  <si>
    <t>665.17%</t>
  </si>
  <si>
    <t>5240294539416</t>
  </si>
  <si>
    <t>Apex 7-Day Medium Pill Organizer</t>
  </si>
  <si>
    <t>Apex 7-Day Pill Organizer X-Large 1 Each (Pack of 6)</t>
  </si>
  <si>
    <t>B01IAHY5EQ</t>
  </si>
  <si>
    <t>664.55%</t>
  </si>
  <si>
    <t>6197860565144</t>
  </si>
  <si>
    <t>Pedia-Lax Laxative Liquid Glycerin Suppositories for Kids, Ages 2-5, 6 CT, 3 Pack</t>
  </si>
  <si>
    <t>B002ZG8HAM</t>
  </si>
  <si>
    <t>658.24%</t>
  </si>
  <si>
    <t>Colace® 2-IN-1 Stool Softener + Stimulant Laxative</t>
  </si>
  <si>
    <t>Colace 2-in-1 Stool Softener + Stimulant Laxative, 60 Tablets (Pack of 5)</t>
  </si>
  <si>
    <t>B07GTCBN8M</t>
  </si>
  <si>
    <t>15.89</t>
  </si>
  <si>
    <t>657.96%</t>
  </si>
  <si>
    <t>6119890747544</t>
  </si>
  <si>
    <t>656.96%</t>
  </si>
  <si>
    <t>Ricola Original Natural Herb Cough Drops</t>
  </si>
  <si>
    <t>Ricola Original Natural Herb Cough Drops 2 Bags 130 Drops each.</t>
  </si>
  <si>
    <t>B01IRONTLC</t>
  </si>
  <si>
    <t>656.92%</t>
  </si>
  <si>
    <t>6158530052248</t>
  </si>
  <si>
    <t>Dr. Scholl's® Moleskin Plus Soft Padding Roll</t>
  </si>
  <si>
    <t>Dr. Scholl's Moleskin Plus Padding Roll 1 Each (Pack of 6)</t>
  </si>
  <si>
    <t>B004GEVAGE</t>
  </si>
  <si>
    <t>4.81</t>
  </si>
  <si>
    <t>656.13%</t>
  </si>
  <si>
    <t>6206429069464</t>
  </si>
  <si>
    <t>Colgate Cavity Protection Toothpaste, Regular Flavor, 2.8 oz Tube</t>
  </si>
  <si>
    <t>B006RBZSKS</t>
  </si>
  <si>
    <t>650.00%</t>
  </si>
  <si>
    <t>Purell Advanced Hand Sanitizer Refreshing Gel Design Series, Clean Scent, 8 Fl Oz Pump Bottle (Pack of 4), 9652-06-ECDECO</t>
  </si>
  <si>
    <t>B00U2KYU7C</t>
  </si>
  <si>
    <t>646.23%</t>
  </si>
  <si>
    <t>Ricola Natural Herb Cough Drops 50 Each (Pack of 4)</t>
  </si>
  <si>
    <t>B005FADV5G</t>
  </si>
  <si>
    <t>644.65%</t>
  </si>
  <si>
    <t>Benadryl® Original Strength Itch Stopping Cream 1oz</t>
  </si>
  <si>
    <t>Benadryl Itch Stopping Cream Original Strength 1 oz (Pack of 10)</t>
  </si>
  <si>
    <t>B01IAI1RD2</t>
  </si>
  <si>
    <t>7.39</t>
  </si>
  <si>
    <t>637.48%</t>
  </si>
  <si>
    <t>6149182816408</t>
  </si>
  <si>
    <t>B075MMWQF3</t>
  </si>
  <si>
    <t>627.47%</t>
  </si>
  <si>
    <t>Herbal Throat Drops, Lemon-Mint, Sugar Free Bag Case by Ricola USA (pack of 12 )</t>
  </si>
  <si>
    <t>B001E8DIFQ</t>
  </si>
  <si>
    <t>625.59%</t>
  </si>
  <si>
    <t>Claritin® Tablets 24-Hour</t>
  </si>
  <si>
    <t>Claritin 24 Hour Allergy Medicine, Non-Drowsy Prescription Strength Allergy Relief, Loratadine Antihistamine Tablets For Over 200 Indoor and Outdoor Allergens, Adult Tablets, 100 Count (Pack of 1)</t>
  </si>
  <si>
    <t>B078BBYNLC</t>
  </si>
  <si>
    <t>6.89</t>
  </si>
  <si>
    <t>625.54%</t>
  </si>
  <si>
    <t>5242608156824</t>
  </si>
  <si>
    <t>Curad® Non-Stick Pads</t>
  </si>
  <si>
    <t>Curad Small Non-Stick Pads With Adhesive Tabs 2 Inches X 3 Inches 20 Each (Pack of 3)</t>
  </si>
  <si>
    <t>B004YJ0T68</t>
  </si>
  <si>
    <t>619.21%</t>
  </si>
  <si>
    <t>6147726377112</t>
  </si>
  <si>
    <t>General Medi Sterile Gauze Sponges, 4" x 4" Non-Woven Wound Pads - Individually Wrapped Highly Absorbent Sponges Pads for Cushioning Minor Wounds, Cuts &amp; Burns Wound Care (60 Packs, 120 Pieces Total)</t>
  </si>
  <si>
    <t>B09ZXF3R35</t>
  </si>
  <si>
    <t>618.71%</t>
  </si>
  <si>
    <t>Eucerin® Original Healing Cream</t>
  </si>
  <si>
    <t>Eucerin Original Healing Cream - Fragrance Free, Rich Lotion for Extremely Dry Skin - 2 Ounce (Pack of 6)</t>
  </si>
  <si>
    <t>B000052YNB</t>
  </si>
  <si>
    <t>5.73</t>
  </si>
  <si>
    <t>616.93%</t>
  </si>
  <si>
    <t>6162396414104</t>
  </si>
  <si>
    <t>Ricola Original Natural Herb Cough Drops, 21 Drops (Pack of 12)</t>
  </si>
  <si>
    <t>B000P500U0</t>
  </si>
  <si>
    <t>614.10%</t>
  </si>
  <si>
    <t>Pantene® Pro-V Classic Clean Conditioner 12fl. oz.</t>
  </si>
  <si>
    <t>Pantene Pro-V Classic Clean Conditioner 12 fl oz (Product Size May Vary) (Pack of 3)</t>
  </si>
  <si>
    <t>B003UHZU2I</t>
  </si>
  <si>
    <t>608.93%</t>
  </si>
  <si>
    <t>6177555644568</t>
  </si>
  <si>
    <t>Ricola Original Herb Bag | Cough Suppressant Throat Drops | Naturally Soothing Long-Lasting Relief - 130 Count (Pack of 2)</t>
  </si>
  <si>
    <t>B00A1CSDUQ</t>
  </si>
  <si>
    <t>604.70%</t>
  </si>
  <si>
    <t>Phisoderm Fragrance Free Facial Cleansing Bar 2 pack</t>
  </si>
  <si>
    <t>pHisoderm Facial Skin Cleansing Bar, Fragrance Free, Value Double Pack</t>
  </si>
  <si>
    <t>B00BS8YHXO</t>
  </si>
  <si>
    <t>601.20%</t>
  </si>
  <si>
    <t>6160714268824</t>
  </si>
  <si>
    <t>Prince of Peace Ginger Chews With Lemon, 4 oz. ? Candied Ginger ? Lemon Candy ? Lemon Ginger Chews ? Natural Candy ? 5 Pack</t>
  </si>
  <si>
    <t>B08R5HYCRY</t>
  </si>
  <si>
    <t>601.05%</t>
  </si>
  <si>
    <t>Sun Bum® Original SPF 30 Sunscreen Lip Balm</t>
  </si>
  <si>
    <t>Sun Bum Lip Balm | SPF 30 | 0.15 Ounce Stick | Broad Spectrum UVA, UVB Protection, Hypoallergenic, Paraben Free, Gluten Free, Vegan | The Originals Variety Pack | 7 Pack</t>
  </si>
  <si>
    <t>B07PK4Q733</t>
  </si>
  <si>
    <t>600.00%</t>
  </si>
  <si>
    <t>6244665196696</t>
  </si>
  <si>
    <t>Burt's Bees® Lemon Butter Cuticle Cream 0.60oz.</t>
  </si>
  <si>
    <t>Burt's Bees 100% Natural Lemon Butter Cuticle Cream - 0.6 Ounce Tin (Pack of 6)</t>
  </si>
  <si>
    <t>B01BGIDTPC</t>
  </si>
  <si>
    <t>4.85</t>
  </si>
  <si>
    <t>599.38%</t>
  </si>
  <si>
    <t>6206032773272</t>
  </si>
  <si>
    <t>Purell Advanced Hand Sanitizer, Refreshing Gel, 8 fl oz Sanitizer Table Top Pump Bottles (Pack of 2) - 9652-06-EC2PK</t>
  </si>
  <si>
    <t>B01M4GBIWB</t>
  </si>
  <si>
    <t>590.45%</t>
  </si>
  <si>
    <t>Colgate® Plus Soft Toothbrush</t>
  </si>
  <si>
    <t>Colgate Plus Adult Full Head, Soft Toothbrush, 2-Count (Pack of 4)</t>
  </si>
  <si>
    <t>B001UABZS0</t>
  </si>
  <si>
    <t>2.19</t>
  </si>
  <si>
    <t>589.04%</t>
  </si>
  <si>
    <t>6166254059672</t>
  </si>
  <si>
    <t>Curad® Compact First Aid Kit</t>
  </si>
  <si>
    <t>330 Piece First Aid Kit, Premium Waterproof Compact Trauma Medical Kits for Any Emergencies, Ideal for Home, Office, Car, Travel, Outdoor, Camping, Hiking, Boating (Red)</t>
  </si>
  <si>
    <t>B096X2NK1B</t>
  </si>
  <si>
    <t>6.73</t>
  </si>
  <si>
    <t>583.36%</t>
  </si>
  <si>
    <t>6147911057560</t>
  </si>
  <si>
    <t>Suave® Essentials Sun-Ripened Strawberry Shampoo 30fl. oz.</t>
  </si>
  <si>
    <t>Suave Essentials Sun Ripened Strawberry Shampoo 12 oz - Pack of 2</t>
  </si>
  <si>
    <t>B01FE7TCE8</t>
  </si>
  <si>
    <t>2.99</t>
  </si>
  <si>
    <t>581.27%</t>
  </si>
  <si>
    <t>6176041861272</t>
  </si>
  <si>
    <t>Nexcare Opticlude Eye Patch</t>
  </si>
  <si>
    <t>Nexcare Opticlude Orthoptic Eye Patches Regular 20 Each (Pack of 10)</t>
  </si>
  <si>
    <t>B01IAI4RJI</t>
  </si>
  <si>
    <t>580.82%</t>
  </si>
  <si>
    <t>6147200483480</t>
  </si>
  <si>
    <t>Apex Medicine Spoon 10mL (5 Pack)</t>
  </si>
  <si>
    <t>B01JPYAZI8</t>
  </si>
  <si>
    <t>573.38%</t>
  </si>
  <si>
    <t>Ricola Original Herb Cough Suppressant Throat Drops Stick | Naturally Soothing Long-Lasting Relief - 9 Count (Pack of 20)</t>
  </si>
  <si>
    <t>B0B9VGL159</t>
  </si>
  <si>
    <t>573.37%</t>
  </si>
  <si>
    <t>eos Twinning Lip Balm Bundle- Includes Strawberry Sorbet, Vanilla Bean, Coconut Milk &amp; Sweet Mint Flavors, 2-Pack Sticks, 8 Lip Balms Total</t>
  </si>
  <si>
    <t>B0C34J1B3Q</t>
  </si>
  <si>
    <t>573.18%</t>
  </si>
  <si>
    <t>PetNC® Hip &amp; Joint All Dog Daily Health Chews 90ct.</t>
  </si>
  <si>
    <t>Glucosamine for Dogs - Hip &amp; Joint Supplement for Dog Arthritis Pain Relief - with Chondroitin &amp; MSM - Advanced Daily Natural Mobility Pet Soft Chews for Joints - All Canine Breeds &amp; Sizes - 90 Count</t>
  </si>
  <si>
    <t>B01I5LWQ48</t>
  </si>
  <si>
    <t>4.47</t>
  </si>
  <si>
    <t>570.47%</t>
  </si>
  <si>
    <t>6600498380952</t>
  </si>
  <si>
    <t>Palmer's Cocoa Butter Formula Body Lotion 8.5fl. oz.</t>
  </si>
  <si>
    <t>Palmer's Cocoa Butter Formula Daily Skin Therapy Body Lotion with Vitamin E, 13.5 Fl Oz (Pack of 12)</t>
  </si>
  <si>
    <t>B0772MDKY8</t>
  </si>
  <si>
    <t>567.20%</t>
  </si>
  <si>
    <t>6164779761816</t>
  </si>
  <si>
    <t>Curad Medium Non-Stick Pads 3 Inches X 4 Inches 10 Each (Pack of 4)</t>
  </si>
  <si>
    <t>B004YJ0T5E</t>
  </si>
  <si>
    <t>566.38%</t>
  </si>
  <si>
    <t>Apex Medicine Spoon 10mL (4 Pack)</t>
  </si>
  <si>
    <t>B01JPYA4EI</t>
  </si>
  <si>
    <t>563.31%</t>
  </si>
  <si>
    <t>Arm &amp; Hammer Advance White™ Extreme Whitening Toothpaste 6oz.</t>
  </si>
  <si>
    <t>ARM &amp; HAMMER Advanced White Extreme Whitening Toothpaste, Multi-Pack -Clean Mint - Fluoride Toothpaste (Pack of 12)</t>
  </si>
  <si>
    <t>B01EXEKOZO</t>
  </si>
  <si>
    <t>5.43</t>
  </si>
  <si>
    <t>557.46%</t>
  </si>
  <si>
    <t>6166312485016</t>
  </si>
  <si>
    <t>Fixodent® Plus Scope Denture Adhesive Cream 2oz.</t>
  </si>
  <si>
    <t>Fixodent Control Denture Adhesive Cream Plus Scope Flavor 2 oz (Pack of 10)</t>
  </si>
  <si>
    <t>B01IA98TCI</t>
  </si>
  <si>
    <t>6.53</t>
  </si>
  <si>
    <t>555.28%</t>
  </si>
  <si>
    <t>6167604330648</t>
  </si>
  <si>
    <t>O'Keeffe's Skin Repair Body Lotion and Dry Skin Moisturizer, 7.0 ounce Tube, (Pack of 6)</t>
  </si>
  <si>
    <t>B01MQ5PFWZ</t>
  </si>
  <si>
    <t>554.57%</t>
  </si>
  <si>
    <t>Resinol Medicated Ointment 3.3oz</t>
  </si>
  <si>
    <t>Resinol Medicated Ointment 3 oz (Pack of 6)</t>
  </si>
  <si>
    <t>B01IAI4K3Q</t>
  </si>
  <si>
    <t>12.89</t>
  </si>
  <si>
    <t>552.21%</t>
  </si>
  <si>
    <t>6152493138072</t>
  </si>
  <si>
    <t>Old Spice® Classic Fresh Scent Deodorant 3.25oz.</t>
  </si>
  <si>
    <t>Old Spice Fresh Scent Classic Deodorant 3.25 oz (Pack of 6)</t>
  </si>
  <si>
    <t>B01JVCKFGQ</t>
  </si>
  <si>
    <t>551.39%</t>
  </si>
  <si>
    <t>6175927074968</t>
  </si>
  <si>
    <t>HALLS Relief Honey Lemon Cough Drops, Value Pack, 160 Drops</t>
  </si>
  <si>
    <t>B0762B4TXF</t>
  </si>
  <si>
    <t>550.49%</t>
  </si>
  <si>
    <t>Purell Advanced Hand Sanitizer Refreshing Gel, Clean Scent, 2 fl oz Travel Size Flip Cap Bottle (Pack of 6) – 3155-04-EC</t>
  </si>
  <si>
    <t>B08V9K7F4G</t>
  </si>
  <si>
    <t>550.25%</t>
  </si>
  <si>
    <t>Bayer® Chewable 81 mg Low Dose Aspirin</t>
  </si>
  <si>
    <t>Bayer, Chewable Low Dose Aspirin 81 mg Tablets 36ct Orange, (Pack of 6)</t>
  </si>
  <si>
    <t>B011768ZW0</t>
  </si>
  <si>
    <t>3.79</t>
  </si>
  <si>
    <t>542.22%</t>
  </si>
  <si>
    <t>5248485425304</t>
  </si>
  <si>
    <t>Major® Mintox Maximum Strength Antacid</t>
  </si>
  <si>
    <t>Mintox Maximum Strength Antacid Anti-Gas Liquid Generic for Maalox Max Lemon Flavor 12 oz Per Bottle 6PACK by Major Pharmaceuticals</t>
  </si>
  <si>
    <t>B01AVK92NY</t>
  </si>
  <si>
    <t>6.08</t>
  </si>
  <si>
    <t>538.16%</t>
  </si>
  <si>
    <t>6287591997592</t>
  </si>
  <si>
    <t>Jergens® Original Scent Dry Skin Moisturizer 21fl. oz.</t>
  </si>
  <si>
    <t>Jergens Dry Skin Moisturizer - Original Scent - 32 oz - 2 pk</t>
  </si>
  <si>
    <t>B00JGQAM34</t>
  </si>
  <si>
    <t>8.53</t>
  </si>
  <si>
    <t>535.87%</t>
  </si>
  <si>
    <t>6160895705240</t>
  </si>
  <si>
    <t>Carmex® Classic Medicated Lip Balm 0.35oz</t>
  </si>
  <si>
    <t>Carmex Classic Lip Balm Cherry 0.35oz, Medicated 3 Count Pack (3 Pack)</t>
  </si>
  <si>
    <t>B0787G4GGG</t>
  </si>
  <si>
    <t>533.19%</t>
  </si>
  <si>
    <t>6158728462488</t>
  </si>
  <si>
    <t>Purpose Gentle Cleansing Bar 6oz.</t>
  </si>
  <si>
    <t>Purpose Gentle Cleansing Bar, 6-Ounce Bars (Pack of 6)</t>
  </si>
  <si>
    <t>B001E96M58</t>
  </si>
  <si>
    <t>531.66%</t>
  </si>
  <si>
    <t>6160843735192</t>
  </si>
  <si>
    <t>Aveeno® Daily Moisturizing Body Wash 12fl. oz.</t>
  </si>
  <si>
    <t>AVEENO Active Naturals Daily Moisturizing Body Wash 18 fl oz (Pack of 6)</t>
  </si>
  <si>
    <t>B01IA96I9E</t>
  </si>
  <si>
    <t>9.19</t>
  </si>
  <si>
    <t>530.58%</t>
  </si>
  <si>
    <t>6164760428696</t>
  </si>
  <si>
    <t>FLEET® Liquid Glycerin Suppositories</t>
  </si>
  <si>
    <t>Fleet Liquid Glycerin Suppositories, 4 Count (Pack of 10)</t>
  </si>
  <si>
    <t>B01IAI43XI</t>
  </si>
  <si>
    <t>526.00%</t>
  </si>
  <si>
    <t>5248599982232</t>
  </si>
  <si>
    <t>Benadryl Itch Stopping Cream Original Strength 1 oz (Pack of 9)</t>
  </si>
  <si>
    <t>B01IAI1PAW</t>
  </si>
  <si>
    <t>524.63%</t>
  </si>
  <si>
    <t>Dramamine® All Day Less Drowsy Motion Sickness Relief Tablets 8ct.</t>
  </si>
  <si>
    <t>Dramamine All Day Less Drowsy Motion Sickness Relief, 8 Tablets (Pack of 10)</t>
  </si>
  <si>
    <t>B0CFWS6KG5</t>
  </si>
  <si>
    <t>6.39</t>
  </si>
  <si>
    <t>521.28%</t>
  </si>
  <si>
    <t>6222677606552</t>
  </si>
  <si>
    <t>Foille Medicated First Aid Ointment 1oz.</t>
  </si>
  <si>
    <t>Foille Medicated First Aid Ointment 1 oz (Pack of 7)</t>
  </si>
  <si>
    <t>B01IAI7B8W</t>
  </si>
  <si>
    <t>4.49</t>
  </si>
  <si>
    <t>519.38%</t>
  </si>
  <si>
    <t>6152625324184</t>
  </si>
  <si>
    <t>HALLS Relief Honey Lemon Cough Drops, 20 Packs of 9 Drops (180 Total Drops)</t>
  </si>
  <si>
    <t>B004I8SYB2</t>
  </si>
  <si>
    <t>514.56%</t>
  </si>
  <si>
    <t>eos Smooth Lip Balm Sphere, Strawberry Sorbet 0.25 oz (Pack of 6)</t>
  </si>
  <si>
    <t>B00O86HSJ8</t>
  </si>
  <si>
    <t>513.28%</t>
  </si>
  <si>
    <t>Nexium® 24hr Delayed Release Acid Reducer Capsules 14ct.</t>
  </si>
  <si>
    <t>Nexium 24HR Acid Reducer, Delayed-Release Capsules (14 Capsules, 3 pk.) (3 Pack)</t>
  </si>
  <si>
    <t>B077VMGRFK</t>
  </si>
  <si>
    <t>13.09</t>
  </si>
  <si>
    <t>510.39%</t>
  </si>
  <si>
    <t>6225780441240</t>
  </si>
  <si>
    <t>Neutrogena® Oil-Free Acne Wash 6fl. oz.</t>
  </si>
  <si>
    <t>Neutrogena Oil Free Pink Grapefruit Acne Face Wash, 6.7 fl. oz (Pack of 3) with Neutrogena Body Clear Acne Treatment Body Wash, 3 x 8.5 fl. Oz</t>
  </si>
  <si>
    <t>B08DF213Y5</t>
  </si>
  <si>
    <t>8.83</t>
  </si>
  <si>
    <t>509.51%</t>
  </si>
  <si>
    <t>6160635363480</t>
  </si>
  <si>
    <t>Old Spice Antiperspirant and Deodorant for Men High Endurance Original 3 Oz (Pack of 6)</t>
  </si>
  <si>
    <t>B0017WGHRU</t>
  </si>
  <si>
    <t>500.74%</t>
  </si>
  <si>
    <t>Ricola Honey Lemon with Echinacea Cough Drops 19ct</t>
  </si>
  <si>
    <t>Ricola Cough Suppressant Throat Drops, Honey Lemon with Echinacea, 19 Drops (Pack of 6)</t>
  </si>
  <si>
    <t>B01DWWGHSQ</t>
  </si>
  <si>
    <t>500.52%</t>
  </si>
  <si>
    <t>6158537326744</t>
  </si>
  <si>
    <t>Ayr® Saline Nasal Gel No-Drip Sinus Spray 0.75oz.</t>
  </si>
  <si>
    <t>Ayr Saline Nasal Gel No-Drip Sinus Spray 0.75 oz (Pack of 12)</t>
  </si>
  <si>
    <t>B01IAI649Y</t>
  </si>
  <si>
    <t>13.23</t>
  </si>
  <si>
    <t>500.00%</t>
  </si>
  <si>
    <t>5241034703000</t>
  </si>
  <si>
    <t>Listerine® Original Antiseptic Mouthwash</t>
  </si>
  <si>
    <t>Listerine Original Antiseptic Oral Care Mouthwash to Kill 99% of Germs That Cause Bad Breath, Plaque and Gingivitis, ADA-Accepted Mouthwash, Original Flavor, 1.5 L (Pack of 6)</t>
  </si>
  <si>
    <t>B00CHTYCXI</t>
  </si>
  <si>
    <t>499.00%</t>
  </si>
  <si>
    <t>6167774527640</t>
  </si>
  <si>
    <t>Old Spice® Pure Sport High Endurance Deodorant 3.0oz.</t>
  </si>
  <si>
    <t>Old Spice High Endurance Deodorant for Men, Pure Sport - 3 Oz / 85g x 6 Pack</t>
  </si>
  <si>
    <t>B07VS4ZWMF</t>
  </si>
  <si>
    <t>492.76%</t>
  </si>
  <si>
    <t>6175917375640</t>
  </si>
  <si>
    <t>Pantene® Pro-V Classic Clean Shampoo 12fl. oz.</t>
  </si>
  <si>
    <t>Pantene Pro-v Classic Clean Shampoo, 25 Fl Oz, 1.82 Pound</t>
  </si>
  <si>
    <t>B01N0BT08W</t>
  </si>
  <si>
    <t>5.09</t>
  </si>
  <si>
    <t>489.19%</t>
  </si>
  <si>
    <t>6177552892056</t>
  </si>
  <si>
    <t>Instant Cold Packs with Bandage, 25 Pack Ice Pack for Injuries, Cold Compress for Pain Relief, Swelling, Inflammation, Sprains, Toothache, Perfect for Outdoor Activities, Athletes. 4x6 in</t>
  </si>
  <si>
    <t>B0C6Q1K1HR</t>
  </si>
  <si>
    <t>487.93%</t>
  </si>
  <si>
    <t>Accu-Chek Guide Test Strips</t>
  </si>
  <si>
    <t>Accu-Chek Smart View Test Strips, 100 Count</t>
  </si>
  <si>
    <t>B00CFPDD20</t>
  </si>
  <si>
    <t>26.49</t>
  </si>
  <si>
    <t>485.09%</t>
  </si>
  <si>
    <t>4896210092171</t>
  </si>
  <si>
    <t>Fixodent Control Denture Adhesive Cream Plus Scope Flavor 2 oz (Pack of 8)</t>
  </si>
  <si>
    <t>B00KM5ATQS</t>
  </si>
  <si>
    <t>483.00%</t>
  </si>
  <si>
    <t>DripDrop® ORS Dehydration Relief Electrolyte Powder</t>
  </si>
  <si>
    <t>DripDrop ORS - Electrolyte Powder For Dehydration Relief Fast - For Workout, Sweating, Illness, &amp; Travel Recovery - Watermelon, Berry, Lemon Variety Pack - 32 x 8oz Servings</t>
  </si>
  <si>
    <t>B07NRBN6WG</t>
  </si>
  <si>
    <t>482.58%</t>
  </si>
  <si>
    <t>5240234016920</t>
  </si>
  <si>
    <t>O'Keeffe's Working Hands Cream, 2.7 oz (Pack of 6)</t>
  </si>
  <si>
    <t>B00HA7XFXK</t>
  </si>
  <si>
    <t>481.14%</t>
  </si>
  <si>
    <t>Cara® Standard Size Moist/Dry Heating Pad</t>
  </si>
  <si>
    <t>Cara Heating Pad Moist/Dry King Size With Select Heat 1 Each (Pack of 2)</t>
  </si>
  <si>
    <t>B00I5N5248</t>
  </si>
  <si>
    <t>23.19</t>
  </si>
  <si>
    <t>480.51%</t>
  </si>
  <si>
    <t>6227996835992</t>
  </si>
  <si>
    <t>Nexcare Flexible Clear Tape</t>
  </si>
  <si>
    <t>Nexcare First Aid Flexible Clear Tape 1 Inch X 10 Yards, 2ea (Pack of 12)</t>
  </si>
  <si>
    <t>B01IAI2S6M</t>
  </si>
  <si>
    <t>5.83</t>
  </si>
  <si>
    <t>478.56%</t>
  </si>
  <si>
    <t>6147145695384</t>
  </si>
  <si>
    <t>Fruit Of The Earth Aloe Vera 100% Gel 6oz.</t>
  </si>
  <si>
    <t>Fruit of the Earth Aloe Vera 100% Gel 6 oz (Pack of 6)</t>
  </si>
  <si>
    <t>B00IG0WKKE</t>
  </si>
  <si>
    <t>4.79</t>
  </si>
  <si>
    <t>477.87%</t>
  </si>
  <si>
    <t>6152329560216</t>
  </si>
  <si>
    <t>GoodSense ClearLax, Polyethylene Glycol 3350 Powder for Solution, Osmotic Laxative, 17.9 Ounce (Pack of 3)</t>
  </si>
  <si>
    <t>B00JLACHYM</t>
  </si>
  <si>
    <t>476.32%</t>
  </si>
  <si>
    <t>Nature Made® Potassium Gluconate 550mg Tablets 100ct.</t>
  </si>
  <si>
    <t>Nature Made Potassium Gluconate 550mg, 100 Tablets (Pack of 5)</t>
  </si>
  <si>
    <t>B00ZY5PLQ4</t>
  </si>
  <si>
    <t>5.13</t>
  </si>
  <si>
    <t>474.85%</t>
  </si>
  <si>
    <t>5238381379736</t>
  </si>
  <si>
    <t>Aquaphor Baby Healing Ointment 3oz.</t>
  </si>
  <si>
    <t>Aquaphor Healing Ointment Baby 3 Ounce Tube (89ml) (6 Pack)</t>
  </si>
  <si>
    <t>B00IAJJAXG</t>
  </si>
  <si>
    <t>9.63</t>
  </si>
  <si>
    <t>472.59%</t>
  </si>
  <si>
    <t>6180373856408</t>
  </si>
  <si>
    <t>Accu-Chek Softclix Diabetes Blood Sugar Test Kit for Diabetic Glucose Monitoring: 100 Softclix Lancets, 100 Guide Test Strips, and Control Solution (Packaging May Vary)</t>
  </si>
  <si>
    <t>B0923CRTRN</t>
  </si>
  <si>
    <t>471.97%</t>
  </si>
  <si>
    <t>Accu-Chek FastClix Diabetes Blood Sugar Test Kit for Diabetic Glucose Monitoring: 102 FastClix Lancets, 100 Guide Test Strips, and Control Solution (Packaging May Vary)</t>
  </si>
  <si>
    <t>B0923BNT7H</t>
  </si>
  <si>
    <t>Gold Bond® Medicated Extra Strength Body Powder</t>
  </si>
  <si>
    <t>Gold Bond Body Powder Medicated Extra Strength - 10 oz, Pack of 6, Talc-Free</t>
  </si>
  <si>
    <t>B0141DE6Q0</t>
  </si>
  <si>
    <t>10.33</t>
  </si>
  <si>
    <t>471.64%</t>
  </si>
  <si>
    <t>6164767473816</t>
  </si>
  <si>
    <t>Curad Sterile Non-Adherent Pads (Pack of 100) for gentle wound dressing and absorption without sticking</t>
  </si>
  <si>
    <t>B005EB9SFI</t>
  </si>
  <si>
    <t>467.25%</t>
  </si>
  <si>
    <t>Aquafresh Kids Bubble Mint Fluoride Toothpaste 4.6oz.</t>
  </si>
  <si>
    <t>Aquafresh Kids Fluoride Toothpaste Bubble Mint Pump - 4.6 oz, Pack of 4</t>
  </si>
  <si>
    <t>B078YGM8LZ</t>
  </si>
  <si>
    <t>3.89</t>
  </si>
  <si>
    <t>465.30%</t>
  </si>
  <si>
    <t>6166294266008</t>
  </si>
  <si>
    <t>Sensitive Baby Wipes, Huggies Natural Care Baby Diaper Wipes, Unscented, Hypoallergenic, 99% Purified Water, 2 Refill Packs, 176 Count (Pack of 4) (704 Wipes Total)</t>
  </si>
  <si>
    <t>B0BPWJXKQQ</t>
  </si>
  <si>
    <t>463.64%</t>
  </si>
  <si>
    <t>Aspercreme Pain Relieving Creme, 5 Ounce - Pack of 4</t>
  </si>
  <si>
    <t>B01IAI46A8</t>
  </si>
  <si>
    <t>462.43%</t>
  </si>
  <si>
    <t>Listerine® Total Care Mouthwash</t>
  </si>
  <si>
    <t>Listerine Total Care Mouthwash, 10 Benefit Fluoride Mouthwash for Bad Breath and Enamel Strength, Clean Mint Flavor, 1 Liter (Pack of 2)</t>
  </si>
  <si>
    <t>B09YZBFZD9</t>
  </si>
  <si>
    <t>7.13</t>
  </si>
  <si>
    <t>460.87%</t>
  </si>
  <si>
    <t>7602111119580</t>
  </si>
  <si>
    <t>Aquaphor Baby Advanced Therapy Healing Ointment Skin Protectant, 14 Ounce, (3 Pack)</t>
  </si>
  <si>
    <t>B075XR75SM</t>
  </si>
  <si>
    <t>460.23%</t>
  </si>
  <si>
    <t>Free &amp; Clear™ Shampoo for Sensitive Skin 12fl. oz.</t>
  </si>
  <si>
    <t>Earthview Fragrance Free Shampoo &amp; Bodywash, 32 Fl Oz, All Hair Types- Designed for Environmental Sensitivities (MCS, EI, MI, Sulfate free, SLS free, Sensitive Skin, Unscented, Free &amp; Clear, Naturally Derived, Eco-Friendly, Hypoallergenic)</t>
  </si>
  <si>
    <t>B0BGJLHGZ1</t>
  </si>
  <si>
    <t>4.83</t>
  </si>
  <si>
    <t>458.80%</t>
  </si>
  <si>
    <t>6175993495704</t>
  </si>
  <si>
    <t>ARRID Extra Extra Dry Regular Solid Deodorant 2.6oz.</t>
  </si>
  <si>
    <t>Arrid XX Extra Extra Dry Antiperspirant Deodorant Solid Regular - 2.6 oz, Pack of 4</t>
  </si>
  <si>
    <t>B078YG5QNF</t>
  </si>
  <si>
    <t>4.19</t>
  </si>
  <si>
    <t>458.00%</t>
  </si>
  <si>
    <t>6171433599128</t>
  </si>
  <si>
    <t>Aquaphor Lip Repair Tube 10ml</t>
  </si>
  <si>
    <t>00638-9 Part# 00638-9 - Aquaphor Lip Repair Tube .35oz 6/Pk By Beiersdorf Inc</t>
  </si>
  <si>
    <t>B005FCBI2C</t>
  </si>
  <si>
    <t>5.23</t>
  </si>
  <si>
    <t>456.79%</t>
  </si>
  <si>
    <t>6158735474840</t>
  </si>
  <si>
    <t>Arm &amp; Hammer Advance White Extreme Whitening Toothpaste Clean Mint - 6 Oz- Pack of 8</t>
  </si>
  <si>
    <t>B01IA95TXK</t>
  </si>
  <si>
    <t>456.54%</t>
  </si>
  <si>
    <t>Purpose Gentle Cleansing Bar, Oil Free - 6 oz, Pack of 4</t>
  </si>
  <si>
    <t>B078YFL76W</t>
  </si>
  <si>
    <t>453.56%</t>
  </si>
  <si>
    <t>Eucerin Original Healing Cream, Fragrance Free Body Cream for Dry Skin, 2 Pack of 16 Oz Jars</t>
  </si>
  <si>
    <t>B001FB5IIC</t>
  </si>
  <si>
    <t>450.79%</t>
  </si>
  <si>
    <t>Old Spice High Endurance Deodorant, Original, 3 Ounces (Pack of 5)</t>
  </si>
  <si>
    <t>B07QQ2ZXX8</t>
  </si>
  <si>
    <t>450.46%</t>
  </si>
  <si>
    <t>Sun Bum® CocoBalm Lip Balm</t>
  </si>
  <si>
    <t>Sun Bum CocoBalm | Vegan and Cruelty Free Moisturizing Lip Balm with Aloe and Coconut Oil | Pina Colada (.15 oz) | Pack of 6</t>
  </si>
  <si>
    <t>B07PDSZT79</t>
  </si>
  <si>
    <t>450.13%</t>
  </si>
  <si>
    <t>6244654907544</t>
  </si>
  <si>
    <t>Foille Medicated First Aid Ointment, 1 Ounce (Pack of 6)</t>
  </si>
  <si>
    <t>B001H54TBI</t>
  </si>
  <si>
    <t>449.22%</t>
  </si>
  <si>
    <t>Curad Germ Shield Antimicrobial Gel 0.50 oz (Pack of 5)</t>
  </si>
  <si>
    <t>B076112GKZ</t>
  </si>
  <si>
    <t>447.70%</t>
  </si>
  <si>
    <t>Similasan® Kids Cold &amp; Mucus Relief™ Plus Echinacea</t>
  </si>
  <si>
    <t>Similasan Kids Cold &amp; Mucus Relief plus Echinacea for Immunity Support Syrup Grape Flavor - 4 oz, Pack of 6</t>
  </si>
  <si>
    <t>B0792Q6PSJ</t>
  </si>
  <si>
    <t>8.69</t>
  </si>
  <si>
    <t>447.07%</t>
  </si>
  <si>
    <t>5243567210648</t>
  </si>
  <si>
    <t>O'Keeffe's Cooling Relief Lip Repair Lip Balm for Dry, Cracked Lips, Stick, (Pack of 5)</t>
  </si>
  <si>
    <t>B01M9GPNGE</t>
  </si>
  <si>
    <t>446.62%</t>
  </si>
  <si>
    <t>Colgate Cavity Protection Toothpaste, Creat Regular Flavor, Travel Size 1 oz (28g) - Pack of 4</t>
  </si>
  <si>
    <t>B0BBSJ18NX</t>
  </si>
  <si>
    <t>446.23%</t>
  </si>
  <si>
    <t>Prevagen Regular Strength 10 mg Capsules 30 ct.</t>
  </si>
  <si>
    <t>Prevagen Improves Memory - Regular Strength 10mg, 60 Capsules |3 Pack| Apoaequorin &amp; Vitamin D &amp; Prevagen 7-Day Pill Minder | Brain Supplement for Better Brain Health, Supports Healthy Brain Function</t>
  </si>
  <si>
    <t>B0892V1CLM</t>
  </si>
  <si>
    <t>446.11%</t>
  </si>
  <si>
    <t>4892618489995</t>
  </si>
  <si>
    <t>Always Maxi Size 5 Extra Heavy Unscented Overnight Pads with Wings 20ct.</t>
  </si>
  <si>
    <t>Always Maxi Overnight Pads with Wings, Size 5, Extra Heavy Overnight, Unscented, 72 Count (Pack of 2)</t>
  </si>
  <si>
    <t>B0BV67695R</t>
  </si>
  <si>
    <t>7.69</t>
  </si>
  <si>
    <t>444.60%</t>
  </si>
  <si>
    <t>6177888108696</t>
  </si>
  <si>
    <t>Sundown Vitamin E Oil 2.5fl</t>
  </si>
  <si>
    <t>Sundown Naturals Vitamin E Oil 70,000 IU - 2.5 oz, Pack of 5</t>
  </si>
  <si>
    <t>B078YG3742</t>
  </si>
  <si>
    <t>8.89</t>
  </si>
  <si>
    <t>443.19%</t>
  </si>
  <si>
    <t>6158887780504</t>
  </si>
  <si>
    <t>Colgate® Max Fresh® With Breath Strips Clean Mint Toothpaste 6oz.</t>
  </si>
  <si>
    <t>Colgate Max Fresh Whitening Toothpaste with Mini Breath Strips, Clean Mint, 36 Ounce (Pack of 6)</t>
  </si>
  <si>
    <t>B087HN8T5N</t>
  </si>
  <si>
    <t>440.68%</t>
  </si>
  <si>
    <t>6167667835032</t>
  </si>
  <si>
    <t>Breathe Right® Original Nasal Strips Large/Tan</t>
  </si>
  <si>
    <t>Breathe Right Nasal Strips Original Tan Large - 30 ct, Pack of 6</t>
  </si>
  <si>
    <t>B0792PSKWQ</t>
  </si>
  <si>
    <t>439.66%</t>
  </si>
  <si>
    <t>5241255002264</t>
  </si>
  <si>
    <t>Super Poligrip® Comfort Seal Denture and Partials Adhesive Strips 40ct.</t>
  </si>
  <si>
    <t>Super Poligrip Comfort Seal Denture and Partials Adhesive Strips, 40 Count (Pack of 5)</t>
  </si>
  <si>
    <t>B01IA98N5G</t>
  </si>
  <si>
    <t>6.09</t>
  </si>
  <si>
    <t>439.41%</t>
  </si>
  <si>
    <t>6167499407512</t>
  </si>
  <si>
    <t>Schiff Move Free joint Health Advanced Plus MSM Tablets</t>
  </si>
  <si>
    <t>Move Free Advanced Plus MSM, 120 tablets - Joint Health Supplement with Glucosamine and Chondroitin (Pack of 8)</t>
  </si>
  <si>
    <t>B01IAHZ7GQ</t>
  </si>
  <si>
    <t>30.99</t>
  </si>
  <si>
    <t>438.85%</t>
  </si>
  <si>
    <t>5238434005144</t>
  </si>
  <si>
    <t>BAND-AID® Flexible Fabric All One Size</t>
  </si>
  <si>
    <t>Band-Aid Adhesive Bandages, Flexible Fabric, All One Size 1 X 3, 100 Count (Pack of 3) by Band-Aid</t>
  </si>
  <si>
    <t>B013XFJ2G6</t>
  </si>
  <si>
    <t>438.81%</t>
  </si>
  <si>
    <t>6132891811992</t>
  </si>
  <si>
    <t>Old Spice High Endurance Pure Sport Body Wash 18fl. oz.</t>
  </si>
  <si>
    <t>Old Spice High Endurance Hair &amp; Body Wash for Men, Crisp Scent, 30 FL OZ (Pack of 4)</t>
  </si>
  <si>
    <t>B0BYQD87WS</t>
  </si>
  <si>
    <t>438.63%</t>
  </si>
  <si>
    <t>6164784414872</t>
  </si>
  <si>
    <t>Colgate Max Fresh Toothpaste with Mini Breath Strips, Clean Mint, 6 Ounces (Pack of 6)</t>
  </si>
  <si>
    <t>B0009W7M8W</t>
  </si>
  <si>
    <t>436.07%</t>
  </si>
  <si>
    <t>Curad® Super Absorbent Wound Pads</t>
  </si>
  <si>
    <t>AWD Super Absorbent Wound Non Stick Gauze Pads - Non-Adhesive Bandages for Wounds - 4x4 Gauze Pads, Large Bandages for 1st and 2nd Degree Burns - Wound Care Products, Box of 10 (4"x4")</t>
  </si>
  <si>
    <t>B09LCGZLBC</t>
  </si>
  <si>
    <t>3.73</t>
  </si>
  <si>
    <t>435.92%</t>
  </si>
  <si>
    <t>6147517939864</t>
  </si>
  <si>
    <t>MedVance Super Absorbent Dressing, Non-Adhesive Pads for Wound Care, for Pressure Ulcers &amp; 1st/2nd Degree Burns, Superior Moisture Absorption, Box of 10 dressings (6"x6" Bandage, 5"x5" Pad)</t>
  </si>
  <si>
    <t>B0C8WG8MML</t>
  </si>
  <si>
    <t>Lubriderm Daily Moisture Lotion Fragrance-Free 16fl. oz.</t>
  </si>
  <si>
    <t>Lubriderm Daily Moisture Lotion, Fragrance-Free, 16 Fl. Oz (Pack of 6)</t>
  </si>
  <si>
    <t>B002FTQJOK</t>
  </si>
  <si>
    <t>9.33</t>
  </si>
  <si>
    <t>435.80%</t>
  </si>
  <si>
    <t>6160923852952</t>
  </si>
  <si>
    <t>Nice 'n CLEAN Skin Care Baby Wipes Unscented 56ct (6-Pack) | Ideal for Sensitive Skin | Hypoallergenic, Plastic-Free, Plant-Based Wet Wipes</t>
  </si>
  <si>
    <t>B096W4ZGSR</t>
  </si>
  <si>
    <t>432.60%</t>
  </si>
  <si>
    <t>Huggies Natural Care Sensitive Baby Wipes, Hypoallergenic, 99% Purified Water, 3 Refill Packs (624 Wipes Total) packaging may vary</t>
  </si>
  <si>
    <t>B08QR6V8WR</t>
  </si>
  <si>
    <t>GoodSense® Slant EZ Grip Tweezers</t>
  </si>
  <si>
    <t>BRV MEN Wide Grip Slant Tweezers - German Stainless Steel - Hand-Filed Slanted Tips for Ultra-Precision - Tweezers for Eyebrows and Nose/Ear/Facial Hair - Professional Grade - (Silver)</t>
  </si>
  <si>
    <t>B082RC55P2</t>
  </si>
  <si>
    <t>2.44</t>
  </si>
  <si>
    <t>432.38%</t>
  </si>
  <si>
    <t>6952097808536</t>
  </si>
  <si>
    <t>Fruit Of The Earth 100 % Aloe Vera Gel, 12 oz (Pack of 2) by Fruit of the Earth</t>
  </si>
  <si>
    <t>B01LMNOT00</t>
  </si>
  <si>
    <t>431.94%</t>
  </si>
  <si>
    <t>Eucerin Original Healing Cream, Fragrance Free Body Cream for Dry Skin, 4 Oz Jar, Pack of 3</t>
  </si>
  <si>
    <t>B000052YN9</t>
  </si>
  <si>
    <t>428.62%</t>
  </si>
  <si>
    <t>Apex Eye/Ear Dropper</t>
  </si>
  <si>
    <t>20 Pack Pipettes Dropper liquid droppers 5ml Clear eye dropper Silicone and Plastic Water Droppers with Bulb Tip and Clean Brush</t>
  </si>
  <si>
    <t>B0BXNTSL7H</t>
  </si>
  <si>
    <t>428.57%</t>
  </si>
  <si>
    <t>6197950152856</t>
  </si>
  <si>
    <t>Buf-Puf® Double Sided Body Sponge</t>
  </si>
  <si>
    <t>Buf, Puf Double, Sided Body Sponge (Quantity of 5)</t>
  </si>
  <si>
    <t>B00620UWBY</t>
  </si>
  <si>
    <t>5.99</t>
  </si>
  <si>
    <t>426.88%</t>
  </si>
  <si>
    <t>6164815347864</t>
  </si>
  <si>
    <t>Sun Bum CocoBalm | Vegan and Cruelty Free Moisturizing Lip Balm with Aloe and Coconut Oil | Pina Colada, Ocean Mint, Groove Cherry (.15 oz) | Pack of 6 (2 of Each Flavor)</t>
  </si>
  <si>
    <t>B07PK5HFDZ</t>
  </si>
  <si>
    <t>426.32%</t>
  </si>
  <si>
    <t>Duracell Coppertop AA + AAA Batteries, 56 Count Pack Double A and Triple A Alkaline Battery with Power Boost Ingredients, Long-lasting Power (Ecommerce Packaging)</t>
  </si>
  <si>
    <t>B0B2KWJ252</t>
  </si>
  <si>
    <t>424.12%</t>
  </si>
  <si>
    <t>Old Spice High Endurance Anti-Perspirant &amp; Deodorant, Original 3 oz (Pack of 5)</t>
  </si>
  <si>
    <t>B01IA98MFM</t>
  </si>
  <si>
    <t>423.93%</t>
  </si>
  <si>
    <t>Colgate Max Fresh Liquid Toothpaste with Mini Breath Strips, Cool Mint - 4.6 oz - 3 pk</t>
  </si>
  <si>
    <t>B00J5J679K</t>
  </si>
  <si>
    <t>420.64%</t>
  </si>
  <si>
    <t>B01IAI5BZW</t>
  </si>
  <si>
    <t>419.54%</t>
  </si>
  <si>
    <t>Rolaids® Ultra Strength Antacid Fruit Chewable Tablets 72ct.</t>
  </si>
  <si>
    <t>TUMS Chewable Bites Ultra Strength Antacid Tablets for Heartburn Relief and Acid Reducer Indigestion Relief, Mixed Fruit, 200 Count</t>
  </si>
  <si>
    <t>B0B82S3ZG6</t>
  </si>
  <si>
    <t>5.59</t>
  </si>
  <si>
    <t>418.60%</t>
  </si>
  <si>
    <t>6223270510744</t>
  </si>
  <si>
    <t>Ayr Saline Nasal Gel No-Drip Sinus Spray 0.75 oz (Pack of 10)</t>
  </si>
  <si>
    <t>B01IAI5ZPI</t>
  </si>
  <si>
    <t>418.52%</t>
  </si>
  <si>
    <t>Dawn® Ultra Platinum Dishwashing Liquid 16.2fl. oz.</t>
  </si>
  <si>
    <t>Dawn Ultra Liquid Dishwashing Dish Soap, 3X More Platinum Advanced Power Clean - 24 Fl oz x 3 Count (Total 72 Fl oz)</t>
  </si>
  <si>
    <t>B07DKVMM8W</t>
  </si>
  <si>
    <t>4.13</t>
  </si>
  <si>
    <t>417.92%</t>
  </si>
  <si>
    <t>6220710969496</t>
  </si>
  <si>
    <t>Dove® Cucumber and Green Tea Soap 2pck.</t>
  </si>
  <si>
    <t>Dove Skin Care Beauty Bar For Softer Skin Cucumber And Green Tea More Moisturizing Than Bar Soap 3.75 oz 24 bars</t>
  </si>
  <si>
    <t>B085CM3JK2</t>
  </si>
  <si>
    <t>5.69</t>
  </si>
  <si>
    <t>416.17%</t>
  </si>
  <si>
    <t>7495081787612</t>
  </si>
  <si>
    <t>Curad® Flex-Fabric Finger &amp; Knuckle Bandages 20ct.</t>
  </si>
  <si>
    <t>BAND-AID® Brand Flexible Fabric Bandages Knuckle &amp; Fingertip, 20 Count</t>
  </si>
  <si>
    <t>B00CCPEEKI</t>
  </si>
  <si>
    <t>412.17%</t>
  </si>
  <si>
    <t>6287580561560</t>
  </si>
  <si>
    <t>Slow Fe® Slow Release Iron Supplement 30 Tablets</t>
  </si>
  <si>
    <t>Slow Fe Slow Release Iron, Tablets 30 ea (Pack of 6)</t>
  </si>
  <si>
    <t>B01IAIQXUY</t>
  </si>
  <si>
    <t>12.13</t>
  </si>
  <si>
    <t>411.71%</t>
  </si>
  <si>
    <t>5240459002008</t>
  </si>
  <si>
    <t>BAND-AID® Cushion-Care Gauze Pads</t>
  </si>
  <si>
    <t>BAND-AID® Brand CUSHION-CARE™ Gauze Pads 2in x 2in, 25 count</t>
  </si>
  <si>
    <t>B07BNLVSZN</t>
  </si>
  <si>
    <t>4.89</t>
  </si>
  <si>
    <t>406.54%</t>
  </si>
  <si>
    <t>6134431776920</t>
  </si>
  <si>
    <t>Degree® Shower Clean Dry Protection Antiperspirant Deodorant Stick</t>
  </si>
  <si>
    <t>Degree Women Dry Protection Antiperspirant Deodorant, Shower Clean, 2.6 oz, Pack of 4</t>
  </si>
  <si>
    <t>B0002FC132</t>
  </si>
  <si>
    <t>406.09%</t>
  </si>
  <si>
    <t>6125763068056</t>
  </si>
  <si>
    <t>Duracell® AA CopperTop Alkaline Batteries</t>
  </si>
  <si>
    <t>Duracell Coppertop Alkaline Batteries AA - 48 pk</t>
  </si>
  <si>
    <t>B00E8SG4F0</t>
  </si>
  <si>
    <t>404.33%</t>
  </si>
  <si>
    <t>6206519509144</t>
  </si>
  <si>
    <t>Attends Underwear Extra Absorbency X-Large 14ct.</t>
  </si>
  <si>
    <t>Attends Underwear for Men Incontinence Care with TripleLockTM Protection, Ultimate Absorbency, Large/X-Large, 18 Count (x4)</t>
  </si>
  <si>
    <t>B07ZTRW7FT</t>
  </si>
  <si>
    <t>14.29</t>
  </si>
  <si>
    <t>403.29%</t>
  </si>
  <si>
    <t>6226619039896</t>
  </si>
  <si>
    <t>Dependable Industries 2 TSP (10ml) Calibrated Medicine Spoon Set 2 Pack BPA Free Easy to Read Calibrations Children Adults Seniors</t>
  </si>
  <si>
    <t>B08PDNK6TP</t>
  </si>
  <si>
    <t>402.88%</t>
  </si>
  <si>
    <t>Carefree® Original Regular Pantiliners To Go Fresh Scent 20ct.</t>
  </si>
  <si>
    <t>Carefree Original Regular to-Go Pantiliners, Fresh Scent 20 ea (3 Pack)</t>
  </si>
  <si>
    <t>B074NBNM3W</t>
  </si>
  <si>
    <t>402.79%</t>
  </si>
  <si>
    <t>6177813627032</t>
  </si>
  <si>
    <t>Advil (100 Packets of 2 Capsules) Pain Reliever/Fever Reducer Coated Tablet, Individually Sealed, 200mg Ibuprofen, Temporary Pain Relief, Travel Pack, Greeting Cards Included</t>
  </si>
  <si>
    <t>B07CQBRL84</t>
  </si>
  <si>
    <t>401.70%</t>
  </si>
  <si>
    <t>Dr. Scholl's® Corn &amp; Callus Remover Solution</t>
  </si>
  <si>
    <t>Dr. Scholl's Liquid Corn &amp; Callus Remover (Pack of 6) // Medicated Liquid Removes Corns and Calluses Fast and Cushioning Discs Protects Against Painful Shoe Pressure and Friction</t>
  </si>
  <si>
    <t>B001EPQBBC</t>
  </si>
  <si>
    <t>6.99</t>
  </si>
  <si>
    <t>400.72%</t>
  </si>
  <si>
    <t>6676646068376</t>
  </si>
  <si>
    <t>Ricola Natural Throat Drops Lemon-Mint 3 oz. (Pack of 5)</t>
  </si>
  <si>
    <t>B0029EZTQU</t>
  </si>
  <si>
    <t>398.69%</t>
  </si>
  <si>
    <t>Dr. Scholl's Moleskin Plus Padding Roll 1 Each (Pack of 4)</t>
  </si>
  <si>
    <t>B001EPQ9GY</t>
  </si>
  <si>
    <t>396.47%</t>
  </si>
  <si>
    <t>Prevagen Extra Strength Capsules 20 mg</t>
  </si>
  <si>
    <t>Prevagen Improves Memory - Extra Strength 20mg, 60 Capsules |3 Pack| with Apoaequorin &amp; Vitamin D &amp; Prevagen 7-Day Pill Minder | Brain Supplement for Better Brain Health</t>
  </si>
  <si>
    <t>B0892RWKGV</t>
  </si>
  <si>
    <t>53.99</t>
  </si>
  <si>
    <t>395.07%</t>
  </si>
  <si>
    <t>4892652732555</t>
  </si>
  <si>
    <t>Depend® For Men Guard Maximum Absorbency Pads 52ct.</t>
  </si>
  <si>
    <t>Depend Complete Protection Package: Real Fit Incontinence Underwear for Men (Size L/XL, Black, Maximum Absorbency, 52ct) &amp; Incontinence Guards for Men (Maximum Absorbency, 104ct)</t>
  </si>
  <si>
    <t>B089CL279R</t>
  </si>
  <si>
    <t>16.79</t>
  </si>
  <si>
    <t>394.28%</t>
  </si>
  <si>
    <t>6226529091736</t>
  </si>
  <si>
    <t>Oasis® Mouth Moisturizing Spray Mild Mint 1fl.oz.</t>
  </si>
  <si>
    <t>Oasis Moisturizing Mouth Spray Mild Mint 1 oz (Pack of 5)</t>
  </si>
  <si>
    <t>B00IART71S</t>
  </si>
  <si>
    <t>7.53</t>
  </si>
  <si>
    <t>393.49%</t>
  </si>
  <si>
    <t>6166029861016</t>
  </si>
  <si>
    <t>Secura® Protective Ointment 5.6oz.</t>
  </si>
  <si>
    <t>Smith &amp; Nephew SECURA Protective Ointment Skin Protectant 5.6oz Tube (Case of 12)</t>
  </si>
  <si>
    <t>B01L7XSW44</t>
  </si>
  <si>
    <t>10.07</t>
  </si>
  <si>
    <t>392.75%</t>
  </si>
  <si>
    <t>6206418419864</t>
  </si>
  <si>
    <t>Pantene Pro-V Classic Clean Shampoo, 12.6 fl oz (Pack of 3) (Packaging May Vary)</t>
  </si>
  <si>
    <t>B003UI1XVO</t>
  </si>
  <si>
    <t>392.34%</t>
  </si>
  <si>
    <t>25 Pack - Instant Cold Packs - Instant Ice Packs for Injuries | Disposable Cold Compress Ice Pack for Pain Relief, Swelling, Inflammation, Sprains, Toothache - Cold Pack for Athletes</t>
  </si>
  <si>
    <t>B0C5F6DW7X</t>
  </si>
  <si>
    <t>392.26%</t>
  </si>
  <si>
    <t>Mack's Pillow Soft Silicone Earplugs, Value Pack - The Original Moldable Silicone Putty Ear Plugs for Sleeping, Snoring, Swimming, Travel, Concerts and Studying, 6 Pair (Pack of 2)</t>
  </si>
  <si>
    <t>B071G34H5C</t>
  </si>
  <si>
    <t>390.11%</t>
  </si>
  <si>
    <t>NasalCEASE® First Aid 5 Sterile Packings</t>
  </si>
  <si>
    <t>BleedCease First Aid for Cuts and Nosebleeds Sterile Packings 25 ea (Pack of 3)</t>
  </si>
  <si>
    <t>B01IAIOP72</t>
  </si>
  <si>
    <t>14.09</t>
  </si>
  <si>
    <t>389.28%</t>
  </si>
  <si>
    <t>6152650948760</t>
  </si>
  <si>
    <t>Blink® Tears Dry Eye Lubricating Eye Drops 0.5fl. oz.</t>
  </si>
  <si>
    <t>Blink Tears Lubricating Eye Drops Mild-Moderate Dry Eye, 25 Count - 0.01 oz (4 Pack)</t>
  </si>
  <si>
    <t>B01G45FI9M</t>
  </si>
  <si>
    <t>14.39</t>
  </si>
  <si>
    <t>387.84%</t>
  </si>
  <si>
    <t>6952440037528</t>
  </si>
  <si>
    <t>REACH Mint Waxed Floss 55 Yards (Pack of 3)</t>
  </si>
  <si>
    <t>B00E4MM4OK</t>
  </si>
  <si>
    <t>387.18%</t>
  </si>
  <si>
    <t>Basic's® Red Yeast Rice 600mg Capsules 100ct.</t>
  </si>
  <si>
    <t>Nature's Bounty Red Yeast Rice 600mg 120 Capsules (Pack of 2)</t>
  </si>
  <si>
    <t>B01IAI9J5U</t>
  </si>
  <si>
    <t>386.98%</t>
  </si>
  <si>
    <t>5240382652568</t>
  </si>
  <si>
    <t>Fruit Of The Earth Aloe Vera 100% Gel with Tocopheryl Acetate, DMDM Hydantoin, Tetrasodium EDTA, Carbomer, Aloe Vera Gel, Triethanolamine, Diazolidinyl Urea, 24 oz (2 pack)</t>
  </si>
  <si>
    <t>B005C28Z9O</t>
  </si>
  <si>
    <t>384.34%</t>
  </si>
  <si>
    <t>Nexcare Gentle Paper Tape</t>
  </si>
  <si>
    <t>Nexcare Gentle Paper First Aid Tape, 2 Inches X 10 Yards, Pack of 6</t>
  </si>
  <si>
    <t>B00IARW9TA</t>
  </si>
  <si>
    <t>380.10%</t>
  </si>
  <si>
    <t>6147138617496</t>
  </si>
  <si>
    <t>Gaia® Herbs Cleanse &amp; Detox Herbal Tea 16ct.</t>
  </si>
  <si>
    <t>Gaia Herbs Liver Cleanse Herbal Tea - Supports Liver Health &amp; Detoxification, with Schisandra for Antioxidant Support, 16 Tea Bags (Pack of 6)</t>
  </si>
  <si>
    <t>B0B3B8LB93</t>
  </si>
  <si>
    <t>379.97%</t>
  </si>
  <si>
    <t>4865638105227</t>
  </si>
  <si>
    <t>Gaia Herbs Cleanse &amp; Detox Herbal Tea, 16 Tea Bags - Everyday Cleansing &amp; Detoxification, Healthy Liver Function (Pack of 6)</t>
  </si>
  <si>
    <t>B009K24H8K</t>
  </si>
  <si>
    <t>Gaia® Herbs Liver Cleanse Herbal Tea 16ct.</t>
  </si>
  <si>
    <t>4865666384011</t>
  </si>
  <si>
    <t>Gaia® Herbs Bronchial Wellness Herbal Tea 16ct.</t>
  </si>
  <si>
    <t>Gaia Herbs Bronchial Wellness Herbal Tea, 16 Tea Bags - Soothing Support, Promotes Respiratory Health, Caffeine Free (Pack of 6)</t>
  </si>
  <si>
    <t>B0B3BMC26C</t>
  </si>
  <si>
    <t>4865628668043</t>
  </si>
  <si>
    <t>Carmex Medicated Lip Balm Variety Pack, Lip Moisturizer for Dry, Chapped Lips, Carmex Classic Sticks 0.15 oz, 3 count, Carmex Classic Tubes 0.35 oz, 3 count, Carmex Classic Jars 0.25 oz, 3 count</t>
  </si>
  <si>
    <t>B09468VQFZ</t>
  </si>
  <si>
    <t>379.91%</t>
  </si>
  <si>
    <t>Head &amp; Shoulders® Classic Clean 2-In-1 13.5fl. oz.</t>
  </si>
  <si>
    <t>Head &amp; Shoulders Classic Clean 2-in-1 Anti-Dandruff Shampoo + Conditioner 13.5 Fl Oz</t>
  </si>
  <si>
    <t>B00OP2693G</t>
  </si>
  <si>
    <t>7.49</t>
  </si>
  <si>
    <t>378.64%</t>
  </si>
  <si>
    <t>6176022954136</t>
  </si>
  <si>
    <t>Nordic Naturals Omega-3 Pet Softgels</t>
  </si>
  <si>
    <t>Nordic Naturals Omega-3 Pet, Unflavored - 330 mg Omega-3 Per Soft Gel - 2 Pack - 360 Total Soft Gels - Fish Oil for Dogs with EPA &amp; DHA - Promotes Heart, Skin, Coat, Joint, &amp; Immune Health - Non-GMO</t>
  </si>
  <si>
    <t>B00B4FDBIS</t>
  </si>
  <si>
    <t>19.76</t>
  </si>
  <si>
    <t>376.87%</t>
  </si>
  <si>
    <t>4793280069771</t>
  </si>
  <si>
    <t>24 Duracell 357 303 A76 PX76 SR44W/SW LR44 AG13 Silver Oxide Battery</t>
  </si>
  <si>
    <t>B013IL9KYO</t>
  </si>
  <si>
    <t>376.64%</t>
  </si>
  <si>
    <t>Mack's Pillow Soft Silicone Earplugs, 12 Pair – The Original Moldable Silicone Putty Ear Plugs for Sleeping, Snoring, Swimming, Travel, Concerts and Studying | Made in USA</t>
  </si>
  <si>
    <t>B07G1MWHNR</t>
  </si>
  <si>
    <t>375.82%</t>
  </si>
  <si>
    <t>Arrid XX Extra Extra Dry Solid Antiperspirant Deodorant, Cool Shower, 2.6 oz , Pack of 6</t>
  </si>
  <si>
    <t>B001E7685O</t>
  </si>
  <si>
    <t>373.75%</t>
  </si>
  <si>
    <t>Q-tips Cotton Swabs</t>
  </si>
  <si>
    <t>Q-tips Cotton Swabs, Club Pack 1875 ct(Pack of 3)</t>
  </si>
  <si>
    <t>B00MOJUQAO</t>
  </si>
  <si>
    <t>373.46%</t>
  </si>
  <si>
    <t>6114079572120</t>
  </si>
  <si>
    <t>Airborne Zinc &amp; Vitamin C – Orange Flavored Chewable Tablets (32ct), Gluten Free &amp; Non-GMO Immune Support Supplement, No Color Added, Naturally Flavored, Antioxidants, 1 Tablet Daily (Pack of 2)</t>
  </si>
  <si>
    <t>B08WHD5L6B</t>
  </si>
  <si>
    <t>373.28%</t>
  </si>
  <si>
    <t>Aquaphor Baby Healing Ointment 3 oz (Pack of 5)</t>
  </si>
  <si>
    <t>B00IAJHWJU</t>
  </si>
  <si>
    <t>373.00%</t>
  </si>
  <si>
    <t>Duracell 1.5V CopperTop AAA Alkaline Batteries, 28 Pack</t>
  </si>
  <si>
    <t>B083RKJ6SD</t>
  </si>
  <si>
    <t>371.69%</t>
  </si>
  <si>
    <t>Ricola Cherry Honey Cough Drops 24ct</t>
  </si>
  <si>
    <t>Ricola Cherry Honey and Honey Herb | Herbal Cough Suppressant Throat Drops | Naturally Soothing Long-Lasting Relief - 24 Count (Pack of 4) Bags</t>
  </si>
  <si>
    <t>B08655JGF7</t>
  </si>
  <si>
    <t>369.71%</t>
  </si>
  <si>
    <t>6158510588056</t>
  </si>
  <si>
    <t>Degree Advanced Antiperspirant Deodorant Dry Spray 72-Hour Sweat and Odor Protection Shower Clean Deodorant Spray For Women With MotionSense Technology 3.8 oz, Pack of 4</t>
  </si>
  <si>
    <t>B09C2KC7F9</t>
  </si>
  <si>
    <t>368.97%</t>
  </si>
  <si>
    <t>Halls Relief Honey Lemon Cough Drops, Bulk Cough Drops, 250 Drops</t>
  </si>
  <si>
    <t>B07MD819YV</t>
  </si>
  <si>
    <t>368.28%</t>
  </si>
  <si>
    <t>Blink Tears Lubricating Eye Drops Mild-Moderate Dry Eye 0.5 Fl Oz Sterile (6 Pack)</t>
  </si>
  <si>
    <t>B00757DIX2</t>
  </si>
  <si>
    <t>365.88%</t>
  </si>
  <si>
    <t>Americaine Benzocaine Topical Anesthetic Spray 2 fl. oz.</t>
  </si>
  <si>
    <t>Americaine Benzocaine Topical Anesthetic Spray - 2 oz, Pack of 5</t>
  </si>
  <si>
    <t>B078YG6RLV</t>
  </si>
  <si>
    <t>365.82%</t>
  </si>
  <si>
    <t>6152557101208</t>
  </si>
  <si>
    <t>Foille Medicated First Aid Ointment 1 oz (Pack of 5)</t>
  </si>
  <si>
    <t>B01IAI77A4</t>
  </si>
  <si>
    <t>363.92%</t>
  </si>
  <si>
    <t>Ricola Cough Suppressant and Throat Drops Variety-Pack, 3-Flavors: Original, Cherry Honey, Honey Lemon with Echinacea</t>
  </si>
  <si>
    <t>B078YC1M5W</t>
  </si>
  <si>
    <t>363.45%</t>
  </si>
  <si>
    <t>Kleenex 21286 Boutique Anti-Viral Tissue, 3-Ply, Pop-Up Box, 55/Box, 3 Boxes/Pack</t>
  </si>
  <si>
    <t>B00O3C2P1I</t>
  </si>
  <si>
    <t>362.93%</t>
  </si>
  <si>
    <t>Apex 7 Day AM/PM Weekly Pill Organizer - Weekly Pill Organizer, 2 Times a Day, Easy-Open, Organize Medication or Vitamins, See Through</t>
  </si>
  <si>
    <t>B00W5QU8MM</t>
  </si>
  <si>
    <t>361.90%</t>
  </si>
  <si>
    <t>Bausch + Lomb Sight Savers® Pre-Moistened Lens Tissues 16ct.</t>
  </si>
  <si>
    <t>Sight SaversLens Cleaning Wipes by Bausch &amp; Lomb, Pre-Moistened Tissues, Anti-Fog, Anti-Static, Anti-Streaking, Cleans Glass and Plastic, 100 Count (Pack of 1)</t>
  </si>
  <si>
    <t>B005NIKG4E</t>
  </si>
  <si>
    <t>2.49</t>
  </si>
  <si>
    <t>361.04%</t>
  </si>
  <si>
    <t>6197990097048</t>
  </si>
  <si>
    <t>BAND-AID® Flexible Rolled Gauze</t>
  </si>
  <si>
    <t>Band-Aid Brand of First Aid Products Flexible Rolled Gauze, 2 Inches by 2.5 Yards (Pack of 6)</t>
  </si>
  <si>
    <t>B07BNQFHQW</t>
  </si>
  <si>
    <t>359.56%</t>
  </si>
  <si>
    <t>6149301698712</t>
  </si>
  <si>
    <t>Duracell Coppertop AA + AAA Batteries Combo Pack with Power Boost Ingredients, 24 Count Double A &amp; Triple A Battery with Long-Lasting Power, Alkaline Battery - 48 Count Total</t>
  </si>
  <si>
    <t>B08W1NX12B</t>
  </si>
  <si>
    <t>359.11%</t>
  </si>
  <si>
    <t>Americaine Benzocaine Topical Anesthetic Spray-2, oz. (Pack of 5)</t>
  </si>
  <si>
    <t>B004RRECKQ</t>
  </si>
  <si>
    <t>357.81%</t>
  </si>
  <si>
    <t>Duracell - CopperTop AAA Alkaline Batteries - Long Lasting, All-Purpose Triple A Battery for Household and Business - 40 Count</t>
  </si>
  <si>
    <t>B09LPPTRVF</t>
  </si>
  <si>
    <t>357.14%</t>
  </si>
  <si>
    <t>Aveeno® Baby Wash &amp; Shampoo 8fl. oz.</t>
  </si>
  <si>
    <t>Aveeno Baby Gentle Wash &amp; Shampoo with Natural Oat Extract, Tear-Free &amp; Paraben-Free Formula for Hair &amp; Body, Lightly Scented, 8 Fl. Oz (Pack of 4)</t>
  </si>
  <si>
    <t>B07P73RY4L</t>
  </si>
  <si>
    <t>8.13</t>
  </si>
  <si>
    <t>354.98%</t>
  </si>
  <si>
    <t>6177974550680</t>
  </si>
  <si>
    <t>Nature Made® Women's Multi 50+ Softgels 60ct.</t>
  </si>
  <si>
    <t>Nature Made Women's Multivitamin 50+ Softgels, 60 Count for Daily Nutritional Support (Pack of 3)</t>
  </si>
  <si>
    <t>B001G0MA60</t>
  </si>
  <si>
    <t>12.23</t>
  </si>
  <si>
    <t>354.37%</t>
  </si>
  <si>
    <t>4896532463755</t>
  </si>
  <si>
    <t>BAND-AID Flexible Fabric Bandages One Size Travel Pack, 8 Count, Pack of 24</t>
  </si>
  <si>
    <t>B0125981RC</t>
  </si>
  <si>
    <t>351.82%</t>
  </si>
  <si>
    <t>Q-tips Cotton Swabs 3 Packs of 625 Count</t>
  </si>
  <si>
    <t>B00J9R7OSQ</t>
  </si>
  <si>
    <t>351.74%</t>
  </si>
  <si>
    <t>Aquaphor Healing Ointment</t>
  </si>
  <si>
    <t>Aquaphor Aquaphor healing ointment - moisturizing skin protectant for dry cracked hands, heels and elbows - 14 oz. jar + 1.75 oz. tube, 15.75 Ounce</t>
  </si>
  <si>
    <t>B07QYWKLKP</t>
  </si>
  <si>
    <t>5.93</t>
  </si>
  <si>
    <t>349.92%</t>
  </si>
  <si>
    <t>6160879812760</t>
  </si>
  <si>
    <t>GoodSense® Flexible Fabric Bandages</t>
  </si>
  <si>
    <t>Band-Aid Brand Sterile Flexible Fabric Adhesive Bandages, Comfortable Flexible Protection &amp; Wound Care for Minor Cuts &amp; Scrapes, Pad Designed to Cushion Painful Wounds, All One Size, 30 ct</t>
  </si>
  <si>
    <t>B001E96LIQ</t>
  </si>
  <si>
    <t>4.39</t>
  </si>
  <si>
    <t>346.92%</t>
  </si>
  <si>
    <t>6149253595288</t>
  </si>
  <si>
    <t>B005LPFV26</t>
  </si>
  <si>
    <t>346.37%</t>
  </si>
  <si>
    <t>Apex Medicine Spoon 10mL (2 Pack)</t>
  </si>
  <si>
    <t>B01JPXZKRK</t>
  </si>
  <si>
    <t>346.04%</t>
  </si>
  <si>
    <t>Attends Underwear Extra Absorbency Youth/Small 20ct.</t>
  </si>
  <si>
    <t>48APP0710CA - Attends Youth Super Plus Absorbency Pull-On Protective Underwear Small 22 - 34</t>
  </si>
  <si>
    <t>B00KPXRUEG</t>
  </si>
  <si>
    <t>11.99</t>
  </si>
  <si>
    <t>6226601050264</t>
  </si>
  <si>
    <t>Breathe Right Nasal Strips Original Tan Large - 30 ct, Pack of 5</t>
  </si>
  <si>
    <t>B0781C4ZZQ</t>
  </si>
  <si>
    <t>344.70%</t>
  </si>
  <si>
    <t>Original Natural Herb Cough Drops, 115 ct.</t>
  </si>
  <si>
    <t>B0C2X5L93M</t>
  </si>
  <si>
    <t>343.60%</t>
  </si>
  <si>
    <t>Resinol Medicated Ointment 3 oz (Pack of 5)</t>
  </si>
  <si>
    <t>B01IAI4HX4</t>
  </si>
  <si>
    <t>343.37%</t>
  </si>
  <si>
    <t>Old Spice Hydro Body Wash for Men, Pure Sport Plus Scent, Hardest Working Collection, 16.0 oz (Pack of 4)</t>
  </si>
  <si>
    <t>B07DL5XPLV</t>
  </si>
  <si>
    <t>343.24%</t>
  </si>
  <si>
    <t>Reach Waxed Dental Floss | Effective Plaque Removal, Extra Wide Cleaning Surface | Shred Resistance &amp; Tension, Slides Smoothly &amp; Easily , PFAS FREE | Mint Flavored, 200 Yards, 1 Pack</t>
  </si>
  <si>
    <t>B012O5ABZC</t>
  </si>
  <si>
    <t>342.31%</t>
  </si>
  <si>
    <t>Gold Bond Ultimate Comfort Body Powder, Aloe, 10-Ounce Bottles (Pack of 4) Talc-Free</t>
  </si>
  <si>
    <t>B00HQ9BZFC</t>
  </si>
  <si>
    <t>339.70%</t>
  </si>
  <si>
    <t>Fruit of the Earth Aloe Vera 100% Gel, Clear</t>
  </si>
  <si>
    <t>B008R2B33Q</t>
  </si>
  <si>
    <t>338.20%</t>
  </si>
  <si>
    <t>Boudreaux's Butt Paste® Original Diaper Rash Ointment</t>
  </si>
  <si>
    <t>Boudreaux's Butt Paste Butt Paste Diaper Rash Ointment, Variety Pack, Original &amp; Maximum Strength (2oz, 2 of each)</t>
  </si>
  <si>
    <t>B0CC6D78WK</t>
  </si>
  <si>
    <t>6.49</t>
  </si>
  <si>
    <t>337.75%</t>
  </si>
  <si>
    <t>6180591599768</t>
  </si>
  <si>
    <t>Poise® Pads Ultimate Absorbency Regular Length 33ct.</t>
  </si>
  <si>
    <t>Poise Pads, Regular Length, Ultimate Absorbency 33 pads (Pack of 4)</t>
  </si>
  <si>
    <t>B076VL2Q6C</t>
  </si>
  <si>
    <t>16.99</t>
  </si>
  <si>
    <t>336.43%</t>
  </si>
  <si>
    <t>6226491670680</t>
  </si>
  <si>
    <t>Boiron® Oscillococcinum Homeopathic Medicine</t>
  </si>
  <si>
    <t>Boiron Oscillococcinum 72 Doses Homeopathic Medicine for Flu-Like Symptoms (2 Packs of 36)</t>
  </si>
  <si>
    <t>B0843Q8JDJ</t>
  </si>
  <si>
    <t>14.89</t>
  </si>
  <si>
    <t>336.33%</t>
  </si>
  <si>
    <t>5244889366680</t>
  </si>
  <si>
    <t>Curad Non-Stick Pads with Adhesive Tabs â€“ 3â€³ x 4â€³ in, 10 Each (Pack of 2)</t>
  </si>
  <si>
    <t>B01GK9KFIQ</t>
  </si>
  <si>
    <t>336.24%</t>
  </si>
  <si>
    <t>HALLS Relief Black Cherry Sugar Free Cough Drops, 25 Drops</t>
  </si>
  <si>
    <t>B00MHTSFMC</t>
  </si>
  <si>
    <t>Reusable Silicone Ear Plugs - 2 Pairs - NRR 32, Waterproof, Hypoallergenic - Ultra Comfortable Noise Reduction Earplugs for Swimming, Concerts and Airplanes - Gift Travel Pouch</t>
  </si>
  <si>
    <t>B07F3LN5QV</t>
  </si>
  <si>
    <t>Mintox Maximum Strength Antacid Anti-Gas Liquid Generic for Maalox Max Lemon Flavor 12 oz 4 PACK</t>
  </si>
  <si>
    <t>B00EDOCLSI</t>
  </si>
  <si>
    <t>336.18%</t>
  </si>
  <si>
    <t>Aquaphor Lip Repair Ointment - Long-lasting Moisture to Soothe Dry Chapped Lips - .35 fl. oz Tube, 4 Pack</t>
  </si>
  <si>
    <t>B07ZZGH4MP</t>
  </si>
  <si>
    <t>336.14%</t>
  </si>
  <si>
    <t>Pantene Pro-v Classic Clean Conditioner, 23.7 Fl Oz, 1.73 Pound</t>
  </si>
  <si>
    <t>B01N07NN4J</t>
  </si>
  <si>
    <t>335.08%</t>
  </si>
  <si>
    <t>Ear Plugs for Noise Reduction–2 Pairs Super Soft, Reusable Hearing Protection in Flexible Silicone for Sleep, Noise Sensitivity &amp; Flights-8 Ear Tips in XS/S/M/L–27dB Noise Cancelling–Black</t>
  </si>
  <si>
    <t>B0C5Y5VZ33</t>
  </si>
  <si>
    <t>334.50%</t>
  </si>
  <si>
    <t>334.13%</t>
  </si>
  <si>
    <t>Old Spice Body Wash for Men, High Endurance Pure Sport, 24 Fl Oz (Pack Of 4)</t>
  </si>
  <si>
    <t>B074XPCV4J</t>
  </si>
  <si>
    <t>332.11%</t>
  </si>
  <si>
    <t>Osteo Bi-Flex Joint Health Triple Strength Supplement Tablets</t>
  </si>
  <si>
    <t>Osteo Bi-Flex Triple Strength with 5-Loxin Advanced Joint Care - 4 Bottles, 170 Tablets Each</t>
  </si>
  <si>
    <t>B00LV4ZKW2</t>
  </si>
  <si>
    <t>30.73</t>
  </si>
  <si>
    <t>331.63%</t>
  </si>
  <si>
    <t>5238432989336</t>
  </si>
  <si>
    <t>Arrid XX Extra Extra Dry Solid Antiperspirant Deodorant, Regular, 2.6 Oz (Pack of 6)</t>
  </si>
  <si>
    <t>B001G7POT8</t>
  </si>
  <si>
    <t>331.26%</t>
  </si>
  <si>
    <t>Listerine Original Oral Care Antiseptic Mouthwash with Germ-Killing Formula to Fight Bad Breath, Plaque and Gingivitis, 500 mL ( Packs of 3)</t>
  </si>
  <si>
    <t>B004AI7KO2</t>
  </si>
  <si>
    <t>331.16%</t>
  </si>
  <si>
    <t>Band-Aid Brand Cushion Care Sterile Gauze Pads for Protection of Minor Cut, Scrapes &amp; Burns, Absorbent &amp; Non-Adhesive First Aid Wound Care Dressing Pads, Small Size, 2 in x 2 in, 25 ct&lt;br&gt;</t>
  </si>
  <si>
    <t>B01IAIPRLU</t>
  </si>
  <si>
    <t>330.27%</t>
  </si>
  <si>
    <t>MiraLAX® Osmotic Laxative Powder</t>
  </si>
  <si>
    <t>329.81%</t>
  </si>
  <si>
    <t>6226801885336</t>
  </si>
  <si>
    <t>Old Spice High Endurance Anti-Perspirant &amp; Deodorant, Original 3 oz (Pack of 4)</t>
  </si>
  <si>
    <t>B01IA9F1DS</t>
  </si>
  <si>
    <t>329.68%</t>
  </si>
  <si>
    <t>Old Spice Classic Deodorant Stick Fresh Scent, 3.25 Oz. - Pack of 4</t>
  </si>
  <si>
    <t>B00J5K79IC</t>
  </si>
  <si>
    <t>Arrid XX Regular Scent Extra Extra Dry Solid Anti-Perspirant Deodorant 2.6 oz (Pack of 6)</t>
  </si>
  <si>
    <t>B0792PV7ZD</t>
  </si>
  <si>
    <t>329.59%</t>
  </si>
  <si>
    <t>Similasan Kids Cold &amp; Mucus Relief Syrup Plus Echinacea 4 oz ( Pack of 4)</t>
  </si>
  <si>
    <t>B002F883CC</t>
  </si>
  <si>
    <t>329.57%</t>
  </si>
  <si>
    <t>Always Discreet Maximum Absorbency XL Underwear for Women 15ct.</t>
  </si>
  <si>
    <t>Always Discreet Boutique Adult Incontinence and Postpartum Underwear for Women, Maximum Protection, XL, Rosy, 48 Count</t>
  </si>
  <si>
    <t>B0C3KB1ZBX</t>
  </si>
  <si>
    <t>329.09%</t>
  </si>
  <si>
    <t>6226523062424</t>
  </si>
  <si>
    <t>Alka-Seltzer Original Effervescent Tablets</t>
  </si>
  <si>
    <t>Alka-Seltzer Original Effervescent Tablets, Fast Relief of Headache, Muscle Aches, and Body Aches, 144 Count (72 x 2)</t>
  </si>
  <si>
    <t>B0BD5X8XW7</t>
  </si>
  <si>
    <t>328.22%</t>
  </si>
  <si>
    <t>6217590145176</t>
  </si>
  <si>
    <t>Dr. Scholl's Moleskin Plus Padding Roll 1 Each (Pack of 3)</t>
  </si>
  <si>
    <t>B008CYFUGU</t>
  </si>
  <si>
    <t>327.23%</t>
  </si>
  <si>
    <t>Sundown Naturals Vitamin E Oil 70,000 IU, 2.5 Fluid Ounce (Value Pack of 4)</t>
  </si>
  <si>
    <t>B07LH4F7XM</t>
  </si>
  <si>
    <t>327.00%</t>
  </si>
  <si>
    <t>Oral B® Complete Deep Clean Toothbrush [Medium]</t>
  </si>
  <si>
    <t>Oral-B Complete Action Deep Clean Battery Power Toothbrush to Remove Plaque between Teeth, Pack of 3</t>
  </si>
  <si>
    <t>B000ZPK4X8</t>
  </si>
  <si>
    <t>4.09</t>
  </si>
  <si>
    <t>326.41%</t>
  </si>
  <si>
    <t>6166103818392</t>
  </si>
  <si>
    <t>Abreva Cold Sore/Fever Blister Treatment Cream 2g.</t>
  </si>
  <si>
    <t>Abreva Cold Sore/Fever Blister Treatment 2g (Pack of 6)</t>
  </si>
  <si>
    <t>B00EZWS9VQ</t>
  </si>
  <si>
    <t>23.13</t>
  </si>
  <si>
    <t>323.26%</t>
  </si>
  <si>
    <t>6158671544472</t>
  </si>
  <si>
    <t>Apex Large 7 Day Weekly Pill Organizer - Weekly Pill Organizer, 4 Times a Day, Easy-Open, Organize Medication or Vitamins</t>
  </si>
  <si>
    <t>B000M29NZY</t>
  </si>
  <si>
    <t>322.75%</t>
  </si>
  <si>
    <t>Apex 7-Day Ultra Bubble-Lok Pill Organizer (Large, Translucent Green)</t>
  </si>
  <si>
    <t>B01AKCRNY8</t>
  </si>
  <si>
    <t>Apex 7-Day Mediplanner Pill Organizer, Weekly Pill Organizer, 4 Times A Day Color-Coded, Easy-Open, See-Through Lids, Organize Medication Or Vitamins By AM, PM, Evening And Bedtime</t>
  </si>
  <si>
    <t>B000LR9ZNK</t>
  </si>
  <si>
    <t>Pantene Pro-V Classic Clean Shampoo 12.60 oz (Pack of 2)</t>
  </si>
  <si>
    <t>B00NFUCLGS</t>
  </si>
  <si>
    <t>322.40%</t>
  </si>
  <si>
    <t>Always Thin Daily Panty Liners For Women, Light Absorbency, Unscented, 162 Count</t>
  </si>
  <si>
    <t>B003VD5TMM</t>
  </si>
  <si>
    <t>321.69%</t>
  </si>
  <si>
    <t>OFF!® Family Care Insect Repellent Smooth &amp; Dry Spray 4oz.</t>
  </si>
  <si>
    <t>Off! Family Care Smooth &amp; Dry Insect Spray, 4 oz (Pack - 6)</t>
  </si>
  <si>
    <t>B07FB838Y1</t>
  </si>
  <si>
    <t>9.27</t>
  </si>
  <si>
    <t>320.60%</t>
  </si>
  <si>
    <t>6220375916696</t>
  </si>
  <si>
    <t>Listerine Total Care Anticavity Mouthwash, Fresh Mint, 3.2 Ounce (Pack of 24)</t>
  </si>
  <si>
    <t>B0070TX89Y</t>
  </si>
  <si>
    <t>320.48%</t>
  </si>
  <si>
    <t>Band-Aid Brand Skin-Flex Adhesive Bandages, All One Size, 25 Bandages Per Box (6 Boxes)</t>
  </si>
  <si>
    <t>B075ZC6W51</t>
  </si>
  <si>
    <t>317.38%</t>
  </si>
  <si>
    <t>6 Pack Double Sided Body Sponge for Daily Deep Cleansing and Regular Exfoliating - Double Sided Buff Puff Style Exfoliating Pads Puf for Removing Dead Skin &amp; Dirt - All Skin Types</t>
  </si>
  <si>
    <t>B09885L2DN</t>
  </si>
  <si>
    <t>317.20%</t>
  </si>
  <si>
    <t>Duracell 20 357 303 A76 PX76 SR44W/SW LR44 AG13 Silver Oxide Battery</t>
  </si>
  <si>
    <t>B013ILPECG</t>
  </si>
  <si>
    <t>317.04%</t>
  </si>
  <si>
    <t>Prevagen Chewables Dietary Supplement- Mixed Berry</t>
  </si>
  <si>
    <t>Prevagen Improves Memory - Extra Strength 20mg, 30 Chewables |Mixed Berry-3 Pack| with Apoaequorin &amp; Vitamin D &amp; Prevagen 7-Day Pill Minder | Brain Supplement for Better Brain Health</t>
  </si>
  <si>
    <t>B0892R7XW6</t>
  </si>
  <si>
    <t>316.37%</t>
  </si>
  <si>
    <t>4892633858187</t>
  </si>
  <si>
    <t>APEX 7-Day Pill Organizer, Ultra Bubble-Lok, 1 Organizer (Pack of 2)</t>
  </si>
  <si>
    <t>B000XPV4P2</t>
  </si>
  <si>
    <t>315.87%</t>
  </si>
  <si>
    <t>Aveeno Baby Daily Moisture Gentle Bath Wash &amp; Shampoo with Natural Oat Extract, Hypoallergenic, Tear-Free &amp; Paraben-Free Formula For Sensitive Hair &amp; Skin, Lightly Scented, 18 Fl Oz (Pack of 3)</t>
  </si>
  <si>
    <t>B08BLW67B2</t>
  </si>
  <si>
    <t>Super Poligrip Comfort Seal Denture and Partials Adhesive Strips, 40 Count (Pack of 4)</t>
  </si>
  <si>
    <t>B001G7QF5A</t>
  </si>
  <si>
    <t>315.76%</t>
  </si>
  <si>
    <t>Big Gripper Slant Tip Tweezers, Assorted Colors</t>
  </si>
  <si>
    <t>B00CXO7SQ0</t>
  </si>
  <si>
    <t>314.75%</t>
  </si>
  <si>
    <t>Cleure Hypoallergenic Volumizing Shampoo for Sensitive Skin - Fragrance Free, SLS Free &amp; Paraben Free (12 oz, Pack of 1)</t>
  </si>
  <si>
    <t>B09LZXHT6J</t>
  </si>
  <si>
    <t>314.08%</t>
  </si>
  <si>
    <t>Old Spice Body Wash for Men, Pure Sport Scent, High Endurance, 30 Fluid Ounce (Pack of 4)</t>
  </si>
  <si>
    <t>B07D3NR3GQ</t>
  </si>
  <si>
    <t>313.20%</t>
  </si>
  <si>
    <t>Boudreaux's Butt Paste® Maximum Strength 2oz.</t>
  </si>
  <si>
    <t>312.34%</t>
  </si>
  <si>
    <t>6180603461784</t>
  </si>
  <si>
    <t>Noxzema® Ultimate Clear Anti-Blemish Pads 90ct</t>
  </si>
  <si>
    <t>Noxzema Ultimate Clear Face Pads Clears &amp; Prevents Acne Anti-Blemish Made with Over 60% Alcohol 90 Count, Pack of 6</t>
  </si>
  <si>
    <t>B00347A8FI</t>
  </si>
  <si>
    <t>6.83</t>
  </si>
  <si>
    <t>312.01%</t>
  </si>
  <si>
    <t>6158866546840</t>
  </si>
  <si>
    <t>FLEET® Bisacodyl Enema (1) 1.25 fl oz Bottle</t>
  </si>
  <si>
    <t>Fleet Laxative Bisacodyl Enema for Adult Constipation | 1.25 Fl Oz | Pack of 6</t>
  </si>
  <si>
    <t>B0B8GQNJ3G</t>
  </si>
  <si>
    <t>5.19</t>
  </si>
  <si>
    <t>311.95%</t>
  </si>
  <si>
    <t>5248335315096</t>
  </si>
  <si>
    <t>ASPERCREME Pain Relieving Crème, 5 Ounce (Pack of 3)</t>
  </si>
  <si>
    <t>B00E4MOAJM</t>
  </si>
  <si>
    <t>311.66%</t>
  </si>
  <si>
    <t>Ayr Saline Nasal Gel No-Drip Sinus Spray 0.75 oz (Pack of 8)</t>
  </si>
  <si>
    <t>B01IAI5UAS</t>
  </si>
  <si>
    <t>311.34%</t>
  </si>
  <si>
    <t>Depend® For Men Fit-Flex Underwear Maximum Absorbency Large 17ct.</t>
  </si>
  <si>
    <t>Depend Fit-Flex Underwear for Men Large Maximum Absorbency - (Pack of 4)</t>
  </si>
  <si>
    <t>B07HJH39X1</t>
  </si>
  <si>
    <t>310.95%</t>
  </si>
  <si>
    <t>6226552848536</t>
  </si>
  <si>
    <t>Pantene Pro-V Classic Clean Shampoo, 12.6 Fl Oz (Pack of 2)</t>
  </si>
  <si>
    <t>B00JGQ7ZW0</t>
  </si>
  <si>
    <t>310.81%</t>
  </si>
  <si>
    <t>Aquaphor Baby Healing Ointment, Advanced Therapy for Chapped Cheeks and Diaper Rash, 3 Ounce (Pack of 3)</t>
  </si>
  <si>
    <t>B001F0RAVQ</t>
  </si>
  <si>
    <t>310.46%</t>
  </si>
  <si>
    <t>Align Probiotic 24/7 Digestive Support Capsules</t>
  </si>
  <si>
    <t>Align Probiotic Supplement 24/7 Digestive Support, 28 Capsules (Pack of 5)</t>
  </si>
  <si>
    <t>B01IAI1IE0</t>
  </si>
  <si>
    <t>30.49</t>
  </si>
  <si>
    <t>309.81%</t>
  </si>
  <si>
    <t>6120752873624</t>
  </si>
  <si>
    <t>Dealmed Fabric Flexible Adhesive Bandages – 100 Count (2 Pack) Bandages with Non-Stick Pad, Latex Free, Wound Care for First Aid Kit, 2" x 4"</t>
  </si>
  <si>
    <t>B09K4JY44L</t>
  </si>
  <si>
    <t>309.79%</t>
  </si>
  <si>
    <t>Integrative Therapeutics® Probiotic Pearls Capsules</t>
  </si>
  <si>
    <t>Integrative Therapeutics Probiotic Pearls Advantage - Gut Health Support* - Daily Supplement with Lactobacillus &amp; Bifidobacterium - Non-Refrigerated - True Delivery Technology - 60 Capsules</t>
  </si>
  <si>
    <t>B003PWDPH0</t>
  </si>
  <si>
    <t>15.75</t>
  </si>
  <si>
    <t>309.52%</t>
  </si>
  <si>
    <t>6747642200216</t>
  </si>
  <si>
    <t>Coricidin HBP Cold &amp; Flu Tablets, 20 ea (Pack of 6)</t>
  </si>
  <si>
    <t>B00EZWTWAI</t>
  </si>
  <si>
    <t>309.46%</t>
  </si>
  <si>
    <t>Cara® King Size Deluxe Moist/Dry Heating Pad</t>
  </si>
  <si>
    <t>32.99</t>
  </si>
  <si>
    <t>308.06%</t>
  </si>
  <si>
    <t>6227995132056</t>
  </si>
  <si>
    <t>307.77%</t>
  </si>
  <si>
    <t>EOS® Watermelon Frosé Lip Balm</t>
  </si>
  <si>
    <t>eos FlavorLab Lip Balm Stick and Sphere, Watermelon Frosé, Natural Shea Lip Products, 2 Count(Pack of 1)</t>
  </si>
  <si>
    <t>B07QWNQ649</t>
  </si>
  <si>
    <t>3.59</t>
  </si>
  <si>
    <t>307.52%</t>
  </si>
  <si>
    <t>6287587803288</t>
  </si>
  <si>
    <t>Q-TIPS SWABS Cotton Club ct, 625 Count, (Pack of 3)</t>
  </si>
  <si>
    <t>B003ZTVDBS</t>
  </si>
  <si>
    <t>306.17%</t>
  </si>
  <si>
    <t>Foille Medicated First Aid Ointment 1 oz (Pack of 4)</t>
  </si>
  <si>
    <t>B01IAI74WU</t>
  </si>
  <si>
    <t>303.34%</t>
  </si>
  <si>
    <t>Apex Medicine Dropper 3ml.</t>
  </si>
  <si>
    <t>(2 Pack) Glass Graduated Medicine Dropper Pipettes Lab Dropper with Blue Rubber Cap and Scale (3ml (2 Pack))</t>
  </si>
  <si>
    <t>B08R2CYD9N</t>
  </si>
  <si>
    <t>2.23</t>
  </si>
  <si>
    <t>303.14%</t>
  </si>
  <si>
    <t>6197958770840</t>
  </si>
  <si>
    <t>Florajen Women High Potency Probiotics</t>
  </si>
  <si>
    <t>Florajen 3 High Potency Probiotics Dietary Supplement Capsules - 30 Count (Pack of 3)</t>
  </si>
  <si>
    <t>B01N6UAXUC</t>
  </si>
  <si>
    <t>18.19</t>
  </si>
  <si>
    <t>302.91%</t>
  </si>
  <si>
    <t>4892869886091</t>
  </si>
  <si>
    <t>Fixodent Control Denture Adhesive Cream Plus Scope Flavor 2 oz (Pack of 5)</t>
  </si>
  <si>
    <t>B01IA98GJ4</t>
  </si>
  <si>
    <t>301.68%</t>
  </si>
  <si>
    <t>Old Spice High Endurance Deodorant for Men, Aluminum Free, Original Scent, 3.0 Oz (Pack of 4)</t>
  </si>
  <si>
    <t>B00BL18J78</t>
  </si>
  <si>
    <t>301.67%</t>
  </si>
  <si>
    <t>Old Spice® Classic Original Scent for Men</t>
  </si>
  <si>
    <t>6175900369048</t>
  </si>
  <si>
    <t>Carefree Original Pantiliners To Go Regular Fresh Scent 20 CT (PACK OF 2)</t>
  </si>
  <si>
    <t>B00E3ET71C</t>
  </si>
  <si>
    <t>301.12%</t>
  </si>
  <si>
    <t>Advil Pain Reliever and Fever Reducer, Ibuprofen 200mg for Pain Relief - 300 Count, Advil PM Pain Reliever and Nighttime Sleep Aid, Ibuprofen for Pain Relief and Diphenhydramine Citrate - 2 Count</t>
  </si>
  <si>
    <t>B085GDF897</t>
  </si>
  <si>
    <t>298.81%</t>
  </si>
  <si>
    <t>Nature's Bounty Red Yeast Rice, Herbal Supplement, 600mg, 250 Capsules</t>
  </si>
  <si>
    <t>B003UZKN9U</t>
  </si>
  <si>
    <t>298.19%</t>
  </si>
  <si>
    <t>O'Keeffe's Skin Repair Body Lotion - 7 oz, Pack of 3</t>
  </si>
  <si>
    <t>B074NCHBH7</t>
  </si>
  <si>
    <t>298.13%</t>
  </si>
  <si>
    <t>Fixodent Control Denture Adhesive Cream Plus Scope Flavor, 2 Oz (Pack of 6)</t>
  </si>
  <si>
    <t>B001FWXSAG</t>
  </si>
  <si>
    <t>297.55%</t>
  </si>
  <si>
    <t>Desitin® Daily Defense Cream</t>
  </si>
  <si>
    <t>Desitin Daily Defense Creamy Diaper Rash Cream - 16 oz</t>
  </si>
  <si>
    <t>B00XX4W22E</t>
  </si>
  <si>
    <t>297.23%</t>
  </si>
  <si>
    <t>6180578197656</t>
  </si>
  <si>
    <t>Citrucel® Orange Flavor Sugar-Free Fiber Powder 16.9oz.</t>
  </si>
  <si>
    <t>Citrucel Sugar Free Orange Flavor Methylcellulose Fiber Therapy Powder for Regularity, 16.9 ounce, Pack of 4</t>
  </si>
  <si>
    <t>B078YG1Q72</t>
  </si>
  <si>
    <t>21.19</t>
  </si>
  <si>
    <t>296.37%</t>
  </si>
  <si>
    <t>6224593485976</t>
  </si>
  <si>
    <t>Nova® Male Urinal with Cover</t>
  </si>
  <si>
    <t>Carex? 32 oz Male Urinal With Cover - Case of 6</t>
  </si>
  <si>
    <t>B00IG0ZQ00</t>
  </si>
  <si>
    <t>9.45</t>
  </si>
  <si>
    <t>296.30%</t>
  </si>
  <si>
    <t>6226715050136</t>
  </si>
  <si>
    <t>St. Ives Fresh Skin Apricot Scrub 6oz.</t>
  </si>
  <si>
    <t>St. Ives Fresh Skin Face Scrub Deeply Exfoliates for Smooth, Glowing Skin Apricot Dermatologist Tested, Made with 100% Natural Exfoliants 6 oz, pack of 6</t>
  </si>
  <si>
    <t>B00J4GRLGM</t>
  </si>
  <si>
    <t>6.69</t>
  </si>
  <si>
    <t>295.81%</t>
  </si>
  <si>
    <t>6160663445656</t>
  </si>
  <si>
    <t>Bayer Aspirin Low Dose 81 mg, Enteric Coated Tablets, Doctor Recommended, Secondary Prevention of Cardiovascular Disease, XX Safety Coated Tablets</t>
  </si>
  <si>
    <t>B001LFFPT4</t>
  </si>
  <si>
    <t>294.99%</t>
  </si>
  <si>
    <t>Attends Underwear, Disposable, Heavy Absorbency, Youth/Small, 80 Count</t>
  </si>
  <si>
    <t>B002EIMNVK</t>
  </si>
  <si>
    <t>294.75%</t>
  </si>
  <si>
    <t>Band-Aid Brand of First Aid Products Flexible Rolled Gauze, 2 Inches by 2.5 Yards (Pack of 5)</t>
  </si>
  <si>
    <t>B07BNR4JR2</t>
  </si>
  <si>
    <t>294.43%</t>
  </si>
  <si>
    <t>Advil-Ibuprofen Coated Tablets, 200 mg 360 coated tablets</t>
  </si>
  <si>
    <t>B000NWT2PO</t>
  </si>
  <si>
    <t>294.06%</t>
  </si>
  <si>
    <t>Depend Fit-Flex Extra Large Maximum Absorbency Underwear for Men, 80 Count</t>
  </si>
  <si>
    <t>B07D1YWGQ6</t>
  </si>
  <si>
    <t>293.76%</t>
  </si>
  <si>
    <t>Curad Small Non-Stick Pads With Adhesive Tabs 2 Inches X 3 Inches 20 Each</t>
  </si>
  <si>
    <t>B000L2GBI2</t>
  </si>
  <si>
    <t>293.45%</t>
  </si>
  <si>
    <t>O'Keeffe's Working Hands Hand Cream, 7 Ounce (198g) Tube, (Pack of 2)</t>
  </si>
  <si>
    <t>B08LLCMZFS</t>
  </si>
  <si>
    <t>293.00%</t>
  </si>
  <si>
    <t>Curad® Stainless Steel Bandage Scissors</t>
  </si>
  <si>
    <t>Premium Grade Set of 4 Bandage Scissors 5.5", Stitch Scissors 4.5" and Hemostat 5.5" Straight &amp; Curved -Premium Quality Stainless Steel</t>
  </si>
  <si>
    <t>B07PHBYZ6X</t>
  </si>
  <si>
    <t>292.73%</t>
  </si>
  <si>
    <t>6147853680792</t>
  </si>
  <si>
    <t>Mucinex® Sinus-Max Severe Congestion and Pain Caplets 20ct.</t>
  </si>
  <si>
    <t>Mucinex Sinus-Max Maximum Strength Severe Congestion and Pain, Sinus Symptom Relief, Pain Reliever, Expectorant and Nasal Decongestant, 20 Caplets (Pack of 6)</t>
  </si>
  <si>
    <t>B00EZWRPB6</t>
  </si>
  <si>
    <t>291.65%</t>
  </si>
  <si>
    <t>5241247301784</t>
  </si>
  <si>
    <t>Nature Made® Stress B-Complex Tablets 75ct.</t>
  </si>
  <si>
    <t>(4 Pack)-Nature Made Stress B Complex with C &amp; Zinc Tablets, 75 Count each</t>
  </si>
  <si>
    <t>B00M8MMOQ6</t>
  </si>
  <si>
    <t>291.58%</t>
  </si>
  <si>
    <t>4898428715147</t>
  </si>
  <si>
    <t>Dentemp® Loose Cap &amp; Lost Filling Repair</t>
  </si>
  <si>
    <t>Dentemp Repair Lost Fillings &amp; Loose Caps Max Strength (6 Pack)</t>
  </si>
  <si>
    <t>B00LNCEIVQ</t>
  </si>
  <si>
    <t>291.40%</t>
  </si>
  <si>
    <t>6166072393880</t>
  </si>
  <si>
    <t>Resinol Medicated Ointment 3.30 oz (Pack of 4)</t>
  </si>
  <si>
    <t>B008RU64IC</t>
  </si>
  <si>
    <t>290.69%</t>
  </si>
  <si>
    <t>Phisoderm Anti-Blemish Gel Cleanser 6 oz (3 pack)</t>
  </si>
  <si>
    <t>B005FN0L1K</t>
  </si>
  <si>
    <t>290.58%</t>
  </si>
  <si>
    <t>Afrin Original Strength Nasal Decongestant Spray 0.5 Fl Oz, Pack of 6</t>
  </si>
  <si>
    <t>B0087W3EF6</t>
  </si>
  <si>
    <t>289.20%</t>
  </si>
  <si>
    <t>Dentemp Maximum Strength Lost Fillings and Loose Caps Repair, Pack of 6</t>
  </si>
  <si>
    <t>B001GCVJF6</t>
  </si>
  <si>
    <t>288.53%</t>
  </si>
  <si>
    <t>Apex Glasses Repair Kit</t>
  </si>
  <si>
    <t>Eyeglass Repair Kit with Glasses Screws - Contains Precision Screwdriver kit and Nose Pads, Cleaning Cloth, Tweezers, Complete Glasses Repair Kit</t>
  </si>
  <si>
    <t>B0B82MDRFR</t>
  </si>
  <si>
    <t>2.43</t>
  </si>
  <si>
    <t>288.48%</t>
  </si>
  <si>
    <t>6197954347160</t>
  </si>
  <si>
    <t>Old Spice High Endurance Antiperspirant and Deodorant for Men Pure Sport 3 Oz (Pack of 6)</t>
  </si>
  <si>
    <t>B001F51UC6</t>
  </si>
  <si>
    <t>287.94%</t>
  </si>
  <si>
    <t>Ricola Sugar Free Lemon Mint Herbal Cough Suppressant Throat Drops | Naturally Soothing Long-Lasting Relief -19 Count (Pack of 4) Bags</t>
  </si>
  <si>
    <t>B08653LN2M</t>
  </si>
  <si>
    <t>287.73%</t>
  </si>
  <si>
    <t>Airborne Immune Support Supplement Vitamin C Chewable Tablets, Citrus 32 ea (Pack of 4)</t>
  </si>
  <si>
    <t>B01IAICNP8</t>
  </si>
  <si>
    <t>286.69%</t>
  </si>
  <si>
    <t>Band-Aid Brand of First Aid Products Cushion-Care Gauze Pads, 2 Inches by 2 Inches, 25 Count (Pack of 6)</t>
  </si>
  <si>
    <t>B00OZV2ZE4</t>
  </si>
  <si>
    <t>285.69%</t>
  </si>
  <si>
    <t>ALKA-SELTZER PLUS Severe, Cold &amp; Flu Medicine, Citrus Effervescent Tablets, Nasal &amp; Sinus Congestion, Sneezing, Runny Nose, Cough, Sore Throat, Fever, Headache and Body Aches &amp; Pains, 48ct</t>
  </si>
  <si>
    <t>B0B9HX5F9Z</t>
  </si>
  <si>
    <t>285.28%</t>
  </si>
  <si>
    <t>Simply Saline™ Extra Strength Severe Congestion</t>
  </si>
  <si>
    <t>Simply Saline Nasal Mist Extra Strength Severe Congestion 4.6 oz (Pack of 4)</t>
  </si>
  <si>
    <t>B01IAIJTOQ</t>
  </si>
  <si>
    <t>6.23</t>
  </si>
  <si>
    <t>284.91%</t>
  </si>
  <si>
    <t>5241069011096</t>
  </si>
  <si>
    <t>Aveeno 1% Hydrocortisone Anti-Itch Cream 1oz</t>
  </si>
  <si>
    <t>Aveeno Anti-Itch Cream, 1% Hydrocortisone, Maximum Strength, 1 Ounce (Pack of 6)</t>
  </si>
  <si>
    <t>B01LTI054W</t>
  </si>
  <si>
    <t>8.73</t>
  </si>
  <si>
    <t>284.19%</t>
  </si>
  <si>
    <t>6149142184088</t>
  </si>
  <si>
    <t>Bayer Chewable Low Dose Baby Aspirin Cherry 81 Mg 36-Count (Pack of 3)</t>
  </si>
  <si>
    <t>B0044QWM16</t>
  </si>
  <si>
    <t>283.91%</t>
  </si>
  <si>
    <t>Solarcaine® Cool Aloe Burn Relief Spray 4.5 oz</t>
  </si>
  <si>
    <t>Solarcaine Cool Aloe Burn Relief Spray with 0.5% Lidocaine 4.50 Fl Oz, Pack of 2</t>
  </si>
  <si>
    <t>B00E4MPKKK</t>
  </si>
  <si>
    <t>283.49%</t>
  </si>
  <si>
    <t>6152197832856</t>
  </si>
  <si>
    <t>Aquaphor Baby Healing Ointment - Advanced Therapy for Chapped Cheeks and Diaper Rash, 4 Tube Pack</t>
  </si>
  <si>
    <t>B07W3KNQY5</t>
  </si>
  <si>
    <t>282.97%</t>
  </si>
  <si>
    <t>Aveeno® Stress Relief Moisturizing Lotion 12fl. oz.</t>
  </si>
  <si>
    <t>Aveeno Stress Relief Moisturizing Body Lotion with Lavender, Natural Oatmeal and Chamomile &amp; Ylang-Ylang Essential Oils to Calm &amp; Relax, 12 fl. oz (Pack of 3)</t>
  </si>
  <si>
    <t>B01CCELDYI</t>
  </si>
  <si>
    <t>10.59</t>
  </si>
  <si>
    <t>281.96%</t>
  </si>
  <si>
    <t>6160912449688</t>
  </si>
  <si>
    <t>Claritin Non-Drowsy 24 hours indoor outdoor Allergies 80 Tablets</t>
  </si>
  <si>
    <t>B00XITTFKQ</t>
  </si>
  <si>
    <t>280.26%</t>
  </si>
  <si>
    <t>Coricidin® HBP Cough &amp; Cold Relief Tablets</t>
  </si>
  <si>
    <t>Coricidin HBP Antihistamine Cough &amp; Cold Suppressant Tablets, 16 Tablets (Pack of 5)</t>
  </si>
  <si>
    <t>B01IAIL9G2</t>
  </si>
  <si>
    <t>279.53%</t>
  </si>
  <si>
    <t>5242424983704</t>
  </si>
  <si>
    <t>Nova Folding Walker with 5 Inch Wheels</t>
  </si>
  <si>
    <t>NOVA Medical Products Star DX Heavy Duty Bariatric Rollator Walker with Extra Wide Padded Seat, 8” Wheels, Fold Lock Feature, with Adjustable Seat Height &amp; 450 lb Weight Capacity, Blue</t>
  </si>
  <si>
    <t>B0862QNHMJ</t>
  </si>
  <si>
    <t>81.53</t>
  </si>
  <si>
    <t>279.00%</t>
  </si>
  <si>
    <t>6132572487832</t>
  </si>
  <si>
    <t>Boudreaux's Butt Paste Maximum Strength Diaper Rash Ointment, 4 Ounce , 3 Count (Pack of 1)</t>
  </si>
  <si>
    <t>B01M7Z1BAR</t>
  </si>
  <si>
    <t>Apex DayPlanner Pill Organizer</t>
  </si>
  <si>
    <t>275.12%</t>
  </si>
  <si>
    <t>6197978529944</t>
  </si>
  <si>
    <t>Liquid I.V® Hydration Multiplier Electrolyte Mix 8pck</t>
  </si>
  <si>
    <t>Liquid I.V. Hydration Multiplier - Watermelon - Hydration Powder Packets | Electrolyte Drink Mix | Easy Open Single-Serving Stick | Non-GMO | 48 Sticks</t>
  </si>
  <si>
    <t>B08ZYQJXZL</t>
  </si>
  <si>
    <t>275.04%</t>
  </si>
  <si>
    <t>5632002916504</t>
  </si>
  <si>
    <t>AVEENO Active Naturals 1% Hydrocortisone Anti-Itch Cream 1 oz ( Pack of 6)</t>
  </si>
  <si>
    <t>B00620T9HM</t>
  </si>
  <si>
    <t>274.91%</t>
  </si>
  <si>
    <t>BAND-AID® Tough Strips</t>
  </si>
  <si>
    <t>Band-Aid Brand Sterile Tough Strips Adhesive Bandages for First Aid &amp; Wound Care, Durable Protection &amp; Comfort for Minor Cuts, Scrapes &amp; Burns, Heavy-Duty Fabric Bandages, One Size, 20 ct</t>
  </si>
  <si>
    <t>B00HQRCIKU</t>
  </si>
  <si>
    <t>274.87%</t>
  </si>
  <si>
    <t>6134425714840</t>
  </si>
  <si>
    <t>eos Smooth Lip Balm Sphere, Sweet Mint 0.25 oz (Pack of 3)</t>
  </si>
  <si>
    <t>B01IADYCP2</t>
  </si>
  <si>
    <t>274.69%</t>
  </si>
  <si>
    <t>Prevagen Improves Memory - Regular Strength 10mg, 60 Capsules |2 Pack| with Apoaequorin &amp; Vitamin D &amp; Prevagen 7-Day Pill Minder | Brain Supplement for Better Brain Health</t>
  </si>
  <si>
    <t>B019WU42A2</t>
  </si>
  <si>
    <t>274.52%</t>
  </si>
  <si>
    <t>Ocusoft® Lid Scrub Foaming Eyelid Cleanser 7.25fl. oz.</t>
  </si>
  <si>
    <t>Ocusoft Lid Scrub Foaming Eyelid Cleanser, 7.25 fl oz (Pack of 3)</t>
  </si>
  <si>
    <t>B01BS52MWE</t>
  </si>
  <si>
    <t>21.13</t>
  </si>
  <si>
    <t>273.78%</t>
  </si>
  <si>
    <t>6952376762520</t>
  </si>
  <si>
    <t>Curad Germ Shield Antimicrobial Gel 0.50 oz (Pack of 3)</t>
  </si>
  <si>
    <t>B075ZFRC9K</t>
  </si>
  <si>
    <t>273.55%</t>
  </si>
  <si>
    <t>Hibiclens Antiseptic/Antimicrobial Skin Cleanser 8fl. oz.</t>
  </si>
  <si>
    <t>Hibiclens – Antimicrobial and Antiseptic Soap and Skin Cleanser – 1 Gallon – for Home and Hospital – 4% CHG</t>
  </si>
  <si>
    <t>B000GCIC8E</t>
  </si>
  <si>
    <t>11.23</t>
  </si>
  <si>
    <t>273.11%</t>
  </si>
  <si>
    <t>6157103169688</t>
  </si>
  <si>
    <t>Degree® Sheer Powder Dry Protection Antiperspirant Deodorant Stick</t>
  </si>
  <si>
    <t>Degree Advanced Antiperspirant Deodorant Dry Spray 72-Hour Sweat and Odor Protection Sheer Powder Deodorant Spray For Women With MotionSense Technology 3.8 oz, Pack of 3</t>
  </si>
  <si>
    <t>B08YKGCQJ6</t>
  </si>
  <si>
    <t>272.41%</t>
  </si>
  <si>
    <t>6125738623128</t>
  </si>
  <si>
    <t>Reach Mint Waxed Floss, 200 Yd</t>
  </si>
  <si>
    <t>B013EK49VI</t>
  </si>
  <si>
    <t>271.15%</t>
  </si>
  <si>
    <t>OFF! Familycare Insect Repellent Smooth &amp; Dry (Pack - 6)</t>
  </si>
  <si>
    <t>B07FB3PNKR</t>
  </si>
  <si>
    <t>271.09%</t>
  </si>
  <si>
    <t>Prince of Peace Ginger Chews With Lemon, 4 oz. ? Candied Ginger ? Lemon Candy ? Lemon Ginger Chews ? Natural Candy ? Ginger Candy - 2 Pack</t>
  </si>
  <si>
    <t>B08R5FBLZ6</t>
  </si>
  <si>
    <t>271.05%</t>
  </si>
  <si>
    <t>Alka-Seltzer Heartburn Relief and Gas Relief Chews Antacid Tablets for Acid Indigestion Bloating and Pressure, 180 Count, Tropical Punch</t>
  </si>
  <si>
    <t>B08QG6KPD2</t>
  </si>
  <si>
    <t>270.79%</t>
  </si>
  <si>
    <t>Neutrogena Oil-Free Acne Wash 9.10 oz (Pack of 4)</t>
  </si>
  <si>
    <t>B00H3R2J8Y</t>
  </si>
  <si>
    <t>270.55%</t>
  </si>
  <si>
    <t>Magnetic Eyeglass Repair Kit, Glasses Repair Kit with Eyeglass Screws Include Nose Pads, Precision Screwdriver Tool Set and Tweezers for Eyeglasses, Sunglasses, Watch Clock Spectacle Repair</t>
  </si>
  <si>
    <t>B07V7DH3Y6</t>
  </si>
  <si>
    <t>269.96%</t>
  </si>
  <si>
    <t>TEKPREM Magnetic Eyeglass Repair Tool Kit, Eye Glasses Repairing Screwdriver Set with Eyeglass Screws,Silicone Nose Pads,Tweezer,Small Screwdriver for Eyeglasses,Sunglasses and Nose Pads Replacement</t>
  </si>
  <si>
    <t>B0BC13KX15</t>
  </si>
  <si>
    <t>Fleet Bisacodyl Enema 1.25 oz (Pack of 5)</t>
  </si>
  <si>
    <t>B01IAHY7BW</t>
  </si>
  <si>
    <t>267.63%</t>
  </si>
  <si>
    <t>Always Discreet Incontinence Underwear for Women, Maximum, Classic, Count 45 Size XL - 3 Set</t>
  </si>
  <si>
    <t>B07F1KR4VW</t>
  </si>
  <si>
    <t>266.84%</t>
  </si>
  <si>
    <t>Prilosec OTC® Delayed Release Acid Reducer Tablets</t>
  </si>
  <si>
    <t>Prilosec OTC Acid Reducer, Delayed-Release Tablets, 2 Pack-84 Count</t>
  </si>
  <si>
    <t>B01N4L0YXK</t>
  </si>
  <si>
    <t>266.47%</t>
  </si>
  <si>
    <t>6225795416216</t>
  </si>
  <si>
    <t>Pedia-Lax Fleet Liquid Glycerin Suppositories by Pedia-Lax</t>
  </si>
  <si>
    <t>B01MXXNT4Z</t>
  </si>
  <si>
    <t>266.30%</t>
  </si>
  <si>
    <t>Fleet Fleet Laxative - Pedia-Lax Liquid Glycerin Suppositories, 6 each by Fleet</t>
  </si>
  <si>
    <t>B01M7573PC</t>
  </si>
  <si>
    <t>Apex Weekly Twice-A-Day Pill Organizer</t>
  </si>
  <si>
    <t>Apex Twice-A-Day Weekly Pill Organizer 1 ea (Color may vary) ( Pack of 6)</t>
  </si>
  <si>
    <t>B000RY7PD4</t>
  </si>
  <si>
    <t>265.65%</t>
  </si>
  <si>
    <t>6197879898264</t>
  </si>
  <si>
    <t>BAND-AID® Flexible Fabric Assorted Sizes</t>
  </si>
  <si>
    <t>Band-aid Adhesive Bandages, Flexible Fabric, Assorted Sizes, 1" X 3", 3/4" X 3", 5/8" X 2 1/4", 100 Count (Pack of 2)</t>
  </si>
  <si>
    <t>B0095IHCBS</t>
  </si>
  <si>
    <t>265.58%</t>
  </si>
  <si>
    <t>6132896596120</t>
  </si>
  <si>
    <t>Band-Aid Brand Sterile Flexible Fabric Adhesive Bandages, Comfortable Flexible Protection &amp; Wound Care for Minor Cuts, Pad Designed to Cushion Painful Wounds, One Size, 2 Pack, 100 Ct</t>
  </si>
  <si>
    <t>B09SJ289S6</t>
  </si>
  <si>
    <t>Coricidin® HBP Chest Congestion &amp; Cough Liquid Gels</t>
  </si>
  <si>
    <t>Coricidin HBP Chest Congestion &amp; Cough Liqui-Gels 20 Liqui-Gels, Pack of 5</t>
  </si>
  <si>
    <t>B00IARTQDW</t>
  </si>
  <si>
    <t>11.49</t>
  </si>
  <si>
    <t>265.54%</t>
  </si>
  <si>
    <t>5242457194648</t>
  </si>
  <si>
    <t>Dr. Scholl’s® Stylish Step® Ball of Foot Cushions for High Heels</t>
  </si>
  <si>
    <t>Dr. Scholl's Stylish Step Ball Of Foot Cushions For High Heels - 1 pr, Pack of 4</t>
  </si>
  <si>
    <t>B07B9GXBF6</t>
  </si>
  <si>
    <t>264.90%</t>
  </si>
  <si>
    <t>6209469513880</t>
  </si>
  <si>
    <t>Colace 2-in-1 Stool Softener + Stimulant Laxative, 60 Tablets (Pack of 3)</t>
  </si>
  <si>
    <t>B07GTC1QHC</t>
  </si>
  <si>
    <t>261.86%</t>
  </si>
  <si>
    <t>Prince of Peace Original Ginger Chews, 4 oz. – Candied Ginger – Natural Candy Pack – 2 Pack</t>
  </si>
  <si>
    <t>B0779PY9KC</t>
  </si>
  <si>
    <t>257.89%</t>
  </si>
  <si>
    <t>Depend FIT-FLEX Incontinence Underwear for Men, Maximum Absorbency, Large/X-Large, Gray (Packaging may vary)</t>
  </si>
  <si>
    <t>B016ETQP8G</t>
  </si>
  <si>
    <t>256.03%</t>
  </si>
  <si>
    <t>Q-tips Cotton Swabs 500 ea (Pack of 2)</t>
  </si>
  <si>
    <t>B0176QMIEQ</t>
  </si>
  <si>
    <t>254.96%</t>
  </si>
  <si>
    <t>Foille Medicated First Aid Ointment 1 oz (Pack of 3)</t>
  </si>
  <si>
    <t>B01FAN6RQM</t>
  </si>
  <si>
    <t>254.79%</t>
  </si>
  <si>
    <t>O'Keeffe's Cooling Relief Lip Repair Lip Balm for Dry, Cracked Lips, Tube, (Pack of 1)</t>
  </si>
  <si>
    <t>B01M0I78OF</t>
  </si>
  <si>
    <t>254.25%</t>
  </si>
  <si>
    <t>Citrucel Sugar Free Orange Flavor Methylcellulose Fiber Therapy Powder for Regularity, 16.9 ounce (Pack of 3)</t>
  </si>
  <si>
    <t>B07GC6QPY4</t>
  </si>
  <si>
    <t>253.89%</t>
  </si>
  <si>
    <t>AZO Cranberry® Urinary Tract Health Gummies 40ct.</t>
  </si>
  <si>
    <t>AZO Cranberry Gummies Urinary Tract Health, Mixed Berry 40 ea (Pack of 3)</t>
  </si>
  <si>
    <t>B01IAIRAQA</t>
  </si>
  <si>
    <t>252.23%</t>
  </si>
  <si>
    <t>6177586249880</t>
  </si>
  <si>
    <t>Duracell - CopperTop AAA Alkaline Batteries - Long Lasting, All-Purpose Triple A Battery for Household and Business - Pack of 36</t>
  </si>
  <si>
    <t>B07TVM57MZ</t>
  </si>
  <si>
    <t>252.03%</t>
  </si>
  <si>
    <t>Contour® Next EZ Meter</t>
  </si>
  <si>
    <t>O Well Contour NEXT EZ Diabetes Testing Kit, Contour NEXT EZ Blood Glucose Meter, 100 Contour NEXT Blood Glucose Test Strips, 100 O'WELL Lancets, O'WELL Lancing Device, LogBook and Carry Case</t>
  </si>
  <si>
    <t>B01HDWVFB0</t>
  </si>
  <si>
    <t>19.89</t>
  </si>
  <si>
    <t>251.89%</t>
  </si>
  <si>
    <t>4892914974859</t>
  </si>
  <si>
    <t>Buf-Puf Double-Sided Body Sponge (Pack of 3)</t>
  </si>
  <si>
    <t>B00U1NOXKY</t>
  </si>
  <si>
    <t>251.42%</t>
  </si>
  <si>
    <t>Burt's Bees Lemon Butter Cuticle Cream .60 Ounce (Two .30 Ounce Tins)</t>
  </si>
  <si>
    <t>B01AGZKECM</t>
  </si>
  <si>
    <t>250.31%</t>
  </si>
  <si>
    <t>Attends Underwear for Adult Incontinence Care with quick-dry channels, Ultimate Absorbency, Unisex, X-Large, 14 count (x4)</t>
  </si>
  <si>
    <t>B00BHSUCIY</t>
  </si>
  <si>
    <t>250.10%</t>
  </si>
  <si>
    <t>Curad Non-Stick Pads, 2 X 3 Inch(5.1 x 7.6 cm), 20 Count</t>
  </si>
  <si>
    <t>B001KYTYLQ</t>
  </si>
  <si>
    <t>248.91%</t>
  </si>
  <si>
    <t>Band-Aid Band-Aid Tough-Strips 100% Waterproof Adhesive Bandages Extra Large, 10 each (Pack of 3) by Band-Aid</t>
  </si>
  <si>
    <t>B013XRB64A</t>
  </si>
  <si>
    <t>248.87%</t>
  </si>
  <si>
    <t>Resinol Medicated Ointment 3 OZ - Buy Packs and SAVE (Pack of 3)</t>
  </si>
  <si>
    <t>B01LXPR2ES</t>
  </si>
  <si>
    <t>248.64%</t>
  </si>
  <si>
    <t>Claritin 24 Hour Allergy Medicine, Non-Drowsy Prescription Strength Allergy Relief, Loratadine Antihistamine Tablets, 70 Count</t>
  </si>
  <si>
    <t>B00AMAHL7S</t>
  </si>
  <si>
    <t>248.33%</t>
  </si>
  <si>
    <t>Prince of Peace Original Ginger Chews, 4 oz. ? Candied Ginger ? Natural Candy Pack ? 2 Pack</t>
  </si>
  <si>
    <t>B08R57CB84</t>
  </si>
  <si>
    <t>247.89%</t>
  </si>
  <si>
    <t>Colgate Plus Toothbrush, Full Head, Soft - 2 ct - 2 pk</t>
  </si>
  <si>
    <t>B004WP5WSE</t>
  </si>
  <si>
    <t>247.49%</t>
  </si>
  <si>
    <t>Afrin Original Maximum Strength 12 Hour Nasal Congestion Relief Spray - 3 bottles, 1 FL OZ (30mL) each. Total 3 FL OZ (90 mL)</t>
  </si>
  <si>
    <t>B00DDZBFNK</t>
  </si>
  <si>
    <t>247.18%</t>
  </si>
  <si>
    <t>Summer's Eve on-the-go Individually Wrapped Cleansing Cloths | Simply Sensitive, 16-Count per Pack | (3-Packs)</t>
  </si>
  <si>
    <t>B078SXQWDK</t>
  </si>
  <si>
    <t>246.88%</t>
  </si>
  <si>
    <t>Klaire Labs Theraslim Capsules</t>
  </si>
  <si>
    <t>Klaire Labs Ther-Biotic Factor 6 Probiotic - Ultra-Strength 100 Billion CFU Probiotics for Men &amp; Women - Supports Immune, Digestive &amp; Colon Health - Hypoallergenic, Dairy Free (60 Capsules)</t>
  </si>
  <si>
    <t>B005FG08ME</t>
  </si>
  <si>
    <t>246.25%</t>
  </si>
  <si>
    <t>4435727810699</t>
  </si>
  <si>
    <t>Klaire Labs Ther-Biotic Complete - 25 Billion CFU Probiotic Supplement - Gut Health, Digestive + Immune Support - Hypoallergenic Probiotics for Men + Women - Clean + Dairy-Free (120 Capsules)</t>
  </si>
  <si>
    <t>B01AVJEA2I</t>
  </si>
  <si>
    <t>Liquid I.V. Hydration Multiplier, Electrolyte Powder, Easy Open Packets, Supplement Drink Mix (Strawberry 60 Count)</t>
  </si>
  <si>
    <t>B08PPX1DVF</t>
  </si>
  <si>
    <t>245.12%</t>
  </si>
  <si>
    <t>GoodSense® Loratadine Allergy Tablets</t>
  </si>
  <si>
    <t>Goodsense Allergy Relief Loratadine 10 Mg 24 Hr Tablets, Blue, 365 Count (Pack of 12)</t>
  </si>
  <si>
    <t>B07PD71TYH</t>
  </si>
  <si>
    <t>244.38%</t>
  </si>
  <si>
    <t>5243110916248</t>
  </si>
  <si>
    <t>Burt's Bees Baby™ Original Nourishing Lotion 6oz.</t>
  </si>
  <si>
    <t>Burt's Bees Baby Nourishing Lotion, Original Scent Baby Lotion - 12 Ounce Bottle (Pack of 3)</t>
  </si>
  <si>
    <t>B01N16I5T1</t>
  </si>
  <si>
    <t>244.06%</t>
  </si>
  <si>
    <t>6179951149208</t>
  </si>
  <si>
    <t>Liquid I.V. Hydration Multiplier + Immune Support - Tangerine - Hydration Powder Packets | Electrolyte Drink Mix | Easy Open Single-Serving Stick | Non-GMO | 42 Sticks</t>
  </si>
  <si>
    <t>B08MHYC6NM</t>
  </si>
  <si>
    <t>243.77%</t>
  </si>
  <si>
    <t>Apex Eye/Ear Dropper, 2 Count (Pack of 1)</t>
  </si>
  <si>
    <t>B000EGP550</t>
  </si>
  <si>
    <t>243.39%</t>
  </si>
  <si>
    <t>Integrative Therapeutics Pro-Flora Concentrate - with Probiotic Pearls Technology to Support Gut Health - Probiotics for Women and Men - Gluten Free - Sugar Free - 90 Capsules</t>
  </si>
  <si>
    <t>B001PYULRW</t>
  </si>
  <si>
    <t>241.27%</t>
  </si>
  <si>
    <t>(120 Strips) Breathe Right Original Tan Large Nasal Strips</t>
  </si>
  <si>
    <t>B006835POY</t>
  </si>
  <si>
    <t>240.62%</t>
  </si>
  <si>
    <t>Duracell® 301/386 Silver Oxide Button Battery</t>
  </si>
  <si>
    <t>12-Pack Duracell 301/386 Batteries 1.5 Volt Silver Oxide Coin Button</t>
  </si>
  <si>
    <t>B073ZJQJJR</t>
  </si>
  <si>
    <t>238.59%</t>
  </si>
  <si>
    <t>6206490312856</t>
  </si>
  <si>
    <t>MiraLAX Gentle Constipation Relief Laxative Powder, Stool Softener with PEG 3350, Works Naturally with Water in Your Body, No Harsh Side Effects, Osmotic Laxative, #1 Physician Recommended, 45 Dose</t>
  </si>
  <si>
    <t>B01MTPCPLS</t>
  </si>
  <si>
    <t>237.35%</t>
  </si>
  <si>
    <t>Prevagen Improves Memory - Extra Strength 20mg, 60 Capsules 2 Pack with Apoaequorin &amp; Vitamin D &amp; Prevagen 7-Day Pill Minder | Brain Supplement for Better Brain Health, Supports Healthy Brain Function</t>
  </si>
  <si>
    <t>B07THL9WWR</t>
  </si>
  <si>
    <t>236.84%</t>
  </si>
  <si>
    <t>Ricola Sugar Free Lemon Mint Herbal Cough Suppressant Throat Drops, 105ct Bag</t>
  </si>
  <si>
    <t>B00AY6RO9U</t>
  </si>
  <si>
    <t>236.55%</t>
  </si>
  <si>
    <t>Move Free Advanced Plus MSM, 120 tablets - Joint Health Supplement with Glucosamine and Chondroitin (Pack of 4)</t>
  </si>
  <si>
    <t>B004SH8PD0</t>
  </si>
  <si>
    <t>235.11%</t>
  </si>
  <si>
    <t>Palmer's Cocoa Butter Formula Daily Skin Therapy Body Lotion with Vitamin E, 13.5 Fl Oz (3 Count)</t>
  </si>
  <si>
    <t>B07XHCM8P7</t>
  </si>
  <si>
    <t>234.83%</t>
  </si>
  <si>
    <t>10 Pack Syringe without Needle, 10ml/cc Syringes for Jello Shots with with Tip Cap &amp; Individually Wrapped, Syringe for Oral,Scientific Labs, Measuring, Watering,refilling, Pets, Medical Student, Oil or Glue Applicator</t>
  </si>
  <si>
    <t>B0C1Y9DPD3</t>
  </si>
  <si>
    <t>234.64%</t>
  </si>
  <si>
    <t>Care Touch 10ml Syringe with Luer Slip Tip - 100 Sterile Syringes – No Needle Great for Dispensing Oral Medicine and Home Care</t>
  </si>
  <si>
    <t>B01JJYDFHM</t>
  </si>
  <si>
    <t>Fruit of the Earth Aloe Vera 100% Gel 6 oz (Pack of 3)</t>
  </si>
  <si>
    <t>B00H564UCG</t>
  </si>
  <si>
    <t>234.03%</t>
  </si>
  <si>
    <t>Nature Made® Folic Acid 400mcg Tablets 250ct.</t>
  </si>
  <si>
    <t>Nature Made Folic Acid 400mcg, 250 Tablets (Pack of 3)</t>
  </si>
  <si>
    <t>B01GI4A344</t>
  </si>
  <si>
    <t>233.93%</t>
  </si>
  <si>
    <t>5238355886232</t>
  </si>
  <si>
    <t>Bayer® Genuine Aspirin 325mg Tablets</t>
  </si>
  <si>
    <t>Bayer Aspirin 81mg Enteric Coated Tablets 300ct and 2 Count Travel Pack of Genuine Aspirin 325mg Coated Tablets</t>
  </si>
  <si>
    <t>B0CC3NVK17</t>
  </si>
  <si>
    <t>233.82%</t>
  </si>
  <si>
    <t>5248368902296</t>
  </si>
  <si>
    <t>Pantene Pro-V Classic Clean Shampoo, White, 12.6 Fl Oz (Pack of 1)</t>
  </si>
  <si>
    <t>B000XGIZZ8</t>
  </si>
  <si>
    <t>233.79%</t>
  </si>
  <si>
    <t>Murata 386/301 Battery SR43/W/SW 1.55V Silver Oxide Watch Button Cell (10 Batteries)</t>
  </si>
  <si>
    <t>B088KNNWHX</t>
  </si>
  <si>
    <t>233.77%</t>
  </si>
  <si>
    <t>Boudreaux's Butt Paste Original Diaper Rash Cream, Ointment for Baby, 4 oz Tube, 3 Pack</t>
  </si>
  <si>
    <t>B00U37Q54U</t>
  </si>
  <si>
    <t>232.51%</t>
  </si>
  <si>
    <t>Sun Bum® Original SPF 50 Sunscreen Lotion</t>
  </si>
  <si>
    <t>Sun Bum Original SPF 50 Sunscreen Roll-On Lotion | Vegan and Reef Friendly (Octinoxate &amp; Oxybenzone Free) Broad Spectrum Moisturizing UVA/UVB Sunscreen Lotion with Vitamin E | 3 oz | 2 Pack</t>
  </si>
  <si>
    <t>B09NP3LVNV</t>
  </si>
  <si>
    <t>230.23%</t>
  </si>
  <si>
    <t>6228108279960</t>
  </si>
  <si>
    <t>Apex Baby Ear Syringe</t>
  </si>
  <si>
    <t>Apex Ear Syringe (Pack of 3)</t>
  </si>
  <si>
    <t>B000EGP5BO</t>
  </si>
  <si>
    <t>229.81%</t>
  </si>
  <si>
    <t>6197936783512</t>
  </si>
  <si>
    <t>Olay Firming Night Cream 2oz.</t>
  </si>
  <si>
    <t>OLAY Night of OLAY Firming Cream 2 oz (Pack of 4)</t>
  </si>
  <si>
    <t>B00IAJET2I</t>
  </si>
  <si>
    <t>10.19</t>
  </si>
  <si>
    <t>229.74%</t>
  </si>
  <si>
    <t>6158892761240</t>
  </si>
  <si>
    <t>Mack's Pillow Soft Silicone Earplugs, 8 Pair - The Original Moldable Silicone Putty Ear Plugs for Sleeping, Snoring, Swimming, Travel, Concerts and Studying | Made in USA</t>
  </si>
  <si>
    <t>B00SYEHC64</t>
  </si>
  <si>
    <t>229.30%</t>
  </si>
  <si>
    <t>Mintox Maximum Strength Antacid Anti-Gas Liquid Generic for Maalox Max Lemon Flavor 12 oz Per Bottle 2 PACK by Major Pharmaceuticals</t>
  </si>
  <si>
    <t>B01AVKPIHI</t>
  </si>
  <si>
    <t>229.28%</t>
  </si>
  <si>
    <t>Apex - 70004 Oral Syringe with Filler Tube</t>
  </si>
  <si>
    <t>B000OOJOU4</t>
  </si>
  <si>
    <t>229.05%</t>
  </si>
  <si>
    <t>RectiCare® Anorectal Cream (30g)</t>
  </si>
  <si>
    <t>RectiCare Anorectal Cream 1 oz (30g) (Pack of 5)</t>
  </si>
  <si>
    <t>B01IAIDYX8</t>
  </si>
  <si>
    <t>228.64%</t>
  </si>
  <si>
    <t>5247241748632</t>
  </si>
  <si>
    <t>3M Nexcare Flexible Clear Tape 1 Inch - 2 ct, Pack of 5</t>
  </si>
  <si>
    <t>B0792LBDYY</t>
  </si>
  <si>
    <t>228.13%</t>
  </si>
  <si>
    <t>EZY DOSE Ear and Eye Medicine Dropper, For Liquid Medicine, 1mL Capacity, Glass, Black, Made in the USA</t>
  </si>
  <si>
    <t>B0071S5Y46</t>
  </si>
  <si>
    <t>228.04%</t>
  </si>
  <si>
    <t>Oral-B Complete Deep Clean Soft Bristles Toothbrush 1 Count (Pack of 6)</t>
  </si>
  <si>
    <t>B0000C4KJA</t>
  </si>
  <si>
    <t>226.16%</t>
  </si>
  <si>
    <t>BioGaia® Protectis Probiotic Drops with Vitamin D3 10ml.</t>
  </si>
  <si>
    <t>BioGaia ProTectis Drops with Vitamin D3 - 10ml Pack of 4 by BioGaia</t>
  </si>
  <si>
    <t>B01AVJ8I5I</t>
  </si>
  <si>
    <t>34.33</t>
  </si>
  <si>
    <t>226.13%</t>
  </si>
  <si>
    <t>6256416751768</t>
  </si>
  <si>
    <t>Aveeno® Soothing Oatmeal Bath Treatment 8 Packets</t>
  </si>
  <si>
    <t>Aveeno Aveeno Active Naturals Soothing Bath Treatment Packets, 8 each (Pack of 3)</t>
  </si>
  <si>
    <t>B01IA96KV0</t>
  </si>
  <si>
    <t>225.86%</t>
  </si>
  <si>
    <t>6164757381272</t>
  </si>
  <si>
    <t>Fixodent® Complete Original Denture Adhesive Cream 2.4 oz</t>
  </si>
  <si>
    <t>Fixodent Original Denture Adhesive Cream-2.4 oz, 4 pk</t>
  </si>
  <si>
    <t>B00J7GA1EI</t>
  </si>
  <si>
    <t>225.57%</t>
  </si>
  <si>
    <t>6167588110488</t>
  </si>
  <si>
    <t>GUM® Orthodontic Wax + Vitamin E and Aloe Vera</t>
  </si>
  <si>
    <t>New Genuine Orthowax Plus - Now Precut with Aloe Vera and Vitamin E - Stick Better Than competitors - Orthodontic Wax for Braces Wearer (Pack of 9) - Unscented</t>
  </si>
  <si>
    <t>B08T8RWFQJ</t>
  </si>
  <si>
    <t>3.29</t>
  </si>
  <si>
    <t>224.92%</t>
  </si>
  <si>
    <t>6166145433752</t>
  </si>
  <si>
    <t>Fixodent Complete Original Denture Adhesive Cream, 4 pk./2.4 oz.</t>
  </si>
  <si>
    <t>B071QXQS8V</t>
  </si>
  <si>
    <t>224.50%</t>
  </si>
  <si>
    <t>Nexcare Opticlude Orthoptic Eye Patches Regular 20 Each by Nexcare</t>
  </si>
  <si>
    <t>B01M6CF1D7</t>
  </si>
  <si>
    <t>224.28%</t>
  </si>
  <si>
    <t>Midol® Complete Menstrual Pain Relief Caplets 24ct.</t>
  </si>
  <si>
    <t>Midol Complete Caplets with Acetaminophen for Menstrual Symptom Relief On The Go Pouches - 50 Count (25 Pouches of 2 Caplets) Heat Vibes Menstrual Pain Relief Patch, 6 Count</t>
  </si>
  <si>
    <t>B0BBZN3HVG</t>
  </si>
  <si>
    <t>223.92%</t>
  </si>
  <si>
    <t>6177716830360</t>
  </si>
  <si>
    <t>Johnson's Baby Aloe &amp; Vitamin E Baby Powder, 4 oz (Pack of 3)</t>
  </si>
  <si>
    <t>B01IAI9R7A</t>
  </si>
  <si>
    <t>223.30%</t>
  </si>
  <si>
    <t>Nix Premium Metal Lice Two Sided Comb</t>
  </si>
  <si>
    <t>Nix Premium Metal Two Sided Lice &amp; Nits Remover Comb 1 EA (PACK OF 3)</t>
  </si>
  <si>
    <t>B00GSZUF0Q</t>
  </si>
  <si>
    <t>222.81%</t>
  </si>
  <si>
    <t>6156978323608</t>
  </si>
  <si>
    <t>St. Ives Fresh Skin Apricot Scrub, Invigorating, Oil Free 6 Oz (Pack of 3) by St. Ives</t>
  </si>
  <si>
    <t>B01AVFMO7U</t>
  </si>
  <si>
    <t>222.42%</t>
  </si>
  <si>
    <t>Prevagen Professional Formula Capsules 40 mg</t>
  </si>
  <si>
    <t>Prevagen Improves Memory - Professional Strength 40mg, 30 Capsules |3 Pack| with Apoaequorin &amp; Vitamin D with Attractive and Stackable Storage Box | Brain Supplement for Better Brain Health</t>
  </si>
  <si>
    <t>B0BN6YB64Z</t>
  </si>
  <si>
    <t>222.09%</t>
  </si>
  <si>
    <t>4892724822155</t>
  </si>
  <si>
    <t>Oasis Oasis Moisturizing Mouth Spray Mild Mint (Pack of 3)</t>
  </si>
  <si>
    <t>B00FY48XWY</t>
  </si>
  <si>
    <t>222.05%</t>
  </si>
  <si>
    <t>B01IAI72NG</t>
  </si>
  <si>
    <t>221.83%</t>
  </si>
  <si>
    <t>Blue Star® Anti-Itch Medicated Ointment 2oz.</t>
  </si>
  <si>
    <t>Blue Star Anti-Itch Medicated Ointment 2 oz (Pack of 6)</t>
  </si>
  <si>
    <t>B00FQR8Y1E</t>
  </si>
  <si>
    <t>221.82%</t>
  </si>
  <si>
    <t>6152637677720</t>
  </si>
  <si>
    <t>Colgate Max Fresh With Mini Breath Strips Whitening Toothpaste, Clean Mint 6 ounces (Pack of 4)</t>
  </si>
  <si>
    <t>B01IA9DV9O</t>
  </si>
  <si>
    <t>221.64%</t>
  </si>
  <si>
    <t>Blue Star Anti-Itch Medicated Ointment 2 oz (Pack of 5)</t>
  </si>
  <si>
    <t>B078YFXM3D</t>
  </si>
  <si>
    <t>220.62%</t>
  </si>
  <si>
    <t>Noxzema® Original Deep Cleansing Cream 12oz</t>
  </si>
  <si>
    <t>Noxzema Classic Clean Original Deep Cleansing Cream 12oz Jar (3 Pack) by Noxzema</t>
  </si>
  <si>
    <t>B01KYQFPAO</t>
  </si>
  <si>
    <t>220.17%</t>
  </si>
  <si>
    <t>6158868611224</t>
  </si>
  <si>
    <t>Old Spice High Endurance Anti-Perspirant &amp; Deodorant, Original 3 oz (Pack of 3)</t>
  </si>
  <si>
    <t>B005LGYCUW</t>
  </si>
  <si>
    <t>219.48%</t>
  </si>
  <si>
    <t>Curad Germ Shield Antimicrobial Wound Gel 0.5 Ounces (Pack of 3), for Topical Cuts, Wounds, Diabetic Sores, MRSA, Bacteria, Fungus, Yeast</t>
  </si>
  <si>
    <t>B077XMJRX1</t>
  </si>
  <si>
    <t>219.24%</t>
  </si>
  <si>
    <t>Chloraseptic Fast Acting Sore Throat Relieving Spray</t>
  </si>
  <si>
    <t>Chloraseptic Sore Throat Fast-Acting Numbing Lozenges, Cherry Flavor, 18 Count | Pack of 6</t>
  </si>
  <si>
    <t>B004RRHUPA</t>
  </si>
  <si>
    <t>218.13%</t>
  </si>
  <si>
    <t>5240923029656</t>
  </si>
  <si>
    <t>Oral-B Complete Deep Clean Soft Bristles Toothbrush, 4 Count, Colors May Vary</t>
  </si>
  <si>
    <t>B008I2ILDK</t>
  </si>
  <si>
    <t>217.85%</t>
  </si>
  <si>
    <t>Aquaphor Healing Ointment - Travel Size Protectant for Cracked Skin - Dry Hands, Heels, Elbows, Lips, Packaging May Vary, 1.75 Ounce (Pack of 3)</t>
  </si>
  <si>
    <t>B076FT4R4H</t>
  </si>
  <si>
    <t>217.71%</t>
  </si>
  <si>
    <t>Arm &amp; Hammer Advance White Extreme Whitening Toothpaste - 6 Oz (170 g) Pack of 4</t>
  </si>
  <si>
    <t>B013KXAWBU</t>
  </si>
  <si>
    <t>217.13%</t>
  </si>
  <si>
    <t>Afrin Original Nasal Spray, 3 Pack, 1 Fl Oz per Pack</t>
  </si>
  <si>
    <t>B00AK4SWXS</t>
  </si>
  <si>
    <t>217.08%</t>
  </si>
  <si>
    <t>L'il Critters Omega-3 DHA 60 Gummies</t>
  </si>
  <si>
    <t>Feel Great Vitamin Co. Complete DHA Gummies for Kids | with Omega 3 6 9 + DHA, Vitamin C | Supports Healthy Brain Function, Vision &amp; Heart Health | Gluten Free, Vegetarian | 60 Gummies</t>
  </si>
  <si>
    <t>B06Y1C5DHC</t>
  </si>
  <si>
    <t>7.89</t>
  </si>
  <si>
    <t>216.73%</t>
  </si>
  <si>
    <t>5240299520152</t>
  </si>
  <si>
    <t>L'il Critters Omega -3 DHA, 220 Gummy Bears</t>
  </si>
  <si>
    <t>B091ML4FJG</t>
  </si>
  <si>
    <t>216.22%</t>
  </si>
  <si>
    <t>Benadryl® Extra Strength Itch Stopping Cream 1oz.</t>
  </si>
  <si>
    <t>Benadryl Itch Stopping Cream Extra Strength 1 Ounce each, Pack of 4</t>
  </si>
  <si>
    <t>B01HDOGTLO</t>
  </si>
  <si>
    <t>215.52%</t>
  </si>
  <si>
    <t>6149186289816</t>
  </si>
  <si>
    <t>Nature's Bounty Red Yeast Rice Pills and Herbal Health Supplement, Dietary Additive, 600mg, 120 Capsules (Pack of 2)</t>
  </si>
  <si>
    <t>B0BS5J9NXK</t>
  </si>
  <si>
    <t>Prince of Peace Ginger Chews With Mango, 4 oz. – Candied Ginger – Mango Candy – Mango Ginger Chews – Natural Candy – Ginger Candy</t>
  </si>
  <si>
    <t>B0848WF1XF</t>
  </si>
  <si>
    <t>215.26%</t>
  </si>
  <si>
    <t>Similasan Kids Cold &amp; Mucus Relief plus Echinacea for Immunity Support Syrup Grape Flavor - 4 oz, Pack of 3</t>
  </si>
  <si>
    <t>B0752RJH7X</t>
  </si>
  <si>
    <t>215.19%</t>
  </si>
  <si>
    <t>Preggie Pops® 7 Lollipops</t>
  </si>
  <si>
    <t>Preggie Pops | 7 Lollipops | Morning Sickness &amp; Nausea Relief During Pregnancy | Safe for Pregnant Mom &amp; Baby | Gluten Free | 7 Flavors: Lemon, Raspberry, Peppermint &amp; More (Pack of 2)</t>
  </si>
  <si>
    <t>B0BW38ZGX2</t>
  </si>
  <si>
    <t>3.81</t>
  </si>
  <si>
    <t>214.96%</t>
  </si>
  <si>
    <t>6180556112024</t>
  </si>
  <si>
    <t>Sona Methyl B Complex</t>
  </si>
  <si>
    <t>MethylPro B-Complex + 5mg L-Methylfolate 90 Capsules - Professional Strength Active Folate for Energy + Mood Support with Methyl B12 + B6 as P-5-P, Non-GMO + Gluten-Free</t>
  </si>
  <si>
    <t>B07H532C66</t>
  </si>
  <si>
    <t>31.86</t>
  </si>
  <si>
    <t>213.72%</t>
  </si>
  <si>
    <t>8086456893660</t>
  </si>
  <si>
    <t>Apex Eye/Ear Dropper (Pack of 2)</t>
  </si>
  <si>
    <t>B00MYR270I</t>
  </si>
  <si>
    <t>213.23%</t>
  </si>
  <si>
    <t>Ricola Lemon Mint Herbal Cough Suppressant Throat Drops- 2 Bags</t>
  </si>
  <si>
    <t>B08HGX3DB1</t>
  </si>
  <si>
    <t>213.05%</t>
  </si>
  <si>
    <t>Burt's Bees Baby Nourishing Lotion, Original Scent Baby Lotion - 6 Ounce Tube - Pack of 3</t>
  </si>
  <si>
    <t>B006L1OB48</t>
  </si>
  <si>
    <t>212.89%</t>
  </si>
  <si>
    <t>Coricidin HBP Cold &amp; Flu Tablets, 20 ea (Pack of 4)</t>
  </si>
  <si>
    <t>B00IARTD8A</t>
  </si>
  <si>
    <t>212.65%</t>
  </si>
  <si>
    <t>Sudafed Sinus Pressure + Pain Relief Tablets</t>
  </si>
  <si>
    <t>Sudafed PE Congestion and Sinus Pressure Relief Tablets, Non-Drowsy Maximum Strength Nasal Decongestant with Phenylephrine HCI, 36 ct (Pack of 2)</t>
  </si>
  <si>
    <t>B073SZMK7Y</t>
  </si>
  <si>
    <t>8.63</t>
  </si>
  <si>
    <t>212.40%</t>
  </si>
  <si>
    <t>5241779749016</t>
  </si>
  <si>
    <t>(4 Pack) Aveeno Baby Eczema Therapy Soothing Baby Bath Treatment, 5 Count-3.75oz</t>
  </si>
  <si>
    <t>B00UGPK1CQ</t>
  </si>
  <si>
    <t>211.01%</t>
  </si>
  <si>
    <t>GoodSense® Rolled Gauze 2in x 2.5yds</t>
  </si>
  <si>
    <t>BAND-AID® Brand Flexible Rolled Gauze 2IN x 2.5YDS, PACK OF 3</t>
  </si>
  <si>
    <t>B074KMG89H</t>
  </si>
  <si>
    <t>209.40%</t>
  </si>
  <si>
    <t>6149286002840</t>
  </si>
  <si>
    <t>Benadryl Itch Stopping Cream Original Strength 1 oz (Pack of 4)</t>
  </si>
  <si>
    <t>B08NV38SBS</t>
  </si>
  <si>
    <t>209.34%</t>
  </si>
  <si>
    <t>Prilosec OTC Acid Reducer, Delayed-Release Tablets, Wildberry 42 ea (Pack of 2)</t>
  </si>
  <si>
    <t>B01IAIKPN0</t>
  </si>
  <si>
    <t>208.59%</t>
  </si>
  <si>
    <t>Old Spice High Endurance Original Scent Deodorant for Men - 3 Ounce / 85g, 3 Pack</t>
  </si>
  <si>
    <t>B00HA71DNE</t>
  </si>
  <si>
    <t>207.79%</t>
  </si>
  <si>
    <t>Afrin Nasal Spray 12 Hour Relief, Original, 0.5 fl oz (Pack of 6)</t>
  </si>
  <si>
    <t>B01BVXDF9C</t>
  </si>
  <si>
    <t>207.70%</t>
  </si>
  <si>
    <t>Prevagen Improves Memory - Regular Strength 10mg, 30 Capsules |3 Pack| with Apoaequorin &amp; Vitamin D &amp; Prevagen 7-Day Pill Minder | Brain Supplement for Better Brain Health</t>
  </si>
  <si>
    <t>B00HMTFR3W</t>
  </si>
  <si>
    <t>207.35%</t>
  </si>
  <si>
    <t>Phisoderm Anti-Blemish Gel Cleanser 6 oz (Pack of 2)</t>
  </si>
  <si>
    <t>B00MASBF36</t>
  </si>
  <si>
    <t>206.61%</t>
  </si>
  <si>
    <t>K-Y Jelly Personal Water Based Lubricant 4oz.</t>
  </si>
  <si>
    <t>K-Y Jelly Lube, Personal Lubricant, Water-Based Formula, Safe to Use with Latex Condoms, For Men, Women and Couples, 4 Ounce (Pack of 5)</t>
  </si>
  <si>
    <t>B0064FKE56</t>
  </si>
  <si>
    <t>205.64%</t>
  </si>
  <si>
    <t>6177923367064</t>
  </si>
  <si>
    <t>Sun Bum Sun Bum Original Spf 50 Sunscreen Lotion Vegan and Reef Friendly (octinoxate &amp; Oxybenzone Free) Broad Spectrum Moisturizing Uva/uvb Sunscreen With Vitamin E 8 Ounce 2 Pack</t>
  </si>
  <si>
    <t>B086R2JQZH</t>
  </si>
  <si>
    <t>205.31%</t>
  </si>
  <si>
    <t>Old Spice 03891 Deodorant Stick, High Endurance, Pure Sport Scent, 3-oz. - Quantity 3</t>
  </si>
  <si>
    <t>B00GXITDII</t>
  </si>
  <si>
    <t>205.19%</t>
  </si>
  <si>
    <t>GoodSense® Ibuprofen Liquid Capsules</t>
  </si>
  <si>
    <t>Amazon Basic Care Ibuprofen Mini Liquid Gels, 200 mg, Liquid-Filled Capsules, Pain Reliever and Fever Reducer, For Back Pain, Arthritis Pain, Headache Relief and More, 300 Count</t>
  </si>
  <si>
    <t>B096XX72TB</t>
  </si>
  <si>
    <t>205.09%</t>
  </si>
  <si>
    <t>5247939149976</t>
  </si>
  <si>
    <t>POND’S® Cold Cream Make-Up Remover 6.1oz</t>
  </si>
  <si>
    <t>Pond's Cold Cream Make-Up Remover Fragrance-Free 6.1 Ounce (3 Pack)</t>
  </si>
  <si>
    <t>B07T1N3P5L</t>
  </si>
  <si>
    <t>9.53</t>
  </si>
  <si>
    <t>204.30%</t>
  </si>
  <si>
    <t>6158882898072</t>
  </si>
  <si>
    <t>Oakridge Products Transparent Sharps Container for Home Use and Professional 5.4 Quart (1-Pack), Touchless Biohazard Needle and Syringe Disposal, Rotating Lid, CDC Certified</t>
  </si>
  <si>
    <t>B00X6L1U6S</t>
  </si>
  <si>
    <t>203.65%</t>
  </si>
  <si>
    <t>Johnson's Baby Powder, Naturally Derived Cornstarch with Aloe &amp; Vitamin E for Delicate Skin, Hypoallergenic and Free of Parabens, Phthalates, and Dyes for Gentle Baby Skin Care, 15 oz (Pack of 2)</t>
  </si>
  <si>
    <t>B005GX5218</t>
  </si>
  <si>
    <t>203.56%</t>
  </si>
  <si>
    <t>Americaine Americaine Benzocaine Topical Anesthetic First Aid Spray, 2 oz (Pack of 3)</t>
  </si>
  <si>
    <t>B004X8LCT8</t>
  </si>
  <si>
    <t>202.67%</t>
  </si>
  <si>
    <t>Burt's Bees Hand Skin Care, Moisturizing Cuticle Cream for Dry Skin, 100% Natural, with Lemon Butter, 0.6 Ounce (Pack of 3)</t>
  </si>
  <si>
    <t>B002GP5XD6</t>
  </si>
  <si>
    <t>202.47%</t>
  </si>
  <si>
    <t>BAND-AID® Tru-Stay Plastic Strip 60ct</t>
  </si>
  <si>
    <t>Band-Aid Brand Tru-Stay Plastic Strips Adhesive Bandages, All One Size, 60 ct (Pack of 2)</t>
  </si>
  <si>
    <t>B0C3PP6KZN</t>
  </si>
  <si>
    <t>202.42%</t>
  </si>
  <si>
    <t>6149318148248</t>
  </si>
  <si>
    <t>Boiron Oscillococcinum 36 doses and Coldcalm 60 Tablets Bundle Pack - Homeopathic Medicine for Flu-Like Symptoms &amp; Cold Calm Relief for Adults and Kids</t>
  </si>
  <si>
    <t>B0BGJZZ8V4</t>
  </si>
  <si>
    <t>201.88%</t>
  </si>
  <si>
    <t>GoodSense® Comfort Grip Nail Clipper</t>
  </si>
  <si>
    <t>2 Comfort Hold Navy Large Nail Clippers Non-Slip Sure Grip Clipping Removable Catcher Toenails Fingernails Cutter Sharp Trimmer Stainless Steel Men Women Arthritis Unsteady Hands</t>
  </si>
  <si>
    <t>B0C1XMVN4P</t>
  </si>
  <si>
    <t>2.68</t>
  </si>
  <si>
    <t>201.87%</t>
  </si>
  <si>
    <t>6223310094488</t>
  </si>
  <si>
    <t>Active Forward Contour Next EZ Diabetes Testing Kit, Contour Next EZ Blood Glucose Meter, 100 Contour Next Blood Glucose Test Strips, 100 Lancets, Lancing Device, Log Book and Carry Case</t>
  </si>
  <si>
    <t>B00NG0MSPQ</t>
  </si>
  <si>
    <t>201.61%</t>
  </si>
  <si>
    <t>COOLA Organic Liplux Lip Balm and Sunscreen with SPF 30, Dermatologist Tested Lip Care for Daily Protection, Vegan and Gluten Free, 0.15 Oz</t>
  </si>
  <si>
    <t>B08TVYFGLZ</t>
  </si>
  <si>
    <t>200.75%</t>
  </si>
  <si>
    <t>Ayr Saline Nasal Gel No-Drip Sinus Spray 0.75 oz (Pack of 6)</t>
  </si>
  <si>
    <t>B00FQR9STQ</t>
  </si>
  <si>
    <t>200.53%</t>
  </si>
  <si>
    <t>Aura Cacia Essential Oil Lemon Eucalyptus - 2 fl oz</t>
  </si>
  <si>
    <t>B005GWXAEK</t>
  </si>
  <si>
    <t>200.18%</t>
  </si>
  <si>
    <t>Sun Bum Ocean Mint Cocobalm | Hydrating Lip Balm with Aloe | Paraben Free, Silicone Free,| 0.15oz Stick (Pack of 3)</t>
  </si>
  <si>
    <t>B0BVQDPNR3</t>
  </si>
  <si>
    <t>Prevagen Improves Memory - Regular Strength 10mg, 30 Chewables |Mixed Berry-3 Pack| with Apoaequorin &amp; Vitamin D &amp; Prevagen 7-Day Pill Minder | Brain Supplement for Better Brain Health</t>
  </si>
  <si>
    <t>B0892T927J</t>
  </si>
  <si>
    <t>199.67%</t>
  </si>
  <si>
    <t>Prevagen® Regular Strength 10mg Chewable Tablets 30ct.</t>
  </si>
  <si>
    <t>The Prevagen Variety Pack - |90-Day Supply| Regular Strength Capsules, 10mg. Mixed Berry and Orange Chewable Tablets,10mg. Improves Memory | Apoaequorin &amp; Vitamin D</t>
  </si>
  <si>
    <t>B0BV8Y211P</t>
  </si>
  <si>
    <t>6652491366552</t>
  </si>
  <si>
    <t>Advil WL0151-50 Ibuprofen Pain Relief Tablet, 200mg, Standard, Blue/Red (Pack of 50)</t>
  </si>
  <si>
    <t>B07GPLX3RY</t>
  </si>
  <si>
    <t>199.66%</t>
  </si>
  <si>
    <t>Sun Bum® Original SPF 30 Sunscreen Spray 6oz.</t>
  </si>
  <si>
    <t>Sun Bum Original Moisturizing Sunscreen Spray SPF 30 | Vegan and Reef Friendly | Octinoxate &amp; Oxybenzone Free | Broad Spectrum UVA/UVB Sunscreen</t>
  </si>
  <si>
    <t>B01C64NN8I</t>
  </si>
  <si>
    <t>199.50%</t>
  </si>
  <si>
    <t>6244617158808</t>
  </si>
  <si>
    <t>Nivea® Essentially Enriched Body Lotion 16.9fl. oz.</t>
  </si>
  <si>
    <t>Nivea Body Lotion - Essentially Enriched - With Almond Oil - Net Wt. 13.5 FL OZ (400 mL) Per Bottle - Pack of 2 Bottles</t>
  </si>
  <si>
    <t>B07257CJ8J</t>
  </si>
  <si>
    <t>199.08%</t>
  </si>
  <si>
    <t>6162246238360</t>
  </si>
  <si>
    <t>Prevail® Overnight Underwear For Men Large/Extra Large 16ct.</t>
  </si>
  <si>
    <t>Depend Night Defense Adult Incontinence Underwear for Men, Disposable, Overnight, Extra-Large, Grey, 48 Count, Packaging May Vary</t>
  </si>
  <si>
    <t>B0BLGPYYGL</t>
  </si>
  <si>
    <t>18.92</t>
  </si>
  <si>
    <t>198.52%</t>
  </si>
  <si>
    <t>6226459590808</t>
  </si>
  <si>
    <t>Band-Aid Brand Skin-Flex Adhesive Bandages for First Aid &amp; Wound Care of Minor Cuts, Scrapes &amp; Burns, Flexible Sterile Bandages Great for Fingers, Hands &amp; Knees, Assorted Sizes, 2 x 60 ct</t>
  </si>
  <si>
    <t>B09DQ2TY6W</t>
  </si>
  <si>
    <t>198.26%</t>
  </si>
  <si>
    <t>Neutrogena® T/Sal® Therapeutic Scalp Build-Up Control Shampoo 4.5fl. oz.</t>
  </si>
  <si>
    <t>Neutrogena T/Sal Therapeutic Shampoo for Scalp Build-Up Control with Salicylic Acid, Scalp Treatment for Dandruff, Scalp Psoriasis &amp; Seborrheic Dermatitis Relief, 4.5 fl. oz (Pack of 4)</t>
  </si>
  <si>
    <t>B0BV65MQWQ</t>
  </si>
  <si>
    <t>9.83</t>
  </si>
  <si>
    <t>197.86%</t>
  </si>
  <si>
    <t>6177569538200</t>
  </si>
  <si>
    <t>Liquid I.V. Hydration Multiplier - Acai Berry - Hydration Powder Packets | Electrolyte Drink Mix | Easy Open Single-Serving Stick | Non-GMO | 48 Sticks</t>
  </si>
  <si>
    <t>B079P4SKML</t>
  </si>
  <si>
    <t>197.40%</t>
  </si>
  <si>
    <t>St. Ives Acne Control Face Scrub Deeply Exfoliates and Prevents Acne for Smooth, Glowing Skin Apricot Made with Oil-Free Salicylic Acid Acne Medication, Made with 100% Natural Exfoliants 6 oz 4 Count</t>
  </si>
  <si>
    <t>B01HTJTS3O</t>
  </si>
  <si>
    <t>196.26%</t>
  </si>
  <si>
    <t>Cetaphil® Moisturizing Cream for Very Dry, Sensitive Skin</t>
  </si>
  <si>
    <t>Cetaphil Body Moisturizer, Hydrating Moisturizing Cream for Dry to Very Dry, Sensitive Skin, NEW 16 oz 2 Pack, Fragrance Free, Non-Comedogenic, Non-Greasy</t>
  </si>
  <si>
    <t>B01H20MA62</t>
  </si>
  <si>
    <t>6.59</t>
  </si>
  <si>
    <t>195.60%</t>
  </si>
  <si>
    <t>6160777740440</t>
  </si>
  <si>
    <t>Resinol Medicated Ointment 3.30 oz (Pack of 3)</t>
  </si>
  <si>
    <t>B004LTDALM</t>
  </si>
  <si>
    <t>195.11%</t>
  </si>
  <si>
    <t>Curad - CUR45951RB Germ Shield Antimicrobial Gel 0.50 oz (Pack of 2)</t>
  </si>
  <si>
    <t>B004YHL3FG</t>
  </si>
  <si>
    <t>194.79%</t>
  </si>
  <si>
    <t>GoodSense® Athlete's Foot Spray Miconazole Nitrate 2% 5.3oz.</t>
  </si>
  <si>
    <t>Lotrimin Athlete's Foot Deodorant Antifungal Powder Spray, Miconazole Nitrate 2%, Clinically Proven Effective Antifungal Treatment of Most AF, Jock Itch &amp; Ringworm, 4.6 Ounces Spray Can (Pack of 3)</t>
  </si>
  <si>
    <t>B0039NN80O</t>
  </si>
  <si>
    <t>8.93</t>
  </si>
  <si>
    <t>194.62%</t>
  </si>
  <si>
    <t>6209337688216</t>
  </si>
  <si>
    <t>Coricidin HBP Chest Congestion &amp; Cough Liqui-Gels 20 ea (Pack of 4)</t>
  </si>
  <si>
    <t>B00IARSQYC</t>
  </si>
  <si>
    <t>194.52%</t>
  </si>
  <si>
    <t>Carefree Original Regular To Go Fresh Scent Pantiliners- 20 CT</t>
  </si>
  <si>
    <t>B0054BMJ3G</t>
  </si>
  <si>
    <t>194.41%</t>
  </si>
  <si>
    <t>Depend FIT-Flex Incontinence Underwear for Men, Maximum Absorbency, L/XL</t>
  </si>
  <si>
    <t>B010OVU55Y</t>
  </si>
  <si>
    <t>194.23%</t>
  </si>
  <si>
    <t>Prevagen Extra Strength Chewables 20 mg</t>
  </si>
  <si>
    <t>Prevagen Improves Memory - Extra Strength 20mg, 30 Capsules |3 Pack| with Apoaequorin &amp; Vitamin D with Attractive and Stackable Prevagen Storage Box | Brain Supplement for Better Brain Health</t>
  </si>
  <si>
    <t>B0BN6W94HQ</t>
  </si>
  <si>
    <t>51.29</t>
  </si>
  <si>
    <t>194.11%</t>
  </si>
  <si>
    <t>4892692283531</t>
  </si>
  <si>
    <t>Huggies Natural Care, Baby Wipes, Unscented, 32 Count</t>
  </si>
  <si>
    <t>B00BMQR9UA</t>
  </si>
  <si>
    <t>194.04%</t>
  </si>
  <si>
    <t>PediFix® Arch Support Bandage One Size Fits Most</t>
  </si>
  <si>
    <t>PediFix Arch Bandage One Size Fits Most 1 Each (Pack of 5)</t>
  </si>
  <si>
    <t>B01IAHXQ7I</t>
  </si>
  <si>
    <t>11.89</t>
  </si>
  <si>
    <t>193.94%</t>
  </si>
  <si>
    <t>6210804383896</t>
  </si>
  <si>
    <t>Amazon Basic Care ClearLax Polyethylene Glycol 3350 Powder for Solution, Osmotic Laxative, Relieves Occasional Constipation, Unflavored, 1.68 Pound (Pack of 1)</t>
  </si>
  <si>
    <t>B074F2FSX5</t>
  </si>
  <si>
    <t>193.82%</t>
  </si>
  <si>
    <t>Colace 2-in-1 Stool Softener + Stimulant Laxative, 60 Tablets (Pack of 2)</t>
  </si>
  <si>
    <t>B07GTB38K3</t>
  </si>
  <si>
    <t>193.77%</t>
  </si>
  <si>
    <t>Disposable Instant Ice Packs 5 Pack - 5 x 6 Cold Compress for Injuries, Swelling, Pain Relief, Soreness - No Refrigeration or Freezing Needed - First Aid Kit Emergency Cold Packs</t>
  </si>
  <si>
    <t>B0C47NP4FL</t>
  </si>
  <si>
    <t>193.50%</t>
  </si>
  <si>
    <t>Oral-B Complete Deep Clean Toothbrush, 35 Soft (Colors Vary) - Pack of 6</t>
  </si>
  <si>
    <t>B0BGQLGHY6</t>
  </si>
  <si>
    <t>193.40%</t>
  </si>
  <si>
    <t>Arm &amp; Hammer Advance White Extreme Whitening Toothpaste Clean Mint - 6 Oz- Pack of 4</t>
  </si>
  <si>
    <t>B011QHSD0E</t>
  </si>
  <si>
    <t>193.19%</t>
  </si>
  <si>
    <t>Duracell 2768001 Coppertop AA Alkaline Batteries 24/Pack (MN1500BKD)</t>
  </si>
  <si>
    <t>B016MH38N0</t>
  </si>
  <si>
    <t>192.27%</t>
  </si>
  <si>
    <t>192.16%</t>
  </si>
  <si>
    <t>Prevagen Improves Memory - Extra Strength 20mg, 30 Chewables|Mixed Berry-3 Pack|with Apoaequorin &amp; Vitamin D with Attractive and Stackable Storage Box|Brain Supplement for Better Brain Health</t>
  </si>
  <si>
    <t>B0BN7HW4TL</t>
  </si>
  <si>
    <t>Ban® Unscented Roll-On Antiperspirant Deodorant 3.5fl. oz.</t>
  </si>
  <si>
    <t>Ban Original Unscented 24-hour Invisible Antiperspirant, 3.5oz Roll-on Deodorant, 4-pack, Underarm Wetness Protection, with Odor-fighting Ingredients</t>
  </si>
  <si>
    <t>B00SM3ZJK8</t>
  </si>
  <si>
    <t>6.79</t>
  </si>
  <si>
    <t>192.05%</t>
  </si>
  <si>
    <t>6125442400408</t>
  </si>
  <si>
    <t>Boudreaux's Butt Paste Original Diaper Rash Cream, Ointment for Baby, 4 oz. Tube, (Pack of 2)</t>
  </si>
  <si>
    <t>B077JMD3ND</t>
  </si>
  <si>
    <t>191.99%</t>
  </si>
  <si>
    <t>Ocusoft® Retaine® MGD Ophthalmic Emulsion Eye Drops</t>
  </si>
  <si>
    <t>Retaine MGD Ophthalmic Emulsion Preservative-Free Eye Drops, 3 Count</t>
  </si>
  <si>
    <t>B01H4LWNDO</t>
  </si>
  <si>
    <t>191.58%</t>
  </si>
  <si>
    <t>6168027496600</t>
  </si>
  <si>
    <t>Halls® Defense Assorted Citrus Cough Drops 30ct</t>
  </si>
  <si>
    <t>Halls Defense Vitamin C Assorted Citrus Cough Drops, 30-Count (2 Pack) (2 Pack)</t>
  </si>
  <si>
    <t>B07MT4MT8B</t>
  </si>
  <si>
    <t>190.94%</t>
  </si>
  <si>
    <t>6158417559704</t>
  </si>
  <si>
    <t>Salonpas® Pain Relieving Jet Spray</t>
  </si>
  <si>
    <t>Salonpas Pain Relieving Jet Spray 4 oz (Pack of 3)</t>
  </si>
  <si>
    <t>B082D21NRC</t>
  </si>
  <si>
    <t>11.79</t>
  </si>
  <si>
    <t>190.84%</t>
  </si>
  <si>
    <t>6287613067416</t>
  </si>
  <si>
    <t>Sun Bum® Original SPF 30 Sunscreen Lotion</t>
  </si>
  <si>
    <t>Sun Bum Sun Bum Original Spf 30 Sunscreen Lotion Vegan and Reef Friendly (octinoxate &amp; Oxybenzone Free) Broad Spectrum Moisturizing Uva/uvb Sunscreen With Vitamin E 8 Ounce 2 Pack</t>
  </si>
  <si>
    <t>B086R4H837</t>
  </si>
  <si>
    <t>190.39%</t>
  </si>
  <si>
    <t>6244601200792</t>
  </si>
  <si>
    <t>Norm's Farms Elderberry Extract 8oz</t>
  </si>
  <si>
    <t>Norm's Farms American Elderberry Extract - Pure Concentrate for Immune Support Made with Berries - Vegan, Gluten Free, Non-GMO - 3 8 Oz. Bottles</t>
  </si>
  <si>
    <t>B07DLCBKY1</t>
  </si>
  <si>
    <t>190.10%</t>
  </si>
  <si>
    <t>6080443744408</t>
  </si>
  <si>
    <t>Airborne 1000mg Chewable Tablets with Zinc, Immune Support Supplement with Powerful Antioxidants Vitamins A C &amp; E - 200 Tablets, Citrus Flavor</t>
  </si>
  <si>
    <t>B08QZMJBFR</t>
  </si>
  <si>
    <t>188.92%</t>
  </si>
  <si>
    <t>Oasis Mouth Moisturizing Spray, Mild Mint, 1 Fl Oz</t>
  </si>
  <si>
    <t>B01IA9DHL6</t>
  </si>
  <si>
    <t>188.84%</t>
  </si>
  <si>
    <t>Depend FIT-Flex Incontinence Underwear for Men, Maximum Absorbency, XL, Gray, 15 Count(Pack of 2)</t>
  </si>
  <si>
    <t>B07PJGF8LQ</t>
  </si>
  <si>
    <t>188.35%</t>
  </si>
  <si>
    <t>Band-Aid Flexible Fabric, All One Size, 100 Bandages each (1 Pack)</t>
  </si>
  <si>
    <t>B003AXUQMQ</t>
  </si>
  <si>
    <t>187.19%</t>
  </si>
  <si>
    <t>Norm's Farms Elderberry Organic Gummies</t>
  </si>
  <si>
    <t>Norm's Farms Elderberry Organic Vegan Gummies with Vitamin C, 60 Count, Pack of 3</t>
  </si>
  <si>
    <t>B08GLGSNGQ</t>
  </si>
  <si>
    <t>187.06%</t>
  </si>
  <si>
    <t>6080401703064</t>
  </si>
  <si>
    <t>Resinol Medicated Ointment 3.3oz Ointment (Pack of 2)</t>
  </si>
  <si>
    <t>B01N1ZI1JN</t>
  </si>
  <si>
    <t>186.97%</t>
  </si>
  <si>
    <t>Curad® Flex-Fabric Bandages</t>
  </si>
  <si>
    <t>Curad Bulk Variety Pack Assorted Bandages, Flex-Fabric, Waterproof, Plastic, Knuckle, Heavy Duty Bandages (320Count)</t>
  </si>
  <si>
    <t>B01DRINT36</t>
  </si>
  <si>
    <t>186.64%</t>
  </si>
  <si>
    <t>6147651240088</t>
  </si>
  <si>
    <t>Fleet Saline Enema, 4 Count and Fleet Laxative Liquid Glycerin Suppositories for Adult Constipation Relief | 4 CT | 3 Pack</t>
  </si>
  <si>
    <t>B086F43KRL</t>
  </si>
  <si>
    <t>186.03%</t>
  </si>
  <si>
    <t>Sundown Vitamin E Oil 70,000 IU, Promotes Healthy Skin, 2.5 Fl Oz (75 mL), Pack of 3 (Packaging May Vary)</t>
  </si>
  <si>
    <t>B001GAOG6M</t>
  </si>
  <si>
    <t>185.94%</t>
  </si>
  <si>
    <t>Nature Made® Vitamin C 1000mg Tablets 100ct.</t>
  </si>
  <si>
    <t>Nature Made Vitamin C 1000mg Dietary Supplement Tablets , 60 CT (Pack of 3)</t>
  </si>
  <si>
    <t>B00EZWSY20</t>
  </si>
  <si>
    <t>15.09</t>
  </si>
  <si>
    <t>184.89%</t>
  </si>
  <si>
    <t>4898581741707</t>
  </si>
  <si>
    <t>Band-Aid Brand Skin-Flex Adhesive Bandages, Extra Large, 7 Count Per Box (3 Boxes)</t>
  </si>
  <si>
    <t>B075SRKG7T</t>
  </si>
  <si>
    <t>184.04%</t>
  </si>
  <si>
    <t>Band-Aid Brand Tough Strips Adhesive Bandage, All One Size, 60 Count of 2</t>
  </si>
  <si>
    <t>B09FP7LDJW</t>
  </si>
  <si>
    <t>183.42%</t>
  </si>
  <si>
    <t>Mintox Maximum Strength Antacid Anti-Gas Liquid Generic for Maalox Max Lemon Flavor 12 oz Bottle by Major Pharmaceuticals</t>
  </si>
  <si>
    <t>B01AVKDJWE</t>
  </si>
  <si>
    <t>183.22%</t>
  </si>
  <si>
    <t>Prevagen Improves Memory - Extra Strength 20mg, 30 Chewables |Mixed Berry-2 Pack| with Apoaequorin &amp; Vitamin D &amp; Prevagen 7-Day Pill Minder | Brain Supplement for Better Brain Health</t>
  </si>
  <si>
    <t>B0892RTHGW</t>
  </si>
  <si>
    <t>183.13%</t>
  </si>
  <si>
    <t>Refresh® P.M Preservative Free Lubricant Eye Ointment</t>
  </si>
  <si>
    <t>Major LubriFresh P.M. Preservative Free Eye Ointment, 1/8 oz. (8 Pack)</t>
  </si>
  <si>
    <t>B01MZC13LL</t>
  </si>
  <si>
    <t>14.13</t>
  </si>
  <si>
    <t>183.01%</t>
  </si>
  <si>
    <t>6287606186136</t>
  </si>
  <si>
    <t>Spring Valley Red Yeast Rice Dietary Supplement, 600mg, Available in 60 or 120 Capsules + Luall Sticker (120)</t>
  </si>
  <si>
    <t>B0C8LNP7KT</t>
  </si>
  <si>
    <t>182.79%</t>
  </si>
  <si>
    <t>Aveeno Daily Moisturizing Body Wash, 12 Fl. Oz, Pack of 3</t>
  </si>
  <si>
    <t>B08RK43V7P</t>
  </si>
  <si>
    <t>182.15%</t>
  </si>
  <si>
    <t>Lipo Flavonoid Plus Ear Ringing Reduction Tablets</t>
  </si>
  <si>
    <t>Lipo Flavonoid Plus, Tinnitus Relief for Ringing Ears, OTC Flavonoid Ear Health Vitamins, Bioflavonoids &amp; Vitamin C, 500 Caplets</t>
  </si>
  <si>
    <t>B01M1NHMEC</t>
  </si>
  <si>
    <t>33.73</t>
  </si>
  <si>
    <t>181.35%</t>
  </si>
  <si>
    <t>5240352080024</t>
  </si>
  <si>
    <t>Old Spice High Endurance Body Wash, Fresh, 18 oz, 2 pk</t>
  </si>
  <si>
    <t>B00JF2JMK8</t>
  </si>
  <si>
    <t>181.24%</t>
  </si>
  <si>
    <t>Apex Twice-A-Day Weekly Pill Organizer, Weekly Pill Organizer, 2 Times a Day Color-Coded, Easy-Open, See-Through Lids, Organize Medication or Vitamins by AM, PM or Morning and Bedtime, Assorted</t>
  </si>
  <si>
    <t>B000EGKTEW</t>
  </si>
  <si>
    <t>181.22%</t>
  </si>
  <si>
    <t>ASPERCREME Pain Relieving Creme 5 oz (Pack of 2)</t>
  </si>
  <si>
    <t>B01IAI42HU</t>
  </si>
  <si>
    <t>180.92%</t>
  </si>
  <si>
    <t>Degree Shower Clean Dry Protection Antiperspirant Deodorant Stick, 1.6 oz (Pack of 3)</t>
  </si>
  <si>
    <t>B00GMP4MOM</t>
  </si>
  <si>
    <t>180.32%</t>
  </si>
  <si>
    <t>Apex 7- Day Push to Open Pill Organizer, 1x Per Day or AM/PM (1 Time Per Day, Purple)</t>
  </si>
  <si>
    <t>B01LYN1480</t>
  </si>
  <si>
    <t>179.89%</t>
  </si>
  <si>
    <t>Dulcolax® Stimulant-Free Stool Softener</t>
  </si>
  <si>
    <t>Colace Regular Strength Stool Softener 100 mg Capsules 100 Count Docusate Sodium Stimulant-Free for Gentle, Dependable Occasional Constipation Relief</t>
  </si>
  <si>
    <t>B09RS1WN8Y</t>
  </si>
  <si>
    <t>179.54%</t>
  </si>
  <si>
    <t>6119975911576</t>
  </si>
  <si>
    <t>179.40%</t>
  </si>
  <si>
    <t>Fruit of the Earth 100% Aloe Vera Gel, 24 Ounce</t>
  </si>
  <si>
    <t>B01CTRLSH0</t>
  </si>
  <si>
    <t>179.33%</t>
  </si>
  <si>
    <t>LOOPACELL 386/301 (SR43/W/SW) 1.55V Silver Oxide Watch Battery (50 Batteries)</t>
  </si>
  <si>
    <t>B0756M5M91</t>
  </si>
  <si>
    <t>178.11%</t>
  </si>
  <si>
    <t>eos Party Vibes Lip Balm Variety Pack- Cotton Candy, Watermelon Frosé, Pomegranate Punch &amp; Pink Champagne, All-Day Moisture Lip Care Products, 0.14 oz, 4-Pack</t>
  </si>
  <si>
    <t>B0BVT3JY47</t>
  </si>
  <si>
    <t>177.99%</t>
  </si>
  <si>
    <t>Nexcare Opticlude Orthoptic Eye Patches Junior 20 Each (Pack of 5)</t>
  </si>
  <si>
    <t>B01IAI3VNG</t>
  </si>
  <si>
    <t>177.57%</t>
  </si>
  <si>
    <t>177.55%</t>
  </si>
  <si>
    <t>Move Free Advanced Plus MSM and Vitamin D3, 80 tablets - Joint Health Supplement with Glucosamine and Chondroitin (Pack of 4)</t>
  </si>
  <si>
    <t>B013AR4NBG</t>
  </si>
  <si>
    <t>177.28%</t>
  </si>
  <si>
    <t>Poise Incontinence Pads &amp; Postpartum Incontinence Pads, 6 Drop Ultimate Absorbency, Regular Length, 112 Count</t>
  </si>
  <si>
    <t>B06W5CN2ZK</t>
  </si>
  <si>
    <t>176.57%</t>
  </si>
  <si>
    <t>O Well Contour Next EZ Diabetes Testing Kit, Contour Next EZ Blood Glucose Meter, 50 Contour Next Blood Glucose Test Strips, 50 O'WELL Lancets, O'WELL Lancing Device, LogBook and Carry Case</t>
  </si>
  <si>
    <t>B01HDWVFHO</t>
  </si>
  <si>
    <t>176.47%</t>
  </si>
  <si>
    <t>Always Infinity Feminine Pads for Women, Size 5 Extra Heavy Overnight, with wings, unscented, 66ct</t>
  </si>
  <si>
    <t>B07NLXKYWN</t>
  </si>
  <si>
    <t>176.20%</t>
  </si>
  <si>
    <t>Blue Star Anti-Itch Medicated Ointment 2 oz (Packof 4) VJC#Re</t>
  </si>
  <si>
    <t>B07FN84FLP</t>
  </si>
  <si>
    <t>176.18%</t>
  </si>
  <si>
    <t>Alka-Seltzer Plus Severe Cold - Sparkling Original Powerfast Fizz Effervescent Common Cold Tablets, Sinus Congestion, Runny Nose, and Dry Cough, 36CT, Packaging May Vary</t>
  </si>
  <si>
    <t>B09L8J3H2M</t>
  </si>
  <si>
    <t>175.66%</t>
  </si>
  <si>
    <t>Salonpas Pain Relieving Jet Spray - 4 Oz (Pack of 3)</t>
  </si>
  <si>
    <t>B008IX66JK</t>
  </si>
  <si>
    <t>175.49%</t>
  </si>
  <si>
    <t>Nature Made® Time Release B-100 Complex Tablets 60ct.</t>
  </si>
  <si>
    <t>Nature Made B-100 Complex Time Release Tablets, 60 Count for Metabolic Health (Pack of 3)</t>
  </si>
  <si>
    <t>B0029O0BS6</t>
  </si>
  <si>
    <t>18.23</t>
  </si>
  <si>
    <t>175.48%</t>
  </si>
  <si>
    <t>4898483699851</t>
  </si>
  <si>
    <t>Sun Bum® After Sun Cool Down Lotion</t>
  </si>
  <si>
    <t>Sun Bum Cool Down pwvLv Hydrating After Sun, 8 oz - After Sun Gel (2 Pack)</t>
  </si>
  <si>
    <t>B072HVGSJN</t>
  </si>
  <si>
    <t>175.09%</t>
  </si>
  <si>
    <t>6228138819736</t>
  </si>
  <si>
    <t>ARM &amp; HAMMER Advance White Toothpaste, Clean Mint, Extreme Whitening 4.3 oz ( Pack of 6)</t>
  </si>
  <si>
    <t>B00LO2XXGG</t>
  </si>
  <si>
    <t>174.95%</t>
  </si>
  <si>
    <t>Apex Soft Foam Ear Plugs - 4 Pairs</t>
  </si>
  <si>
    <t>Individually Wrapped Soft Foam Earplugs - 30 Pairs - Black - Highest NRR 33dB - Comfortable Ear Plugs for Sleeping, Snoring, Concerts, Construction, Travelling, Studying - Non Toxic and Disposable</t>
  </si>
  <si>
    <t>B0C675KQM6</t>
  </si>
  <si>
    <t>3.63</t>
  </si>
  <si>
    <t>174.93%</t>
  </si>
  <si>
    <t>6197964144792</t>
  </si>
  <si>
    <t>Pedia-Lax - HN-04M9-0JK3 Liquid Glycerin Suppositories, 6 Applicators (Pack of 1)</t>
  </si>
  <si>
    <t>B017WRYEH8</t>
  </si>
  <si>
    <t>174.36%</t>
  </si>
  <si>
    <t>BAND-AID® Brand CUSHION-CARE™ Gauze Pads 3in x 3in, 25 count</t>
  </si>
  <si>
    <t>B0019ST3DC</t>
  </si>
  <si>
    <t>173.62%</t>
  </si>
  <si>
    <t>Ban® Powder Fresh Roll-On Antiperspirant Deodorant</t>
  </si>
  <si>
    <t>Ban Powder Fresh 24-hour Invisible Antiperspirant, Roll-on Deodorant for Women and Men, Underarm Wetness Protection, with Odor-fighting Ingredients, 3.5 Fl Oz (Pack of 4)</t>
  </si>
  <si>
    <t>B08DGMGTSY</t>
  </si>
  <si>
    <t>173.05%</t>
  </si>
  <si>
    <t>6125496828056</t>
  </si>
  <si>
    <t>Integrative Therapeutics Probiotic Pearls - Digestive Balance and Gut Health Support* - Lactobacillus acidophilus and Bifidobacterium - Daily Supplement for Men and Women - 90 Capsules</t>
  </si>
  <si>
    <t>B0011023KS</t>
  </si>
  <si>
    <t>173.02%</t>
  </si>
  <si>
    <t>Duracell® 389/390 Silver Oxide Button Battery</t>
  </si>
  <si>
    <t>Duracell D389/390PK09 Silver Oxide Electronic Watch Battery, 389/390 Size, 1.55V, 70 mAh Capacity (Case of 6)</t>
  </si>
  <si>
    <t>B00BGIVXA6</t>
  </si>
  <si>
    <t>172.95%</t>
  </si>
  <si>
    <t>6206493524120</t>
  </si>
  <si>
    <t>10mL Syringe for Liquid, Food, Oral, Scientific Labs, Measurement, Dispensing, Press-In Adapter, Craft, Big Tip with Cap- 3 Pack 10ml Syringes with tsp &amp; mL Measurement</t>
  </si>
  <si>
    <t>B0BZYQD5YB</t>
  </si>
  <si>
    <t>172.07%</t>
  </si>
  <si>
    <t>Buf-Puf Double Sided Body Sponge, 2 pk</t>
  </si>
  <si>
    <t>B00JGQNFGU</t>
  </si>
  <si>
    <t>171.95%</t>
  </si>
  <si>
    <t>Band Aid Brand of First Aid Products Flexible Rolled Gauze Dressing for Minor Wound Care, Soft Padding and Instant Absorption, 3 Inches by 2.1 Yards, Value Pack 5 ct</t>
  </si>
  <si>
    <t>B00LITXQY4</t>
  </si>
  <si>
    <t>171.91%</t>
  </si>
  <si>
    <t>Fleet Liquid Glycerin Suppositories 4 Each (Pack of 3)</t>
  </si>
  <si>
    <t>B004LTWENM</t>
  </si>
  <si>
    <t>171.47%</t>
  </si>
  <si>
    <t>Mucinex® Fast-Max Cold, Flu and Sore Throat Liquid Gels 16ct.</t>
  </si>
  <si>
    <t>Mucinex Fast-Max Max Strength, Cold, Flu, Sore Throat (Pack of 3/Liquid Gels)</t>
  </si>
  <si>
    <t>B074KM4X9V</t>
  </si>
  <si>
    <t>171.44%</t>
  </si>
  <si>
    <t>5241123405976</t>
  </si>
  <si>
    <t>Dr. Scholls Moleskin Soft Padding Roll (24In X 4 5/8 Pieces) (Pack of 3)</t>
  </si>
  <si>
    <t>B00E4MRREM</t>
  </si>
  <si>
    <t>170.06%</t>
  </si>
  <si>
    <t>Liquid I.V. Hydration Multiplier - Strawberry - Hydration Powder Packets | Electrolyte Drink Mix | Easy Open Single-Serving Stick | Non-GMO | 48 Sticks</t>
  </si>
  <si>
    <t>B08MVF7XFZ</t>
  </si>
  <si>
    <t>169.98%</t>
  </si>
  <si>
    <t>Ban Fresh Cotton 24-hour Invisible Antiperspirant, Roll-on Deodorant for Women and Men, Underarm Wetness Protection, with Odor-fighting Ingredients, 3.5 Fl Oz (Pack of 2)</t>
  </si>
  <si>
    <t>B005NERDB2</t>
  </si>
  <si>
    <t>169.66%</t>
  </si>
  <si>
    <t>SECURA Protective Ointment Skin Protectant 5.6oz Tube (6 Pack)</t>
  </si>
  <si>
    <t>B082XHQQRW</t>
  </si>
  <si>
    <t>169.51%</t>
  </si>
  <si>
    <t>Advil Pain Reliever and Fever Reducer, Pain Relief Medicine with Ibuprofen 200mg for Headache, Backache, Menstrual Pain and Joint Pain Relief - 300 Coated Tablets</t>
  </si>
  <si>
    <t>B004ZCT1M2</t>
  </si>
  <si>
    <t>168.59%</t>
  </si>
  <si>
    <t>Q-tips Cotton Swabs, 300 Count (Pack of 2)</t>
  </si>
  <si>
    <t>B00E4MP1Y0</t>
  </si>
  <si>
    <t>167.83%</t>
  </si>
  <si>
    <t>Coppertone® Sport SPF 50 Lotion 7fl. oz.</t>
  </si>
  <si>
    <t>Coppertone SPORT Clear Sunscreen Lotion SPF 50 + Face Sunscreen SPF 50, Water Resistant Sunscreen Pack (5 Oz Spray + 2.5 Fl Oz Bottle)</t>
  </si>
  <si>
    <t>B08792S7GD</t>
  </si>
  <si>
    <t>11.29</t>
  </si>
  <si>
    <t>167.76%</t>
  </si>
  <si>
    <t>6216902803608</t>
  </si>
  <si>
    <t>Depend Incontinence Guards/Incontinence Pads for Men/Bladder Control Pads, Maximum Absorbency, 168 Count</t>
  </si>
  <si>
    <t>B087DPD3LD</t>
  </si>
  <si>
    <t>167.72%</t>
  </si>
  <si>
    <t>Curad Quickstop Flex-Fabric Bandages, Quickstop Bleeding Control Technology, Assorted Sizes, 30 Count (Pack of 3)</t>
  </si>
  <si>
    <t>B07Y94LGX2</t>
  </si>
  <si>
    <t>167.04%</t>
  </si>
  <si>
    <t>Apex Copper Bracelet Wide Link</t>
  </si>
  <si>
    <t>Men's 9 Inch Solid Copper Link Bracelet CB639G - 5/8 of an inch wide. Our widest design.</t>
  </si>
  <si>
    <t>B07CVTGSW1</t>
  </si>
  <si>
    <t>16.49</t>
  </si>
  <si>
    <t>166.83%</t>
  </si>
  <si>
    <t>6197898281112</t>
  </si>
  <si>
    <t>3M Nexcare Flex Clear First Aid Tape 1-Inch X 10-Yard, 2 Rolls Per Pack (4 Packs)</t>
  </si>
  <si>
    <t>B00IAJEG1M</t>
  </si>
  <si>
    <t>166.04%</t>
  </si>
  <si>
    <t>Americaine Benzocaine Topical Anesthetic First Aid Spray, Hospital Formula - 2 Oz (Pack of 2)</t>
  </si>
  <si>
    <t>B01AVKHJMK</t>
  </si>
  <si>
    <t>165.15%</t>
  </si>
  <si>
    <t>Listerine Total Care Fresh Mint Antiseptic Mouthwash, Travel Size 3.2 Ounces (95ml) - Pack of 12</t>
  </si>
  <si>
    <t>B07DM1FF59</t>
  </si>
  <si>
    <t>Eucerin® SPF 30 Daily Protection Face Lotion 4fl. oz.</t>
  </si>
  <si>
    <t>Eucerin Daily Protection Broad Spectrum SPF 30 Moisturizing Face Lotion 4 oz Per Bottle (2 Bottles)</t>
  </si>
  <si>
    <t>B01BZFMEAC</t>
  </si>
  <si>
    <t>164.59%</t>
  </si>
  <si>
    <t>6162485248152</t>
  </si>
  <si>
    <t>ACCU-CHEK SmartView Test Strips 50 Each</t>
  </si>
  <si>
    <t>B00DVK01GO</t>
  </si>
  <si>
    <t>BD Home Sharps Container 1.4 qt/Each - 2 Pack</t>
  </si>
  <si>
    <t>B00UJYIEF0</t>
  </si>
  <si>
    <t>163.69%</t>
  </si>
  <si>
    <t>Purpose Gentle Cleansing Bar 3.6 OZ (PACK OF 2)</t>
  </si>
  <si>
    <t>B00FXA36QC</t>
  </si>
  <si>
    <t>163.59%</t>
  </si>
  <si>
    <t>Fleet Bisacodyl Enema, Ready To Use - 1.25 Oz (Pack of 3)</t>
  </si>
  <si>
    <t>B007FBSC6Q</t>
  </si>
  <si>
    <t>163.58%</t>
  </si>
  <si>
    <t>Desitin® Maximum Strength Original Zinc Oxide Paste</t>
  </si>
  <si>
    <t>Desitin Maximum Strength Baby Diaper Rash Cream with 40% Zinc Oxide for Treatment, Relief &amp; Prevention, Hypoallergenic, Phthalate- &amp; Paraben-Free Paste, 16 oz</t>
  </si>
  <si>
    <t>B00BH0PZBG</t>
  </si>
  <si>
    <t>7.33</t>
  </si>
  <si>
    <t>163.03%</t>
  </si>
  <si>
    <t>6180582588568</t>
  </si>
  <si>
    <t>Nature Made Potassium Gluconate 550mg,100 Tablets+Better Guide Vitamins Supplements</t>
  </si>
  <si>
    <t>B0C2CCHXXQ</t>
  </si>
  <si>
    <t>162.57%</t>
  </si>
  <si>
    <t>Afrin cold Pump Mist 12 Hour Relief, Original, 0.5 fl oz, Spray (Pack of 2)</t>
  </si>
  <si>
    <t>B01BVY961M</t>
  </si>
  <si>
    <t>162.11%</t>
  </si>
  <si>
    <t>Crane® Humidifier Demineralization Filter</t>
  </si>
  <si>
    <t>Crane Humidifier Demineralization Filter Cartridge Model HS-1932 (2 Pack)</t>
  </si>
  <si>
    <t>B07L1VHGSX</t>
  </si>
  <si>
    <t>162.03%</t>
  </si>
  <si>
    <t>6223292367000</t>
  </si>
  <si>
    <t>Curad Non-Stick Pads, 3 Inches X 4 Inches 10 Count (Pack of 1) (Packaging may vary)</t>
  </si>
  <si>
    <t>B001B5CQQE</t>
  </si>
  <si>
    <t>161.57%</t>
  </si>
  <si>
    <t>Boudreaux's Butt Paste Maximum Strength Diaper Rash Cream, Ointment for Baby, 14 oz Flip-Top Jar</t>
  </si>
  <si>
    <t>B01LZF07GU</t>
  </si>
  <si>
    <t>161.48%</t>
  </si>
  <si>
    <t>Denco Evolution Nail Clippers, Wide Grip, Non-Slip Comfort, Stainless Steel</t>
  </si>
  <si>
    <t>B007Y54AE6</t>
  </si>
  <si>
    <t>160.82%</t>
  </si>
  <si>
    <t>Fleet Children's Pedia-Lax Liquid Glycerin Suppositories -- 6 Suppositories</t>
  </si>
  <si>
    <t>B000SD6BS4</t>
  </si>
  <si>
    <t>160.81%</t>
  </si>
  <si>
    <t>Oral-B Complete Deep Clean Toothbrush, 35 Soft (Colors Vary) - Pack of 4</t>
  </si>
  <si>
    <t>B0BGRLHLP1</t>
  </si>
  <si>
    <t>160.39%</t>
  </si>
  <si>
    <t>Mommy's Bliss Original Gripe Water</t>
  </si>
  <si>
    <t>Mommy's Bliss Organic Baby Vitamin D Drops 100 Servings (Pack of 1) with Gripe Water Original 4 Fl Oz (Pack of 2)</t>
  </si>
  <si>
    <t>B097QVT11D</t>
  </si>
  <si>
    <t>13.59</t>
  </si>
  <si>
    <t>159.90%</t>
  </si>
  <si>
    <t>5247120638104</t>
  </si>
  <si>
    <t>Johnson &amp; Johnson All-Purpose Portable Compact First Aid Kit for Minor Cuts, Scrapes, Sprains &amp; Burns, Ideal for Home, Car, Travel, Camping and Outdoor Emergencies, 160 pieces</t>
  </si>
  <si>
    <t>B09NWH8553</t>
  </si>
  <si>
    <t>159.73%</t>
  </si>
  <si>
    <t>10 Duracell 357 303 A76 PX76 SR44W/SW LR44 AG13 Silver Oxide Battery</t>
  </si>
  <si>
    <t>B013IPN5BE</t>
  </si>
  <si>
    <t>159.59%</t>
  </si>
  <si>
    <t>EZ Grip Nail Clipper | Comfort Grip Nail Clipper | Scissor Grip Nail Clipper | Sharp Stainless Steel Blade | Set of 2 (Small and Large) | Toenail &amp; Nail Clipper Set</t>
  </si>
  <si>
    <t>B077JCWBL9</t>
  </si>
  <si>
    <t>159.33%</t>
  </si>
  <si>
    <t>Breathe Right Original Large Tan Nasal Strips, 30 Count (Pack of 3)</t>
  </si>
  <si>
    <t>B01M5BXBVO</t>
  </si>
  <si>
    <t>159.08%</t>
  </si>
  <si>
    <t>Poise® Pads Ultimate Absorbency Long Length 27ct.</t>
  </si>
  <si>
    <t>Poise Incontinence Pads &amp; Postpartum Incontinence Pads, 6 Drop Ultimate Absorbency, Long Length, 90 Count, Packaging May Vary</t>
  </si>
  <si>
    <t>B0154QEQ4K</t>
  </si>
  <si>
    <t>158.62%</t>
  </si>
  <si>
    <t>6226493407384</t>
  </si>
  <si>
    <t>Duracell 24 Pack AAA CopperTop Alkaline Batteries</t>
  </si>
  <si>
    <t>B01LZQXOTO</t>
  </si>
  <si>
    <t>158.58%</t>
  </si>
  <si>
    <t>Coricidin HBP Cold &amp; Flu Tablets, 10ct, Pack of 5</t>
  </si>
  <si>
    <t>B01MF8RL0Q</t>
  </si>
  <si>
    <t>157.87%</t>
  </si>
  <si>
    <t>ARM &amp; HAMMER Advance White Extreme Whitening Baking Soda and Peroxide Toothpaste, Fresh Mint, Twin Pack 6 oz (Pack of 4)</t>
  </si>
  <si>
    <t>B01IAFDF5I</t>
  </si>
  <si>
    <t>157.46%</t>
  </si>
  <si>
    <t>BAND-AID® Cushion-Care Sport Strip 30ct</t>
  </si>
  <si>
    <t>Band-AID Bandages Cushion-Care Sport Strip 30 ea (Pack of 3)</t>
  </si>
  <si>
    <t>B06ZZ6KG38</t>
  </si>
  <si>
    <t>157.19%</t>
  </si>
  <si>
    <t>6149238620312</t>
  </si>
  <si>
    <t>Blue Star Anti-Itch Medicated Ointment 2 oz (Pack of 4)</t>
  </si>
  <si>
    <t>B01IAICW5E</t>
  </si>
  <si>
    <t>157.06%</t>
  </si>
  <si>
    <t>Prince of Peace Ginger Chews with Lychee, 4 oz. – Candied Ginger – Lychee Flavored Candy – Lychee Ginger Chews</t>
  </si>
  <si>
    <t>B0848D7JJD</t>
  </si>
  <si>
    <t>156.84%</t>
  </si>
  <si>
    <t>10ml Syringe for Liquid, Oral, Scientific Labs, Measurement, Dispensing, with Cap- 3 Pack</t>
  </si>
  <si>
    <t>B0B1CZJ9SH</t>
  </si>
  <si>
    <t>156.42%</t>
  </si>
  <si>
    <t>Aveeno Soothing Bath Treatment 8 Packets (2 Pack)</t>
  </si>
  <si>
    <t>B01IA96IUI</t>
  </si>
  <si>
    <t>155.66%</t>
  </si>
  <si>
    <t>Lotrimin AF Athlete's Foot Powder Spray, Miconazole Nitrate 2%, Clinically Proven Effective Antifungal Treatment of Most AF, Jock Itch and Ringworm, 4.6 Ounces (133 Grams) Spray Can (Pack of 3)</t>
  </si>
  <si>
    <t>B07QQZV9QK</t>
  </si>
  <si>
    <t>154.98%</t>
  </si>
  <si>
    <t>B0711N9ZDX</t>
  </si>
  <si>
    <t>Major Senna Tablets</t>
  </si>
  <si>
    <t>Major Senna Laxative TABS SENNOSIDES-9 MG Brown 1000 Tablets UPC 309046434801</t>
  </si>
  <si>
    <t>B01AS1F78U</t>
  </si>
  <si>
    <t>5.92</t>
  </si>
  <si>
    <t>154.73%</t>
  </si>
  <si>
    <t>6119836188824</t>
  </si>
  <si>
    <t>Aveeno® Daily Moisturizing Body Lotion For Dry Skin</t>
  </si>
  <si>
    <t>Aveeno Sheer Hydration Daily Moisturizing Fragrance-Free Lotion with Nourishing Prebiotic Oat, Fast-Absorbing Body Moisturizer for Dry Skin with Lightweight, Breathable Feel, 18 fl. oz</t>
  </si>
  <si>
    <t>B00NFR14PK</t>
  </si>
  <si>
    <t>154.65%</t>
  </si>
  <si>
    <t>6160900194456</t>
  </si>
  <si>
    <t>Aveeno Daily Moisturizer, Body Lotion, For Dry Skin, Prebiotic Oat Fragrance Free, 18 fl. oz, Pack of 1</t>
  </si>
  <si>
    <t>B001459IEE</t>
  </si>
  <si>
    <t>Cortizone 10® Maximum Strength Cream with Aloe 1oz</t>
  </si>
  <si>
    <t>Globe (10 Pack) Hydrocortisone Maximum Strength Cream 1% with Aloe, USP 1oz Maximum Strength Formulation, Relieves Itching and Redness, (Compare to Name Brand)</t>
  </si>
  <si>
    <t>B01KKJM0LW</t>
  </si>
  <si>
    <t>153.36%</t>
  </si>
  <si>
    <t>6149167153304</t>
  </si>
  <si>
    <t>Nix Premium Metal Two Sided Lice&amp; Nits Remover Comb 1 EA (PACK OF 2)</t>
  </si>
  <si>
    <t>B00GSZSG3E</t>
  </si>
  <si>
    <t>152.83%</t>
  </si>
  <si>
    <t>152.75%</t>
  </si>
  <si>
    <t>Biofreeze® Topical Pain Relief Roll-On</t>
  </si>
  <si>
    <t>Biofreeze Pain Relief Roll-On, 3 oz. Colorless Roll-On, Fast Acting, Long Lasting, &amp; Powerful Topical Pain Reliever, Pack of 4</t>
  </si>
  <si>
    <t>B01MYBND00</t>
  </si>
  <si>
    <t>152.64%</t>
  </si>
  <si>
    <t>6121343615128</t>
  </si>
  <si>
    <t>Senna 8.6 Mg Natural Vegetable Laxativ 1000 Tablets Generic for Senekot by MAJOR PHARMACEUTICALS (Original Version)</t>
  </si>
  <si>
    <t>B005TM1H7Y</t>
  </si>
  <si>
    <t>152.53%</t>
  </si>
  <si>
    <t>Curad Non-Stick Pads, 2 X 3 Inches, 10 Count</t>
  </si>
  <si>
    <t>B001BKPRNI</t>
  </si>
  <si>
    <t>152.40%</t>
  </si>
  <si>
    <t>B00JKQ7MR4</t>
  </si>
  <si>
    <t>152.33%</t>
  </si>
  <si>
    <t>Afrin Original Maximum Strength 12 Hour Nasal Congestion Relief Pump Mist - 15 mL (pack of 3)</t>
  </si>
  <si>
    <t>B001EPQ5EA</t>
  </si>
  <si>
    <t>151.95%</t>
  </si>
  <si>
    <t>St. Joseph Aspirin Pain Reliever (NSAID) 81mg, Chewable Orange Tablets, Adult Low Dose Regimen, 108 ct (3 x 36 ct Tablets per Bottle)</t>
  </si>
  <si>
    <t>B072HXLC41</t>
  </si>
  <si>
    <t>151.72%</t>
  </si>
  <si>
    <t>A+D Original Diaper Rash Ointment, Baby Skin Protectant with Lanolin and Petrolatum, Seals Out Wetness, Helps Prevent Diaper Rash, 1.5 Ounce Tube - Pack of 3</t>
  </si>
  <si>
    <t>B07GWMQR1F</t>
  </si>
  <si>
    <t>151.61%</t>
  </si>
  <si>
    <t>Major Senna 8.6mg Natural Vegetable Laxative Tablets, 1000 Count</t>
  </si>
  <si>
    <t>B07Y8QB25D</t>
  </si>
  <si>
    <t>151.18%</t>
  </si>
  <si>
    <t>Nature Made® Flaxseed Oil Omega-3 1400 mg/700 mg Softgels 100ct.</t>
  </si>
  <si>
    <t>Nature Made Organic Flaxseed Oil 1400 mg 700mg Omega 3 100 Liquid Softgels 3 PACK</t>
  </si>
  <si>
    <t>B07D4R15L3</t>
  </si>
  <si>
    <t>150.95%</t>
  </si>
  <si>
    <t>5238352871576</t>
  </si>
  <si>
    <t>Band-Aid Tough-Strips Bandages, Extra Large 10 ea Pack of 3</t>
  </si>
  <si>
    <t>B01182N5U0</t>
  </si>
  <si>
    <t>150.79%</t>
  </si>
  <si>
    <t>NeilMed Sinus Rinse 100 Regular Mixture Packets</t>
  </si>
  <si>
    <t>NeilMed Sinus Rinse 100 Salt Premixed Packets for Allergies &amp; Sinus (Pack of 3)</t>
  </si>
  <si>
    <t>B01IQ99S4U</t>
  </si>
  <si>
    <t>16.63</t>
  </si>
  <si>
    <t>150.69%</t>
  </si>
  <si>
    <t>5241197822104</t>
  </si>
  <si>
    <t>Eos Smooth Lip Balm Sphere, Sweet Mint 0.25 Oz Pack of 2</t>
  </si>
  <si>
    <t>B00TPGOJDE</t>
  </si>
  <si>
    <t>150.63%</t>
  </si>
  <si>
    <t>Sun Bum SPF 30 Sunscreen Lip Balm | Vegan and Cruelty Free Broad Spectrum UVA/UVB Lip Care with Aloe and Vitamin E for Moisturized Lips | Variety Pack |0.15 Ounce (Pack of 3)</t>
  </si>
  <si>
    <t>B072KGPLX6</t>
  </si>
  <si>
    <t>150.38%</t>
  </si>
  <si>
    <t>Sun Bum Cool Down Hydrating After Sun, 6 oz - After Sun Spray (2 Pack)</t>
  </si>
  <si>
    <t>B06ZZ3F8FN</t>
  </si>
  <si>
    <t>150.19%</t>
  </si>
  <si>
    <t>Sun Bum Original SPF 30 Glow Sunscreen Lotion | Vegan and Reef Friendly (Octinoxate &amp; Oxybenzone Free) Broad Spectrum Moisturizing UVA/UVB Sunscreen Lotion with Vitamin E | 2 oz | 2 Pack</t>
  </si>
  <si>
    <t>B09NP3D9GN</t>
  </si>
  <si>
    <t>150.15%</t>
  </si>
  <si>
    <t>Refresh® Optive® Advanced Preservative Free Eye Drops</t>
  </si>
  <si>
    <t>Refresh Optive Adv Pf Eye Size 30ct Refresh Optive Advanced Preservative Free Eye Drops</t>
  </si>
  <si>
    <t>B00HA7UAEC</t>
  </si>
  <si>
    <t>150.14%</t>
  </si>
  <si>
    <t>6171296891032</t>
  </si>
  <si>
    <t>Sun Bum® Mineral SPF 50 Sunscreen Lotion 3oz.</t>
  </si>
  <si>
    <t>Sun Bum Signature Mineral Based Sunscreen Lotion, SPF 50 and Sun Bum Signature Mineral Based Face Stick, SPF 30</t>
  </si>
  <si>
    <t>B07BJBP7J1</t>
  </si>
  <si>
    <t>150.03%</t>
  </si>
  <si>
    <t>6952244904088</t>
  </si>
  <si>
    <t>Sun Bum® Mineral SPF 50 Sunscreen Lotion 3oz</t>
  </si>
  <si>
    <t>6952250114200</t>
  </si>
  <si>
    <t>Reese's Pinworm Medicine 1fl. oz.</t>
  </si>
  <si>
    <t>REESE'S PINWORM Medicine 2 oz PYRANTEL PAMOATE Suspension (Pack of 2)</t>
  </si>
  <si>
    <t>B0152EYKBI</t>
  </si>
  <si>
    <t>149.37%</t>
  </si>
  <si>
    <t>6157111525528</t>
  </si>
  <si>
    <t>Sun Bum Cocobalm Lip Balm Variety Pack | Hydrating with Aloe | Hypoallergenic, Paraben Free, Silicone Free | 0.15oz Stick | 3 Flavor Variety Pack</t>
  </si>
  <si>
    <t>B08KR78Q1T</t>
  </si>
  <si>
    <t>149.12%</t>
  </si>
  <si>
    <t>Aquaphor Healing Ointment, 14 oz.</t>
  </si>
  <si>
    <t>B006IB5T4W</t>
  </si>
  <si>
    <t>148.23%</t>
  </si>
  <si>
    <t>Sundown Pure Vitamin E Oil 70,000 IU, 2 pk</t>
  </si>
  <si>
    <t>B00J11LQHK</t>
  </si>
  <si>
    <t>147.58%</t>
  </si>
  <si>
    <t>Metagenics CoQ10 ST-100</t>
  </si>
  <si>
    <t>Metagenics - CoQ10 ST-100 120 softgels</t>
  </si>
  <si>
    <t>B001F6FIDC</t>
  </si>
  <si>
    <t>64.25</t>
  </si>
  <si>
    <t>147.47%</t>
  </si>
  <si>
    <t>7920466690268</t>
  </si>
  <si>
    <t>Band-Aid Brand Skin-Flex Adhesive Bandages, All One Size, 25 Count (Pack of 3)</t>
  </si>
  <si>
    <t>B074KNCXP7</t>
  </si>
  <si>
    <t>147.24%</t>
  </si>
  <si>
    <t>Anbesol Maximum Strength Oral Anesthetic Gel 0.33oz.</t>
  </si>
  <si>
    <t>Anbesol Maximum Strength Oral Anesthetic Gel 0.33 Ounce(Pack of 3)</t>
  </si>
  <si>
    <t>B001G7QNR0</t>
  </si>
  <si>
    <t>147.19%</t>
  </si>
  <si>
    <t>6166086975640</t>
  </si>
  <si>
    <t>DCH Labs Burn Relief Spray: Cooling and Moisturizing Itch Relief with Aloe for Sunburn Pain - 4.5 oz (128 g) 2-Pack</t>
  </si>
  <si>
    <t>B09XC6DWHZ</t>
  </si>
  <si>
    <t>146.94%</t>
  </si>
  <si>
    <t>GoodSense® Iodine First Aid Antiseptic Liquid</t>
  </si>
  <si>
    <t>Betadine Antiseptic Liquid First Aid Solution, Povidone-iodine 10%, Infection Protection, Kills Germs In Minor Cuts Scrapes And Burns, No Sting Promise, No Alcohol or Hydrogen Peroxide, 8 FL OZ</t>
  </si>
  <si>
    <t>B002C2O5EQ</t>
  </si>
  <si>
    <t>146.57%</t>
  </si>
  <si>
    <t>6157050380440</t>
  </si>
  <si>
    <t>Eyeglasses Repair Kit, Sunglasses Repair Kit, Includes Glasses Screws and Screwdrivers, Glasses Nose Pads,Glasses Cloth, Tweezer, for Glasses, Sunglasses, Watch, Repair Kit - 500 Pcs</t>
  </si>
  <si>
    <t>B0C5JT89H5</t>
  </si>
  <si>
    <t>146.50%</t>
  </si>
  <si>
    <t>Geri-Care® Senna Plus Natural Vegetable Laxative with Stool Softener 100ct.</t>
  </si>
  <si>
    <t>Geri-Care Senna Plus Natural Vegetable Laxative with Stool Softener, 4 Bottles of 100 Tablets each (400 Total)</t>
  </si>
  <si>
    <t>B00M3EYQPG</t>
  </si>
  <si>
    <t>5.56</t>
  </si>
  <si>
    <t>146.22%</t>
  </si>
  <si>
    <t>6118135201944</t>
  </si>
  <si>
    <t>NIZORAL® Ketoconazole Anti-Dandruff Shampoo 7fl. oz.</t>
  </si>
  <si>
    <t>Nizoral A-D Ketoconazole Anti-Dandruff Shampoo 7 fl oz (Pack of 2)</t>
  </si>
  <si>
    <t>B016BPOAJE</t>
  </si>
  <si>
    <t>146.21%</t>
  </si>
  <si>
    <t>6176068567192</t>
  </si>
  <si>
    <t>Ever Ready First Aid Disposable Cold Compress Therapy Instant Ice Pack for Injuries 4.5" x 7" - 3 Pack</t>
  </si>
  <si>
    <t>B0942FZRKP</t>
  </si>
  <si>
    <t>146.13%</t>
  </si>
  <si>
    <t>Dove Skin Care Beauty Bar For Softer Skin Cucumber and Green Tea More Moisturizing Than Bar Soap 3.75 oz, 14 Bars</t>
  </si>
  <si>
    <t>B08LM864R5</t>
  </si>
  <si>
    <t>145.69%</t>
  </si>
  <si>
    <t>Mueller® Tennis Elbow Support One Size</t>
  </si>
  <si>
    <t>Mueller Sport Care Tennis Elbow Support with Gel Pad One Size #6341-1 ea, Pack of 2</t>
  </si>
  <si>
    <t>B00E4MQP1S</t>
  </si>
  <si>
    <t>11.33</t>
  </si>
  <si>
    <t>145.45%</t>
  </si>
  <si>
    <t>6196331675800</t>
  </si>
  <si>
    <t>LYSIAN Soft Foam Earplugs 38dB SNR, 60 Pairs, Disposable Noise Cancelling Ear Plugs for Snoring, Working, Sleeping, Industrial - Orange</t>
  </si>
  <si>
    <t>B0C6Q9B78C</t>
  </si>
  <si>
    <t>144.90%</t>
  </si>
  <si>
    <t>Cetaphil Moisturizing Lotion 8 fl oz</t>
  </si>
  <si>
    <t>Cetaphil Moisturizing Lotion, Fragrance Free - 8 fl oz, Pack of 2</t>
  </si>
  <si>
    <t>B0057OLUGM</t>
  </si>
  <si>
    <t>144.44%</t>
  </si>
  <si>
    <t>7947395137756</t>
  </si>
  <si>
    <t>Oral B® Indicator Color Collection Toothbrush</t>
  </si>
  <si>
    <t>Oral-B Indicator Color Collection Toothbrush, Soft, 1 Count</t>
  </si>
  <si>
    <t>B000QJ93OO</t>
  </si>
  <si>
    <t>144.34%</t>
  </si>
  <si>
    <t>6166107717784</t>
  </si>
  <si>
    <t>143.82%</t>
  </si>
  <si>
    <t>ARRID Extra Extra Dry Ultra Fresh Aerosol Deodorant 6oz.</t>
  </si>
  <si>
    <t>Arrid Xx U/Clr-U/Frsh Size 6z Arrid Extra Extra Dry Ultra Clear Ultra Fresh Aerosol Deodorant</t>
  </si>
  <si>
    <t>B01IADVLYW</t>
  </si>
  <si>
    <t>143.45%</t>
  </si>
  <si>
    <t>6175999099032</t>
  </si>
  <si>
    <t>Degree Shower Clean Dry Protection Antiperspirant Deodorant Stick, 0.5 oz (Pack of 6)</t>
  </si>
  <si>
    <t>B01IAF0V3M</t>
  </si>
  <si>
    <t>143.20%</t>
  </si>
  <si>
    <t>Fergon® High Potency Iron Supplement Tablets</t>
  </si>
  <si>
    <t>Fergon High Potency Iron Supplement Tablets 100 ea (Pack of 3)</t>
  </si>
  <si>
    <t>B01FXW8G32</t>
  </si>
  <si>
    <t>142.95%</t>
  </si>
  <si>
    <t>5240453431448</t>
  </si>
  <si>
    <t>Bag Balm® Hand &amp; Body Skin Moisturizer 8oz.</t>
  </si>
  <si>
    <t>Bag Balm Vermont's Original Hand Moisturizer, Hand Balm for Dry Skin, Cracked Hands, Heels &amp; Dry Hands Treatment, For Dogs and More Ointment, Lotion - 8oz Tin, 3 Pack</t>
  </si>
  <si>
    <t>B07SSV941M</t>
  </si>
  <si>
    <t>142.86%</t>
  </si>
  <si>
    <t>6162138824856</t>
  </si>
  <si>
    <t>Desitin Daily Defense Baby Diaper Rash Cream with 13% Zinc Oxide, Barrier Cream to Treat, Relieve &amp; Prevent Diaper Rash, Hypoallergenic, Dye-, Phthalate- &amp; Paraben-Free, 16 oz</t>
  </si>
  <si>
    <t>B003DN1WJY</t>
  </si>
  <si>
    <t>142.37%</t>
  </si>
  <si>
    <t>Cetaphil Body Moisturizer, Hydrating Moisturizing Cream for Dry to Very Dry, Sensitive Skin, NEW 20 oz, Fragrance Free, Non-Comedogenic, Non-Greasy</t>
  </si>
  <si>
    <t>B099N1LC4R</t>
  </si>
  <si>
    <t>142.34%</t>
  </si>
  <si>
    <t>LEADER Tweezers Slant Tip Precision, Easy Grip, Non-Slip Rubber, Stainless Steel, Great Precision for Eyebrows, Facial Hair, Splinter and Ingrown Hair Removal</t>
  </si>
  <si>
    <t>B08CQK3SQV</t>
  </si>
  <si>
    <t>142.21%</t>
  </si>
  <si>
    <t>21st Century Acidophilus Probiotic Blend 150ct</t>
  </si>
  <si>
    <t>21st Century Acidophilus Probiotic Blend Capsules, 150-Count (Pack of 2) by 21st Century</t>
  </si>
  <si>
    <t>B018KT9BWA</t>
  </si>
  <si>
    <t>141.82%</t>
  </si>
  <si>
    <t>6120799699096</t>
  </si>
  <si>
    <t>Ricola Natural Herb Cough Drops Original 21 Each (Pack of 2)</t>
  </si>
  <si>
    <t>B00IFZQRRW</t>
  </si>
  <si>
    <t>140.99%</t>
  </si>
  <si>
    <t>NeilMed Sinus Rinse All Natural Relief Premixed Refill Packets 100 Each (Pack of 3)</t>
  </si>
  <si>
    <t>B01IAI8X20</t>
  </si>
  <si>
    <t>140.53%</t>
  </si>
  <si>
    <t>Oasis Moisturizing Mouth Spray for Dry Mouth Mild Mint -- 1 fl oz - 2pc</t>
  </si>
  <si>
    <t>B01LZ5XUXV</t>
  </si>
  <si>
    <t>140.50%</t>
  </si>
  <si>
    <t>Head &amp; Shoulders Classic Clean 2-in-1 Anti-dandruff Shampoo + Conditioner, 32.1 Fl Oz</t>
  </si>
  <si>
    <t>B01MAWAZAZ</t>
  </si>
  <si>
    <t>140.19%</t>
  </si>
  <si>
    <t>Differin® Gel Adapalene Gel 0.1% Acne Treatment</t>
  </si>
  <si>
    <t>La Roche-Posay Effaclar Adapalene Gel 0.1% Acne Treatment, Prescription-Strength Topical Retinoid Cream For Face, Helps Clear and Prevent Acne and Clogged Pores</t>
  </si>
  <si>
    <t>B07SQFQFXX</t>
  </si>
  <si>
    <t>140.09%</t>
  </si>
  <si>
    <t>6160540696728</t>
  </si>
  <si>
    <t>Garden Of Life® Dr. Formulated 100% Natural Organic Coconut MCT Oil 16fl. oz.</t>
  </si>
  <si>
    <t>Garden of Life, Dr. Formulated Brain Health, 100% Organic Coconut MCT Oil, Unflavored, 32 fl oz (946 ml)</t>
  </si>
  <si>
    <t>B07NYNVB6R</t>
  </si>
  <si>
    <t>140.06%</t>
  </si>
  <si>
    <t>6225754620056</t>
  </si>
  <si>
    <t>Dulcolax® Fast Relief Laxative Suppositories</t>
  </si>
  <si>
    <t>Dulcolax Fast Relief Medicated Laxative Suppositories Fast Relief, Rectal Use Only, Bisacodyl, 10 mg, 28 Count</t>
  </si>
  <si>
    <t>B00007MII0</t>
  </si>
  <si>
    <t>9.59</t>
  </si>
  <si>
    <t>139.73%</t>
  </si>
  <si>
    <t>6117406343320</t>
  </si>
  <si>
    <t>Aura Cacia Pure Lemon Eucalyptus Essential Oil, 100% Pure Therapeutic Grade, 2 fl. oz., Corymbia citriodora</t>
  </si>
  <si>
    <t>B002Q4UCGK</t>
  </si>
  <si>
    <t>139.61%</t>
  </si>
  <si>
    <t>Nasacort Allergy 24HR Nasal Spray</t>
  </si>
  <si>
    <t>Nasacort Allergy 24hr Non-Drip Nasal Spray (120 sprays, 3 pk..)</t>
  </si>
  <si>
    <t>B01FTIGIVW</t>
  </si>
  <si>
    <t>16.19</t>
  </si>
  <si>
    <t>5242282967192</t>
  </si>
  <si>
    <t>Depend FIT-Flex Incontinence Underwear for Men, Maximum Absorbency, L</t>
  </si>
  <si>
    <t>B074FD8J4Z</t>
  </si>
  <si>
    <t>139.26%</t>
  </si>
  <si>
    <t>138.98%</t>
  </si>
  <si>
    <t>Eucerin Daily Protection Moisturizing Face Lotion, SPF 30 4 fl oz (118 ml) (Pack of 2)</t>
  </si>
  <si>
    <t>B001FB5IIW</t>
  </si>
  <si>
    <t>138.63%</t>
  </si>
  <si>
    <t>Nexcare Opticlude Eyepatch, Regular Size, Contoured for Fit, Brown, 20 Count (Pack of 3)</t>
  </si>
  <si>
    <t>B00I5MWPK8</t>
  </si>
  <si>
    <t>138.55%</t>
  </si>
  <si>
    <t>Little Remedies® Gas Relief Drops</t>
  </si>
  <si>
    <t>Little Remedies Gas Relief Drops | Safe For Newborns |1 Fl Oz (Pack of 3)</t>
  </si>
  <si>
    <t>B001F0RAW0</t>
  </si>
  <si>
    <t>9.69</t>
  </si>
  <si>
    <t>137.15%</t>
  </si>
  <si>
    <t>6180423237784</t>
  </si>
  <si>
    <t>BioGaia ProTectis Drops with Vitamin D3-10ml (Pack of 3 (3 Bottle))</t>
  </si>
  <si>
    <t>B01BULNT32</t>
  </si>
  <si>
    <t>137.05%</t>
  </si>
  <si>
    <t>Essential® Medical Supply Black Cane Tip 5/8in - 2ct.</t>
  </si>
  <si>
    <t>Essential Medical Supply Replacement Quad Cane Tips, Black, 5/8 Inch</t>
  </si>
  <si>
    <t>B00LGDVQ80</t>
  </si>
  <si>
    <t>3.38</t>
  </si>
  <si>
    <t>136.69%</t>
  </si>
  <si>
    <t>6197629845656</t>
  </si>
  <si>
    <t>Major Pharmaceuticals Senna Natural Vegetable Laxative 8.6mg Tablets, 1000 Count</t>
  </si>
  <si>
    <t>B013KY2Y9W</t>
  </si>
  <si>
    <t>136.49%</t>
  </si>
  <si>
    <t>Arm &amp; Hammer Advance White Extreme Whitening Toothpaste, 0.9 oz. (Packaging May Vary) (Pack of 3)</t>
  </si>
  <si>
    <t>B0C4L44QHQ</t>
  </si>
  <si>
    <t>136.46%</t>
  </si>
  <si>
    <t>BAND-AID Tough-Strips XL 1.75 x 4", 10 ct. 3 Pack</t>
  </si>
  <si>
    <t>B01IAHYSPW</t>
  </si>
  <si>
    <t>135.25%</t>
  </si>
  <si>
    <t>GoodSense® Pain Relief Caplets</t>
  </si>
  <si>
    <t>GoodSense Extra Strength Pain Relief, Acetaminophen Caplets, 500 mg, 500 Count</t>
  </si>
  <si>
    <t>B00447FA7S</t>
  </si>
  <si>
    <t>134.97%</t>
  </si>
  <si>
    <t>5247363973272</t>
  </si>
  <si>
    <t>Olay Firming Night Cream, 2 Ounce (Pack of 3) - Packaging may vary</t>
  </si>
  <si>
    <t>B001F51TNQ</t>
  </si>
  <si>
    <t>134.94%</t>
  </si>
  <si>
    <t>Sun Bum Sun Bum Cool Down Aloe Vera Lotion Vegan and Hypoallergenic After Sun Gel With Cocoa Butter To Soothe and Hydrate Sunburn 3 Ounce 2 Pack</t>
  </si>
  <si>
    <t>B086R4G8B4</t>
  </si>
  <si>
    <t>134.67%</t>
  </si>
  <si>
    <t>Neutrogena® Ultra Sheer® SPF 30 Dry-Touch Sunscreen Lotion 3fl. oz.</t>
  </si>
  <si>
    <t>Neutrogena Ultra Sheer Dry-Touch Sunscreen Lotion, Broad Spectrum SPF 30 UVA/UVB Protection, Oxybenzone-Free, Water Resistant, Non-Comedogenic, Non-Greasy, Travel Size, 3 Fl Oz, Pack of 3</t>
  </si>
  <si>
    <t>B08QKQXZ46</t>
  </si>
  <si>
    <t>12.29</t>
  </si>
  <si>
    <t>134.09%</t>
  </si>
  <si>
    <t>6217142599832</t>
  </si>
  <si>
    <t>133.92%</t>
  </si>
  <si>
    <t>Nasonex 24Hr Allergy Nasal Spray - 120, 2 Pack</t>
  </si>
  <si>
    <t>B0BSVH17C6</t>
  </si>
  <si>
    <t>133.79%</t>
  </si>
  <si>
    <t>Gaia® Herbs Organic Hibiscus Herbal Tea 16ct.</t>
  </si>
  <si>
    <t>Gaia Herbs Organic Hibiscus Herbal Tea, 16 Tea Bags - USDA Organic, with Mandarin Essential Oil</t>
  </si>
  <si>
    <t>B01KCG0WVS</t>
  </si>
  <si>
    <t>133.56%</t>
  </si>
  <si>
    <t>4865683226763</t>
  </si>
  <si>
    <t>Aquaphor Baby Healing Ointment Advanced Therapy Skin Protectant, Dry Skin and Diaper Rash Ointment, 14 Oz Jar</t>
  </si>
  <si>
    <t>B005UEB96K</t>
  </si>
  <si>
    <t>132.88%</t>
  </si>
  <si>
    <t>Duracell Coppertop AA Batteries with Power Boost Ingredients, 24 Count Pack Double A Battery with Long-lasting Power, Alkaline AA Battery for Household and Office Devices</t>
  </si>
  <si>
    <t>B0035LCFNQ</t>
  </si>
  <si>
    <t>132.77%</t>
  </si>
  <si>
    <t>Psoriasin Deep Moisturizing Ointment 4.2oz.</t>
  </si>
  <si>
    <t>Psoriasin Deep Moisturizing Ointment (Pack of 2)</t>
  </si>
  <si>
    <t>B07KM1NMTL</t>
  </si>
  <si>
    <t>12.93</t>
  </si>
  <si>
    <t>131.94%</t>
  </si>
  <si>
    <t>6162112118936</t>
  </si>
  <si>
    <t>Sun Bum® Original SPF 15 Sunscreen Spray 6oz.</t>
  </si>
  <si>
    <t>Sun Bum Sun Bum Original Spf 15 Sunscreen Spray Vegan and Reef Friendly (octinoxate &amp; Oxybenzone Free) Broad Spectrum Moisturizing Uva/uvb Sunscreen With Vitamin E 2 Pack</t>
  </si>
  <si>
    <t>B086R6MZK9</t>
  </si>
  <si>
    <t>131.27%</t>
  </si>
  <si>
    <t>6244613882008</t>
  </si>
  <si>
    <t>Nexcare Opticlude Eyepatch, Junior-Size, Designed To Help Lazy Eye, Hypoallergenic Adhesive, For Boys And Girls, 20 Count (Pack of 4)</t>
  </si>
  <si>
    <t>B001EJOPQ6</t>
  </si>
  <si>
    <t>131.23%</t>
  </si>
  <si>
    <t>Mederma® Advanced Scar Gel</t>
  </si>
  <si>
    <t>Mederma Advanced Scar Gel, Treats Old and New Scars, Reduces the Appearance of Scars from Acne, Stitches, Burns and More 1.76oz, Clear, 100g (2x50g)</t>
  </si>
  <si>
    <t>B09MX99PKC</t>
  </si>
  <si>
    <t>131.17%</t>
  </si>
  <si>
    <t>6152048115864</t>
  </si>
  <si>
    <t>Klaire Labs Ther-Biotic Detoxification Probiotic Supplement - 50 Billion CFU Probiotics - Supports GI Detox, Digestive + Colon Health - Hypoallergenic Lactobacillus + Bifidobacterium (60 Capsules)</t>
  </si>
  <si>
    <t>B0057ZEDCO</t>
  </si>
  <si>
    <t>130.82%</t>
  </si>
  <si>
    <t>Q-tips Cotton Swabs, 375 ct and Travel Holder Case for a Purse</t>
  </si>
  <si>
    <t>B07BPCBMRJ</t>
  </si>
  <si>
    <t>130.56%</t>
  </si>
  <si>
    <t>Band-Aid Flexible Fabric Bandages, All One Size (1 Inch) 100 ea</t>
  </si>
  <si>
    <t>B00KGT2OMC</t>
  </si>
  <si>
    <t>130.40%</t>
  </si>
  <si>
    <t>Apex Deluxe Contact Lens Cases 2ct.</t>
  </si>
  <si>
    <t>Apex Deluxe Contact Lens Cases 2 Each</t>
  </si>
  <si>
    <t>B001AVURWO</t>
  </si>
  <si>
    <t>2.79</t>
  </si>
  <si>
    <t>130.11%</t>
  </si>
  <si>
    <t>6197886779544</t>
  </si>
  <si>
    <t>Nature Made® Fish Oil With Vitamin D 1000IU Softgels 90ct.</t>
  </si>
  <si>
    <t>Nature Made Fish Oil Omega 3 1200 mg with Vitamin D3 2000 IU, 90 Softgels, Omega 3 Supplement For Heart, Bone, Teeth, Muscle, and Immune Health (Pack of 3)</t>
  </si>
  <si>
    <t>B0037LOLE0</t>
  </si>
  <si>
    <t>19.13</t>
  </si>
  <si>
    <t>130.01%</t>
  </si>
  <si>
    <t>4898982461579</t>
  </si>
  <si>
    <t>SURGICAL ONLINE 3 pcs of Lister Bandage Scissors 5.5" Medical Instruments High Grade Surgical Stainless Steel</t>
  </si>
  <si>
    <t>B07CRNL6WZ</t>
  </si>
  <si>
    <t>129.67%</t>
  </si>
  <si>
    <t>GoodSense® Double Edge Stainless Steel Razor 10ct.</t>
  </si>
  <si>
    <t>Viking Revolution Long Handle Double Edge Safety Razor - Butterfly Open Razor with 10 Japanese Stainless Steel Double Edge Safety Razor Blades - Close, Clean Shaving Razor for Men (Chrome Metal Razor)</t>
  </si>
  <si>
    <t>B0BBRGDY56</t>
  </si>
  <si>
    <t>7.79</t>
  </si>
  <si>
    <t>129.53%</t>
  </si>
  <si>
    <t>6223250391192</t>
  </si>
  <si>
    <t>100 Count Double Edge Razor Blades - Men's Safety Razor Blades for Shaving - Platinum Japanese Stainless Steel Double Razor Shaving Blades for Men for a Smooth, Precise and Clean Shave</t>
  </si>
  <si>
    <t>B0B9Y9Z4LL</t>
  </si>
  <si>
    <t>Pepcid® Dual Action Complete Berry Chewable Tablets 50ct.</t>
  </si>
  <si>
    <t>Pepcid Complete Dual Action Acid Reducer + Antacid Chewable Tablets Berry , 50 CT (Pack of 3)</t>
  </si>
  <si>
    <t>B0084X6NTM</t>
  </si>
  <si>
    <t>25.23</t>
  </si>
  <si>
    <t>129.13%</t>
  </si>
  <si>
    <t>6222715158680</t>
  </si>
  <si>
    <t>Band-Aid Adhesive Bandage Family Variety Pack in Assorted Sizes Featuring Water Block &amp; Skin Flex, Flexible Fabric, Tough Strips &amp; Pixar Character Bandages, 110 Count</t>
  </si>
  <si>
    <t>B08R5FP2D2</t>
  </si>
  <si>
    <t>129.06%</t>
  </si>
  <si>
    <t>Boiron Oscillococcinum Homeopathic Medicine for flu-Like Symptoms, White, 36 Count</t>
  </si>
  <si>
    <t>B07Y51PNSZ</t>
  </si>
  <si>
    <t>128.27%</t>
  </si>
  <si>
    <t>Flexible Fabric Bandages with Non-Stick Pad, Latex Free, Rainbow Colors Adhesive Bandage First Aid Wound Care for Cuts, Scrapes, Blisters, Assorted Sizes,100 Count</t>
  </si>
  <si>
    <t>B0C3CGSSM2</t>
  </si>
  <si>
    <t>127.56%</t>
  </si>
  <si>
    <t>Itch-X Fast-Acting Anti-Itch Gel 1.25 Oz</t>
  </si>
  <si>
    <t>Itch-X Itch-X Anti-Itch Gel With Aloe Vera, Aloe Vera 1.25 oz (Pack of 2)</t>
  </si>
  <si>
    <t>B000U9V4WY</t>
  </si>
  <si>
    <t>127.38%</t>
  </si>
  <si>
    <t>6152365834392</t>
  </si>
  <si>
    <t>EltaMD UV Active SPF 50+ Mineral Sunscreen Lotion, Broad Spectrum Physical Sunscreen for Face and Body, Water-Resistant Up to 80 Minutes, Oil-Free, Non-Greasy, Full Body Sunscreen</t>
  </si>
  <si>
    <t>B08FP3S97T</t>
  </si>
  <si>
    <t>126.82%</t>
  </si>
  <si>
    <t>Cosamin® DS for Joint Health Supplement Capsules</t>
  </si>
  <si>
    <t>Cosamin DS For Joint Health Dietary Supplement, 210 Capsules ( Pack of 2)</t>
  </si>
  <si>
    <t>B07BL4DSHN</t>
  </si>
  <si>
    <t>51.79</t>
  </si>
  <si>
    <t>126.59%</t>
  </si>
  <si>
    <t>5238435578008</t>
  </si>
  <si>
    <t>126.50%</t>
  </si>
  <si>
    <t>Duracell Coppertop AAA Batteries with Power Boost Ingredients, 24 Count Pack Triple A Battery with Long-Lasting Power, Alkaline AAA Battery for Household and Office Devices</t>
  </si>
  <si>
    <t>B004K95PBQ</t>
  </si>
  <si>
    <t>126.34%</t>
  </si>
  <si>
    <t>OLAY Night of OLAY Firming Cream 2 oz (Pack of 2)</t>
  </si>
  <si>
    <t>B00E4MPDVG</t>
  </si>
  <si>
    <t>126.30%</t>
  </si>
  <si>
    <t>Set of 3 Bandage Scissors 5.5", Stitch Scissors 4.5" and Hemostat 5.5" Straight Made of Premium Quality Stainless Steel Scissors</t>
  </si>
  <si>
    <t>B071SC4R8Z</t>
  </si>
  <si>
    <t>125.93%</t>
  </si>
  <si>
    <t>BD Home Sharps Container 1 Each</t>
  </si>
  <si>
    <t>B00XCRL9T4</t>
  </si>
  <si>
    <t>125.76%</t>
  </si>
  <si>
    <t>Mack’s Pillow Soft Silicone Earplugs, 2 Pair – The Original Moldable Silicone Putty Ear Plugs for Sleeping, Snoring, Swimming, Travel, Concerts and Studying</t>
  </si>
  <si>
    <t>B001O8KMU0</t>
  </si>
  <si>
    <t>125.27%</t>
  </si>
  <si>
    <t>Burt's Bees® Body Lotion for Normal to Dry Skin 6oz.</t>
  </si>
  <si>
    <t>Burt's Bees Milk and Honey Body Lotion for Normal to Dry Skin -- 6 fl oz</t>
  </si>
  <si>
    <t>B0054S3ZIW</t>
  </si>
  <si>
    <t>124.66%</t>
  </si>
  <si>
    <t>6216696070296</t>
  </si>
  <si>
    <t>AmLactin Daily Moisturizing Body Lotion</t>
  </si>
  <si>
    <t>Amlactin 12% Lactic Acid Daily Moisturizing Lotion, 20 Ounce (2Pack)</t>
  </si>
  <si>
    <t>B078SYFRDF</t>
  </si>
  <si>
    <t>123.54%</t>
  </si>
  <si>
    <t>6162365939864</t>
  </si>
  <si>
    <t>Dentemp Maximum Strength Loose Cap and Lost Filling Repair - Dental Repair Kit (Pack of 3) - Temporary Filling for Tooth - Long Lasting Tooth Filling</t>
  </si>
  <si>
    <t>B07NPN3J7J</t>
  </si>
  <si>
    <t>123.27%</t>
  </si>
  <si>
    <t>Ban Powder Fresh 24-hour Invisible Antiperspirant, 2.6oz Solid Deodorant, Underarm Wetness Protection, with Odor-fighting Ingredients (4 Pack)</t>
  </si>
  <si>
    <t>B00SM44AA2</t>
  </si>
  <si>
    <t>Klaire Labs Ther-Biotic Metabolic Formula Probiotic - Lactobacillus &amp; Bifidobacterium Species - Healthy Weight Management, Metabolism + Immune Support - Vegetarian 25b CFU for Adults (60 Capsules)</t>
  </si>
  <si>
    <t>B01AVJ3OW0</t>
  </si>
  <si>
    <t>123.12%</t>
  </si>
  <si>
    <t>Foille Medicated First Aid Ointment 1 oz (Pack of 2)</t>
  </si>
  <si>
    <t>B01IAI703I</t>
  </si>
  <si>
    <t>122.72%</t>
  </si>
  <si>
    <t>B00SEDFJGK</t>
  </si>
  <si>
    <t>Off! Family Care Smooth &amp; Dry Insect Spray, 4 oz (Pack - 3),White</t>
  </si>
  <si>
    <t>B07FB63549</t>
  </si>
  <si>
    <t>122.65%</t>
  </si>
  <si>
    <t>Fleet Liquid Glycerin Suppositories for Adult Constipation, 4 Suppositories, Pack of 3</t>
  </si>
  <si>
    <t>B01LWY6FGA</t>
  </si>
  <si>
    <t>122.44%</t>
  </si>
  <si>
    <t>Curad Flex Fabric Adhesive Bandages, Bandage Size is 3/4" x 3" (Box of 100)</t>
  </si>
  <si>
    <t>B075KT9JQM</t>
  </si>
  <si>
    <t>122.05%</t>
  </si>
  <si>
    <t>Listerine Total Care Anticavity Fluoride Mouthwash, 6 Benefits in 1 Oral Rinse Helps Kill 99% of Bad Breath Germs, Prevents Cavities, &amp; Strengthens Teeth, Fresh Mint, 1 L, Pack of 2</t>
  </si>
  <si>
    <t>B0B5Y7KCS8</t>
  </si>
  <si>
    <t>121.88%</t>
  </si>
  <si>
    <t>Coppertone® Kids Sunscreen SPF 50 Spray 6fl. oz.</t>
  </si>
  <si>
    <t>Coppertone Sunscreen Spray Kids Pure and Simple Spf 50, Water Resistant MIneral Sunscreen Spray for Children, Broad Spectrum UVA/UVB Protection, 5 oz (Pack of 3)</t>
  </si>
  <si>
    <t>B0B1PB3TZ6</t>
  </si>
  <si>
    <t>10.37</t>
  </si>
  <si>
    <t>121.70%</t>
  </si>
  <si>
    <t>6180619813016</t>
  </si>
  <si>
    <t>EOS® Cherry Vanilla Shea Lip Balm</t>
  </si>
  <si>
    <t>eos Super Soft Shea Lip Balm Sticks, Super Fruits Variety Pack, Strawberry Sorbet, Honey Apple, Cherry Vanilla, Summer Fruit, 4 Pack</t>
  </si>
  <si>
    <t>B09V37V6GP</t>
  </si>
  <si>
    <t>121.67%</t>
  </si>
  <si>
    <t>6216805974168</t>
  </si>
  <si>
    <t>Sundown Naturals Vitamin E Oil 2.50 oz (Pack of 2)</t>
  </si>
  <si>
    <t>B01IA9BFKG</t>
  </si>
  <si>
    <t>121.48%</t>
  </si>
  <si>
    <t>GoodSense ClearLax, Polyethylene Glycol 3350 Powder for Solution, Osmotic Laxative, 17.9 Ounce</t>
  </si>
  <si>
    <t>B004AI9CM0</t>
  </si>
  <si>
    <t>121.42%</t>
  </si>
  <si>
    <t>Similasan Kids Cold &amp; Mucus Relief Syrup Plus Echinacea 4 oz (Pack of 2)</t>
  </si>
  <si>
    <t>B002F89K6U</t>
  </si>
  <si>
    <t>120.71%</t>
  </si>
  <si>
    <t>Metamucil® Cinnamon Spice Fiber Thins Packets 12ct.</t>
  </si>
  <si>
    <t>Metamucil FiberThins Fiber Supplement with Bleam Digestive Health Support Tip Card Psyllium Fiber Bars - 12CT Cinnamon Spice &amp; 12CT Chocolate - Set</t>
  </si>
  <si>
    <t>B0BPQ3784L</t>
  </si>
  <si>
    <t>120.44%</t>
  </si>
  <si>
    <t>6222712471704</t>
  </si>
  <si>
    <t>Sun Bum® After Sun Cool Down Gel 8fl. oz.</t>
  </si>
  <si>
    <t>120.02%</t>
  </si>
  <si>
    <t>6228084916376</t>
  </si>
  <si>
    <t>Diabetic Tussin® Cough and Chest Congestion DM Fluid</t>
  </si>
  <si>
    <t>Diabetic Tussin DM Maximum Strength Cough and Chest Congestion Relief Liquid Cough Syrup, Safe for Diabetics, Berry Flavored, 4 Fluid Ounce</t>
  </si>
  <si>
    <t>B001GCTZWK</t>
  </si>
  <si>
    <t>119.91%</t>
  </si>
  <si>
    <t>5241734824088</t>
  </si>
  <si>
    <t>Prevagen Improves Memory - Professional Strength 40mg, 30 Capsules |2 Pack| with Apoaequorin &amp; Vitamin D with Attractive and Stackable Storage Box | Brain Supplement for Better Brain Health</t>
  </si>
  <si>
    <t>B0BN6Z5SZ6</t>
  </si>
  <si>
    <t>119.17%</t>
  </si>
  <si>
    <t>Prevagen Improves Memory - Professional Strength 40mg, 30 Capsules |2 Pack| with Apoaequorin &amp; Vitamin D &amp; Prevagen 7-Day Pill Minder | Brain Supplement for Better Brain Health</t>
  </si>
  <si>
    <t>B084WX76W5</t>
  </si>
  <si>
    <t>4 each: Duracell Silver Oxide Watch/ Calculator Battery (D389/390PK)</t>
  </si>
  <si>
    <t>B002YE0J3I</t>
  </si>
  <si>
    <t>119.15%</t>
  </si>
  <si>
    <t>Ricola Ricola Throat Drops Lemon Mint, Lemon-Mint, 24 Drops (Pack of 2)</t>
  </si>
  <si>
    <t>B00FQG8MP8</t>
  </si>
  <si>
    <t>119.06%</t>
  </si>
  <si>
    <t>Dental Tooth Filling Material, Lost Fillings and Loose Caps Repair, Temporary Stopping for Dental Treatment, Dental Supplies,Temporary Missing Cracked Broken Teeth Repair Kit</t>
  </si>
  <si>
    <t>B08GLM52GK</t>
  </si>
  <si>
    <t>Aquaphor Healing Ointment - Dry Skin Moisturizer - Hands, Heels, Elbows, Lips - 7 oz. Tube</t>
  </si>
  <si>
    <t>B0107QPFBU</t>
  </si>
  <si>
    <t>118.72%</t>
  </si>
  <si>
    <t>Aquaphor Baby Healing Ointment Advanced Therapy Skin Protectant, Dry Skin and Diaper Rash Ointment, 7 Oz Tube</t>
  </si>
  <si>
    <t>B0107QP1VE</t>
  </si>
  <si>
    <t>Flex Fabric Bandages, Assorted Sizes, 100 per Box</t>
  </si>
  <si>
    <t>B004GCA1YS</t>
  </si>
  <si>
    <t>118.71%</t>
  </si>
  <si>
    <t>Ayr Saline Nasal Gel No-Drip Sinus Spray 0.75 oz (Pack of 4)</t>
  </si>
  <si>
    <t>B01IAIBI7W</t>
  </si>
  <si>
    <t>118.67%</t>
  </si>
  <si>
    <t>FRESHKOTE® Preservative Free Lubricant Eye Drops 10ml</t>
  </si>
  <si>
    <t>FRESHKOTE Preservative Free Lubricant Eye Drops, 2pk.33 fl oz Bottle of Artificial Tears for Dry Eye Relief (Totaling .66 fl oz), Bundled with 1 Tea Tree Eyelid/Eyelash Wipe</t>
  </si>
  <si>
    <t>B0BRBT9DWF</t>
  </si>
  <si>
    <t>32.01</t>
  </si>
  <si>
    <t>118.65%</t>
  </si>
  <si>
    <t>6167942561944</t>
  </si>
  <si>
    <t>GoodSense® Multi-Purpose Solution For Contact Lenses 12fl. oz.</t>
  </si>
  <si>
    <t>Biotrue Hydration Plus Contact Lens Solution, Multi-Purpose Solution for Soft Contact Lenses, Lens Case Included, 10 FL OZ (Pack of 2)</t>
  </si>
  <si>
    <t>B09WRB83MX</t>
  </si>
  <si>
    <t>118.41%</t>
  </si>
  <si>
    <t>6171411906712</t>
  </si>
  <si>
    <t>Curad Non-Stick Pads, 2 Inches X 3 Inches with Adhesive Tabs, 10 Count</t>
  </si>
  <si>
    <t>B001GBDE1E</t>
  </si>
  <si>
    <t>117.90%</t>
  </si>
  <si>
    <t>Aqua Velva Classic Ice Blue® Cooling After Shave 3.5fl. oz.</t>
  </si>
  <si>
    <t>Aqua Velva After Shave Bundle, Vitamin Enriched Ice Sport After Shave with Vitamin E and Pro Vitamin B5, 3.5 oz + Classic Ice Blue After Shave, 3.5 oz</t>
  </si>
  <si>
    <t>B0B1PWP2TW</t>
  </si>
  <si>
    <t>117.34%</t>
  </si>
  <si>
    <t>6206012817560</t>
  </si>
  <si>
    <t>Gaia® Herbs Lactation Support Herbal Tea 16ct.</t>
  </si>
  <si>
    <t>Buddha's Herbs Milky Cloud Nursing Tea, Blended with Sweet Fennel Fruit, Caraway Seeds, and Lemon Balm for Supporting Milk Supply, Herbal Lactation Tea for Breast Feeding Women, 2 Pack, 40 Tea Bags</t>
  </si>
  <si>
    <t>B00LCFZ5UM</t>
  </si>
  <si>
    <t>116.86%</t>
  </si>
  <si>
    <t>4865658159243</t>
  </si>
  <si>
    <t>Nature's Bounty B-100 Ultra B-Complex Time Release, 180 Tablets (Packaging May Vary)</t>
  </si>
  <si>
    <t>B0742KJPZK</t>
  </si>
  <si>
    <t>116.57%</t>
  </si>
  <si>
    <t>TENA Incontinence Pads, Bladder Control &amp; Postpartum for Women, Ultimate Absorbency, Regular Length, Intimates - 99 Count</t>
  </si>
  <si>
    <t>B01GJS9M6E</t>
  </si>
  <si>
    <t>116.30%</t>
  </si>
  <si>
    <t>Fergon High Potency Iron Supplement Tablets, 100 Count, Pack of 2</t>
  </si>
  <si>
    <t>B0CH1KSLHR</t>
  </si>
  <si>
    <t>116.01%</t>
  </si>
  <si>
    <t>Nature Made® Hair Skin and Nails Gummies</t>
  </si>
  <si>
    <t>Nature's Bounty Hair Skin and Nails Vitamins with Biotin &amp; Vitamin C Optimal Solutions, Hair Skin and Nails Gummies - Strawberry Flavored, 80 Gummies (3 Pack ) 80 Count</t>
  </si>
  <si>
    <t>B00IYTR8TK</t>
  </si>
  <si>
    <t>9.49</t>
  </si>
  <si>
    <t>115.91%</t>
  </si>
  <si>
    <t>4896662618251</t>
  </si>
  <si>
    <t>Sun Bum Original Spf 50 Sunscreen Lotion Vegan and Reef Friendly (octinoxate &amp; Oxybenzone Free) Broad Spectrum Moisturizing Uva/uvb With Vitamin E 3 Ounce 2 Pack</t>
  </si>
  <si>
    <t>B086R2J5GN</t>
  </si>
  <si>
    <t>115.42%</t>
  </si>
  <si>
    <t>Icy Hot® Extra Strength Pain Relief Jar</t>
  </si>
  <si>
    <t>Icy Hot Medicated Patch Extra Strength Pain Relief Patch for Back or Large Area, 5 Count (Pack of 3)</t>
  </si>
  <si>
    <t>B001G7QHT4</t>
  </si>
  <si>
    <t>114.91%</t>
  </si>
  <si>
    <t>6287628337304</t>
  </si>
  <si>
    <t>ITCH-X Anti-Itch Gel 1.25 oz (Pack of 2)</t>
  </si>
  <si>
    <t>B01IAHYWN0</t>
  </si>
  <si>
    <t>114.69%</t>
  </si>
  <si>
    <t>Florastor Kids Daily Probiotic Supplement</t>
  </si>
  <si>
    <t>Ele Chocolates Dark Chocolate Daily Probiotic Supplement Bites 3 Billion CFUs for Digestive Gut Health, Immune Support for Women, Men and Kids, 100% Natural and Organic, Gluten-Free, 30 Days Supply</t>
  </si>
  <si>
    <t>B0BXQMXDT7</t>
  </si>
  <si>
    <t>23.29</t>
  </si>
  <si>
    <t>114.64%</t>
  </si>
  <si>
    <t>6120056651928</t>
  </si>
  <si>
    <t>Aveeno Daily Moisturizing Body Lotion with Soothing Prebiotic Oat, Gentle Lotion Nourishes Dry Skin With Moisture, Paraben-, Dye- &amp; Fragrance-Free, Non-Greasy &amp; Non-Comedogenic, 12 fl. oz</t>
  </si>
  <si>
    <t>B0000536EX</t>
  </si>
  <si>
    <t>114.32%</t>
  </si>
  <si>
    <t>Fixodent Complete Original Denture Adhesive Cream, 2.4 Ounce (Pack of 3)</t>
  </si>
  <si>
    <t>B07FL52N66</t>
  </si>
  <si>
    <t>114.24%</t>
  </si>
  <si>
    <t>Alka-Seltzer Original Effervescent Tablets, fast relief of headache, muscle aches, and body aches, 72 Count (Product packaging may vary)</t>
  </si>
  <si>
    <t>B004PX79FC</t>
  </si>
  <si>
    <t>114.11%</t>
  </si>
  <si>
    <t>Amlactin Ultra Smoothing Intensely Hydrating Cream 49oz.</t>
  </si>
  <si>
    <t>AmLactin Rapid Relief Restoring Body Lotion– 14.1 oz Pump Bottle – 2-in-1 Exfoliator and Moisturizer with Ceramides and 15% Lactic Acid &amp; Ultra Smoothing Intensely Hydrating Cream - 4.9 Oz Tube</t>
  </si>
  <si>
    <t>B0C2YDZ1JZ</t>
  </si>
  <si>
    <t>17.79</t>
  </si>
  <si>
    <t>113.55%</t>
  </si>
  <si>
    <t>6996640858264</t>
  </si>
  <si>
    <t>Depend® For Women Fit-Flex Underwear Maximum Absorbency Medium 30ct.</t>
  </si>
  <si>
    <t>Depend Fit-Flex Adult Incontinence Underwear for Women, Disposable, Maximum Absorbency, Medium, Blush, 76 Count</t>
  </si>
  <si>
    <t>B0954ZQ39R</t>
  </si>
  <si>
    <t>113.05%</t>
  </si>
  <si>
    <t>6226590597272</t>
  </si>
  <si>
    <t>GoodSense® Twin Blade Plus with Lubricating Strip Disposable Razors 5ct.</t>
  </si>
  <si>
    <t>Personna Twin Blade Plus Disposable Razor with Lubricating Strip For Women - 5 Ea, 3 pack</t>
  </si>
  <si>
    <t>B00DIXD6LQ</t>
  </si>
  <si>
    <t>4.69</t>
  </si>
  <si>
    <t>113.01%</t>
  </si>
  <si>
    <t>6223255273624</t>
  </si>
  <si>
    <t>Sun Bum® Original SPF 50 Sunscreen Spray 6oz.</t>
  </si>
  <si>
    <t>Sun Bum Original SPF 50 Sunscreen Spray Vegan and Reef Friendly, natural &amp; Sun Bum Skin Care SPF 30 Daily Sunscreen Face Mist | Vegan and Reef Friendly | 2.5 Fl oz</t>
  </si>
  <si>
    <t>B0BXFW6JF6</t>
  </si>
  <si>
    <t>112.82%</t>
  </si>
  <si>
    <t>6244609949848</t>
  </si>
  <si>
    <t>112.78%</t>
  </si>
  <si>
    <t>Coppertone SPORT Sunscreen Lotion SPF 50, Water Resistant Sunscreen, Broad Spectrum SPF 50 Sunscreen, Bulk Sunscreen Pack, 7 Fl Oz Bottle, Pack of 3</t>
  </si>
  <si>
    <t>B078BF2BGP</t>
  </si>
  <si>
    <t>112.49%</t>
  </si>
  <si>
    <t>Mack’s Pillow Soft Silicone Earplugs – 2 Pair – The Original Moldable Silicone Putty Ear Plugs for Sleeping, Snoring, Swimming, Travel, Concerts and Studying</t>
  </si>
  <si>
    <t>B001CC8KI4</t>
  </si>
  <si>
    <t>112.45%</t>
  </si>
  <si>
    <t>Metagenics MetaKids Baby Probiotic</t>
  </si>
  <si>
    <t>Metagenics MetaKids™ Probiotic, Chewable Daily Probiotic Support*, 120 Count</t>
  </si>
  <si>
    <t>B09PXN3QC2</t>
  </si>
  <si>
    <t>37.75</t>
  </si>
  <si>
    <t>111.92%</t>
  </si>
  <si>
    <t>7987747881180</t>
  </si>
  <si>
    <t>Gold Bond Xstr Pwd Size 4z Gold Bond Extra Strength Medicated Body Powder Triple Action Relief</t>
  </si>
  <si>
    <t>B007QEVY5S</t>
  </si>
  <si>
    <t>111.62%</t>
  </si>
  <si>
    <t>Nexcare Tegaderm</t>
  </si>
  <si>
    <t>Nexcare Tegaderm Transparent Dressings 4 Inches X 4-3/4 Inches 4 Each (Pack of 5)</t>
  </si>
  <si>
    <t>B01IAIA7CO</t>
  </si>
  <si>
    <t>18.59</t>
  </si>
  <si>
    <t>111.57%</t>
  </si>
  <si>
    <t>6132917076120</t>
  </si>
  <si>
    <t>Male Urinal with Glow in The Dark Cover [32oz Pack of 5] Portable Pee Bottles for Men Used for Hospitals, Incontinence, Emergency and Travel (5)</t>
  </si>
  <si>
    <t>B0B5HMCXV5</t>
  </si>
  <si>
    <t>111.53%</t>
  </si>
  <si>
    <t>Mueller® Adjustable Back Brace with Lumbar Pad Regular</t>
  </si>
  <si>
    <t>Mueller Sport Care Adjustable Back Brace With Lumbar Pad One Size [255] 1 Each (Pack of 2)</t>
  </si>
  <si>
    <t>B01IAHXSU8</t>
  </si>
  <si>
    <t>35.49</t>
  </si>
  <si>
    <t>111.30%</t>
  </si>
  <si>
    <t>6196448624792</t>
  </si>
  <si>
    <t>Sun Bum® Mineral SPF 30 Tinted Sunscreen Face Lotion 1.7oz</t>
  </si>
  <si>
    <t>Love Sun Body Daily Tinted Face Sunscreen &amp; Moisturizer SPF 30 (Tan) Broad Spectrum Mineral Zinc Oxide | 100% Natural | All-Day Protection | Pregnancy Safe | 100% Natural Origin | Vitamin-Enriched | Reef Safe CC Cream | 1 fl oz</t>
  </si>
  <si>
    <t>B0B46ZJQNT</t>
  </si>
  <si>
    <t>111.23%</t>
  </si>
  <si>
    <t>6952233369752</t>
  </si>
  <si>
    <t>eos 100% Natural &amp; Organic Lip Balm Strawberry Sorbet and Honey Apple, Dermatologist Recommended, All-Day Moisture, Made for Sensitive Skin, 0.25 oz, 2-Pack</t>
  </si>
  <si>
    <t>B0BXC1J2PM</t>
  </si>
  <si>
    <t>110.78%</t>
  </si>
  <si>
    <t>Lotrimin® AF Miconazole Nitrate Antifungal Powder Spray 4.6oz.</t>
  </si>
  <si>
    <t>12.49</t>
  </si>
  <si>
    <t>110.65%</t>
  </si>
  <si>
    <t>6206561321112</t>
  </si>
  <si>
    <t>Prevagen Improves Memory - Regular Strength 10mg, 30 Capsules |2 Pack| with Apoaequorin &amp; Vitamin D &amp; Prevagen 7-Day Pill Minder | Brain Supplement for Better Brain Health</t>
  </si>
  <si>
    <t>B084ZWMZR5</t>
  </si>
  <si>
    <t>110.60%</t>
  </si>
  <si>
    <t>Afrin Original Nasal Spray - Fast, Powerful Congestion Relief - 12 Hour Relief - Maximum Strength - Net Wt. 0.5 FL OZ (15 mL) Each - Pack of 3</t>
  </si>
  <si>
    <t>B00JGBQ792</t>
  </si>
  <si>
    <t>110.41%</t>
  </si>
  <si>
    <t>Curad Flex Fabric Adhesive Bandages, Bandage Size is 1" x 3" (Box of 100)</t>
  </si>
  <si>
    <t>B003WP3U84</t>
  </si>
  <si>
    <t>110.24%</t>
  </si>
  <si>
    <t>Natural Vitality® CALM Magnesium Supplement Raspberry-Lemon Powder 8oz.</t>
  </si>
  <si>
    <t>Natural Vitality Calm Magnesium Citrate Supplement, Anti-Stress Magnesium Supplement Drink Mix Powder- Raspberry Lemon, Vegan, Gluten Free and Non-GMO (Package May Vary), 16 oz Pack of 2</t>
  </si>
  <si>
    <t>B0BF78BT7H</t>
  </si>
  <si>
    <t>23.95</t>
  </si>
  <si>
    <t>108.56%</t>
  </si>
  <si>
    <t>6225705959576</t>
  </si>
  <si>
    <t>Fruit of the Earth Aloe Vera 100% Gel 6 oz (Pack of 2)</t>
  </si>
  <si>
    <t>B00169OIPC</t>
  </si>
  <si>
    <t>Lotrimin AF Jock Itch Antifungal Powder Spray, Miconazole Nitrate 2% - Antifungal Treatment of Most Jock Itch, 4.6 Ounces (133 Grams) Spray Can (Pack of 3)</t>
  </si>
  <si>
    <t>B0039NN81S</t>
  </si>
  <si>
    <t>108.25%</t>
  </si>
  <si>
    <t>Lice Shield Shampoo &amp; Conditioner 10 fl. oz.</t>
  </si>
  <si>
    <t>Lice Shield Shampoo &amp; Conditioner 2 in 1 - 10 oz - 2 pk</t>
  </si>
  <si>
    <t>B00JISMSG4</t>
  </si>
  <si>
    <t>108.16%</t>
  </si>
  <si>
    <t>6156972458136</t>
  </si>
  <si>
    <t>Nexcare Gentle Paper Tape 1 Inch X 10 Yards, 20 yrds (Pack of 3)</t>
  </si>
  <si>
    <t>B004AI8QTK</t>
  </si>
  <si>
    <t>108.06%</t>
  </si>
  <si>
    <t>Mueller Lumbar Regular Back Brace with Removable Pad, 2 Pack</t>
  </si>
  <si>
    <t>B00Y0ZDMEW</t>
  </si>
  <si>
    <t>107.86%</t>
  </si>
  <si>
    <t>Dr. Scholls Moleskin Soft Padding Roll (24In X 4 5/8 Pieces) (Pack of 2)</t>
  </si>
  <si>
    <t>B00E4MJYS4</t>
  </si>
  <si>
    <t>107.69%</t>
  </si>
  <si>
    <t>Aquaphor Healing Ointment Baby 3 Ounce Tube (89ml) (2 Pack)</t>
  </si>
  <si>
    <t>B015RI8N0I</t>
  </si>
  <si>
    <t>107.68%</t>
  </si>
  <si>
    <t>Blue Star Anti-Itch Medicated Ointment 2 oz (Pack of 3)</t>
  </si>
  <si>
    <t>B004LTZW5O</t>
  </si>
  <si>
    <t>107.41%</t>
  </si>
  <si>
    <t>Integrative Therapeutics® Buffered Vitamin C 1000mg Capsule</t>
  </si>
  <si>
    <t>SOLARAY Super Bio Vitamin C 1000mg, Buffered, Time Release Capsules with Bioflavonoids, Two-Stage for High Absorption &amp; All Day Immune Support, Vegan, 60 Day Guarantee, 125 Servings, 250 VegCaps</t>
  </si>
  <si>
    <t>B00013YZ0M</t>
  </si>
  <si>
    <t>107.33%</t>
  </si>
  <si>
    <t>4885744124043</t>
  </si>
  <si>
    <t>Bayer® Back &amp; Body Extra Strength 500 mg Fast Relief Caplets</t>
  </si>
  <si>
    <t>Bayer Back &amp; Body Extra Strength Aspirin, 500mg Coated Tablets, Fast Relief at the Site of Pain, Pain Reliever with 32.5mg Caffeine, 24 Count (Pack of 3)</t>
  </si>
  <si>
    <t>B00KOCGR38</t>
  </si>
  <si>
    <t>11.93</t>
  </si>
  <si>
    <t>106.96%</t>
  </si>
  <si>
    <t>5248274235544</t>
  </si>
  <si>
    <t>Resinol Medicated Ointment 3 oz (Pack of 2)</t>
  </si>
  <si>
    <t>B01M3YCG9V</t>
  </si>
  <si>
    <t>106.83%</t>
  </si>
  <si>
    <t>Nizoral Anti-Dandruff Shampoo with 1% Ketoconazole, Fresh Scent, 14 Fl Oz (Pack of 2)</t>
  </si>
  <si>
    <t>B0BQ41MLZG</t>
  </si>
  <si>
    <t>106.81%</t>
  </si>
  <si>
    <t>Lotrimin® AF Miconazole Nitrate Antifungal Deodorant Powder Spray 4.6oz.</t>
  </si>
  <si>
    <t>12.73</t>
  </si>
  <si>
    <t>106.68%</t>
  </si>
  <si>
    <t>6206558044312</t>
  </si>
  <si>
    <t>Lotrimin® AF Jock Itch Antifungal Powder Spray</t>
  </si>
  <si>
    <t>6152213135512</t>
  </si>
  <si>
    <t>Apex Twice-A-Day Weekly Pill Organizer, Model No : 70059 - 1 Set ( Pack of 3 )</t>
  </si>
  <si>
    <t>B00E4MS9KI</t>
  </si>
  <si>
    <t>106.26%</t>
  </si>
  <si>
    <t>Madison Supply Medical Scissors for Nurses, EMT &amp; Trauma Shears - 7.5" Premium Quality Stainless Steel Bandage Scissors for Nurses - Nursing Scissors - Fluoride-Coated w/Non-Stick Blades, 1pk (Black)</t>
  </si>
  <si>
    <t>B00YFG1U86</t>
  </si>
  <si>
    <t>106.09%</t>
  </si>
  <si>
    <t>Mommy's Bliss Original Gripe Water, Gas and Colic Relief, Gentle and Safe, Made for Infants, 2 Weeks+, 2 Fl Oz (4 Pack)</t>
  </si>
  <si>
    <t>B07RQJ4BJT</t>
  </si>
  <si>
    <t>106.03%</t>
  </si>
  <si>
    <t>Burt's Bees A Bit of Burt's Bees Holiday Gift Set - Coconut &amp; Pear Lip Balm and Lemon Butter Cuticle Cream</t>
  </si>
  <si>
    <t>B01IF3JAF4</t>
  </si>
  <si>
    <t>105.98%</t>
  </si>
  <si>
    <t>Eyeglass Repair Kit with Screws, PHDHQS Eye Glasses Repairing Kit - Glasses Repair Kit with Screws, Nose Pads, Glass Screwdriver, Tweezers and Cleaning Cloth</t>
  </si>
  <si>
    <t>B0CDLKZGP5</t>
  </si>
  <si>
    <t>105.35%</t>
  </si>
  <si>
    <t>Prevagen Improves Memory-Regular Strength 10mg, 30 Chewables|Mixed Berry-2 Pack|with Apoaequorin &amp; Vitamin D with Attractive and Stackable Prevagen Storage Box|Brain Supplement for Better Brain Health</t>
  </si>
  <si>
    <t>B0BN712XBP</t>
  </si>
  <si>
    <t>105.33%</t>
  </si>
  <si>
    <t>Prevagen Improves Memory - Regular Strength 10mg, 30 Chewables |Mixed Berry-2 Pack| with Apoaequorin &amp; Vitamin D &amp; Prevagen 7-Day Pill Minder | Brain Supplement for Better Brain Health</t>
  </si>
  <si>
    <t>B01LZYUHSP</t>
  </si>
  <si>
    <t>Nature Made Fish Oil 1200 mg, Omega 3 Fish Oil for Healthy Heart Support, Omega 3 Supplement with 300 Softgels, 150 Day Supply+Better Guide Vitamins Supplements</t>
  </si>
  <si>
    <t>B0C2GQSY8N</t>
  </si>
  <si>
    <t>104.65%</t>
  </si>
  <si>
    <t>Lotrimin® AF Daily Prevention Tolnaftate Antifungal Powder 3oz.</t>
  </si>
  <si>
    <t>Lotrimin AF Athlete's Foot Daily Prevention Medicated Foot Powder, Tolnaftate Antifungal, Clinically Proven Prevention of Most Athlete's Foot, 3 Ounce (90 Grams) Bottle (Pack of 3)</t>
  </si>
  <si>
    <t>B0872XBXD2</t>
  </si>
  <si>
    <t>13.89</t>
  </si>
  <si>
    <t>104.54%</t>
  </si>
  <si>
    <t>6206552899736</t>
  </si>
  <si>
    <t>104.32%</t>
  </si>
  <si>
    <t>PreserVision AREDS 2 Eye Vitamin &amp; Mineral Supplement, Contains Lutein, Vitamin C, Zeaxanthin, Zinc &amp; Vitamin E, 130 Softgels (Packaging May Vary)</t>
  </si>
  <si>
    <t>B09TG6TP2Y</t>
  </si>
  <si>
    <t>103.10%</t>
  </si>
  <si>
    <t>BD Home Sharps Container 1.4 qt/Each Personal Healthcare / Health Care</t>
  </si>
  <si>
    <t>B00EXPVFQQ</t>
  </si>
  <si>
    <t>103.04%</t>
  </si>
  <si>
    <t>Bd Home Sharps Container 1.4 Quarts, Each</t>
  </si>
  <si>
    <t>B0070P64IA</t>
  </si>
  <si>
    <t>Pataday® Once Daily Relief Allergy Relief Eye Drop 2.5ml</t>
  </si>
  <si>
    <t>Pataday Once Daily Relief Allergy Eye Drops by Alcon, for Eye Allergy Itch Relief, 2.5 ml (2 Count) (Pack of 2)</t>
  </si>
  <si>
    <t>B0BQ2RNVHF</t>
  </si>
  <si>
    <t>21.99</t>
  </si>
  <si>
    <t>103.00%</t>
  </si>
  <si>
    <t>6167926997144</t>
  </si>
  <si>
    <t>Revlon® Nail Clipper with Fingernail File</t>
  </si>
  <si>
    <t>Nail Clippers, Toenail Clippers, Fingernail Clipper Cutters, Stainless Steel Toe Nail Clippers with Sharp Curved Blades and File, Nail Clippers for Men Women Kids(Large &amp; Small)</t>
  </si>
  <si>
    <t>B0BD4HBJZY</t>
  </si>
  <si>
    <t>2.46</t>
  </si>
  <si>
    <t>102.85%</t>
  </si>
  <si>
    <t>6223287582872</t>
  </si>
  <si>
    <t>Nexcare Gentle Paper Carded First Aid Tape 1 in x 10 yds (6 rolls), 2 Count (Pack of 3)</t>
  </si>
  <si>
    <t>B00I3J4GRS</t>
  </si>
  <si>
    <t>102.74%</t>
  </si>
  <si>
    <t>Nexcare Tegaderm +Pad Waterproof Transparent Dressing 2-3/8 Inches x 4-5 ct, Pack of 6</t>
  </si>
  <si>
    <t>B0792Q5RT8</t>
  </si>
  <si>
    <t>101.94%</t>
  </si>
  <si>
    <t>Claritin 24 Hour Non-Drowsy Allergy Tablets, 10 mg, 20 Count</t>
  </si>
  <si>
    <t>B000FL95OG</t>
  </si>
  <si>
    <t>101.74%</t>
  </si>
  <si>
    <t>Coppertone Pure and Simple Kids Spray Sunscreen, SPF 50 Broad Spectrum Sunscreen for Kids, 5 Oz, Pack of 3</t>
  </si>
  <si>
    <t>B09PC867T3</t>
  </si>
  <si>
    <t>101.35%</t>
  </si>
  <si>
    <t>ASPERCREME Pain Relieving Creme 1.25 oz (Pack of 3)</t>
  </si>
  <si>
    <t>B01IAI4P90</t>
  </si>
  <si>
    <t>101.06%</t>
  </si>
  <si>
    <t>Coricidin HBP Cough &amp; Cold Tablets - 16 Tablets, Pack of 2</t>
  </si>
  <si>
    <t>B073SZ851Z</t>
  </si>
  <si>
    <t>100.82%</t>
  </si>
  <si>
    <t>Nexcare Gentle Paper Tape, Medical Paper Tape, Secures Dressings and Lifts Away Gently - 1 In x 10 Yds, 6 Rolls of Tape</t>
  </si>
  <si>
    <t>B09R6YLX8T</t>
  </si>
  <si>
    <t>100.69%</t>
  </si>
  <si>
    <t>Colgate Max Fresh Whitening Toothpaste with Breath Strips, Clean Mint, 6 Ounce Tube, 4 Pack</t>
  </si>
  <si>
    <t>B0795Z8SWZ</t>
  </si>
  <si>
    <t>100.40%</t>
  </si>
  <si>
    <t>Sun Bum Original SPF 50 Sunscreen Spray Vegan and Reef Friendly (Octinoxate &amp; Oxybenzone Free) Broad Spectrum Moisturizing UVA/UVB Sunscreen &amp; Original SPF 45 Sunscreen Face Mist 3.4 oz</t>
  </si>
  <si>
    <t>B0C2VJF4MY</t>
  </si>
  <si>
    <t>100.31%</t>
  </si>
  <si>
    <t>Owen Mumford Autodrop® Eye Drop Guide</t>
  </si>
  <si>
    <t>Owen Mumford OP 6000 Autodrop Eye Guide</t>
  </si>
  <si>
    <t>B002LVV3OI</t>
  </si>
  <si>
    <t>100.25%</t>
  </si>
  <si>
    <t>6177630716056</t>
  </si>
  <si>
    <t>Boudreaux's Butt Paste Diaper Rash Ointment Original 2 oz (Pack of 2)</t>
  </si>
  <si>
    <t>B00E4MQG26</t>
  </si>
  <si>
    <t>100.15%</t>
  </si>
  <si>
    <t>NOW® Lemongrass Oil 1oz.</t>
  </si>
  <si>
    <t>Cliganic USDA Organic Lemongrass Essential Oil, 1oz - 100% Pure Natural Undiluted, for Aromatherapy Diffuser | Non-GMO Verified</t>
  </si>
  <si>
    <t>B07QB8FWKK</t>
  </si>
  <si>
    <t>100.14%</t>
  </si>
  <si>
    <t>4885851668619</t>
  </si>
  <si>
    <t>Sun Bum Original SPF 30 Sunscreen Lotion | Vegan and Hawaii 104 Reef Act Compliant (Octinoxate &amp; Oxybenzone Free) Broad Spectrum Moisturizing UVA/UVB Sunscreen with Vitamin E | 3 oz (Pack of 2)</t>
  </si>
  <si>
    <t>B0C7SKNG2K</t>
  </si>
  <si>
    <t>100.10%</t>
  </si>
  <si>
    <t>Sun Bum Sun Bum Original Spf 50 Sunscreen Spray Vegan and Reef Friendly (octinoxate &amp; Oxybenzone Free) Broad Spectrum Moisturizing Uva/uvb Sunscreen With Vitamin E 2 Pack</t>
  </si>
  <si>
    <t>B086R4GXK5</t>
  </si>
  <si>
    <t>Philip's® Sonicare 1100 Daily Clean Electric Toothbrush</t>
  </si>
  <si>
    <t>Philips Sonicare cleanDaily Rechargeable Electric Toothbrush, 2 Count</t>
  </si>
  <si>
    <t>B09K8RYDK3</t>
  </si>
  <si>
    <t>6166225944728</t>
  </si>
  <si>
    <t>eos 100% Natural &amp; Organic Lip Balm- Strawberry Sorbet, All-Day Moisture, Dermatologist Recommended for Sensitive Skin, Lip Care Products, 0.25 oz (Pack of 2)</t>
  </si>
  <si>
    <t>B0BV64ZLCN</t>
  </si>
  <si>
    <t>Differin Adapalene Gel 0.1% Acne Treatment, 0.5 Ounces each (Value Pack of 2)</t>
  </si>
  <si>
    <t>B07145HWXR</t>
  </si>
  <si>
    <t>99.73%</t>
  </si>
  <si>
    <t>Colace 2-in-1 Stool Softener + Stimulant Laxative (Pack of 2)</t>
  </si>
  <si>
    <t>B07P5H3435</t>
  </si>
  <si>
    <t>99.37%</t>
  </si>
  <si>
    <t>Americaine Benzocaine Topical Anesthetic Spray 2 oz (Pack of 2)</t>
  </si>
  <si>
    <t>B00SEDDYWG</t>
  </si>
  <si>
    <t>99.33%</t>
  </si>
  <si>
    <t>MABIS Precision Lister Bandage Scissors Shears, Stainless Steel</t>
  </si>
  <si>
    <t>B0002DL8N8</t>
  </si>
  <si>
    <t>99.02%</t>
  </si>
  <si>
    <t>Nature's Bounty Optimal Solutions Advanced Hair, Skin, Nails, 2X Biotin, 200 Strawberry Gummies</t>
  </si>
  <si>
    <t>B085JDD3V8</t>
  </si>
  <si>
    <t>98.84%</t>
  </si>
  <si>
    <t>Powder Fresh Original Roll-On Antiperspirant Deodorant By Ban for Unisex Deodorant, 1.5 Ounce</t>
  </si>
  <si>
    <t>B002OVIC94</t>
  </si>
  <si>
    <t>98.82%</t>
  </si>
  <si>
    <t>98.67%</t>
  </si>
  <si>
    <t>Sudafed Sinus Congestion Tablets</t>
  </si>
  <si>
    <t>Sudafed Day + Night Sinus Congestion, 12 Daytime &amp; 8 Nighttime Tablets (Pack of 2)</t>
  </si>
  <si>
    <t>B075JRKY6K</t>
  </si>
  <si>
    <t>9.43</t>
  </si>
  <si>
    <t>98.52%</t>
  </si>
  <si>
    <t>5241776963736</t>
  </si>
  <si>
    <t>LYSIAN Ultra Soft Foam Earplugs for Sleep 60 Pairs, 38dB SNR Ear Plugs for Sleeping Noise Cancelling, Mowing and Snoring,Double Color Green/White</t>
  </si>
  <si>
    <t>B09VNNN7WD</t>
  </si>
  <si>
    <t>98.07%</t>
  </si>
  <si>
    <t>Q-tips Cotton Swabs, 500 Count (Pack of 2)</t>
  </si>
  <si>
    <t>B00DUGPW40</t>
  </si>
  <si>
    <t>97.86%</t>
  </si>
  <si>
    <t>Band-Aid Brand of First Aid Products Hurt-Free Self-Adherent Wound Wrap for Securing Dressings On Post-Surgical Wounds, Joints, or Other Hard-To-Fit Areas, 2 In by 2.3 yd (Pack of 2)</t>
  </si>
  <si>
    <t>B073V31TQM</t>
  </si>
  <si>
    <t>97.79%</t>
  </si>
  <si>
    <t>O'Keeffe's Working Hands Hand Cream Value Size, 6.8 oz., Jar (Pack of 1)</t>
  </si>
  <si>
    <t>B00NON258U</t>
  </si>
  <si>
    <t>97.63%</t>
  </si>
  <si>
    <t>DURACELL 389/390 Silver Oxide Button Battery 1-Count (Durmnd389bpk)</t>
  </si>
  <si>
    <t>B08MFQRQTX</t>
  </si>
  <si>
    <t>97.26%</t>
  </si>
  <si>
    <t>Aquaphor Baby Healing Ointment Tube - 3 oz - 2 pk - *Packaging may vary</t>
  </si>
  <si>
    <t>B00IZAJH24</t>
  </si>
  <si>
    <t>97.20%</t>
  </si>
  <si>
    <t>Mueller Kinesiology Tape® I-Strips Pre-Cut Tape Roll</t>
  </si>
  <si>
    <t>Mueller Pre-Cut Kinesiology Tape I-Strip Roll, 2" x 16.4' - 20 Strips per Roll Black</t>
  </si>
  <si>
    <t>B00PKKXNHW</t>
  </si>
  <si>
    <t>97.14%</t>
  </si>
  <si>
    <t>6197523906712</t>
  </si>
  <si>
    <t>Breathe Right Nasal Strips to Stop Snoring, Drug-Free, Original Tan Large, 30 Count, 2 Packages</t>
  </si>
  <si>
    <t>B07PXFDGGW</t>
  </si>
  <si>
    <t>97.03%</t>
  </si>
  <si>
    <t>Liquid I.V.Hydration Multiplier,Electrolyte Powder,Easy Open Packets,Supplement Drink Mix(Passion Fruit,30 Count)</t>
  </si>
  <si>
    <t>B07S975T99</t>
  </si>
  <si>
    <t>96.85%</t>
  </si>
  <si>
    <t>Nature Made Stress B Complex with Zinc Size 75ct (Pack of 2) 150 ct Total</t>
  </si>
  <si>
    <t>B00GSW8862</t>
  </si>
  <si>
    <t>96.75%</t>
  </si>
  <si>
    <t>Colgate Max Fresh Whitening Toothpaste with Mini Breath Strips, Clean Mint - 6 ounce (2 Pack)</t>
  </si>
  <si>
    <t>B087HK651T</t>
  </si>
  <si>
    <t>96.59%</t>
  </si>
  <si>
    <t>Nature Made® Fish Oil with Omega-3 1200 mg/720 mg Softgels 100ct.</t>
  </si>
  <si>
    <t>95.85%</t>
  </si>
  <si>
    <t>5238336061592</t>
  </si>
  <si>
    <t>Biotène® Dry Mouth Oral Rinse 16fl. oz.</t>
  </si>
  <si>
    <t>Biotène Oral Rinse Mouthwash for Dry Mouth, Breath Freshener and Dry Mouth Treatment, Fresh Mint - 33.8 FL oz(Pack of 2)</t>
  </si>
  <si>
    <t>B09SB95WM5</t>
  </si>
  <si>
    <t>95.17%</t>
  </si>
  <si>
    <t>6166242558104</t>
  </si>
  <si>
    <t>Pond's Cold Cream Make-Up Remover Fragrance-Free 6.1 Ounce (2 Pack)</t>
  </si>
  <si>
    <t>B07T5XK78W</t>
  </si>
  <si>
    <t>94.96%</t>
  </si>
  <si>
    <t>Oral-B Complete Deep Clean Battery Power Electric Toothbrush,1 Count (Color May Vary)</t>
  </si>
  <si>
    <t>B0007DHH88</t>
  </si>
  <si>
    <t>94.87%</t>
  </si>
  <si>
    <t>A&amp;D Diaper Rash Ointment &amp; Skin Protectant, Original -1.5 Ounces - 2 Pack</t>
  </si>
  <si>
    <t>B00ZPR8KW8</t>
  </si>
  <si>
    <t>94.74%</t>
  </si>
  <si>
    <t>Biotrue Contact Lens Solution, Multi-Purpose Solution for Soft Contact Lenses, Lens Case Included, 10 FL OZ (Pack of 2)</t>
  </si>
  <si>
    <t>B003H03SDQ</t>
  </si>
  <si>
    <t>94.71%</t>
  </si>
  <si>
    <t>Prevagen Improves Memory - Regular Strength 10mg, 60 Capsules, with Apoaequorin &amp; Vitamin D &amp; Prevagen 7-Day Pill Minder | Brain Supplement for Better Brain Health, Supports Healthy Brain Function</t>
  </si>
  <si>
    <t>B00GB9AWXO</t>
  </si>
  <si>
    <t>94.39%</t>
  </si>
  <si>
    <t>Apex Twice-A-Day Economy Weekly Pill Organizer, 2 Times a Day, Easy-Open, See-Through Lids, Organize Medication or Vitamins by AM, PM or Morning and Bedtime, Clear</t>
  </si>
  <si>
    <t>B006JRQKKC</t>
  </si>
  <si>
    <t>94.37%</t>
  </si>
  <si>
    <t>PreserVision AREDS Lutein Formula Soft Gels</t>
  </si>
  <si>
    <t>20.63</t>
  </si>
  <si>
    <t>93.84%</t>
  </si>
  <si>
    <t>5240224940184</t>
  </si>
  <si>
    <t>FRESHKOTE® Preservative Free (PF) Lubricant Eye Drops (Pack of 2)</t>
  </si>
  <si>
    <t>B07JVYF8DC</t>
  </si>
  <si>
    <t>93.66%</t>
  </si>
  <si>
    <t>Ezy Dose Kids Oral Liquid Medicine Spoon, For Baby &amp; Toddler, 10mL/2 TSP Capacity, Calibrated</t>
  </si>
  <si>
    <t>B001GBH6RM</t>
  </si>
  <si>
    <t>93.53%</t>
  </si>
  <si>
    <t>21st Century Acidophilus Probiotic Blend Capsules, 150-Count (Pack of 2)</t>
  </si>
  <si>
    <t>B00MQ3WVO2</t>
  </si>
  <si>
    <t>93.51%</t>
  </si>
  <si>
    <t>Biofreeze Pain Relief Roll-On 3 FL OZ, Gel 4 FL OZ, And Spray 4 FL OZ Variety Pack Topical Pain Reliever For Muscles And Joints From Arthritis, Backache, Strains, Bruises, &amp; Sprains (Package May Vary)</t>
  </si>
  <si>
    <t>B07LCDRJVY</t>
  </si>
  <si>
    <t>93.46%</t>
  </si>
  <si>
    <t>Lubriderm Advanced Therapy Lotion 16fl. oz.</t>
  </si>
  <si>
    <t>Lubriderm Advanced Therapy Moisturizing Lotion with Vitamins E and B5, Deep Hydration for Extra Dry Skin, Non-Greasy Formula, 24 fl. oz (Pack of 2)</t>
  </si>
  <si>
    <t>B0CB6G7NG5</t>
  </si>
  <si>
    <t>92.95%</t>
  </si>
  <si>
    <t>6160934207640</t>
  </si>
  <si>
    <t>Norm's Farms ElderKids Organic Elderberry Vegan Gummies with Vitamin C, 60 Count, Pack of 2</t>
  </si>
  <si>
    <t>B08GLG5LNS</t>
  </si>
  <si>
    <t>92.93%</t>
  </si>
  <si>
    <t>Breathe Right Nasal Strips, Large,tan, 30-count Boxes (Pack of 2)</t>
  </si>
  <si>
    <t>B006897WLC</t>
  </si>
  <si>
    <t>92.36%</t>
  </si>
  <si>
    <t>Klaire Labs Ther-Biotic Women's Probiotic Supplement - Support Healthy Vaginal pH &amp; Comfort - 25b CFU Lactobacillus &amp; Bifidobacterium - Hypoallergenic, Dairy-Free Probiotics (60 Capsules)</t>
  </si>
  <si>
    <t>B003PQNOM2</t>
  </si>
  <si>
    <t>92.34%</t>
  </si>
  <si>
    <t>Metakids Baby Probiotic</t>
  </si>
  <si>
    <t>B01KGKRWOA</t>
  </si>
  <si>
    <t>92.11%</t>
  </si>
  <si>
    <t>Aveeno 1% Hydrocortisone Anti-Itch Cream, 1 Oz ( Pack of 3 )</t>
  </si>
  <si>
    <t>B00E4MOG5K</t>
  </si>
  <si>
    <t>92.10%</t>
  </si>
  <si>
    <t>Prilosec OTC, Omeprazole Delayed Release 20mg, Acid Reducer, Treats Frequent Heartburn for 24 Hour Relief, All Day, All Night*, 20mg, 42 Tablets</t>
  </si>
  <si>
    <t>B0000AN9L7</t>
  </si>
  <si>
    <t>91.66%</t>
  </si>
  <si>
    <t>Dickinson’s® Original Witch Hazel Pore Perfecting Toner 16fl. oz.</t>
  </si>
  <si>
    <t>Dickinson's Witch Hazel Toner &amp; Astringent Bundle (2-16 fl oz Bottles): Original Witch Hazel Pore Perfecting Toner, Enhanced Witch Hazel Deep Cleansing Astringent, Menthol and Eucalyptus</t>
  </si>
  <si>
    <t>B0B64FGRQK</t>
  </si>
  <si>
    <t>91.49%</t>
  </si>
  <si>
    <t>6160870768792</t>
  </si>
  <si>
    <t>Fruit Of The Earth 100% Aloe Vera Gel 6 Ounce Rose Petal (177ml)</t>
  </si>
  <si>
    <t>B00K9LNWGO</t>
  </si>
  <si>
    <t>90.81%</t>
  </si>
  <si>
    <t>Bacitracin® Antibiotic Ointment 1oz.</t>
  </si>
  <si>
    <t>(4 Pack) Globe Bacitracin Zinc Ointment + Aloe 1oz, Antibiotic Ointment, Essential Antibiotic First Aid Supplies, Healing Action, Maximum Antibiotic Power, Prevents Infection in cuts, scrapes, Burns</t>
  </si>
  <si>
    <t>B01DFNBKEI</t>
  </si>
  <si>
    <t>90.69%</t>
  </si>
  <si>
    <t>6149136384152</t>
  </si>
  <si>
    <t>Afrin Nasal Spray 12 Hour Relief, Original, 0.5 fl oz (Pack of 3)</t>
  </si>
  <si>
    <t>B01BVXBKZ8</t>
  </si>
  <si>
    <t>90.39%</t>
  </si>
  <si>
    <t>Norm's Farms Elderberry Wellness Syrup 8oz</t>
  </si>
  <si>
    <t>Norm's Farms Black Elderberry Wellness Syrup and Black Elderberry Extract - Natural Immune Support - 2 8 Oz. Containers</t>
  </si>
  <si>
    <t>B018WOMMRO</t>
  </si>
  <si>
    <t>6080471990424</t>
  </si>
  <si>
    <t>Energizer Batteries 390/389 (189, SR1130SW, SR1130W) Silver Oxide Watch Battery. On Tear Strip (Pack of 5)</t>
  </si>
  <si>
    <t>B008A0CEH4</t>
  </si>
  <si>
    <t>89.97%</t>
  </si>
  <si>
    <t>Blu Emu® Original Super Strength Topical Cream 4oz.</t>
  </si>
  <si>
    <t>Blue-Emu Original Super Strength Topical Cream - Buy Packs and SAVE (Pack of 3)</t>
  </si>
  <si>
    <t>B01M8K0J0N</t>
  </si>
  <si>
    <t>89.84%</t>
  </si>
  <si>
    <t>6287661990040</t>
  </si>
  <si>
    <t>O'Keeffe's Working Hands Hand Cream 2.7 Ounces (Pack of 2)</t>
  </si>
  <si>
    <t>B015SPYUGG</t>
  </si>
  <si>
    <t>89.68%</t>
  </si>
  <si>
    <t>BAND-AID® Water Block Tough Strips</t>
  </si>
  <si>
    <t>89.26%</t>
  </si>
  <si>
    <t>6132829782168</t>
  </si>
  <si>
    <t>Mueller® Patella Stabilizer Knee Brace Small</t>
  </si>
  <si>
    <t>BraceAbility J Patella Knee Brace - Lateral Patellar Stabilizer with Medial and J-Lat Support Straps for Dislocation, Subluxation, Patellofemoral Pain, Left or Right Kneecap Tracking (Small)</t>
  </si>
  <si>
    <t>B00PJWCOAI</t>
  </si>
  <si>
    <t>31.73</t>
  </si>
  <si>
    <t>89.06%</t>
  </si>
  <si>
    <t>6196392525976</t>
  </si>
  <si>
    <t>Duracell Coppertop AAA Batteries with Power Boost Ingredients, 20 Count Pack Triple A Battery with Long-lasting Power, Alkaline AAA Battery for Household and Office Devices</t>
  </si>
  <si>
    <t>B002UXRXE6</t>
  </si>
  <si>
    <t>88.60%</t>
  </si>
  <si>
    <t>Centrum® Men 120 Tablets</t>
  </si>
  <si>
    <t>Centrum Mens Multivitamin Supplement Tablets, 120 Count+ Better Guide Vitamins Supplements (2 ITENS)</t>
  </si>
  <si>
    <t>B0C9611ZLM</t>
  </si>
  <si>
    <t>88.45%</t>
  </si>
  <si>
    <t>4896635420811</t>
  </si>
  <si>
    <t>Neutrogena® Gentle Oil-Free Liquid Eye Makeup Remover 5.5fl. oz</t>
  </si>
  <si>
    <t>Neutrogena Gentle Oil-Free Eye Makeup Remover &amp; Cleanser for Sensitive Eyes, Non-Greasy Makeup Remover, Removes Waterproof Mascara, Dermatologist &amp; Ophthalmologist Tested, 3 x 5.5 fl. oz</t>
  </si>
  <si>
    <t>B088N4CB19</t>
  </si>
  <si>
    <t>10.89</t>
  </si>
  <si>
    <t>87.88%</t>
  </si>
  <si>
    <t>6160620421272</t>
  </si>
  <si>
    <t>Genuine Bayer Aspirin 325mg Tablets, 24-Count (Pack of 2)</t>
  </si>
  <si>
    <t>B0044R1HYI</t>
  </si>
  <si>
    <t>87.68%</t>
  </si>
  <si>
    <t>Sun Bum® Mineral SPF 50 Sunscreen Face Stick 0.45oz</t>
  </si>
  <si>
    <t>Baby Bum Mineral Sunscreen Face Stick - SPF 50 - UVA,UVB Face and Body Protection - Fragrance Free Safe for Sensitive Skin- Travel Size 0.45 Ounce (Pack of 2)</t>
  </si>
  <si>
    <t>B07Q273HPH</t>
  </si>
  <si>
    <t>87.66%</t>
  </si>
  <si>
    <t>6952328790168</t>
  </si>
  <si>
    <t>eos 100% Natural &amp; Organic Lip Balm Trio- Vanilla Bean, Sweet Mint, &amp; Strawberry Sorbet, Made for Sensitive Skin, Lip Care Products, 0.14 oz, 3-Pack</t>
  </si>
  <si>
    <t>B09NNYTTXK</t>
  </si>
  <si>
    <t>87.47%</t>
  </si>
  <si>
    <t>Sona Buffered C Capsules</t>
  </si>
  <si>
    <t>Vital Nutrients - Buffered C - Gentle Vitamin C for Sensitive Individuals - 220 Vegetarian Capsules per Bottle - 500 mg</t>
  </si>
  <si>
    <t>B002E9ZAW8</t>
  </si>
  <si>
    <t>19.71</t>
  </si>
  <si>
    <t>87.21%</t>
  </si>
  <si>
    <t>8086616408284</t>
  </si>
  <si>
    <t>Major® Cough DM 12 Hour Cough Relief Cough Suppressant Liquid</t>
  </si>
  <si>
    <t>Mucinex DM 12 hour Cough and Chest Congestion Medicine -Expectorant and Cough Suppressant tablets(Lasts 12 hours/Powerful Symptom Relief/Extended-Release Bi-layer), White, 68 Count (Pack of 1)</t>
  </si>
  <si>
    <t>B07H7PQ4Y4</t>
  </si>
  <si>
    <t>12.78</t>
  </si>
  <si>
    <t>87.01%</t>
  </si>
  <si>
    <t>5241678135448</t>
  </si>
  <si>
    <t>Dove Skin Care Beauty Bar For Softer Skin Cucumber And Green Tea More Moisturizing Than Bar Soap 3.75 oz, 8 Bars</t>
  </si>
  <si>
    <t>B0007D8E1C</t>
  </si>
  <si>
    <t>86.99%</t>
  </si>
  <si>
    <t>Differin Acne Skin Care Kit, Differin Gel Retinoid Acne Treatment for Face with 0.1% Adapalene &amp; 5% Benzoyl Peroxide Face Wash &amp; Body Wash, Designed for Pimple and Acne Prone Skin</t>
  </si>
  <si>
    <t>B0C67DBGJ7</t>
  </si>
  <si>
    <t>86.72%</t>
  </si>
  <si>
    <t>Sun Bum® Baby Bum® Mineral SPF 50 Sunscreen Lotion-Fragrance Free 3oz.</t>
  </si>
  <si>
    <t>Two Peas Organics - All Natural Organic SPF 50 Sunscreen Lotion - Coral Reef Safe - Baby, Kid &amp; Family Friendly - Chemical Free Mineral Based Formula - Waterproof &amp; Unscented – 3oz – 2 Pack</t>
  </si>
  <si>
    <t>B0857KN65D</t>
  </si>
  <si>
    <t>6952278163608</t>
  </si>
  <si>
    <t>Cetaphil Moisturizing Lotion, 8 fl oz (Pack of 3), Hydrating Moisturizer For All Skin Types, Instant Hydration lasting up to 24 Hours, Non-Greasy, Lotion for Even the Most Sensitive Skin</t>
  </si>
  <si>
    <t>B001ET734C</t>
  </si>
  <si>
    <t>86.51%</t>
  </si>
  <si>
    <t>Dramamine All Day Less Drowsy Motion Sickness Relief | 8 tablets | pack of 3 |Packaging may vary</t>
  </si>
  <si>
    <t>B085GY29H2</t>
  </si>
  <si>
    <t>86.38%</t>
  </si>
  <si>
    <t>GoodSense® Comfort Grip Toenail Clipper</t>
  </si>
  <si>
    <t>86.33%</t>
  </si>
  <si>
    <t>6223308816536</t>
  </si>
  <si>
    <t>A+D Original Diaper Rash Ointment, Healing Skin Ointment for Dry and Cracked Skin, 16 Ounce (Pack of 1) (Packaging May Vary)</t>
  </si>
  <si>
    <t>B016I2JUWM</t>
  </si>
  <si>
    <t>86.25%</t>
  </si>
  <si>
    <t>Nature Made® Super B-Complex Tablets 140ct.</t>
  </si>
  <si>
    <t>Nature Made Super B Complex Tablets, 140 Count (Pack of 3)</t>
  </si>
  <si>
    <t>B00E4MP9WO</t>
  </si>
  <si>
    <t>14.23</t>
  </si>
  <si>
    <t>86.02%</t>
  </si>
  <si>
    <t>4898382577803</t>
  </si>
  <si>
    <t>Duracell 1.5 Volt Silver Oxide Battery 301/386 (6 per pack)</t>
  </si>
  <si>
    <t>B0017UEK4E</t>
  </si>
  <si>
    <t>85.34%</t>
  </si>
  <si>
    <t>Gelusil® Antacid &amp; Anti-Gas Cool Mint Chewable Tablets 100ct.</t>
  </si>
  <si>
    <t>Gelusil Antacid &amp; Anti Gas Tablets for Heartburn Relief, Acid Reflux, Bloating and Gas, Cool Mint - 100ct Blister Pack, 2 Count</t>
  </si>
  <si>
    <t>B079WB9YQ5</t>
  </si>
  <si>
    <t>85.31%</t>
  </si>
  <si>
    <t>6224694804632</t>
  </si>
  <si>
    <t>Always Discreet Boutique Adult Incontinence &amp; Postpartum Underwear For Women, Low-Rise, Size Large, Black, Maximum Absorbency, Disposable, 20 Count</t>
  </si>
  <si>
    <t>B08BVKTLZM</t>
  </si>
  <si>
    <t>85.19%</t>
  </si>
  <si>
    <t>Sun Bum Original SPF 50 Sunscreen Lotion | Vegan and Hawaii 104 Reef Act Compliant (Octinoxate &amp; Oxybenzone Free) Broad Spectrum Moisturizing UVA/UVB Sunscreen with Vitamin E | 8 oz</t>
  </si>
  <si>
    <t>B004XGPM32</t>
  </si>
  <si>
    <t>85.09%</t>
  </si>
  <si>
    <t>Nexcare Opticlude Orthoptic Eye Patches Junior 20 Each (Pack of 3)</t>
  </si>
  <si>
    <t>B01IAI9N3I</t>
  </si>
  <si>
    <t>84.89%</t>
  </si>
  <si>
    <t>Salonpas pain relieving jet spray - 4 oz (2 PACK)</t>
  </si>
  <si>
    <t>B008OM312U</t>
  </si>
  <si>
    <t>84.82%</t>
  </si>
  <si>
    <t>Nordic Naturals Omega-3 Pet, Unflavored - 16 oz - 1518 mg Omega-3 Per Teaspoon - Fish Oil for Large to Very Large Dogs with EPA &amp; DHA - Promotes Heart, Skin, Coat, Joint, &amp; Immune Health</t>
  </si>
  <si>
    <t>B00CBY93XS</t>
  </si>
  <si>
    <t>84.77%</t>
  </si>
  <si>
    <t>Rite Aid Adult Low Dose Aspirin 81 mg, Chewable Tablets Pain Reliever, Cherry Flavor, 3 Bottles, 36 Count Each (108 Count Total) | Chewable Aspirin Regimen | Headache Relief | Aspirin 81mg for Adults</t>
  </si>
  <si>
    <t>B0091MEIKG</t>
  </si>
  <si>
    <t>84.43%</t>
  </si>
  <si>
    <t>Prevagen Improves Memory - Extra Strength 20mg, 60 Capsules, with Apoaequorin &amp; Vitamin D &amp; Prevagen 7-Day Pill Minder | Brain Supplement for Better Brain Health, Supports Healthy Brain Function</t>
  </si>
  <si>
    <t>B00GBESZVA</t>
  </si>
  <si>
    <t>84.11%</t>
  </si>
  <si>
    <t>Prevagen Improves Memory - Extra Strength 20mg, 60 Capsules |1 Pack| with Apoaequorin &amp; Vitamin D with Attractive and Stackable Prevagen Storage Box | Brain Supplement for Better Brain Health</t>
  </si>
  <si>
    <t>B0BN6ZDFFG</t>
  </si>
  <si>
    <t>Johnson's Baby Powder Soothing Aloe &amp; Vitamin E 1.50 oz (2 Pack)</t>
  </si>
  <si>
    <t>B01I5OBBG4</t>
  </si>
  <si>
    <t>83.82%</t>
  </si>
  <si>
    <t>Differin Acne Treatment Gel, 90 Day Supply, Retinoid Treatment for Face with 0.1% Adapalene, Gentle Skin Care for Acne Prone Sensitive Skin, 45g Pump (Packaging May Vary)</t>
  </si>
  <si>
    <t>B07ZTN5N1V</t>
  </si>
  <si>
    <t>83.39%</t>
  </si>
  <si>
    <t>Lotrimin AF Athlete's Foot Daily Prevention Deodorant Powder Spray, Tolnaftate Antifungal, Clinically Proven Antifungal Prevention of Most Athlete's Foot, 5.6 Ounces (160 Grams) Spray Can (Pack of 3)</t>
  </si>
  <si>
    <t>B08761699D</t>
  </si>
  <si>
    <t>83.37%</t>
  </si>
  <si>
    <t>Burt's Bees Spring Gifts, 2 Moisturizing Self Care Products, Spring Surprise Set - Original Beeswax Lip Balm &amp; Lemon Butter Cuticle Cream, Mini (Packaging May Vary)</t>
  </si>
  <si>
    <t>B0BPMYM412</t>
  </si>
  <si>
    <t>83.30%</t>
  </si>
  <si>
    <t>Metagenics - CoQ10 ST-100, Highly Absorbable Coenzyme Q10, 120 Count</t>
  </si>
  <si>
    <t>B004GLBAFI</t>
  </si>
  <si>
    <t>83.19%</t>
  </si>
  <si>
    <t>Metagenics CoQ10 ST-200, Highly Absorbable 200 mg Coenzyme Q10 Supplement to Help Support Energy Production and Cardiovascular Function - 60 Count</t>
  </si>
  <si>
    <t>B0068VOIIA</t>
  </si>
  <si>
    <t>LIL CRITTERS Omega 3, EPA, DHA&amp; ALA, 220 Gummies</t>
  </si>
  <si>
    <t>B07JH4VB3G</t>
  </si>
  <si>
    <t>83.14%</t>
  </si>
  <si>
    <t>Advil Pain Reliever and Fever Reducer, Pain Relief Medicine with Ibuprofen 200mg for Headache, Backache, Menstrual Pain and Joint Pain Relief - 50x2 Coated Tablets - Back to College</t>
  </si>
  <si>
    <t>B0006SW71G</t>
  </si>
  <si>
    <t>83.02%</t>
  </si>
  <si>
    <t>Alteril All Natural Sleep Aid 30 Tablets (Pack of 2)</t>
  </si>
  <si>
    <t>B00KHX9NY4</t>
  </si>
  <si>
    <t>82.93%</t>
  </si>
  <si>
    <t>Liquid I.V Hydration Multiplier Plus, Electrolyte Powder, Easy Open Packets, Supplement Drink Mix (Tangerine 24 Packets))</t>
  </si>
  <si>
    <t>B08ZV74P7G</t>
  </si>
  <si>
    <t>82.54%</t>
  </si>
  <si>
    <t>Nature Made® L-Lysine 1000mg Tablets 60ct.</t>
  </si>
  <si>
    <t>Nature's Bounty L-Lysine, 1000mg, 120 Tablets (2 x 60 Count Bottles)</t>
  </si>
  <si>
    <t>B010ONJV8O</t>
  </si>
  <si>
    <t>82.36%</t>
  </si>
  <si>
    <t>5238364766360</t>
  </si>
  <si>
    <t>82.31%</t>
  </si>
  <si>
    <t>EOS® Coconut Milk Shea Lip Balm</t>
  </si>
  <si>
    <t>eos Natural Shea Lip Balm, Honey Apple, Coconut Milk &amp; Raspberry Kiwi Splash, All-Day Moisture, Lip Care Products, 0.14 oz, 3-Pack</t>
  </si>
  <si>
    <t>B0BNP54RMD</t>
  </si>
  <si>
    <t>82.21%</t>
  </si>
  <si>
    <t>6216802566296</t>
  </si>
  <si>
    <t>Mueller® Adjustable Ankle Moderate Support One Size</t>
  </si>
  <si>
    <t>Mueller Adjustable Ankle Support One Size #6511-1 ea, Pack of 2</t>
  </si>
  <si>
    <t>B07LCWSDJH</t>
  </si>
  <si>
    <t>12.33</t>
  </si>
  <si>
    <t>81.75%</t>
  </si>
  <si>
    <t>6196407009432</t>
  </si>
  <si>
    <t>AZO D Mannose Urinary Tract Health Gummies, 40 Count, Clinical Strength 2000mg, Helps Cleanse, Flush &amp; Protect, No.1 Pharmacist Recommended Brand, Vegan Tangy Citrus Blast Flavor, Non-GMO, Gluten Free</t>
  </si>
  <si>
    <t>B0BXNRWR1W</t>
  </si>
  <si>
    <t>81.71%</t>
  </si>
  <si>
    <t>Omron 3 Series® Upper Arm Blood Pressure Monitor</t>
  </si>
  <si>
    <t>OMRON BP742N 5 Series Upper Arm Blood Pressure Monitor</t>
  </si>
  <si>
    <t>B00WAIJZX8</t>
  </si>
  <si>
    <t>54.39</t>
  </si>
  <si>
    <t>81.36%</t>
  </si>
  <si>
    <t>4896239878283</t>
  </si>
  <si>
    <t>GoodSense ClearLax, Polyethylene Glycol 3350 Powder for Solution, Osmotic Laxative, 8.3 Ounce</t>
  </si>
  <si>
    <t>B003FBRTV4</t>
  </si>
  <si>
    <t>80.84%</t>
  </si>
  <si>
    <t>4 Pack Ear Syringe Hand Bulb Ear Washing Squeeze Bulb Rubber Suction Syringe Ball Ear Cleaning Bulb for Baby Kids Adults, Wax Removal Tool Ear Syringe (60 ml, Orange, Blue)</t>
  </si>
  <si>
    <t>B099WFBC58</t>
  </si>
  <si>
    <t>80.78%</t>
  </si>
  <si>
    <t>GoodSense® Omeprazole Delayed Release Acid Reducer Tablets</t>
  </si>
  <si>
    <t>GoodSense Omeprazole Delayed Release Tablets 20 mg, Acid Reducer, Treats Heartburn, 42 Count (Pack of 2)</t>
  </si>
  <si>
    <t>B08DPVCSDW</t>
  </si>
  <si>
    <t>80.34%</t>
  </si>
  <si>
    <t>6225812062360</t>
  </si>
  <si>
    <t>Tasainu Eyeglass Repair Kits, Eyeglass Repair Tools Kit Comes with 500 PCS of Glasses Screws, Silicone Nose Pads, Screwdriver Set and Screw Cap, Suitable The Repair of Most Styles of Glasses</t>
  </si>
  <si>
    <t>B0BYZKL2QV</t>
  </si>
  <si>
    <t>80.25%</t>
  </si>
  <si>
    <t>GenCare Nasal Decongestant 10mg Tablets Phenylephrine HCl 300 Tablets Per Bottle Value Pack Non Drowsy Sinus and Nasal Congestion Relief Lower Sinus Pressure Due to Allergies or Illness</t>
  </si>
  <si>
    <t>B08XK6KNR3</t>
  </si>
  <si>
    <t>80.17%</t>
  </si>
  <si>
    <t>Duracell® 2032 3V Lithium Coin Battery</t>
  </si>
  <si>
    <t>Duracell CR2032 3V Lithium Battery, Child Safety Features, 8 Count Pack, Lithium Coin Battery for Key Fob, Car Remote, Glucose Monitor, CR Lithium 3 Volt Cell</t>
  </si>
  <si>
    <t>B098BQHB2G</t>
  </si>
  <si>
    <t>79.97%</t>
  </si>
  <si>
    <t>6206504927384</t>
  </si>
  <si>
    <t>eos 100% Natural &amp; Organic Lip Balm- Sweet Mint, Dermatologist Recommended, All-Day Moisture Lip Care, Made for Sensitive Skin, 0.14 oz (Pack of 2)</t>
  </si>
  <si>
    <t>B0CB6DWG5W</t>
  </si>
  <si>
    <t>79.95%</t>
  </si>
  <si>
    <t>Phisoderm Anti-Blemish Gel Cleanser 6 oz</t>
  </si>
  <si>
    <t>B0014CW3IA</t>
  </si>
  <si>
    <t>79.76%</t>
  </si>
  <si>
    <t>Senna Plus Natural Vegetable Laxative with Stool Softener, 100 tablets (Pack of 2)</t>
  </si>
  <si>
    <t>B00M3EX1A2</t>
  </si>
  <si>
    <t>79.68%</t>
  </si>
  <si>
    <t>Breathe Right Nasal Strips to Stop Snoring, Drug-Free, Original Tan Large</t>
  </si>
  <si>
    <t>B07VG9MKTZ</t>
  </si>
  <si>
    <t>79.39%</t>
  </si>
  <si>
    <t>Essential® Medical Supply Super Bigfoot Standing Cane Tip</t>
  </si>
  <si>
    <t>Essential Medical Supply Couture Offset Fashion Cane with Matching Standing Super Big Foot Tip, Swirl Style</t>
  </si>
  <si>
    <t>B07CB1Z6XC</t>
  </si>
  <si>
    <t>13.68</t>
  </si>
  <si>
    <t>79.31%</t>
  </si>
  <si>
    <t>6197771501720</t>
  </si>
  <si>
    <t>NOW® Clear the Air Purifying Blend 1oz.</t>
  </si>
  <si>
    <t>Now Foods Clear the Air Purifying Blend, 1 oz</t>
  </si>
  <si>
    <t>B00LB442BM</t>
  </si>
  <si>
    <t>12.99</t>
  </si>
  <si>
    <t>79.21%</t>
  </si>
  <si>
    <t>4885873426571</t>
  </si>
  <si>
    <t>Duracell 389/390 Silver Oxide Button Battery, 1 Count Pack, 389/390 1.5 Volt Battery, Long-Lasting for Watches, Medical Devices, Calculators, and More</t>
  </si>
  <si>
    <t>B077NPTFZT</t>
  </si>
  <si>
    <t>79.03%</t>
  </si>
  <si>
    <t>B00LQQL8EE</t>
  </si>
  <si>
    <t>78.87%</t>
  </si>
  <si>
    <t>Carex™ Aluminum Adult Crutches</t>
  </si>
  <si>
    <t>WIRUAG Crutches for Adults Folding Aluminum Underarm,Adjustable Crutches for Walking,Push Button Adjustable Height,with Underarm Pads,Great for Travel or Work,Silver,2 Count</t>
  </si>
  <si>
    <t>B09VKLKY1Q</t>
  </si>
  <si>
    <t>44.72</t>
  </si>
  <si>
    <t>6197742370968</t>
  </si>
  <si>
    <t>Nivea® Sensitive Shave Gel 7oz.</t>
  </si>
  <si>
    <t>Edge Shave Gel for Men, Sensitive Skin with Aloe, 7oz (3 Pack) - Shaving Gel For Men That Moisturizes, Protects and Soothes To Help Reduce Skin Irritation</t>
  </si>
  <si>
    <t>B0828J5DJ3</t>
  </si>
  <si>
    <t>78.82%</t>
  </si>
  <si>
    <t>6205710729368</t>
  </si>
  <si>
    <t>Lice Shield Lice Repellent Shampoo &amp; Conditioner, 6.7 Fl Oz</t>
  </si>
  <si>
    <t>B00UIFG27M</t>
  </si>
  <si>
    <t>78.78%</t>
  </si>
  <si>
    <t>Equate Ultra Strength Antacid Chewable Fruit Tablets1000 mg, 72 Ct (Pack of 01) + Me Gustas Stickers</t>
  </si>
  <si>
    <t>B0C4G6BNBD</t>
  </si>
  <si>
    <t>78.71%</t>
  </si>
  <si>
    <t>Colgate Max Fresh Whitening with Mini Breath Strips Cool Mint Toothpaste 6 OZ</t>
  </si>
  <si>
    <t>B00G8EF1R4</t>
  </si>
  <si>
    <t>78.56%</t>
  </si>
  <si>
    <t>B016UCITJU</t>
  </si>
  <si>
    <t>78.41%</t>
  </si>
  <si>
    <t>Coricidin HBP Chest Congestion &amp; Cough Liqui-Gels 20 CP - Buy Packs and SAVE (Pack of 2)</t>
  </si>
  <si>
    <t>B07QF38Z3H</t>
  </si>
  <si>
    <t>78.33%</t>
  </si>
  <si>
    <t>Ayr Saline Nasal Gel No-drip Sinus Spray With Soothing Aloe Vera, 0.75-Ounce Spray Bottles (Pack of 3)</t>
  </si>
  <si>
    <t>B001CP8W20</t>
  </si>
  <si>
    <t>78.08%</t>
  </si>
  <si>
    <t>OFF! Family Care Smooth &amp; Dry Insect Spray, 4 OZ</t>
  </si>
  <si>
    <t>B07TTV4SG6</t>
  </si>
  <si>
    <t>77.89%</t>
  </si>
  <si>
    <t>Align Probiotic Supplement 24/7 Digestive Support, 28 Capsules ( Pack of 2)</t>
  </si>
  <si>
    <t>B0073JF17S</t>
  </si>
  <si>
    <t>77.04%</t>
  </si>
  <si>
    <t>100 Count, Parker Safety Razor Double Edge Safety Razor Blades, Premium Platinum Stainless Steel Razor Blades with PTFE, Tungsten and Chromium Coated Edges for Smooth, and Comfortable Shaves</t>
  </si>
  <si>
    <t>B07CGMTVM4</t>
  </si>
  <si>
    <t>76.77%</t>
  </si>
  <si>
    <t>Integrative Therapeutics CoQ10 Softgel 60ct.</t>
  </si>
  <si>
    <t>Integrative Therapeutics - UBQH 100 mg - Reduced Ubiquinol - CoQ10 Supplement - Supports Cellular Energy* - Dairy Free - 60 Softgels</t>
  </si>
  <si>
    <t>B001PYXM1Y</t>
  </si>
  <si>
    <t>76.59%</t>
  </si>
  <si>
    <t>4805116166283</t>
  </si>
  <si>
    <t>Amazon Basic Care Ibuprofen Liquid Gels 200 mg, Pain Reliever/Fever Reducer Liquid Filled Capsules, For Headache, Toothache, Backache, Menstrual Cramps and More, 160 Count</t>
  </si>
  <si>
    <t>B074F2TF6J</t>
  </si>
  <si>
    <t>76.19%</t>
  </si>
  <si>
    <t>Biofreeze® Topical Pain Relief Gel</t>
  </si>
  <si>
    <t>Biofreeze Professional Menthol Roll-On Pain-Relieving Gel 3 FL OZ Green (Pack Of 3) Topical Pain Relief For Muscles And Joints From Arthritis, Backache, Strains, Bruises, &amp; Sprains (Package May Vary)</t>
  </si>
  <si>
    <t>B074H79WMX</t>
  </si>
  <si>
    <t>76.05%</t>
  </si>
  <si>
    <t>6121331753112</t>
  </si>
  <si>
    <t>Mueller Sports Medicine Typhoon Elite Kinesiology Therapeutic Tape, Pre-Cut I-Strips, Beige, 20 Count</t>
  </si>
  <si>
    <t>B08C6TNFT1</t>
  </si>
  <si>
    <t>75.91%</t>
  </si>
  <si>
    <t>O'Keeffe's Working Hands Hand Cream, 3 Ounce Tube and Working Hands Moisturizing Hand Soap 12 Ounce Pump</t>
  </si>
  <si>
    <t>B08XW43WT9</t>
  </si>
  <si>
    <t>75.80%</t>
  </si>
  <si>
    <t>Curad - CUR47315_OLD Flex-Fabric, 3/4 Inches X 3 Inches bandages, 30 count (Pack of 4)</t>
  </si>
  <si>
    <t>B004YJ0POE</t>
  </si>
  <si>
    <t>75.72%</t>
  </si>
  <si>
    <t>B000MANCPS</t>
  </si>
  <si>
    <t>75.63%</t>
  </si>
  <si>
    <t>Nature Made Super B-Complex with C, 460 Tablets in 1-Pack</t>
  </si>
  <si>
    <t>B0CGTPY6VV</t>
  </si>
  <si>
    <t>75.61%</t>
  </si>
  <si>
    <t>O'Keeffe's Working Hands Hand Cream, 2.7 Ounce Jar with Working Hands Night Treatment Hand Cream Sample</t>
  </si>
  <si>
    <t>B0BYHWCT6D</t>
  </si>
  <si>
    <t>75.56%</t>
  </si>
  <si>
    <t>Nature's Bounty Vitamin Biotin Optimal Solutions Hair, Skin and Nails Gummies, 200 Count</t>
  </si>
  <si>
    <t>B07X57RCD8</t>
  </si>
  <si>
    <t>75.34%</t>
  </si>
  <si>
    <t>Metagenics - CoQ10 ST-100 Highly Absorbable Coenzyme Q10 100 mg. - 60 Softgels</t>
  </si>
  <si>
    <t>B005P0SH3C</t>
  </si>
  <si>
    <t>75.32%</t>
  </si>
  <si>
    <t>Lactaid® Fast Act Lactase Enzyme Caplets 60ct.</t>
  </si>
  <si>
    <t>Guardian Dairy Relief Fast Acting Lactase, 360 Caplets, 9000 FCC Maximum Strength, Lactose Intolerance Pills, Lactase Enzyme Supplement (360 CT)</t>
  </si>
  <si>
    <t>B07BRQP9YR</t>
  </si>
  <si>
    <t>19.39</t>
  </si>
  <si>
    <t>75.30%</t>
  </si>
  <si>
    <t>6224672915608</t>
  </si>
  <si>
    <t>NOW® Peppermint Oil 1oz.</t>
  </si>
  <si>
    <t>Cliganic USDA Organic Peppermint Essential Oil, 1oz - 100% Pure Natural Undiluted, for Aromatherapy | Non-GMO Verified</t>
  </si>
  <si>
    <t>B07QB8DL5N</t>
  </si>
  <si>
    <t>75.09%</t>
  </si>
  <si>
    <t>4885860253835</t>
  </si>
  <si>
    <t>Sun Bum Original SPF 50 Sunscreen Roll-On Lotion | Vegan and Hawaii 104 Reef Act Compliant (Octinoxate &amp; Oxybenzone Free) Broad Spectrum Moisturizing UVA/UVB Sunscreen Lotion with Vitamin E | 3 oz</t>
  </si>
  <si>
    <t>B09JHWKHVF</t>
  </si>
  <si>
    <t>75.08%</t>
  </si>
  <si>
    <t>Compound W® Wart Remover Maximum Strength One Step Pads 14ct.</t>
  </si>
  <si>
    <t>Compound W Maximum Strength One Step Wart Remover Pads | 14 Count | Pack of 3</t>
  </si>
  <si>
    <t>B00E4MNKUM</t>
  </si>
  <si>
    <t>6205810049176</t>
  </si>
  <si>
    <t>Flonase® Sensimist Allergy Relief Spray</t>
  </si>
  <si>
    <t>Flonase Sensimist Gentle Mist, Scent-Free Allergy Relief Spray 120 Sprays - 2Pack</t>
  </si>
  <si>
    <t>B071S3SZ1K</t>
  </si>
  <si>
    <t>19.43</t>
  </si>
  <si>
    <t>74.99%</t>
  </si>
  <si>
    <t>5241205391512</t>
  </si>
  <si>
    <t>74.90%</t>
  </si>
  <si>
    <t>B08HHDKJKQ</t>
  </si>
  <si>
    <t>MEDca Weekly Pill Organizer, Twice-a-Day, Pack of 2</t>
  </si>
  <si>
    <t>B071J1L2B2</t>
  </si>
  <si>
    <t>Natrapel® Deet Free Lemon Eucalyptus Insect Repellent Spray 6oz.</t>
  </si>
  <si>
    <t>TRAP IT! Mosquito Repellent Spray, 8 Fl Oz DEET-Free Lemon Eucalyptus Essential Oil for Body Skin, Natural Insect Bug Spray Travel Size for Indoor Outdoor Effective Mosquito Tick Gnat Fly Control</t>
  </si>
  <si>
    <t>B0C2VJYFTC</t>
  </si>
  <si>
    <t>74.38%</t>
  </si>
  <si>
    <t>6220839878808</t>
  </si>
  <si>
    <t>BAND-AID® Brand TOUGH STRIPS® Bandages XL, 10 Count</t>
  </si>
  <si>
    <t>B01IAHYUCS</t>
  </si>
  <si>
    <t>74.35%</t>
  </si>
  <si>
    <t>Good Sense Omeprazole Delayed Release Tablets 20 mg, Acid Reducer, Treats Heartburn, 42 Count - 2 Pack</t>
  </si>
  <si>
    <t>B07Y61SZBS</t>
  </si>
  <si>
    <t>74.08%</t>
  </si>
  <si>
    <t>O'Keeffe's Cooling Relief Lip Repair Lip Balm for Dry, Cracked Lips, .35 Ounce Tube, (Pack of 1)</t>
  </si>
  <si>
    <t>B07GVTD1Q5</t>
  </si>
  <si>
    <t>74.07%</t>
  </si>
  <si>
    <t>Glucosamine and Chondroitin Plus MSM &amp; D3 Advanced Joint Health Supplement Tablets, Move Free (80 Count In A Box), Supports Mobility, Comfort, Strength, Flexibility and Lubrication* (Pack of 3)</t>
  </si>
  <si>
    <t>B00UG9OAWY</t>
  </si>
  <si>
    <t>73.89%</t>
  </si>
  <si>
    <t>Nature's Way® Sambucus Elderberry Zinc Lozenges 24ct.</t>
  </si>
  <si>
    <t>Nature's Way Sambucus Zinc Lozenges with Elderberry and Vitamin C, Mint Flavor 24 Each (Pack of 3)</t>
  </si>
  <si>
    <t>B08CHXJ3FJ</t>
  </si>
  <si>
    <t>9.42</t>
  </si>
  <si>
    <t>5244804071576</t>
  </si>
  <si>
    <t>Nature's Way Sambucus Zinc Lozenges with Elderberry and Vitamin C, Honey Lemon Flavor, 24 Lozenges (3 Pack)</t>
  </si>
  <si>
    <t>B094898Y58</t>
  </si>
  <si>
    <t>Dickinson's Witch Hazel Facial Toner Duo: Original Pore Perfecting Toner (1 16 Fl. Oz Bottle) and Enhanced Hydrating Toner with Rosewater (1 16 Fl. Oz Bottle), 100% Natural</t>
  </si>
  <si>
    <t>B0B1VNQZT4</t>
  </si>
  <si>
    <t>73.52%</t>
  </si>
  <si>
    <t>Nix Lice Killing Creme Rinse Family Pack</t>
  </si>
  <si>
    <t>Nix Lice Treatment Creme Rinse and Nit Removal Comb, 2 oz (Pack of 3)</t>
  </si>
  <si>
    <t>B00E4MPTTC</t>
  </si>
  <si>
    <t>23.53</t>
  </si>
  <si>
    <t>73.35%</t>
  </si>
  <si>
    <t>6156982911128</t>
  </si>
  <si>
    <t>Klaire Labs Pro-Biotic Complex - Intestinal Support for Men &amp; Women, 5 Billion CFU Lactobacillus acidophilus &amp; Bifidobacterium bifidum Probiotic, Hypoallergenic &amp; Dairy-Free (100 Capsules)</t>
  </si>
  <si>
    <t>B001PYZDOS</t>
  </si>
  <si>
    <t>73.11%</t>
  </si>
  <si>
    <t>GoodSense Omeprazole Delayed Release, Acid Reducer Tablets 20 mg, 42 Count (2)</t>
  </si>
  <si>
    <t>B07QZCZQ5N</t>
  </si>
  <si>
    <t>72.82%</t>
  </si>
  <si>
    <t>Degree Shower Clean Dry Protection Antiperspirant Deodorant Stick, 1.6 oz (Pack of 2)</t>
  </si>
  <si>
    <t>B00E4MNPBQ</t>
  </si>
  <si>
    <t>72.62%</t>
  </si>
  <si>
    <t>Clearasil® Rapid Rescue Deep Treatment Wash 6.78fl. oz.</t>
  </si>
  <si>
    <t>Clearasil Rapid Rescue Deep Treatment Acne Face Wash, Maximum Strenght with 2% Salicylic Acid Acne Medication, Acne Facial Cleanser, 6.78 fl oz (Pack of 3)</t>
  </si>
  <si>
    <t>B0C1FXB1KP</t>
  </si>
  <si>
    <t>10.39</t>
  </si>
  <si>
    <t>72.38%</t>
  </si>
  <si>
    <t>6160476373144</t>
  </si>
  <si>
    <t>Mucinex® 600mg Guaifenesin Mucus and Chest Congestion Expectorant</t>
  </si>
  <si>
    <t>Mucinex Chest Congestion, Expectorant 12 Hour Extended Release Tablets, 20ct, 600 mg Guaifenesin with Extended Relief of Chest Congestion Caused by Excess Mucus. Thins and Loosens Mucus (Pack of 3)</t>
  </si>
  <si>
    <t>B089KSPKQ1</t>
  </si>
  <si>
    <t>18.09</t>
  </si>
  <si>
    <t>71.97%</t>
  </si>
  <si>
    <t>5241071108248</t>
  </si>
  <si>
    <t>Nordic Naturals Omega 3 Pet, 180 Count</t>
  </si>
  <si>
    <t>B002CQU596</t>
  </si>
  <si>
    <t>71.86%</t>
  </si>
  <si>
    <t>Coppertone Sport Mineral SPF 50 Zinc Oxide Mineral Sunscreen Multi Pack, Sport Mineral Body Sunscreen Lotion &amp; Sport Mineral Face Sunscreen Lotion (5 fl. oz. + 2.5 fl. oz.)</t>
  </si>
  <si>
    <t>B08YC9P17D</t>
  </si>
  <si>
    <t>71.74%</t>
  </si>
  <si>
    <t>PreserVision® AREDS 2 Formula + MultiVitamin Vitamin &amp; Mineral Supplement 80 ct Soft Gels</t>
  </si>
  <si>
    <t>B07SXTZVRN</t>
  </si>
  <si>
    <t>71.61%</t>
  </si>
  <si>
    <t>DOK® 100mg Stool Softener Laxative</t>
  </si>
  <si>
    <t>Dulcolax Stool Softener Laxative Liquid Gel Capsules (25ct) for Gentle Relief, Docusate Sodium 100mg - Pack of 2</t>
  </si>
  <si>
    <t>B0C4WBSC1Q</t>
  </si>
  <si>
    <t>6.36</t>
  </si>
  <si>
    <t>71.38%</t>
  </si>
  <si>
    <t>6119938162840</t>
  </si>
  <si>
    <t>Licefreee NitDuo Lice and Nit Comb | Dual Sided Metal Lice Comb | Two Combs in One Works on All Hair Types | Head Lice Treatment Comb Removes Nits and Eggs</t>
  </si>
  <si>
    <t>B08XMZ6WXK</t>
  </si>
  <si>
    <t>71.36%</t>
  </si>
  <si>
    <t>Benadryl Itch Stopping Cream, Original Strength, 1 Ounce (Pack of 2)</t>
  </si>
  <si>
    <t>B00E4MM25Q</t>
  </si>
  <si>
    <t>71.18%</t>
  </si>
  <si>
    <t>Lotrimin® AF Jock Itch Antifungal Cream</t>
  </si>
  <si>
    <t>Lotrimin AF Cream for Athlete's Foot, Clotrimazole 1% Antifungal Treatment, Clinically Proven Effective Antifungal Treatment of Most AF, Jock Itch and Ringworm, Cream, 1.1 Ounce (30 Grams)</t>
  </si>
  <si>
    <t>B073SYVYWT</t>
  </si>
  <si>
    <t>70.84%</t>
  </si>
  <si>
    <t>6152206516376</t>
  </si>
  <si>
    <t>Lactaid-Fast Act Lactase Enzyme Supplement, 96 Caplets</t>
  </si>
  <si>
    <t>B001B3KEK6</t>
  </si>
  <si>
    <t>70.14%</t>
  </si>
  <si>
    <t>Mueller® Adjustable Knee Support One Size</t>
  </si>
  <si>
    <t>Mueller Sport Care Adjustable Knee Support One Size, Each By Mueller Sport Care</t>
  </si>
  <si>
    <t>B00E4MNUNY</t>
  </si>
  <si>
    <t>14.14</t>
  </si>
  <si>
    <t>69.66%</t>
  </si>
  <si>
    <t>6196296712344</t>
  </si>
  <si>
    <t>GoodSense® Children's Oral Suspension Ibuprofen</t>
  </si>
  <si>
    <t>Amazon Basic Care Children's Ibuprofen Oral Suspension 100 mg per 5 mL, Pain Reliever and Fever Reducer, Grape Flavor, For Minor Aches, Sore Throat, Headache Relief and More, 8 Fluid Ounce</t>
  </si>
  <si>
    <t>B07HGF91QH</t>
  </si>
  <si>
    <t>69.63%</t>
  </si>
  <si>
    <t>5244940648600</t>
  </si>
  <si>
    <t>Sun Bum Baby Bum Spf 50 Sunscreen Face Stick and Lotion Mineral Uva/uvb Face and Body Protection for Sensitive Skin Fragrance Free Travel Size</t>
  </si>
  <si>
    <t>B086R85W4W</t>
  </si>
  <si>
    <t>69.45%</t>
  </si>
  <si>
    <t>Purpose Cleansing Bar, Gentle, 3.6 oz</t>
  </si>
  <si>
    <t>B000052YLW</t>
  </si>
  <si>
    <t>69.39%</t>
  </si>
  <si>
    <t>Sun Bum Original SPF 30 Sunscreen Spray |Vegan and Hawaii 104 Reef Act Compliant (Octinoxate &amp; Oxybenzone Free) Broad Spectrum Moisturizing UVA/UVB Sunscreen with Vitamin E | 6 oz</t>
  </si>
  <si>
    <t>B004XGLE7K</t>
  </si>
  <si>
    <t>69.37%</t>
  </si>
  <si>
    <t>Refresh® Optive® Mega-3 Preservative Free Lubricant Eye Drops</t>
  </si>
  <si>
    <t>Refresh Optive Mega-3 Lubricant Eye Drops, Preservative-Free, 0.01 Fl Oz Single-Use Containers, 60 Count</t>
  </si>
  <si>
    <t>B092G6QKNV</t>
  </si>
  <si>
    <t>69.30%</t>
  </si>
  <si>
    <t>6171325104280</t>
  </si>
  <si>
    <t>Mommy's Bliss Original Gripe Water, Infant Gas and Colic Relief, Gentle &amp; Safe, 2 Weeks+, 4 Fl Oz (Pack of 2)</t>
  </si>
  <si>
    <t>B00E3Y0N5G</t>
  </si>
  <si>
    <t>68.51%</t>
  </si>
  <si>
    <t>Aquaphor Healing Ointment, 3.5 oz., Moisturizes and Soothes Dry, Cracked, Irritated Skin, Use on Chapped Lips Hands or Feet, Fragrance Free, Latex Free, Hypoallergenic, Promotes Healthy Skin</t>
  </si>
  <si>
    <t>B07BQT9G1V</t>
  </si>
  <si>
    <t>68.47%</t>
  </si>
  <si>
    <t>HALLS Relief Honey Lemon Cough Drops, 14 Drops</t>
  </si>
  <si>
    <t>B07C8LMB68</t>
  </si>
  <si>
    <t>Aquaphor Children's Healing Ointment, Advanced Therapy Skin Protectant, Dry Skin Body Moisturizer, Multi-Purpose Healing Ointment for Kids, For Dry, Cracked Skin &amp; Minor Cuts &amp; Burns, 5 Oz Tube</t>
  </si>
  <si>
    <t>B0BS1PSMLH</t>
  </si>
  <si>
    <t>68.13%</t>
  </si>
  <si>
    <t>Compound W® Wart Remover Fast Acting Liquid 0.31oz.</t>
  </si>
  <si>
    <t>Compound W Wart Remover, Maximum Strength, Fast-Acting Liquid, 0.31-Ounce (Pack of 2)</t>
  </si>
  <si>
    <t>B001G7QREO</t>
  </si>
  <si>
    <t>68.06%</t>
  </si>
  <si>
    <t>6205857333400</t>
  </si>
  <si>
    <t>Major Fexofenadine Hydrochloride 180 mg Tablets</t>
  </si>
  <si>
    <t>Amazon Basic Care All Day Allergy Relief, Fexofenadine Hydrochloride Tablets, 180 mg, Antihistamine, Non-Drowsy, 24-Hour Relief, 150 Count</t>
  </si>
  <si>
    <t>B0C5473JWN</t>
  </si>
  <si>
    <t>19.56</t>
  </si>
  <si>
    <t>67.94%</t>
  </si>
  <si>
    <t>5242468466840</t>
  </si>
  <si>
    <t>Accu-Chek Guide Glucose Test Strips for Diabetic Blood Sugar Testing (Pack of 100)</t>
  </si>
  <si>
    <t>B087NPJX1W</t>
  </si>
  <si>
    <t>67.76%</t>
  </si>
  <si>
    <t>Flaxseed Oil 1400mg Softgels, 300 Counts | w/ 700mg ALA Omega 3, Cold Pressed, Rich in Fatty Acids, Alpha Linolenic Acid, Support Heart Health &amp; Immune System | Non-GMO, No Gluten - 300 Servings</t>
  </si>
  <si>
    <t>B01DPW5TXW</t>
  </si>
  <si>
    <t>67.69%</t>
  </si>
  <si>
    <t>Equate - Fiber Therapy, Smooth Texture, Orange Flavor, Powder, 36.8 oz, Sugar Free 180 Doses</t>
  </si>
  <si>
    <t>B0013U052Y</t>
  </si>
  <si>
    <t>67.25%</t>
  </si>
  <si>
    <t>Comfort Soft Sterile Baby Nasal Aspirator and Ear Wax Bulb Syringe 2oz Blue - Pack of 2</t>
  </si>
  <si>
    <t>B0B457GR2J</t>
  </si>
  <si>
    <t>66.85%</t>
  </si>
  <si>
    <t>(2 Pack) Globe First Aid Antibiotic Ointment (1oz) with Bacitracin Zinc &amp; Polymyxin B Sulfate, Double Antibiotic Ointment for Infection Protection &amp; Wound Care, Neomycin-Free</t>
  </si>
  <si>
    <t>B073QVB39Q</t>
  </si>
  <si>
    <t>66.83%</t>
  </si>
  <si>
    <t>Apex Deluxe Pill Splitter</t>
  </si>
  <si>
    <t>Apex Ultra Pill Splitter (Pack of 2)</t>
  </si>
  <si>
    <t>B00EO9D1G8</t>
  </si>
  <si>
    <t>66.78%</t>
  </si>
  <si>
    <t>6197918171288</t>
  </si>
  <si>
    <t>5 Duracell 357/303 A76 PX76 SR44W/SW LR44 AG13 Silver Oxide Battery</t>
  </si>
  <si>
    <t>B013J3O1U4</t>
  </si>
  <si>
    <t>66.63%</t>
  </si>
  <si>
    <t>Nasacort 24HR Allergy Nasal Spray for Adults, Non-drowsy &amp; Alcohol Free, 240 Sprays, 0.57 fl.oz. 2Ct</t>
  </si>
  <si>
    <t>B00M1QM8EM</t>
  </si>
  <si>
    <t>66.58%</t>
  </si>
  <si>
    <t>Foille Medicated First-Aid Ointment, 1 oz Tube</t>
  </si>
  <si>
    <t>B07F2CQTVJ</t>
  </si>
  <si>
    <t>66.37%</t>
  </si>
  <si>
    <t>Eucerin® Skin Calming Body Wash For Dry, Itchy Skin 8.4fl. oz.</t>
  </si>
  <si>
    <t>Eucerin Skin Calming Body Wash - Cleanses and Calms to Help Prevent Dry, Itchy Skin - 8.4 fl. oz. Bottle</t>
  </si>
  <si>
    <t>B00IB0XFTO</t>
  </si>
  <si>
    <t>8.29</t>
  </si>
  <si>
    <t>65.98%</t>
  </si>
  <si>
    <t>6164785987736</t>
  </si>
  <si>
    <t>Lipo-Flavonoid Plus, Tinnitus Relief for Ringing Ears, OTC Flavonoid Ear Health Vitamins, Day + Night Combo Pack, Bioflavonoids &amp; Vitamin C, 150 Day Caplets + 75 Night Caplets</t>
  </si>
  <si>
    <t>B09FGB36TP</t>
  </si>
  <si>
    <t>65.88%</t>
  </si>
  <si>
    <t>Sundown Naturals Vitamin E Oil 2.50 oz ( Packs of 2)</t>
  </si>
  <si>
    <t>B015IP1UQE</t>
  </si>
  <si>
    <t>65.58%</t>
  </si>
  <si>
    <t>KICKOUTOR Mosquito Repellent Spray for Body Skin 4 Fl Oz Lemon Eucalyptus Essential Oil Insect Bug Spray DEET Free Anti Mosquito Tick Gnat Fly Control for Outdoor Patio Yard Travel Camping (2 Pcs)</t>
  </si>
  <si>
    <t>B0C2ZDJSH7</t>
  </si>
  <si>
    <t>65.20%</t>
  </si>
  <si>
    <t>MiraLAX Gentle Constipation Relief Laxative Powder with Stirrer, Stool Softener with PEG 3350, No Harsh Side Effects, Osmotic Laxative, #1 Physician Recommended, 14 Dose</t>
  </si>
  <si>
    <t>B088LF79CN</t>
  </si>
  <si>
    <t>65.13%</t>
  </si>
  <si>
    <t>Sun Bum Original SPF 30 Sunscreen Lotion | Vegan and Hawaii 104 Reef Act Compliant (Octinoxate &amp; Oxybenzone Free) Broad Spectrum Moisturizing UVA/UVB Sunscreen with Vitamin E | 8 oz</t>
  </si>
  <si>
    <t>B004XGPMFA</t>
  </si>
  <si>
    <t>65.07%</t>
  </si>
  <si>
    <t>Mommy's Bliss Gripe Water for Babies - Double Pack, Relieves Stomach Discomfort from Gas, Colic, Fussiness &amp; Hiccups, Age 2 Weeks+, Pack of 2 (Total 8 Fl Oz)</t>
  </si>
  <si>
    <t>B00TDFID98</t>
  </si>
  <si>
    <t>64.75%</t>
  </si>
  <si>
    <t>Aveeno Skin Relief Fragrance-Free Moisturizing Daily Body Wash, 18 oz &amp; Skin Relief 24 Hour Moisturizing Body Lotion for Sensitive Skin, 12 oz</t>
  </si>
  <si>
    <t>B0774PWF6N</t>
  </si>
  <si>
    <t>64.74%</t>
  </si>
  <si>
    <t>Dramamine® Motion Sickness Relief Orange Flavor Chewable Tablets 8ct.</t>
  </si>
  <si>
    <t>Dramamine Motion Sickness Relief Chewable Tablets, Orange Flavored, 8 Count (Pack of 2) DkT&amp;Zr</t>
  </si>
  <si>
    <t>B07BX3BVFQ</t>
  </si>
  <si>
    <t>64.73%</t>
  </si>
  <si>
    <t>6222679572632</t>
  </si>
  <si>
    <t>Mintox Maximum Strength Antacid Anti-Gas Liquid Generic for Maalox Max Lemon Flavor 12 oz Bottle</t>
  </si>
  <si>
    <t>B00NDDU0O2</t>
  </si>
  <si>
    <t>64.47%</t>
  </si>
  <si>
    <t>AmLactin Daily Moisturizing Lotion for Dry Skin – 7.9 oz Pump Bottles (Twin Pack) – 2-in-1 Exfoliator-Body Lotion with 12% Lactic Acid, Dermatologist-Recommended (Packaging May Vary)</t>
  </si>
  <si>
    <t>B07BRT6L7G</t>
  </si>
  <si>
    <t>64.45%</t>
  </si>
  <si>
    <t>Degree Shower Clean Dry Protection Antiperspirant Deodorant Stick, 0.5 oz (Pack of 4)</t>
  </si>
  <si>
    <t>B01IAF0RZY</t>
  </si>
  <si>
    <t>64.30%</t>
  </si>
  <si>
    <t>Compound W® Wart Remover Maximum Strength Fast Acting Gel 0.25oz.</t>
  </si>
  <si>
    <t>63.89%</t>
  </si>
  <si>
    <t>6205841735832</t>
  </si>
  <si>
    <t>Colace 2-IN-1 Stool Softener &amp; Stimulant Laxative Tablets, 60 Count, Gentle Constipation Relief in 6-12 Hours</t>
  </si>
  <si>
    <t>B003D3OF7U</t>
  </si>
  <si>
    <t>63.56%</t>
  </si>
  <si>
    <t>B0166NL0U8</t>
  </si>
  <si>
    <t>Flonase® Allergy Relief Spray</t>
  </si>
  <si>
    <t>Amazon Basic Care 24-Hour Allergy Relief Nasal Spray, Fluticasone Propionate (Glucocorticoid) 50 mcg, Full Prescription Strength, Non-Drowsy, 0.62 Fl Oz (3 Pack)</t>
  </si>
  <si>
    <t>B098PXW3NK</t>
  </si>
  <si>
    <t>5241233735832</t>
  </si>
  <si>
    <t>2486925 PT# 788802 Gel Anti-Itch Itch X Gel 1.25oz Tube Ea Made by Ascher, B.F. &amp; Co. Inc</t>
  </si>
  <si>
    <t>B00D62ZLM6</t>
  </si>
  <si>
    <t>63.27%</t>
  </si>
  <si>
    <t>Dentemp Maximum Strength Loose Cap and Lost Filling Repair - Dental Repair Kit for Instant Pain Relief (Pack of 2) - Temporary Filling for Tooth - Long Lasting Tooth Filling</t>
  </si>
  <si>
    <t>B00NFUBV32</t>
  </si>
  <si>
    <t>63.24%</t>
  </si>
  <si>
    <t>Band-Aid Brand Adhesvie Bandages Flexible Fabric, Extra Large, 10 Count (Pack of 2)</t>
  </si>
  <si>
    <t>B00570JWGQ</t>
  </si>
  <si>
    <t>63.10%</t>
  </si>
  <si>
    <t>Arnicare Pain Relief Tablets 60ct.</t>
  </si>
  <si>
    <t>Boiron Arnicare Tablets for Pain Relief from Muscle Pain, Joint Soreness, Swelling from Injury or Bruises - 120 Count (2 Pack of 60)</t>
  </si>
  <si>
    <t>B08DQL5N5D</t>
  </si>
  <si>
    <t>63.05%</t>
  </si>
  <si>
    <t>6225840406680</t>
  </si>
  <si>
    <t>Boiron Arnicare Arthritis Tablets for Arthritis Pain Relief, Joint Soreness, and Rheumatic Pain - 120 Tablets (2 Pack of 60)</t>
  </si>
  <si>
    <t>B08DQQC68G</t>
  </si>
  <si>
    <t>Schiff MegaRed Superior Omega-3 Krill Oil</t>
  </si>
  <si>
    <t>Megared Omega-3 Fish Oil Supplement 500mg Extra Strength Softgels (80 Count in A Box), Krill Oil No Fishy Aftertaste (Pack of 2)</t>
  </si>
  <si>
    <t>B00HQ0D2C0</t>
  </si>
  <si>
    <t>35.19</t>
  </si>
  <si>
    <t>62.69%</t>
  </si>
  <si>
    <t>5240385274008</t>
  </si>
  <si>
    <t>Listerine Total Care Fresh Mint Anticavity Fluoride Mouthwash for Adults and Smart Rinse Alcohol-Free Anticavity Sodium Fluoride Bubble Gum Mouthwash for Kids, Convenience Pack, 2 x 500 mL</t>
  </si>
  <si>
    <t>B0C3MYB4P6</t>
  </si>
  <si>
    <t>62.27%</t>
  </si>
  <si>
    <t>BD Home Sharps Container</t>
  </si>
  <si>
    <t>B00I4F9VJE</t>
  </si>
  <si>
    <t>62.07%</t>
  </si>
  <si>
    <t>CareALL (3 Pack) 1oz Bacitracin Antibiotic Zinc Ointment. First Aid Ointment to Prevent and heal infections for Minor cuts, scrapes and Burns.</t>
  </si>
  <si>
    <t>B08L37RB9B</t>
  </si>
  <si>
    <t>62.05%</t>
  </si>
  <si>
    <t>Oral-B Indicator Color Collection Toothbrush, Medium, 1 Count</t>
  </si>
  <si>
    <t>B0014CW1WS</t>
  </si>
  <si>
    <t>61.81%</t>
  </si>
  <si>
    <t>Nexcare Opticlude Orthoptic Eye Patches Junior 20 Each (Pack of 2)</t>
  </si>
  <si>
    <t>B01IAI9KZO</t>
  </si>
  <si>
    <t>61.63%</t>
  </si>
  <si>
    <t>Attends Advanced Underwear Extra Absorbency Large 18ct.</t>
  </si>
  <si>
    <t>Attends Super Plus Underwear, XL, Extra Large, Heavy Absorbency, APP0740 - Pack of 14, White</t>
  </si>
  <si>
    <t>B001STIJ9Q</t>
  </si>
  <si>
    <t>61.30%</t>
  </si>
  <si>
    <t>6226663407768</t>
  </si>
  <si>
    <t>Mueller® Fitted Right Wrist Brace</t>
  </si>
  <si>
    <t>Mueller Green Fitted Wrist Brace, Right, LG/XL 1 ea (Pack of 2)</t>
  </si>
  <si>
    <t>B00HA6FSPE</t>
  </si>
  <si>
    <t>20.79</t>
  </si>
  <si>
    <t>61.23%</t>
  </si>
  <si>
    <t>6196290125976</t>
  </si>
  <si>
    <t>Genuine Bayer Aspirin, 325mg Coated Tablets, Pain Reliever with Lifesaving Benefits, 200 Count</t>
  </si>
  <si>
    <t>B01341HKV8</t>
  </si>
  <si>
    <t>60.96%</t>
  </si>
  <si>
    <t>Oral-B Complete Deep Clean Toothbrushes, Medium, 2 Count</t>
  </si>
  <si>
    <t>B0797KPVRG</t>
  </si>
  <si>
    <t>60.88%</t>
  </si>
  <si>
    <t>Sun Bum Original SPF 50 Sunscreen Spray |Vegan and Hawaii 104 Reef Act Compliant (Octinoxate &amp; Oxybenzone Free) Broad Spectrum Moisturizing UVA/UVB Sunscreen with Vitamin E | 6 oz</t>
  </si>
  <si>
    <t>B004XGLDTY</t>
  </si>
  <si>
    <t>60.56%</t>
  </si>
  <si>
    <t>Band-Aid Brand Cushion Care Non-Stick Gauze Pads, Individually-Wrapped, Large, 4 in x 4 in, 10 ct</t>
  </si>
  <si>
    <t>B00MX862H2</t>
  </si>
  <si>
    <t>60.53%</t>
  </si>
  <si>
    <t>Aquaphor Lip Repair - Soothe Dry, Chapped Lips - Two .35 oz. Tubes</t>
  </si>
  <si>
    <t>B06XDCPYYL</t>
  </si>
  <si>
    <t>60.42%</t>
  </si>
  <si>
    <t>Nexcare Tegaderm Transparent Dressing - 2-3/8 Inches X 2-3/4 Inches - 100</t>
  </si>
  <si>
    <t>B000PQ5NM4</t>
  </si>
  <si>
    <t>60.14%</t>
  </si>
  <si>
    <t>Apex Twice-A-Day Weekly Pill Organizer, Model No : 70059 - 1 Set ( Pack of 2 )</t>
  </si>
  <si>
    <t>B00E4MJINU</t>
  </si>
  <si>
    <t>60.11%</t>
  </si>
  <si>
    <t>Blink Tears Lubricating Eye Drops (Mild-Moderate Dry Eye), 0.5 FL OZ (15 ml) - 2-Pack</t>
  </si>
  <si>
    <t>B0771RLG6R</t>
  </si>
  <si>
    <t>59.83%</t>
  </si>
  <si>
    <t>Flonase Sensimist Allergy Relief Nasal Spray Non-Drowsy Allergy Medicine for Kids and Allergy Medicine for Adults, Gentle Mist Multipack - 120 Sprays Total (2 Bottles of 60 Sprays)</t>
  </si>
  <si>
    <t>B0896LQY6Y</t>
  </si>
  <si>
    <t>59.80%</t>
  </si>
  <si>
    <t>Gaia® Herbs Holy Basil Leaf Capsules 60ct.</t>
  </si>
  <si>
    <t>Gaia Herbs Holy Basil Leaf - Helps Sustain a Positive Mindset and Balance in Times of Stress - an Adaptogenic Ayurvedic Herb - 120 Vegan Liquid Phyto-Capsules (60-Day Supply)</t>
  </si>
  <si>
    <t>B007W8O8J2</t>
  </si>
  <si>
    <t>59.39%</t>
  </si>
  <si>
    <t>4865698234507</t>
  </si>
  <si>
    <t>Biotene Dry Mouth Gentle Oral Rinse Soothing Moisturization, Mild Mint, 16 fl oz (Pack of 2)</t>
  </si>
  <si>
    <t>B06XRQZLCJ</t>
  </si>
  <si>
    <t>59.30%</t>
  </si>
  <si>
    <t>Cara 52 Deluxe Washable Heating Pad, Moist/Dry, Standard</t>
  </si>
  <si>
    <t>B00KHTH0YS</t>
  </si>
  <si>
    <t>58.99%</t>
  </si>
  <si>
    <t>ValuMeds Nasal Decongestant PE (225 Tablets) Non-Drowsy | Phenylephrine HCl 10mg to Relieve Sinus Pressure | Comparable to Sudafed PE Congestion</t>
  </si>
  <si>
    <t>B07RY3Z9BT</t>
  </si>
  <si>
    <t>58.96%</t>
  </si>
  <si>
    <t>6 Pairs Ear Plugs for Sleeping Noise Cancelling,Foam Macks Earplugs for Shooting Range Tapones para Oidos para Dormir Hearing Protection Soft Foam Best Earplugs to Block Snoring</t>
  </si>
  <si>
    <t>B0BX74LTJF</t>
  </si>
  <si>
    <t>58.95%</t>
  </si>
  <si>
    <t>Gaia Herbs Cleanse &amp; Detox Herbal Tea, 16 Tea Bags - Everyday Cleansing &amp; Detoxification, Healthy Liver Function</t>
  </si>
  <si>
    <t>B01FGGK0TI</t>
  </si>
  <si>
    <t>58.93%</t>
  </si>
  <si>
    <t>Gaia® Herbs Black Seed Oil Capsules 60ct.</t>
  </si>
  <si>
    <t>Amazing Herbs Premium Black Seed Oil Capsules - High Potency, Cold Pressed Nigella Sativa Aids in Digestive Health, Immune Support &amp; Brain Function - 60 Count, 1250mg (Pack of 2)</t>
  </si>
  <si>
    <t>B01N1LVFKK</t>
  </si>
  <si>
    <t>58.72%</t>
  </si>
  <si>
    <t>6093034750104</t>
  </si>
  <si>
    <t>Band-Aid Brand Tru-Stay Plastic Strips Adhesive Bandages for Wound Care and First Aid, All One Size, 60 ct</t>
  </si>
  <si>
    <t>B004N10SEK</t>
  </si>
  <si>
    <t>58.60%</t>
  </si>
  <si>
    <t>B000NT2EE8</t>
  </si>
  <si>
    <t>58.52%</t>
  </si>
  <si>
    <t>Choice Special Resinol Medicated Ointment Jar, 3.3 Ounce</t>
  </si>
  <si>
    <t>B01IF565ZK</t>
  </si>
  <si>
    <t>58.42%</t>
  </si>
  <si>
    <t>B072LQHX25</t>
  </si>
  <si>
    <t>58.39%</t>
  </si>
  <si>
    <t>Bayer Bayer Children's Aspirin Chewable Low Dose Orange, Orange 36 tabs 81 mg</t>
  </si>
  <si>
    <t>B00E4MRJBI</t>
  </si>
  <si>
    <t>58.05%</t>
  </si>
  <si>
    <t>Apex Flex-Tip Digital Thermometer</t>
  </si>
  <si>
    <t>Veridian 08-362 8-Second Flex Tip Digital Thermometer</t>
  </si>
  <si>
    <t>B003SLPQM0</t>
  </si>
  <si>
    <t>9.13</t>
  </si>
  <si>
    <t>57.50%</t>
  </si>
  <si>
    <t>6222707851416</t>
  </si>
  <si>
    <t>Replesta NX Once-Weekly Vitamin D Supplement</t>
  </si>
  <si>
    <t>Replesta 50,000 IU Vitamin D3 Cholecalciferol, for Vitamin D Deficiency, Once-Weekly Chewable Wafer, Non-GMO, Natural Orange Flavor, 4 Pack (Pack of 2)</t>
  </si>
  <si>
    <t>B00J2CN5BI</t>
  </si>
  <si>
    <t>20.31</t>
  </si>
  <si>
    <t>57.31%</t>
  </si>
  <si>
    <t>5240251154584</t>
  </si>
  <si>
    <t>AZO Test Strips® Urinary Tract Infection Test 3ct.</t>
  </si>
  <si>
    <t>AZO Urinary Tract Infection Test Strips, 3-Count Boxes (Pack of 2)(Packaging may vary)</t>
  </si>
  <si>
    <t>B001G7R2PW</t>
  </si>
  <si>
    <t>15.23</t>
  </si>
  <si>
    <t>57.19%</t>
  </si>
  <si>
    <t>6177589788824</t>
  </si>
  <si>
    <t>Dermoplast® Pain, Burn &amp; Itch Relief Spray 2.75oz</t>
  </si>
  <si>
    <t>Bundle of Dermoplast Pain, Burn &amp; Itch Relief Spray (Packaging May Vary) + Dermoplast Kids Sting-Free First Aid Spray</t>
  </si>
  <si>
    <t>B0CDDNJ4VC</t>
  </si>
  <si>
    <t>13.33</t>
  </si>
  <si>
    <t>57.01%</t>
  </si>
  <si>
    <t>6156990972056</t>
  </si>
  <si>
    <t>GoodSense® Tussin DM Cough and Chest Congestion Liquid 8fl. oz.</t>
  </si>
  <si>
    <t>Robitussin Cough and Chest Congestion DM, Cough Suppressant and Expectorant, Raspberry Flavor - 8 Fl Oz Bottle</t>
  </si>
  <si>
    <t>B01J4UQ2M6</t>
  </si>
  <si>
    <t>56.78%</t>
  </si>
  <si>
    <t>5241704251544</t>
  </si>
  <si>
    <t>Major Senna-Lax 8.6 mg Sennosides, 100 Tablets Per Box</t>
  </si>
  <si>
    <t>B01F9FPZQO</t>
  </si>
  <si>
    <t>56.59%</t>
  </si>
  <si>
    <t>Pepe - Folding Crutches for Travel (x2 Unit, Open Cuff), Forearm Crutches for Adults, Foldable Crutches Adult, Aluminum Crutches for Walking, Adjustable Crutches for Women, Black.</t>
  </si>
  <si>
    <t>B09X5MVFK9</t>
  </si>
  <si>
    <t>56.51%</t>
  </si>
  <si>
    <t>56.17%</t>
  </si>
  <si>
    <t>P Puregen Labs Cough Relief for Adults Dextromethorphan HBr 15mg (120 Softgels) 8-Hour, Non-Drowsy, Long-Lasting Bronchial Suppressant |Ages 12+ | Compare to Robafen and Robitussin 2Pack</t>
  </si>
  <si>
    <t>B09RLDJX87</t>
  </si>
  <si>
    <t>56.10%</t>
  </si>
  <si>
    <t>Sun Bum Mineral SPF 30 Sunscreen Lotion | Vegan and Hawaii 104 Reef Act Compliant (Octinoxate &amp; Oxybenzone Free) Broad Spectrum Natural Sunscreen with UVA/UVB Protection | 3 Oz</t>
  </si>
  <si>
    <t>B08KR8ZZ97</t>
  </si>
  <si>
    <t>55.76%</t>
  </si>
  <si>
    <t>Band-Aid Brand Flexible Fabric Adhesive Bandages for Wound Care and First Aid, All One Size, 100 Count</t>
  </si>
  <si>
    <t>B00006IDL6</t>
  </si>
  <si>
    <t>55.26%</t>
  </si>
  <si>
    <t>Duracell Coppertop AA Batteries with Power Boost Ingredients, 16 Count Pack Double A Battery with Long-lasting Power, Alkaline AA Battery for Household and Office Devices</t>
  </si>
  <si>
    <t>B003SIOZB6</t>
  </si>
  <si>
    <t>55.18%</t>
  </si>
  <si>
    <t>Mueller® Carpal Tunnel Wrist Stabilizer</t>
  </si>
  <si>
    <t>Mueller Carpal Tunnel Wrist Stabilizer Small/Medium - Each, Pack of 2</t>
  </si>
  <si>
    <t>B00E4MJEQQ</t>
  </si>
  <si>
    <t>21.89</t>
  </si>
  <si>
    <t>55.05%</t>
  </si>
  <si>
    <t>6196181991576</t>
  </si>
  <si>
    <t>Globe (3 Pack) Bacitracin Zinc Ointment + Aloe 1oz, Essential Antibiotic First Aid Ointment, Healing Action, Maximum Antibiotic Power, Prevents Infection in cuts, scrapes, Burns</t>
  </si>
  <si>
    <t>B09R86LN6P</t>
  </si>
  <si>
    <t>54.89%</t>
  </si>
  <si>
    <t>ARM &amp; HAMMER Advance White Baking Soda &amp; Peroxide Toothpaste, Extreme Whitening 4.3 oz</t>
  </si>
  <si>
    <t>B004ZLMU8U</t>
  </si>
  <si>
    <t>54.70%</t>
  </si>
  <si>
    <t>OMRON Platinum Blood Pressure Monitor, Upper Arm Cuff, Digital Bluetooth Blood Pressure Machine, Stores Up To 200 Readings for Two Users (100 each)</t>
  </si>
  <si>
    <t>B07RX8WQ4K</t>
  </si>
  <si>
    <t>54.44%</t>
  </si>
  <si>
    <t>Boiron Oscillococcinum, 0.04 Ounce, 6 Doses (Pack of 2), Homeopathic Medicine for Flu-Like Symptoms</t>
  </si>
  <si>
    <t>B001GCU092</t>
  </si>
  <si>
    <t>54.40%</t>
  </si>
  <si>
    <t>Dulcolax® Overnight Relief Laxative 5mg Tablets 25ct.</t>
  </si>
  <si>
    <t>Dulcolax Stimulant Laxative Tablets (100 Count) Gentle Overnight Constipation Relief, Bisacodyl 5mg</t>
  </si>
  <si>
    <t>B000063XTO</t>
  </si>
  <si>
    <t>11.39</t>
  </si>
  <si>
    <t>54.26%</t>
  </si>
  <si>
    <t>6747602387096</t>
  </si>
  <si>
    <t>GoodSense® Anti-Diarrheal Caplets</t>
  </si>
  <si>
    <t>Ohm Loperamide Hydrochloride caplets, 2 mg, Anti-Diarrheal, 24 Count</t>
  </si>
  <si>
    <t>B002AEFYA0</t>
  </si>
  <si>
    <t>3.56</t>
  </si>
  <si>
    <t>54.21%</t>
  </si>
  <si>
    <t>6217695756440</t>
  </si>
  <si>
    <t>Personna 0320879 Disposable Razors with Lubricating Strip - Twin Blade Plus - 5</t>
  </si>
  <si>
    <t>B00142E8VK</t>
  </si>
  <si>
    <t>54.16%</t>
  </si>
  <si>
    <t>Smith and Nephew SECURA Protective Ointment Skin Protectant 5.6oz Tube (Pack of 3)</t>
  </si>
  <si>
    <t>B00G04Z17C</t>
  </si>
  <si>
    <t>53.43%</t>
  </si>
  <si>
    <t>Fruit of the Earth Aloe Vera 100% Gel - 6 oz</t>
  </si>
  <si>
    <t>B000052YM0</t>
  </si>
  <si>
    <t>53.03%</t>
  </si>
  <si>
    <t>Aspercreme Odor Free Lidocaine Foot Pain Relief Cream, 4 oz., Safe for Diabetic Skin</t>
  </si>
  <si>
    <t>B07GHBH1CC</t>
  </si>
  <si>
    <t>53.00%</t>
  </si>
  <si>
    <t>Fixodent Complete Original Denture Adhesive Cream, 2.4 oz, Pack of 2</t>
  </si>
  <si>
    <t>B0088PSX3K</t>
  </si>
  <si>
    <t>52.68%</t>
  </si>
  <si>
    <t>Dramamine Motion Sickness Relief for Kids, Grape Flavor, 8 Tablets &amp; Dramamine Motion Sickness Relief Chewable Tablets, Orange Flavored, 8 Tablets</t>
  </si>
  <si>
    <t>B079W3F89Y</t>
  </si>
  <si>
    <t>52.42%</t>
  </si>
  <si>
    <t>GoodSense® Psyllium Orange Flavor Fiber Powder 30.4oz</t>
  </si>
  <si>
    <t>NATURLAX Sugar-Free Psyllium Husk Fiber Powder, Orange Flavored 19 oz</t>
  </si>
  <si>
    <t>B07H8QS2DN</t>
  </si>
  <si>
    <t>14.83</t>
  </si>
  <si>
    <t>6224620978328</t>
  </si>
  <si>
    <t>Foille Medicated First-Aid Ointment Tube, 1 Ounce</t>
  </si>
  <si>
    <t>B000NLQ6MC</t>
  </si>
  <si>
    <t>52.34%</t>
  </si>
  <si>
    <t>Oral-B Deep Clean Battery Powered Toothbrush Replacement Brush Heads Refill, Soft, 2 Count</t>
  </si>
  <si>
    <t>B003UBTYKI</t>
  </si>
  <si>
    <t>52.32%</t>
  </si>
  <si>
    <t>Poise® Pads Moderate Absorbency Regular Length 66ct.</t>
  </si>
  <si>
    <t>Poise Incontinence Pads &amp; Postpartum Incontinence Pads, 4 Drop Moderate Absorbency, Regular Length, 132 Count</t>
  </si>
  <si>
    <t>B010OW806O</t>
  </si>
  <si>
    <t>52.27%</t>
  </si>
  <si>
    <t>6226475090072</t>
  </si>
  <si>
    <t>Johnson's Baby Powder, Naturally Derived Cornstarch with Aloe &amp; Vitamin E for Delicate Skin, Hypoallergenic and Free of Parabens, Phthalates, and Dyes for Gentle Baby Skin Care, 15 oz</t>
  </si>
  <si>
    <t>B0009STDJW</t>
  </si>
  <si>
    <t>Johnson’s Baby Powder with Naturally Derived Cornstarch Aloe &amp; Vitamin E, Hypoallergenic, 15 oz</t>
  </si>
  <si>
    <t>B01EMZ90SQ</t>
  </si>
  <si>
    <t>Battle Creek Ice It!® MaxComfort™ System</t>
  </si>
  <si>
    <t>Battle Creek Ice It!® ColdCOMFORT™ Extra-Large System - 9” x 20” - Includes 3 - 6" x 9" ice packs</t>
  </si>
  <si>
    <t>B003JO9AK0</t>
  </si>
  <si>
    <t>25.49</t>
  </si>
  <si>
    <t>51.94%</t>
  </si>
  <si>
    <t>6197485043864</t>
  </si>
  <si>
    <t>BAND-AID® Water Block Tape</t>
  </si>
  <si>
    <t>Band-Aid Brand First Aid Water Block 100% Waterproof Self-Adhesive Tape Roll for Durable Wound Care to Firmly Secure Bandages, 1/2 In by 10 yd</t>
  </si>
  <si>
    <t>B00MYH4NB4</t>
  </si>
  <si>
    <t>51.77%</t>
  </si>
  <si>
    <t>6146794193048</t>
  </si>
  <si>
    <t>Biotrue Contact Lens Solution, Multi-Purpose Solution for Soft Contact Lenses, Lens Case Included, 2 FL OZ (Pack of 4)</t>
  </si>
  <si>
    <t>B00DYW0CDG</t>
  </si>
  <si>
    <t>51.44%</t>
  </si>
  <si>
    <t>GoodSense® Non-Drowsy Day Time Cold &amp; Flu Softgels 2</t>
  </si>
  <si>
    <t>Vicks DayQuil Cold &amp; Flu Medicine, Non-Drowsy Powerful Multi-Symptom Daytime Relief for Headache, Fever, Sore Throat, Minor Aches and Pains, Nasal Congestion, Sinus Pressure and Cough, 48 Liquicaps</t>
  </si>
  <si>
    <t>B005ZQP478</t>
  </si>
  <si>
    <t>7.59</t>
  </si>
  <si>
    <t>51.38%</t>
  </si>
  <si>
    <t>5242487177368</t>
  </si>
  <si>
    <t>Biofreeze Professional Menthol Roll-On Pain-Relieving Gel 3 FL OZ, Green (Pack Of 2) Topical Pain Relief For Muscles And Joints From Arthritis, Backache, Strains, Bruises, &amp; Sprains (Package May Vary)</t>
  </si>
  <si>
    <t>B074H8XLP8</t>
  </si>
  <si>
    <t>51.10%</t>
  </si>
  <si>
    <t>Cara® Standard Size Dry Heating Pad</t>
  </si>
  <si>
    <t>Conair Comfort Moist/Dry Heating Pad for Back Pain Relief, Heating Pad for Neck and Shoulder, Menstrual Heating Pad for Cramps, Standard Size 12 inch x 15 inch, 3 Heat Settings w/ Auto Off</t>
  </si>
  <si>
    <t>B08M15H6VH</t>
  </si>
  <si>
    <t>17.69</t>
  </si>
  <si>
    <t>51.05%</t>
  </si>
  <si>
    <t>6228001194136</t>
  </si>
  <si>
    <t>GoodSense Children's Ibuprofen Oral Suspension, 100 mg per 5 mL, Pain Reliever and Fever Reducer, Berry Flavor, 4 Ounces</t>
  </si>
  <si>
    <t>B07GSGP7SC</t>
  </si>
  <si>
    <t>50.87%</t>
  </si>
  <si>
    <t>Afrin Original Maximum Strength 12 Hour Sinus Congestion Relief Pump Mist - Fast Acting Allergy Nasal Decongestant and Sinus Spray for Powerful Nasal Congestion Relief 0.5oz (15mL)</t>
  </si>
  <si>
    <t>B019DL5KAG</t>
  </si>
  <si>
    <t>50.83%</t>
  </si>
  <si>
    <t>Astepro Allergy Nasal Spray, 24-Hour Allergy Relief, Steroid-Free Antihistamine, Nasal Congestion, Runny Nose, Itchy Nose, For Adults and Children 6 Years and Older, 200 Metered Sprays (1 Bottle)</t>
  </si>
  <si>
    <t>B0B59NJFNX</t>
  </si>
  <si>
    <t>50.80%</t>
  </si>
  <si>
    <t>Mastex-600 Standard Moist/dry Heating Pad [220 Volts]</t>
  </si>
  <si>
    <t>B00427UEFS</t>
  </si>
  <si>
    <t>50.28%</t>
  </si>
  <si>
    <t>Gaia® Herbs Ashwagandha Liquid Phyto-Caps 60ct.</t>
  </si>
  <si>
    <t>Gaia Herbs Ashwagandha Root - Made with Organic Ashwagandha Root to Help Support a Healthy Response to Stress, The Immune System, and Restful Sleep - 120 Vegan Liquid Phyto-Capsules (60-Day Supply)</t>
  </si>
  <si>
    <t>B06XSTTX7C</t>
  </si>
  <si>
    <t>6213692326040</t>
  </si>
  <si>
    <t>Mueller Sports Medicine Kinesiology Tape Pre-Cut Strips</t>
  </si>
  <si>
    <t>B00JPE2SYS</t>
  </si>
  <si>
    <t>Bluebonnet Nutrition Buffered Vitamin C-500 mg Vegetable Capsules, Buffered Calcium Ascorbate, for Immune Health, Soy Free, Gluten Free, Non-GMO, Kosher, Dairy Free, Vegan, 180 Vegetable Capsules</t>
  </si>
  <si>
    <t>B001FXMDBK</t>
  </si>
  <si>
    <t>Bio-Tech® D3-50 Capsules</t>
  </si>
  <si>
    <t>D3-50 50,000iu - Bio-Tech Pharmacal - 100 Capsules - Pack of 2</t>
  </si>
  <si>
    <t>B00PH50WOC</t>
  </si>
  <si>
    <t>30.67</t>
  </si>
  <si>
    <t>49.82%</t>
  </si>
  <si>
    <t>4882712854667</t>
  </si>
  <si>
    <t>PreserVision AREDS 2 Eye Vitamins with CoQ10 for Heart Health, Lutein, Zeaxanthin, Vitamin C &amp; E, Zinc, Copper, 100 Softgels</t>
  </si>
  <si>
    <t>B0BW1KC93N</t>
  </si>
  <si>
    <t>49.77%</t>
  </si>
  <si>
    <t>Blue Star Anti-Itch Medicated Ointment 2 oz (Pack of 2)</t>
  </si>
  <si>
    <t>B002GU6M54</t>
  </si>
  <si>
    <t>49.75%</t>
  </si>
  <si>
    <t>Dentemp Maximum Strength Custom Repair Lost Fillings &amp; Loose Caps - 1 each</t>
  </si>
  <si>
    <t>B00SYD852K</t>
  </si>
  <si>
    <t>REESE'S PINWORM Medicine 2 oz PYRANTEL PAMOATE Suspension</t>
  </si>
  <si>
    <t>B08HHT66SV</t>
  </si>
  <si>
    <t>49.71%</t>
  </si>
  <si>
    <t>B07D9NX913</t>
  </si>
  <si>
    <t>49.49%</t>
  </si>
  <si>
    <t>Omega 3 Fish Oil Supplement + Krill Oil 500mg, MegaRed Advanced 4in1 EPA &amp; DHA Omega 3 Fatty Acid Softgels (140cnt bottle), Phospholipids, Supports Brain Eye Joint &amp; Heart Health</t>
  </si>
  <si>
    <t>B01IRQHEUW</t>
  </si>
  <si>
    <t>49.05%</t>
  </si>
  <si>
    <t>Duracell® 384/392 Silver Oxide Button Battery</t>
  </si>
  <si>
    <t>Energizer 392 / 384 (192, SR41SW, SR41W) Silver Oxide Watch Battery. On Tear Strip</t>
  </si>
  <si>
    <t>B00I9KYJYQ</t>
  </si>
  <si>
    <t>49.04%</t>
  </si>
  <si>
    <t>6206453186712</t>
  </si>
  <si>
    <t>eos 100% Natural &amp; Organic Lip Balm- Strawberry Sorbet, Dermatologist Recommended for Sensitive Skin, All-Day Moisture, 0.14 oz, 2 Pack</t>
  </si>
  <si>
    <t>B01MF63BCU</t>
  </si>
  <si>
    <t>48.87%</t>
  </si>
  <si>
    <t>EOS Super Soft Shea stick &amp; Sphere Lip Balm - Pineapple Passionfruit &amp; Coconut Milk | Deeply Hydrates &amp; seals In Moisture | sustainably-sourced ingredients | 2 Count (Pack of 2)</t>
  </si>
  <si>
    <t>B07WBZN9J4</t>
  </si>
  <si>
    <t>Colace 2-in-1 Stool Softener &amp; Stimulant Laxative Tablets, 60 Count, Gentle Constipation Relief In 6-12 Hours</t>
  </si>
  <si>
    <t>B000IMPJ8S</t>
  </si>
  <si>
    <t>48.84%</t>
  </si>
  <si>
    <t>St. Ives Fresh Skin Invigorating Apricot Scrub 6 Oz (2 Pack) by St. Ives</t>
  </si>
  <si>
    <t>B00TUPLLP4</t>
  </si>
  <si>
    <t>48.58%</t>
  </si>
  <si>
    <t>Curad Compact First Aid Kit with Over-The-Counter Medicine,All Purpose,Flex-Fabric and Butterfly Bandages,Antibiotic Ointment,Cleansing Towelettes,Alcohol Prep Pads,Acetaminophen,Carry Case, 80 Count</t>
  </si>
  <si>
    <t>B0BLWL28PT</t>
  </si>
  <si>
    <t>48.44%</t>
  </si>
  <si>
    <t>Aura Cacia 100% Pure Lemon Essential Oil | Certified Organic, GC/MS Tested for Purity | 7.4 ml (0.25 fl. oz.) | Citrus limon</t>
  </si>
  <si>
    <t>B0012J1YMQ</t>
  </si>
  <si>
    <t>47.96%</t>
  </si>
  <si>
    <t>Care Science Fabric Adhesive Bandages, 100 ct Assorted Sizes | Flexible + Breathable Protection Helps Prevent Infection for First Aid and Wound Care</t>
  </si>
  <si>
    <t>B07LGF8RHP</t>
  </si>
  <si>
    <t>47.84%</t>
  </si>
  <si>
    <t>Osteo Bi-Flex One-A-Day Joint Health Supplements Tablets</t>
  </si>
  <si>
    <t>Osteo Bi-Flex Triple Strength Glucosamine with Turmeric, Joint Health Supplement, Coated Tablets, Original Version, 80 Count</t>
  </si>
  <si>
    <t>B06WRP5FYD</t>
  </si>
  <si>
    <t>22.33</t>
  </si>
  <si>
    <t>47.69%</t>
  </si>
  <si>
    <t>5238427615384</t>
  </si>
  <si>
    <t>Hibiclens – Antimicrobial and Antiseptic Soap and Skin Cleanser – 32 oz – for Home and Hospital – 4% CHG</t>
  </si>
  <si>
    <t>B00EV1D79A</t>
  </si>
  <si>
    <t>47.55%</t>
  </si>
  <si>
    <t>BleedCEASE First Aid for Cuts and Nosebleeds Sterile Packings, 25 Count</t>
  </si>
  <si>
    <t>B00GRL8Q5W</t>
  </si>
  <si>
    <t>47.48%</t>
  </si>
  <si>
    <t>Nivea® Men Soothing Post Shave Balm for Sensitive Skin 3.3fl. oz.</t>
  </si>
  <si>
    <t>Pacific Shaving Company Caffeinated Aftershave, Men's Grooming Product - Antioxidant Daily Face Lotion + After Shave - Soothing Aloe &amp; Spearmint Post Shave Balm for Sensitive Skin (7 Oz)</t>
  </si>
  <si>
    <t>B0BSK94T3C</t>
  </si>
  <si>
    <t>47.11%</t>
  </si>
  <si>
    <t>6205693460632</t>
  </si>
  <si>
    <t>Gelusil Antacid &amp; Anti Gas Tablets for Heartburn Relief, Acid Reflux, Bloating and Gas, Cool Mint - 200 Count</t>
  </si>
  <si>
    <t>B08VQLG919</t>
  </si>
  <si>
    <t>46.83%</t>
  </si>
  <si>
    <t>Amazon Basic Care Omeprazole Delayed Release Tablets 20 mg, Treats Frequent Heartburn, Acid Reducer, Heartburn Medicine, 42 Count (Pack of 1)</t>
  </si>
  <si>
    <t>B074F1RWV9</t>
  </si>
  <si>
    <t>46.54%</t>
  </si>
  <si>
    <t>Hibiclens – Antimicrobial, Antiseptic Soap and Skin Cleanser – Foaming Pump Included – 16 oz – for Home and Hospital – 4% CHG</t>
  </si>
  <si>
    <t>B00EV18F5G</t>
  </si>
  <si>
    <t>46.48%</t>
  </si>
  <si>
    <t>ARM &amp; HAMMER Advance White Baking Soda &amp; Peroxide Toothpaste, Extreme Whitening 4.3 oz (Pack of 2)</t>
  </si>
  <si>
    <t>B00E4MHZJY</t>
  </si>
  <si>
    <t>46.41%</t>
  </si>
  <si>
    <t>16.39</t>
  </si>
  <si>
    <t>46.37%</t>
  </si>
  <si>
    <t>6196454031512</t>
  </si>
  <si>
    <t>Accu-Chek Smart View Test Strips 50ct.</t>
  </si>
  <si>
    <t>105.99</t>
  </si>
  <si>
    <t>46.23%</t>
  </si>
  <si>
    <t>4896104644747</t>
  </si>
  <si>
    <t>Metamucil® 3-In-1 Fiber Capsules 100ct.</t>
  </si>
  <si>
    <t>Metamucil, Daily Psyllium Husk Powder Supplement, 3-in-1 Fiber for Digestive Health, Plant Based Fiber, 300ct Capsules</t>
  </si>
  <si>
    <t>B001TH7K0G</t>
  </si>
  <si>
    <t>18.39</t>
  </si>
  <si>
    <t>46.22%</t>
  </si>
  <si>
    <t>6224732160152</t>
  </si>
  <si>
    <t>Nova® Adjustable Drink Holder</t>
  </si>
  <si>
    <t>Manufacturers' Select ITC Black Adjustable RV and Boat Drink Holder w/Stainless Steel Reinforced Back (81405B) - Two Pack (X002QS4O4N)</t>
  </si>
  <si>
    <t>B08LHXBW45</t>
  </si>
  <si>
    <t>20.52</t>
  </si>
  <si>
    <t>46.15%</t>
  </si>
  <si>
    <t>6226793463960</t>
  </si>
  <si>
    <t>Hyland's® Leg Cramps PM Relief Tablets</t>
  </si>
  <si>
    <t>Hyland''s Leg Cramps PM Nighttime Cramp Relief Tablets, 50 Count (Pack of 2)</t>
  </si>
  <si>
    <t>B00OQQVBLG</t>
  </si>
  <si>
    <t>45.90%</t>
  </si>
  <si>
    <t>5247169626264</t>
  </si>
  <si>
    <t>Nasacort Allergy 24HR Nasal Spray for Adults, Non-Drowsy &amp; Alcohol-Free, 120 Sprays, 0.57 fl. oz. 2pk</t>
  </si>
  <si>
    <t>B012FV7WPW</t>
  </si>
  <si>
    <t>45.71%</t>
  </si>
  <si>
    <t>Lotrimin AF Jock Itch Antifungal Cream 0.42 oz (Pack of 2)</t>
  </si>
  <si>
    <t>B001269GK6</t>
  </si>
  <si>
    <t>45.68%</t>
  </si>
  <si>
    <t>Sun Bum Cool Down Aloe Vera Lotion - Vegan After Sun Care with Cocoa Butter to Soothe and Hydrate Sunburn- 8 oz</t>
  </si>
  <si>
    <t>B004YAUZKM</t>
  </si>
  <si>
    <t>45.18%</t>
  </si>
  <si>
    <t>Move Free Glucosamine and Chondroitin Plus MSM &amp; D3 Advanced Joint Health Supplement Tablets, 160 Count (Pack of 2)</t>
  </si>
  <si>
    <t>B00VOF5UPU</t>
  </si>
  <si>
    <t>Curad Compact First Aid Kit, Green 75 Items, 1 Each</t>
  </si>
  <si>
    <t>B003XYDT58</t>
  </si>
  <si>
    <t>44.87%</t>
  </si>
  <si>
    <t>Quicksilver Scientific Methyl B Complex - Liquid Vitamin with Superior Liposomal Absorption of Vitamin B12, Folate, Vitamin B6, Riboflavin, Biotin, Pantothenic Acid, Vitamin B1, Niacin (50 ml)</t>
  </si>
  <si>
    <t>B01INRQY1U</t>
  </si>
  <si>
    <t>44.54%</t>
  </si>
  <si>
    <t>GoodSense Allergy Relief Loratadine Tablets 10 mg, Compare to Claritin, Antihistamine, 24 Hour Allergy Relief, 365 Count</t>
  </si>
  <si>
    <t>B00HE66ZUC</t>
  </si>
  <si>
    <t>44.49%</t>
  </si>
  <si>
    <t>ADC Fast Read Digital Thermometer, Flexible Tip and Large Quick Read LCD Display with Color-coded Backlighting , White - 418N</t>
  </si>
  <si>
    <t>B079V7C135</t>
  </si>
  <si>
    <t>44.47%</t>
  </si>
  <si>
    <t>Prevagen Improves Memory - Extra Strength 20mg, 30 Chewables |Mixed Berry| with Apoaequorin &amp; Vitamin D &amp; Prevagen 7-Day Pill Minder | Brain Supplement for Better Brain Health</t>
  </si>
  <si>
    <t>B01EZ64QJU</t>
  </si>
  <si>
    <t>44.35%</t>
  </si>
  <si>
    <t>Prevagen Improves Memory - Extra Strength 20mg, 30 Chewables|Mixed Berry-1 Pack|with Apoaequorin &amp; Vitamin D with Attractive and Stackable Prevagen Storage Box|Brain Supplement for Better Brain Health</t>
  </si>
  <si>
    <t>B0BN6Z1PKN</t>
  </si>
  <si>
    <t>B01M6CEO2G</t>
  </si>
  <si>
    <t>Sun Bum Cool Down Aloe Vera Gel | Vegan After Sun Care with Cocoa Butter to Soothe and Hydrate Sunburn | 8 oz</t>
  </si>
  <si>
    <t>B004YAUZQG</t>
  </si>
  <si>
    <t>43.80%</t>
  </si>
  <si>
    <t>AVERT Original SPF 50 Sunscreen Spray | Aloe Infused, No Octinoxate, No Oxybenzone Lightweight, No White Cast, Non-sticky, Travel Size</t>
  </si>
  <si>
    <t>B0BCHGP9PC</t>
  </si>
  <si>
    <t>43.78%</t>
  </si>
  <si>
    <t>48APP0710PK - Attends Youth Super Plus Absorbency Pull-On Protective Underwear Small 22 - 34</t>
  </si>
  <si>
    <t>B014I0UA3E</t>
  </si>
  <si>
    <t>43.70%</t>
  </si>
  <si>
    <t>Refresh® Plus® Preservative Free Lubricant Eye Drops</t>
  </si>
  <si>
    <t>Refresh Classic Lubricant Eye Drops, Preservative-Free,0.01 Fl Oz Single-Use Containers, 50 Count (Pack of 1), Packaging May Vary</t>
  </si>
  <si>
    <t>B000R2VCIA</t>
  </si>
  <si>
    <t>43.41%</t>
  </si>
  <si>
    <t>6171319959704</t>
  </si>
  <si>
    <t>OMRON Gold Blood Pressure Monitor, Premium Upper Arm Cuff, Digital Bluetooth Machine, Stores Up To 120 Readings for Two Users (60 readings each)</t>
  </si>
  <si>
    <t>B07RX8WYYJ</t>
  </si>
  <si>
    <t>Cough Drops - Lemon Mint Sugar Free Ricola 19 Lozenge</t>
  </si>
  <si>
    <t>B001P6RIAS</t>
  </si>
  <si>
    <t>43.34%</t>
  </si>
  <si>
    <t>Always Discreet Boutique Adult Incontinence and Postpartum Underwear for Women, Maximum Protection, XL, Rosy, 16 Count</t>
  </si>
  <si>
    <t>B07FGL6VM2</t>
  </si>
  <si>
    <t>43.23%</t>
  </si>
  <si>
    <t>Quantum Health® Elderberry Immune Defense Capsules 60ct.</t>
  </si>
  <si>
    <t>Quantum Elderberry Immune Defense Extract - 400 mg - 60 Capsules</t>
  </si>
  <si>
    <t>B00M8RPGKM</t>
  </si>
  <si>
    <t>43.07%</t>
  </si>
  <si>
    <t>5244794667160</t>
  </si>
  <si>
    <t>42.95%</t>
  </si>
  <si>
    <t>Kinesiology Tape Precut 3 Rolls-Athletic Sports Tape for Muscle &amp; Joints-Physical Therapy Tape for Knee,Ankle,Shoulder,Plantar Fasciitis- Latex Free and Water Resistant-60 Strips, Blue</t>
  </si>
  <si>
    <t>B0899Q3QSP</t>
  </si>
  <si>
    <t>42.90%</t>
  </si>
  <si>
    <t>Emetrol® For Nausea &amp; Upset Stomach Cherry Liquid 4fl. oz.</t>
  </si>
  <si>
    <t>Emetrol Children's Non-Drowsy Nausea Relief - Liquid Nausea Medicine for Upset Stomach - Nausea Relief for Kids - Mixed Berry Flavor - 4fl oz- 2 Pack</t>
  </si>
  <si>
    <t>B0C1TB2CXM</t>
  </si>
  <si>
    <t>42.80%</t>
  </si>
  <si>
    <t>6223260614808</t>
  </si>
  <si>
    <t>Pure Therapro Rx Methyl B Complete - Optimal Methylated B Complex w/Quatrefolic 5-MTHF (Folate), Methylcobalamin (B12), B2, B6, &amp; TMG, Active B Complex Manufactured in The USA - (120 Vegan Capsules)</t>
  </si>
  <si>
    <t>B00Y3QD8AG</t>
  </si>
  <si>
    <t>42.72%</t>
  </si>
  <si>
    <t>Bayer Back and Body Extra Strength Aspirin 500mg, Aspirin Plus 32.5 mg Caffeine Pain Reliever, Powerful Back and Body Pain Relief, XX Coated Caplets</t>
  </si>
  <si>
    <t>B00L45KPG4</t>
  </si>
  <si>
    <t>42.67%</t>
  </si>
  <si>
    <t>Sundown Naturals Vitamin E Oil - 70000 IU - 2.5 fl oz</t>
  </si>
  <si>
    <t>B0842HPLSR</t>
  </si>
  <si>
    <t>42.52%</t>
  </si>
  <si>
    <t>Coppertone Kids Sunscreen Spray SPF 50 + Pure and Simple Kids Sunscreen Stick SPF 50, Zinc Oxide Mineral Sunscreen, #1 Pediatrician Recommended Sunscreen Brand (5.5 Oz Spray + 0.49 Oz Stick)</t>
  </si>
  <si>
    <t>B0886JDYNG</t>
  </si>
  <si>
    <t>42.33%</t>
  </si>
  <si>
    <t>Nexcare Max Hold Waterproof Bandages, Stays On for 48 Hours, Flexible Bandages for Fingers, Knees and Heels - 40 Pack Clear Waterproof Bandages</t>
  </si>
  <si>
    <t>B07QGQBRHJ</t>
  </si>
  <si>
    <t>42.20%</t>
  </si>
  <si>
    <t>AZO Yeast® Plus Dual Relief Tablets 60ct.</t>
  </si>
  <si>
    <t>AZO Yeast Plus Dual Relief Tablets, Yeast Infection and Vaginal Symptom Relief, Relieves Itching &amp; Burning, 60 Count (Pack of 2)</t>
  </si>
  <si>
    <t>B0C51MQYQX</t>
  </si>
  <si>
    <t>42.06%</t>
  </si>
  <si>
    <t>6177587560600</t>
  </si>
  <si>
    <t>42.01%</t>
  </si>
  <si>
    <t>Nexcare Tegaderm Transparent Dressings 4 Inches X 4-3/4 Inches, 4 Count (Pack of 3)</t>
  </si>
  <si>
    <t>B01IAIA33W</t>
  </si>
  <si>
    <t>41.80%</t>
  </si>
  <si>
    <t>Band-Aid Brand Tough Strips Adhesive Bandages for Wound Care, Durable Protection for Minor Cuts and Scrapes, All One Size, 60 ct</t>
  </si>
  <si>
    <t>B00B6A6Y9E</t>
  </si>
  <si>
    <t>41.71%</t>
  </si>
  <si>
    <t>Prevail Ultimate Absorbency Incontinence Bladder Control Pads for Women, Regular Length, 33 Count</t>
  </si>
  <si>
    <t>B00EULO204</t>
  </si>
  <si>
    <t>41.14%</t>
  </si>
  <si>
    <t>O'Keeffe's Cooling Relief Lip Repair Lip Balm for Dry, Cracked Lips, Stick, Twin Pack</t>
  </si>
  <si>
    <t>B0BFXLQSWX</t>
  </si>
  <si>
    <t>40.96%</t>
  </si>
  <si>
    <t>O'Keeffe's Cooling Relief Lip Repair Lip Balm for Dry, Cracked Lips, Stick, (Pack of 2)</t>
  </si>
  <si>
    <t>B01MDS34NI</t>
  </si>
  <si>
    <t>Sun Bum Cool Down Aloe Vera Spray - Vegan After Sun Care with Cocoa Butter to Soothe and Hydrate Sunburn - 6 oz</t>
  </si>
  <si>
    <t>B007MV4B1E</t>
  </si>
  <si>
    <t>40.80%</t>
  </si>
  <si>
    <t>Sun Bum Original SPF 50 Sunscreen Face Lotion | Vegan and Hawaii 104 Reef Act Compliant (Octinoxate &amp; Oxybenzone Free) Broad Spectrum Fragrance-Free Moisturizing UVA/UVB Sunscreen with Vitamin E|3oz</t>
  </si>
  <si>
    <t>B07B685MFG</t>
  </si>
  <si>
    <t>40.44%</t>
  </si>
  <si>
    <t>Nature's Blend® Vitamin B-1 100mg Tablets 100ct.</t>
  </si>
  <si>
    <t>Nature's Truth Vitamin B-1 100mg Tablets, 100 Count</t>
  </si>
  <si>
    <t>B06VW1SDDT</t>
  </si>
  <si>
    <t>40.12%</t>
  </si>
  <si>
    <t>6551921197208</t>
  </si>
  <si>
    <t>GoodSense Rapid Release Pain Relief, Acetaminophen Caplets 500 mg, Extra Strength Pain Reliever and Fever Reducer, 100 Count</t>
  </si>
  <si>
    <t>B01N7V26LU</t>
  </si>
  <si>
    <t>40.08%</t>
  </si>
  <si>
    <t>Carex™ Offset Aluminum Walking Cane</t>
  </si>
  <si>
    <t>Carex Aluminum Offset Cane with Soft Cushioned Handle - Adjustable Walking Cane for Men and Women - Silver Color</t>
  </si>
  <si>
    <t>B001V95II8</t>
  </si>
  <si>
    <t>11.52</t>
  </si>
  <si>
    <t>39.93%</t>
  </si>
  <si>
    <t>6197701214360</t>
  </si>
  <si>
    <t>Gaia® Herbs Black Elderberry Syrup</t>
  </si>
  <si>
    <t>Gaia Herbs Black Elderberry (Sambucus Nigra) Syrup-Immune Support Supplement-Made with Organic Black Elderberries for Immune System Support-USDA Certified Organic Formula-5.4 Fl Oz (32-Day Supply)</t>
  </si>
  <si>
    <t>B0036THLPE</t>
  </si>
  <si>
    <t>39.84%</t>
  </si>
  <si>
    <t>4865175978123</t>
  </si>
  <si>
    <t>Resinol Medicated Ointment 1.25 oz (Pack of 2)</t>
  </si>
  <si>
    <t>B000WVPI7C</t>
  </si>
  <si>
    <t>39.57%</t>
  </si>
  <si>
    <t>Mens Pure Copper Cuban Heavy Link Bracelet Pain Relief Arthritis Wide Link 8.5"</t>
  </si>
  <si>
    <t>B09ZK4DPR3</t>
  </si>
  <si>
    <t>39.42%</t>
  </si>
  <si>
    <t>PreserVision AREDS Formula Tablets</t>
  </si>
  <si>
    <t>PreserVision® AREDS 2 Formula Vitamin &amp; Mineral Supplement 70 ct Chewables</t>
  </si>
  <si>
    <t>B0C6R3ZCG6</t>
  </si>
  <si>
    <t>19.09</t>
  </si>
  <si>
    <t>39.24%</t>
  </si>
  <si>
    <t>5240282349720</t>
  </si>
  <si>
    <t>Similasan Kids Cold &amp; Mucus Relief Syrup Plus Echinacea for Immune Support 4 oz, for Cough, Mucus, Congestion in Children Ages 2 and Up, Formulated with Natural Active Ingredients</t>
  </si>
  <si>
    <t>B002CPPP42</t>
  </si>
  <si>
    <t>39.13%</t>
  </si>
  <si>
    <t>eos 100% Natural Lip Balm, Watermelon Frosé, All-Day Moisture, Lip Care Products, 0.14 oz, 2-Pack</t>
  </si>
  <si>
    <t>B0BNP3W2ZW</t>
  </si>
  <si>
    <t>39.00%</t>
  </si>
  <si>
    <t>Slow Fe 45mg Iron Supplement for Iron Deficiency, Slow Release, High Potency, Easy to Swallow Tablets - 60 Count</t>
  </si>
  <si>
    <t>B00ZQUDWIG</t>
  </si>
  <si>
    <t>38.87%</t>
  </si>
  <si>
    <t>Metabolic Maintenance® Vitamin C Powder</t>
  </si>
  <si>
    <t>Metabolic Maintenance Vitamin C Powder Reduced Acidity - Reduced pH Antioxidant + Immune Support (1 Pound, 454 Servings)</t>
  </si>
  <si>
    <t>B000NBWNJW</t>
  </si>
  <si>
    <t>40.0</t>
  </si>
  <si>
    <t>38.75%</t>
  </si>
  <si>
    <t>4810626236555</t>
  </si>
  <si>
    <t>OPTASE MGD Advanced Dry Eye Drops - Preservative Free Eye Drops for Dry Eyes and MGD - Lipid-Based Artificial Tears - DEMET Technology, Multidose Bottle, Contact Lens Safe - .33 fl oz, 300 Doses</t>
  </si>
  <si>
    <t>B09XR8WM7L</t>
  </si>
  <si>
    <t>38.69%</t>
  </si>
  <si>
    <t>MUELLER Tennis Elbow Support with Gel Pad, Black, One Size Fits Most</t>
  </si>
  <si>
    <t>B0027VOS8U</t>
  </si>
  <si>
    <t>38.66%</t>
  </si>
  <si>
    <t>eos 24H Moisture Super Balm- Watermelon Frosé, Lip Mask, Day or Night Lip Treatment, Made for Sensitive Skin, 0.35 fl oz</t>
  </si>
  <si>
    <t>B0C7SHF5NP</t>
  </si>
  <si>
    <t>38.44%</t>
  </si>
  <si>
    <t>Mueller Sports Medicine Adjustable Premium Knee Stabilizer with Padded Support, For Men and Women, Black, One Size</t>
  </si>
  <si>
    <t>B08C6RQX4B</t>
  </si>
  <si>
    <t>38.40%</t>
  </si>
  <si>
    <t>Poise Ultra Thin Incontinence Pads with Wings &amp; Postpartum Incontinence Pads, 4 Drop Moderate Absorbency, Regular Length, 90 Count</t>
  </si>
  <si>
    <t>B09PFDZZWL</t>
  </si>
  <si>
    <t>38.26%</t>
  </si>
  <si>
    <t>Band Aid Small Hurt Free Wrap</t>
  </si>
  <si>
    <t>B00O30TQVM</t>
  </si>
  <si>
    <t>38.17%</t>
  </si>
  <si>
    <t>Arrid XX Extra Extra Dry Ultra Clear Aerosol Antiperspirant Deodorant, Ultra Fresh ,Twin Pack, 6 Ounce (Pack of 2) Packaging May Vary</t>
  </si>
  <si>
    <t>B00J7L53KA</t>
  </si>
  <si>
    <t>38.14%</t>
  </si>
  <si>
    <t>Gelusil Antacid &amp; Anti Gas Tablets for Heartburn Relief, Acid Reflux, Bloating and Gas, Cool Mint - 100ct Bottle</t>
  </si>
  <si>
    <t>B08QQHDXJX</t>
  </si>
  <si>
    <t>37.92%</t>
  </si>
  <si>
    <t>Mueller Sports Medicine Green Adjustable Ankle Support, For Men and Women, Black/Green, One Size Fits Most</t>
  </si>
  <si>
    <t>B0027VK3G6</t>
  </si>
  <si>
    <t>37.79%</t>
  </si>
  <si>
    <t>eos 100% Natural &amp; Organic Lip Balm- Sweet Mint, Dermatologist Recommended, All-Day Moisture Lip Care, 0.39 oz, Stick &amp; Sphere</t>
  </si>
  <si>
    <t>B07DFW67NT</t>
  </si>
  <si>
    <t>37.59%</t>
  </si>
  <si>
    <t>Move Free Advanced Plus MSM Coated Tablets, Joint Health Supplement with Glucosamine and Chondroitin, 120 Count, Pack of 2</t>
  </si>
  <si>
    <t>B00J5NVDR2</t>
  </si>
  <si>
    <t>37.33%</t>
  </si>
  <si>
    <t>Utopia Care Medical Scissors - EMT and Trauma Shears - 5.5 Inch Nursing and Surgical Scissors - Stainless Steel Bandage Scissors for Nurses (Silver)</t>
  </si>
  <si>
    <t>B00AVQ0J2C</t>
  </si>
  <si>
    <t>A2ZSCILAB One Large Ring Premium Lister Bandage Scissors 5.5" All Black Fluoride Coated Color Stainless Steel</t>
  </si>
  <si>
    <t>B07PHBX497</t>
  </si>
  <si>
    <t>37.26%</t>
  </si>
  <si>
    <t>Mueller® Elastic Wrist Support with Loop One Size</t>
  </si>
  <si>
    <t>Mueller Wrist Support withloop Elastic, Black, One Size</t>
  </si>
  <si>
    <t>B001C0JL02</t>
  </si>
  <si>
    <t>8.23</t>
  </si>
  <si>
    <t>37.06%</t>
  </si>
  <si>
    <t>6196221411480</t>
  </si>
  <si>
    <t>Aura Cacia Eucalyptus Essential Oil, Boxed, 0.5 Ounce</t>
  </si>
  <si>
    <t>B078TWCC3D</t>
  </si>
  <si>
    <t>36.94%</t>
  </si>
  <si>
    <t>Band-Aid Brand Flexible Fabric Adhesive Bandages Assorted Sizes 30 Each (Pack of 2)</t>
  </si>
  <si>
    <t>B0057RMOSM</t>
  </si>
  <si>
    <t>36.90%</t>
  </si>
  <si>
    <t>Band-Aid Tough-Strips Adhesive Bandages, Waterproof, Extra Large, 10 ct.</t>
  </si>
  <si>
    <t>B0010WNMK2</t>
  </si>
  <si>
    <t>36.82%</t>
  </si>
  <si>
    <t>GUM - 723RQC Orthodontic Wax with Vitamin E and Aloe Vera, For Braces, Wires &amp; Partial Dentures</t>
  </si>
  <si>
    <t>B01LYEWOE0</t>
  </si>
  <si>
    <t>36.47%</t>
  </si>
  <si>
    <t>Always Maxi Feminine Pads for Women, Size 5 Extra Heavy Overnight Absorbency, with Wings, Unscented, 36 Count</t>
  </si>
  <si>
    <t>B01M1BLRC1</t>
  </si>
  <si>
    <t>36.15%</t>
  </si>
  <si>
    <t>Acidophilus Probiotic Blend 150 Capsules, 21st Century</t>
  </si>
  <si>
    <t>B000PSX144</t>
  </si>
  <si>
    <t>35.72%</t>
  </si>
  <si>
    <t>Fleet Laxative Bisacodyl Enema for Adult Constipation, 1.25 Fl Oz</t>
  </si>
  <si>
    <t>B000QA81E6</t>
  </si>
  <si>
    <t>35.45%</t>
  </si>
  <si>
    <t>Sundown Naturals Vitamin E Oil 70000 IU, 2.5 Fluid Ounce</t>
  </si>
  <si>
    <t>B00FU6L6SY</t>
  </si>
  <si>
    <t>35.43%</t>
  </si>
  <si>
    <t>Band-aid Tough-Strips Adhesive Bandages, Waterproof, Extra Large, 10 Ct - Pack of 2</t>
  </si>
  <si>
    <t>B08HPSB32P</t>
  </si>
  <si>
    <t>35.34%</t>
  </si>
  <si>
    <t>Mueller® Hinged Wraparound Knee Brace</t>
  </si>
  <si>
    <t>Mueller Hinged Wraparound Knee Brace, Black, Large/X-Large</t>
  </si>
  <si>
    <t>B08KJPXQ8D</t>
  </si>
  <si>
    <t>33.26</t>
  </si>
  <si>
    <t>35.27%</t>
  </si>
  <si>
    <t>6196380008600</t>
  </si>
  <si>
    <t>Psoriasin Deep Moisturizing Ointment - 4.2 oz</t>
  </si>
  <si>
    <t>B078XK7CTL</t>
  </si>
  <si>
    <t>Hibiclens Antimicrobial and Antiseptic Skin Cleanser Liquid - 16 oz</t>
  </si>
  <si>
    <t>B078PJYLZ9</t>
  </si>
  <si>
    <t>35.17%</t>
  </si>
  <si>
    <t>isinlive 16 Pack Demineralization Cartridge Compatible with HoMedics Ultrasonic Humidifiers, Filters Mineral Deposits, Prevents Hard Water Build-Up, Purifies Water, Eliminates White Dust and Odor</t>
  </si>
  <si>
    <t>B08NPS424C</t>
  </si>
  <si>
    <t>34.95%</t>
  </si>
  <si>
    <t>Klaire Labs Vital-10 Probiotic - 10 Species Supplement with Lactobacillus, Bifidobacterium &amp; Streptococcus for Immune, Digestive, GI &amp; Colon Support - 5 Billion CFU - Hypoallergenic (100 Capsules)</t>
  </si>
  <si>
    <t>B001PYSP3Y</t>
  </si>
  <si>
    <t>34.63%</t>
  </si>
  <si>
    <t>MitoCORE 120 caps</t>
  </si>
  <si>
    <t>Ortho Molecular Products, Mitocore, 120 Capsules</t>
  </si>
  <si>
    <t>B003PR0CFI</t>
  </si>
  <si>
    <t>34.30%</t>
  </si>
  <si>
    <t>7600281190620</t>
  </si>
  <si>
    <t>Mueller® Adjustable Back Brace One Size</t>
  </si>
  <si>
    <t>Mueller Adjustable Back Brace, Black, One Size Fits All</t>
  </si>
  <si>
    <t>B07F2CNNCF</t>
  </si>
  <si>
    <t>20.1</t>
  </si>
  <si>
    <t>34.23%</t>
  </si>
  <si>
    <t>6196342128792</t>
  </si>
  <si>
    <t>FlyingJoy Lightweight Underarm Crutches with Height Adjustment up to 300 LBS, Aluminum Walking Aid for Teens to Adults Range 4’6”– 6’6”, Durable Crutches with Underarm Pad and Hand Grip, 1 Pair</t>
  </si>
  <si>
    <t>B0C3CQM9DW</t>
  </si>
  <si>
    <t>34.15%</t>
  </si>
  <si>
    <t>Colace® Regular Strength Stool Softener</t>
  </si>
  <si>
    <t>CVS Regular Strength Stool Softener, Docusate Sodium 100 mg, softgels, 400 Count</t>
  </si>
  <si>
    <t>B08X2X124P</t>
  </si>
  <si>
    <t>25.33</t>
  </si>
  <si>
    <t>34.03%</t>
  </si>
  <si>
    <t>6119866040472</t>
  </si>
  <si>
    <t>Osteo Bi-Flex Triple Strength(5) with MSM, Glucosamine Joint Health Supplement, Coated Tablets, 80 Count</t>
  </si>
  <si>
    <t>B00N8ALEEK</t>
  </si>
  <si>
    <t>33.90%</t>
  </si>
  <si>
    <t>D.O.C. Dentemp Maximum Strength Loose Cap and Lost Filling Repair Set</t>
  </si>
  <si>
    <t>B07WJXTT8C</t>
  </si>
  <si>
    <t>33.73%</t>
  </si>
  <si>
    <t>Ortho Molecular - Methyl B Complex - 120 Capsules</t>
  </si>
  <si>
    <t>B084TZFK4W</t>
  </si>
  <si>
    <t>33.62%</t>
  </si>
  <si>
    <t>Cold &amp; Hot Therapy System Ice Pack Wrap for Shoulder, Back, Leg and Abdomen - Ice It!® MaxCOMFORT™ (Large Design; 6” x 18”) - from Battle Creek Equipment, Hot &amp; Cold Therapy Items Since 1931!</t>
  </si>
  <si>
    <t>B01FXKA916</t>
  </si>
  <si>
    <t>33.39%</t>
  </si>
  <si>
    <t>Natural Vitality Calm, Magnesium Citrate &amp; Calcium Supplement, Drink Mix Powder Supports a Healthy Response to Stress, Gluten Free, Vegan, &amp; Non-GMO, Raspberry Lemon, 16 Oz</t>
  </si>
  <si>
    <t>B003I4P3JS</t>
  </si>
  <si>
    <t>33.36%</t>
  </si>
  <si>
    <t>Prilosec OTC, Omeprazole Delayed Release, Acid Reducer, Treats Frequent Heartburn for 24 Hour Relief*, #1 Doctor Recommended Brand**, 28 Tablets</t>
  </si>
  <si>
    <t>B00HZ6W564</t>
  </si>
  <si>
    <t>Arnicare Pain Relief Roll-On 1.5oz.</t>
  </si>
  <si>
    <t>Boiron Arnicare Roll-On for Relief of Joint Pain, Muscle Pain, Muscle Soreness, and Swelling from Bruises or Injury - Non-greasy and Fragrance-Free - 2 Count (Pack of 1)</t>
  </si>
  <si>
    <t>B07FW4FCKW</t>
  </si>
  <si>
    <t>8.79</t>
  </si>
  <si>
    <t>33.33%</t>
  </si>
  <si>
    <t>6121390407832</t>
  </si>
  <si>
    <t>Philips Sonicare HX3411/05 Electric/Battery Powered Toothbrush DailyClean 1100 with QuadPacer &amp; Smartimer</t>
  </si>
  <si>
    <t>B09D3YNPVV</t>
  </si>
  <si>
    <t>Imodium® Multi-Symptom Relief Caplets</t>
  </si>
  <si>
    <t>Imodium Multi-Symptom Relief Caplets with Loperamide Hydrochloride and Simethicone, Anti-Diarrheal Medicine for Treatment of Diarrhea, Gas, Bloating, Cramps &amp; Pressure, 24 ct.</t>
  </si>
  <si>
    <t>B084K8F821</t>
  </si>
  <si>
    <t>10.73</t>
  </si>
  <si>
    <t>33.08%</t>
  </si>
  <si>
    <t>6217510650008</t>
  </si>
  <si>
    <t>Mueller® Cold-Hot Therapy Wrap</t>
  </si>
  <si>
    <t>Foot Ice Pack Wrap Reusable Ice Gel Pack for Plantar Fasciitis, Achilles Tendonitis, Heel Spurs, Sore Feet, Hot Cold Therapy Cold Pack Pain Relief for Sprains, Muscle Pain, Bruises, Injuries, Swelling</t>
  </si>
  <si>
    <t>B07598T1ZD</t>
  </si>
  <si>
    <t>13.39</t>
  </si>
  <si>
    <t>32.94%</t>
  </si>
  <si>
    <t>6196195098776</t>
  </si>
  <si>
    <t>Mueller® Elastic Elbow Support</t>
  </si>
  <si>
    <t>MUELLER Unisex's Elastic Elbow Support, Black, Large</t>
  </si>
  <si>
    <t>B00M9OJM54</t>
  </si>
  <si>
    <t>9.79</t>
  </si>
  <si>
    <t>32.69%</t>
  </si>
  <si>
    <t>6196206665880</t>
  </si>
  <si>
    <t>MUELLER Elastic Elbow Support (Medium)</t>
  </si>
  <si>
    <t>B00M9OJ6PK</t>
  </si>
  <si>
    <t>Guardian Mucus Relief, 600mg Guaifenesin 12 Hour Extended Release, Chest Congestion Expectorant (100 Count Bottle)</t>
  </si>
  <si>
    <t>B084PBCKJ7</t>
  </si>
  <si>
    <t>32.61%</t>
  </si>
  <si>
    <t>Poise Incontinence Pads &amp; Postpartum Incontinence Pads, 6 Drop Ultimate Absorbency, Long Length, 45 Count, Packaging May Vary</t>
  </si>
  <si>
    <t>B007WSZ4UO</t>
  </si>
  <si>
    <t>GoodSense Omeprazole Delayed Release Orally Disintegrating Tablets, 20 mg, Acid Reducer, Strawberry Flavor, 42 Tablets</t>
  </si>
  <si>
    <t>B07J2ZZTK6</t>
  </si>
  <si>
    <t>32.53%</t>
  </si>
  <si>
    <t>Mueller Adjust-to-Fit Back Support, Gray, One Size Fits Most | Adjustable Back Brace</t>
  </si>
  <si>
    <t>B019FWQ5HK</t>
  </si>
  <si>
    <t>32.44%</t>
  </si>
  <si>
    <t>Folding Walker with 5 INCH Wheels- Adult by NOVA</t>
  </si>
  <si>
    <t>B07YVHGLL6</t>
  </si>
  <si>
    <t>32.38%</t>
  </si>
  <si>
    <t>Nexcare Gentle Paper Tape, Medical Paper Tape, Secures Dressings and Lifts Away Gently - 2 In x 10 Yds, 1 Roll of Tape</t>
  </si>
  <si>
    <t>B007XTLM6W</t>
  </si>
  <si>
    <t>32.08%</t>
  </si>
  <si>
    <t>Cara 53 Heating Pad, Moist/Dry, King Size (Pack of 2)</t>
  </si>
  <si>
    <t>B0BVQXG4RT</t>
  </si>
  <si>
    <t>31.98%</t>
  </si>
  <si>
    <t>O'Keeffe's Skin Repair Body Lotion and Dry Skin Moisturizer, 7.0 Ounce Tube, (Pack of 1)</t>
  </si>
  <si>
    <t>B01HWIEGAW</t>
  </si>
  <si>
    <t>31.90%</t>
  </si>
  <si>
    <t>ValuMeds Non-Drowsy Cold &amp; Flu Medicine for Adults (48 Softgels) | Multi-Symptom Relief for Severe Congestion, Headache, Sore Throat, Aches and Pains, Fever | Compare to Dayquil</t>
  </si>
  <si>
    <t>B077CRXQDY</t>
  </si>
  <si>
    <t>31.62%</t>
  </si>
  <si>
    <t>Nature Made Hair Skin and Nails with Biotin 2500 mcg, Dietary Supplement For Healthy Hair Skin and Nails Support, 120 Softgels, 120 Day Supply</t>
  </si>
  <si>
    <t>B01D6AQR7A</t>
  </si>
  <si>
    <t>31.61%</t>
  </si>
  <si>
    <t>Puregen Labs Non-Drowsy Cold &amp; Flu Medicine for Adults (50 Softgels) | Multi-Symptom Relief for Severe Congestion, Headache, Sore Throat, Fever, Aches and Pains (Daytime)</t>
  </si>
  <si>
    <t>B0CBW5PL1L</t>
  </si>
  <si>
    <t>31.09%</t>
  </si>
  <si>
    <t>Mommy's Bliss Gripe Water Original 2 Fl Oz &amp; Baby Gas Relief Drops 1 Fl Oz Combo Pack, Helps Relieve Baby's Gas, Colic, Hiccups &amp; General Fussiness, Safe &amp; Gentle for Babies, Total 3 Fl Oz</t>
  </si>
  <si>
    <t>B08WRCKQX5</t>
  </si>
  <si>
    <t>31.05%</t>
  </si>
  <si>
    <t>Omron 5 Series® Upper Arm Blood Pressure Monitor</t>
  </si>
  <si>
    <t>75.29</t>
  </si>
  <si>
    <t>31.01%</t>
  </si>
  <si>
    <t>4896198688907</t>
  </si>
  <si>
    <t>DenTek Temparin Max Lost Filling and Loose Cap Repair Kit | One Step Formula | 5+ Repairs | 0.04 Ounces | 2-Pack</t>
  </si>
  <si>
    <t>B07DR95HZP</t>
  </si>
  <si>
    <t>30.69%</t>
  </si>
  <si>
    <t>O'Keeffe's Cooling Relief Lip Repair Lip Balm for Dry, Cracked Lips, Stick,, (Pack of 1)</t>
  </si>
  <si>
    <t>B01HWIEILY</t>
  </si>
  <si>
    <t>30.50%</t>
  </si>
  <si>
    <t>Emetrol Non-Drowsy Nausea Relief - Liquid Nausea Medicine for Upset Stomach Relief - Pharmacist Recommended Nausea Relief - Cherry Flavor, 4fl oz- 2 Pack</t>
  </si>
  <si>
    <t>B07P5VTCMK</t>
  </si>
  <si>
    <t>30.31%</t>
  </si>
  <si>
    <t>Culturelle Kids Purely Probiotics Packets Daily Supplement, Helps Support Kids’ Immune and Digestive Systems, #1 Pediatrician Recommended Brand, Ages 1+, 50 Count</t>
  </si>
  <si>
    <t>B00Z2LOKS0</t>
  </si>
  <si>
    <t>30.27%</t>
  </si>
  <si>
    <t>Metabolic Maintenance Pediatric Multivitamin Powder - Children's Vitamins with Active B Complex, Sugar-Free (228 Grams, 60 Servings)</t>
  </si>
  <si>
    <t>B004FRWFN4</t>
  </si>
  <si>
    <t>30.00%</t>
  </si>
  <si>
    <t>NOVA Medical Products Folding Walker with 5” Front Wheels, Glide Skis and Mobility Bag, Portable and Great for Travel, Blue</t>
  </si>
  <si>
    <t>B06XBY1BQC</t>
  </si>
  <si>
    <t>29.95%</t>
  </si>
  <si>
    <t>GoodSense® Nighttime Cold &amp; Flu Multi-Symptom Relief Softgels</t>
  </si>
  <si>
    <t>Rite Aid Multi-Symptom Nighttime Cold &amp; Flu Relief, Softgels - 48 Count (New)</t>
  </si>
  <si>
    <t>B0BVNN4LQR</t>
  </si>
  <si>
    <t>29.91%</t>
  </si>
  <si>
    <t>5244711305368</t>
  </si>
  <si>
    <t>Colgate Max Fresh Liquid Toothpaste with Mini Breath Strips, Cool Mint, 4.6 oz (Packaging May Vary)</t>
  </si>
  <si>
    <t>B0014CV5MA</t>
  </si>
  <si>
    <t>29.66%</t>
  </si>
  <si>
    <t>Artnaturals Lice Prevention Shampoo (16 Fl Oz / 473ml) - with Rosemary &amp; Tea Tree - Shield for Adults &amp; Kids - Safe for Daily Use - Sulfate &amp; Paraben Free - All Hair Types</t>
  </si>
  <si>
    <t>B093X5JV49</t>
  </si>
  <si>
    <t>Mueller 64179 Adjustable Back Brace with Removable Pad Fits Waist Size Regular(28" - 50" waist), Black</t>
  </si>
  <si>
    <t>B01NGTO7Q8</t>
  </si>
  <si>
    <t>29.61%</t>
  </si>
  <si>
    <t>Oasis Mouth Moisturizing Spray, Mild Mint, 1 Fl oz (30 ml)</t>
  </si>
  <si>
    <t>B000MAPB7A</t>
  </si>
  <si>
    <t>29.48%</t>
  </si>
  <si>
    <t>Duracell DL2032 Lithium Coin Battery, 2032 Size, 3V, 230 mAh Capacity (Case of 6)</t>
  </si>
  <si>
    <t>B00BGIW5AS</t>
  </si>
  <si>
    <t>Nature's Bounty Hair, Skin &amp; Nails with Biotin, Strawberry Gummies Vitamin Supplement, Supports Hair, Skin, and Nail Health for Women, 2500 mcg, 140 Ct</t>
  </si>
  <si>
    <t>B07BHTJ4B9</t>
  </si>
  <si>
    <t>29.19%</t>
  </si>
  <si>
    <t>Oral-B Indicator Color Collection Toothbrushes, Soft, 2 Count</t>
  </si>
  <si>
    <t>B0787MWSLR</t>
  </si>
  <si>
    <t>29.13%</t>
  </si>
  <si>
    <t>Degree Shower Clean Dry Protection Antiperspirant Deodorant Stick, 1.6 oz , blue</t>
  </si>
  <si>
    <t>B0010AU3SI</t>
  </si>
  <si>
    <t>29.01%</t>
  </si>
  <si>
    <t>Florajen Probiotics for Kids, Daily Organic Gummies for Gut Health, Immune Support, and Digestive Supplement, Constipation and Bloating Relief, 50 Gummies</t>
  </si>
  <si>
    <t>B0BDQJ1C6V</t>
  </si>
  <si>
    <t>28.77%</t>
  </si>
  <si>
    <t>Arm &amp; Hammer Advance White Extreme Whitening Toothpaste Clean Mint - 6 Oz-</t>
  </si>
  <si>
    <t>B005NEJH8O</t>
  </si>
  <si>
    <t>28.73%</t>
  </si>
  <si>
    <t>Garden of Life Dr. Formulated Brain Health 100% Organic Coconut MCT Oil 32 fl oz Unflavored, 13g MCTs, Keto &amp; Paleo Diet Friendly Body &amp; Brain Fuel, Certified Non-GMO Vegan &amp; Gluten Free, Hexane-Free</t>
  </si>
  <si>
    <t>B076ZK9N3V</t>
  </si>
  <si>
    <t>28.37%</t>
  </si>
  <si>
    <t>Amazon Basic Care Loratadine Tablets 10 mg, Antihistamine, Medicine for 24 Hour Allergy Relief, 300 Count</t>
  </si>
  <si>
    <t>B074F18H5N</t>
  </si>
  <si>
    <t>28.25%</t>
  </si>
  <si>
    <t>Simply Saline™ Daily Care Instant Relief for Everyday Congestion</t>
  </si>
  <si>
    <t>ARM &amp; HAMMER Simply Saline Nasal Care Daily Mist 4.5oz – Instant Relief for Every Day Congestion – One 4.5oz Bottle</t>
  </si>
  <si>
    <t>B0013UU9WK</t>
  </si>
  <si>
    <t>5241080676504</t>
  </si>
  <si>
    <t>Gillette Double Edge Platinum Safety Razor Blades for Men, Pack of 50 Stainless Steel Refill Blades</t>
  </si>
  <si>
    <t>B081CWWYF9</t>
  </si>
  <si>
    <t>28.24%</t>
  </si>
  <si>
    <t>Band-Aid Brand Skin-Flex Adhesive Bandages for First Aid &amp; Wound Care of Minor Cuts, Scrapes &amp; Burns, Flexible Sterile Bandages Great for Fingers, Hands &amp; Knees, Assorted Sizes, 60 ct</t>
  </si>
  <si>
    <t>B07PSCG4ZR</t>
  </si>
  <si>
    <t>27.96%</t>
  </si>
  <si>
    <t>Duracell® 2025 3V Lithium Coin Battery</t>
  </si>
  <si>
    <t>Duracell 2025 3V Lithium Coin Battery - Long Lasting Battery - 2 Count 2-Pack</t>
  </si>
  <si>
    <t>B0031HS2EU</t>
  </si>
  <si>
    <t>6206459445400</t>
  </si>
  <si>
    <t>One Large Ring Nurse Doctor Medical Lister Bandage Scissors, Stainless Steel Premium Quality (HIGH Polish 4.5")</t>
  </si>
  <si>
    <t>B07MP9DC2X</t>
  </si>
  <si>
    <t>27.70%</t>
  </si>
  <si>
    <t>NOW® Bromelain 2400 GDU/g 500mg Capsules 60ct.</t>
  </si>
  <si>
    <t>Bromelain - 500mg - 2400 GDU - 120 Vegetable Capsules - Pure Pineapple Enzyme Extract - Supports Digestion and Nutrient Absorption - Great for Recovery and Joint Health</t>
  </si>
  <si>
    <t>B07FDBBZTQ</t>
  </si>
  <si>
    <t>27.57%</t>
  </si>
  <si>
    <t>6225668440216</t>
  </si>
  <si>
    <t>MUELLER Elastic Elbow Support, S, BLACK</t>
  </si>
  <si>
    <t>B00WZYOJQU</t>
  </si>
  <si>
    <t>27.48%</t>
  </si>
  <si>
    <t>Nix Two Sided Metal Comb</t>
  </si>
  <si>
    <t>B000GCVXUS</t>
  </si>
  <si>
    <t>27.44%</t>
  </si>
  <si>
    <t>Band-Aid Brand Cushion Care Medium Gauze Pads, 3x3 Inch (Pack of 25)</t>
  </si>
  <si>
    <t>B01M0L2L3F</t>
  </si>
  <si>
    <t>27.40%</t>
  </si>
  <si>
    <t>Band-Aid Brand Cushion Care Non-Stick Gauze Pads, Individually-Wrapped, Medium, 3 in x 3 in, 25 Count (Pack of 1)</t>
  </si>
  <si>
    <t>B00O30HOEI</t>
  </si>
  <si>
    <t>Mederma Advanced Scar Gel, Treats Old and New Scars, Reduces the Appearance of Scars from Acne, Stitches, Burns and More, 50 Grams</t>
  </si>
  <si>
    <t>B08SS9KJG3</t>
  </si>
  <si>
    <t>27.30%</t>
  </si>
  <si>
    <t>Gaia Herbs Black Elderberry Syrup - Daily Immune Support with Antioxidants, Organic Sambucus Elderberry Supplement, 5.4 Fl Oz</t>
  </si>
  <si>
    <t>B00F43LEKS</t>
  </si>
  <si>
    <t>27.29%</t>
  </si>
  <si>
    <t>GoodSense Omeprazole Delayed Release Tablets 20 mg, Stomach Acid Reducer for Frequent Heartburn Treatment,Brown 42 Count</t>
  </si>
  <si>
    <t>B00CM2FLWG</t>
  </si>
  <si>
    <t>Demineralization Cartridge for Ultrasonic Humidifiers, 20-Pack Demineralization Cartridges Filter Replacement, Prevents Hard Water Build-Up | Filters Mineral Deposits | Purifies Water</t>
  </si>
  <si>
    <t>B0B9MGQTXK</t>
  </si>
  <si>
    <t>27.01%</t>
  </si>
  <si>
    <t>[Enhance] 20-Pack Demineralization Cartridge for Humidifier Compatible with HoMedics Total-Comfort Ultrasonic Humidifier Demineralizer Tablets Filter Replacement for Water Decalcification, Remove Odor</t>
  </si>
  <si>
    <t>B09YTZBZ82</t>
  </si>
  <si>
    <t>Osteo BiFlex, Triple Strength Glucosamine Chondroitin with Vitamin D, Joint Supplement, 120 Count</t>
  </si>
  <si>
    <t>B077BCXWMR</t>
  </si>
  <si>
    <t>26.88%</t>
  </si>
  <si>
    <t>Aura Cacia Pure Lemon Eucalyptus Essential Oil | 0.5 fl. oz. | Corymbia citriodora</t>
  </si>
  <si>
    <t>B00020HNG2</t>
  </si>
  <si>
    <t>26.82%</t>
  </si>
  <si>
    <t>Nature's Way Buffered C-500 Mineral Ascorbate; 500 mg Vitamin C per Serving; 250 Capsules</t>
  </si>
  <si>
    <t>B00020HQGE</t>
  </si>
  <si>
    <t>Mederma Advanced Scar Gel, 1.76 oz (50 g)</t>
  </si>
  <si>
    <t>B014EWENAW</t>
  </si>
  <si>
    <t>26.72%</t>
  </si>
  <si>
    <t>Ice Pack (3-Piece Set) – Reusable Hot and Cold Therapy Gel Wrap Support Injury Recovery, Alleviate Joint and Muscle Pain – Rotator Cuff, Knees, Back &amp; More (3 Piece Set - Classic)</t>
  </si>
  <si>
    <t>B01IKS0ANK</t>
  </si>
  <si>
    <t>26.59%</t>
  </si>
  <si>
    <t>Nature Made® Men's Multi 50+ Tablets 90ct.</t>
  </si>
  <si>
    <t>Nature Made Men's Multivitamin 50+ Tablets with Vitamin D, 90 Count for Daily Nutritional Support</t>
  </si>
  <si>
    <t>B010RS069O</t>
  </si>
  <si>
    <t>12.53</t>
  </si>
  <si>
    <t>26.02%</t>
  </si>
  <si>
    <t>4896402636939</t>
  </si>
  <si>
    <t>RID® Lice Treatment Complete Kit</t>
  </si>
  <si>
    <t>Lice Treatment Kit by Clinics-Guaranteed to Cure Lice, Even Super Lice-Safe, Non-Toxic (Complete Head &amp; Removal with Shampoo, Metal Comb More)</t>
  </si>
  <si>
    <t>B073C2685B</t>
  </si>
  <si>
    <t>23.63</t>
  </si>
  <si>
    <t>25.98%</t>
  </si>
  <si>
    <t>6157014958232</t>
  </si>
  <si>
    <t>Mueller Sports Medicine Adjustable Max Knee Strap, Patella Tendon Support, for Men and Women, Black, One Size (Pack of 1)</t>
  </si>
  <si>
    <t>B002WS49FA</t>
  </si>
  <si>
    <t>25.67%</t>
  </si>
  <si>
    <t>Washinglee USB Data Cable for Bayer Diabetes Glucose Meter, for Contour, Contour TS, Contour Next EZ, Breeze 2 and Didget. Black, 3 FT.</t>
  </si>
  <si>
    <t>B07HRKK15G</t>
  </si>
  <si>
    <t>25.64%</t>
  </si>
  <si>
    <t>Infrared Forehead Thermometer</t>
  </si>
  <si>
    <t>Medical Grade Heavy Duty Touchless Infrared Forehead Thermometer, for Adults &amp; Baby Thermometer Gun, 1s Instant Results</t>
  </si>
  <si>
    <t>B087D98L7Z</t>
  </si>
  <si>
    <t>39.64</t>
  </si>
  <si>
    <t>25.50%</t>
  </si>
  <si>
    <t>6093152583832</t>
  </si>
  <si>
    <t>McKesson Male Urinal with Cover, Graduated Markings, Single Patient Use, 32 fl oz / 946 mL, 1 Count</t>
  </si>
  <si>
    <t>B08BG4D3JF</t>
  </si>
  <si>
    <t>3M Nexcare Tegaderm Waterproof Transparent Dressing Assorted Pack - 10 Dressings, Pack of 2</t>
  </si>
  <si>
    <t>B073SYY2WN</t>
  </si>
  <si>
    <t>Sun Bum Signature SPF 30 Sunscreen Lip Balm | Vegan and Cruelty Free Broad Spectrum Water Resistant Chapstick with UVA/UVB Protection | .15 oz , Clear</t>
  </si>
  <si>
    <t>B07DFSSN6T</t>
  </si>
  <si>
    <t>eos 100% Natural &amp; Organic Lip Balm Sticks- Sweet Mint, All-Day Moisture, Dermatologist Recommended for Sensitive Skin, 0.14 oz, 2-Pack</t>
  </si>
  <si>
    <t>B01MAV165F</t>
  </si>
  <si>
    <t>7 Day Weekly Pill AM PM Organizer, ShysTech Large Pill Case Pill Box for Pills/Vitamin/Supplements/Medication</t>
  </si>
  <si>
    <t>B097TMCRBD</t>
  </si>
  <si>
    <t>25.04%</t>
  </si>
  <si>
    <t>Hawaiian Tropic Weightless Hydration Clear Spray Sunscreen SPF 15, 6oz | Hawaiian Tropic Sunscreen SPF 15, Sunblock, Oxybenzone Free Sunscreen, Spray On Sunscreen Pack SPF 15, 6oz each Twin Pack</t>
  </si>
  <si>
    <t>B08Q2QX7PJ</t>
  </si>
  <si>
    <t>24.70%</t>
  </si>
  <si>
    <t>Aveeno Maximum Strength 1% Hydrocortisone Anti-Itch Cream with Pure Oat Essence, Triple Oat Complex, Aloe &amp; Vitamin E, for Itch, Rash &amp; Redness Relief, 1 oz Pack of 2</t>
  </si>
  <si>
    <t>B004XMI5O4</t>
  </si>
  <si>
    <t>24.63%</t>
  </si>
  <si>
    <t>Biofreeze Pain Reliever Gel for Muscle, Joint, Arthritis, &amp; Back Pain, Cooling Topical Analgesic, NSAID Free Pain Relief, 8 oz Bottle with Pump, Original Green Formula, 4% Menthol</t>
  </si>
  <si>
    <t>B01LZDKOFG</t>
  </si>
  <si>
    <t>24.55%</t>
  </si>
  <si>
    <t>Nordic Naturals Pet Cod Liver Oil, Unflavored - 8 oz - 1104 mg Omega-3 Per Teaspoon - Fish Oil for Dogs with EPA &amp; DHA - Promotes Skin, Coat, Joint, &amp; Immune Health</t>
  </si>
  <si>
    <t>B000X2F9P6</t>
  </si>
  <si>
    <t>24.54%</t>
  </si>
  <si>
    <t>Apex Finger Splint - Medium</t>
  </si>
  <si>
    <t>Apex Finger Splint, Large (Pack of 4)</t>
  </si>
  <si>
    <t>B000EGPM1C</t>
  </si>
  <si>
    <t>6197975318680</t>
  </si>
  <si>
    <t>Curad Flex Fabric Spot Adhesive Bandages, Bandage Diameter is 7/8" (Box of 100)</t>
  </si>
  <si>
    <t>B00OMFXEGG</t>
  </si>
  <si>
    <t>24.50%</t>
  </si>
  <si>
    <t>Quicksilver Scientific® Liposomal Glutathione 1.7 oz</t>
  </si>
  <si>
    <t>Quicksilver Scientific Liposomal Glutathione - Superior Absorption Oral Glutathione Supplement for Detox &amp; Immune Support - 100 mg of Liquid Glutathione, Gluten Free &amp; Non-GMO (1.7 fl oz)</t>
  </si>
  <si>
    <t>B00NGY73DY</t>
  </si>
  <si>
    <t>24.33%</t>
  </si>
  <si>
    <t>4810711990411</t>
  </si>
  <si>
    <t>Pure Encapsulations Buffered Ascorbic Acid Capsules | Vitamin C for Sensitive Individuals* | 90 Capsules</t>
  </si>
  <si>
    <t>B07FYVWLXC</t>
  </si>
  <si>
    <t>24.30%</t>
  </si>
  <si>
    <t>Hibiclens Antiseptic Antimicrobial Skin Cleanser 4oz Foam Pump (2 pack)</t>
  </si>
  <si>
    <t>B07KB5MF97</t>
  </si>
  <si>
    <t>24.13%</t>
  </si>
  <si>
    <t>Personna Twin Blade Plus Disposable Razors with Lubricating Strip 5 Pack(s)</t>
  </si>
  <si>
    <t>B0013AJLTM</t>
  </si>
  <si>
    <t>24.09%</t>
  </si>
  <si>
    <t>Fixodent Complete Original Denture Adhesive Cream 1.4 Oz, 1.400 Fluid Ounce</t>
  </si>
  <si>
    <t>B0095C0D7O</t>
  </si>
  <si>
    <t>Nix Ultra Superlice Treatment, All-in-One Shampoo, 4 Fl Oz &amp; Lice Removal Comb</t>
  </si>
  <si>
    <t>B07NLTJ7N8</t>
  </si>
  <si>
    <t>23.27%</t>
  </si>
  <si>
    <t>Boudreaux's Butt Paste Diaper Rash Ointment | Original Formula | 2-Ounces Tube | 1-Unit</t>
  </si>
  <si>
    <t>B004JCKJWY</t>
  </si>
  <si>
    <t>23.11%</t>
  </si>
  <si>
    <t>Refresh® Celluvisc® Preservative Free Lubricant Eye Gel</t>
  </si>
  <si>
    <t>Allergan Celluvisc Preservative Free Lubricant Eye Gel</t>
  </si>
  <si>
    <t>B00HHXJV9E</t>
  </si>
  <si>
    <t>15.93</t>
  </si>
  <si>
    <t>23.10%</t>
  </si>
  <si>
    <t>6171306885272</t>
  </si>
  <si>
    <t>Aveeno® Eczema Therapy Daily Moisturizing Cream 7.3oz</t>
  </si>
  <si>
    <t>Aveeno Eczema Therapy Daily Moisturizing Cream for Sensitive Skin, Soothing Lotion with Colloidal Oatmeal for Dry, Itchy, and Irritated Skin, Steroid-Free and Fragrance-Free, 12 fl. oz</t>
  </si>
  <si>
    <t>B00YPBI980</t>
  </si>
  <si>
    <t>23.08%</t>
  </si>
  <si>
    <t>6160917037208</t>
  </si>
  <si>
    <t>Aveeno Eczema Therapy Daily Moisturizing Body Cream for Sensitive Skin, Soothing Eczema Relief Cream, Colloidal Oatmeal &amp; Ceramide for Dry &amp; Itchy Skin, Steroid- &amp; Fragrance-Free, 12 oz</t>
  </si>
  <si>
    <t>B00CWY8V9O</t>
  </si>
  <si>
    <t>Replesta 50,000 IU Vitamin D3 Cholecalciferol, for Vitamin D Deficiency, Once-Weekly Chewable Wafer, Non-GMO, Natural Orange Flavor, 8 Count (Pack of 1)</t>
  </si>
  <si>
    <t>B07CTXCTQK</t>
  </si>
  <si>
    <t>23.04%</t>
  </si>
  <si>
    <t>Oragel™ Fluoride-Free Berry Flavor Training Toothpaste 1.5oz.</t>
  </si>
  <si>
    <t>Orajel Kids Paw Patrol Fluoride-Free Training Toothpaste, Fluoride-Free Toothpaste, 1.5oz Tube with Orajel Kids Paw Patrol Anti-Cavity Fluoride Toothpaste, Natural Fruity Bubble Flavor, 4.2oz Tube</t>
  </si>
  <si>
    <t>B09NR315ST</t>
  </si>
  <si>
    <t>4.43</t>
  </si>
  <si>
    <t>23.02%</t>
  </si>
  <si>
    <t>6253987496088</t>
  </si>
  <si>
    <t>1 Pair Folding Aluminum Underarm Crutches for Adults and Teenager, 8 Adjustable Height for 4'7" to 6'7", 300 LBS Capacity Lightweight Adjustable Crutches with Underarm Pads, Great for Travel or Work</t>
  </si>
  <si>
    <t>B0B6FM21DV</t>
  </si>
  <si>
    <t>22.97%</t>
  </si>
  <si>
    <t>Energizer 392/384 Silver Oxide Battery: Card of 5</t>
  </si>
  <si>
    <t>B005F5168K</t>
  </si>
  <si>
    <t>22.60%</t>
  </si>
  <si>
    <t>CONTAC Cold + Flu Maximum Strength Acetaminophen Daytime Multi-Symptom Relief for Nasal Congestion, Sinus Pressure, Sore Throat, Head &amp; Body Aches, Fever, Non-Drowsy, 24 Caplets</t>
  </si>
  <si>
    <t>B008MX2FYG</t>
  </si>
  <si>
    <t>22.53%</t>
  </si>
  <si>
    <t>Metabolic Maintenance Vitamin C Powder - Pure Ascorbic Acid Antioxidant + Immune Support (1 Pound, 454 Servings)</t>
  </si>
  <si>
    <t>B000NBWNJC</t>
  </si>
  <si>
    <t>22.50%</t>
  </si>
  <si>
    <t>Innate® Response B-Complex</t>
  </si>
  <si>
    <t>INNATE Response Formulas, B Complex, B Vitamin Supplement, Non-GMO Project Verified, Vegan, 180 Tablets</t>
  </si>
  <si>
    <t>B001LCPMMW</t>
  </si>
  <si>
    <t>40.96</t>
  </si>
  <si>
    <t>22.00%</t>
  </si>
  <si>
    <t>4861623828619</t>
  </si>
  <si>
    <t>PreserVision AREDS 2 Eye Vitamin &amp; Mineral Supplement, Contains Lutein, Vitamin C, Zeaxanthin, Zinc &amp; Vitamin E, 120 Softgels (Packaging May Vary)</t>
  </si>
  <si>
    <t>B00DJUK8HS</t>
  </si>
  <si>
    <t>21.38%</t>
  </si>
  <si>
    <t>Philips Sonicare DailyClean 2100 rechargeable Electric Toothbrush (HX321117), Mid Blue, 1 Count</t>
  </si>
  <si>
    <t>B019K7DPG4</t>
  </si>
  <si>
    <t>21.37%</t>
  </si>
  <si>
    <t>Sudafed PE Sinus Congestion Relief Tablets, Maximum Strength, Non-Drowsy, 10 mg Phenylephrine HCI Decongestant, Sinus and Nasal Congestion Relief; 36 ct; Pack of 1</t>
  </si>
  <si>
    <t>B018GX9HII</t>
  </si>
  <si>
    <t>21.31%</t>
  </si>
  <si>
    <t>Rising Pharma Allergy Relief - Loratadine Tablets 10mg - Antihistamine, Allergy Relief Product - 300 Tablets</t>
  </si>
  <si>
    <t>B09XJ7GTW4</t>
  </si>
  <si>
    <t>21.25%</t>
  </si>
  <si>
    <t>Alka-Seltzer Heartburn + Gas ReliefChews - Relief of Heartburn, Gas, Acid Indigestion, and Sour Stomach - Tropical Punch Flavors - 28 Count</t>
  </si>
  <si>
    <t>B09X28P3B8</t>
  </si>
  <si>
    <t>21.00%</t>
  </si>
  <si>
    <t>Osteo Bi-Flex Joint Health Ease Mini Tabs a Day Advanced Triple Action UC-II Collagen Formula 70 Count (Pack of 1)</t>
  </si>
  <si>
    <t>B01BMTEJFO</t>
  </si>
  <si>
    <t>20.87%</t>
  </si>
  <si>
    <t>Natural Vitality Calm, Magnesium Citrate Supplement, Anti-Stress Drink Mix Powder - Gluten Free, Vegan, &amp; Non-GMO, Raspberry Lemon, 16 oz</t>
  </si>
  <si>
    <t>B00BPUY3W0</t>
  </si>
  <si>
    <t>GoodSense® Dairy Digestive Fast Acting Caplets 60ct.</t>
  </si>
  <si>
    <t>Rite Aid Fast Acting Dairy Relief Lactase Enzyme - 125 Caplets |Lactose Intolerance Pills | Digestive Enzyme Supplements</t>
  </si>
  <si>
    <t>B0030HSCUU</t>
  </si>
  <si>
    <t>20.82%</t>
  </si>
  <si>
    <t>6996744831128</t>
  </si>
  <si>
    <t>O'Keeffe's Skin Repair Body Lotion: 7 oz. Tube (Yellow)</t>
  </si>
  <si>
    <t>B075WYLQF7</t>
  </si>
  <si>
    <t>20.79%</t>
  </si>
  <si>
    <t>Cetaphil® SPF 50+ Daily Facial Moisturizer 1.7fl. oz.</t>
  </si>
  <si>
    <t>Cetaphil Daily Facial Moisturizer SPF 50, 1.7 Fl Oz (Pack of 2), Gentle Facial Moisturizer For Dry to Normal Skin Types, No Added Fragrance, Dermatologist Recommended (Packaging May Vary)</t>
  </si>
  <si>
    <t>B001GIOW3G</t>
  </si>
  <si>
    <t>22.39</t>
  </si>
  <si>
    <t>20.50%</t>
  </si>
  <si>
    <t>6160816242840</t>
  </si>
  <si>
    <t>Duracell Coppertop AAA Batteries with Power Boost Ingredients, 10 Count Pack Triple A Battery with Long-lasting Power, Alkaline AAA Battery for Household and Office Devices</t>
  </si>
  <si>
    <t>B000HI6CEI</t>
  </si>
  <si>
    <t>20.31%</t>
  </si>
  <si>
    <t>Mueller® Advanced Adjustable Ankle Stabilizer One Size</t>
  </si>
  <si>
    <t>Mueller Adjustable Ankle Stabilizer, Black, One Size Fits Most (Pack of 2)</t>
  </si>
  <si>
    <t>B09LKN3G3B</t>
  </si>
  <si>
    <t>16.59</t>
  </si>
  <si>
    <t>6196414185624</t>
  </si>
  <si>
    <t>Contac® Cold + Flu Maximum Strength Caplets</t>
  </si>
  <si>
    <t>7.73</t>
  </si>
  <si>
    <t>5241794232472</t>
  </si>
  <si>
    <t>16inch Tall Hinged Knee Brace with Full Support with 4 Compression Straps,2 Metal Stabilizers,Breathe Air Spacer Drytex Wraparound for Knee Pain Relief,ACL,Arthritis,Meniscus(S fit Upper 17-20"/Lower 11.5-14.5")</t>
  </si>
  <si>
    <t>B09FF8TT3W</t>
  </si>
  <si>
    <t>20.23%</t>
  </si>
  <si>
    <t>Resinol Medicated Ointment For Itch Relief And Protection Of Skin Rashes and Irritations, 3 Ounce Jar (Pack of 1)</t>
  </si>
  <si>
    <t>B000LD6SV6</t>
  </si>
  <si>
    <t>20.09%</t>
  </si>
  <si>
    <t>BAND-AID® Brand Flexible Fabric Bandages All One Size Travel Pack, 8 Count</t>
  </si>
  <si>
    <t>B071HG63VR</t>
  </si>
  <si>
    <t>20.08%</t>
  </si>
  <si>
    <t>Metamucil Premium Blend Sugar Free Fiber, 114 Servings, Psyllium Husk Fiber Powder Supplement, with Stevia, Natural Orange Flavor 23.1 oz</t>
  </si>
  <si>
    <t>B08KKYYSB7</t>
  </si>
  <si>
    <t>Mederma OzmQMG Advanced Scar Gel Reduces the Appearance of Old &amp; New Scars, 0.7 oz (2 Pack)</t>
  </si>
  <si>
    <t>B077C9GSZK</t>
  </si>
  <si>
    <t>Optase HYLO Night Dry Eye Ointment - Nighttime Eye Gel for Dry Eyes - Preservative Free Eye Ointment for Dry Eyes at Night - Soothing P.M. Lubricant for Dry Eye, Blepharitis, and Stye Relief - .18 oz</t>
  </si>
  <si>
    <t>B098P9XLRZ</t>
  </si>
  <si>
    <t>19.96%</t>
  </si>
  <si>
    <t>Globe® Ichthammol Ointment Advanced Drawing Salve 1oz</t>
  </si>
  <si>
    <t>Quality Choice Ichthammol Ointment 20%, Advanced Drawing Salve, Soothing Skin Relief for Plant Irritations, Splinter, Slivers, Acne, Boils, Ingrown Hairs &amp; Nails,Bug Bites &amp; Stings, 1oz Tube</t>
  </si>
  <si>
    <t>B09RQ1ZTHR</t>
  </si>
  <si>
    <t>8.33</t>
  </si>
  <si>
    <t>6152658714776</t>
  </si>
  <si>
    <t>Q-tips Cotton Swabs For Hygiene and Beauty Care Original Cotton Swab Made With 100% Cotton 625 Count</t>
  </si>
  <si>
    <t>B01AXQP6AE</t>
  </si>
  <si>
    <t>19.84%</t>
  </si>
  <si>
    <t>Duracell – 384/392 1.5V Silver Oxide Button Battery – long-lasting battery – 1 count</t>
  </si>
  <si>
    <t>B00006JPH8</t>
  </si>
  <si>
    <t>19.83%</t>
  </si>
  <si>
    <t>Nasacort Allergy 24HR Nasal Spray for Adults, Non-Drowsy &amp; Alcohol-Free, 120 Sprays, 0.57 fl. oz.</t>
  </si>
  <si>
    <t>B00WK8FSO8</t>
  </si>
  <si>
    <t>HealthCareAisle Allergy Relief - Fexofenadine Hydrochloride Tablets USP, 180 mg – 180 Tablets – Allergy Medication, Non-Drowsy 24-Hour Allergy Relief</t>
  </si>
  <si>
    <t>B07HD67Q1G</t>
  </si>
  <si>
    <t>19.63%</t>
  </si>
  <si>
    <t>Integrative Therapeutics Berberine Complex Capsules 90ct.</t>
  </si>
  <si>
    <t>Integrative Therapeutics - Berberine Complex - Berberine Supplement with Oregon Grape and Goldenseal Root Extract - Vegan Supplement - 90 Capsules</t>
  </si>
  <si>
    <t>B003FIMNJK</t>
  </si>
  <si>
    <t>30.15</t>
  </si>
  <si>
    <t>19.40%</t>
  </si>
  <si>
    <t>4363530272907</t>
  </si>
  <si>
    <t>Duracell® 377 Silver Oxide Button Battery</t>
  </si>
  <si>
    <t>Duracell 376/377 Silver Oxide Button Battery, 2 Count Pack, 376/377 1.5 Volt Battery, Long-Lasting for Watches, Medical Devices, Calculators, and More</t>
  </si>
  <si>
    <t>B07GN8KDWJ</t>
  </si>
  <si>
    <t>6.19</t>
  </si>
  <si>
    <t>19.39%</t>
  </si>
  <si>
    <t>6206466293912</t>
  </si>
  <si>
    <t>Taro Children's Ibuprofen Oral Suspension 100 mg per 5 mL, Pain Reliever and Fever Reducer (NSAID), Berry Flavor</t>
  </si>
  <si>
    <t>B086G7MPTK</t>
  </si>
  <si>
    <t>19.08%</t>
  </si>
  <si>
    <t>Listerine Total Care Alcohol-Free Anticavity Fluoride Mouthwash, 6 Benefit Oral Rinse to Help Kill 99% of Germs That Cause Bad Breath, Strengthen Enamel, Fresh Mint Flavor, 16.9 Fl Oz (Pack of 1),</t>
  </si>
  <si>
    <t>B0054J2G54</t>
  </si>
  <si>
    <t>18.93%</t>
  </si>
  <si>
    <t>Sun Bum Original SPF 30 Glow Sunscreen Face Lotion | Vegan and Hawaii 104 Reef Act Compliant (Octinoxate &amp; Oxybenzone Free) Broad Spectrum Moisturizing UVA/UVB Sunscreen Lotion with Vitamin E | 2 oz</t>
  </si>
  <si>
    <t>B09K3ZJ5H5</t>
  </si>
  <si>
    <t>18.92%</t>
  </si>
  <si>
    <t>Sun Bum Original SPF 30 Sunscreen Oil | Vegan and Hawaii 104 Reef Act Compliant (Octinoxate &amp; Oxybenzone Free) Broad Spectrum Moisturizing UVA/UVB Glowing Sunscreen Lotion with Vitamin E | 5 oz</t>
  </si>
  <si>
    <t>B09JHBVT53</t>
  </si>
  <si>
    <t>MAJOR Senna Tablets 8.6mg, 100 Count Per Bottle</t>
  </si>
  <si>
    <t>B016LHAO9W</t>
  </si>
  <si>
    <t>Integrative Therapeutics® Vitex Extract Capsules</t>
  </si>
  <si>
    <t>Integrative Therapeutics Vitex Extract - Supplement for Women - PMS Support* - Gluten Free - Dairy Free - Vegan - 60 Capsules</t>
  </si>
  <si>
    <t>B0011003RS</t>
  </si>
  <si>
    <t>22.73</t>
  </si>
  <si>
    <t>18.79%</t>
  </si>
  <si>
    <t>4809950101643</t>
  </si>
  <si>
    <t>GoodSense® Miconazole 3 Nitrate Vaginal Suppositories &amp; Miconazole Nitrate Cream</t>
  </si>
  <si>
    <t>GoodSense Miconazole Nitrate Vaginal Suppositories (200 mg) and Miconazole Nitrate Cream (2%)</t>
  </si>
  <si>
    <t>B000GCKBMO</t>
  </si>
  <si>
    <t>18.70%</t>
  </si>
  <si>
    <t>6177669087384</t>
  </si>
  <si>
    <t>EZY DOSE Weekly (7-Day) Pill Organizer and Planner, Countoured Bottom for Easy Pill Removal, Large, Blue/Purple Am/Pm,1 Count (Pack of 1)</t>
  </si>
  <si>
    <t>B0096SRB68</t>
  </si>
  <si>
    <t>18.60%</t>
  </si>
  <si>
    <t>Medline Aluminum Forearm Crutches, Adult, Cuff Size 4", Pack of 2</t>
  </si>
  <si>
    <t>B00083DFOW</t>
  </si>
  <si>
    <t>18.52%</t>
  </si>
  <si>
    <t>Desitin Maximum Strength Baby Diaper Rash Cream with 40% Zinc Oxide for Treatment, Relief &amp; Prevention, Hypoallergenic, Phthalate- &amp; Paraben-Free Paste, 4.8 oz</t>
  </si>
  <si>
    <t>B00ZQXT4EY</t>
  </si>
  <si>
    <t>18.42%</t>
  </si>
  <si>
    <t>O'Keeffe's Working Hands Hand Cream, 3.4 oz., Jar</t>
  </si>
  <si>
    <t>B00121UVU0</t>
  </si>
  <si>
    <t>18.39%</t>
  </si>
  <si>
    <t>Cara 72 Heating Pad with Select Heat, Moist/Dry Standard</t>
  </si>
  <si>
    <t>B000FKJN7G</t>
  </si>
  <si>
    <t>18.37%</t>
  </si>
  <si>
    <t>Alka-Seltzer Extra Strength Effervescent Tablets, 24 Count</t>
  </si>
  <si>
    <t>B01MPYDZ13</t>
  </si>
  <si>
    <t>18.20%</t>
  </si>
  <si>
    <t>Gaia® Herbs Black Elderberry NightTime Syrup 3fl. oz.</t>
  </si>
  <si>
    <t>Gaia Herbs Black Elderberry, Nighttime Syrup-Immune Support Supplement-with Organic Black Elderberries, California Poppy &amp; Lemon Balm for Restful Sleep &amp; Immune Defense-5.4 Fl Oz (32-Day Supply)</t>
  </si>
  <si>
    <t>B0036THLOU</t>
  </si>
  <si>
    <t>18.19%</t>
  </si>
  <si>
    <t>4867969155211</t>
  </si>
  <si>
    <t>Mucinex Fast-Max Max Strength, Cold, Flu, Sore Throat, 16 Liquid Gels (Pack of 2)</t>
  </si>
  <si>
    <t>B073V2WM35</t>
  </si>
  <si>
    <t>18.15%</t>
  </si>
  <si>
    <t>B010CVM2ZW</t>
  </si>
  <si>
    <t>17.94%</t>
  </si>
  <si>
    <t>Alka-Seltzer Original Effervescent Tablets, 36 Count</t>
  </si>
  <si>
    <t>B01M8O58NW</t>
  </si>
  <si>
    <t>17.79%</t>
  </si>
  <si>
    <t>Aspercreme Max Strength Lidocaine Foot Pain Relief Cream, 4 oz., Odor Free Pain Cream</t>
  </si>
  <si>
    <t>B07BQ6LSJL</t>
  </si>
  <si>
    <t>17.55%</t>
  </si>
  <si>
    <t>Mueller® Elastic Knee Support</t>
  </si>
  <si>
    <t>Mueller 6404 Elastic Knee Support (XL)</t>
  </si>
  <si>
    <t>B006561GCO</t>
  </si>
  <si>
    <t>17.02%</t>
  </si>
  <si>
    <t>6196358742168</t>
  </si>
  <si>
    <t>Mueller 6403 Elastic Knee Support (LG)</t>
  </si>
  <si>
    <t>B000P635F6</t>
  </si>
  <si>
    <t>ARM &amp; HAMMER Simply Saline Nasal Care Daily Mist 1.6oz – Instant Relief for Every Day Congestion – One 1.6oz Bottle</t>
  </si>
  <si>
    <t>B000VLD8P2</t>
  </si>
  <si>
    <t>17.01%</t>
  </si>
  <si>
    <t>Ricola Big Bag Sugar Free Cough Drops Drops 2245, Lemon, lemon mint, 45 Count, pack of 1</t>
  </si>
  <si>
    <t>B015MKNOH8</t>
  </si>
  <si>
    <t>16.97%</t>
  </si>
  <si>
    <t>Boudreaux's Butt Paste for Sensitive Skin Diaper Rash Cream, Ointment for Baby, 4 oz Tube</t>
  </si>
  <si>
    <t>B07YNYR199</t>
  </si>
  <si>
    <t>16.95%</t>
  </si>
  <si>
    <t>Lice Shield Shampoo &amp; Conditioner in 1, Repels Lice and Super Lice, 10 fl oz</t>
  </si>
  <si>
    <t>B003GTUXTU</t>
  </si>
  <si>
    <t>16.87%</t>
  </si>
  <si>
    <t>Ricola Original Herb Cough Drops, 45 Count</t>
  </si>
  <si>
    <t>B012FAD8QU</t>
  </si>
  <si>
    <t>16.71%</t>
  </si>
  <si>
    <t>Ricola Original Natural Herb Cough Suppressant Throat Drops, 45 Drops, Fights Coughs Naturally, Soothes Throats, Naturally Soothing Relief (Count Size May Vary)</t>
  </si>
  <si>
    <t>B015MKN054</t>
  </si>
  <si>
    <t>Nature Made Potassium Gluconate 550mg, 100 Tablets (Pack of 2)</t>
  </si>
  <si>
    <t>B0BPL5QKLS</t>
  </si>
  <si>
    <t>16.57%</t>
  </si>
  <si>
    <t>Colgate Max Fresh Toothpaste, Advanced Whitening Toothpaste with Mini Breath Strips, Clean Mint Toothpaste for Bad Breath, Helps Fight Cavities, Whitens Teeth, and Freshens Breath, 6.3 Oz Tube</t>
  </si>
  <si>
    <t>B0C1TPGZ3S</t>
  </si>
  <si>
    <t>16.43%</t>
  </si>
  <si>
    <t>CONTAC Cold + Flu Maximum Strength Acetaminophen Day &amp; Night Multi-Symptom Relief Nasal Congestion, Sinus Pressure, Sore Throat, Body Aches, Runny Nose, Sneezing, Combo, 28 Caplets</t>
  </si>
  <si>
    <t>B0096DWI1G</t>
  </si>
  <si>
    <t>16.30%</t>
  </si>
  <si>
    <t>Dulcolax® Liquid Laxative Mint Flavor 12fl. oz.</t>
  </si>
  <si>
    <t>Dulcolax Liquid Laxative, Stimulant Free Laxative for Comfortable Relief, Mint Flavor, 12 oz.</t>
  </si>
  <si>
    <t>B07QJ75MH9</t>
  </si>
  <si>
    <t>16.13%</t>
  </si>
  <si>
    <t>6222638284952</t>
  </si>
  <si>
    <t>21St Century Acidophilus Probiotic Blend 150 Capsules</t>
  </si>
  <si>
    <t>B00EBGQUBC</t>
  </si>
  <si>
    <t>16.07%</t>
  </si>
  <si>
    <t>15.85%</t>
  </si>
  <si>
    <t>Duracell 301/386 Silver Oxide Button Battery, 1 Count Pack, 301/386 Battery, Long-Lasting for Watches, Medical Devices, Toys, and More</t>
  </si>
  <si>
    <t>B07GN777K9</t>
  </si>
  <si>
    <t>15.77%</t>
  </si>
  <si>
    <t>Bio-Tech - D3-50 50,000 IU Vegetable Capsules</t>
  </si>
  <si>
    <t>B01LZEMU2I</t>
  </si>
  <si>
    <t>15.75%</t>
  </si>
  <si>
    <t>Mederma Advanced Scar Gel - 1x Daily - Reduces The Appearance of Old &amp; New Scars - #1 Doctor &amp; Pharmacist Recommended Brand for Scars - 1.76oz.</t>
  </si>
  <si>
    <t>B000052YOB</t>
  </si>
  <si>
    <t>15.61%</t>
  </si>
  <si>
    <t>Nexcare 3M Orthoptic Eye Patch Opticlude Regular Adhesive #1539</t>
  </si>
  <si>
    <t>B00ZQDJNT0</t>
  </si>
  <si>
    <t>15.29%</t>
  </si>
  <si>
    <t>Cepacol® Extra Strength Sore Throat Lozenges</t>
  </si>
  <si>
    <t>Cepacol Sore Throat Lozenges with Pain Numbing Relief, Extra Strength, Honey-Lemon, 16 lozenges</t>
  </si>
  <si>
    <t>B000QJCY1S</t>
  </si>
  <si>
    <t>15.25%</t>
  </si>
  <si>
    <t>5240989286552</t>
  </si>
  <si>
    <t>15.22%</t>
  </si>
  <si>
    <t>Advil Pain Reliever and Fever Reducer, Pain Relief Medicine with Ibuprofen 200mg for Headache, Backache, Menstrual Pain and Joint Pain Relief - 50 Coated Tablets</t>
  </si>
  <si>
    <t>B000QYI1P6</t>
  </si>
  <si>
    <t>15.11%</t>
  </si>
  <si>
    <t>Sun Bum Original SPF 50 Sunscreen Lotion | Vegan and Hawaii 104 Reef Act Compliant (Octinoxate &amp; Oxybenzone Free) Broad Spectrum Moisturizing UVA/UVB Sunscreen with Vitamin E | 3 oz</t>
  </si>
  <si>
    <t>B00JE3E028</t>
  </si>
  <si>
    <t>15.02%</t>
  </si>
  <si>
    <t>Ibuprofen Mini Liquid-Gels, 200 mg, Liquid-Filled Capsules, Pain Reliever and Fever Reducer, 80 Count</t>
  </si>
  <si>
    <t>B08JLFTR1G</t>
  </si>
  <si>
    <t>14.78%</t>
  </si>
  <si>
    <t>Nexcare Flexible Clear Tape 1 Inch 10 Yards</t>
  </si>
  <si>
    <t>B002ZRSUHQ</t>
  </si>
  <si>
    <t>14.75%</t>
  </si>
  <si>
    <t>HALLS Relief Honey Lemon Sugar Free Cough Drops, 25 Drops</t>
  </si>
  <si>
    <t>B000R4HSIG</t>
  </si>
  <si>
    <t>14.56%</t>
  </si>
  <si>
    <t>Metamucil Fiber, 4-in-1 Psyllium Fiber Supplement Powder with Real Sugar, Orange Smooth Flavored Drink, 72 Servings (Packaging May Vary), Coarse Texture, 1.9 Pound (Pack of 1)</t>
  </si>
  <si>
    <t>B000052Y5U</t>
  </si>
  <si>
    <t>14.50%</t>
  </si>
  <si>
    <t>Sona Omega-3 Fish Oil</t>
  </si>
  <si>
    <t>Oceanblue Omega-3 2100 – 120 ct – Triple Strength Burpless Fish Oil Supplement with High-Potency EPA, DHA, DPA – Wild-Caught – Orange Flavor (60 Servings)</t>
  </si>
  <si>
    <t>B003SYB4J6</t>
  </si>
  <si>
    <t>14.08%</t>
  </si>
  <si>
    <t>8086612148444</t>
  </si>
  <si>
    <t>Desitin Daily Defense Baby Diaper Rash Cream with Zinc Oxide to Treat, Relieve &amp; Prevent diaper rash, Hypoallergenic, Dye-, Phthalate- &amp; Paraben-Free, 4.8 oz</t>
  </si>
  <si>
    <t>B07H7GBJC4</t>
  </si>
  <si>
    <t>14.02%</t>
  </si>
  <si>
    <t>USDA Organic 3-in-1 Prebiotic Fiber - Vegan Capsules for Gut, Digestive Health. Raw Whole Food Plant Based Prebiotics Pills Supplement with Inulin (Jerusalem Artichoke), Acacia Fibers, SunFiber</t>
  </si>
  <si>
    <t>B095J8N6FK</t>
  </si>
  <si>
    <t>13.92%</t>
  </si>
  <si>
    <t>Integrative Therapeutics - CoQ10 (100mg) Coenzyme Q10 (Ubiquinone) Supplement - Supports Cardiovascular &amp; Brain Health* - 60 Softgels</t>
  </si>
  <si>
    <t>B002ZD084S</t>
  </si>
  <si>
    <t>13.76%</t>
  </si>
  <si>
    <t>Mueller Adjustable Ankle Support, Black, One Size</t>
  </si>
  <si>
    <t>B001B1CON8</t>
  </si>
  <si>
    <t>13.46%</t>
  </si>
  <si>
    <t>Old Spice Old Spice High Endurance Deodorant Long Lasting Stick Pure Sport, Pure Sport 2.25 oz</t>
  </si>
  <si>
    <t>B0094EDITS</t>
  </si>
  <si>
    <t>13.36%</t>
  </si>
  <si>
    <t>High Endurance Deodorant Pure Sport by Old Spice for Men - 2.25 oz Deodorant Stick</t>
  </si>
  <si>
    <t>B0033A2TS0</t>
  </si>
  <si>
    <t>Prevagen Improves Memory - Professional Strength 40mg, 30 Capsules |1 Pack| with Apoaequorin &amp; Vitamin D with Attractive and Stackable Prevagen Storage Box | Brain Supplement for Better Brain Health</t>
  </si>
  <si>
    <t>B0BN6V8V3R</t>
  </si>
  <si>
    <t>13.29%</t>
  </si>
  <si>
    <t>Prevagen Improves Memory - Professional Strength 40mg, 30 Capsules with Apoaequorin &amp; Vitamin D &amp; Prevagen 7-Day Pill Minder | Brain Supplement for Better Brain Health, Supports Healthy Brain Function and Clarity|Memory Supplement</t>
  </si>
  <si>
    <t>B0058HX4FI</t>
  </si>
  <si>
    <t>Flonase Sensimist Allergy Relief Nasal Spray, 60 Metered Spays, 0.34 fl oz (Pack of 2)</t>
  </si>
  <si>
    <t>B06XBXS6VR</t>
  </si>
  <si>
    <t>13.23%</t>
  </si>
  <si>
    <t>Nature Made Hair Skin and Nails with Biotin 2500 mcg, Dietary Supplement for Healthy Hair, Skin &amp; Nails Support, 150 Gummies, 75 Day Supply</t>
  </si>
  <si>
    <t>B00O2VQJNK</t>
  </si>
  <si>
    <t>13.07%</t>
  </si>
  <si>
    <t>Integrative Therapeutics® Rhizinate DGL 100ct Chewable Tablets</t>
  </si>
  <si>
    <t>Integrative Therapeutics Rhizinate - Deglycyrrhizinated Licorice (DGL) - for Digestive Support with Licorice Root Extract* - Gluten Free - Dairy Free - Vegan - 100 Chewable Tablets</t>
  </si>
  <si>
    <t>B001WUC406</t>
  </si>
  <si>
    <t>13.73</t>
  </si>
  <si>
    <t>12.89%</t>
  </si>
  <si>
    <t>6996583415960</t>
  </si>
  <si>
    <t>Integrative Therapeutics Rhizinate Fructose Free - Deglycyrrhizinated Licorice (DGL) - for Stomach and Digestive Support with Licorice Root Extract* - Gluten Free - Dairy Free - Vegan - 100 Chewable Tablets</t>
  </si>
  <si>
    <t>B001IAJW0K</t>
  </si>
  <si>
    <t>Band-Aid Brand Skin-Flex Adhesive Bandages, Large, 6 Count</t>
  </si>
  <si>
    <t>B08R5WCLFT</t>
  </si>
  <si>
    <t>12.80%</t>
  </si>
  <si>
    <t>Children's Motrin® Oral Suspension Ibuprofen</t>
  </si>
  <si>
    <t>Motrin Children's Oral Suspension 100mg Ibuprofen Medicine, NSAID Fever Reducer &amp; Pain Reliever for Minor Aches &amp; Pains Due to Cold &amp; Flu, Dye Free, Alcohol-Free, Berry Flavored, 8 fl. oz</t>
  </si>
  <si>
    <t>B09S3YKW1M</t>
  </si>
  <si>
    <t>9.29</t>
  </si>
  <si>
    <t>5244964602008</t>
  </si>
  <si>
    <t>Burt's Bees Baby Nourishing Lotion, Original, 6 Ounces (Packaging May Vary)</t>
  </si>
  <si>
    <t>B00OTE8ATQ</t>
  </si>
  <si>
    <t>12.52%</t>
  </si>
  <si>
    <t>Abreva Abreva Cold Sore/Fever Blister Treatment, 2 gms (Pack of 2)</t>
  </si>
  <si>
    <t>B00E4MMVYI</t>
  </si>
  <si>
    <t>12.41%</t>
  </si>
  <si>
    <t>60 Gummies | 2 Months Supplies | Tasty Orange Flavor | 4+ Years | Omega-3 with EPA &amp; DHA, Omega 3 for Kids, Omega 3 Gummies, Fish Oil Gummies, Omega-3 Fatty Acids Gummies</t>
  </si>
  <si>
    <t>B09GS4VJ4Q</t>
  </si>
  <si>
    <t>12.17%</t>
  </si>
  <si>
    <t>Sun Bum Cool Down Hydrating After Sun Lotion with Hydrating Aloe,Cocoa Butter and Vitamin E</t>
  </si>
  <si>
    <t>B01B7VYQEQ</t>
  </si>
  <si>
    <t>12.02%</t>
  </si>
  <si>
    <t>Nvsheey Aluminum Underarm Walking Crutches for Adults,Lightweight Adjustable Crutches for Walking,&amp;with Underarm Pads,Great for Travel or Work,1 Pair</t>
  </si>
  <si>
    <t>B0B3D2GDFR</t>
  </si>
  <si>
    <t>11.78%</t>
  </si>
  <si>
    <t>Smith &amp; Nephew Uni-Solve® Adhesive Remover 8oz</t>
  </si>
  <si>
    <t>Smith &amp; Nephew Uni-Solve Adhesive Remover 8Oz Bottle (1 Bottle)</t>
  </si>
  <si>
    <t>B00JWSBFUA</t>
  </si>
  <si>
    <t>17.16</t>
  </si>
  <si>
    <t>6152482062488</t>
  </si>
  <si>
    <t>365 by Whole Foods Market, Vitamin C Complex Buffered, 180 Veg Capsules</t>
  </si>
  <si>
    <t>B074KHWVG9</t>
  </si>
  <si>
    <t>11.57%</t>
  </si>
  <si>
    <t>Palmer's Cocoa Butter Formula Daily Skin Therapy Solid Lotion with Vitamin E, Body Moisturizer for Extremely Dry Skin, Softens and Soothes, 7.25 Ounces, (Pack of 1)</t>
  </si>
  <si>
    <t>B000RGBWPO</t>
  </si>
  <si>
    <t>11.47%</t>
  </si>
  <si>
    <t>Energizer SR 386/301 Silver Oxide Button Cell Battery</t>
  </si>
  <si>
    <t>B001U1T4R8</t>
  </si>
  <si>
    <t>11.32%</t>
  </si>
  <si>
    <t>GoodSense Children's Ibuprofen Oral Suspension 100 mg per 5 mL, Pain Reliever and Fever Reducer (NSAID), Bubble Gum Flavor</t>
  </si>
  <si>
    <t>B00CWPJD40</t>
  </si>
  <si>
    <t>11.29%</t>
  </si>
  <si>
    <t>Rite Aid 24 Hour Loratadine 10 mg Allergy Relief Tablets, 10mg - 120 Count | Non-Drowsy Allergy Pills, Medicine</t>
  </si>
  <si>
    <t>B0030HMQX4</t>
  </si>
  <si>
    <t>Breathe Right Nasal Strips, Large, Tan, 30 ct</t>
  </si>
  <si>
    <t>B0014CV480</t>
  </si>
  <si>
    <t>Integrative Therapeutics B12-Active Cherry Chewable</t>
  </si>
  <si>
    <t>Integrative Therapeutics - B12-Active - Fast-Absorbing -Methylcobalamin - Cherry Flavored - 30 Chewable Tablets</t>
  </si>
  <si>
    <t>B001ALWPJM</t>
  </si>
  <si>
    <t>4805064229003</t>
  </si>
  <si>
    <t>Douglas Laboratories® Turmeric Max-V Capsules 60ct.</t>
  </si>
  <si>
    <t>Douglas Laboratories Turmeric Max-V | Standardized Curcumin to Support Joint and Muscle Function | 60 Capsules</t>
  </si>
  <si>
    <t>B00150ULZ8</t>
  </si>
  <si>
    <t>14.76</t>
  </si>
  <si>
    <t>6225761271960</t>
  </si>
  <si>
    <t>Integrative Therapeutics Cortisol Manager Tablets</t>
  </si>
  <si>
    <t>Integrative Therapeutics Cortisol Manager Allergen-Free‡ Supplement - Reduces Stress to Support Sleep* - Ashwagandha, L-Theanine - Supports Adrenal Health* - 90 Count</t>
  </si>
  <si>
    <t>B07YN8GM2T</t>
  </si>
  <si>
    <t>66.15</t>
  </si>
  <si>
    <t>4438630400139</t>
  </si>
  <si>
    <t>Pepto-Bismol® Original Upset Stomach Reliever Liquid</t>
  </si>
  <si>
    <t>Pepto Bismol Original Liquid 5 Symptom Relief, Including Upset Stomach &amp; Diarrhea, 8 Oz</t>
  </si>
  <si>
    <t>B00081Q6KE</t>
  </si>
  <si>
    <t>10.91%</t>
  </si>
  <si>
    <t>6217642999960</t>
  </si>
  <si>
    <t>Curel Itch Defense Calming Daily Cleanser, Body Wash, Soap-free Formula, for Dry, Itchy Skin, 10 oz, with Hydrating Jojoba and Olive Oil</t>
  </si>
  <si>
    <t>B00YXXPZLO</t>
  </si>
  <si>
    <t>10.86%</t>
  </si>
  <si>
    <t>Vicks VapoCOOL Sore Throat Spray, Powerful Sore Throat Numbing Relief, Soothes Throat Pain, Fast-Acting, with Benzocaine &amp; Menthol - Oral Anesthetics, Winterfrost Flavor, 6 FL OZ</t>
  </si>
  <si>
    <t>B07QSBXCCT</t>
  </si>
  <si>
    <t>10.79%</t>
  </si>
  <si>
    <t>Mueller® Adjustable Arm Sling One Size</t>
  </si>
  <si>
    <t>Mueller Sports Medicine Adjustable Arm Sling - Comfortable Support for Left or Right Shoulder and Arm Injury, For Men and Women, Blue, One Size Fits Most</t>
  </si>
  <si>
    <t>B07QY5LP6Y</t>
  </si>
  <si>
    <t>12.63</t>
  </si>
  <si>
    <t>10.77%</t>
  </si>
  <si>
    <t>6196277346456</t>
  </si>
  <si>
    <t>Flents Eyewear Eye Glasses Repair kit, with Magnifying Glass</t>
  </si>
  <si>
    <t>B000BD1Y60</t>
  </si>
  <si>
    <t>10.70%</t>
  </si>
  <si>
    <t>Major Allergy Loratadine 10mg, 300 Tablets</t>
  </si>
  <si>
    <t>B07Z8HHY8X</t>
  </si>
  <si>
    <t>10.68%</t>
  </si>
  <si>
    <t>Fergon High Potency Iron Supplement Tablets, 100 Count by Fergon</t>
  </si>
  <si>
    <t>B01AVJFNVU</t>
  </si>
  <si>
    <t>Contour® Kabooti® Ice Coccyx Blue Seat Cushion</t>
  </si>
  <si>
    <t>Contour Products Kabooti Ice Coccyx Seat Cushion, Foam,Blue (30-761RBI)</t>
  </si>
  <si>
    <t>B01AGQM44C</t>
  </si>
  <si>
    <t>40.74</t>
  </si>
  <si>
    <t>10.43%</t>
  </si>
  <si>
    <t>6197666480280</t>
  </si>
  <si>
    <t>Abreva 10 Percent Docosanol Cold Sore Treatment, Treats Your Fever Blister in 2.5 Days - 0.07 oz Tube x 2</t>
  </si>
  <si>
    <t>B071K8PFHG</t>
  </si>
  <si>
    <t>10.25%</t>
  </si>
  <si>
    <t>Amazon Basic Care Severe Daytime Cold and Flu, Maximum Strength Liquid Cold Medicine, Non-Drowsy, Multi-Symptom Relief, for Adults and Children Age 6 and Over, Original, 12 Fluid Ounces</t>
  </si>
  <si>
    <t>B07HGF63BS</t>
  </si>
  <si>
    <t>10.14%</t>
  </si>
  <si>
    <t>Seeking Health® Active B12 with L-5-MTHF Lozenges 60ct.</t>
  </si>
  <si>
    <t>Seeking Health Active B12 with L-5-MTHF, 60 Lozenges, Vitamin B12, Supports Cellular Health, Cognitive Health, and Healthy Energy Levels, Vegan-Friendly and Vegetarian-Friendly B12 Vitamin, MTHFR*</t>
  </si>
  <si>
    <t>B00822JNTC</t>
  </si>
  <si>
    <t>10.03%</t>
  </si>
  <si>
    <t>4871831486603</t>
  </si>
  <si>
    <t>Metagenics MetaKids™ Baby Probiotic – Probiotic Support for Babies and Young Children* | 21 Servings</t>
  </si>
  <si>
    <t>B09PYB4C14</t>
  </si>
  <si>
    <t>10.01%</t>
  </si>
  <si>
    <t>Metagenics® Ultra Potent-C Powder</t>
  </si>
  <si>
    <t>Metagenics - Ultra Potent-C Powder, 8.39 oz</t>
  </si>
  <si>
    <t>B001HJRWQ8</t>
  </si>
  <si>
    <t>49.75</t>
  </si>
  <si>
    <t>7694433321180</t>
  </si>
  <si>
    <t>Sun Bum Original SPF 50 Sunscreen Lotion | Vegan and Hawaii 104 Reef Act Compliant (Octinoxate &amp; Oxybenzone Free) Broad Spectrum Moisturizing UVA/UVB Sunscreen with Vitamin E | 6 oz</t>
  </si>
  <si>
    <t>B00WTHV0KQ</t>
  </si>
  <si>
    <t>Metagenics Bone Builder Extra Strength</t>
  </si>
  <si>
    <t>Metagenics Bone Builder Extra Strength Tablets with Calcium and Phosphorus to Help Maintain Healthy Bone Density - 60 Servings</t>
  </si>
  <si>
    <t>B004GLCXC2</t>
  </si>
  <si>
    <t>62.25</t>
  </si>
  <si>
    <t>7587811328220</t>
  </si>
  <si>
    <t>Metagenics CoQ10 ST-100, Highly Absorbable 100 mg Coenzyme Q10 Supplement to Help Support Energy Production and Cardiovascular Function - 60 Count</t>
  </si>
  <si>
    <t>B004GIJXUU</t>
  </si>
  <si>
    <t>Apex Soft Foam Ear Plugs with Case, NRR 33db, 1 Package, 4 Pair in Each Package</t>
  </si>
  <si>
    <t>B000EGKTEM</t>
  </si>
  <si>
    <t>9.92%</t>
  </si>
  <si>
    <t>CKeep Kinesiology Tape (2 Rolls), Original Cotton Elastic Premium Athletic Tape,33 ft 40 Precut Strips in Total,Hypoallergenic and Waterproof K Tape for Muscle Pain Relief and Joint Support,Blue</t>
  </si>
  <si>
    <t>B0B8HJBHCY</t>
  </si>
  <si>
    <t>9.90%</t>
  </si>
  <si>
    <t>Energizer 392/384 Silver Oxide Battery</t>
  </si>
  <si>
    <t>B0035HCXZK</t>
  </si>
  <si>
    <t>9.81%</t>
  </si>
  <si>
    <t>Flents® Concave Eye Patch</t>
  </si>
  <si>
    <t>Black Eyepatch-Comfortable Adjustable Concave Shape Single Eye Mask Amblyopia Corrected Visual Acuity Recovery Eye Patch Mask Cover Pads for Lazy Eye/Amblyopia/Strabismus Recovery size L for Adults</t>
  </si>
  <si>
    <t>B07GKXHRPP</t>
  </si>
  <si>
    <t>9.78%</t>
  </si>
  <si>
    <t>6177789411480</t>
  </si>
  <si>
    <t>Aquaphor Healing Ointment Advanced Therapy Skin Protectant, Dry Skin Body Moisturizer, 0.35 Oz Tube, 2 Count (Pack of 1)</t>
  </si>
  <si>
    <t>B001IAG7G2</t>
  </si>
  <si>
    <t>9.44%</t>
  </si>
  <si>
    <t>Sun Bum Original SPF 15 Sunscreen Spray |Vegan and Hawaii 104 Reef Act Compliant (Octinoxate &amp; Oxybenzone Free) Broad Spectrum Moisturizing UVA/UVB Sunscreen with Vitamin E | 6 oz</t>
  </si>
  <si>
    <t>B004XGLERK</t>
  </si>
  <si>
    <t>Mucinex Cough &amp; Chest Congestion High Blood Pressure Liquid Gels, 16 ct.</t>
  </si>
  <si>
    <t>B0BS5BKS2J</t>
  </si>
  <si>
    <t>Children's Delsym 12 Hour Cough Relief Liquid- Day or Night Grape Cough Medicine With Dextromethorphan Helps Quiet Cough By Supressing Cough Reflex, 5 oz.</t>
  </si>
  <si>
    <t>B002CQUFWS</t>
  </si>
  <si>
    <t>8.69%</t>
  </si>
  <si>
    <t>Refresh Relieva Preservative-Free Lubricant Eye Drops, 0.33 Fl Oz (Pack of 1), Packaging May Vary</t>
  </si>
  <si>
    <t>B07WY754MK</t>
  </si>
  <si>
    <t>8.68%</t>
  </si>
  <si>
    <t>Lubriderm Daily Moisture Hydrating Unscented Body Lotion with Pro-Vitamin B5 for Normal-to-Dry Skin for Healthy-Looking Skin, Non-Greasy and Fragrance-Free Lotion, 24 fl. oz</t>
  </si>
  <si>
    <t>B075G3RJDZ</t>
  </si>
  <si>
    <t>8.47%</t>
  </si>
  <si>
    <t>Integrative Therapeutics UBQH 50 mg - Patented Stabilized Reduced Ubiquinol and CoQ10 - Support Cellular Energy and General Health - Gluten Free - Dairy Free - 60 Softgels</t>
  </si>
  <si>
    <t>B001WU7QT0</t>
  </si>
  <si>
    <t>8.42%</t>
  </si>
  <si>
    <t>Align Probiotic Extra Strength, Probiotics for Women and Men, #1 Doctor Recommended Brand‡, 5X More Good Bacteria^ to Help Support a Healthy Digestive System*, 42 Capsules</t>
  </si>
  <si>
    <t>B07K98GCXM</t>
  </si>
  <si>
    <t>8.20%</t>
  </si>
  <si>
    <t>Psoriasin Deep Moisturizing Ointment - 2% Coal Tar - Stops Psoriasis Itching, Scaling, Redness - 4.2 oz</t>
  </si>
  <si>
    <t>B078XL37NG</t>
  </si>
  <si>
    <t>GoodSense Omeprazole, Compare to Prilosec, Delayed Release Tablets 20 mg, Acid Reducer, Wildberry Mint Coated Tablet, 42 Count</t>
  </si>
  <si>
    <t>B01LMOBDG2</t>
  </si>
  <si>
    <t>8.18%</t>
  </si>
  <si>
    <t>Vitron-C Iron Supplement, Once Daily, High Potency Iron Plus Vitamin C, Supports Red Blood Cell Production, Dye Free Tablets, 60 Count</t>
  </si>
  <si>
    <t>B00140Z5DW</t>
  </si>
  <si>
    <t>8.17%</t>
  </si>
  <si>
    <t>Prevagen Improves Memory - Regular Strength 10mg, 30 Capsules |1 Pack| with Apoaequorin &amp; Vitamin D with Attractive and Stackable Prevagen Storage Box | Brain Supplement for Better Brain Health</t>
  </si>
  <si>
    <t>B0BN6WHFH7</t>
  </si>
  <si>
    <t>8.15%</t>
  </si>
  <si>
    <t>Prevagen Improves Memory - Regular Strength 10mg, 30 Capsules with Apoaequorin &amp; Vitamin D &amp; Prevagen 7-Day Pill Minder | Brain Supplement for Better Brain Health, Supports Healthy Brain Function</t>
  </si>
  <si>
    <t>B000V9O04W</t>
  </si>
  <si>
    <t>B0027Z4XF4</t>
  </si>
  <si>
    <t>B01884SRO0</t>
  </si>
  <si>
    <t>B0054RU3Q0</t>
  </si>
  <si>
    <t>Nasacort Allergy 24 Hr Multi-symptom Nasal Allergy Relief Spray, 120 Count</t>
  </si>
  <si>
    <t>B00PFDNDOC</t>
  </si>
  <si>
    <t>8.09%</t>
  </si>
  <si>
    <t>Metamucil® 4-In-1 Orange Fiber Packets 30ct.</t>
  </si>
  <si>
    <t>Metamucil Fiber, 4-in-1 Psyllium Fiber Supplement, Sugar-Free Powder Single-Serve Packets, Orange Flavored Drink (Packaging May Vary), 0.2 Ounce, 44 Count, Pack of 1</t>
  </si>
  <si>
    <t>B003N3YMRI</t>
  </si>
  <si>
    <t>18.53</t>
  </si>
  <si>
    <t>7.88%</t>
  </si>
  <si>
    <t>6222643593368</t>
  </si>
  <si>
    <t>Mucinex DM 12-Hour Expectorant and Cough Suppressant Tablets, 20 Count</t>
  </si>
  <si>
    <t>B000Q3AHMW</t>
  </si>
  <si>
    <t>7.82%</t>
  </si>
  <si>
    <t>Osteo Bi-Flex Joint Health Triple Strength + MSM Formula Joint Shield + Glucosamine - 80 Coated Tablets</t>
  </si>
  <si>
    <t>B07DKX91QG</t>
  </si>
  <si>
    <t>7.71%</t>
  </si>
  <si>
    <t>NOW® Organic Lemon Oil 1oz.</t>
  </si>
  <si>
    <t>7.70%</t>
  </si>
  <si>
    <t>4886238789771</t>
  </si>
  <si>
    <t>Fungi Nail® Anti-Fungal Liquid 1fl. oz.</t>
  </si>
  <si>
    <t>Fungi-Nail Anti-Fungal Liquid Solution, Kills Fungus That Can Lead to Nail &amp; Athlete’s Foot with Tolnaftate &amp; Clinically Proven to Cure and Prevent Fungal Infections 1 Fl Oz (Pack of 2)</t>
  </si>
  <si>
    <t>B081PBFL3D</t>
  </si>
  <si>
    <t>7.64%</t>
  </si>
  <si>
    <t>6209309900952</t>
  </si>
  <si>
    <t>Cortizone-10 Maximum Strength Anti-Itch Cream with Soothing Aloe, 1% Hydrocortisone Creme, 2 oz.</t>
  </si>
  <si>
    <t>B0BJMQBSKJ</t>
  </si>
  <si>
    <t>7.48%</t>
  </si>
  <si>
    <t>Cold &amp; Hot Therapy System Ice Pack)- Ice It! ® MaxCOMFORT™ (Elbow/Ankle/Foot Wrap (514)– from Battle Creek Equipment, Hot &amp; Cold Therapy Items Since 1931</t>
  </si>
  <si>
    <t>B01ND1HJVP</t>
  </si>
  <si>
    <t>7.45%</t>
  </si>
  <si>
    <t>7.32%</t>
  </si>
  <si>
    <t>Duracell Silver Oxide Battery 1.5 Volt 303/357/76, 1 Each (Pack of 3)</t>
  </si>
  <si>
    <t>B00724R3CK</t>
  </si>
  <si>
    <t>7.27%</t>
  </si>
  <si>
    <t>Palmer's Cocoa Butter Formula Hemp Oil Calming Relief Body Lotion, 8 Ounces</t>
  </si>
  <si>
    <t>B08BB5XG3D</t>
  </si>
  <si>
    <t>7.26%</t>
  </si>
  <si>
    <t>7.16%</t>
  </si>
  <si>
    <t>Omron Wireless Upper Arm Blood Pressure Monitor, 7 Series</t>
  </si>
  <si>
    <t>B01BHA7T0K</t>
  </si>
  <si>
    <t>7.13%</t>
  </si>
  <si>
    <t>PreserVision AREDS Eye Vitamin &amp; Mineral Supplement, Tablets, 240 Count (Pack of 1) , Packaging may vary</t>
  </si>
  <si>
    <t>B0018C7872</t>
  </si>
  <si>
    <t>7.12%</t>
  </si>
  <si>
    <t>Metagenics MetaKids™ Probiotic, Chewable Daily Probiotic Support*, 60 Count</t>
  </si>
  <si>
    <t>B07NXWDG43</t>
  </si>
  <si>
    <t>7.10%</t>
  </si>
  <si>
    <t>Duracell 384/392 Silver Oxide Button Battery, 1 Count Pack, 384/392 1.5 Volt Battery, Long-Lasting for Watches, Medical Devices, Calculators, and More</t>
  </si>
  <si>
    <t>B07GN291TK</t>
  </si>
  <si>
    <t>7.04%</t>
  </si>
  <si>
    <t>Nexcare First Aid 3M Gentle Paper Tape 2 roll</t>
  </si>
  <si>
    <t>B002SV0M3O</t>
  </si>
  <si>
    <t>7.03%</t>
  </si>
  <si>
    <t>Adtemp Temple Touch Thermometer</t>
  </si>
  <si>
    <t>ADTEMP Temple Touch Thermometer</t>
  </si>
  <si>
    <t>B005PGBN0U</t>
  </si>
  <si>
    <t>14.94</t>
  </si>
  <si>
    <t>6554044989592</t>
  </si>
  <si>
    <t>B0031LPYYM</t>
  </si>
  <si>
    <t>6.89%</t>
  </si>
  <si>
    <t>Bausch + Lomb Soothe XP Lubricant Eye Drops 0.5fl. oz.</t>
  </si>
  <si>
    <t>Soothe XP Eye Drops by Bausch &amp; Lomb, Lubricant Relief for Dry Eyes, 15 mL (Pack of 2)</t>
  </si>
  <si>
    <t>B07BVPRX4T</t>
  </si>
  <si>
    <t>15.19</t>
  </si>
  <si>
    <t>6.85%</t>
  </si>
  <si>
    <t>6952412709016</t>
  </si>
  <si>
    <t>Sundown Naturals Vitamin E Oil 2.50 oz</t>
  </si>
  <si>
    <t>B00121PZZG</t>
  </si>
  <si>
    <t>6.75%</t>
  </si>
  <si>
    <t>Cortizone 10® Maximum Strength Anti-Itch Ointment 1oz</t>
  </si>
  <si>
    <t>Cortizone-10 Maximum Strength Water Resistant Anti-Itch Ointment, 1% Hydrocortisone, 2 oz.</t>
  </si>
  <si>
    <t>B0BJMDMDCX</t>
  </si>
  <si>
    <t>6.72%</t>
  </si>
  <si>
    <t>6149171151000</t>
  </si>
  <si>
    <t>Integrative Therapeutics Buffered Vitamin C Capsules 1,000 mg - Immune Support Supplement* - Antioxidant Support* - Gentle Formula - Gluten Free - 60 Vegan Capsules</t>
  </si>
  <si>
    <t>B0031WZBDK</t>
  </si>
  <si>
    <t>6.67%</t>
  </si>
  <si>
    <t>6.65%</t>
  </si>
  <si>
    <t>GoodSense® Cetirizine Relief Tablets</t>
  </si>
  <si>
    <t>HealthCareAisle Allergy Relief - Cetirizine Hydrochloride Tablets USP, 10 mg – 300 Tablets – Original Prescription Strength Allergy Medication, 24-Hour Allergy Relief</t>
  </si>
  <si>
    <t>B07HDC8KLP</t>
  </si>
  <si>
    <t>6.57%</t>
  </si>
  <si>
    <t>5242554286232</t>
  </si>
  <si>
    <t>Fergon High Potency Iron Supplement Tablets, 100 Count</t>
  </si>
  <si>
    <t>B00XM2M73Q</t>
  </si>
  <si>
    <t>6.51%</t>
  </si>
  <si>
    <t>Aveeno Daily Moisturizing Body Wash for Dry Skin with Soothing Oat &amp; Rich Emollients, Creamy Shower Cleanser, Gentle, Soap-Free and Dye-Free, Light Fragrance, 18 Fl Oz (Pack of 1)</t>
  </si>
  <si>
    <t>B000ODNSR0</t>
  </si>
  <si>
    <t>6.42%</t>
  </si>
  <si>
    <t>Nature's Way Sambucus Zinc Lozenges with Elderberry and Vitamin C, Honey Lemon Flavor, Gluten Free, Kosher Certified, 24 Lozenges (2 Pack)</t>
  </si>
  <si>
    <t>B08D5H23P6</t>
  </si>
  <si>
    <t>6.05%</t>
  </si>
  <si>
    <t>RID Super Max 5-in-1 Complete Lice Treatment Kit, Kills Super Lice &amp; Eggs + 24/7 Lice Defense, Pesticide-Free, Includes Daily Defense Shampoo &amp; Conditioner + Nit Removal Comb</t>
  </si>
  <si>
    <t>B093P2K33Z</t>
  </si>
  <si>
    <t>5.71%</t>
  </si>
  <si>
    <t>Dr. Scholl’s HEEL Pain Relief Orthotics // Clinically Proven to Relieve Plantar Fasciitis, Heel Spurs and General Heel Aggravation (for Men's 8-12, also available for Women's 5-12)</t>
  </si>
  <si>
    <t>B01MG68WY1</t>
  </si>
  <si>
    <t>5.70%</t>
  </si>
  <si>
    <t>B00HA6GTAW</t>
  </si>
  <si>
    <t>Sun Bum® SPF 15 Sunscreen Tanning Oil Spray 8.5fl. oz.</t>
  </si>
  <si>
    <t>Banana Boat Ultra Mist Dry Tanning Oil, Clear Sunscreen Spray, SPF 15, 6oz. - Pack of 3</t>
  </si>
  <si>
    <t>B002ZNJYSY</t>
  </si>
  <si>
    <t>5.50%</t>
  </si>
  <si>
    <t>6228093730968</t>
  </si>
  <si>
    <t>Prevagen Improves Memory - Regular Strength 10mg, 30 Chewables |Mixed Berry| with Apoaequorin &amp; Vitamin D &amp; Prevagen 7-Day Pill Minder | Brain Supplement for Better Brain Health</t>
  </si>
  <si>
    <t>B077GLNQV8</t>
  </si>
  <si>
    <t>5.45%</t>
  </si>
  <si>
    <t>Prevagen Improves Memory-Regular Strength 10mg, 30 Chewables|Mixed Berry-1 Pack|with Apoaequorin &amp; Vitamin D with Attractive and Stackable Prevagen Storage Box|Brain Supplement for Better Brain Health</t>
  </si>
  <si>
    <t>B0BN6YKSN8</t>
  </si>
  <si>
    <t>Nexcare Gentle Paper Tape 1 Inch X 10 Yards, 2 ea (Pack of 2)</t>
  </si>
  <si>
    <t>B01IAI0QY8</t>
  </si>
  <si>
    <t>5.32%</t>
  </si>
  <si>
    <t>Duracell 303/357/76 Silver Oxide Button Battery, 3 Count Pack, 303/357/76 1.5 Volt Battery, Long-Lasting for Watches, Medical Devices, Calculators, and More</t>
  </si>
  <si>
    <t>B0031W0GZ8</t>
  </si>
  <si>
    <t>5.13%</t>
  </si>
  <si>
    <t>1PCS Black Unisex Concave Shape Single Eyepatch Amblyopia Corrected Visual Acuity Recovery Eye Patch Cover Pads with Adjustable Strap for Lazy Eye/Amblyopia/Strabismus (L)</t>
  </si>
  <si>
    <t>B07CFW9Z4N</t>
  </si>
  <si>
    <t>4.80%</t>
  </si>
  <si>
    <t>Nature Made® Extra Strength Biotin Softgels 90ct.</t>
  </si>
  <si>
    <t>Nature Made Extra Strength Biotin 2500 mcg, Dietary Supplement For Healthy Hair, Skin &amp; Nail Support, 90 Softgels, 90 Day Supply</t>
  </si>
  <si>
    <t>B001VWT0BG</t>
  </si>
  <si>
    <t>14.33</t>
  </si>
  <si>
    <t>4.68%</t>
  </si>
  <si>
    <t>4898494808203</t>
  </si>
  <si>
    <t>Nature Made® SAM-E Complete Supplement Tablets 24ct.</t>
  </si>
  <si>
    <t>Nature Made SAM-e 200 mg Complete, Dietary Supplement for Mood Support, 60 Tablets, 30 Day Supply</t>
  </si>
  <si>
    <t>B0002D155Y</t>
  </si>
  <si>
    <t>25.83</t>
  </si>
  <si>
    <t>4.49%</t>
  </si>
  <si>
    <t>5238383083672</t>
  </si>
  <si>
    <t>LotFancy Reusable Gel Ice Pack Wrap, 2 Gel Packs with Cover, Hot Cold Therapy for Sport Injuries, First Aid, Knee Head Neck Ankle Wrist Elbow Foot Calves Pain Relief Blue</t>
  </si>
  <si>
    <t>B013FWXKDS</t>
  </si>
  <si>
    <t>4.48%</t>
  </si>
  <si>
    <t>Sudafed PE Day and Night Sinus Pressure &amp; Congestion Tablets, 20 Count</t>
  </si>
  <si>
    <t>B0758JCJX7</t>
  </si>
  <si>
    <t>4.45%</t>
  </si>
  <si>
    <t>Compound W Wart Remover, Maximum Strength, Fast-Acting Gel, 0.25-Ounce (Pack of 2) by Compound W</t>
  </si>
  <si>
    <t>B01M5JNFSA</t>
  </si>
  <si>
    <t>4.42%</t>
  </si>
  <si>
    <t>Rite Aid Fast Relief Laxative Suppositories, Bisacodyl USP, 10mg - 16 Count | Stimulant Laxative | Constipation Relief | Works in 15 Minutes to 1 Hour | Relief of Constipation | Laxative Suppository</t>
  </si>
  <si>
    <t>B006533Q2K</t>
  </si>
  <si>
    <t>Aveeno Protect + Soothe Mineral Sunscreen Stick for Sensitive Skin with Broad Spectrum SPF 50, Water-Resistant Face &amp; Body Sunscreen with Zinc Oxide &amp; Oat, Fragrance-Free, Travel Size, 1.5 oz</t>
  </si>
  <si>
    <t>B07Z9SYF6N</t>
  </si>
  <si>
    <t>Osteo Bi-Flex Joint Health Coated Tablets Triple Strength - 80ct, Pack of 2</t>
  </si>
  <si>
    <t>B073VVSZJK</t>
  </si>
  <si>
    <t>Mucinex® Sinus-Max Severe Congestion and Pain Syrup</t>
  </si>
  <si>
    <t>Mucinex Sinus-Max Maximum Strength Severe Congestion &amp; Pain, Sinus Symptom Relief, Pain Reliever, Cough Suppressant and Nasal Decongestant, 16 Liquid Gels (Pack of 2)</t>
  </si>
  <si>
    <t>B0897Y76LZ</t>
  </si>
  <si>
    <t>3.65%</t>
  </si>
  <si>
    <t>5241232588952</t>
  </si>
  <si>
    <t>Integrative Therapeutics - Cortisol Manager® - with Ashwagandha and L-Theanine – Promotes Relaxation &amp; Calm to Support Restful Sleep* - 90 Tablets</t>
  </si>
  <si>
    <t>B0031TRUOG</t>
  </si>
  <si>
    <t>3.55%</t>
  </si>
  <si>
    <t>Duracell CR2032 3V Lithium Battery, Child Safety Features, 6 Count Pack, Lithium Coin Battery for Key Fob, Car Remote, Glucose Monitor, CR Lithium 3 Volt Cell</t>
  </si>
  <si>
    <t>B0855FD9P2</t>
  </si>
  <si>
    <t>3.38%</t>
  </si>
  <si>
    <t>Prevagen Improves Memory - Extra Strength 20mg, 30 Capsules, with Apoaequorin &amp; Vitamin D &amp; Prevagen 7-Day Pill Minder | Brain Supplement for Better Brain Health, Supports Healthy Brain Function</t>
  </si>
  <si>
    <t>B08HDPMKJ3</t>
  </si>
  <si>
    <t>3.24%</t>
  </si>
  <si>
    <t>One Touch Ultra Test Strips 50 ct.</t>
  </si>
  <si>
    <t>OneTouch Ultra Test Strips for Diabetes - 120 Count | Diabetic Blood Sugar Monitor Glucose Meter 2 Boxes, 60 Each</t>
  </si>
  <si>
    <t>B0B9HR9M4P</t>
  </si>
  <si>
    <t>87.23</t>
  </si>
  <si>
    <t>3.16%</t>
  </si>
  <si>
    <t>4896077152395</t>
  </si>
  <si>
    <t>Febreze® Air™ Spring &amp; Renewal Spray 8.8oz.</t>
  </si>
  <si>
    <t>Febreze® AIR Freshener Spray, Spring &amp; Renewal™ Scent, 8.8 Oz</t>
  </si>
  <si>
    <t>B01N2GJFP3</t>
  </si>
  <si>
    <t>3.13%</t>
  </si>
  <si>
    <t>6220792365208</t>
  </si>
  <si>
    <t>Duracell® 312 Hearing Aid Batteries with Easy-Fit Tab 8ct.</t>
  </si>
  <si>
    <t>Duracell Hearing Aid Batteries Brown Size 312, 32 Count Pack, 312A Size Hearing Aid Battery with Long-Lasting Power, Extra-Long EasyTab Install for Hearing Aid Devices</t>
  </si>
  <si>
    <t>B0C3GGCS95</t>
  </si>
  <si>
    <t>6206507352216</t>
  </si>
  <si>
    <t>NatureBell Psyllium Husk Capsules 1500mg Per Serving, 360 Count, 3 in 1 Fiber with Inulin &amp; Chia Seed – Daily Soluble Fiber for Gut Health – Plant Based Herbal Fiber Supplement, Non-GMO, Gluten Free</t>
  </si>
  <si>
    <t>B0BKR53C6Z</t>
  </si>
  <si>
    <t>3.05%</t>
  </si>
  <si>
    <t>Desitin Daily Defense Baby Diaper Rash Cream with Zinc Oxide to Treat, Relieve &amp; Prevent diaper rash, Hypoallergenic, Dye-, Phthalate- &amp; Paraben-Free, 4 oz</t>
  </si>
  <si>
    <t>B00M0N9J20</t>
  </si>
  <si>
    <t>2.93%</t>
  </si>
  <si>
    <t>Desitin Daily Defense Baby Cream with Zinc Oxide to Treat, Relieve &amp; Prevent Diaper Rash, Hypoallergenic, Dye, Phthalate &amp; Paraben-Free, 4 Oz</t>
  </si>
  <si>
    <t>B000YM2ED0</t>
  </si>
  <si>
    <t>Eucerin Daily Protection Face Lotion - Broad Spectrum SPF 30 - Moisturizes and Protects Sensitive, Dry Skin - 4 fl. oz. Pump Bottle</t>
  </si>
  <si>
    <t>B00008MNZH</t>
  </si>
  <si>
    <t>2.91%</t>
  </si>
  <si>
    <t>3M - Nexcare Absolute 66775 First Aid Flexible Waterproof Tape 1" x 180"</t>
  </si>
  <si>
    <t>B0096XYQ0M</t>
  </si>
  <si>
    <t>2.74%</t>
  </si>
  <si>
    <t>Miaderm-L Radiation Relief with 4% Lidocaine 4fl. oz.</t>
  </si>
  <si>
    <t>Miaderm-L Radiation Relief Lotion with 4% Lidocaine 4 Oz</t>
  </si>
  <si>
    <t>B015G8IDOA</t>
  </si>
  <si>
    <t>42.0</t>
  </si>
  <si>
    <t>2.38%</t>
  </si>
  <si>
    <t>6160847601816</t>
  </si>
  <si>
    <t>GoodSense® Lansoprazole Delayed Release Acid Reducer 15mg Capsules</t>
  </si>
  <si>
    <t>Life Sciences Pharmacy - Lansoprazole 84 Capsules, 15 mg Delayed Release Generic for Prev Acid | Acid Reducer, Proton Pump Inhibitor (PPI) for Heartburn Relief | Acid Reflux Medicine</t>
  </si>
  <si>
    <t>B09YGBPKNH</t>
  </si>
  <si>
    <t>17.49</t>
  </si>
  <si>
    <t>2.23%</t>
  </si>
  <si>
    <t>6226809487512</t>
  </si>
  <si>
    <t>Boiron Arnicare Roll-On for Relief of Joint Pain, Muscle Pain, Muscle Soreness, and Swelling from Bruises or Injury - Non-greasy and Fragrance-Free - 1.5 oz</t>
  </si>
  <si>
    <t>B07HRRS8RZ</t>
  </si>
  <si>
    <t>2.16%</t>
  </si>
  <si>
    <t>Hyland's® 4 Kids Cold &amp; Cough</t>
  </si>
  <si>
    <t>Hyland's Naturals Kids Cold &amp; Cough, Day and Night Combo Pack, Cold Medicine for Ages 2+, Syrup Cough Medicine for Kids, Nasal Decongestant, Allergy Relief, 4 Fl Oz (Pack of 2)</t>
  </si>
  <si>
    <t>B00L3LAK7S</t>
  </si>
  <si>
    <t>12.09</t>
  </si>
  <si>
    <t>1.90%</t>
  </si>
  <si>
    <t>5243271020696</t>
  </si>
  <si>
    <t>Boiron SinusCalm Tablets for Sinus Pain Relief, Runny Nose, Congestion, Sinus Pressure, Headache - 60 Count</t>
  </si>
  <si>
    <t>B07WQBC91V</t>
  </si>
  <si>
    <t>1.80%</t>
  </si>
  <si>
    <t>Sun Bum Mineral SPF 50 Sunscreen Face Stick | Vegan and Hawaii 104 Reef Act Compliant (Octinoxate &amp; Oxybenzone Free) Broad Spectrum Natural Sunscreen with UVA/UVB Protection | .45 oz</t>
  </si>
  <si>
    <t>B0721M83FL</t>
  </si>
  <si>
    <t>1.58%</t>
  </si>
  <si>
    <t>Pataday Once Daily Relief Allergy Eye Drops by Alcon, for Eye Allergy Itch Relief, 2.5 ml (2 Count)</t>
  </si>
  <si>
    <t>B0857X5V2S</t>
  </si>
  <si>
    <t>1.50%</t>
  </si>
  <si>
    <t>Degree Shower Clean Dry Protection Antiperspirant Deodorant Stick, 0.5 oz, Package may vary</t>
  </si>
  <si>
    <t>B0046IJG16</t>
  </si>
  <si>
    <t>1.42%</t>
  </si>
  <si>
    <t>1.29%</t>
  </si>
  <si>
    <t>Allergy Research Group - Buffered Vitamin C - Antioxidant, Immune Support, Calcium/Mag - 120 Vegetarian Capsules</t>
  </si>
  <si>
    <t>B000M8SL1A</t>
  </si>
  <si>
    <t>Amazon Basic Care Extra Strength Pain Relief, Acetaminophen Caplets, 500 mg, Pain Reliever/Fever Reducer, 100 Count</t>
  </si>
  <si>
    <t>B096Y26LYD</t>
  </si>
  <si>
    <t>0.82%</t>
  </si>
  <si>
    <t>Nature Made SAM-e Complete 400 mg, Dietary Supplement for Mood Support, 36 Tablets, 36 Day Supply</t>
  </si>
  <si>
    <t>B0002D150Y</t>
  </si>
  <si>
    <t>0.66%</t>
  </si>
  <si>
    <t>Mueller Carpal Tunnel Wrist Stabilizer - L/XL - Beige</t>
  </si>
  <si>
    <t>B00D5Q1G90</t>
  </si>
  <si>
    <t>0.46%</t>
  </si>
  <si>
    <t>Cosamin DS for Joint Health Comfort &amp; Mobility, 108 Capsules (Pack of 2)</t>
  </si>
  <si>
    <t>B000H1RPMI</t>
  </si>
  <si>
    <t>0.41%</t>
  </si>
  <si>
    <t>Humco Gentian Violet Topical Solution 1% 2fl. oz.</t>
  </si>
  <si>
    <t>Humco K967380 Gentian Violet (TOPICAL SOLUTION 1%) 2 FL OZ, Pack of 1</t>
  </si>
  <si>
    <t>B000QTG3ME</t>
  </si>
  <si>
    <t>11.45</t>
  </si>
  <si>
    <t>0.35%</t>
  </si>
  <si>
    <t>6157044187288</t>
  </si>
  <si>
    <t>Nordic Naturals® Omega-3 for Small Cats &amp; Dogs 2oz.</t>
  </si>
  <si>
    <t>Nordic Naturals Omega-3 Pet, Unflavored - 2 oz - 304 mg Omega-3 Per One mL - Fish Oil for Small Dogs &amp; Cats with EPA &amp; DHA - Promotes Heart, Skin, Coat, Joint, &amp; Immune Health</t>
  </si>
  <si>
    <t>B008OYAZUE</t>
  </si>
  <si>
    <t>14.36</t>
  </si>
  <si>
    <t>4837753094283</t>
  </si>
  <si>
    <t>0.31%</t>
  </si>
  <si>
    <t>Mueller 427 Elastic Knee Stabilizer with Steel Spring Supports Size L</t>
  </si>
  <si>
    <t>B00OB5954M</t>
  </si>
  <si>
    <t>0.10%</t>
  </si>
  <si>
    <t>Amazing Formulas Bromelain 500mg 2400 GDU, 120 Veggie Capsules | Non-GMO | Gluten Free | Made in USA | Ideal for Vegetarians (1 Pack)</t>
  </si>
  <si>
    <t>B0BZJY1VNJ</t>
  </si>
  <si>
    <t>Sun Bum® Mineral SPF 30 Sunscreen Face Lotion 1.7oz</t>
  </si>
  <si>
    <t>Hawaiian Tropic Mineral Sun Milk Face Lotion, Skin Nourishing Sunscreen, Broad Spectrum SPF 30, 1.7 Ounces - Pack of 2</t>
  </si>
  <si>
    <t>B08Q2XSHLS</t>
  </si>
  <si>
    <t>6952196276376</t>
  </si>
  <si>
    <t>eos 100% Natural &amp; Organic Lip Balm- Strawberry Sorbet, All-Day Moisture, Dermatologist Recommended for Sensitive Skin, Lip Care Products, 0.25 oz</t>
  </si>
  <si>
    <t>B006WQF3B2</t>
  </si>
  <si>
    <t>Sun Bum Original SPF 30 Sunscreen Scalp and Hair Mist I Vegan and Hawaii 104 Reef Act Compliant (Octinoxate Oxybenzone Free) I Broad Spectrum UVA/UVB Sunscreen Spray with Vitamin E I 2 OZ</t>
  </si>
  <si>
    <t>B08PMKDCPN</t>
  </si>
  <si>
    <t>Americaine Hospital Formula, Maximum Strength Benzocaine Topical Anesthetic Spray, For Minor Cuts, Scrapes, Burns &amp; Sunburn, 2 oz Can (Packaging may vary)</t>
  </si>
  <si>
    <t>B000UDN87E</t>
  </si>
  <si>
    <t>Norm's Farms Black Elderberry Wellness Syrup + Honey, Cinnamon, &amp; Cloves - Natural Immune Support - Kosher, Gluten Free, Non-GMO - 1 8 Oz. Bottle</t>
  </si>
  <si>
    <t>B01942NPGK</t>
  </si>
  <si>
    <t>Klaire Labs Vital-Immune Biotic - Immune System Support Probiotic 5 Billion CFU with Lactobacillus &amp; Bifidobacterium for Men &amp; Women, Hypoallergenic &amp; Dairy-Free (100 Capsules)</t>
  </si>
  <si>
    <t>B004KQGIXI</t>
  </si>
  <si>
    <t>Klaire Labs Theraslim - Phase 2 Carb Controller Formula with White Bean Extract to Help Block Starches &amp; Carb Calories (90 Capsules)</t>
  </si>
  <si>
    <t>B00JVYQY74</t>
  </si>
  <si>
    <t>Ohm Omeprazole Tablets, Delayed-Release Tablets, 20mg Acid Reducer, 42 Tablets</t>
  </si>
  <si>
    <t>B08F72WMNQ</t>
  </si>
  <si>
    <t>Differin Acne Treatment Gel, 30 Day Supply, Retinoid Treatment for Face with 0.1% Adapalene, Gentle Skin Care for Acne Prone Sensitive Skin, 15g Tube (Packaging May Vary)</t>
  </si>
  <si>
    <t>B07L1PHSY9</t>
  </si>
  <si>
    <t>-0.13%</t>
  </si>
  <si>
    <t>Natural Vitality Calm, Magnesium Supplement, Anti-Stress Drink Mix Powder, Original, Raspberry Lemon - 8 Ounce (Packaging May Vary)</t>
  </si>
  <si>
    <t>B000OQ2DJQ</t>
  </si>
  <si>
    <t>-0.21%</t>
  </si>
  <si>
    <t>Sun Bum Mineral SPF 30 Tinted Sunscreen Face Lotion | Vegan and Hawaii 104 Reef Act Compliant (Octinoxate &amp; Oxybenzone Free) Broad Spectrum Natural Sunscreen with UVA/UVB Protection | 1.7 oz</t>
  </si>
  <si>
    <t>B072QYD2P4</t>
  </si>
  <si>
    <t>-0.28%</t>
  </si>
  <si>
    <t>Palmer's Cocoa Butter Formula Daily Skin Therapy Cocoa Butter Body Lotion for Dry Skin, Hand &amp; Body Moisturizer, Pump Bottle, 13.5 Oz (Pack of 1)</t>
  </si>
  <si>
    <t>B0009F3O8Q</t>
  </si>
  <si>
    <t>-0.58%</t>
  </si>
  <si>
    <t>Nature Made® Daily Diabetes Health Packets 30ct.</t>
  </si>
  <si>
    <t>Nature Made Daily Diabetes Health Pack, Dietary Supplement for Nutritional Support, 30 Packets, 30 Day Supply</t>
  </si>
  <si>
    <t>B0000DJANS</t>
  </si>
  <si>
    <t>-0.66%</t>
  </si>
  <si>
    <t>5238382231704</t>
  </si>
  <si>
    <t>L'il Critters Gummy Vites™ Complete Multivitamin 190 Gummies</t>
  </si>
  <si>
    <t>L'il Critters LOL Surprise Complete Multivitamin Gummies 190 Count (Pack of 1)</t>
  </si>
  <si>
    <t>B0009DY1SK</t>
  </si>
  <si>
    <t>20.13</t>
  </si>
  <si>
    <t>-0.70%</t>
  </si>
  <si>
    <t>5240306139288</t>
  </si>
  <si>
    <t>Nature Made Extra Strength Flaxseed Oil 1400 mg, Fish Free Omega 3 Supplement, Dietary Supplement for Heart Health Support, 100 Softgels, 100 Day Supply</t>
  </si>
  <si>
    <t>B008NC7QQS</t>
  </si>
  <si>
    <t>-0.76%</t>
  </si>
  <si>
    <t>Hinged Wraparound Knee Brace (EA)</t>
  </si>
  <si>
    <t>B002C31S7M</t>
  </si>
  <si>
    <t>-0.81%</t>
  </si>
  <si>
    <t>Hyland's Naturals Kids Cold &amp; Cough, Day and Night Combo Pack, Cold Medicine for Ages 2+, Grape Flavor Syrup Cough Medicine for Kids, Nasal Decongestant, Allergy Relief, 4 Fl Oz (Pack of 2)</t>
  </si>
  <si>
    <t>B07F6F6517</t>
  </si>
  <si>
    <t>-0.83%</t>
  </si>
  <si>
    <t>Gelusil Antacid &amp; Anti Gas Tablets for Heartburn Relief, Acid Reflux, Bloating and Gas, Cool Mint - 100ct Blister Pack</t>
  </si>
  <si>
    <t>B000GCN9DM</t>
  </si>
  <si>
    <t>-0.92%</t>
  </si>
  <si>
    <t>Crane Accessories, Replacement Demineralization Filter, Hello Kitty and Train Humidifiers</t>
  </si>
  <si>
    <t>B000V4LEXM</t>
  </si>
  <si>
    <t>-0.95%</t>
  </si>
  <si>
    <t>Amazon Basic Care Daytime Cold and Flu Relief, Non-Drowsy, Liquid Medicine, Original Flavor, 12 Fluid Ounce</t>
  </si>
  <si>
    <t>B07JKZBL1F</t>
  </si>
  <si>
    <t>Viva Naturals EPA DHA Omega 3 Supplement, Triple-Strength Wild Caught Fish Oil Pills, Supports Heart and Brain Health, 2000 mg Omega 3 Fatty Acids per Serving Including EPA and DHA, 90 Softgels</t>
  </si>
  <si>
    <t>B014LE31OW</t>
  </si>
  <si>
    <t>-1.23%</t>
  </si>
  <si>
    <t>Mueller Sports Medicine Typhoon Kinesiology Therapeutic Tape, Pre-Cut I-Strips, Beige, 20 Count</t>
  </si>
  <si>
    <t>B08C6H3RKF</t>
  </si>
  <si>
    <t>-1.32%</t>
  </si>
  <si>
    <t>LP SUPPORT 759 Adjustable Elbow Support Wrap - Pain Relief for Tennis, Tendonitis, Sprained Elbows, Arthritis, Weightlifting, Workout, Golfer's Elbow, For Men, Women and Youth - One Size Fits All - (Black, Pack of 1)</t>
  </si>
  <si>
    <t>B07DBZJWKZ</t>
  </si>
  <si>
    <t>-1.41%</t>
  </si>
  <si>
    <t>Align Probiotic, Chewable Probiotic Tablets for Women and Men, Fortify Your Digestive System 24/7 with Healthy Bacteria, #1 Recommended Probiotic by Doctors and Gastroenterologists, 24 Tablets</t>
  </si>
  <si>
    <t>B01FV02YWA</t>
  </si>
  <si>
    <t>-1.64%</t>
  </si>
  <si>
    <t>Align Probiotic Bloating Relief + Food Digestion, Probiotics for Women and Men, 1 Doctor Recommended Brand, Promotes Digestive Health and Helps Support The Metabolism of Food*, 28 Capsules</t>
  </si>
  <si>
    <t>B0BS5L5JBH</t>
  </si>
  <si>
    <t>-1.67%</t>
  </si>
  <si>
    <t>Carex™ Ultra Grip 12in Bath Suction Grab Bar</t>
  </si>
  <si>
    <t>Carex Suction Shower Grab Bar – 12” Ultra Grip Shower Handle - Dual Locking Grab Bars for Bathtubs and Showers – Seniors, Disabled, Handicap, Elderly Assistance Product</t>
  </si>
  <si>
    <t>B004SI98XA</t>
  </si>
  <si>
    <t>16.15</t>
  </si>
  <si>
    <t>-1.92%</t>
  </si>
  <si>
    <t>6197538521240</t>
  </si>
  <si>
    <t>Prevagen Improves Memory - Extra Strength 20mg, 30 Capsules |1 Pack| with Apoaequorin &amp; Vitamin D with Attractive and Stackable Prevagen Storage Box | Brain Supplement for Better Brain Health</t>
  </si>
  <si>
    <t>B0BN6TDQV6</t>
  </si>
  <si>
    <t>-1.93%</t>
  </si>
  <si>
    <t>Ever Ready First Aid Medical and Nursing Lister Bandage Scissors 5.5" - Stainless Steel - Surgeries, Medical Care and Home Health Care</t>
  </si>
  <si>
    <t>B082VL63CX</t>
  </si>
  <si>
    <t>-1.96%</t>
  </si>
  <si>
    <t>Norm's Farms Daily Immune Elderberry Gummies - Vitamin C, Zinc &amp; Probiotics - Vegan, Gluten Free, Kosher, Non-GMO - 60 Gummies</t>
  </si>
  <si>
    <t>B086QKMQTZ</t>
  </si>
  <si>
    <t>-2.22%</t>
  </si>
  <si>
    <t>Pond's Ponds Fragrance-free Cold Cream Make-up Remover 6.1 Oz</t>
  </si>
  <si>
    <t>B07T6XJLB4</t>
  </si>
  <si>
    <t>-2.52%</t>
  </si>
  <si>
    <t>Major® Original Strength Heartburn Relief 10mg Famotidine Tablets 30ct.</t>
  </si>
  <si>
    <t>Major Famotidine Heartburn Relief (Acid Reducer), 10mg Original Strength, Unisex Adult, Pink Round Tablets, Flavorless, 30 Count, 1 Pack</t>
  </si>
  <si>
    <t>B004FMCN2C</t>
  </si>
  <si>
    <t>-2.60%</t>
  </si>
  <si>
    <t>6223330017432</t>
  </si>
  <si>
    <t>Afrin Childrens, Extra Moisturizing Stuffy Kids Nasal Spray Pump Mist, Up to 12 Hour Nasal Congestion Relief for Cold or Allergy Symptoms, for Children Ages 2-6 - Twin Pack, 30 mL</t>
  </si>
  <si>
    <t>B0BHCCVS3B</t>
  </si>
  <si>
    <t>-2.62%</t>
  </si>
  <si>
    <t>Metabolic Maintenance® L-Methylfolate 5mg Capsules 90ct.</t>
  </si>
  <si>
    <t>Metabolic Maintenance L-Methylfolate 5mg - Gluten-Free &amp; Dairy-Free Folate Supplement - Brain Supplement for Cognitive Health - Methylated Folate for Daily Use (90 Capsules)</t>
  </si>
  <si>
    <t>B0083UXH22</t>
  </si>
  <si>
    <t>-2.63%</t>
  </si>
  <si>
    <t>6651406352536</t>
  </si>
  <si>
    <t>Mueller Hot/Cold Therapy Wrap</t>
  </si>
  <si>
    <t>B000U0EUVU</t>
  </si>
  <si>
    <t>-2.76%</t>
  </si>
  <si>
    <t>Nature's Truth E-Cream Complex 4oz.</t>
  </si>
  <si>
    <t>Vitamin E Cream Complex | 4 oz | Moisturizing Skin Care Cream | by Nature's Truth</t>
  </si>
  <si>
    <t>B06X931RJL</t>
  </si>
  <si>
    <t>6160868769944</t>
  </si>
  <si>
    <t>DripDrop, ORS Electrolyte Powder for Fast Dehydration Relief Fruit Punch, 2.82 Ounce, 8 Count</t>
  </si>
  <si>
    <t>B0BX6L3B3V</t>
  </si>
  <si>
    <t>-2.90%</t>
  </si>
  <si>
    <t>Drive® Deluxe Automatic Blood Pressure Monitor</t>
  </si>
  <si>
    <t>Drive Medical Automatic Deluxe Blood Pressure Monitor, White, Wrist</t>
  </si>
  <si>
    <t>B06XBP65N9</t>
  </si>
  <si>
    <t>34.07</t>
  </si>
  <si>
    <t>-2.94%</t>
  </si>
  <si>
    <t>4896275988619</t>
  </si>
  <si>
    <t>HEALSTOK Cold Hat, Ice Cap, Ice Head Wrap, Cold &amp; Hot Therapy Reusable 360 Compression Flexible Ice Pack Head Wrap, Cold Head Park Wrap. Black</t>
  </si>
  <si>
    <t>B0BKSZW516</t>
  </si>
  <si>
    <t>-2.99%</t>
  </si>
  <si>
    <t>Imodium® A-D Anti-Diarrheal Caplets 24ct.</t>
  </si>
  <si>
    <t>14.73</t>
  </si>
  <si>
    <t>-3.05%</t>
  </si>
  <si>
    <t>6217491284120</t>
  </si>
  <si>
    <t>Cosamin DS For Joint Health Dietary Supplement, 210 Capsules</t>
  </si>
  <si>
    <t>B0000537O8</t>
  </si>
  <si>
    <t>-3.07%</t>
  </si>
  <si>
    <t>Aspercreme Pain Relieving Creme with Lidocaine</t>
  </si>
  <si>
    <t>Aspercreme with Lidocaine Maximum Strength Pain Relief Cream, 4.3 Oz</t>
  </si>
  <si>
    <t>B08WHLTGZN</t>
  </si>
  <si>
    <t>10.83</t>
  </si>
  <si>
    <t>6121499328664</t>
  </si>
  <si>
    <t>-3.78%</t>
  </si>
  <si>
    <t>Klaire Labs L Glutamine Capsules - 500 Milligrams Hypoallergenic Amino Acids Supplement - Supports Muscle &amp; GI Function - Dairy Free and Gluten Free - Dairy Free and Gluten-Free (100 Capsules)</t>
  </si>
  <si>
    <t>B001PYXL3I</t>
  </si>
  <si>
    <t>-3.85%</t>
  </si>
  <si>
    <t>GoodSense Omeprazole Delayed Release Tablets 20 mg, Cool Mint, Acid Reducer, Treats Frequent Heartburn, 42 Count</t>
  </si>
  <si>
    <t>B09SMWHS5Y</t>
  </si>
  <si>
    <t>GoodSense Omeprazole Delayed Release Tablets 20 mg, Stomach Acid Reducer for Frequent Heartburn Treatment, 14 Count (Pack of 3)</t>
  </si>
  <si>
    <t>B01M7565RL</t>
  </si>
  <si>
    <t>Carex Ultra Grip Shower Grab Bar - Shower Handle and Bathroom Bar - 12 Inch Safety Bar With Dual Locking Suction Cups For Bathtubs and Showers, Chrome</t>
  </si>
  <si>
    <t>B00K2M66TK</t>
  </si>
  <si>
    <t>-3.90%</t>
  </si>
  <si>
    <t>LOOPACELL 392/384 Silver Oxide Battery Card of 5</t>
  </si>
  <si>
    <t>B074F2DXT1</t>
  </si>
  <si>
    <t>-4.26%</t>
  </si>
  <si>
    <t>Osteo Bi-Flex Tumeric Joint Health Dietary Supplement Tablets</t>
  </si>
  <si>
    <t>34.49</t>
  </si>
  <si>
    <t>-4.38%</t>
  </si>
  <si>
    <t>5238431875224</t>
  </si>
  <si>
    <t>Gaia® Herbs Hair, Skin &amp; Nail Support Capsules 60ct.</t>
  </si>
  <si>
    <t>Gaia Herbs Hair, Skin &amp; Nail Support - Helps Promote Healthy Skin, Hair Growth &amp; Nail Growth - with Horsetail, Alfalfa, Burdock, Gotu Kola &amp; Nettle - 60 Vegan Liquid Phyto-Capsules (15-Day Supply)</t>
  </si>
  <si>
    <t>B0036THM8A</t>
  </si>
  <si>
    <t>-4.40%</t>
  </si>
  <si>
    <t>4865641578635</t>
  </si>
  <si>
    <t>-4.45%</t>
  </si>
  <si>
    <t>Senokot-S® Dual Action Laxative &amp; Stool Softener</t>
  </si>
  <si>
    <t>Senokot-S Dual Action Natural Vegetable Laxative Ingredient Plus Stool Softener Tablets, Docusate Sodium, Senna Concentrate, Gentle, Overnight Relief from Occasional Constipation, 60 ct</t>
  </si>
  <si>
    <t>B000IMLSQK</t>
  </si>
  <si>
    <t>-4.48%</t>
  </si>
  <si>
    <t>6118125306008</t>
  </si>
  <si>
    <t>Accu-Chek Guide Diabetes Control Solution for Diabetic Blood Glucose Monitoring (Level 1 &amp; 2 for Guide and Guide Me Test Meters)</t>
  </si>
  <si>
    <t>B07Z9N3HV2</t>
  </si>
  <si>
    <t>-4.67%</t>
  </si>
  <si>
    <t>Demineralization Cartridge Filter for Ultrasonic Humidifiers, 10-Pack Decalcification Cartridge for Humidifier &amp; Calcium Filter Replacement, Prevents Hard Water Build-Up</t>
  </si>
  <si>
    <t>B08R8GMRD3</t>
  </si>
  <si>
    <t>Nexcare Gentle Paper First Aid Tape, Ideal for Securing Gauze and Dressings, 1 in x 10 Yds Carded, 2 Pk</t>
  </si>
  <si>
    <t>B004XC6UQO</t>
  </si>
  <si>
    <t>-4.80%</t>
  </si>
  <si>
    <t>Coricidin HBP Maximum Strength Multi-Symptom Flu Tablets For Body Aches, Body Pains Cold and Cough Relief: Flu Medicine for Adults with High Blood Pressure - 24 Count</t>
  </si>
  <si>
    <t>B088Z2GNQ3</t>
  </si>
  <si>
    <t>-4.82%</t>
  </si>
  <si>
    <t>Liquid I.V. Hydration Multiplier - Passion Fruit - Hydration Powder Packets | Electrolyte Drink Mix | Easy Open Single-Serving Stick | Non-GMO | 8 Sticks</t>
  </si>
  <si>
    <t>B07HCLQZF7</t>
  </si>
  <si>
    <t>Colace Regular Strength Stool Softener 100 mg Capsules 60 Count Docusate Sodium Stool Softener for Gentle Dependable Relief</t>
  </si>
  <si>
    <t>B07M7ZXJLZ</t>
  </si>
  <si>
    <t>-5.25%</t>
  </si>
  <si>
    <t>AmLactin Daily Vitamin C Lotion - 7.9 oz Body Lotion with 7% Lactic Acid - Skin-Brightening Exfoliator and Moisturizer for Dry Skin</t>
  </si>
  <si>
    <t>B0C3K3PQLB</t>
  </si>
  <si>
    <t>-5.41%</t>
  </si>
  <si>
    <t>Citrucel Sugar Free Fiber Powder for Occasional Constipation Relief, Methylcellulose Fiber Powder, Orange Flavor - 16.9 Ounces</t>
  </si>
  <si>
    <t>B001F0QZBC</t>
  </si>
  <si>
    <t>Lotrimin® Daily Sweat &amp; Odor Control Medicated Foot Powder 6.25oz.</t>
  </si>
  <si>
    <t>Lotrimin Daily Sweat &amp; Odor Control Medicated Foot Powder - Antifungal Formula for Lasting Relief from Foot Odor, 6.25 Ounce (177 Grams)</t>
  </si>
  <si>
    <t>B08DK3YN33</t>
  </si>
  <si>
    <t>-5.68%</t>
  </si>
  <si>
    <t>6206554374296</t>
  </si>
  <si>
    <t>Duracell® 2016 3V Lithium Coin Battery</t>
  </si>
  <si>
    <t>Duracell CR2016 3V Lithium Battery, Child Safety Features, 4 Count Pack, Lithium Coin Battery for Key Fob, Car Remote, Glucose Monitor, CR Lithium 3 Volt Cell</t>
  </si>
  <si>
    <t>B00QJD13OE</t>
  </si>
  <si>
    <t>-5.71%</t>
  </si>
  <si>
    <t>6206499946648</t>
  </si>
  <si>
    <t>Cold &amp; Hot Therapy System Ice Pack Ice It! ® MaxCOMFORT™ (Wrist Wrap (570)) – from Battle Creek Equipment, Hot &amp; Cold Therapy Items Since 1931</t>
  </si>
  <si>
    <t>B01FXJN2KC</t>
  </si>
  <si>
    <t>Liquid I.V. Hydration Multiplier - Acai Berry - Hydration Powder Packets | Electrolyte Drink Mix | Easy Open Single-Serving Stick | Non-GMO | 8 Sticks</t>
  </si>
  <si>
    <t>B072FPHDBM</t>
  </si>
  <si>
    <t>-5.95%</t>
  </si>
  <si>
    <t>Ortho Molecular - Methyl B Complex - 60 Capsules</t>
  </si>
  <si>
    <t>B00VVHCHES</t>
  </si>
  <si>
    <t>-5.99%</t>
  </si>
  <si>
    <t>Mueller Fitted Wrist Brace Green Line Right Fitted Wrist SM/MD 5-8"</t>
  </si>
  <si>
    <t>B00RR2JO1K</t>
  </si>
  <si>
    <t>-6.01%</t>
  </si>
  <si>
    <t>Major Cough DM Dextromethorphan Polistirex Extended-Release Day or Night 12 Hour Cough Relief &amp; Suppressant - Orange Flavor - 3 fl oz (Delsym)</t>
  </si>
  <si>
    <t>B01MS8UZFK</t>
  </si>
  <si>
    <t>-6.18%</t>
  </si>
  <si>
    <t>MegaRed #1 Doctor Recommended Krill Oil Brand - 1000mg Omega 3 Supplement with EPA, DHA, Astaxanthin &amp; Phospholipids, Supports Heart, Brain, Joint and Eye Health, No Fish Oil Aftertaste - 60 Softgels</t>
  </si>
  <si>
    <t>B07B6HMNYD</t>
  </si>
  <si>
    <t>-6.22%</t>
  </si>
  <si>
    <t>Mueller® Plantar Fasciitis Arch Support One Size</t>
  </si>
  <si>
    <t>FunisFun Arch Support Plantar Fasciitis Relief Braces/Sleeve Orthotic Compression Support Wrap Aids for Foot Care, Feet Pain Relief, High Arches, Flat Feet, Heel Spurs(One Size, Adjustable)</t>
  </si>
  <si>
    <t>B0B4RR6819</t>
  </si>
  <si>
    <t>12.79</t>
  </si>
  <si>
    <t>6196345307288</t>
  </si>
  <si>
    <t>Gaia Herbs Black Seed Oil - Cold-Pressed Capsules for Lung, Respiratory, and Antioxidant Support - with Organic Nigella Seed Oil - Herbal Supplement - 60 Vegan Liquid Phyto-Capsules (30-Day Supply)</t>
  </si>
  <si>
    <t>B08NYHVHZ6</t>
  </si>
  <si>
    <t>-6.30%</t>
  </si>
  <si>
    <t>Duracell® 13 Hearing Aid Batteries with Easy-Fit Tab 8ct.</t>
  </si>
  <si>
    <t>Duracell Hearing Aid Batteries Orange Size 13, 32 Count Pack, 13A Size Hearing Aid Battery with Long-Lasting Power, Extra-Long EasyTab Install for Hearing Aid Devices</t>
  </si>
  <si>
    <t>B0BSB44WX4</t>
  </si>
  <si>
    <t>-6.32%</t>
  </si>
  <si>
    <t>6206513873048</t>
  </si>
  <si>
    <t>Children’s BENADRYL® Allergy Liquid</t>
  </si>
  <si>
    <t>Benadryl Children’s Dye-Free Allergy Liquid with Diphenhydramine HCl, Bubble Gum Flavor, 4 fl. oz</t>
  </si>
  <si>
    <t>B004DGO3WS</t>
  </si>
  <si>
    <t>-6.45%</t>
  </si>
  <si>
    <t>5243148664984</t>
  </si>
  <si>
    <t>Move Free Advanced Plus MSM, 120 Tablets - Joint Health Supplement with Glucosamine and Chondroitin</t>
  </si>
  <si>
    <t>B00IMVOY8I</t>
  </si>
  <si>
    <t>Depend Fresh Protection Adult Incontinence Underwear for Women (Formerly Depend Fit-Flex), Disposable, Maximum, Medium, Blush, 30 Count, Packaging May Vary</t>
  </si>
  <si>
    <t>B0792P353P</t>
  </si>
  <si>
    <t>Medline ActivICE Roll-On Cooling Gel, Topical Pain Relief for Arthritis, Joint, Muscle, Back &amp; Body Aches &amp; Pain, 3 oz (3 Count)</t>
  </si>
  <si>
    <t>B091FWT9RN</t>
  </si>
  <si>
    <t>Biofreeze Menthol Overnight Roll-On Pain Relieving Gel 2.5 FL OZ with Lavender Scent, Topical Pain Relief For Aches, Pains, Simple Backache, Arthritis, Strains, Bruises, And Sprains (Package May Vary)</t>
  </si>
  <si>
    <t>B0BWK7N9NG</t>
  </si>
  <si>
    <t>-6.74%</t>
  </si>
  <si>
    <t>Biofreeze Menthol Overnight Pain Relieving Gel 3 FL OZ Tube with Lavender Scent, Topical Pain Relief for Sore Muscles, Arthritis, Backaches, Strains, Sprains and Joint Pain (Packaging May Vary)</t>
  </si>
  <si>
    <t>B0BWK5ZZK5</t>
  </si>
  <si>
    <t>-7.22%</t>
  </si>
  <si>
    <t>Always Discreet Adult Incontinence &amp; Postpartum Underwear For Women, Classic Cut, Size X-Large, Maximum Absorbency, Disposable, 15 Count (Pack of 1)</t>
  </si>
  <si>
    <t>B00NAK3URM</t>
  </si>
  <si>
    <t>-7.40%</t>
  </si>
  <si>
    <t>Boat Cup Holder Folding Cup Holder Adjustable Drink Holder with Screws Wall Mount Plastic Cup Holder Car Water Bottle Holder Autos Boats Accessories for Trucks Autos Boats Accessories, Black</t>
  </si>
  <si>
    <t>B09XWK9NVD</t>
  </si>
  <si>
    <t>-7.46%</t>
  </si>
  <si>
    <t>Accu-Chek Guide Test Strips - 25 ct, Pack of 2</t>
  </si>
  <si>
    <t>B07LCYGXB1</t>
  </si>
  <si>
    <t>-7.55%</t>
  </si>
  <si>
    <t>Duracell® 10 Hearing Aid Batteries with Easy-Fit Tab 8ct.</t>
  </si>
  <si>
    <t>Duracell Hearing Aid Batteries Yellow Size 10, 32 Count Pack, 10A Size Hearing Aid Battery with Long-Lasting Power, Extra-Long EasyTab Install for Hearing Aid Devices</t>
  </si>
  <si>
    <t>B0BSB4W7N3</t>
  </si>
  <si>
    <t>-7.63%</t>
  </si>
  <si>
    <t>6206512595096</t>
  </si>
  <si>
    <t>Cepacol Extra Strength Sore Throat Lozenges, Cherry 16ct</t>
  </si>
  <si>
    <t>B00XQFJXK4</t>
  </si>
  <si>
    <t>-7.70%</t>
  </si>
  <si>
    <t>Cepacol Extra Strength Sore Throat Relief Lozenges, Honey Lemon Cough Drops, Maximum Numbing- Fast Acting Sore Throat, Mouth &amp; Canker Sore Pain Relief with Benzocaine &amp; Menthol, 16 Count</t>
  </si>
  <si>
    <t>B00DORUVLO</t>
  </si>
  <si>
    <t>ADC Temple Touch Digital LCD Fever Thermometer, Non Invasive and Quick Read, Suitable for Babies, Newborns, Kids, and Adults, Adtemp 427, White</t>
  </si>
  <si>
    <t>B003AGV8RU</t>
  </si>
  <si>
    <t>-7.76%</t>
  </si>
  <si>
    <t>Aspercreme Essential Oils Lidocaine Pain Relief With Lavender, Roll-On No Mess Applicator, 2.5 oz.</t>
  </si>
  <si>
    <t>B0815H293N</t>
  </si>
  <si>
    <t>Aspercreme Essential Oils Lidocaine Pain Relief Cream with Rejuvenating Eucalyptus Scent, 3 oz.</t>
  </si>
  <si>
    <t>B0BJLDKNZ3</t>
  </si>
  <si>
    <t>Aspercreme Essential Oils Lidocaine Pain Relief with Rosemary &amp; Mint, Roll-On No Mess Applicator, 2.5 oz.</t>
  </si>
  <si>
    <t>B08TFMP5LX</t>
  </si>
  <si>
    <t>RID Lice Treatment Complete Kit Includes Fluid Ounces Lice Killing Shampoo 2 Fluid Ounces Lice and Egg CombOut Spray Lice Comb and 3 Ounces Home Lice Bedbug Dust Mite Home Spray, 4 Piece Set, 1 Count</t>
  </si>
  <si>
    <t>B0045XF6AM</t>
  </si>
  <si>
    <t>-7.91%</t>
  </si>
  <si>
    <t>GoodSense® 350 mg Krill Oil 90 mg Omega-3 Softgels 60ct.</t>
  </si>
  <si>
    <t>Megared Omega-3 Krill Oil 350mg Softgels, (60 Count in A Bottle), EPA &amp; DHA Omega-3 Fatty Acids with No Fishy Aftertaste Unlike Fish Oil, Contains Antioxidant Astaxanthin</t>
  </si>
  <si>
    <t>B0020MMBWQ</t>
  </si>
  <si>
    <t>26.89</t>
  </si>
  <si>
    <t>-7.96%</t>
  </si>
  <si>
    <t>5240357388440</t>
  </si>
  <si>
    <t>Biofreeze Pain Relief Gel for Arthritis, 4 oz. Tube with Hands-Free Applicator, Fast Acting Cooling Pain Reliever for Muscle, Joint, &amp; Back Pain, Topical Analgesic, Original Green Formula</t>
  </si>
  <si>
    <t>B0032K1RUC</t>
  </si>
  <si>
    <t>-8.07%</t>
  </si>
  <si>
    <t>Benadryl Original Strength Itch Stopping Anti-Itch Cream, Diphenhydramine HCl Topical Analgesic &amp; Zinc Acetate Skin Protectant, Relief from Most Outdoor Itches, 1 oz (Pack of 2)</t>
  </si>
  <si>
    <t>B005CPGODU</t>
  </si>
  <si>
    <t>-8.25%</t>
  </si>
  <si>
    <t>Attends Underwear Large Extra Absorbency 18 Count AP0730</t>
  </si>
  <si>
    <t>B000TVOW36</t>
  </si>
  <si>
    <t>-8.34%</t>
  </si>
  <si>
    <t>GoodSense, Acid Reducer, Lansoprazole Delayed Release Capsules, 15 mg, 42 Count</t>
  </si>
  <si>
    <t>B008Y656V0</t>
  </si>
  <si>
    <t>-8.40%</t>
  </si>
  <si>
    <t>Aquaphor Lip Repair Lip Balm with Sunscreen, Lip Protectant, Lip Balm SPF 30, 0.35 Oz Tube</t>
  </si>
  <si>
    <t>B008SQSBJK</t>
  </si>
  <si>
    <t>-8.41%</t>
  </si>
  <si>
    <t>-8.42%</t>
  </si>
  <si>
    <t>Baby Bum Mineral SPF 50 Roll-On Sunscreen | Vegan and Hawaii 104 Reef Act Compliant (Octinoxate &amp; Oxybenzone Free) Broad Spectrum Moisturizing UVA/UVB Easy Roller Ball Sunscreen Lotion</t>
  </si>
  <si>
    <t>B09JHM7NGJ</t>
  </si>
  <si>
    <t>-8.67%</t>
  </si>
  <si>
    <t>Sudafed PE Sinus Pressure + Pain Relief Tablets, Maximum Strength, Non-Drowsy, Acetaminophen, Pain Reliever, Fever Reducer, Phenylephrine HCl, Decongestant, Sinus Congestion Relief; 24 ct; Pack of 1</t>
  </si>
  <si>
    <t>B009ITQYYA</t>
  </si>
  <si>
    <t>-8.69%</t>
  </si>
  <si>
    <t>-8.74%</t>
  </si>
  <si>
    <t>Sun Bum Mineral SPF 50 Sunscreen Lotion | Vegan and Hawaii 104 Reef Act Compliant (Octinoxate &amp; Oxybenzone Free) Broad Spectrum Natural Sunscreen with UVA/UVB Protection | 3 oz</t>
  </si>
  <si>
    <t>B072KGPSYP</t>
  </si>
  <si>
    <t>-8.87%</t>
  </si>
  <si>
    <t>Coricidin HBP, Decongestant-Free Cold Symptom Relief for People with High Blood Pressure, Maximum Strength, Flu &amp; Chest Congestion Liquid Gels, 24 Count</t>
  </si>
  <si>
    <t>B0B63WW9H4</t>
  </si>
  <si>
    <t>-8.96%</t>
  </si>
  <si>
    <t>Cara 70 Deluxe Washable Heating Pad, Moist/Dry, King Size</t>
  </si>
  <si>
    <t>B001BKS09Q</t>
  </si>
  <si>
    <t>Sun Bum Original SPF 30 Sunscreen Face Stick | Vegan and Hawaii 104 Reef Act Compliant (Octinoxate &amp; Oxybenzone Free) Broad Spectrum Moisturizing UVA/UVB Sunscreen with Vitamin E | .45 oz</t>
  </si>
  <si>
    <t>B007MV4BQY</t>
  </si>
  <si>
    <t>-9.21%</t>
  </si>
  <si>
    <t>Refresh Optive Advanced Lubricant Eye Drops, Preservative-Free, Single-Use Containers, 0.01 Fl Oz - 30 Count (Pack of 1)</t>
  </si>
  <si>
    <t>B00B5SEJEY</t>
  </si>
  <si>
    <t>-9.23%</t>
  </si>
  <si>
    <t>Nexcare Opticlude Orthoptic Eye Patch 1537, Junior, 2.44 in x 1.81 in, 20 Patches</t>
  </si>
  <si>
    <t>B000052XFU</t>
  </si>
  <si>
    <t>-9.27%</t>
  </si>
  <si>
    <t>Lotrimin Ultra Antifungal Jock Itch Cream - Powerful Butenafine Hydrochloride Treatment for Jock Itch and Fungal Infections, 0.42 Ounce (12 Grams) (Packaging May Vary)</t>
  </si>
  <si>
    <t>B00O2ZU4HS</t>
  </si>
  <si>
    <t>-9.29%</t>
  </si>
  <si>
    <t>Nexcare Micropore Gentle Paper Tape, Breathable, Dermatologist Tested, 0.64 Ounce</t>
  </si>
  <si>
    <t>B000GCRWQM</t>
  </si>
  <si>
    <t>-9.43%</t>
  </si>
  <si>
    <t>HealthA2Z® Daytime and Nighttime | Cold &amp; Flu Medicine | Powerful Multi-Symptom Daytime and Nighttime Relief (20 Softgels) (Nighttime Cold &amp; Flu Medicine (20 Count Pack of 1))</t>
  </si>
  <si>
    <t>B01N7C4UW2</t>
  </si>
  <si>
    <t>-9.62%</t>
  </si>
  <si>
    <t>DELSYM® 12 Hour Cough Relief Liquid</t>
  </si>
  <si>
    <t>15.39</t>
  </si>
  <si>
    <t>-9.75%</t>
  </si>
  <si>
    <t>5241688162456</t>
  </si>
  <si>
    <t>Omron 5 Series Wireless Upper Arm Blood Pressure Monitor</t>
  </si>
  <si>
    <t>B07RXL4ZPS</t>
  </si>
  <si>
    <t>-9.93%</t>
  </si>
  <si>
    <t>Nature Made Omega 3 Fish Oil 1200 mg, Fish Oil Supplements as Ethyl Esters, Omega 3 Fish Oil for Healthy Heart, Brain and Eyes Support, One Per Day, Omega 3 Supplement with 100 Softgels</t>
  </si>
  <si>
    <t>B0714CYKXR</t>
  </si>
  <si>
    <t>eos 100% Natural &amp; Organic Lip Balm- Sweet Mint, Dermatologist Recommended, All-Day Moisture Lip Care, Made for Sensitive Skin, 0.14 oz</t>
  </si>
  <si>
    <t>B07SN8CFT2</t>
  </si>
  <si>
    <t>-10.03%</t>
  </si>
  <si>
    <t>Smith &amp; Nephew Remove Adhesive Remover 8Oz Bottle (1 Bottle)</t>
  </si>
  <si>
    <t>B00JWSCIGK</t>
  </si>
  <si>
    <t>-10.14%</t>
  </si>
  <si>
    <t>King C. Gillette Double Edge Safety Razor Blades 10 count, Stainless Steel Platinum Coated Blades</t>
  </si>
  <si>
    <t>B08FNBT968</t>
  </si>
  <si>
    <t>-10.27%</t>
  </si>
  <si>
    <t>GoodSense® Esomeprazole Magnesium Delayed Release Acid Reducer Capsules 42ct.</t>
  </si>
  <si>
    <t>GoodSense Esomeprazole Magnesium Delayed-Release Mini Capsules, 20 mg, Acid Reducer, 42 Count</t>
  </si>
  <si>
    <t>B08698FDT9</t>
  </si>
  <si>
    <t>-10.38%</t>
  </si>
  <si>
    <t>6225817600152</t>
  </si>
  <si>
    <t>Metamucil, Psyllium Husk Fiber Supplement, 3-in-1 Fiber for Digestive Health, Plant Based Fiber, 100 Capsules (Pack of 2)</t>
  </si>
  <si>
    <t>B001G7QVPE</t>
  </si>
  <si>
    <t>-10.39%</t>
  </si>
  <si>
    <t>Flonase Allergy Relief Nasal Spray, 24 Hour Non Drowsy Allergy Medicine, Metered Nasal Spray - 144 Sprays- Fall and Seasonal Allergy Relief</t>
  </si>
  <si>
    <t>B088WKBSP7</t>
  </si>
  <si>
    <t>-10.60%</t>
  </si>
  <si>
    <t>Natural Factors 20 mg Easy Iron Chewable Tablets</t>
  </si>
  <si>
    <t>Carlson - Chewable Iron, 30 mg, Superior Absorption, Blood Health, Energy Production &amp; Optimal Wellness, Chewable Iron Supplement for Women &amp; Men, Natural Strawberry Flavor, 120 Tablets</t>
  </si>
  <si>
    <t>B07JH154HM</t>
  </si>
  <si>
    <t>-10.71%</t>
  </si>
  <si>
    <t>5240447139992</t>
  </si>
  <si>
    <t>Mommy's Bliss Gripe Water Night Time, Infant Gas &amp; Colic Relief, Gentle &amp; Safe, 4 Weeks+, 4 FL OZ Bottle (Pack of 1)</t>
  </si>
  <si>
    <t>B00R42HKGO</t>
  </si>
  <si>
    <t>-10.82%</t>
  </si>
  <si>
    <t>Apex Copper Wrist Band</t>
  </si>
  <si>
    <t>CopperJoint Compression Wrist Support – Copper Infused Bands Support Improved Circulation, Recovery, Help Relieve Stiff &amp; Sore Muscles - 1 Pair (Large)</t>
  </si>
  <si>
    <t>B076ZS1BJL</t>
  </si>
  <si>
    <t>-10.92%</t>
  </si>
  <si>
    <t>6197904408728</t>
  </si>
  <si>
    <t>MONISTAT® 1-Dose Yeast Infection Treatment, 1 Ovule Insert &amp; External Itch Cream</t>
  </si>
  <si>
    <t>Monistat 1 Day Yeast Infection Treatment for Women, 1 Miconazole Ovule Insert &amp; External Monistat Anti-Itch Cream Bundle + 10 fl oz Boric Acid Feminine Cleanser</t>
  </si>
  <si>
    <t>B08W6CKYCT</t>
  </si>
  <si>
    <t>24.59</t>
  </si>
  <si>
    <t>-10.98%</t>
  </si>
  <si>
    <t>6177696514200</t>
  </si>
  <si>
    <t>Lipo-Flavonoid Plus, Tinnitus Relief for Ringing Ears, OTC Flavonoid Ear Health Vitamins, Bioflavonoids &amp; Vitamin C, 150 Caplets</t>
  </si>
  <si>
    <t>B07GTHKNC6</t>
  </si>
  <si>
    <t>-11.09%</t>
  </si>
  <si>
    <t>eos 100% Natural Lip Balm- Watermelon Frosé, Dermatologist Recommended for Sensitive Skin, All-Day Moisture Lip Care, 0.14 oz</t>
  </si>
  <si>
    <t>B0B2TXG3LR</t>
  </si>
  <si>
    <t>-11.14%</t>
  </si>
  <si>
    <t>Nutricost Bromelain 500mg, 120 Vegetarian Capsules - Bromelain (2400 GDU/g), Non-GMO, Gluten Free</t>
  </si>
  <si>
    <t>B07TK4ZTLP</t>
  </si>
  <si>
    <t>-11.34%</t>
  </si>
  <si>
    <t>Vitamin D3-50 100 Capsules BIO-TECH</t>
  </si>
  <si>
    <t>B004N11UYM</t>
  </si>
  <si>
    <t>-11.35%</t>
  </si>
  <si>
    <t>Replesta NX 14,000 IU Vitamin D3 Cholecalciferol, for Vitamin D Deficiency, Once-Weekly Chewable Wafer, Non-GMO, Natural Orange Flavor, 8 Tablets</t>
  </si>
  <si>
    <t>B00A9BH602</t>
  </si>
  <si>
    <t>-11.42%</t>
  </si>
  <si>
    <t>Mueller® Adjustable Wrist Brace With Splint One Size</t>
  </si>
  <si>
    <t>Mueller Sports Medicine Reversible 3-in-1 Wrist Brace with Splint, For Men and Women, Black/Blue, One Size</t>
  </si>
  <si>
    <t>B08C6M6QRV</t>
  </si>
  <si>
    <t>19.19</t>
  </si>
  <si>
    <t>-11.46%</t>
  </si>
  <si>
    <t>6196239401112</t>
  </si>
  <si>
    <t>Bell-Horn® Abdominal Support</t>
  </si>
  <si>
    <t>Bell-Horn Maternity Abdominal Pregnancy Support, XL</t>
  </si>
  <si>
    <t>B0039VQG8C</t>
  </si>
  <si>
    <t>45.23</t>
  </si>
  <si>
    <t>-11.59%</t>
  </si>
  <si>
    <t>6196474085528</t>
  </si>
  <si>
    <t>Amazon Basic Care ClearLax, Polyethylene Glycol 3350 Powder for Solution, Osmotic Laxative, Unflavored, 8.3 Ounces</t>
  </si>
  <si>
    <t>B074F2X43S</t>
  </si>
  <si>
    <t>Gold Bond Medicated Talc-Free Extra Strength Body Powder, 10 oz., for Cooling, Absorbing Itch Relief</t>
  </si>
  <si>
    <t>B08W5F5X6Z</t>
  </si>
  <si>
    <t>-11.71%</t>
  </si>
  <si>
    <t>-11.78%</t>
  </si>
  <si>
    <t>Bio-Tech Pharmacal D3-50 50,000 IU, 100 Capsules – All-Natural Supplement – Supports Bone, Cardiovascular, Neuromuscular, &amp; Immune Health – No Dairy, Fish, Gluten, Peanut, Shellfish, &amp; Soy</t>
  </si>
  <si>
    <t>B000A0F2B2</t>
  </si>
  <si>
    <t>-11.97%</t>
  </si>
  <si>
    <t>Crane® Ultrasonic Cool Mist Humidifier</t>
  </si>
  <si>
    <t>Crane Diffuser and Top Fill Ultrasonic Air Humidifiers for Bedroom and Office, 1.2 Gallon Cool Mist Humidifier for Large Room and Home, No Humidifier Filters Needed, White</t>
  </si>
  <si>
    <t>B07X279GWZ</t>
  </si>
  <si>
    <t>65.99</t>
  </si>
  <si>
    <t>-12.12%</t>
  </si>
  <si>
    <t>6132303429784</t>
  </si>
  <si>
    <t>Poise Incontinence Pads &amp; Postpartum Incontinence Pads, 4 Drop Moderate Absorbency, Regular Length, 66 Count, Packaging May Vary</t>
  </si>
  <si>
    <t>B007E4ZZPU</t>
  </si>
  <si>
    <t>-12.42%</t>
  </si>
  <si>
    <t>Sudafed PE Head Congestion + Mucus Tablets for Sinus Pressure, Pain &amp; Congestion, 24 ct</t>
  </si>
  <si>
    <t>B01EMZB43K</t>
  </si>
  <si>
    <t>-12.51%</t>
  </si>
  <si>
    <t>Biofreeze Menthol Pain Relieving Gel 4 FL OZ Tube Topical Pain Relief For Sore Muscles, Arthritis, Simple Backaches, And Joint Pain (Packaging May Vary)</t>
  </si>
  <si>
    <t>B0056PTKY6</t>
  </si>
  <si>
    <t>-12.54%</t>
  </si>
  <si>
    <t>Rite Aid Budesonide Allergy Nasal Spray - 120 Metered Sprays | 24-Hr Non-Drowsy Allergy Relief | Sinus Medicine | Decongestants for Adults</t>
  </si>
  <si>
    <t>B07SYCLCRZ</t>
  </si>
  <si>
    <t>Listerine Original Antiseptic Oral Care Mouthwash to Kill 99% of Germs That Cause Bad Breath, Plaque and Gingivitis, ADA-Accepted Mouthwash, Original Flavored Oral Rinse, 1 L</t>
  </si>
  <si>
    <t>B005IHSM32</t>
  </si>
  <si>
    <t>-12.64%</t>
  </si>
  <si>
    <t>-12.68%</t>
  </si>
  <si>
    <t>Flonase Sensimist Allergy Relief Nasal Spray Non Drowsy Allergy Medication, Gentle Mist - 120 Sprays - Fall and Seasonal Allergy Relief</t>
  </si>
  <si>
    <t>B01NBHYT1N</t>
  </si>
  <si>
    <t>-12.92%</t>
  </si>
  <si>
    <t>BAND-AID® Brand Skin-Flex® Bandages Assorted, 20+6 Count</t>
  </si>
  <si>
    <t>B07F88H6W9</t>
  </si>
  <si>
    <t>-13.27%</t>
  </si>
  <si>
    <t>-13.31%</t>
  </si>
  <si>
    <t>Carex Folding Aluminum Under Arm Crutches - Lightweight Crutches for Adults 4'11" to 6'1", Adult Crutches, 2 Crutches Included, Universal Crutches for Walking</t>
  </si>
  <si>
    <t>B00F6656D4</t>
  </si>
  <si>
    <t>-13.35%</t>
  </si>
  <si>
    <t>Nature Made® CoQ10 100mg Softgels</t>
  </si>
  <si>
    <t>Nature's Bounty CoQ10 100mg Plus L-Carnitine, Supports Heart Health, Dietary Supplement Twin Pack, 120 Softgels</t>
  </si>
  <si>
    <t>B0040T9XOG</t>
  </si>
  <si>
    <t>28.06</t>
  </si>
  <si>
    <t>-13.44%</t>
  </si>
  <si>
    <t>4898768355467</t>
  </si>
  <si>
    <t>Amazon Basic Care Omeprazole Delayed Release Tablets 20 mg, Acid Reducer, Wildberry Mint Coated Tablet, Heartburn Medicine, 42 Count</t>
  </si>
  <si>
    <t>B074F2TF71</t>
  </si>
  <si>
    <t>-13.47%</t>
  </si>
  <si>
    <t>Amazing Herbs Premium Black Seed Oil Capsules - High Potency, Cold Pressed Nigella Sativa Aids in Digestive Health, Immune Support &amp; Brain Function - 60 Count, 1250mg</t>
  </si>
  <si>
    <t>B017KQZC6I</t>
  </si>
  <si>
    <t>21st Century Acidophilus Probiotic Blend Capsules, 150 Count</t>
  </si>
  <si>
    <t>B0016OHSJ0</t>
  </si>
  <si>
    <t>-13.75%</t>
  </si>
  <si>
    <t>Gaia Herbs Ashwagandha Root - Made with Organic Ashwagandha Root to Help Support a Healthy Response to Stress, The Immune System, and Restful Sleep - 60 Vegan Liquid Phyto-Capsules (30-Day Supply)</t>
  </si>
  <si>
    <t>B003HD9H0G</t>
  </si>
  <si>
    <t>-13.81%</t>
  </si>
  <si>
    <t>Amazon Basic Care Children's Ibuprofen Oral Suspension, 100 mg per 5 mL, Pain Reliever and Fever Reducer, Berry Flavor, For Sore Throat, Headache Relief and More, 8 Fluid Ounces</t>
  </si>
  <si>
    <t>B074F2X581</t>
  </si>
  <si>
    <t>-13.89%</t>
  </si>
  <si>
    <t>Amazon Basic Care Low Dose Chewable Aspirin 81 mg Tablets, Pain Reliever, Orange Flavor, 36 Count</t>
  </si>
  <si>
    <t>B07VQTYRTX</t>
  </si>
  <si>
    <t>Duracell® 675 Hearing Aid Batteries with Easy-Fit Tab 6ct.</t>
  </si>
  <si>
    <t>Duracell Hearing Aid Batteries Blue Size 675, 12 Count Pack, 675A Size Hearing Aid Battery with Long-lasting Power, Extra-Long EasyTab Install for Hearing Aid Devices</t>
  </si>
  <si>
    <t>B005MI8UOS</t>
  </si>
  <si>
    <t>-14.08%</t>
  </si>
  <si>
    <t>6206509809816</t>
  </si>
  <si>
    <t>Nexcare Flexible Clear Tape, Waterproof Transparent Medical Tape, Secures Dressings and Catheter Tubing - 1 In x 10 Yds, 2 Rolls of Tape</t>
  </si>
  <si>
    <t>B001G7R9YQ</t>
  </si>
  <si>
    <t>-14.41%</t>
  </si>
  <si>
    <t>HealthA2Z® Daytime and Nighttime | Cold &amp; Flu Medicine | Powerful Multi-Symptom Daytime and Nighttime Relief (20 Softgels) (Daytime Cold &amp; Flu Medicine (20 Count Pack of 1))</t>
  </si>
  <si>
    <t>B01MXS5I2P</t>
  </si>
  <si>
    <t>-14.49%</t>
  </si>
  <si>
    <t>Breathe Right Original Nasal Strips | Tan Nasal Strips | Sm/Med | Help Stop Snoring | Drug-Free Snoring Solution &amp; Instant Nasal Congestion Relief Caused By Colds &amp; Allergies 30ct (packaging may vary)</t>
  </si>
  <si>
    <t>B01JH15SOU</t>
  </si>
  <si>
    <t>Sudafed PE Head Congestion + Flu Severe Decongestant Tablets for Adults, 24 ct</t>
  </si>
  <si>
    <t>B00M0N0ZCS</t>
  </si>
  <si>
    <t>-15.27%</t>
  </si>
  <si>
    <t>GoodSense Extra Strength Pain Relief, Acetaminophen Caplets, 500 mg, 50 Count</t>
  </si>
  <si>
    <t>B00D2PAQEU</t>
  </si>
  <si>
    <t>-15.34%</t>
  </si>
  <si>
    <t>Apex Ultra Pill Cutter - Pill Splitter With Retracting Blade Guard - For Cutting Small Pills or Large Pills In Half, Blue/Green and Clear, 1 Count, Assorted Colors</t>
  </si>
  <si>
    <t>B000EGKTGK</t>
  </si>
  <si>
    <t>-15.36%</t>
  </si>
  <si>
    <t>Zler Narrow Folding Walker for Seniors with Trigger Release and 5 Inches Wheels, Lightweight Supports up to 300 lb</t>
  </si>
  <si>
    <t>B08RRS34VP</t>
  </si>
  <si>
    <t>-15.38%</t>
  </si>
  <si>
    <t>NATURELO Vitamin B Complex with Methyl B12, Methyl Folate, Vitamin B6, Biotin Plus Choline, CoQ10, and Fruit &amp; Vegetable Blend - Supports Energy &amp; Healthy Stress Response - Vegan - 120 Capsules</t>
  </si>
  <si>
    <t>B078V2VLCT</t>
  </si>
  <si>
    <t>-15.41%</t>
  </si>
  <si>
    <t>Global Deluxe Male Urinal Incontinence Pee Bottle 32oz./1000ml with Cover (Glow in The Dark Lid, Pack of 2)</t>
  </si>
  <si>
    <t>B08HH8CDZ4</t>
  </si>
  <si>
    <t>-15.45%</t>
  </si>
  <si>
    <t>Mueller Sports Medicine Adjustable Back Brace, Back Support, For Men and Women, Black, One Size</t>
  </si>
  <si>
    <t>B001OAXE0S</t>
  </si>
  <si>
    <t>-15.57%</t>
  </si>
  <si>
    <t>Puregen Labs Nasal Decongestant PE 100 Tablets | Phenylephrine HCl 10 mg Tablets | Maximum Strength | Non Drowsy Nasal &amp; Sinus Congestion Relief Due to Cold or Allergies (1)</t>
  </si>
  <si>
    <t>B0BNP3VVV9</t>
  </si>
  <si>
    <t>-15.69%</t>
  </si>
  <si>
    <t>Mommy's Bliss Gripe Water Original, Infant Gas &amp; Colic Relief, Gentle &amp; Safe, 2 Weeks+, 4 Fl Oz (Pack of 1)</t>
  </si>
  <si>
    <t>B000R3BJA0</t>
  </si>
  <si>
    <t>-15.75%</t>
  </si>
  <si>
    <t>Mueller Carpal Tunnel Wrist Stabilizer Small/Medium</t>
  </si>
  <si>
    <t>B004X8PQL8</t>
  </si>
  <si>
    <t>-15.81%</t>
  </si>
  <si>
    <t>ONE A DAY® Prenatal Advanced Complete Multivitamin 30 Softgels &amp; 30 Tablets</t>
  </si>
  <si>
    <t>One A Day Womens Prenatal Advanced Complete Multivitamin with Brain Support* with Choline, Folic Acid, Omega-3 DHA &amp; Iron for Pre, During and Post Pregnancy, 30+30 Count (60 Count Total Set)</t>
  </si>
  <si>
    <t>B084PHGYSX</t>
  </si>
  <si>
    <t>-15.99%</t>
  </si>
  <si>
    <t>6225827823768</t>
  </si>
  <si>
    <t>NeilMed NasaFlo® Neti Pot</t>
  </si>
  <si>
    <t>NeilMed Nasaflo Porcelain Neti Pot, 50 Count (packaging may vary)</t>
  </si>
  <si>
    <t>B004W7F6DI</t>
  </si>
  <si>
    <t>-16.12%</t>
  </si>
  <si>
    <t>5241186418840</t>
  </si>
  <si>
    <t>NeilMed NasaFlo Unbreakable Neti Pot with 50 Premixed Packets</t>
  </si>
  <si>
    <t>B000ITHH86</t>
  </si>
  <si>
    <t>-16.14%</t>
  </si>
  <si>
    <t>Prilosec OTC, Omeprazole Delayed Release 20mg, Acid Reducer, Treats Frequent Heartburn for 24 Hour Relief, All Day, All Night*, Wildberry Flavor, 20mg, 14 Tablets</t>
  </si>
  <si>
    <t>B00861STV2</t>
  </si>
  <si>
    <t>-16.68%</t>
  </si>
  <si>
    <t>Curad Flex-Fabric Adhesive Bandages, Assorted Sizes, 30 Count</t>
  </si>
  <si>
    <t>B003YP28G2</t>
  </si>
  <si>
    <t>-16.70%</t>
  </si>
  <si>
    <t>Cetaphil Fragrance Free Moisturizing Cream for Very Dry/Sensitive Skin, 3 Ounce</t>
  </si>
  <si>
    <t>B07GF34ZVF</t>
  </si>
  <si>
    <t>-17.00%</t>
  </si>
  <si>
    <t>Nature's Bounty Fish Oil plus D3, Contains Omega 3, Immune Support &amp; Supports Heart Health, 1200mg Fish Oil, 360mg Omega 3, 1000IU Vitamin D3, 90 Softgels</t>
  </si>
  <si>
    <t>B0021A8KRM</t>
  </si>
  <si>
    <t>-17.04%</t>
  </si>
  <si>
    <t>Emergen-C® 1000mg Vitamin C Packets 30ct.</t>
  </si>
  <si>
    <t>Emergen-C (30 Count, Raspberry Flavor, 1 Month Supply) Dietary Supplement Fizzy Drink Mix with 1000mg Vitamin C, 0.32 Ounce Packets, Caffeine Free</t>
  </si>
  <si>
    <t>B07D47RFBH</t>
  </si>
  <si>
    <t>14.49</t>
  </si>
  <si>
    <t>-17.25%</t>
  </si>
  <si>
    <t>6138985218200</t>
  </si>
  <si>
    <t>Accu-chek Guide 50 Strips Reta</t>
  </si>
  <si>
    <t>B072DZXBSS</t>
  </si>
  <si>
    <t>-17.29%</t>
  </si>
  <si>
    <t>Cold Medicine for Kids Ages 2+ by Hyland's, Cold 'n Mucus Relief Liquid, Natural Relief of Mucus &amp; Congestion, Runny Nose, Cough, 4 Ounces</t>
  </si>
  <si>
    <t>B00NNR2JD8</t>
  </si>
  <si>
    <t>-17.37%</t>
  </si>
  <si>
    <t>OraCoat Xylimelts® Dry Mouth Stick-On Melts for Moisturizing 40ct.</t>
  </si>
  <si>
    <t>OraCoat® XyliMelts Dry Mouth Stick-on™ Melts for Moisturizing, Cinnamon with Xylitol, For Dry Mouth, Stimulates Saliva, Non-Acidic, Day and Night Use, 40 Count</t>
  </si>
  <si>
    <t>B0BX75YX42</t>
  </si>
  <si>
    <t>6166047916184</t>
  </si>
  <si>
    <t>Mueller 255 Lumbar Support Back Brace with Removable Pad, Black, Regular(Package May Vary)</t>
  </si>
  <si>
    <t>B00267SFKC</t>
  </si>
  <si>
    <t>Hyland's® Leg Cramps Relief Ointment</t>
  </si>
  <si>
    <t>Hyland's Naturals Leg Cramps Ointment, Arnica Gel Leg Cramp Relief, Natural Relief of Calf, Leg and Foot Cramp, 2.5 oz</t>
  </si>
  <si>
    <t>B0001VKXM8</t>
  </si>
  <si>
    <t>-17.42%</t>
  </si>
  <si>
    <t>5247248203928</t>
  </si>
  <si>
    <t>GoodSense Esomeprazole Magnesium Delayed Release Capsules 20 mg, Acid Reducer, Treats Heartburn, 28 Count</t>
  </si>
  <si>
    <t>B01N194J52</t>
  </si>
  <si>
    <t>-17.51%</t>
  </si>
  <si>
    <t>Slow Release Iron 45 mg | 180 Tablets | Vegetarian, Non-GMO, and Gluten Free Formula | Ferrous Sulfate Mineral Supplement | by Carlyle</t>
  </si>
  <si>
    <t>B09HMZRZSF</t>
  </si>
  <si>
    <t>-17.64%</t>
  </si>
  <si>
    <t>First Response™ Early Result Pregnancy Test 2ct.</t>
  </si>
  <si>
    <t>First Response Early Result Pregnancy Test, 2 Count (Packaging &amp; Test Design May Vary) (Pack of 2)</t>
  </si>
  <si>
    <t>B001E96NBQ</t>
  </si>
  <si>
    <t>-17.66%</t>
  </si>
  <si>
    <t>6177619214488</t>
  </si>
  <si>
    <t>Dr. Scholl's Ball of Foot Cushions for High Heels (Size 6-10) // Relieve and Prevent Ball of Foot Pain with Discreet Cushions That Absorb Shock and Make High Heels More Comfortable</t>
  </si>
  <si>
    <t>B0862RD2NQ</t>
  </si>
  <si>
    <t>Flonase Allergy Relief Nasal Spray, 24 Hour Non Drowsy Allergy Medicine, Metered Nasal Spray - 72 Sprays plus Bonus Pack of Tissues - Fall and Seasonal Allergy Relief</t>
  </si>
  <si>
    <t>B09J19Q189</t>
  </si>
  <si>
    <t>-17.70%</t>
  </si>
  <si>
    <t>Spring Valley Slow-Release Iron Tablets Dietary Supplement, 45 mg, 30 Count</t>
  </si>
  <si>
    <t>B0BLRCTPRW</t>
  </si>
  <si>
    <t>-17.81%</t>
  </si>
  <si>
    <t>Contour® Next Blood Glucose Test Strips</t>
  </si>
  <si>
    <t>72.99</t>
  </si>
  <si>
    <t>4896017219723</t>
  </si>
  <si>
    <t>Contour® Blood Glucose Test Strips</t>
  </si>
  <si>
    <t>4895961153675</t>
  </si>
  <si>
    <t>Philips® Sonicare G2 Optimal Gum Care Brush Heads 3ct</t>
  </si>
  <si>
    <t>Philips Sonicare Genuine G2 Optimal Gum Care Replacement Toothbrush Heads, 3 Brush Heads, White, HX9033/65</t>
  </si>
  <si>
    <t>B078BF2BGN</t>
  </si>
  <si>
    <t>38.89</t>
  </si>
  <si>
    <t>-17.82%</t>
  </si>
  <si>
    <t>6166218375320</t>
  </si>
  <si>
    <t>Fingertip Pulse Oximeter</t>
  </si>
  <si>
    <t>Innovo Deluxe iP900AP Fingertip Pulse Oximeter with Plethysmograph and Perfusion Index (Off-White with Black)</t>
  </si>
  <si>
    <t>B07YVGZPRZ</t>
  </si>
  <si>
    <t>42.63</t>
  </si>
  <si>
    <t>-17.92%</t>
  </si>
  <si>
    <t>6081068859544</t>
  </si>
  <si>
    <t>Megared Ultra Strength Krill Oil Omega 3 Supplement, 750mg – EPA &amp; DHA Antioxidant Astaxanthin for Heart Health, 80 Softgels, No Fish Aftertaste</t>
  </si>
  <si>
    <t>B07B6HTHDB</t>
  </si>
  <si>
    <t>-17.93%</t>
  </si>
  <si>
    <t>Florastor Daily Probiotic Supplement</t>
  </si>
  <si>
    <t>Florastor Daily Probiotic Supplement for Women and Men, Use with Antibiotics, Saccharomyces Boulardii CNCM I-745 (20 Capsule, Pack of 2)</t>
  </si>
  <si>
    <t>B01KCJ99DW</t>
  </si>
  <si>
    <t>-18.02%</t>
  </si>
  <si>
    <t>6120037646488</t>
  </si>
  <si>
    <t>Nature Made Potassium Gluconate 550mg, 100 tablets</t>
  </si>
  <si>
    <t>B00EYC4D62</t>
  </si>
  <si>
    <t>-18.32%</t>
  </si>
  <si>
    <t>Similasan Kids Cold &amp; Mucus Relief Syrup Plus Echinacea 4 Oz</t>
  </si>
  <si>
    <t>B01LYIHRD7</t>
  </si>
  <si>
    <t>-18.41%</t>
  </si>
  <si>
    <t>Megared Krill Oil 350mg Omega 3 Supplement, 1 Dr Recommended Krill Oil Brand with EPA, DHA, Astaxanthin &amp; Phopholipids, Supports Heart, Brain, Joint and Eye Health - 130 Softgels (130 Servings)</t>
  </si>
  <si>
    <t>B01070FUDE</t>
  </si>
  <si>
    <t>-18.56%</t>
  </si>
  <si>
    <t>RectiCare Anorectal Lidocaine 5% Cream: Topical Numbing Cream for Treatment of Hemorrhoids &amp; Other Anorectal Disorders - 30g Tube</t>
  </si>
  <si>
    <t>B0085A32G6</t>
  </si>
  <si>
    <t>-18.58%</t>
  </si>
  <si>
    <t>Crane Adorables Ultrasonic Cool Mist Humidifier, Filter Free, 1 Gallon, 24 Hour Run Time, Whisper Quite, for Home Bedroom Baby Nursery and Office, Elephant</t>
  </si>
  <si>
    <t>B000GWHDES</t>
  </si>
  <si>
    <t>-18.94%</t>
  </si>
  <si>
    <t>Rite Aid Sinus Pressure and Pain Reliever PE, Non-Drowsy - 24 Tablets | Sinus Relief | Pain Relief | Nasal Decongestant | Cold Medicine for Adults | Allergy Medication | Allergy Relief | Mucus Relief</t>
  </si>
  <si>
    <t>B001KYO7D6</t>
  </si>
  <si>
    <t>-19.00%</t>
  </si>
  <si>
    <t>Band-Aid Brand First Aid Water Block 100% Waterproof Self-Adhesive Tape Roll for Durable Wound Care to Firmly Secure Bandages, 1 in by 10 yd</t>
  </si>
  <si>
    <t>B01MDT6OSK</t>
  </si>
  <si>
    <t>-19.22%</t>
  </si>
  <si>
    <t>Nature Made® Vitamin B12 500mcg Tablets 100ct.</t>
  </si>
  <si>
    <t>Nature's Bounty Vitamin B12, Supports Energy Metabolism and Nervous System Health, 500mcg, Tablets, 100 Ct</t>
  </si>
  <si>
    <t>B002I3V8B2</t>
  </si>
  <si>
    <t>9.39</t>
  </si>
  <si>
    <t>-19.28%</t>
  </si>
  <si>
    <t>4898181611659</t>
  </si>
  <si>
    <t>Nix Complete Lice Treatment Kit, Lice Treatment for Hair, Lice Spray for Home, Lice Comb</t>
  </si>
  <si>
    <t>B00BN7TABY</t>
  </si>
  <si>
    <t>-19.42%</t>
  </si>
  <si>
    <t>Refresh P.M. Lubricant Eye Ointment, Nighttime Relief, Preservative-Free, 0.12 Oz Sterile, Packaging May Vary</t>
  </si>
  <si>
    <t>B000052XC0</t>
  </si>
  <si>
    <t>-19.60%</t>
  </si>
  <si>
    <t>Tec Labs Licefreee Kit All-in-One Complete Lice Killing Treatment, Daily Maintenance Shampoo &amp; Professional Nit Comb in One Box, 4 Piece Set</t>
  </si>
  <si>
    <t>B0786RMP5Y</t>
  </si>
  <si>
    <t>-19.68%</t>
  </si>
  <si>
    <t>Nature Made CoQ10 100mg, Dietary Supplement for Heart Health Support, 120 Softgels, 120 Day Supply</t>
  </si>
  <si>
    <t>B08XXHC754</t>
  </si>
  <si>
    <t>-19.85%</t>
  </si>
  <si>
    <t>Best Triple Strength Omega 3 Fish Oil Pills - 180 Capsules - 2400mg High Potency Burpless Lemon Flavor 864mg EPA 576mg DHA Ultra Pure Liquid Softgels for Brain Joints Eyes Heart Health Supplement</t>
  </si>
  <si>
    <t>B01MXZ3YD4</t>
  </si>
  <si>
    <t>-19.88%</t>
  </si>
  <si>
    <t>Aquaphor Lip Repair Ointment - Long-lasting Moisture to Soothe Dry Chapped Lips - .35 fl. oz. Tube</t>
  </si>
  <si>
    <t>B004FHZKOA</t>
  </si>
  <si>
    <t>-19.89%</t>
  </si>
  <si>
    <t>-19.94%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</si>
</sst>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2"/>
      <color theme="10"/>
      <name val="Calibri"/>
      <family val="2"/>
      <scheme val="minor"/>
    </font>
  </fonts>
  <fills count="3">
    <fill>
      <patternFill patternType="none"/>
    </fill>
    <fill>
      <patternFill patternType="gray125"/>
    </fill>
    <fill>
      <patternFill patternType="solid">
        <fgColor rgb="FF91BF4D"/>
        <bgColor rgb="FF91BF4D"/>
      </patternFill>
    </fill>
  </fills>
  <borders count="1">
    <border>
      <left/>
      <right/>
      <top/>
      <bottom/>
      <diagonal/>
    </border>
  </borders>
  <cellStyleXfs count="2">
    <xf numFmtId="0" fontId="0" fillId="0" borderId="0"/>
    <xf numFmtId="0" fontId="2" fillId="0" borderId="0"/>
  </cellStyleXfs>
  <cellXfs count="4">
    <xf numFmtId="0" fontId="0" fillId="0" borderId="0" xfId="0"/>
    <xf numFmtId="0" fontId="1" fillId="0" borderId="0" xfId="0" applyFont="1"/>
    <xf numFmtId="0" fontId="1" fillId="2" borderId="0" xfId="0" applyFont="1" applyFill="1"/>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99"/>
  <sheetViews>
    <sheetView tabSelected="1" workbookViewId="0"/>
  </sheetViews>
  <sheetFormatPr defaultRowHeight="15" x14ac:dyDescent="0.25"/>
  <sheetData>
    <row r="1" spans="1:21" x14ac:dyDescent="0.2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row>
    <row r="2" spans="1:21" ht="15.75" x14ac:dyDescent="0.25">
      <c r="A2" s="3" t="str">
        <f t="shared" ref="A2:B4" si="0">HYPERLINK("https://heavenlyouthouse.com/products/vanilla-mint-soap", "https://heavenlyouthouse.com/products/vanilla-mint-soap")</f>
        <v>https://heavenlyouthouse.com/products/vanilla-mint-soap</v>
      </c>
      <c r="B2" s="3" t="str">
        <f t="shared" si="0"/>
        <v>https://heavenlyouthouse.com/products/vanilla-mint-soap</v>
      </c>
      <c r="C2" t="s">
        <v>21</v>
      </c>
      <c r="D2" t="s">
        <v>22</v>
      </c>
      <c r="E2" s="3" t="str">
        <f>HYPERLINK("https://www.amazon.com/J-R-Watkins-Hand-Soap-Vanilla/dp/B07KMXHKP6/ref=sr_1_2?keywords=Vanilla+Mint+Soap&amp;qid=1695258809&amp;sr=8-2", "https://www.amazon.com/J-R-Watkins-Hand-Soap-Vanilla/dp/B07KMXHKP6/ref=sr_1_2?keywords=Vanilla+Mint+Soap&amp;qid=1695258809&amp;sr=8-2")</f>
        <v>https://www.amazon.com/J-R-Watkins-Hand-Soap-Vanilla/dp/B07KMXHKP6/ref=sr_1_2?keywords=Vanilla+Mint+Soap&amp;qid=1695258809&amp;sr=8-2</v>
      </c>
      <c r="F2" t="s">
        <v>23</v>
      </c>
      <c r="G2" t="e">
        <f ca="1">IMAGE("https://heavenlyouthouse.com/cdn/shop/products/Vanilla-Mint_Bar-Soap_2048_2000x_c3d10c41-aab8-4a3b-a583-b2f1e6d28e24.jpg?v=1586805660")</f>
        <v>#NAME?</v>
      </c>
      <c r="H2" t="e">
        <f ca="1">IMAGE("https://m.media-amazon.com/images/I/81dv9wtSwRL._AC_UL320_.jpg")</f>
        <v>#NAME?</v>
      </c>
      <c r="I2" t="s">
        <v>24</v>
      </c>
      <c r="J2">
        <v>50</v>
      </c>
      <c r="K2" s="2" t="s">
        <v>25</v>
      </c>
      <c r="L2">
        <v>4.7</v>
      </c>
      <c r="M2">
        <v>799</v>
      </c>
      <c r="O2" t="s">
        <v>26</v>
      </c>
      <c r="P2" t="s">
        <v>24</v>
      </c>
      <c r="Q2" t="s">
        <v>27</v>
      </c>
    </row>
    <row r="3" spans="1:21" ht="15.75" x14ac:dyDescent="0.25">
      <c r="A3" s="3" t="str">
        <f t="shared" si="0"/>
        <v>https://heavenlyouthouse.com/products/vanilla-mint-soap</v>
      </c>
      <c r="B3" s="3" t="str">
        <f t="shared" si="0"/>
        <v>https://heavenlyouthouse.com/products/vanilla-mint-soap</v>
      </c>
      <c r="C3" t="s">
        <v>21</v>
      </c>
      <c r="D3" t="s">
        <v>28</v>
      </c>
      <c r="E3" s="3" t="str">
        <f>HYPERLINK("https://www.amazon.com/J-R-Watkins-Foaming-Handsoap-Bathroom/dp/B07XH6JX7V/ref=sr_1_5?keywords=Vanilla+Mint+Soap&amp;qid=1695258809&amp;sr=8-5", "https://www.amazon.com/J-R-Watkins-Foaming-Handsoap-Bathroom/dp/B07XH6JX7V/ref=sr_1_5?keywords=Vanilla+Mint+Soap&amp;qid=1695258809&amp;sr=8-5")</f>
        <v>https://www.amazon.com/J-R-Watkins-Foaming-Handsoap-Bathroom/dp/B07XH6JX7V/ref=sr_1_5?keywords=Vanilla+Mint+Soap&amp;qid=1695258809&amp;sr=8-5</v>
      </c>
      <c r="F3" t="s">
        <v>29</v>
      </c>
      <c r="G3" t="e">
        <f ca="1">IMAGE("https://heavenlyouthouse.com/cdn/shop/products/Vanilla-Mint_Bar-Soap_2048_2000x_c3d10c41-aab8-4a3b-a583-b2f1e6d28e24.jpg?v=1586805660")</f>
        <v>#NAME?</v>
      </c>
      <c r="H3" t="e">
        <f ca="1">IMAGE("https://m.media-amazon.com/images/I/710Zv--n7bL._AC_UL320_.jpg")</f>
        <v>#NAME?</v>
      </c>
      <c r="I3" t="s">
        <v>24</v>
      </c>
      <c r="J3">
        <v>34.29</v>
      </c>
      <c r="K3" s="2" t="s">
        <v>30</v>
      </c>
      <c r="L3">
        <v>4.7</v>
      </c>
      <c r="M3">
        <v>1214</v>
      </c>
      <c r="O3" t="s">
        <v>26</v>
      </c>
      <c r="P3" t="s">
        <v>24</v>
      </c>
      <c r="Q3" t="s">
        <v>27</v>
      </c>
    </row>
    <row r="4" spans="1:21" ht="15.75" x14ac:dyDescent="0.25">
      <c r="A4" s="3" t="str">
        <f t="shared" si="0"/>
        <v>https://heavenlyouthouse.com/products/vanilla-mint-soap</v>
      </c>
      <c r="B4" s="3" t="str">
        <f t="shared" si="0"/>
        <v>https://heavenlyouthouse.com/products/vanilla-mint-soap</v>
      </c>
      <c r="C4" t="s">
        <v>21</v>
      </c>
      <c r="D4" t="s">
        <v>31</v>
      </c>
      <c r="E4" s="3" t="str">
        <f>HYPERLINK("https://www.amazon.com/Alaffia-Everyday-Foaming-Moisturize-Spearmint/dp/B0073T0XEY/ref=sr_1_7?keywords=Vanilla+Mint+Soap&amp;qid=1695258809&amp;sr=8-7", "https://www.amazon.com/Alaffia-Everyday-Foaming-Moisturize-Spearmint/dp/B0073T0XEY/ref=sr_1_7?keywords=Vanilla+Mint+Soap&amp;qid=1695258809&amp;sr=8-7")</f>
        <v>https://www.amazon.com/Alaffia-Everyday-Foaming-Moisturize-Spearmint/dp/B0073T0XEY/ref=sr_1_7?keywords=Vanilla+Mint+Soap&amp;qid=1695258809&amp;sr=8-7</v>
      </c>
      <c r="F4" t="s">
        <v>32</v>
      </c>
      <c r="G4" t="e">
        <f ca="1">IMAGE("https://heavenlyouthouse.com/cdn/shop/products/Vanilla-Mint_Bar-Soap_2048_2000x_c3d10c41-aab8-4a3b-a583-b2f1e6d28e24.jpg?v=1586805660")</f>
        <v>#NAME?</v>
      </c>
      <c r="H4" t="e">
        <f ca="1">IMAGE("https://m.media-amazon.com/images/I/61+hSYUdraL._AC_UL320_.jpg")</f>
        <v>#NAME?</v>
      </c>
      <c r="I4" t="s">
        <v>24</v>
      </c>
      <c r="J4">
        <v>25.99</v>
      </c>
      <c r="K4" s="2" t="s">
        <v>33</v>
      </c>
      <c r="L4">
        <v>4.5</v>
      </c>
      <c r="M4">
        <v>351</v>
      </c>
      <c r="O4" t="s">
        <v>26</v>
      </c>
      <c r="P4" t="s">
        <v>24</v>
      </c>
      <c r="Q4" t="s">
        <v>27</v>
      </c>
    </row>
    <row r="5" spans="1:21" ht="15.75" x14ac:dyDescent="0.25">
      <c r="A5" s="3" t="str">
        <f>HYPERLINK("https://heavenlyouthouse.com/products/sip-champagne-birthday-card", "https://heavenlyouthouse.com/products/sip-champagne-birthday-card")</f>
        <v>https://heavenlyouthouse.com/products/sip-champagne-birthday-card</v>
      </c>
      <c r="B5" s="3" t="str">
        <f>HYPERLINK("https://heavenlyouthouse.com/products/sip-champagne-birthday-card", "https://heavenlyouthouse.com/products/sip-champagne-birthday-card")</f>
        <v>https://heavenlyouthouse.com/products/sip-champagne-birthday-card</v>
      </c>
      <c r="C5" t="s">
        <v>34</v>
      </c>
      <c r="D5" t="s">
        <v>35</v>
      </c>
      <c r="E5" s="3" t="str">
        <f>HYPERLINK("https://www.amazon.com/iGifts-Cards-Congratulations-Champagne-Greeting/dp/B0B3C83XSL/ref=sr_1_6?keywords=Sip+Champagne+Birthday+Card&amp;qid=1695258689&amp;sr=8-6", "https://www.amazon.com/iGifts-Cards-Congratulations-Champagne-Greeting/dp/B0B3C83XSL/ref=sr_1_6?keywords=Sip+Champagne+Birthday+Card&amp;qid=1695258689&amp;sr=8-6")</f>
        <v>https://www.amazon.com/iGifts-Cards-Congratulations-Champagne-Greeting/dp/B0B3C83XSL/ref=sr_1_6?keywords=Sip+Champagne+Birthday+Card&amp;qid=1695258689&amp;sr=8-6</v>
      </c>
      <c r="F5" t="s">
        <v>36</v>
      </c>
      <c r="G5" t="e">
        <f ca="1">IMAGE("https://heavenlyouthouse.com/cdn/shop/products/birthday-sipchampagne.jpg?v=1600889004")</f>
        <v>#NAME?</v>
      </c>
      <c r="H5" t="e">
        <f ca="1">IMAGE("https://m.media-amazon.com/images/I/61FSL7q4VcL._AC_UL320_.jpg")</f>
        <v>#NAME?</v>
      </c>
      <c r="I5" t="s">
        <v>37</v>
      </c>
      <c r="J5">
        <v>12.95</v>
      </c>
      <c r="K5" s="2" t="s">
        <v>38</v>
      </c>
      <c r="L5">
        <v>2</v>
      </c>
      <c r="M5">
        <v>1</v>
      </c>
      <c r="O5" t="s">
        <v>26</v>
      </c>
      <c r="P5" t="s">
        <v>39</v>
      </c>
      <c r="Q5" t="s">
        <v>40</v>
      </c>
    </row>
    <row r="6" spans="1:21" ht="15.75" x14ac:dyDescent="0.25">
      <c r="A6" s="3" t="str">
        <f>HYPERLINK("https://heavenlyouthouse.com/products/vanilla-mint-soap", "https://heavenlyouthouse.com/products/vanilla-mint-soap")</f>
        <v>https://heavenlyouthouse.com/products/vanilla-mint-soap</v>
      </c>
      <c r="B6" s="3" t="str">
        <f>HYPERLINK("https://heavenlyouthouse.com/products/vanilla-mint-soap", "https://heavenlyouthouse.com/products/vanilla-mint-soap")</f>
        <v>https://heavenlyouthouse.com/products/vanilla-mint-soap</v>
      </c>
      <c r="C6" t="s">
        <v>21</v>
      </c>
      <c r="D6" t="s">
        <v>41</v>
      </c>
      <c r="E6" s="3" t="str">
        <f>HYPERLINK("https://www.amazon.com/J-R-Watkins-Vanilla-Scented-Bathroom/dp/B0857L16SB/ref=sr_1_3?keywords=Vanilla+Mint+Soap&amp;qid=1695258809&amp;sr=8-3", "https://www.amazon.com/J-R-Watkins-Vanilla-Scented-Bathroom/dp/B0857L16SB/ref=sr_1_3?keywords=Vanilla+Mint+Soap&amp;qid=1695258809&amp;sr=8-3")</f>
        <v>https://www.amazon.com/J-R-Watkins-Vanilla-Scented-Bathroom/dp/B0857L16SB/ref=sr_1_3?keywords=Vanilla+Mint+Soap&amp;qid=1695258809&amp;sr=8-3</v>
      </c>
      <c r="F6" t="s">
        <v>42</v>
      </c>
      <c r="G6" t="e">
        <f ca="1">IMAGE("https://heavenlyouthouse.com/cdn/shop/products/Vanilla-Mint_Bar-Soap_2048_2000x_c3d10c41-aab8-4a3b-a583-b2f1e6d28e24.jpg?v=1586805660")</f>
        <v>#NAME?</v>
      </c>
      <c r="H6" t="e">
        <f ca="1">IMAGE("https://m.media-amazon.com/images/I/61sVrC9mvSL._AC_UL320_.jpg")</f>
        <v>#NAME?</v>
      </c>
      <c r="I6" t="s">
        <v>24</v>
      </c>
      <c r="J6">
        <v>19.739999999999998</v>
      </c>
      <c r="K6" s="2" t="s">
        <v>43</v>
      </c>
      <c r="L6">
        <v>4.7</v>
      </c>
      <c r="M6">
        <v>590</v>
      </c>
      <c r="O6" t="s">
        <v>26</v>
      </c>
      <c r="P6" t="s">
        <v>24</v>
      </c>
      <c r="Q6" t="s">
        <v>27</v>
      </c>
    </row>
    <row r="7" spans="1:21" ht="15.75" x14ac:dyDescent="0.25">
      <c r="A7" s="3" t="str">
        <f>HYPERLINK("https://heavenlyouthouse.com/products/sip-champagne-birthday-card", "https://heavenlyouthouse.com/products/sip-champagne-birthday-card")</f>
        <v>https://heavenlyouthouse.com/products/sip-champagne-birthday-card</v>
      </c>
      <c r="B7" s="3" t="str">
        <f>HYPERLINK("https://heavenlyouthouse.com/products/sip-champagne-birthday-card", "https://heavenlyouthouse.com/products/sip-champagne-birthday-card")</f>
        <v>https://heavenlyouthouse.com/products/sip-champagne-birthday-card</v>
      </c>
      <c r="C7" t="s">
        <v>34</v>
      </c>
      <c r="D7" t="s">
        <v>44</v>
      </c>
      <c r="E7" s="3" t="str">
        <f>HYPERLINK("https://www.amazon.com/Papyrus-Birthday-Balloons-Champagne-2-Count/dp/B095CQ98R8/ref=sr_1_7?keywords=Sip+Champagne+Birthday+Card&amp;qid=1695258689&amp;sr=8-7", "https://www.amazon.com/Papyrus-Birthday-Balloons-Champagne-2-Count/dp/B095CQ98R8/ref=sr_1_7?keywords=Sip+Champagne+Birthday+Card&amp;qid=1695258689&amp;sr=8-7")</f>
        <v>https://www.amazon.com/Papyrus-Birthday-Balloons-Champagne-2-Count/dp/B095CQ98R8/ref=sr_1_7?keywords=Sip+Champagne+Birthday+Card&amp;qid=1695258689&amp;sr=8-7</v>
      </c>
      <c r="F7" t="s">
        <v>45</v>
      </c>
      <c r="G7" t="e">
        <f ca="1">IMAGE("https://heavenlyouthouse.com/cdn/shop/products/birthday-sipchampagne.jpg?v=1600889004")</f>
        <v>#NAME?</v>
      </c>
      <c r="H7" t="e">
        <f ca="1">IMAGE("https://m.media-amazon.com/images/I/81L44ZAYQqS._AC_UL320_.jpg")</f>
        <v>#NAME?</v>
      </c>
      <c r="I7" t="s">
        <v>37</v>
      </c>
      <c r="J7">
        <v>11.71</v>
      </c>
      <c r="K7" s="2" t="s">
        <v>46</v>
      </c>
      <c r="L7">
        <v>4.8</v>
      </c>
      <c r="M7">
        <v>50</v>
      </c>
      <c r="O7" t="s">
        <v>26</v>
      </c>
      <c r="P7" t="s">
        <v>39</v>
      </c>
      <c r="Q7" t="s">
        <v>40</v>
      </c>
    </row>
    <row r="8" spans="1:21" ht="15.75" x14ac:dyDescent="0.25">
      <c r="A8" s="3" t="str">
        <f>HYPERLINK("https://heavenlyouthouse.com/products/vanilla-mint-soap", "https://heavenlyouthouse.com/products/vanilla-mint-soap")</f>
        <v>https://heavenlyouthouse.com/products/vanilla-mint-soap</v>
      </c>
      <c r="B8" s="3" t="str">
        <f>HYPERLINK("https://heavenlyouthouse.com/products/vanilla-mint-soap", "https://heavenlyouthouse.com/products/vanilla-mint-soap")</f>
        <v>https://heavenlyouthouse.com/products/vanilla-mint-soap</v>
      </c>
      <c r="C8" t="s">
        <v>21</v>
      </c>
      <c r="D8" t="s">
        <v>47</v>
      </c>
      <c r="E8" s="3" t="str">
        <f>HYPERLINK("https://www.amazon.com/J-R-Watkins-Moisturizing-Alcohol-Free-Cruelty-Free/dp/B0B643BMC8/ref=sr_1_1?keywords=Vanilla+Mint+Soap&amp;qid=1695258809&amp;sr=8-1", "https://www.amazon.com/J-R-Watkins-Moisturizing-Alcohol-Free-Cruelty-Free/dp/B0B643BMC8/ref=sr_1_1?keywords=Vanilla+Mint+Soap&amp;qid=1695258809&amp;sr=8-1")</f>
        <v>https://www.amazon.com/J-R-Watkins-Moisturizing-Alcohol-Free-Cruelty-Free/dp/B0B643BMC8/ref=sr_1_1?keywords=Vanilla+Mint+Soap&amp;qid=1695258809&amp;sr=8-1</v>
      </c>
      <c r="F8" t="s">
        <v>48</v>
      </c>
      <c r="G8" t="e">
        <f ca="1">IMAGE("https://heavenlyouthouse.com/cdn/shop/products/Vanilla-Mint_Bar-Soap_2048_2000x_c3d10c41-aab8-4a3b-a583-b2f1e6d28e24.jpg?v=1586805660")</f>
        <v>#NAME?</v>
      </c>
      <c r="H8" t="e">
        <f ca="1">IMAGE("https://m.media-amazon.com/images/I/710Zv--n7bL._AC_UL320_.jpg")</f>
        <v>#NAME?</v>
      </c>
      <c r="I8" t="s">
        <v>24</v>
      </c>
      <c r="J8">
        <v>14.97</v>
      </c>
      <c r="K8" s="2" t="s">
        <v>49</v>
      </c>
      <c r="L8">
        <v>4.7</v>
      </c>
      <c r="M8">
        <v>18286</v>
      </c>
      <c r="O8" t="s">
        <v>26</v>
      </c>
      <c r="P8" t="s">
        <v>24</v>
      </c>
      <c r="Q8" t="s">
        <v>27</v>
      </c>
    </row>
    <row r="9" spans="1:21" ht="15.75" x14ac:dyDescent="0.25">
      <c r="A9" s="3" t="str">
        <f>HYPERLINK("https://heavenlyouthouse.com/products/thymes-washed-linen-fragrance-reed-diffuser", "https://heavenlyouthouse.com/products/thymes-washed-linen-fragrance-reed-diffuser")</f>
        <v>https://heavenlyouthouse.com/products/thymes-washed-linen-fragrance-reed-diffuser</v>
      </c>
      <c r="B9" s="3" t="str">
        <f>HYPERLINK("https://heavenlyouthouse.com/products/thymes-washed-linen-fragrance-reed-diffuser", "https://heavenlyouthouse.com/products/thymes-washed-linen-fragrance-reed-diffuser")</f>
        <v>https://heavenlyouthouse.com/products/thymes-washed-linen-fragrance-reed-diffuser</v>
      </c>
      <c r="C9" t="s">
        <v>50</v>
      </c>
      <c r="D9" t="s">
        <v>51</v>
      </c>
      <c r="E9" s="3" t="str">
        <f>HYPERLINK("https://www.amazon.com/Thymes-Petite-Reed-Diffuser-Washed/dp/B084C4KQX7/ref=sr_1_1?keywords=Thymes+Washed+Linen+Fragrance+Reed+Diffuser&amp;qid=1695258793&amp;sr=8-1", "https://www.amazon.com/Thymes-Petite-Reed-Diffuser-Washed/dp/B084C4KQX7/ref=sr_1_1?keywords=Thymes+Washed+Linen+Fragrance+Reed+Diffuser&amp;qid=1695258793&amp;sr=8-1")</f>
        <v>https://www.amazon.com/Thymes-Petite-Reed-Diffuser-Washed/dp/B084C4KQX7/ref=sr_1_1?keywords=Thymes+Washed+Linen+Fragrance+Reed+Diffuser&amp;qid=1695258793&amp;sr=8-1</v>
      </c>
      <c r="F9" t="s">
        <v>52</v>
      </c>
      <c r="G9" t="e">
        <f ca="1">IMAGE("https://heavenlyouthouse.com/cdn/shop/products/ThymesWashedLinenfragrancereeddiffuser.jpg?v=1613173431")</f>
        <v>#NAME?</v>
      </c>
      <c r="H9" t="e">
        <f ca="1">IMAGE("https://m.media-amazon.com/images/I/71AO0IPM4lL._AC_UL320_.jpg")</f>
        <v>#NAME?</v>
      </c>
      <c r="I9" t="s">
        <v>53</v>
      </c>
      <c r="J9">
        <v>46</v>
      </c>
      <c r="K9" s="2" t="s">
        <v>54</v>
      </c>
      <c r="L9">
        <v>4.3</v>
      </c>
      <c r="M9">
        <v>185</v>
      </c>
      <c r="O9" t="s">
        <v>39</v>
      </c>
      <c r="P9" t="s">
        <v>39</v>
      </c>
      <c r="Q9" t="s">
        <v>55</v>
      </c>
    </row>
    <row r="10" spans="1:21" ht="15.75" x14ac:dyDescent="0.25">
      <c r="A10" s="3" t="str">
        <f>HYPERLINK("https://heavenlyouthouse.com/products/vanilla-mint-soap", "https://heavenlyouthouse.com/products/vanilla-mint-soap")</f>
        <v>https://heavenlyouthouse.com/products/vanilla-mint-soap</v>
      </c>
      <c r="B10" s="3" t="str">
        <f>HYPERLINK("https://heavenlyouthouse.com/products/vanilla-mint-soap", "https://heavenlyouthouse.com/products/vanilla-mint-soap")</f>
        <v>https://heavenlyouthouse.com/products/vanilla-mint-soap</v>
      </c>
      <c r="C10" t="s">
        <v>21</v>
      </c>
      <c r="D10" t="s">
        <v>56</v>
      </c>
      <c r="E10" s="3" t="str">
        <f>HYPERLINK("https://www.amazon.com/Hand-Soap-Foaming-Vanilla-Mint/dp/B073RJHXBH/ref=sr_1_6?keywords=Vanilla+Mint+Soap&amp;qid=1695258809&amp;sr=8-6", "https://www.amazon.com/Hand-Soap-Foaming-Vanilla-Mint/dp/B073RJHXBH/ref=sr_1_6?keywords=Vanilla+Mint+Soap&amp;qid=1695258809&amp;sr=8-6")</f>
        <v>https://www.amazon.com/Hand-Soap-Foaming-Vanilla-Mint/dp/B073RJHXBH/ref=sr_1_6?keywords=Vanilla+Mint+Soap&amp;qid=1695258809&amp;sr=8-6</v>
      </c>
      <c r="F10" t="s">
        <v>57</v>
      </c>
      <c r="G10" t="e">
        <f ca="1">IMAGE("https://heavenlyouthouse.com/cdn/shop/products/Vanilla-Mint_Bar-Soap_2048_2000x_c3d10c41-aab8-4a3b-a583-b2f1e6d28e24.jpg?v=1586805660")</f>
        <v>#NAME?</v>
      </c>
      <c r="H10" t="e">
        <f ca="1">IMAGE("https://m.media-amazon.com/images/I/618mHhiCSCL._AC_UL320_.jpg")</f>
        <v>#NAME?</v>
      </c>
      <c r="I10" t="s">
        <v>24</v>
      </c>
      <c r="J10">
        <v>13.55</v>
      </c>
      <c r="K10" s="2" t="s">
        <v>58</v>
      </c>
      <c r="L10">
        <v>4.5999999999999996</v>
      </c>
      <c r="M10">
        <v>391</v>
      </c>
      <c r="O10" t="s">
        <v>26</v>
      </c>
      <c r="P10" t="s">
        <v>24</v>
      </c>
      <c r="Q10" t="s">
        <v>27</v>
      </c>
    </row>
    <row r="11" spans="1:21" ht="15.75" x14ac:dyDescent="0.25">
      <c r="A11" s="3" t="str">
        <f>HYPERLINK("https://heavenlyouthouse.com/products/sip-champagne-birthday-card", "https://heavenlyouthouse.com/products/sip-champagne-birthday-card")</f>
        <v>https://heavenlyouthouse.com/products/sip-champagne-birthday-card</v>
      </c>
      <c r="B11" s="3" t="str">
        <f>HYPERLINK("https://heavenlyouthouse.com/products/sip-champagne-birthday-card", "https://heavenlyouthouse.com/products/sip-champagne-birthday-card")</f>
        <v>https://heavenlyouthouse.com/products/sip-champagne-birthday-card</v>
      </c>
      <c r="C11" t="s">
        <v>34</v>
      </c>
      <c r="D11" t="s">
        <v>59</v>
      </c>
      <c r="E11" s="3" t="str">
        <f>HYPERLINK("https://www.amazon.com/Avanti-Press-Champagne-Feminine-Birthday/dp/B08XQ4T8DP/ref=sr_1_3?keywords=Sip+Champagne+Birthday+Card&amp;qid=1695258689&amp;sr=8-3", "https://www.amazon.com/Avanti-Press-Champagne-Feminine-Birthday/dp/B08XQ4T8DP/ref=sr_1_3?keywords=Sip+Champagne+Birthday+Card&amp;qid=1695258689&amp;sr=8-3")</f>
        <v>https://www.amazon.com/Avanti-Press-Champagne-Feminine-Birthday/dp/B08XQ4T8DP/ref=sr_1_3?keywords=Sip+Champagne+Birthday+Card&amp;qid=1695258689&amp;sr=8-3</v>
      </c>
      <c r="F11" t="s">
        <v>60</v>
      </c>
      <c r="G11" t="e">
        <f ca="1">IMAGE("https://heavenlyouthouse.com/cdn/shop/products/birthday-sipchampagne.jpg?v=1600889004")</f>
        <v>#NAME?</v>
      </c>
      <c r="H11" t="e">
        <f ca="1">IMAGE("https://m.media-amazon.com/images/I/51siX4+9VsL._AC_UL320_.jpg")</f>
        <v>#NAME?</v>
      </c>
      <c r="I11" t="s">
        <v>37</v>
      </c>
      <c r="J11">
        <v>7.15</v>
      </c>
      <c r="K11" s="2" t="s">
        <v>61</v>
      </c>
      <c r="L11">
        <v>5</v>
      </c>
      <c r="M11">
        <v>7</v>
      </c>
      <c r="O11" t="s">
        <v>26</v>
      </c>
      <c r="P11" t="s">
        <v>39</v>
      </c>
      <c r="Q11" t="s">
        <v>40</v>
      </c>
    </row>
    <row r="12" spans="1:21" ht="15.75" x14ac:dyDescent="0.25">
      <c r="A12" s="3" t="str">
        <f>HYPERLINK("https://heavenlyouthouse.com/products/thymes-washed-linen-fragrance-reed-diffuser", "https://heavenlyouthouse.com/products/thymes-washed-linen-fragrance-reed-diffuser")</f>
        <v>https://heavenlyouthouse.com/products/thymes-washed-linen-fragrance-reed-diffuser</v>
      </c>
      <c r="B12" s="3" t="str">
        <f>HYPERLINK("https://heavenlyouthouse.com/products/thymes-washed-linen-fragrance-reed-diffuser", "https://heavenlyouthouse.com/products/thymes-washed-linen-fragrance-reed-diffuser")</f>
        <v>https://heavenlyouthouse.com/products/thymes-washed-linen-fragrance-reed-diffuser</v>
      </c>
      <c r="C12" t="s">
        <v>50</v>
      </c>
      <c r="D12" t="s">
        <v>62</v>
      </c>
      <c r="E12" s="3" t="str">
        <f>HYPERLINK("https://www.amazon.com/Thymes-Reed-Diffuser-Oil-Washed/dp/B0B4T69TRV/ref=sr_1_3?keywords=Thymes+Washed+Linen+Fragrance+Reed+Diffuser&amp;qid=1695258793&amp;sr=8-3", "https://www.amazon.com/Thymes-Reed-Diffuser-Oil-Washed/dp/B0B4T69TRV/ref=sr_1_3?keywords=Thymes+Washed+Linen+Fragrance+Reed+Diffuser&amp;qid=1695258793&amp;sr=8-3")</f>
        <v>https://www.amazon.com/Thymes-Reed-Diffuser-Oil-Washed/dp/B0B4T69TRV/ref=sr_1_3?keywords=Thymes+Washed+Linen+Fragrance+Reed+Diffuser&amp;qid=1695258793&amp;sr=8-3</v>
      </c>
      <c r="F12" t="s">
        <v>63</v>
      </c>
      <c r="G12" t="e">
        <f ca="1">IMAGE("https://heavenlyouthouse.com/cdn/shop/products/ThymesWashedLinenfragrancereeddiffuser.jpg?v=1613173431")</f>
        <v>#NAME?</v>
      </c>
      <c r="H12" t="e">
        <f ca="1">IMAGE("https://m.media-amazon.com/images/I/51aTDHq0wkL._AC_UL320_.jpg")</f>
        <v>#NAME?</v>
      </c>
      <c r="I12" t="s">
        <v>53</v>
      </c>
      <c r="J12">
        <v>35</v>
      </c>
      <c r="K12" s="2" t="s">
        <v>64</v>
      </c>
      <c r="L12">
        <v>3.7</v>
      </c>
      <c r="M12">
        <v>6</v>
      </c>
      <c r="O12" t="s">
        <v>39</v>
      </c>
      <c r="P12" t="s">
        <v>39</v>
      </c>
      <c r="Q12" t="s">
        <v>55</v>
      </c>
    </row>
    <row r="13" spans="1:21" ht="15.75" x14ac:dyDescent="0.25">
      <c r="A13" s="3" t="str">
        <f>HYPERLINK("https://heavenlyouthouse.com/products/smoking-with-friends-graduation-card", "https://heavenlyouthouse.com/products/smoking-with-friends-graduation-card")</f>
        <v>https://heavenlyouthouse.com/products/smoking-with-friends-graduation-card</v>
      </c>
      <c r="B13" s="3" t="str">
        <f>HYPERLINK("https://heavenlyouthouse.com/products/smoking-with-friends-graduation-card", "https://heavenlyouthouse.com/products/smoking-with-friends-graduation-card")</f>
        <v>https://heavenlyouthouse.com/products/smoking-with-friends-graduation-card</v>
      </c>
      <c r="C13" t="s">
        <v>65</v>
      </c>
      <c r="D13" t="s">
        <v>66</v>
      </c>
      <c r="E13" s="3" t="str">
        <f>HYPERLINK("https://www.amazon.com/3711-Smoking-Friends-Graduation-NobleWorks/dp/B001G2K2MM/ref=sr_1_1?keywords=Smoking+with+Friends+Graduation+Card&amp;qid=1695258685&amp;sr=8-1", "https://www.amazon.com/3711-Smoking-Friends-Graduation-NobleWorks/dp/B001G2K2MM/ref=sr_1_1?keywords=Smoking+with+Friends+Graduation+Card&amp;qid=1695258685&amp;sr=8-1")</f>
        <v>https://www.amazon.com/3711-Smoking-Friends-Graduation-NobleWorks/dp/B001G2K2MM/ref=sr_1_1?keywords=Smoking+with+Friends+Graduation+Card&amp;qid=1695258685&amp;sr=8-1</v>
      </c>
      <c r="F13" t="s">
        <v>67</v>
      </c>
      <c r="G13" t="e">
        <f ca="1">IMAGE("https://heavenlyouthouse.com/cdn/shop/products/3711-smoking-with-friends-funny-talk-bubbles-graduation-card.jpg?v=1588290515")</f>
        <v>#NAME?</v>
      </c>
      <c r="H13" t="e">
        <f ca="1">IMAGE("https://m.media-amazon.com/images/I/71Vmd56zx+L._AC_UL320_.jpg")</f>
        <v>#NAME?</v>
      </c>
      <c r="I13" t="s">
        <v>37</v>
      </c>
      <c r="J13">
        <v>6.89</v>
      </c>
      <c r="K13" s="2" t="s">
        <v>68</v>
      </c>
      <c r="L13">
        <v>4.5</v>
      </c>
      <c r="M13">
        <v>77</v>
      </c>
      <c r="O13" t="s">
        <v>26</v>
      </c>
      <c r="P13" t="s">
        <v>39</v>
      </c>
      <c r="Q13" t="s">
        <v>69</v>
      </c>
    </row>
    <row r="14" spans="1:21" ht="15.75" x14ac:dyDescent="0.25">
      <c r="A14" s="3" t="str">
        <f>HYPERLINK("https://heavenlyouthouse.com/products/we-all-know-wedding-card", "https://heavenlyouthouse.com/products/we-all-know-wedding-card")</f>
        <v>https://heavenlyouthouse.com/products/we-all-know-wedding-card</v>
      </c>
      <c r="B14" s="3" t="str">
        <f>HYPERLINK("https://heavenlyouthouse.com/products/we-all-know-wedding-card", "https://heavenlyouthouse.com/products/we-all-know-wedding-card")</f>
        <v>https://heavenlyouthouse.com/products/we-all-know-wedding-card</v>
      </c>
      <c r="C14" t="s">
        <v>70</v>
      </c>
      <c r="D14" t="s">
        <v>71</v>
      </c>
      <c r="E14" s="3" t="str">
        <f>HYPERLINK("https://www.amazon.com/Hallmark-Wedding-Bridal-Engagement-Journey/dp/B07QGL496N/ref=sr_1_7?keywords=We+All+Know+Wedding+Card&amp;qid=1695258818&amp;sr=8-7", "https://www.amazon.com/Hallmark-Wedding-Bridal-Engagement-Journey/dp/B07QGL496N/ref=sr_1_7?keywords=We+All+Know+Wedding+Card&amp;qid=1695258818&amp;sr=8-7")</f>
        <v>https://www.amazon.com/Hallmark-Wedding-Bridal-Engagement-Journey/dp/B07QGL496N/ref=sr_1_7?keywords=We+All+Know+Wedding+Card&amp;qid=1695258818&amp;sr=8-7</v>
      </c>
      <c r="F14" t="s">
        <v>72</v>
      </c>
      <c r="G14" t="e">
        <f ca="1">IMAGE("https://heavenlyouthouse.com/cdn/shop/products/wedding-bang.jpg?v=1600891129")</f>
        <v>#NAME?</v>
      </c>
      <c r="H14" t="e">
        <f ca="1">IMAGE("https://m.media-amazon.com/images/I/91ZV4IXOYNL._AC_UL320_.jpg")</f>
        <v>#NAME?</v>
      </c>
      <c r="I14" t="s">
        <v>37</v>
      </c>
      <c r="J14">
        <v>5.99</v>
      </c>
      <c r="K14" s="2" t="s">
        <v>73</v>
      </c>
      <c r="L14">
        <v>4.7</v>
      </c>
      <c r="M14">
        <v>1661</v>
      </c>
      <c r="O14" t="s">
        <v>26</v>
      </c>
      <c r="P14" t="s">
        <v>39</v>
      </c>
      <c r="Q14" t="s">
        <v>74</v>
      </c>
    </row>
    <row r="15" spans="1:21" ht="15.75" x14ac:dyDescent="0.25">
      <c r="A15" s="3" t="str">
        <f>HYPERLINK("https://heavenlyouthouse.com/products/vanilla-mint-soap", "https://heavenlyouthouse.com/products/vanilla-mint-soap")</f>
        <v>https://heavenlyouthouse.com/products/vanilla-mint-soap</v>
      </c>
      <c r="B15" s="3" t="str">
        <f>HYPERLINK("https://heavenlyouthouse.com/products/vanilla-mint-soap", "https://heavenlyouthouse.com/products/vanilla-mint-soap")</f>
        <v>https://heavenlyouthouse.com/products/vanilla-mint-soap</v>
      </c>
      <c r="C15" t="s">
        <v>21</v>
      </c>
      <c r="D15" t="s">
        <v>75</v>
      </c>
      <c r="E15" s="3" t="str">
        <f>HYPERLINK("https://www.amazon.com/Bluebyrd-Soap-Exfoliating-Goatmilk-Ingredients/dp/B0CG2RW73Q/ref=sr_1_4?keywords=Vanilla+Mint+Soap&amp;qid=1695258809&amp;sr=8-4", "https://www.amazon.com/Bluebyrd-Soap-Exfoliating-Goatmilk-Ingredients/dp/B0CG2RW73Q/ref=sr_1_4?keywords=Vanilla+Mint+Soap&amp;qid=1695258809&amp;sr=8-4")</f>
        <v>https://www.amazon.com/Bluebyrd-Soap-Exfoliating-Goatmilk-Ingredients/dp/B0CG2RW73Q/ref=sr_1_4?keywords=Vanilla+Mint+Soap&amp;qid=1695258809&amp;sr=8-4</v>
      </c>
      <c r="F15" t="s">
        <v>76</v>
      </c>
      <c r="G15" t="e">
        <f ca="1">IMAGE("https://heavenlyouthouse.com/cdn/shop/products/Vanilla-Mint_Bar-Soap_2048_2000x_c3d10c41-aab8-4a3b-a583-b2f1e6d28e24.jpg?v=1586805660")</f>
        <v>#NAME?</v>
      </c>
      <c r="H15" t="e">
        <f ca="1">IMAGE("https://m.media-amazon.com/images/I/61Vx613rNHL._AC_UL320_.jpg")</f>
        <v>#NAME?</v>
      </c>
      <c r="I15" t="s">
        <v>24</v>
      </c>
      <c r="J15">
        <v>8.69</v>
      </c>
      <c r="K15" s="2" t="s">
        <v>77</v>
      </c>
      <c r="L15">
        <v>4.2</v>
      </c>
      <c r="M15">
        <v>61</v>
      </c>
      <c r="O15" t="s">
        <v>26</v>
      </c>
      <c r="P15" t="s">
        <v>24</v>
      </c>
      <c r="Q15" t="s">
        <v>27</v>
      </c>
    </row>
    <row r="16" spans="1:21" ht="15.75" x14ac:dyDescent="0.25">
      <c r="A16" s="3" t="str">
        <f>HYPERLINK("https://heavenlyouthouse.com/products/what-have-i-got-to-lose-funny-valentines-day-card", "https://heavenlyouthouse.com/products/what-have-i-got-to-lose-funny-valentines-day-card")</f>
        <v>https://heavenlyouthouse.com/products/what-have-i-got-to-lose-funny-valentines-day-card</v>
      </c>
      <c r="B16" s="3" t="str">
        <f>HYPERLINK("https://heavenlyouthouse.com/products/what-have-i-got-to-lose-funny-valentines-day-card", "https://heavenlyouthouse.com/products/what-have-i-got-to-lose-funny-valentines-day-card")</f>
        <v>https://heavenlyouthouse.com/products/what-have-i-got-to-lose-funny-valentines-day-card</v>
      </c>
      <c r="C16" t="s">
        <v>78</v>
      </c>
      <c r="D16" t="s">
        <v>79</v>
      </c>
      <c r="E16" s="3" t="str">
        <f>HYPERLINK("https://www.amazon.com/2404-What-Have-Got-Lose/dp/B005TABY42/ref=sr_1_1?keywords=What+Have+I+Got+To+Lose+Funny+Valentine%27s+Day+Card&amp;qid=1695258825&amp;sr=8-1", "https://www.amazon.com/2404-What-Have-Got-Lose/dp/B005TABY42/ref=sr_1_1?keywords=What+Have+I+Got+To+Lose+Funny+Valentine%27s+Day+Card&amp;qid=1695258825&amp;sr=8-1")</f>
        <v>https://www.amazon.com/2404-What-Have-Got-Lose/dp/B005TABY42/ref=sr_1_1?keywords=What+Have+I+Got+To+Lose+Funny+Valentine%27s+Day+Card&amp;qid=1695258825&amp;sr=8-1</v>
      </c>
      <c r="F16" t="s">
        <v>80</v>
      </c>
      <c r="G16" t="e">
        <f ca="1">IMAGE("https://heavenlyouthouse.com/cdn/shop/products/2404-what-have-i-got-to-lose-funny-cartoons-valentines-day-card.jpg?v=1611358535")</f>
        <v>#NAME?</v>
      </c>
      <c r="H16" t="e">
        <f ca="1">IMAGE("https://m.media-amazon.com/images/I/71U32G3lwaL._AC_UL320_.jpg")</f>
        <v>#NAME?</v>
      </c>
      <c r="I16" t="s">
        <v>37</v>
      </c>
      <c r="J16">
        <v>4.25</v>
      </c>
      <c r="K16" s="2" t="s">
        <v>81</v>
      </c>
      <c r="L16">
        <v>5</v>
      </c>
      <c r="M16">
        <v>2</v>
      </c>
      <c r="O16" t="s">
        <v>26</v>
      </c>
      <c r="P16" t="s">
        <v>39</v>
      </c>
      <c r="Q16" t="s">
        <v>82</v>
      </c>
    </row>
    <row r="17" spans="1:17" ht="15.75" x14ac:dyDescent="0.25">
      <c r="A17" s="3" t="str">
        <f>HYPERLINK("https://heavenlyouthouse.com/products/frasier-fir-votive-candle", "https://heavenlyouthouse.com/products/frasier-fir-votive-candle")</f>
        <v>https://heavenlyouthouse.com/products/frasier-fir-votive-candle</v>
      </c>
      <c r="B17" s="3" t="str">
        <f>HYPERLINK("https://heavenlyouthouse.com/products/frasier-fir-votive-candle", "https://heavenlyouthouse.com/products/frasier-fir-votive-candle")</f>
        <v>https://heavenlyouthouse.com/products/frasier-fir-votive-candle</v>
      </c>
      <c r="C17" t="s">
        <v>83</v>
      </c>
      <c r="D17" t="s">
        <v>84</v>
      </c>
      <c r="E17" s="3" t="str">
        <f>HYPERLINK("https://www.amazon.com/Thymes-Frasier-Limited-4-Wick-Statement/dp/B01KIH4XCA/ref=sr_1_10?keywords=Thymes+Frasier+Fir+Pine+Needle+Votive+Candle&amp;qid=1695258742&amp;sr=8-10", "https://www.amazon.com/Thymes-Frasier-Limited-4-Wick-Statement/dp/B01KIH4XCA/ref=sr_1_10?keywords=Thymes+Frasier+Fir+Pine+Needle+Votive+Candle&amp;qid=1695258742&amp;sr=8-10")</f>
        <v>https://www.amazon.com/Thymes-Frasier-Limited-4-Wick-Statement/dp/B01KIH4XCA/ref=sr_1_10?keywords=Thymes+Frasier+Fir+Pine+Needle+Votive+Candle&amp;qid=1695258742&amp;sr=8-10</v>
      </c>
      <c r="F17" t="s">
        <v>85</v>
      </c>
      <c r="G17" t="e">
        <f ca="1">IMAGE("https://heavenlyouthouse.com/cdn/shop/products/thymesfrasierfirvotivecandle.jpg?v=1603995950")</f>
        <v>#NAME?</v>
      </c>
      <c r="H17" t="e">
        <f ca="1">IMAGE("https://m.media-amazon.com/images/I/71+UQARiQhL._AC_UL320_.jpg")</f>
        <v>#NAME?</v>
      </c>
      <c r="I17" t="s">
        <v>86</v>
      </c>
      <c r="J17">
        <v>106</v>
      </c>
      <c r="K17" s="2" t="s">
        <v>87</v>
      </c>
      <c r="L17">
        <v>4.4000000000000004</v>
      </c>
      <c r="M17">
        <v>46</v>
      </c>
      <c r="O17" t="s">
        <v>39</v>
      </c>
      <c r="P17" t="s">
        <v>39</v>
      </c>
      <c r="Q17" t="s">
        <v>88</v>
      </c>
    </row>
    <row r="18" spans="1:17" ht="15.75" x14ac:dyDescent="0.25">
      <c r="A18" s="3" t="str">
        <f>HYPERLINK("https://heavenlyouthouse.com/products/watercolor-landscape-blank-card", "https://heavenlyouthouse.com/products/watercolor-landscape-blank-card")</f>
        <v>https://heavenlyouthouse.com/products/watercolor-landscape-blank-card</v>
      </c>
      <c r="B18" s="3" t="str">
        <f>HYPERLINK("https://heavenlyouthouse.com/products/watercolor-landscape-blank-card", "https://heavenlyouthouse.com/products/watercolor-landscape-blank-card")</f>
        <v>https://heavenlyouthouse.com/products/watercolor-landscape-blank-card</v>
      </c>
      <c r="C18" t="s">
        <v>89</v>
      </c>
      <c r="D18" t="s">
        <v>90</v>
      </c>
      <c r="E18" s="3" t="str">
        <f>HYPERLINK("https://www.amazon.com/Watercolor-Envelopes-Heavyweight-Postcards-Unfoldable/dp/B0C5GWQLQC/ref=sr_1_6?keywords=Watercolor+Landscape+Blank+Card&amp;qid=1695258835&amp;sr=8-6", "https://www.amazon.com/Watercolor-Envelopes-Heavyweight-Postcards-Unfoldable/dp/B0C5GWQLQC/ref=sr_1_6?keywords=Watercolor+Landscape+Blank+Card&amp;qid=1695258835&amp;sr=8-6")</f>
        <v>https://www.amazon.com/Watercolor-Envelopes-Heavyweight-Postcards-Unfoldable/dp/B0C5GWQLQC/ref=sr_1_6?keywords=Watercolor+Landscape+Blank+Card&amp;qid=1695258835&amp;sr=8-6</v>
      </c>
      <c r="F18" t="s">
        <v>91</v>
      </c>
      <c r="G18" t="e">
        <f ca="1">IMAGE("https://heavenlyouthouse.com/cdn/shop/files/watercolor-landscape-blank-card1_300x300.jpg?v=1692033915")</f>
        <v>#NAME?</v>
      </c>
      <c r="H18" t="e">
        <f ca="1">IMAGE("https://m.media-amazon.com/images/I/71tvQPnDbdL._AC_UL320_.jpg")</f>
        <v>#NAME?</v>
      </c>
      <c r="I18" t="s">
        <v>92</v>
      </c>
      <c r="J18">
        <v>37.99</v>
      </c>
      <c r="K18" s="2" t="s">
        <v>93</v>
      </c>
      <c r="L18">
        <v>3.6</v>
      </c>
      <c r="M18">
        <v>4</v>
      </c>
      <c r="O18" t="s">
        <v>39</v>
      </c>
      <c r="P18" t="s">
        <v>39</v>
      </c>
      <c r="Q18" t="s">
        <v>94</v>
      </c>
    </row>
    <row r="19" spans="1:17" ht="15.75" x14ac:dyDescent="0.25">
      <c r="A19" s="3" t="str">
        <f>HYPERLINK("https://heavenlyouthouse.com/products/thymes-frasier-fir-car-diffuser-refill", "https://heavenlyouthouse.com/products/thymes-frasier-fir-car-diffuser-refill")</f>
        <v>https://heavenlyouthouse.com/products/thymes-frasier-fir-car-diffuser-refill</v>
      </c>
      <c r="B19" s="3" t="str">
        <f>HYPERLINK("https://heavenlyouthouse.com/products/thymes-frasier-fir-car-diffuser-refill", "https://heavenlyouthouse.com/products/thymes-frasier-fir-car-diffuser-refill")</f>
        <v>https://heavenlyouthouse.com/products/thymes-frasier-fir-car-diffuser-refill</v>
      </c>
      <c r="C19" t="s">
        <v>95</v>
      </c>
      <c r="D19" t="s">
        <v>96</v>
      </c>
      <c r="E19" s="3" t="str">
        <f>HYPERLINK("https://www.amazon.com/Thymes-Pura-Smart-Plug-Diffuser/dp/B09HL8DMHN/ref=sr_1_8?keywords=Thymes+Frasier+Fir+Car+Diffuser+Refill&amp;qid=1695258724&amp;sr=8-8", "https://www.amazon.com/Thymes-Pura-Smart-Plug-Diffuser/dp/B09HL8DMHN/ref=sr_1_8?keywords=Thymes+Frasier+Fir+Car+Diffuser+Refill&amp;qid=1695258724&amp;sr=8-8")</f>
        <v>https://www.amazon.com/Thymes-Pura-Smart-Plug-Diffuser/dp/B09HL8DMHN/ref=sr_1_8?keywords=Thymes+Frasier+Fir+Car+Diffuser+Refill&amp;qid=1695258724&amp;sr=8-8</v>
      </c>
      <c r="F19" t="s">
        <v>97</v>
      </c>
      <c r="G19" t="e">
        <f ca="1">IMAGE("https://heavenlyouthouse.com/cdn/shop/products/Thymes-frasier-fir-car-diffuser-refill.jpg?v=1662136027")</f>
        <v>#NAME?</v>
      </c>
      <c r="H19" t="e">
        <f ca="1">IMAGE("https://m.media-amazon.com/images/I/61mgsWdFRWL._AC_UL320_.jpg")</f>
        <v>#NAME?</v>
      </c>
      <c r="I19" t="s">
        <v>98</v>
      </c>
      <c r="J19">
        <v>86</v>
      </c>
      <c r="K19" s="2" t="s">
        <v>99</v>
      </c>
      <c r="L19">
        <v>3.9</v>
      </c>
      <c r="M19">
        <v>77</v>
      </c>
      <c r="O19" t="s">
        <v>39</v>
      </c>
      <c r="P19" t="s">
        <v>100</v>
      </c>
      <c r="Q19" t="s">
        <v>101</v>
      </c>
    </row>
    <row r="20" spans="1:17" ht="15.75" x14ac:dyDescent="0.25">
      <c r="A20" s="3" t="str">
        <f>HYPERLINK("https://heavenlyouthouse.com/products/succulents-thank-you-card", "https://heavenlyouthouse.com/products/succulents-thank-you-card")</f>
        <v>https://heavenlyouthouse.com/products/succulents-thank-you-card</v>
      </c>
      <c r="B20" s="3" t="str">
        <f>HYPERLINK("https://heavenlyouthouse.com/products/succulents-thank-you-card", "https://heavenlyouthouse.com/products/succulents-thank-you-card")</f>
        <v>https://heavenlyouthouse.com/products/succulents-thank-you-card</v>
      </c>
      <c r="C20" t="s">
        <v>102</v>
      </c>
      <c r="D20" t="s">
        <v>103</v>
      </c>
      <c r="E20" s="3" t="str">
        <f>HYPERLINK("https://www.amazon.com/Winoo-Design-Green-Thank-Envelopes/dp/B0BD3Z1TC1/ref=sr_1_7?keywords=Succulents+Thank+You+Card&amp;qid=1695258709&amp;sr=8-7", "https://www.amazon.com/Winoo-Design-Green-Thank-Envelopes/dp/B0BD3Z1TC1/ref=sr_1_7?keywords=Succulents+Thank+You+Card&amp;qid=1695258709&amp;sr=8-7")</f>
        <v>https://www.amazon.com/Winoo-Design-Green-Thank-Envelopes/dp/B0BD3Z1TC1/ref=sr_1_7?keywords=Succulents+Thank+You+Card&amp;qid=1695258709&amp;sr=8-7</v>
      </c>
      <c r="F20" t="s">
        <v>104</v>
      </c>
      <c r="G20" t="e">
        <f ca="1">IMAGE("https://heavenlyouthouse.com/cdn/shop/products/thankyou-cactus.jpg?v=1600890223")</f>
        <v>#NAME?</v>
      </c>
      <c r="H20" t="e">
        <f ca="1">IMAGE("https://m.media-amazon.com/images/I/81TJwfO1nbL._AC_UL320_.jpg")</f>
        <v>#NAME?</v>
      </c>
      <c r="I20" t="s">
        <v>105</v>
      </c>
      <c r="J20">
        <v>23.99</v>
      </c>
      <c r="K20" s="2" t="s">
        <v>106</v>
      </c>
      <c r="L20">
        <v>4.8</v>
      </c>
      <c r="M20">
        <v>298</v>
      </c>
      <c r="O20" t="s">
        <v>39</v>
      </c>
      <c r="P20" t="s">
        <v>39</v>
      </c>
      <c r="Q20" t="s">
        <v>107</v>
      </c>
    </row>
    <row r="21" spans="1:17" ht="15.75" x14ac:dyDescent="0.25">
      <c r="A21" s="3" t="str">
        <f>HYPERLINK("https://heavenlyouthouse.com/products/thymes-frasier-fir-gold-travel-tin-candle", "https://heavenlyouthouse.com/products/thymes-frasier-fir-gold-travel-tin-candle")</f>
        <v>https://heavenlyouthouse.com/products/thymes-frasier-fir-gold-travel-tin-candle</v>
      </c>
      <c r="B21" s="3" t="str">
        <f>HYPERLINK("https://heavenlyouthouse.com/products/thymes-frasier-fir-gold-travel-tin-candle", "https://heavenlyouthouse.com/products/thymes-frasier-fir-gold-travel-tin-candle")</f>
        <v>https://heavenlyouthouse.com/products/thymes-frasier-fir-gold-travel-tin-candle</v>
      </c>
      <c r="C21" t="s">
        <v>108</v>
      </c>
      <c r="D21" t="s">
        <v>109</v>
      </c>
      <c r="E21" s="3" t="str">
        <f>HYPERLINK("https://www.amazon.com/Thymes-Frasier-Wick-Ceramic-Candle/dp/B0140PRH56/ref=sr_1_5?keywords=Thymes+Frasier+Fir+Gold+Travel+Tin+Candle&amp;qid=1695258731&amp;sr=8-5", "https://www.amazon.com/Thymes-Frasier-Wick-Ceramic-Candle/dp/B0140PRH56/ref=sr_1_5?keywords=Thymes+Frasier+Fir+Gold+Travel+Tin+Candle&amp;qid=1695258731&amp;sr=8-5")</f>
        <v>https://www.amazon.com/Thymes-Frasier-Wick-Ceramic-Candle/dp/B0140PRH56/ref=sr_1_5?keywords=Thymes+Frasier+Fir+Gold+Travel+Tin+Candle&amp;qid=1695258731&amp;sr=8-5</v>
      </c>
      <c r="F21" t="s">
        <v>110</v>
      </c>
      <c r="G21" t="e">
        <f ca="1">IMAGE("https://heavenlyouthouse.com/cdn/shop/products/Frasier-Fir-gold-travel-tin-candle.jpg?v=1635374114")</f>
        <v>#NAME?</v>
      </c>
      <c r="H21" t="e">
        <f ca="1">IMAGE("https://m.media-amazon.com/images/I/616N8+OCmhL._AC_UL320_.jpg")</f>
        <v>#NAME?</v>
      </c>
      <c r="I21" t="s">
        <v>111</v>
      </c>
      <c r="J21">
        <v>68</v>
      </c>
      <c r="K21" s="2" t="s">
        <v>112</v>
      </c>
      <c r="L21">
        <v>4.9000000000000004</v>
      </c>
      <c r="M21">
        <v>59</v>
      </c>
      <c r="O21" t="s">
        <v>39</v>
      </c>
      <c r="P21" t="s">
        <v>39</v>
      </c>
      <c r="Q21" t="s">
        <v>113</v>
      </c>
    </row>
    <row r="22" spans="1:17" ht="15.75" x14ac:dyDescent="0.25">
      <c r="A22" s="3" t="str">
        <f>HYPERLINK("https://heavenlyouthouse.com/products/thymes-lavender-pura-smart-home-diffuser-refill", "https://heavenlyouthouse.com/products/thymes-lavender-pura-smart-home-diffuser-refill")</f>
        <v>https://heavenlyouthouse.com/products/thymes-lavender-pura-smart-home-diffuser-refill</v>
      </c>
      <c r="B22" s="3" t="str">
        <f>HYPERLINK("https://heavenlyouthouse.com/products/thymes-lavender-pura-smart-home-diffuser-refill", "https://heavenlyouthouse.com/products/thymes-lavender-pura-smart-home-diffuser-refill")</f>
        <v>https://heavenlyouthouse.com/products/thymes-lavender-pura-smart-home-diffuser-refill</v>
      </c>
      <c r="C22" t="s">
        <v>114</v>
      </c>
      <c r="D22" t="s">
        <v>115</v>
      </c>
      <c r="E22" s="3" t="str">
        <f>HYPERLINK("https://www.amazon.com/Thymes-Pura-Smart-Plug-Diffuser/dp/B0C1D8Y98T/ref=sr_1_2?keywords=Thymes+Lavender+Pura+Diffuser+Refill&amp;qid=1695258761&amp;sr=8-2", "https://www.amazon.com/Thymes-Pura-Smart-Plug-Diffuser/dp/B0C1D8Y98T/ref=sr_1_2?keywords=Thymes+Lavender+Pura+Diffuser+Refill&amp;qid=1695258761&amp;sr=8-2")</f>
        <v>https://www.amazon.com/Thymes-Pura-Smart-Plug-Diffuser/dp/B0C1D8Y98T/ref=sr_1_2?keywords=Thymes+Lavender+Pura+Diffuser+Refill&amp;qid=1695258761&amp;sr=8-2</v>
      </c>
      <c r="F22" t="s">
        <v>116</v>
      </c>
      <c r="G22" t="e">
        <f ca="1">IMAGE("https://heavenlyouthouse.com/cdn/shop/products/thymes-lavender-pura-diffuser-refill.jpg?v=1650913024")</f>
        <v>#NAME?</v>
      </c>
      <c r="H22" t="e">
        <f ca="1">IMAGE("https://m.media-amazon.com/images/I/51d8plCpmAL._AC_UL320_.jpg")</f>
        <v>#NAME?</v>
      </c>
      <c r="I22" t="s">
        <v>117</v>
      </c>
      <c r="J22">
        <v>86</v>
      </c>
      <c r="K22" s="2" t="s">
        <v>118</v>
      </c>
      <c r="L22">
        <v>3.9</v>
      </c>
      <c r="M22">
        <v>77</v>
      </c>
      <c r="O22" t="s">
        <v>39</v>
      </c>
      <c r="P22" t="s">
        <v>39</v>
      </c>
      <c r="Q22" t="s">
        <v>119</v>
      </c>
    </row>
    <row r="23" spans="1:17" ht="15.75" x14ac:dyDescent="0.25">
      <c r="A23" s="3" t="str">
        <f>HYPERLINK("https://heavenlyouthouse.com/products/thymes-eucalyptus-pura-smart-home-diffuser-refill", "https://heavenlyouthouse.com/products/thymes-eucalyptus-pura-smart-home-diffuser-refill")</f>
        <v>https://heavenlyouthouse.com/products/thymes-eucalyptus-pura-smart-home-diffuser-refill</v>
      </c>
      <c r="B23" s="3" t="str">
        <f>HYPERLINK("https://heavenlyouthouse.com/products/thymes-eucalyptus-pura-smart-home-diffuser-refill", "https://heavenlyouthouse.com/products/thymes-eucalyptus-pura-smart-home-diffuser-refill")</f>
        <v>https://heavenlyouthouse.com/products/thymes-eucalyptus-pura-smart-home-diffuser-refill</v>
      </c>
      <c r="C23" t="s">
        <v>120</v>
      </c>
      <c r="D23" t="s">
        <v>115</v>
      </c>
      <c r="E23" s="3" t="str">
        <f>HYPERLINK("https://www.amazon.com/Thymes-Pura-Smart-Plug-Diffuser/dp/B0C1D8Y98T/ref=sr_1_2?keywords=Thymes+Eucalyptus+Pura+Diffuser+Refill&amp;qid=1695258719&amp;sr=8-2", "https://www.amazon.com/Thymes-Pura-Smart-Plug-Diffuser/dp/B0C1D8Y98T/ref=sr_1_2?keywords=Thymes+Eucalyptus+Pura+Diffuser+Refill&amp;qid=1695258719&amp;sr=8-2")</f>
        <v>https://www.amazon.com/Thymes-Pura-Smart-Plug-Diffuser/dp/B0C1D8Y98T/ref=sr_1_2?keywords=Thymes+Eucalyptus+Pura+Diffuser+Refill&amp;qid=1695258719&amp;sr=8-2</v>
      </c>
      <c r="F23" t="s">
        <v>116</v>
      </c>
      <c r="G23" t="e">
        <f ca="1">IMAGE("https://heavenlyouthouse.com/cdn/shop/products/thymes-eucalyptus-pura-refill.jpg?v=1639184698")</f>
        <v>#NAME?</v>
      </c>
      <c r="H23" t="e">
        <f ca="1">IMAGE("https://m.media-amazon.com/images/I/51d8plCpmAL._AC_UL320_.jpg")</f>
        <v>#NAME?</v>
      </c>
      <c r="I23" t="s">
        <v>117</v>
      </c>
      <c r="J23">
        <v>86</v>
      </c>
      <c r="K23" s="2" t="s">
        <v>118</v>
      </c>
      <c r="L23">
        <v>3.9</v>
      </c>
      <c r="M23">
        <v>77</v>
      </c>
      <c r="O23" t="s">
        <v>39</v>
      </c>
      <c r="P23" t="s">
        <v>39</v>
      </c>
      <c r="Q23" t="s">
        <v>121</v>
      </c>
    </row>
    <row r="24" spans="1:17" ht="15.75" x14ac:dyDescent="0.25">
      <c r="A24" s="3" t="str">
        <f>HYPERLINK("https://heavenlyouthouse.com/products/thymes-fresh-cut-basil-pura-smart-home-diffuser-refill", "https://heavenlyouthouse.com/products/thymes-fresh-cut-basil-pura-smart-home-diffuser-refill")</f>
        <v>https://heavenlyouthouse.com/products/thymes-fresh-cut-basil-pura-smart-home-diffuser-refill</v>
      </c>
      <c r="B24" s="3" t="str">
        <f>HYPERLINK("https://heavenlyouthouse.com/products/thymes-fresh-cut-basil-pura-smart-home-diffuser-refill", "https://heavenlyouthouse.com/products/thymes-fresh-cut-basil-pura-smart-home-diffuser-refill")</f>
        <v>https://heavenlyouthouse.com/products/thymes-fresh-cut-basil-pura-smart-home-diffuser-refill</v>
      </c>
      <c r="C24" t="s">
        <v>122</v>
      </c>
      <c r="D24" t="s">
        <v>115</v>
      </c>
      <c r="E24" s="3" t="str">
        <f>HYPERLINK("https://www.amazon.com/Thymes-Pura-Smart-Plug-Diffuser/dp/B0C1D8Y98T/ref=sr_1_4?keywords=Thymes+Fresh-Cut+Basil+Pura+Diffuser+Refill&amp;qid=1695258753&amp;sr=8-4", "https://www.amazon.com/Thymes-Pura-Smart-Plug-Diffuser/dp/B0C1D8Y98T/ref=sr_1_4?keywords=Thymes+Fresh-Cut+Basil+Pura+Diffuser+Refill&amp;qid=1695258753&amp;sr=8-4")</f>
        <v>https://www.amazon.com/Thymes-Pura-Smart-Plug-Diffuser/dp/B0C1D8Y98T/ref=sr_1_4?keywords=Thymes+Fresh-Cut+Basil+Pura+Diffuser+Refill&amp;qid=1695258753&amp;sr=8-4</v>
      </c>
      <c r="F24" t="s">
        <v>116</v>
      </c>
      <c r="G24" t="e">
        <f ca="1">IMAGE("https://heavenlyouthouse.com/cdn/shop/products/thymes-fresh-cut-basil-pura-smart-diffuser-refill.jpg?v=1657727543")</f>
        <v>#NAME?</v>
      </c>
      <c r="H24" t="e">
        <f ca="1">IMAGE("https://m.media-amazon.com/images/I/51d8plCpmAL._AC_UL320_.jpg")</f>
        <v>#NAME?</v>
      </c>
      <c r="I24" t="s">
        <v>117</v>
      </c>
      <c r="J24">
        <v>86</v>
      </c>
      <c r="K24" s="2" t="s">
        <v>118</v>
      </c>
      <c r="L24">
        <v>3.9</v>
      </c>
      <c r="M24">
        <v>77</v>
      </c>
      <c r="O24" t="s">
        <v>39</v>
      </c>
      <c r="P24" t="s">
        <v>53</v>
      </c>
      <c r="Q24" t="s">
        <v>123</v>
      </c>
    </row>
    <row r="25" spans="1:17" ht="15.75" x14ac:dyDescent="0.25">
      <c r="A25" s="3" t="str">
        <f>HYPERLINK("https://heavenlyouthouse.com/products/thymes-gingerbread-pura-smart-home-diffuser-refill", "https://heavenlyouthouse.com/products/thymes-gingerbread-pura-smart-home-diffuser-refill")</f>
        <v>https://heavenlyouthouse.com/products/thymes-gingerbread-pura-smart-home-diffuser-refill</v>
      </c>
      <c r="B25" s="3" t="str">
        <f>HYPERLINK("https://heavenlyouthouse.com/products/thymes-gingerbread-pura-smart-home-diffuser-refill", "https://heavenlyouthouse.com/products/thymes-gingerbread-pura-smart-home-diffuser-refill")</f>
        <v>https://heavenlyouthouse.com/products/thymes-gingerbread-pura-smart-home-diffuser-refill</v>
      </c>
      <c r="C25" t="s">
        <v>124</v>
      </c>
      <c r="D25" t="s">
        <v>96</v>
      </c>
      <c r="E25" s="3" t="str">
        <f>HYPERLINK("https://www.amazon.com/Thymes-Pura-Smart-Plug-Diffuser/dp/B09HL8DMHN/ref=sr_1_2?keywords=Thymes+Gingerbread+Pura+Diffuser+Refill&amp;qid=1695258742&amp;sr=8-2", "https://www.amazon.com/Thymes-Pura-Smart-Plug-Diffuser/dp/B09HL8DMHN/ref=sr_1_2?keywords=Thymes+Gingerbread+Pura+Diffuser+Refill&amp;qid=1695258742&amp;sr=8-2")</f>
        <v>https://www.amazon.com/Thymes-Pura-Smart-Plug-Diffuser/dp/B09HL8DMHN/ref=sr_1_2?keywords=Thymes+Gingerbread+Pura+Diffuser+Refill&amp;qid=1695258742&amp;sr=8-2</v>
      </c>
      <c r="F25" t="s">
        <v>97</v>
      </c>
      <c r="G25" t="e">
        <f ca="1">IMAGE("https://heavenlyouthouse.com/cdn/shop/products/thymes-gingerbread-pura-refill.jpg?v=1664374943")</f>
        <v>#NAME?</v>
      </c>
      <c r="H25" t="e">
        <f ca="1">IMAGE("https://m.media-amazon.com/images/I/61mgsWdFRWL._AC_UL320_.jpg")</f>
        <v>#NAME?</v>
      </c>
      <c r="I25" t="s">
        <v>117</v>
      </c>
      <c r="J25">
        <v>86</v>
      </c>
      <c r="K25" s="2" t="s">
        <v>118</v>
      </c>
      <c r="L25">
        <v>3.9</v>
      </c>
      <c r="M25">
        <v>77</v>
      </c>
      <c r="O25" t="s">
        <v>39</v>
      </c>
      <c r="P25" t="s">
        <v>53</v>
      </c>
      <c r="Q25" t="s">
        <v>125</v>
      </c>
    </row>
    <row r="26" spans="1:17" ht="15.75" x14ac:dyDescent="0.25">
      <c r="A26" s="3" t="str">
        <f>HYPERLINK("https://heavenlyouthouse.com/products/thymes-frasier-fir-pura-smart-home-diffuser-refill", "https://heavenlyouthouse.com/products/thymes-frasier-fir-pura-smart-home-diffuser-refill")</f>
        <v>https://heavenlyouthouse.com/products/thymes-frasier-fir-pura-smart-home-diffuser-refill</v>
      </c>
      <c r="B26" s="3" t="str">
        <f>HYPERLINK("https://heavenlyouthouse.com/products/thymes-frasier-fir-pura-smart-home-diffuser-refill", "https://heavenlyouthouse.com/products/thymes-frasier-fir-pura-smart-home-diffuser-refill")</f>
        <v>https://heavenlyouthouse.com/products/thymes-frasier-fir-pura-smart-home-diffuser-refill</v>
      </c>
      <c r="C26" t="s">
        <v>126</v>
      </c>
      <c r="D26" t="s">
        <v>96</v>
      </c>
      <c r="E26" s="3" t="str">
        <f>HYPERLINK("https://www.amazon.com/Thymes-Pura-Smart-Plug-Diffuser/dp/B09HL8DMHN/ref=sr_1_3?keywords=Thymes+Frasier+Fir+Pura+Diffuser+Refill&amp;qid=1695258738&amp;sr=8-3", "https://www.amazon.com/Thymes-Pura-Smart-Plug-Diffuser/dp/B09HL8DMHN/ref=sr_1_3?keywords=Thymes+Frasier+Fir+Pura+Diffuser+Refill&amp;qid=1695258738&amp;sr=8-3")</f>
        <v>https://www.amazon.com/Thymes-Pura-Smart-Plug-Diffuser/dp/B09HL8DMHN/ref=sr_1_3?keywords=Thymes+Frasier+Fir+Pura+Diffuser+Refill&amp;qid=1695258738&amp;sr=8-3</v>
      </c>
      <c r="F26" t="s">
        <v>97</v>
      </c>
      <c r="G26" t="e">
        <f ca="1">IMAGE("https://heavenlyouthouse.com/cdn/shop/products/Thymes-Frasier-Fir-pura-smart-home-diffuser-refill.jpg?v=1632434828")</f>
        <v>#NAME?</v>
      </c>
      <c r="H26" t="e">
        <f ca="1">IMAGE("https://m.media-amazon.com/images/I/61mgsWdFRWL._AC_UL320_.jpg")</f>
        <v>#NAME?</v>
      </c>
      <c r="I26" t="s">
        <v>117</v>
      </c>
      <c r="J26">
        <v>86</v>
      </c>
      <c r="K26" s="2" t="s">
        <v>118</v>
      </c>
      <c r="L26">
        <v>3.9</v>
      </c>
      <c r="M26">
        <v>77</v>
      </c>
      <c r="O26" t="s">
        <v>39</v>
      </c>
      <c r="P26" t="s">
        <v>53</v>
      </c>
      <c r="Q26" t="s">
        <v>127</v>
      </c>
    </row>
    <row r="27" spans="1:17" ht="15.75" x14ac:dyDescent="0.25">
      <c r="A27" s="3" t="str">
        <f>HYPERLINK("https://heavenlyouthouse.com/products/succulents-thank-you-card", "https://heavenlyouthouse.com/products/succulents-thank-you-card")</f>
        <v>https://heavenlyouthouse.com/products/succulents-thank-you-card</v>
      </c>
      <c r="B27" s="3" t="str">
        <f>HYPERLINK("https://heavenlyouthouse.com/products/succulents-thank-you-card", "https://heavenlyouthouse.com/products/succulents-thank-you-card")</f>
        <v>https://heavenlyouthouse.com/products/succulents-thank-you-card</v>
      </c>
      <c r="C27" t="s">
        <v>102</v>
      </c>
      <c r="D27" t="s">
        <v>128</v>
      </c>
      <c r="E27" s="3" t="str">
        <f>HYPERLINK("https://www.amazon.com/Nest-Designs-Succulent-Envelopes-Thankyou/dp/B07L517YNQ/ref=sr_1_8?keywords=Succulents+Thank+You+Card&amp;qid=1695258709&amp;sr=8-8", "https://www.amazon.com/Nest-Designs-Succulent-Envelopes-Thankyou/dp/B07L517YNQ/ref=sr_1_8?keywords=Succulents+Thank+You+Card&amp;qid=1695258709&amp;sr=8-8")</f>
        <v>https://www.amazon.com/Nest-Designs-Succulent-Envelopes-Thankyou/dp/B07L517YNQ/ref=sr_1_8?keywords=Succulents+Thank+You+Card&amp;qid=1695258709&amp;sr=8-8</v>
      </c>
      <c r="F27" t="s">
        <v>129</v>
      </c>
      <c r="G27" t="e">
        <f ca="1">IMAGE("https://heavenlyouthouse.com/cdn/shop/products/thankyou-cactus.jpg?v=1600890223")</f>
        <v>#NAME?</v>
      </c>
      <c r="H27" t="e">
        <f ca="1">IMAGE("https://m.media-amazon.com/images/I/81tzRAH20QL._AC_UL320_.jpg")</f>
        <v>#NAME?</v>
      </c>
      <c r="I27" t="s">
        <v>105</v>
      </c>
      <c r="J27">
        <v>20.49</v>
      </c>
      <c r="K27" s="2" t="s">
        <v>130</v>
      </c>
      <c r="L27">
        <v>4.8</v>
      </c>
      <c r="M27">
        <v>7161</v>
      </c>
      <c r="O27" t="s">
        <v>39</v>
      </c>
      <c r="P27" t="s">
        <v>39</v>
      </c>
      <c r="Q27" t="s">
        <v>107</v>
      </c>
    </row>
    <row r="28" spans="1:17" ht="15.75" x14ac:dyDescent="0.25">
      <c r="A28" s="3" t="str">
        <f>HYPERLINK("https://heavenlyouthouse.com/products/winters-a-bear-lip-balm?variant=32318241112153", "https://heavenlyouthouse.com/products/winters-a-bear-lip-balm?variant=32318241112153")</f>
        <v>https://heavenlyouthouse.com/products/winters-a-bear-lip-balm?variant=32318241112153</v>
      </c>
      <c r="B28" s="3" t="str">
        <f>HYPERLINK("https://heavenlyouthouse.com/products/winters-a-bear-lip-balm", "https://heavenlyouthouse.com/products/winters-a-bear-lip-balm")</f>
        <v>https://heavenlyouthouse.com/products/winters-a-bear-lip-balm</v>
      </c>
      <c r="C28" t="s">
        <v>131</v>
      </c>
      <c r="D28" t="s">
        <v>132</v>
      </c>
      <c r="E28" s="3" t="str">
        <f>HYPERLINK("https://www.amazon.com/Walton-Wood-Farm-Balm-Winters/dp/B07G3DBWP9/ref=sr_1_1?keywords=Winters+A+Bear+Lip+Balm&amp;qid=1695258837&amp;sr=8-1", "https://www.amazon.com/Walton-Wood-Farm-Balm-Winters/dp/B07G3DBWP9/ref=sr_1_1?keywords=Winters+A+Bear+Lip+Balm&amp;qid=1695258837&amp;sr=8-1")</f>
        <v>https://www.amazon.com/Walton-Wood-Farm-Balm-Winters/dp/B07G3DBWP9/ref=sr_1_1?keywords=Winters+A+Bear+Lip+Balm&amp;qid=1695258837&amp;sr=8-1</v>
      </c>
      <c r="F28" t="s">
        <v>133</v>
      </c>
      <c r="G28" t="e">
        <f ca="1">IMAGE("https://heavenlyouthouse.com/cdn/shop/products/walton-wood-farm-winter_s-a-bear-lip-balm1.jpg?v=1646851940")</f>
        <v>#NAME?</v>
      </c>
      <c r="H28" t="e">
        <f ca="1">IMAGE("https://m.media-amazon.com/images/I/41HS3Tw0fhL._AC_UL320_.jpg")</f>
        <v>#NAME?</v>
      </c>
      <c r="I28" t="s">
        <v>134</v>
      </c>
      <c r="J28">
        <v>16.989999999999998</v>
      </c>
      <c r="K28" s="2" t="s">
        <v>135</v>
      </c>
      <c r="L28">
        <v>4.7</v>
      </c>
      <c r="M28">
        <v>91</v>
      </c>
      <c r="O28" t="s">
        <v>136</v>
      </c>
      <c r="P28" t="s">
        <v>39</v>
      </c>
      <c r="Q28" t="s">
        <v>137</v>
      </c>
    </row>
    <row r="29" spans="1:17" ht="15.75" x14ac:dyDescent="0.25">
      <c r="A29" s="3" t="str">
        <f>HYPERLINK("https://heavenlyouthouse.com/products/spearmint-soap", "https://heavenlyouthouse.com/products/spearmint-soap")</f>
        <v>https://heavenlyouthouse.com/products/spearmint-soap</v>
      </c>
      <c r="B29" s="3" t="str">
        <f>HYPERLINK("https://heavenlyouthouse.com/products/spearmint-soap", "https://heavenlyouthouse.com/products/spearmint-soap")</f>
        <v>https://heavenlyouthouse.com/products/spearmint-soap</v>
      </c>
      <c r="C29" t="s">
        <v>138</v>
      </c>
      <c r="D29" t="s">
        <v>139</v>
      </c>
      <c r="E29" s="3" t="str">
        <f>HYPERLINK("https://www.amazon.com/Grass-Fed-Beef-Tallow-Soap/dp/B086R949H6/ref=sr_1_8?keywords=Spearmint+Soap&amp;qid=1695258707&amp;sr=8-8", "https://www.amazon.com/Grass-Fed-Beef-Tallow-Soap/dp/B086R949H6/ref=sr_1_8?keywords=Spearmint+Soap&amp;qid=1695258707&amp;sr=8-8")</f>
        <v>https://www.amazon.com/Grass-Fed-Beef-Tallow-Soap/dp/B086R949H6/ref=sr_1_8?keywords=Spearmint+Soap&amp;qid=1695258707&amp;sr=8-8</v>
      </c>
      <c r="F29" t="s">
        <v>140</v>
      </c>
      <c r="G29" t="e">
        <f ca="1">IMAGE("https://heavenlyouthouse.com/cdn/shop/products/Spearmint_Bar-Soap_2048_2000x_e9b0fb8d-7255-4bf8-bb50-9da0b59a1544.jpg?v=1586802582")</f>
        <v>#NAME?</v>
      </c>
      <c r="H29" t="e">
        <f ca="1">IMAGE("https://m.media-amazon.com/images/I/61wzWWvZhvL._AC_UL320_.jpg")</f>
        <v>#NAME?</v>
      </c>
      <c r="I29" t="s">
        <v>92</v>
      </c>
      <c r="J29">
        <v>26.74</v>
      </c>
      <c r="K29" s="2" t="s">
        <v>141</v>
      </c>
      <c r="L29">
        <v>4.5</v>
      </c>
      <c r="M29">
        <v>189</v>
      </c>
      <c r="O29" t="s">
        <v>39</v>
      </c>
      <c r="P29" t="s">
        <v>39</v>
      </c>
      <c r="Q29" t="s">
        <v>142</v>
      </c>
    </row>
    <row r="30" spans="1:17" ht="15.75" x14ac:dyDescent="0.25">
      <c r="A30" s="3" t="str">
        <f>HYPERLINK("https://heavenlyouthouse.com/products/week-from-hell-hand-rescue-tube?variant=32374479978585", "https://heavenlyouthouse.com/products/week-from-hell-hand-rescue-tube?variant=32374479978585")</f>
        <v>https://heavenlyouthouse.com/products/week-from-hell-hand-rescue-tube?variant=32374479978585</v>
      </c>
      <c r="B30" s="3" t="str">
        <f>HYPERLINK("https://heavenlyouthouse.com/products/week-from-hell-hand-rescue-tube", "https://heavenlyouthouse.com/products/week-from-hell-hand-rescue-tube")</f>
        <v>https://heavenlyouthouse.com/products/week-from-hell-hand-rescue-tube</v>
      </c>
      <c r="C30" t="s">
        <v>143</v>
      </c>
      <c r="D30" t="s">
        <v>144</v>
      </c>
      <c r="E30" s="3" t="str">
        <f>HYPERLINK("https://www.amazon.com/Walton-Wood-Farm-Vegan-Friendly-Paraben-Free/dp/B07NRL8V88/ref=sr_1_1?keywords=Week+From+Hell+Hand+Rescue+Tube&amp;qid=1695258826&amp;sr=8-1", "https://www.amazon.com/Walton-Wood-Farm-Vegan-Friendly-Paraben-Free/dp/B07NRL8V88/ref=sr_1_1?keywords=Week+From+Hell+Hand+Rescue+Tube&amp;qid=1695258826&amp;sr=8-1")</f>
        <v>https://www.amazon.com/Walton-Wood-Farm-Vegan-Friendly-Paraben-Free/dp/B07NRL8V88/ref=sr_1_1?keywords=Week+From+Hell+Hand+Rescue+Tube&amp;qid=1695258826&amp;sr=8-1</v>
      </c>
      <c r="F30" t="s">
        <v>145</v>
      </c>
      <c r="G30" t="e">
        <f ca="1">IMAGE("https://heavenlyouthouse.com/cdn/shop/products/weekfromhellhandrescuetube.jpg?v=1612548050")</f>
        <v>#NAME?</v>
      </c>
      <c r="H30" t="e">
        <f ca="1">IMAGE("https://m.media-amazon.com/images/I/51L4ELpd3qL._AC_UL320_.jpg")</f>
        <v>#NAME?</v>
      </c>
      <c r="I30" t="s">
        <v>146</v>
      </c>
      <c r="J30">
        <v>32.950000000000003</v>
      </c>
      <c r="K30" s="2" t="s">
        <v>147</v>
      </c>
      <c r="L30">
        <v>4.5</v>
      </c>
      <c r="M30">
        <v>12</v>
      </c>
      <c r="O30" t="s">
        <v>136</v>
      </c>
      <c r="P30" t="s">
        <v>39</v>
      </c>
      <c r="Q30" t="s">
        <v>148</v>
      </c>
    </row>
    <row r="31" spans="1:17" ht="15.75" x14ac:dyDescent="0.25">
      <c r="A31" s="3" t="str">
        <f>HYPERLINK("https://heavenlyouthouse.com/products/frasier-fir-green-reed-refill", "https://heavenlyouthouse.com/products/frasier-fir-green-reed-refill")</f>
        <v>https://heavenlyouthouse.com/products/frasier-fir-green-reed-refill</v>
      </c>
      <c r="B31" s="3" t="str">
        <f>HYPERLINK("https://heavenlyouthouse.com/products/frasier-fir-green-reed-refill", "https://heavenlyouthouse.com/products/frasier-fir-green-reed-refill")</f>
        <v>https://heavenlyouthouse.com/products/frasier-fir-green-reed-refill</v>
      </c>
      <c r="C31" t="s">
        <v>149</v>
      </c>
      <c r="D31" t="s">
        <v>150</v>
      </c>
      <c r="E31" s="3" t="str">
        <f>HYPERLINK("https://www.amazon.com/Frasier-Diffuser-Petite-Needle-Design/dp/B07PX41PHQ/ref=sr_1_4?keywords=Thymes+Frasier+Fir+Green+Reed+Sticks+Refill&amp;qid=1695258725&amp;sr=8-4", "https://www.amazon.com/Frasier-Diffuser-Petite-Needle-Design/dp/B07PX41PHQ/ref=sr_1_4?keywords=Thymes+Frasier+Fir+Green+Reed+Sticks+Refill&amp;qid=1695258725&amp;sr=8-4")</f>
        <v>https://www.amazon.com/Frasier-Diffuser-Petite-Needle-Design/dp/B07PX41PHQ/ref=sr_1_4?keywords=Thymes+Frasier+Fir+Green+Reed+Sticks+Refill&amp;qid=1695258725&amp;sr=8-4</v>
      </c>
      <c r="F31" t="s">
        <v>151</v>
      </c>
      <c r="G31" t="e">
        <f ca="1">IMAGE("https://heavenlyouthouse.com/cdn/shop/products/Frasier-Fir-Heritage-Green-Reed-Refill.jpg?v=1605455568")</f>
        <v>#NAME?</v>
      </c>
      <c r="H31" t="e">
        <f ca="1">IMAGE("https://m.media-amazon.com/images/I/81b2I297VgL._AC_UL320_.jpg")</f>
        <v>#NAME?</v>
      </c>
      <c r="I31" t="s">
        <v>152</v>
      </c>
      <c r="J31">
        <v>46</v>
      </c>
      <c r="K31" s="2" t="s">
        <v>153</v>
      </c>
      <c r="L31">
        <v>4.7</v>
      </c>
      <c r="M31">
        <v>283</v>
      </c>
      <c r="O31" t="s">
        <v>39</v>
      </c>
      <c r="P31" t="s">
        <v>39</v>
      </c>
      <c r="Q31" t="s">
        <v>154</v>
      </c>
    </row>
    <row r="32" spans="1:17" ht="15.75" x14ac:dyDescent="0.25">
      <c r="A32" s="3" t="str">
        <f>HYPERLINK("https://heavenlyouthouse.com/products/frasier-fir-green-reed-refill", "https://heavenlyouthouse.com/products/frasier-fir-green-reed-refill")</f>
        <v>https://heavenlyouthouse.com/products/frasier-fir-green-reed-refill</v>
      </c>
      <c r="B32" s="3" t="str">
        <f>HYPERLINK("https://heavenlyouthouse.com/products/frasier-fir-green-reed-refill", "https://heavenlyouthouse.com/products/frasier-fir-green-reed-refill")</f>
        <v>https://heavenlyouthouse.com/products/frasier-fir-green-reed-refill</v>
      </c>
      <c r="C32" t="s">
        <v>149</v>
      </c>
      <c r="D32" t="s">
        <v>155</v>
      </c>
      <c r="E32" s="3" t="str">
        <f>HYPERLINK("https://www.amazon.com/Thymes-Frasier-Petite-Reed-Diffuser/dp/B074KL8KPP/ref=sr_1_3?keywords=Thymes+Frasier+Fir+Green+Reed+Sticks+Refill&amp;qid=1695258725&amp;sr=8-3", "https://www.amazon.com/Thymes-Frasier-Petite-Reed-Diffuser/dp/B074KL8KPP/ref=sr_1_3?keywords=Thymes+Frasier+Fir+Green+Reed+Sticks+Refill&amp;qid=1695258725&amp;sr=8-3")</f>
        <v>https://www.amazon.com/Thymes-Frasier-Petite-Reed-Diffuser/dp/B074KL8KPP/ref=sr_1_3?keywords=Thymes+Frasier+Fir+Green+Reed+Sticks+Refill&amp;qid=1695258725&amp;sr=8-3</v>
      </c>
      <c r="F32" t="s">
        <v>156</v>
      </c>
      <c r="G32" t="e">
        <f ca="1">IMAGE("https://heavenlyouthouse.com/cdn/shop/products/Frasier-Fir-Heritage-Green-Reed-Refill.jpg?v=1605455568")</f>
        <v>#NAME?</v>
      </c>
      <c r="H32" t="e">
        <f ca="1">IMAGE("https://m.media-amazon.com/images/I/71vTZnnZvCL._AC_UL320_.jpg")</f>
        <v>#NAME?</v>
      </c>
      <c r="I32" t="s">
        <v>152</v>
      </c>
      <c r="J32">
        <v>46</v>
      </c>
      <c r="K32" s="2" t="s">
        <v>153</v>
      </c>
      <c r="L32">
        <v>4.7</v>
      </c>
      <c r="M32">
        <v>479</v>
      </c>
      <c r="O32" t="s">
        <v>39</v>
      </c>
      <c r="P32" t="s">
        <v>39</v>
      </c>
      <c r="Q32" t="s">
        <v>154</v>
      </c>
    </row>
    <row r="33" spans="1:17" ht="15.75" x14ac:dyDescent="0.25">
      <c r="A33" s="3" t="str">
        <f>HYPERLINK("https://heavenlyouthouse.com/products/pumpkin-soap", "https://heavenlyouthouse.com/products/pumpkin-soap")</f>
        <v>https://heavenlyouthouse.com/products/pumpkin-soap</v>
      </c>
      <c r="B33" s="3" t="str">
        <f>HYPERLINK("https://heavenlyouthouse.com/products/pumpkin-soap", "https://heavenlyouthouse.com/products/pumpkin-soap")</f>
        <v>https://heavenlyouthouse.com/products/pumpkin-soap</v>
      </c>
      <c r="C33" t="s">
        <v>157</v>
      </c>
      <c r="D33" t="s">
        <v>158</v>
      </c>
      <c r="E33" s="3" t="str">
        <f>HYPERLINK("https://www.amazon.com/Antibacterial-Hand-Soap-Moisturizing-Non-toxic/dp/B08LMG7H6V/ref=sr_1_5?keywords=Pumpkin+Soap&amp;qid=1695258671&amp;sr=8-5", "https://www.amazon.com/Antibacterial-Hand-Soap-Moisturizing-Non-toxic/dp/B08LMG7H6V/ref=sr_1_5?keywords=Pumpkin+Soap&amp;qid=1695258671&amp;sr=8-5")</f>
        <v>https://www.amazon.com/Antibacterial-Hand-Soap-Moisturizing-Non-toxic/dp/B08LMG7H6V/ref=sr_1_5?keywords=Pumpkin+Soap&amp;qid=1695258671&amp;sr=8-5</v>
      </c>
      <c r="F33" t="s">
        <v>159</v>
      </c>
      <c r="G33" t="e">
        <f ca="1">IMAGE("https://heavenlyouthouse.com/cdn/shop/products/Pumpkin_Bar-Soap_2048_2000x_6b1d5e1f-2b42-45d8-85e4-bc5e350eb2be.jpg?v=1586787951")</f>
        <v>#NAME?</v>
      </c>
      <c r="H33" t="e">
        <f ca="1">IMAGE("https://m.media-amazon.com/images/I/81ErfAgkINL._AC_UL320_.jpg")</f>
        <v>#NAME?</v>
      </c>
      <c r="I33" t="s">
        <v>92</v>
      </c>
      <c r="J33">
        <v>25.99</v>
      </c>
      <c r="K33" s="2" t="s">
        <v>160</v>
      </c>
      <c r="L33">
        <v>4.5</v>
      </c>
      <c r="M33">
        <v>3842</v>
      </c>
      <c r="O33" t="s">
        <v>39</v>
      </c>
      <c r="P33" t="s">
        <v>39</v>
      </c>
      <c r="Q33" t="s">
        <v>161</v>
      </c>
    </row>
    <row r="34" spans="1:17" ht="15.75" x14ac:dyDescent="0.25">
      <c r="A34" s="3" t="str">
        <f>HYPERLINK("https://heavenlyouthouse.com/products/week-from-hell-lip-balm", "https://heavenlyouthouse.com/products/week-from-hell-lip-balm")</f>
        <v>https://heavenlyouthouse.com/products/week-from-hell-lip-balm</v>
      </c>
      <c r="B34" s="3" t="str">
        <f>HYPERLINK("https://heavenlyouthouse.com/products/week-from-hell-lip-balm", "https://heavenlyouthouse.com/products/week-from-hell-lip-balm")</f>
        <v>https://heavenlyouthouse.com/products/week-from-hell-lip-balm</v>
      </c>
      <c r="C34" t="s">
        <v>162</v>
      </c>
      <c r="D34" t="s">
        <v>163</v>
      </c>
      <c r="E34" s="3" t="str">
        <f>HYPERLINK("https://www.amazon.com/Walton-Wood-Farm-Balm-Trio/dp/B07G3CHTDR/ref=sr_1_1?keywords=Week+From+Hell+Lip+Balm&amp;qid=1695258818&amp;sr=8-1", "https://www.amazon.com/Walton-Wood-Farm-Balm-Trio/dp/B07G3CHTDR/ref=sr_1_1?keywords=Week+From+Hell+Lip+Balm&amp;qid=1695258818&amp;sr=8-1")</f>
        <v>https://www.amazon.com/Walton-Wood-Farm-Balm-Trio/dp/B07G3CHTDR/ref=sr_1_1?keywords=Week+From+Hell+Lip+Balm&amp;qid=1695258818&amp;sr=8-1</v>
      </c>
      <c r="F34" t="s">
        <v>164</v>
      </c>
      <c r="G34" t="e">
        <f ca="1">IMAGE("https://heavenlyouthouse.com/cdn/shop/products/walton-wood-farm-week-from-hell-lip-balm1.jpg?v=1646860203")</f>
        <v>#NAME?</v>
      </c>
      <c r="H34" t="e">
        <f ca="1">IMAGE("https://m.media-amazon.com/images/I/61SOcTEgo3L._AC_UL320_.jpg")</f>
        <v>#NAME?</v>
      </c>
      <c r="I34" t="s">
        <v>134</v>
      </c>
      <c r="J34">
        <v>16.059999999999999</v>
      </c>
      <c r="K34" s="2" t="s">
        <v>165</v>
      </c>
      <c r="L34">
        <v>4.7</v>
      </c>
      <c r="M34">
        <v>91</v>
      </c>
      <c r="O34" t="s">
        <v>136</v>
      </c>
      <c r="P34" t="s">
        <v>39</v>
      </c>
      <c r="Q34" t="s">
        <v>166</v>
      </c>
    </row>
    <row r="35" spans="1:17" ht="15.75" x14ac:dyDescent="0.25">
      <c r="A35" s="3" t="str">
        <f>HYPERLINK("https://heavenlyouthouse.com/products/frasier-fir-statement-pine-needle-candle", "https://heavenlyouthouse.com/products/frasier-fir-statement-pine-needle-candle")</f>
        <v>https://heavenlyouthouse.com/products/frasier-fir-statement-pine-needle-candle</v>
      </c>
      <c r="B35" s="3" t="str">
        <f>HYPERLINK("https://heavenlyouthouse.com/products/frasier-fir-statement-pine-needle-candle", "https://heavenlyouthouse.com/products/frasier-fir-statement-pine-needle-candle")</f>
        <v>https://heavenlyouthouse.com/products/frasier-fir-statement-pine-needle-candle</v>
      </c>
      <c r="C35" t="s">
        <v>167</v>
      </c>
      <c r="D35" t="s">
        <v>84</v>
      </c>
      <c r="E35" s="3" t="str">
        <f>HYPERLINK("https://www.amazon.com/Thymes-Frasier-Limited-4-Wick-Statement/dp/B01KIH4XCA/ref=sr_1_10?keywords=Thymes+Frasier+Fir+Statement+Pine+Needle+Candle&amp;qid=1695258736&amp;sr=8-10", "https://www.amazon.com/Thymes-Frasier-Limited-4-Wick-Statement/dp/B01KIH4XCA/ref=sr_1_10?keywords=Thymes+Frasier+Fir+Statement+Pine+Needle+Candle&amp;qid=1695258736&amp;sr=8-10")</f>
        <v>https://www.amazon.com/Thymes-Frasier-Limited-4-Wick-Statement/dp/B01KIH4XCA/ref=sr_1_10?keywords=Thymes+Frasier+Fir+Statement+Pine+Needle+Candle&amp;qid=1695258736&amp;sr=8-10</v>
      </c>
      <c r="F35" t="s">
        <v>85</v>
      </c>
      <c r="G35" t="e">
        <f ca="1">IMAGE("https://heavenlyouthouse.com/cdn/shop/products/thymesfrasierfirsmallstatementcandlesilverpineneedle.jpg?v=1603994848")</f>
        <v>#NAME?</v>
      </c>
      <c r="H35" t="e">
        <f ca="1">IMAGE("https://m.media-amazon.com/images/I/71+UQARiQhL._AC_UL320_.jpg")</f>
        <v>#NAME?</v>
      </c>
      <c r="I35" t="s">
        <v>168</v>
      </c>
      <c r="J35">
        <v>106</v>
      </c>
      <c r="K35" s="2" t="s">
        <v>169</v>
      </c>
      <c r="L35">
        <v>4.4000000000000004</v>
      </c>
      <c r="M35">
        <v>46</v>
      </c>
      <c r="O35" t="s">
        <v>39</v>
      </c>
      <c r="P35" t="s">
        <v>170</v>
      </c>
      <c r="Q35" t="s">
        <v>171</v>
      </c>
    </row>
    <row r="36" spans="1:17" ht="15.75" x14ac:dyDescent="0.25">
      <c r="A36" s="3" t="str">
        <f>HYPERLINK("https://heavenlyouthouse.com/products/restorative-face-serum", "https://heavenlyouthouse.com/products/restorative-face-serum")</f>
        <v>https://heavenlyouthouse.com/products/restorative-face-serum</v>
      </c>
      <c r="B36" s="3" t="str">
        <f>HYPERLINK("https://heavenlyouthouse.com/products/restorative-face-serum", "https://heavenlyouthouse.com/products/restorative-face-serum")</f>
        <v>https://heavenlyouthouse.com/products/restorative-face-serum</v>
      </c>
      <c r="C36" t="s">
        <v>172</v>
      </c>
      <c r="D36" t="s">
        <v>173</v>
      </c>
      <c r="E36" s="3" t="str">
        <f>HYPERLINK("https://www.amazon.com/PCA-Skin-Resveratrol-Restorative-Complex/dp/B07YLDJQXL/ref=sr_1_6?keywords=Restorative+Face+Serum&amp;qid=1695258665&amp;sr=8-6", "https://www.amazon.com/PCA-Skin-Resveratrol-Restorative-Complex/dp/B07YLDJQXL/ref=sr_1_6?keywords=Restorative+Face+Serum&amp;qid=1695258665&amp;sr=8-6")</f>
        <v>https://www.amazon.com/PCA-Skin-Resveratrol-Restorative-Complex/dp/B07YLDJQXL/ref=sr_1_6?keywords=Restorative+Face+Serum&amp;qid=1695258665&amp;sr=8-6</v>
      </c>
      <c r="F36" t="s">
        <v>174</v>
      </c>
      <c r="G36" t="e">
        <f ca="1">IMAGE("https://heavenlyouthouse.com/cdn/shop/products/Rocky-Mountain-Soap-Company-Face-serum-restorative.jpg?v=1628190288")</f>
        <v>#NAME?</v>
      </c>
      <c r="H36" t="e">
        <f ca="1">IMAGE("https://m.media-amazon.com/images/I/51aOALWEA1L._AC_UL320_.jpg")</f>
        <v>#NAME?</v>
      </c>
      <c r="I36" t="s">
        <v>175</v>
      </c>
      <c r="J36">
        <v>124</v>
      </c>
      <c r="K36" s="2" t="s">
        <v>176</v>
      </c>
      <c r="L36">
        <v>4.0999999999999996</v>
      </c>
      <c r="M36">
        <v>36</v>
      </c>
      <c r="O36" t="s">
        <v>39</v>
      </c>
      <c r="P36" t="s">
        <v>177</v>
      </c>
      <c r="Q36" t="s">
        <v>178</v>
      </c>
    </row>
    <row r="37" spans="1:17" ht="15.75" x14ac:dyDescent="0.25">
      <c r="A37" s="3" t="str">
        <f>HYPERLINK("https://heavenlyouthouse.com/products/vanilla-coconut-lip-butter", "https://heavenlyouthouse.com/products/vanilla-coconut-lip-butter")</f>
        <v>https://heavenlyouthouse.com/products/vanilla-coconut-lip-butter</v>
      </c>
      <c r="B37" s="3" t="str">
        <f>HYPERLINK("https://heavenlyouthouse.com/products/vanilla-coconut-lip-butter", "https://heavenlyouthouse.com/products/vanilla-coconut-lip-butter")</f>
        <v>https://heavenlyouthouse.com/products/vanilla-coconut-lip-butter</v>
      </c>
      <c r="C37" t="s">
        <v>179</v>
      </c>
      <c r="D37" t="s">
        <v>180</v>
      </c>
      <c r="E37" s="3" t="str">
        <f>HYPERLINK("https://www.amazon.com/Vanilla-Beeswax-Coconut-Jojoba-Vitamin/dp/B09Q3Q9X29/ref=sr_1_5?keywords=Vanilla+Coconut+Lip+Butter&amp;qid=1695258806&amp;sr=8-5", "https://www.amazon.com/Vanilla-Beeswax-Coconut-Jojoba-Vitamin/dp/B09Q3Q9X29/ref=sr_1_5?keywords=Vanilla+Coconut+Lip+Butter&amp;qid=1695258806&amp;sr=8-5")</f>
        <v>https://www.amazon.com/Vanilla-Beeswax-Coconut-Jojoba-Vitamin/dp/B09Q3Q9X29/ref=sr_1_5?keywords=Vanilla+Coconut+Lip+Butter&amp;qid=1695258806&amp;sr=8-5</v>
      </c>
      <c r="F37" t="s">
        <v>181</v>
      </c>
      <c r="G37" t="e">
        <f ca="1">IMAGE("https://heavenlyouthouse.com/cdn/shop/products/vanilla_coconut_lip_butter_2000x_a349e62e-0577-4340-b194-e2f9012f9936.jpg?v=1587831837")</f>
        <v>#NAME?</v>
      </c>
      <c r="H37" t="e">
        <f ca="1">IMAGE("https://m.media-amazon.com/images/I/71oqKKZPpOL._AC_UL320_.jpg")</f>
        <v>#NAME?</v>
      </c>
      <c r="I37" t="s">
        <v>92</v>
      </c>
      <c r="J37">
        <v>24.99</v>
      </c>
      <c r="K37" s="2" t="s">
        <v>182</v>
      </c>
      <c r="L37">
        <v>4.5999999999999996</v>
      </c>
      <c r="M37">
        <v>655</v>
      </c>
      <c r="O37" t="s">
        <v>39</v>
      </c>
      <c r="P37" t="s">
        <v>39</v>
      </c>
      <c r="Q37" t="s">
        <v>183</v>
      </c>
    </row>
    <row r="38" spans="1:17" ht="15.75" x14ac:dyDescent="0.25">
      <c r="A38" s="3" t="str">
        <f>HYPERLINK("https://heavenlyouthouse.com/products/spearmint-soap", "https://heavenlyouthouse.com/products/spearmint-soap")</f>
        <v>https://heavenlyouthouse.com/products/spearmint-soap</v>
      </c>
      <c r="B38" s="3" t="str">
        <f>HYPERLINK("https://heavenlyouthouse.com/products/spearmint-soap", "https://heavenlyouthouse.com/products/spearmint-soap")</f>
        <v>https://heavenlyouthouse.com/products/spearmint-soap</v>
      </c>
      <c r="C38" t="s">
        <v>138</v>
      </c>
      <c r="D38" t="s">
        <v>184</v>
      </c>
      <c r="E38" s="3" t="str">
        <f>HYPERLINK("https://www.amazon.com/Bath-Body-Works-2-Pack-Stress/dp/B075MML5ST/ref=sr_1_7?keywords=Spearmint+Soap&amp;qid=1695258707&amp;sr=8-7", "https://www.amazon.com/Bath-Body-Works-2-Pack-Stress/dp/B075MML5ST/ref=sr_1_7?keywords=Spearmint+Soap&amp;qid=1695258707&amp;sr=8-7")</f>
        <v>https://www.amazon.com/Bath-Body-Works-2-Pack-Stress/dp/B075MML5ST/ref=sr_1_7?keywords=Spearmint+Soap&amp;qid=1695258707&amp;sr=8-7</v>
      </c>
      <c r="F38" t="s">
        <v>185</v>
      </c>
      <c r="G38" t="e">
        <f ca="1">IMAGE("https://heavenlyouthouse.com/cdn/shop/products/Spearmint_Bar-Soap_2048_2000x_e9b0fb8d-7255-4bf8-bb50-9da0b59a1544.jpg?v=1586802582")</f>
        <v>#NAME?</v>
      </c>
      <c r="H38" t="e">
        <f ca="1">IMAGE("https://m.media-amazon.com/images/I/41OsEUA-v+L._AC_UL320_.jpg")</f>
        <v>#NAME?</v>
      </c>
      <c r="I38" t="s">
        <v>92</v>
      </c>
      <c r="J38">
        <v>24.75</v>
      </c>
      <c r="K38" s="2" t="s">
        <v>186</v>
      </c>
      <c r="L38">
        <v>4.5999999999999996</v>
      </c>
      <c r="M38">
        <v>464</v>
      </c>
      <c r="O38" t="s">
        <v>39</v>
      </c>
      <c r="P38" t="s">
        <v>39</v>
      </c>
      <c r="Q38" t="s">
        <v>142</v>
      </c>
    </row>
    <row r="39" spans="1:17" ht="15.75" x14ac:dyDescent="0.25">
      <c r="A39" s="3" t="str">
        <f>HYPERLINK("https://heavenlyouthouse.com/products/thymes-frasier-fir-gilded-gold-votive-candle", "https://heavenlyouthouse.com/products/thymes-frasier-fir-gilded-gold-votive-candle")</f>
        <v>https://heavenlyouthouse.com/products/thymes-frasier-fir-gilded-gold-votive-candle</v>
      </c>
      <c r="B39" s="3" t="str">
        <f>HYPERLINK("https://heavenlyouthouse.com/products/thymes-frasier-fir-gilded-gold-votive-candle", "https://heavenlyouthouse.com/products/thymes-frasier-fir-gilded-gold-votive-candle")</f>
        <v>https://heavenlyouthouse.com/products/thymes-frasier-fir-gilded-gold-votive-candle</v>
      </c>
      <c r="C39" t="s">
        <v>187</v>
      </c>
      <c r="D39" t="s">
        <v>109</v>
      </c>
      <c r="E39" s="3" t="str">
        <f>HYPERLINK("https://www.amazon.com/Thymes-Frasier-Wick-Ceramic-Candle/dp/B0140PRH56/ref=sr_1_10?keywords=Thymes+Frasier+Fir+Gilded+Gold+Votive+Candle&amp;qid=1695258726&amp;sr=8-10", "https://www.amazon.com/Thymes-Frasier-Wick-Ceramic-Candle/dp/B0140PRH56/ref=sr_1_10?keywords=Thymes+Frasier+Fir+Gilded+Gold+Votive+Candle&amp;qid=1695258726&amp;sr=8-10")</f>
        <v>https://www.amazon.com/Thymes-Frasier-Wick-Ceramic-Candle/dp/B0140PRH56/ref=sr_1_10?keywords=Thymes+Frasier+Fir+Gilded+Gold+Votive+Candle&amp;qid=1695258726&amp;sr=8-10</v>
      </c>
      <c r="F39" t="s">
        <v>110</v>
      </c>
      <c r="G39" t="e">
        <f ca="1">IMAGE("https://heavenlyouthouse.com/cdn/shop/files/thymes-frasier-fir-gilded-gold-votive-candle_300x300.jpg?v=1692986058")</f>
        <v>#NAME?</v>
      </c>
      <c r="H39" t="e">
        <f ca="1">IMAGE("https://m.media-amazon.com/images/I/616N8+OCmhL._AC_UL320_.jpg")</f>
        <v>#NAME?</v>
      </c>
      <c r="I39" t="s">
        <v>188</v>
      </c>
      <c r="J39">
        <v>68</v>
      </c>
      <c r="K39" s="2" t="s">
        <v>189</v>
      </c>
      <c r="L39">
        <v>4.9000000000000004</v>
      </c>
      <c r="M39">
        <v>59</v>
      </c>
      <c r="O39" t="s">
        <v>39</v>
      </c>
      <c r="P39" t="s">
        <v>190</v>
      </c>
      <c r="Q39" t="s">
        <v>191</v>
      </c>
    </row>
    <row r="40" spans="1:17" ht="15.75" x14ac:dyDescent="0.25">
      <c r="A40" s="3" t="str">
        <f>HYPERLINK("https://heavenlyouthouse.com/products/watercolor-landscape-blank-card", "https://heavenlyouthouse.com/products/watercolor-landscape-blank-card")</f>
        <v>https://heavenlyouthouse.com/products/watercolor-landscape-blank-card</v>
      </c>
      <c r="B40" s="3" t="str">
        <f>HYPERLINK("https://heavenlyouthouse.com/products/watercolor-landscape-blank-card", "https://heavenlyouthouse.com/products/watercolor-landscape-blank-card")</f>
        <v>https://heavenlyouthouse.com/products/watercolor-landscape-blank-card</v>
      </c>
      <c r="C40" t="s">
        <v>89</v>
      </c>
      <c r="D40" t="s">
        <v>192</v>
      </c>
      <c r="E40" s="3" t="str">
        <f>HYPERLINK("https://www.amazon.com/Funto-Watercolor-Envelopes-Heavyweight-Invitations/dp/B0948R321W/ref=sr_1_8?keywords=Watercolor+Landscape+Blank+Card&amp;qid=1695258835&amp;sr=8-8", "https://www.amazon.com/Funto-Watercolor-Envelopes-Heavyweight-Invitations/dp/B0948R321W/ref=sr_1_8?keywords=Watercolor+Landscape+Blank+Card&amp;qid=1695258835&amp;sr=8-8")</f>
        <v>https://www.amazon.com/Funto-Watercolor-Envelopes-Heavyweight-Invitations/dp/B0948R321W/ref=sr_1_8?keywords=Watercolor+Landscape+Blank+Card&amp;qid=1695258835&amp;sr=8-8</v>
      </c>
      <c r="F40" t="s">
        <v>193</v>
      </c>
      <c r="G40" t="e">
        <f ca="1">IMAGE("https://heavenlyouthouse.com/cdn/shop/files/watercolor-landscape-blank-card1_300x300.jpg?v=1692033915")</f>
        <v>#NAME?</v>
      </c>
      <c r="H40" t="e">
        <f ca="1">IMAGE("https://m.media-amazon.com/images/I/61KtC7LdmCL._AC_UL320_.jpg")</f>
        <v>#NAME?</v>
      </c>
      <c r="I40" t="s">
        <v>92</v>
      </c>
      <c r="J40">
        <v>23.99</v>
      </c>
      <c r="K40" s="2" t="s">
        <v>194</v>
      </c>
      <c r="L40">
        <v>4.7</v>
      </c>
      <c r="M40">
        <v>936</v>
      </c>
      <c r="O40" t="s">
        <v>39</v>
      </c>
      <c r="P40" t="s">
        <v>39</v>
      </c>
      <c r="Q40" t="s">
        <v>94</v>
      </c>
    </row>
    <row r="41" spans="1:17" ht="15.75" x14ac:dyDescent="0.25">
      <c r="A41" s="3" t="str">
        <f>HYPERLINK("https://heavenlyouthouse.com/products/spotless-stain-remover-soap", "https://heavenlyouthouse.com/products/spotless-stain-remover-soap")</f>
        <v>https://heavenlyouthouse.com/products/spotless-stain-remover-soap</v>
      </c>
      <c r="B41" s="3" t="str">
        <f>HYPERLINK("https://heavenlyouthouse.com/products/spotless-stain-remover-soap", "https://heavenlyouthouse.com/products/spotless-stain-remover-soap")</f>
        <v>https://heavenlyouthouse.com/products/spotless-stain-remover-soap</v>
      </c>
      <c r="C41" t="s">
        <v>195</v>
      </c>
      <c r="D41" t="s">
        <v>196</v>
      </c>
      <c r="E41" s="3" t="str">
        <f>HYPERLINK("https://www.amazon.com/Charlies-Soap-Laundry-Pre-Spray-Pretreat/dp/B094WBWTF7/ref=sr_1_1?keywords=Spotless+Stain+Remover+Soap&amp;qid=1695258690&amp;sr=8-1", "https://www.amazon.com/Charlies-Soap-Laundry-Pre-Spray-Pretreat/dp/B094WBWTF7/ref=sr_1_1?keywords=Spotless+Stain+Remover+Soap&amp;qid=1695258690&amp;sr=8-1")</f>
        <v>https://www.amazon.com/Charlies-Soap-Laundry-Pre-Spray-Pretreat/dp/B094WBWTF7/ref=sr_1_1?keywords=Spotless+Stain+Remover+Soap&amp;qid=1695258690&amp;sr=8-1</v>
      </c>
      <c r="F41" t="s">
        <v>197</v>
      </c>
      <c r="G41" t="e">
        <f ca="1">IMAGE("https://heavenlyouthouse.com/cdn/shop/products/Spotless-Stain-Remover_Bar-Soap_2048_2000x_48b45b5c-ad2d-465e-a102-14922b0c661d.jpg?v=1586803390")</f>
        <v>#NAME?</v>
      </c>
      <c r="H41" t="e">
        <f ca="1">IMAGE("https://m.media-amazon.com/images/I/71Jg+Aya+uS._AC_UL320_.jpg")</f>
        <v>#NAME?</v>
      </c>
      <c r="I41" t="s">
        <v>92</v>
      </c>
      <c r="J41">
        <v>22.99</v>
      </c>
      <c r="K41" s="2" t="s">
        <v>198</v>
      </c>
      <c r="L41">
        <v>4.5999999999999996</v>
      </c>
      <c r="M41">
        <v>179</v>
      </c>
      <c r="O41" t="s">
        <v>39</v>
      </c>
      <c r="P41" t="s">
        <v>24</v>
      </c>
      <c r="Q41" t="s">
        <v>199</v>
      </c>
    </row>
    <row r="42" spans="1:17" ht="15.75" x14ac:dyDescent="0.25">
      <c r="A42" s="3" t="str">
        <f>HYPERLINK("https://heavenlyouthouse.com/products/succulents-thank-you-card", "https://heavenlyouthouse.com/products/succulents-thank-you-card")</f>
        <v>https://heavenlyouthouse.com/products/succulents-thank-you-card</v>
      </c>
      <c r="B42" s="3" t="str">
        <f>HYPERLINK("https://heavenlyouthouse.com/products/succulents-thank-you-card", "https://heavenlyouthouse.com/products/succulents-thank-you-card")</f>
        <v>https://heavenlyouthouse.com/products/succulents-thank-you-card</v>
      </c>
      <c r="C42" t="s">
        <v>102</v>
      </c>
      <c r="D42" t="s">
        <v>200</v>
      </c>
      <c r="E42" s="3" t="str">
        <f>HYPERLINK("https://www.amazon.com/Best-Card-Company-Shiplap-Succulents/dp/B09JB126X2/ref=sr_1_6?keywords=Succulents+Thank+You+Card&amp;qid=1695258709&amp;sr=8-6", "https://www.amazon.com/Best-Card-Company-Shiplap-Succulents/dp/B09JB126X2/ref=sr_1_6?keywords=Succulents+Thank+You+Card&amp;qid=1695258709&amp;sr=8-6")</f>
        <v>https://www.amazon.com/Best-Card-Company-Shiplap-Succulents/dp/B09JB126X2/ref=sr_1_6?keywords=Succulents+Thank+You+Card&amp;qid=1695258709&amp;sr=8-6</v>
      </c>
      <c r="F42" t="s">
        <v>201</v>
      </c>
      <c r="G42" t="e">
        <f ca="1">IMAGE("https://heavenlyouthouse.com/cdn/shop/products/thankyou-cactus.jpg?v=1600890223")</f>
        <v>#NAME?</v>
      </c>
      <c r="H42" t="e">
        <f ca="1">IMAGE("https://m.media-amazon.com/images/I/81L2ExVWHqL._AC_UL320_.jpg")</f>
        <v>#NAME?</v>
      </c>
      <c r="I42" t="s">
        <v>105</v>
      </c>
      <c r="J42">
        <v>16.97</v>
      </c>
      <c r="K42" s="2" t="s">
        <v>202</v>
      </c>
      <c r="L42">
        <v>4.9000000000000004</v>
      </c>
      <c r="M42">
        <v>31</v>
      </c>
      <c r="O42" t="s">
        <v>39</v>
      </c>
      <c r="P42" t="s">
        <v>39</v>
      </c>
      <c r="Q42" t="s">
        <v>107</v>
      </c>
    </row>
    <row r="43" spans="1:17" ht="15.75" x14ac:dyDescent="0.25">
      <c r="A43" s="3" t="str">
        <f>HYPERLINK("https://heavenlyouthouse.com/products/pumpkin-soap", "https://heavenlyouthouse.com/products/pumpkin-soap")</f>
        <v>https://heavenlyouthouse.com/products/pumpkin-soap</v>
      </c>
      <c r="B43" s="3" t="str">
        <f>HYPERLINK("https://heavenlyouthouse.com/products/pumpkin-soap", "https://heavenlyouthouse.com/products/pumpkin-soap")</f>
        <v>https://heavenlyouthouse.com/products/pumpkin-soap</v>
      </c>
      <c r="C43" t="s">
        <v>157</v>
      </c>
      <c r="D43" t="s">
        <v>203</v>
      </c>
      <c r="E43" s="3" t="str">
        <f>HYPERLINK("https://www.amazon.com/NEST-Fragrances-Pumpkin-Chai-Liquid/dp/B09853QBMB/ref=sr_1_2?keywords=Pumpkin+Soap&amp;qid=1695258671&amp;sr=8-2", "https://www.amazon.com/NEST-Fragrances-Pumpkin-Chai-Liquid/dp/B09853QBMB/ref=sr_1_2?keywords=Pumpkin+Soap&amp;qid=1695258671&amp;sr=8-2")</f>
        <v>https://www.amazon.com/NEST-Fragrances-Pumpkin-Chai-Liquid/dp/B09853QBMB/ref=sr_1_2?keywords=Pumpkin+Soap&amp;qid=1695258671&amp;sr=8-2</v>
      </c>
      <c r="F43" t="s">
        <v>204</v>
      </c>
      <c r="G43" t="e">
        <f ca="1">IMAGE("https://heavenlyouthouse.com/cdn/shop/products/Pumpkin_Bar-Soap_2048_2000x_6b1d5e1f-2b42-45d8-85e4-bc5e350eb2be.jpg?v=1586787951")</f>
        <v>#NAME?</v>
      </c>
      <c r="H43" t="e">
        <f ca="1">IMAGE("https://m.media-amazon.com/images/I/711IrjjOcyS._AC_UL320_.jpg")</f>
        <v>#NAME?</v>
      </c>
      <c r="I43" t="s">
        <v>92</v>
      </c>
      <c r="J43">
        <v>22.51</v>
      </c>
      <c r="K43" s="2" t="s">
        <v>205</v>
      </c>
      <c r="L43">
        <v>4.5</v>
      </c>
      <c r="M43">
        <v>1491</v>
      </c>
      <c r="O43" t="s">
        <v>39</v>
      </c>
      <c r="P43" t="s">
        <v>39</v>
      </c>
      <c r="Q43" t="s">
        <v>161</v>
      </c>
    </row>
    <row r="44" spans="1:17" ht="15.75" x14ac:dyDescent="0.25">
      <c r="A44" s="3" t="str">
        <f>HYPERLINK("https://heavenlyouthouse.com/products/thymes-frasier-fir-car-diffuser-kit", "https://heavenlyouthouse.com/products/thymes-frasier-fir-car-diffuser-kit")</f>
        <v>https://heavenlyouthouse.com/products/thymes-frasier-fir-car-diffuser-kit</v>
      </c>
      <c r="B44" s="3" t="str">
        <f>HYPERLINK("https://heavenlyouthouse.com/products/thymes-frasier-fir-car-diffuser-kit", "https://heavenlyouthouse.com/products/thymes-frasier-fir-car-diffuser-kit")</f>
        <v>https://heavenlyouthouse.com/products/thymes-frasier-fir-car-diffuser-kit</v>
      </c>
      <c r="C44" t="s">
        <v>206</v>
      </c>
      <c r="D44" t="s">
        <v>96</v>
      </c>
      <c r="E44" s="3" t="str">
        <f>HYPERLINK("https://www.amazon.com/Thymes-Pura-Smart-Plug-Diffuser/dp/B09HL8DMHN/ref=sr_1_5?keywords=Thymes+Frasier+Fir+Car+Diffuser+Kit&amp;qid=1695258720&amp;sr=8-5", "https://www.amazon.com/Thymes-Pura-Smart-Plug-Diffuser/dp/B09HL8DMHN/ref=sr_1_5?keywords=Thymes+Frasier+Fir+Car+Diffuser+Kit&amp;qid=1695258720&amp;sr=8-5")</f>
        <v>https://www.amazon.com/Thymes-Pura-Smart-Plug-Diffuser/dp/B09HL8DMHN/ref=sr_1_5?keywords=Thymes+Frasier+Fir+Car+Diffuser+Kit&amp;qid=1695258720&amp;sr=8-5</v>
      </c>
      <c r="F44" t="s">
        <v>97</v>
      </c>
      <c r="G44" t="e">
        <f ca="1">IMAGE("https://heavenlyouthouse.com/cdn/shop/products/Thymes-frasier-fir-car-diffuser-kit.jpg?v=1662135825")</f>
        <v>#NAME?</v>
      </c>
      <c r="H44" t="e">
        <f ca="1">IMAGE("https://m.media-amazon.com/images/I/61mgsWdFRWL._AC_UL320_.jpg")</f>
        <v>#NAME?</v>
      </c>
      <c r="I44" t="s">
        <v>207</v>
      </c>
      <c r="J44">
        <v>86</v>
      </c>
      <c r="K44" s="2" t="s">
        <v>208</v>
      </c>
      <c r="L44">
        <v>3.9</v>
      </c>
      <c r="M44">
        <v>77</v>
      </c>
      <c r="O44" t="s">
        <v>39</v>
      </c>
      <c r="P44" t="s">
        <v>39</v>
      </c>
      <c r="Q44" t="s">
        <v>209</v>
      </c>
    </row>
    <row r="45" spans="1:17" ht="15.75" x14ac:dyDescent="0.25">
      <c r="A45" s="3" t="str">
        <f>HYPERLINK("https://heavenlyouthouse.com/products/thymes-frasier-fir-gilded-gold-votive-candle", "https://heavenlyouthouse.com/products/thymes-frasier-fir-gilded-gold-votive-candle")</f>
        <v>https://heavenlyouthouse.com/products/thymes-frasier-fir-gilded-gold-votive-candle</v>
      </c>
      <c r="B45" s="3" t="str">
        <f>HYPERLINK("https://heavenlyouthouse.com/products/thymes-frasier-fir-gilded-gold-votive-candle", "https://heavenlyouthouse.com/products/thymes-frasier-fir-gilded-gold-votive-candle")</f>
        <v>https://heavenlyouthouse.com/products/thymes-frasier-fir-gilded-gold-votive-candle</v>
      </c>
      <c r="C45" t="s">
        <v>187</v>
      </c>
      <c r="D45" t="s">
        <v>210</v>
      </c>
      <c r="E45" s="3" t="str">
        <f>HYPERLINK("https://www.amazon.com/Thymes-Frasier-Poured-3-Wick-Candle/dp/B076DMLBFR/ref=sr_1_1?keywords=Thymes+Frasier+Fir+Gilded+Gold+Votive+Candle&amp;qid=1695258726&amp;sr=8-1", "https://www.amazon.com/Thymes-Frasier-Poured-3-Wick-Candle/dp/B076DMLBFR/ref=sr_1_1?keywords=Thymes+Frasier+Fir+Gilded+Gold+Votive+Candle&amp;qid=1695258726&amp;sr=8-1")</f>
        <v>https://www.amazon.com/Thymes-Frasier-Poured-3-Wick-Candle/dp/B076DMLBFR/ref=sr_1_1?keywords=Thymes+Frasier+Fir+Gilded+Gold+Votive+Candle&amp;qid=1695258726&amp;sr=8-1</v>
      </c>
      <c r="F45" t="s">
        <v>211</v>
      </c>
      <c r="G45" t="e">
        <f ca="1">IMAGE("https://heavenlyouthouse.com/cdn/shop/files/thymes-frasier-fir-gilded-gold-votive-candle_300x300.jpg?v=1692986058")</f>
        <v>#NAME?</v>
      </c>
      <c r="H45" t="e">
        <f ca="1">IMAGE("https://m.media-amazon.com/images/I/61Q5s0MJ6uL._AC_UL320_.jpg")</f>
        <v>#NAME?</v>
      </c>
      <c r="I45" t="s">
        <v>188</v>
      </c>
      <c r="J45">
        <v>60</v>
      </c>
      <c r="K45" s="2" t="s">
        <v>212</v>
      </c>
      <c r="L45">
        <v>4.5999999999999996</v>
      </c>
      <c r="M45">
        <v>61</v>
      </c>
      <c r="O45" t="s">
        <v>39</v>
      </c>
      <c r="P45" t="s">
        <v>190</v>
      </c>
      <c r="Q45" t="s">
        <v>191</v>
      </c>
    </row>
    <row r="46" spans="1:17" ht="15.75" x14ac:dyDescent="0.25">
      <c r="A46" s="3" t="str">
        <f>HYPERLINK("https://heavenlyouthouse.com/products/pumice-stone", "https://heavenlyouthouse.com/products/pumice-stone")</f>
        <v>https://heavenlyouthouse.com/products/pumice-stone</v>
      </c>
      <c r="B46" s="3" t="str">
        <f>HYPERLINK("https://heavenlyouthouse.com/products/pumice-stone", "https://heavenlyouthouse.com/products/pumice-stone")</f>
        <v>https://heavenlyouthouse.com/products/pumice-stone</v>
      </c>
      <c r="C46" t="s">
        <v>213</v>
      </c>
      <c r="D46" t="s">
        <v>214</v>
      </c>
      <c r="E46" s="3" t="str">
        <f>HYPERLINK("https://www.amazon.com/Pumice-Stone-Toilet-Cleaner-Extra/dp/B0BJP2RL97/ref=sr_1_4?keywords=Pumice+Stone&amp;qid=1695258677&amp;sr=8-4", "https://www.amazon.com/Pumice-Stone-Toilet-Cleaner-Extra/dp/B0BJP2RL97/ref=sr_1_4?keywords=Pumice+Stone&amp;qid=1695258677&amp;sr=8-4")</f>
        <v>https://www.amazon.com/Pumice-Stone-Toilet-Cleaner-Extra/dp/B0BJP2RL97/ref=sr_1_4?keywords=Pumice+Stone&amp;qid=1695258677&amp;sr=8-4</v>
      </c>
      <c r="F46" t="s">
        <v>215</v>
      </c>
      <c r="G46" t="e">
        <f ca="1">IMAGE("https://heavenlyouthouse.com/cdn/shop/products/Pumice-Stone_2048_2000x_ede24df3-a286-42b7-ba0b-778cf1147f6b.jpg?v=1587064261")</f>
        <v>#NAME?</v>
      </c>
      <c r="H46" t="e">
        <f ca="1">IMAGE("https://m.media-amazon.com/images/I/71UkBZQS+GL._AC_UL320_.jpg")</f>
        <v>#NAME?</v>
      </c>
      <c r="I46" t="s">
        <v>216</v>
      </c>
      <c r="J46">
        <v>26.99</v>
      </c>
      <c r="K46" s="2" t="s">
        <v>217</v>
      </c>
      <c r="L46">
        <v>4.2</v>
      </c>
      <c r="M46">
        <v>141</v>
      </c>
      <c r="O46" t="s">
        <v>39</v>
      </c>
      <c r="P46" t="s">
        <v>218</v>
      </c>
      <c r="Q46" t="s">
        <v>219</v>
      </c>
    </row>
    <row r="47" spans="1:17" ht="15.75" x14ac:dyDescent="0.25">
      <c r="A47" s="3" t="str">
        <f>HYPERLINK("https://heavenlyouthouse.com/products/spearmint-soap", "https://heavenlyouthouse.com/products/spearmint-soap")</f>
        <v>https://heavenlyouthouse.com/products/spearmint-soap</v>
      </c>
      <c r="B47" s="3" t="str">
        <f>HYPERLINK("https://heavenlyouthouse.com/products/spearmint-soap", "https://heavenlyouthouse.com/products/spearmint-soap")</f>
        <v>https://heavenlyouthouse.com/products/spearmint-soap</v>
      </c>
      <c r="C47" t="s">
        <v>138</v>
      </c>
      <c r="D47" t="s">
        <v>220</v>
      </c>
      <c r="E47" s="3" t="str">
        <f>HYPERLINK("https://www.amazon.com/Bath-Body-Works-Aromatherapy-Eucalyptus/dp/B07771V4PC/ref=sr_1_3?keywords=Spearmint+Soap&amp;qid=1695258707&amp;sr=8-3", "https://www.amazon.com/Bath-Body-Works-Aromatherapy-Eucalyptus/dp/B07771V4PC/ref=sr_1_3?keywords=Spearmint+Soap&amp;qid=1695258707&amp;sr=8-3")</f>
        <v>https://www.amazon.com/Bath-Body-Works-Aromatherapy-Eucalyptus/dp/B07771V4PC/ref=sr_1_3?keywords=Spearmint+Soap&amp;qid=1695258707&amp;sr=8-3</v>
      </c>
      <c r="F47" t="s">
        <v>221</v>
      </c>
      <c r="G47" t="e">
        <f ca="1">IMAGE("https://heavenlyouthouse.com/cdn/shop/products/Spearmint_Bar-Soap_2048_2000x_e9b0fb8d-7255-4bf8-bb50-9da0b59a1544.jpg?v=1586802582")</f>
        <v>#NAME?</v>
      </c>
      <c r="H47" t="e">
        <f ca="1">IMAGE("https://m.media-amazon.com/images/I/61+7xLD51dL._AC_UL320_.jpg")</f>
        <v>#NAME?</v>
      </c>
      <c r="I47" t="s">
        <v>92</v>
      </c>
      <c r="J47">
        <v>21.4</v>
      </c>
      <c r="K47" s="2" t="s">
        <v>222</v>
      </c>
      <c r="L47">
        <v>4.7</v>
      </c>
      <c r="M47">
        <v>2117</v>
      </c>
      <c r="O47" t="s">
        <v>39</v>
      </c>
      <c r="P47" t="s">
        <v>39</v>
      </c>
      <c r="Q47" t="s">
        <v>142</v>
      </c>
    </row>
    <row r="48" spans="1:17" ht="15.75" x14ac:dyDescent="0.25">
      <c r="A48" s="3" t="str">
        <f>HYPERLINK("https://heavenlyouthouse.com/products/frasier-fir-votive-candle", "https://heavenlyouthouse.com/products/frasier-fir-votive-candle")</f>
        <v>https://heavenlyouthouse.com/products/frasier-fir-votive-candle</v>
      </c>
      <c r="B48" s="3" t="str">
        <f>HYPERLINK("https://heavenlyouthouse.com/products/frasier-fir-votive-candle", "https://heavenlyouthouse.com/products/frasier-fir-votive-candle")</f>
        <v>https://heavenlyouthouse.com/products/frasier-fir-votive-candle</v>
      </c>
      <c r="C48" t="s">
        <v>83</v>
      </c>
      <c r="D48" t="s">
        <v>223</v>
      </c>
      <c r="E48" s="3" t="str">
        <f>HYPERLINK("https://www.amazon.com/Thymes-Needle-Frasier-Luminary-Candle/dp/B0B9CDSR3K/ref=sr_1_5?keywords=Thymes+Frasier+Fir+Pine+Needle+Votive+Candle&amp;qid=1695258742&amp;sr=8-5", "https://www.amazon.com/Thymes-Needle-Frasier-Luminary-Candle/dp/B0B9CDSR3K/ref=sr_1_5?keywords=Thymes+Frasier+Fir+Pine+Needle+Votive+Candle&amp;qid=1695258742&amp;sr=8-5")</f>
        <v>https://www.amazon.com/Thymes-Needle-Frasier-Luminary-Candle/dp/B0B9CDSR3K/ref=sr_1_5?keywords=Thymes+Frasier+Fir+Pine+Needle+Votive+Candle&amp;qid=1695258742&amp;sr=8-5</v>
      </c>
      <c r="F48" t="s">
        <v>224</v>
      </c>
      <c r="G48" t="e">
        <f ca="1">IMAGE("https://heavenlyouthouse.com/cdn/shop/products/thymesfrasierfirvotivecandle.jpg?v=1603995950")</f>
        <v>#NAME?</v>
      </c>
      <c r="H48" t="e">
        <f ca="1">IMAGE("https://m.media-amazon.com/images/I/71YqOVLEPjL._AC_UL320_.jpg")</f>
        <v>#NAME?</v>
      </c>
      <c r="I48" t="s">
        <v>86</v>
      </c>
      <c r="J48">
        <v>56</v>
      </c>
      <c r="K48" s="2" t="s">
        <v>225</v>
      </c>
      <c r="L48">
        <v>5</v>
      </c>
      <c r="M48">
        <v>1</v>
      </c>
      <c r="O48" t="s">
        <v>39</v>
      </c>
      <c r="P48" t="s">
        <v>39</v>
      </c>
      <c r="Q48" t="s">
        <v>88</v>
      </c>
    </row>
    <row r="49" spans="1:17" ht="15.75" x14ac:dyDescent="0.25">
      <c r="A49" s="3" t="str">
        <f>HYPERLINK("https://heavenlyouthouse.com/products/frasier-fir-aroma-diffuser-oil", "https://heavenlyouthouse.com/products/frasier-fir-aroma-diffuser-oil")</f>
        <v>https://heavenlyouthouse.com/products/frasier-fir-aroma-diffuser-oil</v>
      </c>
      <c r="B49" s="3" t="str">
        <f>HYPERLINK("https://heavenlyouthouse.com/products/frasier-fir-aroma-diffuser-oil", "https://heavenlyouthouse.com/products/frasier-fir-aroma-diffuser-oil")</f>
        <v>https://heavenlyouthouse.com/products/frasier-fir-aroma-diffuser-oil</v>
      </c>
      <c r="C49" t="s">
        <v>226</v>
      </c>
      <c r="D49" t="s">
        <v>227</v>
      </c>
      <c r="E49" s="3" t="str">
        <f>HYPERLINK("https://www.amazon.com/Thymes-Frasier-Diffuser-Needle-Design/dp/B01KIH4X4S/ref=sr_1_2?keywords=Thymes+Frasier+Fir+Aroma+Diffuser+Oil&amp;qid=1695258721&amp;sr=8-2", "https://www.amazon.com/Thymes-Frasier-Diffuser-Needle-Design/dp/B01KIH4X4S/ref=sr_1_2?keywords=Thymes+Frasier+Fir+Aroma+Diffuser+Oil&amp;qid=1695258721&amp;sr=8-2")</f>
        <v>https://www.amazon.com/Thymes-Frasier-Diffuser-Needle-Design/dp/B01KIH4X4S/ref=sr_1_2?keywords=Thymes+Frasier+Fir+Aroma+Diffuser+Oil&amp;qid=1695258721&amp;sr=8-2</v>
      </c>
      <c r="F49" t="s">
        <v>228</v>
      </c>
      <c r="G49" t="e">
        <f ca="1">IMAGE("https://heavenlyouthouse.com/cdn/shop/products/thymesfrasierfirdiffuseroil.jpg?v=1604088755")</f>
        <v>#NAME?</v>
      </c>
      <c r="H49" t="e">
        <f ca="1">IMAGE("https://m.media-amazon.com/images/I/71MVWVg7C-L._AC_UL320_.jpg")</f>
        <v>#NAME?</v>
      </c>
      <c r="I49" t="s">
        <v>86</v>
      </c>
      <c r="J49">
        <v>56</v>
      </c>
      <c r="K49" s="2" t="s">
        <v>225</v>
      </c>
      <c r="L49">
        <v>4.7</v>
      </c>
      <c r="M49">
        <v>597</v>
      </c>
      <c r="O49" t="s">
        <v>39</v>
      </c>
      <c r="P49" t="s">
        <v>39</v>
      </c>
      <c r="Q49" t="s">
        <v>229</v>
      </c>
    </row>
    <row r="50" spans="1:17" ht="15.75" x14ac:dyDescent="0.25">
      <c r="A50" s="3" t="str">
        <f>HYPERLINK("https://heavenlyouthouse.com/products/vanilla-coconut-bubble-bath", "https://heavenlyouthouse.com/products/vanilla-coconut-bubble-bath")</f>
        <v>https://heavenlyouthouse.com/products/vanilla-coconut-bubble-bath</v>
      </c>
      <c r="B50" s="3" t="str">
        <f>HYPERLINK("https://heavenlyouthouse.com/products/vanilla-coconut-bubble-bath", "https://heavenlyouthouse.com/products/vanilla-coconut-bubble-bath")</f>
        <v>https://heavenlyouthouse.com/products/vanilla-coconut-bubble-bath</v>
      </c>
      <c r="C50" t="s">
        <v>230</v>
      </c>
      <c r="D50" t="s">
        <v>231</v>
      </c>
      <c r="E50" s="3" t="str">
        <f>HYPERLINK("https://www.amazon.com/Bath-Spa-Gift-Sets-Bathbombs/dp/B08JT7KZ1P/ref=sr_1_4?keywords=Vanilla+Coconut+Bubble+Bath&amp;qid=1695258805&amp;sr=8-4", "https://www.amazon.com/Bath-Spa-Gift-Sets-Bathbombs/dp/B08JT7KZ1P/ref=sr_1_4?keywords=Vanilla+Coconut+Bubble+Bath&amp;qid=1695258805&amp;sr=8-4")</f>
        <v>https://www.amazon.com/Bath-Spa-Gift-Sets-Bathbombs/dp/B08JT7KZ1P/ref=sr_1_4?keywords=Vanilla+Coconut+Bubble+Bath&amp;qid=1695258805&amp;sr=8-4</v>
      </c>
      <c r="F50" t="s">
        <v>232</v>
      </c>
      <c r="G50" t="e">
        <f ca="1">IMAGE("https://heavenlyouthouse.com/cdn/shop/products/Vanilla-Coconut_Bubble-Bath_2048_2000x_48bd3f10-44c5-4b84-8976-395bada0d7d1.jpg?v=1588959777")</f>
        <v>#NAME?</v>
      </c>
      <c r="H50" t="e">
        <f ca="1">IMAGE("https://m.media-amazon.com/images/I/81G6Ov-n35S._AC_UL320_.jpg")</f>
        <v>#NAME?</v>
      </c>
      <c r="I50" t="s">
        <v>233</v>
      </c>
      <c r="J50">
        <v>41.95</v>
      </c>
      <c r="K50" s="2" t="s">
        <v>234</v>
      </c>
      <c r="L50">
        <v>4.3</v>
      </c>
      <c r="M50">
        <v>284</v>
      </c>
      <c r="O50" t="s">
        <v>39</v>
      </c>
      <c r="P50" t="s">
        <v>39</v>
      </c>
      <c r="Q50" t="s">
        <v>235</v>
      </c>
    </row>
    <row r="51" spans="1:17" ht="15.75" x14ac:dyDescent="0.25">
      <c r="A51" s="3" t="str">
        <f>HYPERLINK("https://heavenlyouthouse.com/products/wonderful-holiday-season-christmas-card", "https://heavenlyouthouse.com/products/wonderful-holiday-season-christmas-card")</f>
        <v>https://heavenlyouthouse.com/products/wonderful-holiday-season-christmas-card</v>
      </c>
      <c r="B51" s="3" t="str">
        <f>HYPERLINK("https://heavenlyouthouse.com/products/wonderful-holiday-season-christmas-card", "https://heavenlyouthouse.com/products/wonderful-holiday-season-christmas-card")</f>
        <v>https://heavenlyouthouse.com/products/wonderful-holiday-season-christmas-card</v>
      </c>
      <c r="C51" t="s">
        <v>236</v>
      </c>
      <c r="D51" t="s">
        <v>237</v>
      </c>
      <c r="E51" s="3" t="str">
        <f>HYPERLINK("https://www.amazon.com/Papyrus-Holiday-Warmest-Wishes-14-Count/dp/B086FBP9ZC/ref=sr_1_2?keywords=Wonderful+Holiday+Season+Christmas+Card&amp;qid=1695258831&amp;sr=8-2", "https://www.amazon.com/Papyrus-Holiday-Warmest-Wishes-14-Count/dp/B086FBP9ZC/ref=sr_1_2?keywords=Wonderful+Holiday+Season+Christmas+Card&amp;qid=1695258831&amp;sr=8-2")</f>
        <v>https://www.amazon.com/Papyrus-Holiday-Warmest-Wishes-14-Count/dp/B086FBP9ZC/ref=sr_1_2?keywords=Wonderful+Holiday+Season+Christmas+Card&amp;qid=1695258831&amp;sr=8-2</v>
      </c>
      <c r="F51" t="s">
        <v>238</v>
      </c>
      <c r="G51" t="e">
        <f ca="1">IMAGE("https://heavenlyouthouse.com/cdn/shop/files/https___images.salsify.com_image_upload_q_70_m0oje5tosgrfxhdy0xdb_300x300.jpg?v=1685404851")</f>
        <v>#NAME?</v>
      </c>
      <c r="H51" t="e">
        <f ca="1">IMAGE("https://m.media-amazon.com/images/I/91SSgTnfFLL._AC_UL320_.jpg")</f>
        <v>#NAME?</v>
      </c>
      <c r="I51" t="s">
        <v>239</v>
      </c>
      <c r="J51">
        <v>18.95</v>
      </c>
      <c r="K51" s="2" t="s">
        <v>240</v>
      </c>
      <c r="L51">
        <v>4.7</v>
      </c>
      <c r="M51">
        <v>244</v>
      </c>
      <c r="O51" t="s">
        <v>39</v>
      </c>
      <c r="P51" t="s">
        <v>39</v>
      </c>
      <c r="Q51" t="s">
        <v>241</v>
      </c>
    </row>
    <row r="52" spans="1:17" ht="15.75" x14ac:dyDescent="0.25">
      <c r="A52" s="3" t="str">
        <f>HYPERLINK("https://heavenlyouthouse.com/products/succulents-thank-you-card", "https://heavenlyouthouse.com/products/succulents-thank-you-card")</f>
        <v>https://heavenlyouthouse.com/products/succulents-thank-you-card</v>
      </c>
      <c r="B52" s="3" t="str">
        <f>HYPERLINK("https://heavenlyouthouse.com/products/succulents-thank-you-card", "https://heavenlyouthouse.com/products/succulents-thank-you-card")</f>
        <v>https://heavenlyouthouse.com/products/succulents-thank-you-card</v>
      </c>
      <c r="C52" t="s">
        <v>102</v>
      </c>
      <c r="D52" t="s">
        <v>242</v>
      </c>
      <c r="E52" s="3" t="str">
        <f>HYPERLINK("https://www.amazon.com/Gooji-Matching-Envelopes-Watercolor-Succulent/dp/B082CZ1K7K/ref=sr_1_4?keywords=Succulents+Thank+You+Card&amp;qid=1695258709&amp;sr=8-4", "https://www.amazon.com/Gooji-Matching-Envelopes-Watercolor-Succulent/dp/B082CZ1K7K/ref=sr_1_4?keywords=Succulents+Thank+You+Card&amp;qid=1695258709&amp;sr=8-4")</f>
        <v>https://www.amazon.com/Gooji-Matching-Envelopes-Watercolor-Succulent/dp/B082CZ1K7K/ref=sr_1_4?keywords=Succulents+Thank+You+Card&amp;qid=1695258709&amp;sr=8-4</v>
      </c>
      <c r="F52" t="s">
        <v>243</v>
      </c>
      <c r="G52" t="e">
        <f ca="1">IMAGE("https://heavenlyouthouse.com/cdn/shop/products/thankyou-cactus.jpg?v=1600890223")</f>
        <v>#NAME?</v>
      </c>
      <c r="H52" t="e">
        <f ca="1">IMAGE("https://m.media-amazon.com/images/I/61Gr30SMIVL._AC_UL320_.jpg")</f>
        <v>#NAME?</v>
      </c>
      <c r="I52" t="s">
        <v>105</v>
      </c>
      <c r="J52">
        <v>14.99</v>
      </c>
      <c r="K52" s="2" t="s">
        <v>244</v>
      </c>
      <c r="L52">
        <v>4.5</v>
      </c>
      <c r="M52">
        <v>238</v>
      </c>
      <c r="O52" t="s">
        <v>39</v>
      </c>
      <c r="P52" t="s">
        <v>39</v>
      </c>
      <c r="Q52" t="s">
        <v>107</v>
      </c>
    </row>
    <row r="53" spans="1:17" ht="15.75" x14ac:dyDescent="0.25">
      <c r="A53" s="3" t="str">
        <f>HYPERLINK("https://heavenlyouthouse.com/products/watercolor-landscape-blank-card", "https://heavenlyouthouse.com/products/watercolor-landscape-blank-card")</f>
        <v>https://heavenlyouthouse.com/products/watercolor-landscape-blank-card</v>
      </c>
      <c r="B53" s="3" t="str">
        <f>HYPERLINK("https://heavenlyouthouse.com/products/watercolor-landscape-blank-card", "https://heavenlyouthouse.com/products/watercolor-landscape-blank-card")</f>
        <v>https://heavenlyouthouse.com/products/watercolor-landscape-blank-card</v>
      </c>
      <c r="C53" t="s">
        <v>89</v>
      </c>
      <c r="D53" t="s">
        <v>245</v>
      </c>
      <c r="E53" s="3" t="str">
        <f>HYPERLINK("https://www.amazon.com/Watercolor-Envelopes-Heavyweight-Foldable-Christmas/dp/B0CCHKKY4M/ref=sr_1_4?keywords=Watercolor+Landscape+Blank+Card&amp;qid=1695258835&amp;sr=8-4", "https://www.amazon.com/Watercolor-Envelopes-Heavyweight-Foldable-Christmas/dp/B0CCHKKY4M/ref=sr_1_4?keywords=Watercolor+Landscape+Blank+Card&amp;qid=1695258835&amp;sr=8-4")</f>
        <v>https://www.amazon.com/Watercolor-Envelopes-Heavyweight-Foldable-Christmas/dp/B0CCHKKY4M/ref=sr_1_4?keywords=Watercolor+Landscape+Blank+Card&amp;qid=1695258835&amp;sr=8-4</v>
      </c>
      <c r="F53" t="s">
        <v>246</v>
      </c>
      <c r="G53" t="e">
        <f ca="1">IMAGE("https://heavenlyouthouse.com/cdn/shop/files/watercolor-landscape-blank-card1_300x300.jpg?v=1692033915")</f>
        <v>#NAME?</v>
      </c>
      <c r="H53" t="e">
        <f ca="1">IMAGE("https://m.media-amazon.com/images/I/811QWFg2omL._AC_UL320_.jpg")</f>
        <v>#NAME?</v>
      </c>
      <c r="I53" t="s">
        <v>92</v>
      </c>
      <c r="J53">
        <v>19.989999999999998</v>
      </c>
      <c r="K53" s="2" t="s">
        <v>247</v>
      </c>
      <c r="L53">
        <v>5</v>
      </c>
      <c r="M53">
        <v>1</v>
      </c>
      <c r="O53" t="s">
        <v>39</v>
      </c>
      <c r="P53" t="s">
        <v>39</v>
      </c>
      <c r="Q53" t="s">
        <v>94</v>
      </c>
    </row>
    <row r="54" spans="1:17" ht="15.75" x14ac:dyDescent="0.25">
      <c r="A54" s="3" t="str">
        <f>HYPERLINK("https://heavenlyouthouse.com/products/wood-cross-easter-card", "https://heavenlyouthouse.com/products/wood-cross-easter-card")</f>
        <v>https://heavenlyouthouse.com/products/wood-cross-easter-card</v>
      </c>
      <c r="B54" s="3" t="str">
        <f>HYPERLINK("https://heavenlyouthouse.com/products/wood-cross-easter-card", "https://heavenlyouthouse.com/products/wood-cross-easter-card")</f>
        <v>https://heavenlyouthouse.com/products/wood-cross-easter-card</v>
      </c>
      <c r="C54" t="s">
        <v>248</v>
      </c>
      <c r="D54" t="s">
        <v>249</v>
      </c>
      <c r="E54" s="3" t="str">
        <f>HYPERLINK("https://www.amazon.com/Wooden-Crucifix-Resurrection-Religious-Decorations/dp/B0BTQ67TGH/ref=sr_1_5?keywords=Wood+Cross+Easter+Card&amp;qid=1695258829&amp;sr=8-5", "https://www.amazon.com/Wooden-Crucifix-Resurrection-Religious-Decorations/dp/B0BTQ67TGH/ref=sr_1_5?keywords=Wood+Cross+Easter+Card&amp;qid=1695258829&amp;sr=8-5")</f>
        <v>https://www.amazon.com/Wooden-Crucifix-Resurrection-Religious-Decorations/dp/B0BTQ67TGH/ref=sr_1_5?keywords=Wood+Cross+Easter+Card&amp;qid=1695258829&amp;sr=8-5</v>
      </c>
      <c r="F54" t="s">
        <v>250</v>
      </c>
      <c r="G54" t="e">
        <f ca="1">IMAGE("https://heavenlyouthouse.com/cdn/shop/products/papyruswoodcrosseastercard1_2.jpg?v=1619896050")</f>
        <v>#NAME?</v>
      </c>
      <c r="H54" t="e">
        <f ca="1">IMAGE("https://m.media-amazon.com/images/I/41cdHX5G0YL._AC_UL320_.jpg")</f>
        <v>#NAME?</v>
      </c>
      <c r="I54" t="s">
        <v>92</v>
      </c>
      <c r="J54">
        <v>19.95</v>
      </c>
      <c r="K54" s="2" t="s">
        <v>247</v>
      </c>
      <c r="L54">
        <v>3.1</v>
      </c>
      <c r="M54">
        <v>3</v>
      </c>
      <c r="O54" t="s">
        <v>39</v>
      </c>
      <c r="P54" t="s">
        <v>39</v>
      </c>
      <c r="Q54" t="s">
        <v>251</v>
      </c>
    </row>
    <row r="55" spans="1:17" ht="15.75" x14ac:dyDescent="0.25">
      <c r="A55" s="3" t="str">
        <f>HYPERLINK("https://heavenlyouthouse.com/products/frasier-fir-green-reed-refill", "https://heavenlyouthouse.com/products/frasier-fir-green-reed-refill")</f>
        <v>https://heavenlyouthouse.com/products/frasier-fir-green-reed-refill</v>
      </c>
      <c r="B55" s="3" t="str">
        <f>HYPERLINK("https://heavenlyouthouse.com/products/frasier-fir-green-reed-refill", "https://heavenlyouthouse.com/products/frasier-fir-green-reed-refill")</f>
        <v>https://heavenlyouthouse.com/products/frasier-fir-green-reed-refill</v>
      </c>
      <c r="C55" t="s">
        <v>149</v>
      </c>
      <c r="D55" t="s">
        <v>252</v>
      </c>
      <c r="E55" s="3" t="str">
        <f>HYPERLINK("https://www.amazon.com/Thymes-Frasier-Diffuser-Refill-Ounces/dp/B001AH8CL6/ref=sr_1_2?keywords=Thymes+Frasier+Fir+Green+Reed+Sticks+Refill&amp;qid=1695258725&amp;sr=8-2", "https://www.amazon.com/Thymes-Frasier-Diffuser-Refill-Ounces/dp/B001AH8CL6/ref=sr_1_2?keywords=Thymes+Frasier+Fir+Green+Reed+Sticks+Refill&amp;qid=1695258725&amp;sr=8-2")</f>
        <v>https://www.amazon.com/Thymes-Frasier-Diffuser-Refill-Ounces/dp/B001AH8CL6/ref=sr_1_2?keywords=Thymes+Frasier+Fir+Green+Reed+Sticks+Refill&amp;qid=1695258725&amp;sr=8-2</v>
      </c>
      <c r="F55" t="s">
        <v>253</v>
      </c>
      <c r="G55" t="e">
        <f ca="1">IMAGE("https://heavenlyouthouse.com/cdn/shop/products/Frasier-Fir-Heritage-Green-Reed-Refill.jpg?v=1605455568")</f>
        <v>#NAME?</v>
      </c>
      <c r="H55" t="e">
        <f ca="1">IMAGE("https://m.media-amazon.com/images/I/51MG8nOHQnL._AC_UL320_.jpg")</f>
        <v>#NAME?</v>
      </c>
      <c r="I55" t="s">
        <v>152</v>
      </c>
      <c r="J55">
        <v>35</v>
      </c>
      <c r="K55" s="2" t="s">
        <v>247</v>
      </c>
      <c r="L55">
        <v>4.7</v>
      </c>
      <c r="M55">
        <v>2687</v>
      </c>
      <c r="O55" t="s">
        <v>39</v>
      </c>
      <c r="P55" t="s">
        <v>39</v>
      </c>
      <c r="Q55" t="s">
        <v>154</v>
      </c>
    </row>
    <row r="56" spans="1:17" ht="15.75" x14ac:dyDescent="0.25">
      <c r="A56" s="3" t="str">
        <f>HYPERLINK("https://heavenlyouthouse.com/products/frasier-fir-votive-candle", "https://heavenlyouthouse.com/products/frasier-fir-votive-candle")</f>
        <v>https://heavenlyouthouse.com/products/frasier-fir-votive-candle</v>
      </c>
      <c r="B56" s="3" t="str">
        <f>HYPERLINK("https://heavenlyouthouse.com/products/frasier-fir-votive-candle", "https://heavenlyouthouse.com/products/frasier-fir-votive-candle")</f>
        <v>https://heavenlyouthouse.com/products/frasier-fir-votive-candle</v>
      </c>
      <c r="C56" t="s">
        <v>83</v>
      </c>
      <c r="D56" t="s">
        <v>254</v>
      </c>
      <c r="E56" s="3" t="str">
        <f>HYPERLINK("https://www.amazon.com/Thymes-Candle-Oz-Frasier-Fir/dp/B07Q2D8245/ref=sr_1_4?keywords=Thymes+Frasier+Fir+Pine+Needle+Votive+Candle&amp;qid=1695258742&amp;sr=8-4", "https://www.amazon.com/Thymes-Candle-Oz-Frasier-Fir/dp/B07Q2D8245/ref=sr_1_4?keywords=Thymes+Frasier+Fir+Pine+Needle+Votive+Candle&amp;qid=1695258742&amp;sr=8-4")</f>
        <v>https://www.amazon.com/Thymes-Candle-Oz-Frasier-Fir/dp/B07Q2D8245/ref=sr_1_4?keywords=Thymes+Frasier+Fir+Pine+Needle+Votive+Candle&amp;qid=1695258742&amp;sr=8-4</v>
      </c>
      <c r="F56" t="s">
        <v>255</v>
      </c>
      <c r="G56" t="e">
        <f ca="1">IMAGE("https://heavenlyouthouse.com/cdn/shop/products/thymesfrasierfirvotivecandle.jpg?v=1603995950")</f>
        <v>#NAME?</v>
      </c>
      <c r="H56" t="e">
        <f ca="1">IMAGE("https://m.media-amazon.com/images/I/61d9AxRt-WL._AC_UL320_.jpg")</f>
        <v>#NAME?</v>
      </c>
      <c r="I56" t="s">
        <v>86</v>
      </c>
      <c r="J56">
        <v>52</v>
      </c>
      <c r="K56" s="2" t="s">
        <v>256</v>
      </c>
      <c r="L56">
        <v>5</v>
      </c>
      <c r="M56">
        <v>5</v>
      </c>
      <c r="O56" t="s">
        <v>39</v>
      </c>
      <c r="P56" t="s">
        <v>39</v>
      </c>
      <c r="Q56" t="s">
        <v>88</v>
      </c>
    </row>
    <row r="57" spans="1:17" ht="15.75" x14ac:dyDescent="0.25">
      <c r="A57" s="3" t="str">
        <f>HYPERLINK("https://heavenlyouthouse.com/products/thymes-ceramic-sink-caddy", "https://heavenlyouthouse.com/products/thymes-ceramic-sink-caddy")</f>
        <v>https://heavenlyouthouse.com/products/thymes-ceramic-sink-caddy</v>
      </c>
      <c r="B57" s="3" t="str">
        <f>HYPERLINK("https://heavenlyouthouse.com/products/thymes-ceramic-sink-caddy", "https://heavenlyouthouse.com/products/thymes-ceramic-sink-caddy")</f>
        <v>https://heavenlyouthouse.com/products/thymes-ceramic-sink-caddy</v>
      </c>
      <c r="C57" t="s">
        <v>257</v>
      </c>
      <c r="D57" t="s">
        <v>258</v>
      </c>
      <c r="E57" s="3" t="str">
        <f>HYPERLINK("https://www.amazon.com/Kitchen-Organizer-Anti-Slip-Rustproof-Organization/dp/B0C6YR469F/ref=sr_1_5?keywords=Thymes+Ceramic+Sink+Caddy&amp;qid=1695258735&amp;sr=8-5", "https://www.amazon.com/Kitchen-Organizer-Anti-Slip-Rustproof-Organization/dp/B0C6YR469F/ref=sr_1_5?keywords=Thymes+Ceramic+Sink+Caddy&amp;qid=1695258735&amp;sr=8-5")</f>
        <v>https://www.amazon.com/Kitchen-Organizer-Anti-Slip-Rustproof-Organization/dp/B0C6YR469F/ref=sr_1_5?keywords=Thymes+Ceramic+Sink+Caddy&amp;qid=1695258735&amp;sr=8-5</v>
      </c>
      <c r="F57" t="s">
        <v>259</v>
      </c>
      <c r="G57" t="e">
        <f ca="1">IMAGE("https://heavenlyouthouse.com/cdn/shop/products/Thymesceramicsinkcaddy.jpg?v=1613077205")</f>
        <v>#NAME?</v>
      </c>
      <c r="H57" t="e">
        <f ca="1">IMAGE("https://m.media-amazon.com/images/I/71uVZpW1rvL._AC_UL320_.jpg")</f>
        <v>#NAME?</v>
      </c>
      <c r="I57" t="s">
        <v>260</v>
      </c>
      <c r="J57">
        <v>21.99</v>
      </c>
      <c r="K57" s="2" t="s">
        <v>261</v>
      </c>
      <c r="L57">
        <v>5</v>
      </c>
      <c r="M57">
        <v>3</v>
      </c>
      <c r="O57" t="s">
        <v>39</v>
      </c>
      <c r="P57" t="s">
        <v>39</v>
      </c>
      <c r="Q57" t="s">
        <v>262</v>
      </c>
    </row>
    <row r="58" spans="1:17" ht="15.75" x14ac:dyDescent="0.25">
      <c r="A58" s="3" t="str">
        <f>HYPERLINK("https://heavenlyouthouse.com/products/thymes-frasier-fir-pine-needle-candle", "https://heavenlyouthouse.com/products/thymes-frasier-fir-pine-needle-candle")</f>
        <v>https://heavenlyouthouse.com/products/thymes-frasier-fir-pine-needle-candle</v>
      </c>
      <c r="B58" s="3" t="str">
        <f>HYPERLINK("https://heavenlyouthouse.com/products/thymes-frasier-fir-pine-needle-candle", "https://heavenlyouthouse.com/products/thymes-frasier-fir-pine-needle-candle")</f>
        <v>https://heavenlyouthouse.com/products/thymes-frasier-fir-pine-needle-candle</v>
      </c>
      <c r="C58" t="s">
        <v>263</v>
      </c>
      <c r="D58" t="s">
        <v>84</v>
      </c>
      <c r="E58" s="3" t="str">
        <f>HYPERLINK("https://www.amazon.com/Thymes-Frasier-Limited-4-Wick-Statement/dp/B01KIH4XCA/ref=sr_1_6?keywords=Thymes+Frasier+Fir+Pine+Needle+Candle&amp;qid=1695258736&amp;sr=8-6", "https://www.amazon.com/Thymes-Frasier-Limited-4-Wick-Statement/dp/B01KIH4XCA/ref=sr_1_6?keywords=Thymes+Frasier+Fir+Pine+Needle+Candle&amp;qid=1695258736&amp;sr=8-6")</f>
        <v>https://www.amazon.com/Thymes-Frasier-Limited-4-Wick-Statement/dp/B01KIH4XCA/ref=sr_1_6?keywords=Thymes+Frasier+Fir+Pine+Needle+Candle&amp;qid=1695258736&amp;sr=8-6</v>
      </c>
      <c r="F58" t="s">
        <v>85</v>
      </c>
      <c r="G58" t="e">
        <f ca="1">IMAGE("https://heavenlyouthouse.com/cdn/shop/products/thymesfrasierfirpineneedlecandle6.5oz.jpg?v=1619632712")</f>
        <v>#NAME?</v>
      </c>
      <c r="H58" t="e">
        <f ca="1">IMAGE("https://m.media-amazon.com/images/I/71+UQARiQhL._AC_UL320_.jpg")</f>
        <v>#NAME?</v>
      </c>
      <c r="I58" t="s">
        <v>264</v>
      </c>
      <c r="J58">
        <v>106</v>
      </c>
      <c r="K58" s="2" t="s">
        <v>265</v>
      </c>
      <c r="L58">
        <v>4.4000000000000004</v>
      </c>
      <c r="M58">
        <v>46</v>
      </c>
      <c r="O58" t="s">
        <v>39</v>
      </c>
      <c r="P58" t="s">
        <v>266</v>
      </c>
      <c r="Q58" t="s">
        <v>267</v>
      </c>
    </row>
    <row r="59" spans="1:17" ht="15.75" x14ac:dyDescent="0.25">
      <c r="A59" s="3" t="str">
        <f>HYPERLINK("https://heavenlyouthouse.com/products/vanilla-coconut-bubble-bath", "https://heavenlyouthouse.com/products/vanilla-coconut-bubble-bath")</f>
        <v>https://heavenlyouthouse.com/products/vanilla-coconut-bubble-bath</v>
      </c>
      <c r="B59" s="3" t="str">
        <f>HYPERLINK("https://heavenlyouthouse.com/products/vanilla-coconut-bubble-bath", "https://heavenlyouthouse.com/products/vanilla-coconut-bubble-bath")</f>
        <v>https://heavenlyouthouse.com/products/vanilla-coconut-bubble-bath</v>
      </c>
      <c r="C59" t="s">
        <v>230</v>
      </c>
      <c r="D59" t="s">
        <v>268</v>
      </c>
      <c r="E59" s="3" t="str">
        <f>HYPERLINK("https://www.amazon.com/Valentines-Vanilla-Coconut-Birthday-Christmas/dp/B09CLPL6GY/ref=sr_1_8?keywords=Vanilla+Coconut+Bubble+Bath&amp;qid=1695258805&amp;sr=8-8", "https://www.amazon.com/Valentines-Vanilla-Coconut-Birthday-Christmas/dp/B09CLPL6GY/ref=sr_1_8?keywords=Vanilla+Coconut+Bubble+Bath&amp;qid=1695258805&amp;sr=8-8")</f>
        <v>https://www.amazon.com/Valentines-Vanilla-Coconut-Birthday-Christmas/dp/B09CLPL6GY/ref=sr_1_8?keywords=Vanilla+Coconut+Bubble+Bath&amp;qid=1695258805&amp;sr=8-8</v>
      </c>
      <c r="F59" t="s">
        <v>269</v>
      </c>
      <c r="G59" t="e">
        <f ca="1">IMAGE("https://heavenlyouthouse.com/cdn/shop/products/Vanilla-Coconut_Bubble-Bath_2048_2000x_48bd3f10-44c5-4b84-8976-395bada0d7d1.jpg?v=1588959777")</f>
        <v>#NAME?</v>
      </c>
      <c r="H59" t="e">
        <f ca="1">IMAGE("https://m.media-amazon.com/images/I/91rYMFTOxIL._AC_UL320_.jpg")</f>
        <v>#NAME?</v>
      </c>
      <c r="I59" t="s">
        <v>233</v>
      </c>
      <c r="J59">
        <v>38.5</v>
      </c>
      <c r="K59" s="2" t="s">
        <v>265</v>
      </c>
      <c r="L59">
        <v>4.3</v>
      </c>
      <c r="M59">
        <v>51</v>
      </c>
      <c r="O59" t="s">
        <v>39</v>
      </c>
      <c r="P59" t="s">
        <v>39</v>
      </c>
      <c r="Q59" t="s">
        <v>235</v>
      </c>
    </row>
    <row r="60" spans="1:17" ht="15.75" x14ac:dyDescent="0.25">
      <c r="A60" s="3" t="str">
        <f>HYPERLINK("https://heavenlyouthouse.com/products/succulents-thank-you-card", "https://heavenlyouthouse.com/products/succulents-thank-you-card")</f>
        <v>https://heavenlyouthouse.com/products/succulents-thank-you-card</v>
      </c>
      <c r="B60" s="3" t="str">
        <f>HYPERLINK("https://heavenlyouthouse.com/products/succulents-thank-you-card", "https://heavenlyouthouse.com/products/succulents-thank-you-card")</f>
        <v>https://heavenlyouthouse.com/products/succulents-thank-you-card</v>
      </c>
      <c r="C60" t="s">
        <v>102</v>
      </c>
      <c r="D60" t="s">
        <v>270</v>
      </c>
      <c r="E60" s="3" t="str">
        <f>HYPERLINK("https://www.amazon.com/AnyDesign-Succulent-Watercolor-Matching-Envelopes/dp/B0B56B59B9/ref=sr_1_5?keywords=Succulents+Thank+You+Card&amp;qid=1695258709&amp;sr=8-5", "https://www.amazon.com/AnyDesign-Succulent-Watercolor-Matching-Envelopes/dp/B0B56B59B9/ref=sr_1_5?keywords=Succulents+Thank+You+Card&amp;qid=1695258709&amp;sr=8-5")</f>
        <v>https://www.amazon.com/AnyDesign-Succulent-Watercolor-Matching-Envelopes/dp/B0B56B59B9/ref=sr_1_5?keywords=Succulents+Thank+You+Card&amp;qid=1695258709&amp;sr=8-5</v>
      </c>
      <c r="F60" t="s">
        <v>271</v>
      </c>
      <c r="G60" t="e">
        <f ca="1">IMAGE("https://heavenlyouthouse.com/cdn/shop/products/thankyou-cactus.jpg?v=1600890223")</f>
        <v>#NAME?</v>
      </c>
      <c r="H60" t="e">
        <f ca="1">IMAGE("https://m.media-amazon.com/images/I/81uYhHxdfRL._AC_UL320_.jpg")</f>
        <v>#NAME?</v>
      </c>
      <c r="I60" t="s">
        <v>105</v>
      </c>
      <c r="J60">
        <v>13.99</v>
      </c>
      <c r="K60" s="2" t="s">
        <v>272</v>
      </c>
      <c r="L60">
        <v>5</v>
      </c>
      <c r="M60">
        <v>6</v>
      </c>
      <c r="O60" t="s">
        <v>39</v>
      </c>
      <c r="P60" t="s">
        <v>39</v>
      </c>
      <c r="Q60" t="s">
        <v>107</v>
      </c>
    </row>
    <row r="61" spans="1:17" ht="15.75" x14ac:dyDescent="0.25">
      <c r="A61" s="3" t="str">
        <f>HYPERLINK("https://heavenlyouthouse.com/products/succulents-thank-you-card", "https://heavenlyouthouse.com/products/succulents-thank-you-card")</f>
        <v>https://heavenlyouthouse.com/products/succulents-thank-you-card</v>
      </c>
      <c r="B61" s="3" t="str">
        <f>HYPERLINK("https://heavenlyouthouse.com/products/succulents-thank-you-card", "https://heavenlyouthouse.com/products/succulents-thank-you-card")</f>
        <v>https://heavenlyouthouse.com/products/succulents-thank-you-card</v>
      </c>
      <c r="C61" t="s">
        <v>102</v>
      </c>
      <c r="D61" t="s">
        <v>273</v>
      </c>
      <c r="E61" s="3" t="str">
        <f>HYPERLINK("https://www.amazon.com/AnyDesign-Succulent-Matching-Stickers-Envelopes/dp/B0B568X5WJ/ref=sr_1_10?keywords=Succulents+Thank+You+Card&amp;qid=1695258709&amp;sr=8-10", "https://www.amazon.com/AnyDesign-Succulent-Matching-Stickers-Envelopes/dp/B0B568X5WJ/ref=sr_1_10?keywords=Succulents+Thank+You+Card&amp;qid=1695258709&amp;sr=8-10")</f>
        <v>https://www.amazon.com/AnyDesign-Succulent-Matching-Stickers-Envelopes/dp/B0B568X5WJ/ref=sr_1_10?keywords=Succulents+Thank+You+Card&amp;qid=1695258709&amp;sr=8-10</v>
      </c>
      <c r="F61" t="s">
        <v>274</v>
      </c>
      <c r="G61" t="e">
        <f ca="1">IMAGE("https://heavenlyouthouse.com/cdn/shop/products/thankyou-cactus.jpg?v=1600890223")</f>
        <v>#NAME?</v>
      </c>
      <c r="H61" t="e">
        <f ca="1">IMAGE("https://m.media-amazon.com/images/I/81Xh5nQ9lGL._AC_UL320_.jpg")</f>
        <v>#NAME?</v>
      </c>
      <c r="I61" t="s">
        <v>105</v>
      </c>
      <c r="J61">
        <v>13.99</v>
      </c>
      <c r="K61" s="2" t="s">
        <v>272</v>
      </c>
      <c r="L61">
        <v>5</v>
      </c>
      <c r="M61">
        <v>6</v>
      </c>
      <c r="O61" t="s">
        <v>39</v>
      </c>
      <c r="P61" t="s">
        <v>39</v>
      </c>
      <c r="Q61" t="s">
        <v>107</v>
      </c>
    </row>
    <row r="62" spans="1:17" ht="15.75" x14ac:dyDescent="0.25">
      <c r="A62" s="3" t="str">
        <f>HYPERLINK("https://heavenlyouthouse.com/products/vanilla-coconut-bubble-bath", "https://heavenlyouthouse.com/products/vanilla-coconut-bubble-bath")</f>
        <v>https://heavenlyouthouse.com/products/vanilla-coconut-bubble-bath</v>
      </c>
      <c r="B62" s="3" t="str">
        <f>HYPERLINK("https://heavenlyouthouse.com/products/vanilla-coconut-bubble-bath", "https://heavenlyouthouse.com/products/vanilla-coconut-bubble-bath")</f>
        <v>https://heavenlyouthouse.com/products/vanilla-coconut-bubble-bath</v>
      </c>
      <c r="C62" t="s">
        <v>230</v>
      </c>
      <c r="D62" t="s">
        <v>275</v>
      </c>
      <c r="E62" s="3" t="str">
        <f>HYPERLINK("https://www.amazon.com/Spa-Baskets-Women-Coconut-Bathbombs/dp/B09NT37VYV/ref=sr_1_6?keywords=Vanilla+Coconut+Bubble+Bath&amp;qid=1695258805&amp;sr=8-6", "https://www.amazon.com/Spa-Baskets-Women-Coconut-Bathbombs/dp/B09NT37VYV/ref=sr_1_6?keywords=Vanilla+Coconut+Bubble+Bath&amp;qid=1695258805&amp;sr=8-6")</f>
        <v>https://www.amazon.com/Spa-Baskets-Women-Coconut-Bathbombs/dp/B09NT37VYV/ref=sr_1_6?keywords=Vanilla+Coconut+Bubble+Bath&amp;qid=1695258805&amp;sr=8-6</v>
      </c>
      <c r="F62" t="s">
        <v>276</v>
      </c>
      <c r="G62" t="e">
        <f ca="1">IMAGE("https://heavenlyouthouse.com/cdn/shop/products/Vanilla-Coconut_Bubble-Bath_2048_2000x_48bd3f10-44c5-4b84-8976-395bada0d7d1.jpg?v=1588959777")</f>
        <v>#NAME?</v>
      </c>
      <c r="H62" t="e">
        <f ca="1">IMAGE("https://m.media-amazon.com/images/I/81BDcKitzjL._AC_UL320_.jpg")</f>
        <v>#NAME?</v>
      </c>
      <c r="I62" t="s">
        <v>233</v>
      </c>
      <c r="J62">
        <v>36.950000000000003</v>
      </c>
      <c r="K62" s="2" t="s">
        <v>277</v>
      </c>
      <c r="L62">
        <v>4.4000000000000004</v>
      </c>
      <c r="M62">
        <v>302</v>
      </c>
      <c r="O62" t="s">
        <v>39</v>
      </c>
      <c r="P62" t="s">
        <v>39</v>
      </c>
      <c r="Q62" t="s">
        <v>235</v>
      </c>
    </row>
    <row r="63" spans="1:17" ht="15.75" x14ac:dyDescent="0.25">
      <c r="A63" s="3" t="str">
        <f>HYPERLINK("https://heavenlyouthouse.com/products/week-from-hell-hand-rescue-tube?variant=32374479978585", "https://heavenlyouthouse.com/products/week-from-hell-hand-rescue-tube?variant=32374479978585")</f>
        <v>https://heavenlyouthouse.com/products/week-from-hell-hand-rescue-tube?variant=32374479978585</v>
      </c>
      <c r="B63" s="3" t="str">
        <f>HYPERLINK("https://heavenlyouthouse.com/products/week-from-hell-hand-rescue-tube", "https://heavenlyouthouse.com/products/week-from-hell-hand-rescue-tube")</f>
        <v>https://heavenlyouthouse.com/products/week-from-hell-hand-rescue-tube</v>
      </c>
      <c r="C63" t="s">
        <v>143</v>
      </c>
      <c r="D63" t="s">
        <v>278</v>
      </c>
      <c r="E63" s="3" t="str">
        <f>HYPERLINK("https://www.amazon.com/Walton-Wood-Farm-Hand-Rescue/dp/B09WRWX2SN/ref=sr_1_5?keywords=Week+From+Hell+Hand+Rescue+Tube&amp;qid=1695258826&amp;sr=8-5", "https://www.amazon.com/Walton-Wood-Farm-Hand-Rescue/dp/B09WRWX2SN/ref=sr_1_5?keywords=Week+From+Hell+Hand+Rescue+Tube&amp;qid=1695258826&amp;sr=8-5")</f>
        <v>https://www.amazon.com/Walton-Wood-Farm-Hand-Rescue/dp/B09WRWX2SN/ref=sr_1_5?keywords=Week+From+Hell+Hand+Rescue+Tube&amp;qid=1695258826&amp;sr=8-5</v>
      </c>
      <c r="F63" t="s">
        <v>279</v>
      </c>
      <c r="G63" t="e">
        <f ca="1">IMAGE("https://heavenlyouthouse.com/cdn/shop/products/weekfromhellhandrescuetube.jpg?v=1612548050")</f>
        <v>#NAME?</v>
      </c>
      <c r="H63" t="e">
        <f ca="1">IMAGE("https://m.media-amazon.com/images/I/511GirTHkOL._AC_UL320_.jpg")</f>
        <v>#NAME?</v>
      </c>
      <c r="I63" t="s">
        <v>146</v>
      </c>
      <c r="J63">
        <v>22.95</v>
      </c>
      <c r="K63" s="2" t="s">
        <v>277</v>
      </c>
      <c r="L63">
        <v>5</v>
      </c>
      <c r="M63">
        <v>3</v>
      </c>
      <c r="O63" t="s">
        <v>136</v>
      </c>
      <c r="P63" t="s">
        <v>39</v>
      </c>
      <c r="Q63" t="s">
        <v>148</v>
      </c>
    </row>
    <row r="64" spans="1:17" ht="15.75" x14ac:dyDescent="0.25">
      <c r="A64" s="3" t="str">
        <f>HYPERLINK("https://heavenlyouthouse.com/products/pumpkin-soap", "https://heavenlyouthouse.com/products/pumpkin-soap")</f>
        <v>https://heavenlyouthouse.com/products/pumpkin-soap</v>
      </c>
      <c r="B64" s="3" t="str">
        <f>HYPERLINK("https://heavenlyouthouse.com/products/pumpkin-soap", "https://heavenlyouthouse.com/products/pumpkin-soap")</f>
        <v>https://heavenlyouthouse.com/products/pumpkin-soap</v>
      </c>
      <c r="C64" t="s">
        <v>157</v>
      </c>
      <c r="D64" t="s">
        <v>280</v>
      </c>
      <c r="E64" s="3" t="str">
        <f>HYPERLINK("https://www.amazon.com/Bath-Body-Works-Pumpkin-Cupcakes/dp/B07GGWDQBM/ref=sr_1_3?keywords=Pumpkin+Soap&amp;qid=1695258671&amp;sr=8-3", "https://www.amazon.com/Bath-Body-Works-Pumpkin-Cupcakes/dp/B07GGWDQBM/ref=sr_1_3?keywords=Pumpkin+Soap&amp;qid=1695258671&amp;sr=8-3")</f>
        <v>https://www.amazon.com/Bath-Body-Works-Pumpkin-Cupcakes/dp/B07GGWDQBM/ref=sr_1_3?keywords=Pumpkin+Soap&amp;qid=1695258671&amp;sr=8-3</v>
      </c>
      <c r="F64" t="s">
        <v>281</v>
      </c>
      <c r="G64" t="e">
        <f ca="1">IMAGE("https://heavenlyouthouse.com/cdn/shop/products/Pumpkin_Bar-Soap_2048_2000x_6b1d5e1f-2b42-45d8-85e4-bc5e350eb2be.jpg?v=1586787951")</f>
        <v>#NAME?</v>
      </c>
      <c r="H64" t="e">
        <f ca="1">IMAGE("https://m.media-amazon.com/images/I/31HdX3NcqYL._AC_UL320_.jpg")</f>
        <v>#NAME?</v>
      </c>
      <c r="I64" t="s">
        <v>92</v>
      </c>
      <c r="J64">
        <v>18.12</v>
      </c>
      <c r="K64" s="2" t="s">
        <v>282</v>
      </c>
      <c r="L64">
        <v>4.7</v>
      </c>
      <c r="M64">
        <v>5543</v>
      </c>
      <c r="O64" t="s">
        <v>39</v>
      </c>
      <c r="P64" t="s">
        <v>39</v>
      </c>
      <c r="Q64" t="s">
        <v>161</v>
      </c>
    </row>
    <row r="65" spans="1:17" ht="15.75" x14ac:dyDescent="0.25">
      <c r="A65" s="3" t="str">
        <f>HYPERLINK("https://heavenlyouthouse.com/products/pumpkin-soap", "https://heavenlyouthouse.com/products/pumpkin-soap")</f>
        <v>https://heavenlyouthouse.com/products/pumpkin-soap</v>
      </c>
      <c r="B65" s="3" t="str">
        <f>HYPERLINK("https://heavenlyouthouse.com/products/pumpkin-soap", "https://heavenlyouthouse.com/products/pumpkin-soap")</f>
        <v>https://heavenlyouthouse.com/products/pumpkin-soap</v>
      </c>
      <c r="C65" t="s">
        <v>157</v>
      </c>
      <c r="D65" t="s">
        <v>283</v>
      </c>
      <c r="E65" s="3" t="str">
        <f>HYPERLINK("https://www.amazon.com/Bath-Body-Works-Purrfect-Pumpkin/dp/B0B6XVYRHD/ref=sr_1_9?keywords=Pumpkin+Soap&amp;qid=1695258671&amp;sr=8-9", "https://www.amazon.com/Bath-Body-Works-Purrfect-Pumpkin/dp/B0B6XVYRHD/ref=sr_1_9?keywords=Pumpkin+Soap&amp;qid=1695258671&amp;sr=8-9")</f>
        <v>https://www.amazon.com/Bath-Body-Works-Purrfect-Pumpkin/dp/B0B6XVYRHD/ref=sr_1_9?keywords=Pumpkin+Soap&amp;qid=1695258671&amp;sr=8-9</v>
      </c>
      <c r="F65" t="s">
        <v>284</v>
      </c>
      <c r="G65" t="e">
        <f ca="1">IMAGE("https://heavenlyouthouse.com/cdn/shop/products/Pumpkin_Bar-Soap_2048_2000x_6b1d5e1f-2b42-45d8-85e4-bc5e350eb2be.jpg?v=1586787951")</f>
        <v>#NAME?</v>
      </c>
      <c r="H65" t="e">
        <f ca="1">IMAGE("https://m.media-amazon.com/images/I/61cl984t5RL._AC_UL320_.jpg")</f>
        <v>#NAME?</v>
      </c>
      <c r="I65" t="s">
        <v>92</v>
      </c>
      <c r="J65">
        <v>18.09</v>
      </c>
      <c r="K65" s="2" t="s">
        <v>282</v>
      </c>
      <c r="L65">
        <v>3.5</v>
      </c>
      <c r="M65">
        <v>10</v>
      </c>
      <c r="O65" t="s">
        <v>39</v>
      </c>
      <c r="P65" t="s">
        <v>39</v>
      </c>
      <c r="Q65" t="s">
        <v>161</v>
      </c>
    </row>
    <row r="66" spans="1:17" ht="15.75" x14ac:dyDescent="0.25">
      <c r="A66" s="3" t="str">
        <f>HYPERLINK("https://heavenlyouthouse.com/products/thymes-frasier-fir-votive-candle-set", "https://heavenlyouthouse.com/products/thymes-frasier-fir-votive-candle-set")</f>
        <v>https://heavenlyouthouse.com/products/thymes-frasier-fir-votive-candle-set</v>
      </c>
      <c r="B66" s="3" t="str">
        <f>HYPERLINK("https://heavenlyouthouse.com/products/thymes-frasier-fir-votive-candle-set", "https://heavenlyouthouse.com/products/thymes-frasier-fir-votive-candle-set")</f>
        <v>https://heavenlyouthouse.com/products/thymes-frasier-fir-votive-candle-set</v>
      </c>
      <c r="C66" t="s">
        <v>285</v>
      </c>
      <c r="D66" t="s">
        <v>109</v>
      </c>
      <c r="E66" s="3" t="str">
        <f>HYPERLINK("https://www.amazon.com/Thymes-Frasier-Wick-Ceramic-Candle/dp/B0140PRH56/ref=sr_1_8?keywords=Thymes+Frasier+Fir+Votive+Candle+3+Pack&amp;qid=1695258743&amp;sr=8-8", "https://www.amazon.com/Thymes-Frasier-Wick-Ceramic-Candle/dp/B0140PRH56/ref=sr_1_8?keywords=Thymes+Frasier+Fir+Votive+Candle+3+Pack&amp;qid=1695258743&amp;sr=8-8")</f>
        <v>https://www.amazon.com/Thymes-Frasier-Wick-Ceramic-Candle/dp/B0140PRH56/ref=sr_1_8?keywords=Thymes+Frasier+Fir+Votive+Candle+3+Pack&amp;qid=1695258743&amp;sr=8-8</v>
      </c>
      <c r="F66" t="s">
        <v>110</v>
      </c>
      <c r="G66" t="e">
        <f ca="1">IMAGE("https://heavenlyouthouse.com/cdn/shop/products/thymes-Frasier-Fir-votive-candle-set.jpg?v=1640187779")</f>
        <v>#NAME?</v>
      </c>
      <c r="H66" t="e">
        <f ca="1">IMAGE("https://m.media-amazon.com/images/I/616N8+OCmhL._AC_UL320_.jpg")</f>
        <v>#NAME?</v>
      </c>
      <c r="I66" t="s">
        <v>286</v>
      </c>
      <c r="J66">
        <v>68</v>
      </c>
      <c r="K66" s="2" t="s">
        <v>287</v>
      </c>
      <c r="L66">
        <v>4.9000000000000004</v>
      </c>
      <c r="M66">
        <v>59</v>
      </c>
      <c r="O66" t="s">
        <v>39</v>
      </c>
      <c r="P66" t="s">
        <v>288</v>
      </c>
      <c r="Q66" t="s">
        <v>289</v>
      </c>
    </row>
    <row r="67" spans="1:17" ht="15.75" x14ac:dyDescent="0.25">
      <c r="A67" s="3" t="str">
        <f>HYPERLINK("https://heavenlyouthouse.com/products/rosemary-shampoo-bar-soap", "https://heavenlyouthouse.com/products/rosemary-shampoo-bar-soap")</f>
        <v>https://heavenlyouthouse.com/products/rosemary-shampoo-bar-soap</v>
      </c>
      <c r="B67" s="3" t="str">
        <f>HYPERLINK("https://heavenlyouthouse.com/products/rosemary-shampoo-bar-soap", "https://heavenlyouthouse.com/products/rosemary-shampoo-bar-soap")</f>
        <v>https://heavenlyouthouse.com/products/rosemary-shampoo-bar-soap</v>
      </c>
      <c r="C67" t="s">
        <v>290</v>
      </c>
      <c r="D67" t="s">
        <v>291</v>
      </c>
      <c r="E67" s="3"/>
      <c r="F67" t="s">
        <v>292</v>
      </c>
      <c r="G67" t="e">
        <f ca="1">IMAGE("https://heavenlyouthouse.com/cdn/shop/products/Rosemary-Shampoo-Bar_Bar-Soap_2000x_09aa253a-642f-40e6-b2b3-81ca57f74784.jpg?v=1586802089")</f>
        <v>#NAME?</v>
      </c>
      <c r="H67" t="e">
        <f ca="1">IMAGE("https://m.media-amazon.com/images/I/61Ph9ZMNy8L._AC_UL320_.jpg")</f>
        <v>#NAME?</v>
      </c>
      <c r="I67" t="s">
        <v>92</v>
      </c>
      <c r="J67">
        <v>18</v>
      </c>
      <c r="K67" s="2" t="s">
        <v>293</v>
      </c>
      <c r="L67">
        <v>4.3</v>
      </c>
      <c r="M67">
        <v>27</v>
      </c>
      <c r="O67" t="s">
        <v>39</v>
      </c>
      <c r="P67" t="s">
        <v>39</v>
      </c>
      <c r="Q67" t="s">
        <v>294</v>
      </c>
    </row>
    <row r="68" spans="1:17" ht="15.75" x14ac:dyDescent="0.25">
      <c r="A68" s="3" t="str">
        <f>HYPERLINK("https://heavenlyouthouse.com/products/watercolor-landscape-blank-card", "https://heavenlyouthouse.com/products/watercolor-landscape-blank-card")</f>
        <v>https://heavenlyouthouse.com/products/watercolor-landscape-blank-card</v>
      </c>
      <c r="B68" s="3" t="str">
        <f>HYPERLINK("https://heavenlyouthouse.com/products/watercolor-landscape-blank-card", "https://heavenlyouthouse.com/products/watercolor-landscape-blank-card")</f>
        <v>https://heavenlyouthouse.com/products/watercolor-landscape-blank-card</v>
      </c>
      <c r="C68" t="s">
        <v>89</v>
      </c>
      <c r="D68" t="s">
        <v>295</v>
      </c>
      <c r="E68" s="3" t="str">
        <f>HYPERLINK("https://www.amazon.com/Watercolor-Mountain-Landscapes-card-gift/dp/B08WKTRBDL/ref=sr_1_3?keywords=Watercolor+Landscape+Blank+Card&amp;qid=1695258835&amp;sr=8-3", "https://www.amazon.com/Watercolor-Mountain-Landscapes-card-gift/dp/B08WKTRBDL/ref=sr_1_3?keywords=Watercolor+Landscape+Blank+Card&amp;qid=1695258835&amp;sr=8-3")</f>
        <v>https://www.amazon.com/Watercolor-Mountain-Landscapes-card-gift/dp/B08WKTRBDL/ref=sr_1_3?keywords=Watercolor+Landscape+Blank+Card&amp;qid=1695258835&amp;sr=8-3</v>
      </c>
      <c r="F68" t="s">
        <v>296</v>
      </c>
      <c r="G68" t="e">
        <f ca="1">IMAGE("https://heavenlyouthouse.com/cdn/shop/files/watercolor-landscape-blank-card1_300x300.jpg?v=1692033915")</f>
        <v>#NAME?</v>
      </c>
      <c r="H68" t="e">
        <f ca="1">IMAGE("https://m.media-amazon.com/images/I/91pIQbckp8L._AC_UL320_.jpg")</f>
        <v>#NAME?</v>
      </c>
      <c r="I68" t="s">
        <v>92</v>
      </c>
      <c r="J68">
        <v>18</v>
      </c>
      <c r="K68" s="2" t="s">
        <v>293</v>
      </c>
      <c r="L68">
        <v>5</v>
      </c>
      <c r="M68">
        <v>8</v>
      </c>
      <c r="O68" t="s">
        <v>39</v>
      </c>
      <c r="P68" t="s">
        <v>39</v>
      </c>
      <c r="Q68" t="s">
        <v>94</v>
      </c>
    </row>
    <row r="69" spans="1:17" ht="15.75" x14ac:dyDescent="0.25">
      <c r="A69" s="3" t="str">
        <f>HYPERLINK("https://heavenlyouthouse.com/products/wood-cross-easter-card", "https://heavenlyouthouse.com/products/wood-cross-easter-card")</f>
        <v>https://heavenlyouthouse.com/products/wood-cross-easter-card</v>
      </c>
      <c r="B69" s="3" t="str">
        <f>HYPERLINK("https://heavenlyouthouse.com/products/wood-cross-easter-card", "https://heavenlyouthouse.com/products/wood-cross-easter-card")</f>
        <v>https://heavenlyouthouse.com/products/wood-cross-easter-card</v>
      </c>
      <c r="C69" t="s">
        <v>248</v>
      </c>
      <c r="D69" t="s">
        <v>297</v>
      </c>
      <c r="E69" s="3" t="str">
        <f>HYPERLINK("https://www.amazon.com/Greeting-Religious-Envelopes-Inspiring-Christians/dp/B0BVLVNFCJ/ref=sr_1_9?keywords=Wood+Cross+Easter+Card&amp;qid=1695258829&amp;sr=8-9", "https://www.amazon.com/Greeting-Religious-Envelopes-Inspiring-Christians/dp/B0BVLVNFCJ/ref=sr_1_9?keywords=Wood+Cross+Easter+Card&amp;qid=1695258829&amp;sr=8-9")</f>
        <v>https://www.amazon.com/Greeting-Religious-Envelopes-Inspiring-Christians/dp/B0BVLVNFCJ/ref=sr_1_9?keywords=Wood+Cross+Easter+Card&amp;qid=1695258829&amp;sr=8-9</v>
      </c>
      <c r="F69" t="s">
        <v>298</v>
      </c>
      <c r="G69" t="e">
        <f ca="1">IMAGE("https://heavenlyouthouse.com/cdn/shop/products/papyruswoodcrosseastercard1_2.jpg?v=1619896050")</f>
        <v>#NAME?</v>
      </c>
      <c r="H69" t="e">
        <f ca="1">IMAGE("https://m.media-amazon.com/images/I/81ewXttVAUL._AC_UL320_.jpg")</f>
        <v>#NAME?</v>
      </c>
      <c r="I69" t="s">
        <v>92</v>
      </c>
      <c r="J69">
        <v>17.989999999999998</v>
      </c>
      <c r="K69" s="2" t="s">
        <v>293</v>
      </c>
      <c r="L69">
        <v>4.2</v>
      </c>
      <c r="M69">
        <v>8</v>
      </c>
      <c r="O69" t="s">
        <v>39</v>
      </c>
      <c r="P69" t="s">
        <v>39</v>
      </c>
      <c r="Q69" t="s">
        <v>251</v>
      </c>
    </row>
    <row r="70" spans="1:17" ht="15.75" x14ac:dyDescent="0.25">
      <c r="A70" s="3" t="str">
        <f>HYPERLINK("https://heavenlyouthouse.com/products/spearmint-soap", "https://heavenlyouthouse.com/products/spearmint-soap")</f>
        <v>https://heavenlyouthouse.com/products/spearmint-soap</v>
      </c>
      <c r="B70" s="3" t="str">
        <f>HYPERLINK("https://heavenlyouthouse.com/products/spearmint-soap", "https://heavenlyouthouse.com/products/spearmint-soap")</f>
        <v>https://heavenlyouthouse.com/products/spearmint-soap</v>
      </c>
      <c r="C70" t="s">
        <v>138</v>
      </c>
      <c r="D70" t="s">
        <v>299</v>
      </c>
      <c r="E70" s="3" t="str">
        <f>HYPERLINK("https://www.amazon.com/Beessential-Natural-Spearmint-Essential-Moisturizing/dp/B085YDZ26C/ref=sr_1_6?keywords=Spearmint+Soap&amp;qid=1695258707&amp;sr=8-6", "https://www.amazon.com/Beessential-Natural-Spearmint-Essential-Moisturizing/dp/B085YDZ26C/ref=sr_1_6?keywords=Spearmint+Soap&amp;qid=1695258707&amp;sr=8-6")</f>
        <v>https://www.amazon.com/Beessential-Natural-Spearmint-Essential-Moisturizing/dp/B085YDZ26C/ref=sr_1_6?keywords=Spearmint+Soap&amp;qid=1695258707&amp;sr=8-6</v>
      </c>
      <c r="F70" t="s">
        <v>300</v>
      </c>
      <c r="G70" t="e">
        <f ca="1">IMAGE("https://heavenlyouthouse.com/cdn/shop/products/Spearmint_Bar-Soap_2048_2000x_e9b0fb8d-7255-4bf8-bb50-9da0b59a1544.jpg?v=1586802582")</f>
        <v>#NAME?</v>
      </c>
      <c r="H70" t="e">
        <f ca="1">IMAGE("https://m.media-amazon.com/images/I/715GV8yMq8L._AC_UL320_.jpg")</f>
        <v>#NAME?</v>
      </c>
      <c r="I70" t="s">
        <v>92</v>
      </c>
      <c r="J70">
        <v>17.989999999999998</v>
      </c>
      <c r="K70" s="2" t="s">
        <v>293</v>
      </c>
      <c r="L70">
        <v>4.7</v>
      </c>
      <c r="M70">
        <v>1089</v>
      </c>
      <c r="O70" t="s">
        <v>39</v>
      </c>
      <c r="P70" t="s">
        <v>39</v>
      </c>
      <c r="Q70" t="s">
        <v>142</v>
      </c>
    </row>
    <row r="71" spans="1:17" ht="15.75" x14ac:dyDescent="0.25">
      <c r="A71" s="3" t="str">
        <f>HYPERLINK("https://heavenlyouthouse.com/products/spearmint-soap", "https://heavenlyouthouse.com/products/spearmint-soap")</f>
        <v>https://heavenlyouthouse.com/products/spearmint-soap</v>
      </c>
      <c r="B71" s="3" t="str">
        <f>HYPERLINK("https://heavenlyouthouse.com/products/spearmint-soap", "https://heavenlyouthouse.com/products/spearmint-soap")</f>
        <v>https://heavenlyouthouse.com/products/spearmint-soap</v>
      </c>
      <c r="C71" t="s">
        <v>138</v>
      </c>
      <c r="D71" t="s">
        <v>301</v>
      </c>
      <c r="E71" s="3" t="str">
        <f>HYPERLINK("https://www.amazon.com/everyone-Spearmint-Lemongrass-Plant-Based-Essential/dp/B00KA38GWQ/ref=sr_1_1?keywords=Spearmint+Soap&amp;qid=1695258707&amp;sr=8-1", "https://www.amazon.com/everyone-Spearmint-Lemongrass-Plant-Based-Essential/dp/B00KA38GWQ/ref=sr_1_1?keywords=Spearmint+Soap&amp;qid=1695258707&amp;sr=8-1")</f>
        <v>https://www.amazon.com/everyone-Spearmint-Lemongrass-Plant-Based-Essential/dp/B00KA38GWQ/ref=sr_1_1?keywords=Spearmint+Soap&amp;qid=1695258707&amp;sr=8-1</v>
      </c>
      <c r="F71" t="s">
        <v>302</v>
      </c>
      <c r="G71" t="e">
        <f ca="1">IMAGE("https://heavenlyouthouse.com/cdn/shop/products/Spearmint_Bar-Soap_2048_2000x_e9b0fb8d-7255-4bf8-bb50-9da0b59a1544.jpg?v=1586802582")</f>
        <v>#NAME?</v>
      </c>
      <c r="H71" t="e">
        <f ca="1">IMAGE("https://m.media-amazon.com/images/I/71SE0jltDuL._AC_UL320_.jpg")</f>
        <v>#NAME?</v>
      </c>
      <c r="I71" t="s">
        <v>92</v>
      </c>
      <c r="J71">
        <v>17.97</v>
      </c>
      <c r="K71" s="2" t="s">
        <v>293</v>
      </c>
      <c r="L71">
        <v>4.7</v>
      </c>
      <c r="M71">
        <v>29959</v>
      </c>
      <c r="O71" t="s">
        <v>39</v>
      </c>
      <c r="P71" t="s">
        <v>39</v>
      </c>
      <c r="Q71" t="s">
        <v>142</v>
      </c>
    </row>
    <row r="72" spans="1:17" ht="15.75" x14ac:dyDescent="0.25">
      <c r="A72" s="3" t="str">
        <f>HYPERLINK("https://heavenlyouthouse.com/products/thymes-frasier-fir-bar-soap", "https://heavenlyouthouse.com/products/thymes-frasier-fir-bar-soap")</f>
        <v>https://heavenlyouthouse.com/products/thymes-frasier-fir-bar-soap</v>
      </c>
      <c r="B72" s="3" t="str">
        <f>HYPERLINK("https://heavenlyouthouse.com/products/thymes-frasier-fir-bar-soap", "https://heavenlyouthouse.com/products/thymes-frasier-fir-bar-soap")</f>
        <v>https://heavenlyouthouse.com/products/thymes-frasier-fir-bar-soap</v>
      </c>
      <c r="C72" t="s">
        <v>303</v>
      </c>
      <c r="D72" t="s">
        <v>304</v>
      </c>
      <c r="E72" s="3" t="str">
        <f>HYPERLINK("https://www.amazon.com/Thymes-Frasier-Cream-Travel-Candle/dp/B09HLB6J6X/ref=sr_1_fkmr0_1?keywords=Thymes+Frasier+Fir+Triple-Milled+Bar+Soap&amp;qid=1695258742&amp;sr=8-1-fkmr0", "https://www.amazon.com/Thymes-Frasier-Cream-Travel-Candle/dp/B09HLB6J6X/ref=sr_1_fkmr0_1?keywords=Thymes+Frasier+Fir+Triple-Milled+Bar+Soap&amp;qid=1695258742&amp;sr=8-1-fkmr0")</f>
        <v>https://www.amazon.com/Thymes-Frasier-Cream-Travel-Candle/dp/B09HLB6J6X/ref=sr_1_fkmr0_1?keywords=Thymes+Frasier+Fir+Triple-Milled+Bar+Soap&amp;qid=1695258742&amp;sr=8-1-fkmr0</v>
      </c>
      <c r="F72" t="s">
        <v>305</v>
      </c>
      <c r="G72" t="e">
        <f ca="1">IMAGE("https://heavenlyouthouse.com/cdn/shop/products/thymes-frasier-fir-bar-soap.jpg?v=1630015044")</f>
        <v>#NAME?</v>
      </c>
      <c r="H72" t="e">
        <f ca="1">IMAGE("https://m.media-amazon.com/images/I/71VpqyOQMCL._AC_UL320_.jpg")</f>
        <v>#NAME?</v>
      </c>
      <c r="I72" t="s">
        <v>306</v>
      </c>
      <c r="J72">
        <v>36</v>
      </c>
      <c r="K72" s="2" t="s">
        <v>293</v>
      </c>
      <c r="L72">
        <v>5</v>
      </c>
      <c r="M72">
        <v>2</v>
      </c>
      <c r="O72" t="s">
        <v>39</v>
      </c>
      <c r="P72" t="s">
        <v>307</v>
      </c>
      <c r="Q72" t="s">
        <v>308</v>
      </c>
    </row>
    <row r="73" spans="1:17" ht="15.75" x14ac:dyDescent="0.25">
      <c r="A73" s="3" t="str">
        <f>HYPERLINK("https://heavenlyouthouse.com/products/vanilla-coconut-butter", "https://heavenlyouthouse.com/products/vanilla-coconut-butter")</f>
        <v>https://heavenlyouthouse.com/products/vanilla-coconut-butter</v>
      </c>
      <c r="B73" s="3" t="str">
        <f>HYPERLINK("https://heavenlyouthouse.com/products/vanilla-coconut-butter", "https://heavenlyouthouse.com/products/vanilla-coconut-butter")</f>
        <v>https://heavenlyouthouse.com/products/vanilla-coconut-butter</v>
      </c>
      <c r="C73" t="s">
        <v>309</v>
      </c>
      <c r="D73" t="s">
        <v>310</v>
      </c>
      <c r="E73" s="3" t="str">
        <f>HYPERLINK("https://www.amazon.com/NCLA-Natural-Cruelty-Free-Skincare-Coconut/dp/B0B41DHY6L/ref=sr_1_2?keywords=Vanilla+Coconut+Body+Butter&amp;qid=1695258804&amp;sr=8-2", "https://www.amazon.com/NCLA-Natural-Cruelty-Free-Skincare-Coconut/dp/B0B41DHY6L/ref=sr_1_2?keywords=Vanilla+Coconut+Body+Butter&amp;qid=1695258804&amp;sr=8-2")</f>
        <v>https://www.amazon.com/NCLA-Natural-Cruelty-Free-Skincare-Coconut/dp/B0B41DHY6L/ref=sr_1_2?keywords=Vanilla+Coconut+Body+Butter&amp;qid=1695258804&amp;sr=8-2</v>
      </c>
      <c r="F73" t="s">
        <v>311</v>
      </c>
      <c r="G73" t="e">
        <f ca="1">IMAGE("https://heavenlyouthouse.com/cdn/shop/products/vanilla-coconut-body-butter_2000x_5ad751a5-f997-4412-b034-d7b35819d9d9.jpg?v=1588193267")</f>
        <v>#NAME?</v>
      </c>
      <c r="H73" t="e">
        <f ca="1">IMAGE("https://m.media-amazon.com/images/I/51sLUiZZ7qL._AC_UL320_.jpg")</f>
        <v>#NAME?</v>
      </c>
      <c r="I73" t="s">
        <v>233</v>
      </c>
      <c r="J73">
        <v>36</v>
      </c>
      <c r="K73" s="2" t="s">
        <v>312</v>
      </c>
      <c r="L73">
        <v>4.7</v>
      </c>
      <c r="M73">
        <v>5</v>
      </c>
      <c r="O73" t="s">
        <v>39</v>
      </c>
      <c r="P73" t="s">
        <v>39</v>
      </c>
      <c r="Q73" t="s">
        <v>313</v>
      </c>
    </row>
    <row r="74" spans="1:17" ht="15.75" x14ac:dyDescent="0.25">
      <c r="A74" s="3" t="str">
        <f>HYPERLINK("https://heavenlyouthouse.com/products/vanilla-coconut-butter", "https://heavenlyouthouse.com/products/vanilla-coconut-butter")</f>
        <v>https://heavenlyouthouse.com/products/vanilla-coconut-butter</v>
      </c>
      <c r="B74" s="3" t="str">
        <f>HYPERLINK("https://heavenlyouthouse.com/products/vanilla-coconut-butter", "https://heavenlyouthouse.com/products/vanilla-coconut-butter")</f>
        <v>https://heavenlyouthouse.com/products/vanilla-coconut-butter</v>
      </c>
      <c r="C74" t="s">
        <v>309</v>
      </c>
      <c r="D74" t="s">
        <v>314</v>
      </c>
      <c r="E74" s="3" t="str">
        <f>HYPERLINK("https://www.amazon.com/SURFCHIQUE-Whipped-Moisturizing-Tropical-Coconut/dp/B09KX5QLMN/ref=sr_1_8?keywords=Vanilla+Coconut+Body+Butter&amp;qid=1695258804&amp;sr=8-8", "https://www.amazon.com/SURFCHIQUE-Whipped-Moisturizing-Tropical-Coconut/dp/B09KX5QLMN/ref=sr_1_8?keywords=Vanilla+Coconut+Body+Butter&amp;qid=1695258804&amp;sr=8-8")</f>
        <v>https://www.amazon.com/SURFCHIQUE-Whipped-Moisturizing-Tropical-Coconut/dp/B09KX5QLMN/ref=sr_1_8?keywords=Vanilla+Coconut+Body+Butter&amp;qid=1695258804&amp;sr=8-8</v>
      </c>
      <c r="F74" t="s">
        <v>315</v>
      </c>
      <c r="G74" t="e">
        <f ca="1">IMAGE("https://heavenlyouthouse.com/cdn/shop/products/vanilla-coconut-body-butter_2000x_5ad751a5-f997-4412-b034-d7b35819d9d9.jpg?v=1588193267")</f>
        <v>#NAME?</v>
      </c>
      <c r="H74" t="e">
        <f ca="1">IMAGE("https://m.media-amazon.com/images/I/61ZmbLPdyQL._AC_UL320_.jpg")</f>
        <v>#NAME?</v>
      </c>
      <c r="I74" t="s">
        <v>233</v>
      </c>
      <c r="J74">
        <v>36</v>
      </c>
      <c r="K74" s="2" t="s">
        <v>312</v>
      </c>
      <c r="L74">
        <v>4.0999999999999996</v>
      </c>
      <c r="M74">
        <v>35</v>
      </c>
      <c r="O74" t="s">
        <v>39</v>
      </c>
      <c r="P74" t="s">
        <v>39</v>
      </c>
      <c r="Q74" t="s">
        <v>313</v>
      </c>
    </row>
    <row r="75" spans="1:17" ht="15.75" x14ac:dyDescent="0.25">
      <c r="A75" s="3" t="str">
        <f>HYPERLINK("https://heavenlyouthouse.com/products/thymes-ceramic-sink-caddy", "https://heavenlyouthouse.com/products/thymes-ceramic-sink-caddy")</f>
        <v>https://heavenlyouthouse.com/products/thymes-ceramic-sink-caddy</v>
      </c>
      <c r="B75" s="3" t="str">
        <f>HYPERLINK("https://heavenlyouthouse.com/products/thymes-ceramic-sink-caddy", "https://heavenlyouthouse.com/products/thymes-ceramic-sink-caddy")</f>
        <v>https://heavenlyouthouse.com/products/thymes-ceramic-sink-caddy</v>
      </c>
      <c r="C75" t="s">
        <v>257</v>
      </c>
      <c r="D75" t="s">
        <v>316</v>
      </c>
      <c r="E75" s="3" t="str">
        <f>HYPERLINK("https://www.amazon.com/Full-Circle-Stash-Ceramic-Caddy/dp/B0778XYLJ4/ref=sr_1_2?keywords=Thymes+Ceramic+Sink+Caddy&amp;qid=1695258735&amp;sr=8-2", "https://www.amazon.com/Full-Circle-Stash-Ceramic-Caddy/dp/B0778XYLJ4/ref=sr_1_2?keywords=Thymes+Ceramic+Sink+Caddy&amp;qid=1695258735&amp;sr=8-2")</f>
        <v>https://www.amazon.com/Full-Circle-Stash-Ceramic-Caddy/dp/B0778XYLJ4/ref=sr_1_2?keywords=Thymes+Ceramic+Sink+Caddy&amp;qid=1695258735&amp;sr=8-2</v>
      </c>
      <c r="F75" t="s">
        <v>317</v>
      </c>
      <c r="G75" t="e">
        <f ca="1">IMAGE("https://heavenlyouthouse.com/cdn/shop/products/Thymesceramicsinkcaddy.jpg?v=1613077205")</f>
        <v>#NAME?</v>
      </c>
      <c r="H75" t="e">
        <f ca="1">IMAGE("https://m.media-amazon.com/images/I/71ggLZrgPZL._AC_UL320_.jpg")</f>
        <v>#NAME?</v>
      </c>
      <c r="I75" t="s">
        <v>260</v>
      </c>
      <c r="J75">
        <v>19.989999999999998</v>
      </c>
      <c r="K75" s="2" t="s">
        <v>318</v>
      </c>
      <c r="L75">
        <v>4.7</v>
      </c>
      <c r="M75">
        <v>2876</v>
      </c>
      <c r="O75" t="s">
        <v>39</v>
      </c>
      <c r="P75" t="s">
        <v>39</v>
      </c>
      <c r="Q75" t="s">
        <v>262</v>
      </c>
    </row>
    <row r="76" spans="1:17" ht="15.75" x14ac:dyDescent="0.25">
      <c r="A76" s="3" t="str">
        <f>HYPERLINK("https://heavenlyouthouse.com/products/thymes-ceramic-sink-caddy", "https://heavenlyouthouse.com/products/thymes-ceramic-sink-caddy")</f>
        <v>https://heavenlyouthouse.com/products/thymes-ceramic-sink-caddy</v>
      </c>
      <c r="B76" s="3" t="str">
        <f>HYPERLINK("https://heavenlyouthouse.com/products/thymes-ceramic-sink-caddy", "https://heavenlyouthouse.com/products/thymes-ceramic-sink-caddy")</f>
        <v>https://heavenlyouthouse.com/products/thymes-ceramic-sink-caddy</v>
      </c>
      <c r="C76" t="s">
        <v>257</v>
      </c>
      <c r="D76" t="s">
        <v>319</v>
      </c>
      <c r="E76" s="3" t="str">
        <f>HYPERLINK("https://www.amazon.com/Jules-Kitchen-Cream-Ceramic-Stoneware/dp/B0BLF12CWQ/ref=sr_1_1?keywords=Thymes+Ceramic+Sink+Caddy&amp;qid=1695258735&amp;sr=8-1", "https://www.amazon.com/Jules-Kitchen-Cream-Ceramic-Stoneware/dp/B0BLF12CWQ/ref=sr_1_1?keywords=Thymes+Ceramic+Sink+Caddy&amp;qid=1695258735&amp;sr=8-1")</f>
        <v>https://www.amazon.com/Jules-Kitchen-Cream-Ceramic-Stoneware/dp/B0BLF12CWQ/ref=sr_1_1?keywords=Thymes+Ceramic+Sink+Caddy&amp;qid=1695258735&amp;sr=8-1</v>
      </c>
      <c r="F76" t="s">
        <v>320</v>
      </c>
      <c r="G76" t="e">
        <f ca="1">IMAGE("https://heavenlyouthouse.com/cdn/shop/products/Thymesceramicsinkcaddy.jpg?v=1613077205")</f>
        <v>#NAME?</v>
      </c>
      <c r="H76" t="e">
        <f ca="1">IMAGE("https://m.media-amazon.com/images/I/51Z4rc9dVXL._AC_UL320_.jpg")</f>
        <v>#NAME?</v>
      </c>
      <c r="I76" t="s">
        <v>260</v>
      </c>
      <c r="J76">
        <v>19.95</v>
      </c>
      <c r="K76" s="2" t="s">
        <v>318</v>
      </c>
      <c r="L76">
        <v>4.7</v>
      </c>
      <c r="M76">
        <v>8</v>
      </c>
      <c r="O76" t="s">
        <v>39</v>
      </c>
      <c r="P76" t="s">
        <v>39</v>
      </c>
      <c r="Q76" t="s">
        <v>262</v>
      </c>
    </row>
    <row r="77" spans="1:17" ht="15.75" x14ac:dyDescent="0.25">
      <c r="A77" s="3" t="str">
        <f>HYPERLINK("https://heavenlyouthouse.com/products/frasier-fir-aroma-diffuser-oil", "https://heavenlyouthouse.com/products/frasier-fir-aroma-diffuser-oil")</f>
        <v>https://heavenlyouthouse.com/products/frasier-fir-aroma-diffuser-oil</v>
      </c>
      <c r="B77" s="3" t="str">
        <f>HYPERLINK("https://heavenlyouthouse.com/products/frasier-fir-aroma-diffuser-oil", "https://heavenlyouthouse.com/products/frasier-fir-aroma-diffuser-oil")</f>
        <v>https://heavenlyouthouse.com/products/frasier-fir-aroma-diffuser-oil</v>
      </c>
      <c r="C77" t="s">
        <v>226</v>
      </c>
      <c r="D77" t="s">
        <v>150</v>
      </c>
      <c r="E77" s="3" t="str">
        <f>HYPERLINK("https://www.amazon.com/Frasier-Diffuser-Petite-Needle-Design/dp/B07PX41PHQ/ref=sr_1_3?keywords=Thymes+Frasier+Fir+Aroma+Diffuser+Oil&amp;qid=1695258721&amp;sr=8-3", "https://www.amazon.com/Frasier-Diffuser-Petite-Needle-Design/dp/B07PX41PHQ/ref=sr_1_3?keywords=Thymes+Frasier+Fir+Aroma+Diffuser+Oil&amp;qid=1695258721&amp;sr=8-3")</f>
        <v>https://www.amazon.com/Frasier-Diffuser-Petite-Needle-Design/dp/B07PX41PHQ/ref=sr_1_3?keywords=Thymes+Frasier+Fir+Aroma+Diffuser+Oil&amp;qid=1695258721&amp;sr=8-3</v>
      </c>
      <c r="F77" t="s">
        <v>151</v>
      </c>
      <c r="G77" t="e">
        <f ca="1">IMAGE("https://heavenlyouthouse.com/cdn/shop/products/thymesfrasierfirdiffuseroil.jpg?v=1604088755")</f>
        <v>#NAME?</v>
      </c>
      <c r="H77" t="e">
        <f ca="1">IMAGE("https://m.media-amazon.com/images/I/81b2I297VgL._AC_UL320_.jpg")</f>
        <v>#NAME?</v>
      </c>
      <c r="I77" t="s">
        <v>86</v>
      </c>
      <c r="J77">
        <v>46</v>
      </c>
      <c r="K77" s="2" t="s">
        <v>321</v>
      </c>
      <c r="L77">
        <v>4.7</v>
      </c>
      <c r="M77">
        <v>283</v>
      </c>
      <c r="O77" t="s">
        <v>39</v>
      </c>
      <c r="P77" t="s">
        <v>39</v>
      </c>
      <c r="Q77" t="s">
        <v>229</v>
      </c>
    </row>
    <row r="78" spans="1:17" ht="15.75" x14ac:dyDescent="0.25">
      <c r="A78" s="3" t="str">
        <f>HYPERLINK("https://heavenlyouthouse.com/products/thymes-frasier-fir-gilded-gold-votive-candle", "https://heavenlyouthouse.com/products/thymes-frasier-fir-gilded-gold-votive-candle")</f>
        <v>https://heavenlyouthouse.com/products/thymes-frasier-fir-gilded-gold-votive-candle</v>
      </c>
      <c r="B78" s="3" t="str">
        <f>HYPERLINK("https://heavenlyouthouse.com/products/thymes-frasier-fir-gilded-gold-votive-candle", "https://heavenlyouthouse.com/products/thymes-frasier-fir-gilded-gold-votive-candle")</f>
        <v>https://heavenlyouthouse.com/products/thymes-frasier-fir-gilded-gold-votive-candle</v>
      </c>
      <c r="C78" t="s">
        <v>187</v>
      </c>
      <c r="D78" t="s">
        <v>322</v>
      </c>
      <c r="E78" s="3" t="str">
        <f>HYPERLINK("https://www.amazon.com/Thymes-Frasier-Ceramic-Poured-Candle/dp/B07CSC49XB/ref=sr_1_9?keywords=Thymes+Frasier+Fir+Gilded+Gold+Votive+Candle&amp;qid=1695258726&amp;sr=8-9", "https://www.amazon.com/Thymes-Frasier-Ceramic-Poured-Candle/dp/B07CSC49XB/ref=sr_1_9?keywords=Thymes+Frasier+Fir+Gilded+Gold+Votive+Candle&amp;qid=1695258726&amp;sr=8-9")</f>
        <v>https://www.amazon.com/Thymes-Frasier-Ceramic-Poured-Candle/dp/B07CSC49XB/ref=sr_1_9?keywords=Thymes+Frasier+Fir+Gilded+Gold+Votive+Candle&amp;qid=1695258726&amp;sr=8-9</v>
      </c>
      <c r="F78" t="s">
        <v>323</v>
      </c>
      <c r="G78" t="e">
        <f ca="1">IMAGE("https://heavenlyouthouse.com/cdn/shop/files/thymes-frasier-fir-gilded-gold-votive-candle_300x300.jpg?v=1692986058")</f>
        <v>#NAME?</v>
      </c>
      <c r="H78" t="e">
        <f ca="1">IMAGE("https://m.media-amazon.com/images/I/71XPAmV+lSL._AC_UL320_.jpg")</f>
        <v>#NAME?</v>
      </c>
      <c r="I78" t="s">
        <v>188</v>
      </c>
      <c r="J78">
        <v>48</v>
      </c>
      <c r="K78" s="2" t="s">
        <v>324</v>
      </c>
      <c r="L78">
        <v>4.7</v>
      </c>
      <c r="M78">
        <v>218</v>
      </c>
      <c r="O78" t="s">
        <v>39</v>
      </c>
      <c r="P78" t="s">
        <v>190</v>
      </c>
      <c r="Q78" t="s">
        <v>191</v>
      </c>
    </row>
    <row r="79" spans="1:17" ht="15.75" x14ac:dyDescent="0.25">
      <c r="A79" s="3" t="str">
        <f>HYPERLINK("https://heavenlyouthouse.com/products/thymes-frasier-fir-heritage-pillar-candle-small", "https://heavenlyouthouse.com/products/thymes-frasier-fir-heritage-pillar-candle-small")</f>
        <v>https://heavenlyouthouse.com/products/thymes-frasier-fir-heritage-pillar-candle-small</v>
      </c>
      <c r="B79" s="3" t="str">
        <f>HYPERLINK("https://heavenlyouthouse.com/products/thymes-frasier-fir-heritage-pillar-candle-small", "https://heavenlyouthouse.com/products/thymes-frasier-fir-heritage-pillar-candle-small")</f>
        <v>https://heavenlyouthouse.com/products/thymes-frasier-fir-heritage-pillar-candle-small</v>
      </c>
      <c r="C79" t="s">
        <v>325</v>
      </c>
      <c r="D79" t="s">
        <v>326</v>
      </c>
      <c r="E79" s="3" t="str">
        <f>HYPERLINK("https://www.amazon.com/Thymes-Heritage-3-Wick-Candle-Fragrance/dp/B001LF4DVU/ref=sr_1_3?keywords=Thymes+Frasier+Fir+Heritage+Pillar+Candle+Small&amp;qid=1695258732&amp;sr=8-3", "https://www.amazon.com/Thymes-Heritage-3-Wick-Candle-Fragrance/dp/B001LF4DVU/ref=sr_1_3?keywords=Thymes+Frasier+Fir+Heritage+Pillar+Candle+Small&amp;qid=1695258732&amp;sr=8-3")</f>
        <v>https://www.amazon.com/Thymes-Heritage-3-Wick-Candle-Fragrance/dp/B001LF4DVU/ref=sr_1_3?keywords=Thymes+Frasier+Fir+Heritage+Pillar+Candle+Small&amp;qid=1695258732&amp;sr=8-3</v>
      </c>
      <c r="F79" t="s">
        <v>327</v>
      </c>
      <c r="G79" t="e">
        <f ca="1">IMAGE("https://heavenlyouthouse.com/cdn/shop/files/thymes-frasier-fir-heritage-3x3-pillar-candle-small_300x300.jpg?v=1692208535")</f>
        <v>#NAME?</v>
      </c>
      <c r="H79" t="e">
        <f ca="1">IMAGE("https://m.media-amazon.com/images/I/717qxzPH-0L._AC_UL320_.jpg")</f>
        <v>#NAME?</v>
      </c>
      <c r="I79" t="s">
        <v>328</v>
      </c>
      <c r="J79">
        <v>60</v>
      </c>
      <c r="K79" s="2" t="s">
        <v>329</v>
      </c>
      <c r="L79">
        <v>4.5999999999999996</v>
      </c>
      <c r="M79">
        <v>355</v>
      </c>
      <c r="O79" t="s">
        <v>39</v>
      </c>
      <c r="P79" t="s">
        <v>330</v>
      </c>
      <c r="Q79" t="s">
        <v>331</v>
      </c>
    </row>
    <row r="80" spans="1:17" ht="15.75" x14ac:dyDescent="0.25">
      <c r="A80" s="3" t="str">
        <f>HYPERLINK("https://heavenlyouthouse.com/products/watercolor-landscape-blank-card", "https://heavenlyouthouse.com/products/watercolor-landscape-blank-card")</f>
        <v>https://heavenlyouthouse.com/products/watercolor-landscape-blank-card</v>
      </c>
      <c r="B80" s="3" t="str">
        <f>HYPERLINK("https://heavenlyouthouse.com/products/watercolor-landscape-blank-card", "https://heavenlyouthouse.com/products/watercolor-landscape-blank-card")</f>
        <v>https://heavenlyouthouse.com/products/watercolor-landscape-blank-card</v>
      </c>
      <c r="C80" t="s">
        <v>89</v>
      </c>
      <c r="D80" t="s">
        <v>332</v>
      </c>
      <c r="E80" s="3" t="str">
        <f>HYPERLINK("https://www.amazon.com/Watercolor-Botanicals-Floral-Themed-Envelopes-AM3314OCB-B2x10/dp/B07F8G6ZVX/ref=sr_1_10?keywords=Watercolor+Landscape+Blank+Card&amp;qid=1695258835&amp;sr=8-10", "https://www.amazon.com/Watercolor-Botanicals-Floral-Themed-Envelopes-AM3314OCB-B2x10/dp/B07F8G6ZVX/ref=sr_1_10?keywords=Watercolor+Landscape+Blank+Card&amp;qid=1695258835&amp;sr=8-10")</f>
        <v>https://www.amazon.com/Watercolor-Botanicals-Floral-Themed-Envelopes-AM3314OCB-B2x10/dp/B07F8G6ZVX/ref=sr_1_10?keywords=Watercolor+Landscape+Blank+Card&amp;qid=1695258835&amp;sr=8-10</v>
      </c>
      <c r="F80" t="s">
        <v>333</v>
      </c>
      <c r="G80" t="e">
        <f ca="1">IMAGE("https://heavenlyouthouse.com/cdn/shop/files/watercolor-landscape-blank-card1_300x300.jpg?v=1692033915")</f>
        <v>#NAME?</v>
      </c>
      <c r="H80" t="e">
        <f ca="1">IMAGE("https://m.media-amazon.com/images/I/81n1hSc0FLL._AC_UL320_.jpg")</f>
        <v>#NAME?</v>
      </c>
      <c r="I80" t="s">
        <v>92</v>
      </c>
      <c r="J80">
        <v>16.97</v>
      </c>
      <c r="K80" s="2" t="s">
        <v>334</v>
      </c>
      <c r="L80">
        <v>4.8</v>
      </c>
      <c r="M80">
        <v>401</v>
      </c>
      <c r="O80" t="s">
        <v>39</v>
      </c>
      <c r="P80" t="s">
        <v>39</v>
      </c>
      <c r="Q80" t="s">
        <v>94</v>
      </c>
    </row>
    <row r="81" spans="1:17" ht="15.75" x14ac:dyDescent="0.25">
      <c r="A81" s="3" t="str">
        <f>HYPERLINK("https://heavenlyouthouse.com/products/thymes-frasier-fir-pine-needle-candle-set", "https://heavenlyouthouse.com/products/thymes-frasier-fir-pine-needle-candle-set")</f>
        <v>https://heavenlyouthouse.com/products/thymes-frasier-fir-pine-needle-candle-set</v>
      </c>
      <c r="B81" s="3" t="str">
        <f>HYPERLINK("https://heavenlyouthouse.com/products/thymes-frasier-fir-pine-needle-candle-set", "https://heavenlyouthouse.com/products/thymes-frasier-fir-pine-needle-candle-set")</f>
        <v>https://heavenlyouthouse.com/products/thymes-frasier-fir-pine-needle-candle-set</v>
      </c>
      <c r="C81" t="s">
        <v>335</v>
      </c>
      <c r="D81" t="s">
        <v>84</v>
      </c>
      <c r="E81" s="3"/>
      <c r="F81" t="s">
        <v>85</v>
      </c>
      <c r="G81" t="e">
        <f ca="1">IMAGE("https://heavenlyouthouse.com/cdn/shop/products/thymes-frasier-fir-pine-needle-candle-set.jpg?v=1661983035")</f>
        <v>#NAME?</v>
      </c>
      <c r="H81" t="e">
        <f ca="1">IMAGE("https://m.media-amazon.com/images/I/71+UQARiQhL._AC_UL320_.jpg")</f>
        <v>#NAME?</v>
      </c>
      <c r="I81" t="s">
        <v>336</v>
      </c>
      <c r="J81">
        <v>106</v>
      </c>
      <c r="K81" s="2" t="s">
        <v>337</v>
      </c>
      <c r="L81">
        <v>4.4000000000000004</v>
      </c>
      <c r="M81">
        <v>46</v>
      </c>
      <c r="O81" t="s">
        <v>39</v>
      </c>
      <c r="P81" t="s">
        <v>39</v>
      </c>
      <c r="Q81" t="s">
        <v>338</v>
      </c>
    </row>
    <row r="82" spans="1:17" ht="15.75" x14ac:dyDescent="0.25">
      <c r="A82" s="3" t="str">
        <f>HYPERLINK("https://heavenlyouthouse.com/products/thymes-frasier-fir-pine-needle-candle-set", "https://heavenlyouthouse.com/products/thymes-frasier-fir-pine-needle-candle-set")</f>
        <v>https://heavenlyouthouse.com/products/thymes-frasier-fir-pine-needle-candle-set</v>
      </c>
      <c r="B82" s="3" t="str">
        <f>HYPERLINK("https://heavenlyouthouse.com/products/thymes-frasier-fir-pine-needle-candle-set", "https://heavenlyouthouse.com/products/thymes-frasier-fir-pine-needle-candle-set")</f>
        <v>https://heavenlyouthouse.com/products/thymes-frasier-fir-pine-needle-candle-set</v>
      </c>
      <c r="C82" t="s">
        <v>335</v>
      </c>
      <c r="D82" t="s">
        <v>84</v>
      </c>
      <c r="E82" s="3" t="str">
        <f>HYPERLINK("https://www.amazon.com/Thymes-Frasier-Limited-4-Wick-Statement/dp/B01KIH4XCA/ref=sr_1_9?keywords=Thymes+Frasier+Fir+Pine+Needle+Candle+Set&amp;qid=1695258733&amp;sr=8-9", "https://www.amazon.com/Thymes-Frasier-Limited-4-Wick-Statement/dp/B01KIH4XCA/ref=sr_1_9?keywords=Thymes+Frasier+Fir+Pine+Needle+Candle+Set&amp;qid=1695258733&amp;sr=8-9")</f>
        <v>https://www.amazon.com/Thymes-Frasier-Limited-4-Wick-Statement/dp/B01KIH4XCA/ref=sr_1_9?keywords=Thymes+Frasier+Fir+Pine+Needle+Candle+Set&amp;qid=1695258733&amp;sr=8-9</v>
      </c>
      <c r="F82" t="s">
        <v>85</v>
      </c>
      <c r="G82" t="e">
        <f ca="1">IMAGE("https://heavenlyouthouse.com/cdn/shop/products/thymes-frasier-fir-pine-needle-candle-set.jpg?v=1661983035")</f>
        <v>#NAME?</v>
      </c>
      <c r="H82" t="e">
        <f ca="1">IMAGE("https://m.media-amazon.com/images/I/71+UQARiQhL._AC_UL320_.jpg")</f>
        <v>#NAME?</v>
      </c>
      <c r="I82" t="s">
        <v>336</v>
      </c>
      <c r="J82">
        <v>106</v>
      </c>
      <c r="K82" s="2" t="s">
        <v>337</v>
      </c>
      <c r="L82">
        <v>4.4000000000000004</v>
      </c>
      <c r="M82">
        <v>46</v>
      </c>
      <c r="O82" t="s">
        <v>39</v>
      </c>
      <c r="P82" t="s">
        <v>39</v>
      </c>
      <c r="Q82" t="s">
        <v>338</v>
      </c>
    </row>
    <row r="83" spans="1:17" ht="15.75" x14ac:dyDescent="0.25">
      <c r="A83" s="3" t="str">
        <f>HYPERLINK("https://heavenlyouthouse.com/products/thymes-frasier-fir-car-diffuser-refill", "https://heavenlyouthouse.com/products/thymes-frasier-fir-car-diffuser-refill")</f>
        <v>https://heavenlyouthouse.com/products/thymes-frasier-fir-car-diffuser-refill</v>
      </c>
      <c r="B83" s="3" t="str">
        <f>HYPERLINK("https://heavenlyouthouse.com/products/thymes-frasier-fir-car-diffuser-refill", "https://heavenlyouthouse.com/products/thymes-frasier-fir-car-diffuser-refill")</f>
        <v>https://heavenlyouthouse.com/products/thymes-frasier-fir-car-diffuser-refill</v>
      </c>
      <c r="C83" t="s">
        <v>95</v>
      </c>
      <c r="D83" t="s">
        <v>339</v>
      </c>
      <c r="E83" s="3" t="str">
        <f>HYPERLINK("https://www.amazon.com/Thymes-Frasier-Smart-Diffuser-Refills/dp/B0BWC7VMG5/ref=sr_1_4?keywords=Thymes+Frasier+Fir+Car+Diffuser+Refill&amp;qid=1695258724&amp;sr=8-4", "https://www.amazon.com/Thymes-Frasier-Smart-Diffuser-Refills/dp/B0BWC7VMG5/ref=sr_1_4?keywords=Thymes+Frasier+Fir+Car+Diffuser+Refill&amp;qid=1695258724&amp;sr=8-4")</f>
        <v>https://www.amazon.com/Thymes-Frasier-Smart-Diffuser-Refills/dp/B0BWC7VMG5/ref=sr_1_4?keywords=Thymes+Frasier+Fir+Car+Diffuser+Refill&amp;qid=1695258724&amp;sr=8-4</v>
      </c>
      <c r="F83" t="s">
        <v>340</v>
      </c>
      <c r="G83" t="e">
        <f ca="1">IMAGE("https://heavenlyouthouse.com/cdn/shop/products/Thymes-frasier-fir-car-diffuser-refill.jpg?v=1662136027")</f>
        <v>#NAME?</v>
      </c>
      <c r="H83" t="e">
        <f ca="1">IMAGE("https://m.media-amazon.com/images/I/719X51fg5uL._AC_UL320_.jpg")</f>
        <v>#NAME?</v>
      </c>
      <c r="I83" t="s">
        <v>98</v>
      </c>
      <c r="J83">
        <v>40</v>
      </c>
      <c r="K83" s="2" t="s">
        <v>341</v>
      </c>
      <c r="L83">
        <v>4.2</v>
      </c>
      <c r="M83">
        <v>234</v>
      </c>
      <c r="O83" t="s">
        <v>39</v>
      </c>
      <c r="P83" t="s">
        <v>100</v>
      </c>
      <c r="Q83" t="s">
        <v>101</v>
      </c>
    </row>
    <row r="84" spans="1:17" ht="15.75" x14ac:dyDescent="0.25">
      <c r="A84" s="3" t="str">
        <f>HYPERLINK("https://heavenlyouthouse.com/products/pumpkin-soap", "https://heavenlyouthouse.com/products/pumpkin-soap")</f>
        <v>https://heavenlyouthouse.com/products/pumpkin-soap</v>
      </c>
      <c r="B84" s="3" t="str">
        <f>HYPERLINK("https://heavenlyouthouse.com/products/pumpkin-soap", "https://heavenlyouthouse.com/products/pumpkin-soap")</f>
        <v>https://heavenlyouthouse.com/products/pumpkin-soap</v>
      </c>
      <c r="C84" t="s">
        <v>157</v>
      </c>
      <c r="D84" t="s">
        <v>342</v>
      </c>
      <c r="E84" s="3" t="str">
        <f>HYPERLINK("https://www.amazon.com/Bath-Body-Works-Cinnamon-Pumpkin/dp/B0BJ4VZQGS/ref=sr_1_1?keywords=Pumpkin+Soap&amp;qid=1695258671&amp;sr=8-1", "https://www.amazon.com/Bath-Body-Works-Cinnamon-Pumpkin/dp/B0BJ4VZQGS/ref=sr_1_1?keywords=Pumpkin+Soap&amp;qid=1695258671&amp;sr=8-1")</f>
        <v>https://www.amazon.com/Bath-Body-Works-Cinnamon-Pumpkin/dp/B0BJ4VZQGS/ref=sr_1_1?keywords=Pumpkin+Soap&amp;qid=1695258671&amp;sr=8-1</v>
      </c>
      <c r="F84" t="s">
        <v>343</v>
      </c>
      <c r="G84" t="e">
        <f ca="1">IMAGE("https://heavenlyouthouse.com/cdn/shop/products/Pumpkin_Bar-Soap_2048_2000x_6b1d5e1f-2b42-45d8-85e4-bc5e350eb2be.jpg?v=1586787951")</f>
        <v>#NAME?</v>
      </c>
      <c r="H84" t="e">
        <f ca="1">IMAGE("https://m.media-amazon.com/images/I/71VHdhliebL._AC_UL320_.jpg")</f>
        <v>#NAME?</v>
      </c>
      <c r="I84" t="s">
        <v>92</v>
      </c>
      <c r="J84">
        <v>16.23</v>
      </c>
      <c r="K84" s="2" t="s">
        <v>344</v>
      </c>
      <c r="L84">
        <v>4.5999999999999996</v>
      </c>
      <c r="M84">
        <v>15388</v>
      </c>
      <c r="O84" t="s">
        <v>39</v>
      </c>
      <c r="P84" t="s">
        <v>39</v>
      </c>
      <c r="Q84" t="s">
        <v>161</v>
      </c>
    </row>
    <row r="85" spans="1:17" ht="15.75" x14ac:dyDescent="0.25">
      <c r="A85" s="3" t="str">
        <f>HYPERLINK("https://heavenlyouthouse.com/products/succulents-thank-you-card", "https://heavenlyouthouse.com/products/succulents-thank-you-card")</f>
        <v>https://heavenlyouthouse.com/products/succulents-thank-you-card</v>
      </c>
      <c r="B85" s="3" t="str">
        <f>HYPERLINK("https://heavenlyouthouse.com/products/succulents-thank-you-card", "https://heavenlyouthouse.com/products/succulents-thank-you-card")</f>
        <v>https://heavenlyouthouse.com/products/succulents-thank-you-card</v>
      </c>
      <c r="C85" t="s">
        <v>102</v>
      </c>
      <c r="D85" t="s">
        <v>345</v>
      </c>
      <c r="E85" s="3" t="str">
        <f>HYPERLINK("https://www.amazon.com/Hallmark-Assortment-Cactus-Envelopes-5STZ1086/dp/B08XWTWY27/ref=sr_1_9?keywords=Succulents+Thank+You+Card&amp;qid=1695258709&amp;sr=8-9", "https://www.amazon.com/Hallmark-Assortment-Cactus-Envelopes-5STZ1086/dp/B08XWTWY27/ref=sr_1_9?keywords=Succulents+Thank+You+Card&amp;qid=1695258709&amp;sr=8-9")</f>
        <v>https://www.amazon.com/Hallmark-Assortment-Cactus-Envelopes-5STZ1086/dp/B08XWTWY27/ref=sr_1_9?keywords=Succulents+Thank+You+Card&amp;qid=1695258709&amp;sr=8-9</v>
      </c>
      <c r="F85" t="s">
        <v>346</v>
      </c>
      <c r="G85" t="e">
        <f ca="1">IMAGE("https://heavenlyouthouse.com/cdn/shop/products/thankyou-cactus.jpg?v=1600890223")</f>
        <v>#NAME?</v>
      </c>
      <c r="H85" t="e">
        <f ca="1">IMAGE("https://m.media-amazon.com/images/I/91MFu9eNVFL._AC_UL320_.jpg")</f>
        <v>#NAME?</v>
      </c>
      <c r="I85" t="s">
        <v>105</v>
      </c>
      <c r="J85">
        <v>11.99</v>
      </c>
      <c r="K85" s="2" t="s">
        <v>347</v>
      </c>
      <c r="L85">
        <v>4.8</v>
      </c>
      <c r="M85">
        <v>900</v>
      </c>
      <c r="O85" t="s">
        <v>39</v>
      </c>
      <c r="P85" t="s">
        <v>39</v>
      </c>
      <c r="Q85" t="s">
        <v>107</v>
      </c>
    </row>
    <row r="86" spans="1:17" ht="15.75" x14ac:dyDescent="0.25">
      <c r="A86" s="3" t="str">
        <f>HYPERLINK("https://heavenlyouthouse.com/products/succulents-thank-you-card", "https://heavenlyouthouse.com/products/succulents-thank-you-card")</f>
        <v>https://heavenlyouthouse.com/products/succulents-thank-you-card</v>
      </c>
      <c r="B86" s="3" t="str">
        <f>HYPERLINK("https://heavenlyouthouse.com/products/succulents-thank-you-card", "https://heavenlyouthouse.com/products/succulents-thank-you-card")</f>
        <v>https://heavenlyouthouse.com/products/succulents-thank-you-card</v>
      </c>
      <c r="C86" t="s">
        <v>102</v>
      </c>
      <c r="D86" t="s">
        <v>348</v>
      </c>
      <c r="E86" s="3" t="str">
        <f>HYPERLINK("https://www.amazon.com/Paper-Master-Succulent-Watercolor-Graduation/dp/B09MYKRV3H/ref=sr_1_2?keywords=Succulents+Thank+You+Card&amp;qid=1695258709&amp;sr=8-2", "https://www.amazon.com/Paper-Master-Succulent-Watercolor-Graduation/dp/B09MYKRV3H/ref=sr_1_2?keywords=Succulents+Thank+You+Card&amp;qid=1695258709&amp;sr=8-2")</f>
        <v>https://www.amazon.com/Paper-Master-Succulent-Watercolor-Graduation/dp/B09MYKRV3H/ref=sr_1_2?keywords=Succulents+Thank+You+Card&amp;qid=1695258709&amp;sr=8-2</v>
      </c>
      <c r="F86" t="s">
        <v>349</v>
      </c>
      <c r="G86" t="e">
        <f ca="1">IMAGE("https://heavenlyouthouse.com/cdn/shop/products/thankyou-cactus.jpg?v=1600890223")</f>
        <v>#NAME?</v>
      </c>
      <c r="H86" t="e">
        <f ca="1">IMAGE("https://m.media-amazon.com/images/I/71vzBfGMnCL._AC_UL320_.jpg")</f>
        <v>#NAME?</v>
      </c>
      <c r="I86" t="s">
        <v>105</v>
      </c>
      <c r="J86">
        <v>11.99</v>
      </c>
      <c r="K86" s="2" t="s">
        <v>347</v>
      </c>
      <c r="L86">
        <v>4.7</v>
      </c>
      <c r="M86">
        <v>46</v>
      </c>
      <c r="O86" t="s">
        <v>39</v>
      </c>
      <c r="P86" t="s">
        <v>39</v>
      </c>
      <c r="Q86" t="s">
        <v>107</v>
      </c>
    </row>
    <row r="87" spans="1:17" ht="15.75" x14ac:dyDescent="0.25">
      <c r="A87" s="3" t="str">
        <f>HYPERLINK("https://heavenlyouthouse.com/products/your-moment-card", "https://heavenlyouthouse.com/products/your-moment-card")</f>
        <v>https://heavenlyouthouse.com/products/your-moment-card</v>
      </c>
      <c r="B87" s="3" t="str">
        <f>HYPERLINK("https://heavenlyouthouse.com/products/your-moment-card", "https://heavenlyouthouse.com/products/your-moment-card")</f>
        <v>https://heavenlyouthouse.com/products/your-moment-card</v>
      </c>
      <c r="C87" t="s">
        <v>350</v>
      </c>
      <c r="D87" t="s">
        <v>351</v>
      </c>
      <c r="E87" s="3" t="str">
        <f>HYPERLINK("https://www.amazon.com/Best-Card-Company-Condolences-AM9154SMG-B1x10/dp/B08FLHZFDB/ref=sr_1_6?keywords=Your+Moment+Card&amp;qid=1695258833&amp;sr=8-6", "https://www.amazon.com/Best-Card-Company-Condolences-AM9154SMG-B1x10/dp/B08FLHZFDB/ref=sr_1_6?keywords=Your+Moment+Card&amp;qid=1695258833&amp;sr=8-6")</f>
        <v>https://www.amazon.com/Best-Card-Company-Condolences-AM9154SMG-B1x10/dp/B08FLHZFDB/ref=sr_1_6?keywords=Your+Moment+Card&amp;qid=1695258833&amp;sr=8-6</v>
      </c>
      <c r="F87" t="s">
        <v>352</v>
      </c>
      <c r="G87" t="e">
        <f ca="1">IMAGE("https://heavenlyouthouse.com/cdn/shop/products/congrats.jpg?v=1600889342")</f>
        <v>#NAME?</v>
      </c>
      <c r="H87" t="e">
        <f ca="1">IMAGE("https://m.media-amazon.com/images/I/71TnNHICsIL._AC_UL320_.jpg")</f>
        <v>#NAME?</v>
      </c>
      <c r="I87" t="s">
        <v>105</v>
      </c>
      <c r="J87">
        <v>11.98</v>
      </c>
      <c r="K87" s="2" t="s">
        <v>353</v>
      </c>
      <c r="L87">
        <v>4.5999999999999996</v>
      </c>
      <c r="M87">
        <v>221</v>
      </c>
      <c r="O87" t="s">
        <v>39</v>
      </c>
      <c r="P87" t="s">
        <v>39</v>
      </c>
      <c r="Q87" t="s">
        <v>354</v>
      </c>
    </row>
    <row r="88" spans="1:17" ht="15.75" x14ac:dyDescent="0.25">
      <c r="A88" s="3" t="str">
        <f>HYPERLINK("https://heavenlyouthouse.com/products/pumpkin-soap", "https://heavenlyouthouse.com/products/pumpkin-soap")</f>
        <v>https://heavenlyouthouse.com/products/pumpkin-soap</v>
      </c>
      <c r="B88" s="3" t="str">
        <f>HYPERLINK("https://heavenlyouthouse.com/products/pumpkin-soap", "https://heavenlyouthouse.com/products/pumpkin-soap")</f>
        <v>https://heavenlyouthouse.com/products/pumpkin-soap</v>
      </c>
      <c r="C88" t="s">
        <v>157</v>
      </c>
      <c r="D88" t="s">
        <v>355</v>
      </c>
      <c r="E88" s="3" t="str">
        <f>HYPERLINK("https://www.amazon.com/Bath-Body-Works-Pumpkin-Waffles/dp/B09QXNV35X/ref=sr_1_4?keywords=Pumpkin+Soap&amp;qid=1695258671&amp;sr=8-4", "https://www.amazon.com/Bath-Body-Works-Pumpkin-Waffles/dp/B09QXNV35X/ref=sr_1_4?keywords=Pumpkin+Soap&amp;qid=1695258671&amp;sr=8-4")</f>
        <v>https://www.amazon.com/Bath-Body-Works-Pumpkin-Waffles/dp/B09QXNV35X/ref=sr_1_4?keywords=Pumpkin+Soap&amp;qid=1695258671&amp;sr=8-4</v>
      </c>
      <c r="F88" t="s">
        <v>356</v>
      </c>
      <c r="G88" t="e">
        <f ca="1">IMAGE("https://heavenlyouthouse.com/cdn/shop/products/Pumpkin_Bar-Soap_2048_2000x_6b1d5e1f-2b42-45d8-85e4-bc5e350eb2be.jpg?v=1586787951")</f>
        <v>#NAME?</v>
      </c>
      <c r="H88" t="e">
        <f ca="1">IMAGE("https://m.media-amazon.com/images/I/71OEB+pnFhL._AC_UL320_.jpg")</f>
        <v>#NAME?</v>
      </c>
      <c r="I88" t="s">
        <v>92</v>
      </c>
      <c r="J88">
        <v>16</v>
      </c>
      <c r="K88" s="2" t="s">
        <v>353</v>
      </c>
      <c r="L88">
        <v>4.8</v>
      </c>
      <c r="M88">
        <v>19</v>
      </c>
      <c r="O88" t="s">
        <v>39</v>
      </c>
      <c r="P88" t="s">
        <v>39</v>
      </c>
      <c r="Q88" t="s">
        <v>161</v>
      </c>
    </row>
    <row r="89" spans="1:17" ht="15.75" x14ac:dyDescent="0.25">
      <c r="A89" s="3" t="str">
        <f>HYPERLINK("https://heavenlyouthouse.com/products/watercolor-landscape-blank-card", "https://heavenlyouthouse.com/products/watercolor-landscape-blank-card")</f>
        <v>https://heavenlyouthouse.com/products/watercolor-landscape-blank-card</v>
      </c>
      <c r="B89" s="3" t="str">
        <f>HYPERLINK("https://heavenlyouthouse.com/products/watercolor-landscape-blank-card", "https://heavenlyouthouse.com/products/watercolor-landscape-blank-card")</f>
        <v>https://heavenlyouthouse.com/products/watercolor-landscape-blank-card</v>
      </c>
      <c r="C89" t="s">
        <v>89</v>
      </c>
      <c r="D89" t="s">
        <v>357</v>
      </c>
      <c r="E89" s="3" t="str">
        <f>HYPERLINK("https://www.amazon.com/Lovely-Landscape-Greeting-Cards-Envelopes/dp/B0CFRHXTRD/ref=sr_1_5?keywords=Watercolor+Landscape+Blank+Card&amp;qid=1695258835&amp;sr=8-5", "https://www.amazon.com/Lovely-Landscape-Greeting-Cards-Envelopes/dp/B0CFRHXTRD/ref=sr_1_5?keywords=Watercolor+Landscape+Blank+Card&amp;qid=1695258835&amp;sr=8-5")</f>
        <v>https://www.amazon.com/Lovely-Landscape-Greeting-Cards-Envelopes/dp/B0CFRHXTRD/ref=sr_1_5?keywords=Watercolor+Landscape+Blank+Card&amp;qid=1695258835&amp;sr=8-5</v>
      </c>
      <c r="F89" t="s">
        <v>358</v>
      </c>
      <c r="G89" t="e">
        <f ca="1">IMAGE("https://heavenlyouthouse.com/cdn/shop/files/watercolor-landscape-blank-card1_300x300.jpg?v=1692033915")</f>
        <v>#NAME?</v>
      </c>
      <c r="H89" t="e">
        <f ca="1">IMAGE("https://m.media-amazon.com/images/I/A1KWyyophbL._AC_UL320_.jpg")</f>
        <v>#NAME?</v>
      </c>
      <c r="I89" t="s">
        <v>92</v>
      </c>
      <c r="J89">
        <v>15.95</v>
      </c>
      <c r="K89" s="2" t="s">
        <v>353</v>
      </c>
      <c r="L89">
        <v>3.9</v>
      </c>
      <c r="M89">
        <v>14</v>
      </c>
      <c r="O89" t="s">
        <v>39</v>
      </c>
      <c r="P89" t="s">
        <v>39</v>
      </c>
      <c r="Q89" t="s">
        <v>94</v>
      </c>
    </row>
    <row r="90" spans="1:17" ht="15.75" x14ac:dyDescent="0.25">
      <c r="A90" s="3" t="str">
        <f>HYPERLINK("https://heavenlyouthouse.com/products/poo-pourri-tropical-hibiscus-toilet-spray", "https://heavenlyouthouse.com/products/poo-pourri-tropical-hibiscus-toilet-spray")</f>
        <v>https://heavenlyouthouse.com/products/poo-pourri-tropical-hibiscus-toilet-spray</v>
      </c>
      <c r="B90" s="3" t="str">
        <f>HYPERLINK("https://heavenlyouthouse.com/products/poo-pourri-tropical-hibiscus-toilet-spray", "https://heavenlyouthouse.com/products/poo-pourri-tropical-hibiscus-toilet-spray")</f>
        <v>https://heavenlyouthouse.com/products/poo-pourri-tropical-hibiscus-toilet-spray</v>
      </c>
      <c r="C90" t="s">
        <v>359</v>
      </c>
      <c r="D90" t="s">
        <v>360</v>
      </c>
      <c r="E90" s="3" t="str">
        <f>HYPERLINK("https://www.amazon.com/Poo-Pourri-Before-You-Go-Toilet-Tropical-Hibiscus/dp/B06XX81D7R/ref=sr_1_4?keywords=Poo-Pourri+Tropical+Hibiscus+Toilet+Spray&amp;qid=1695258646&amp;sr=8-4", "https://www.amazon.com/Poo-Pourri-Before-You-Go-Toilet-Tropical-Hibiscus/dp/B06XX81D7R/ref=sr_1_4?keywords=Poo-Pourri+Tropical+Hibiscus+Toilet+Spray&amp;qid=1695258646&amp;sr=8-4")</f>
        <v>https://www.amazon.com/Poo-Pourri-Before-You-Go-Toilet-Tropical-Hibiscus/dp/B06XX81D7R/ref=sr_1_4?keywords=Poo-Pourri+Tropical+Hibiscus+Toilet+Spray&amp;qid=1695258646&amp;sr=8-4</v>
      </c>
      <c r="F90" t="s">
        <v>361</v>
      </c>
      <c r="G90" t="e">
        <f ca="1">IMAGE("https://heavenlyouthouse.com/cdn/shop/products/Poo-pourritripicalhibiscustoiletbathroomspray2.jpg?v=1621617341")</f>
        <v>#NAME?</v>
      </c>
      <c r="H90" t="e">
        <f ca="1">IMAGE("https://m.media-amazon.com/images/I/81X2YxV7TWL._AC_UL320_.jpg")</f>
        <v>#NAME?</v>
      </c>
      <c r="I90" t="s">
        <v>362</v>
      </c>
      <c r="J90">
        <v>29.99</v>
      </c>
      <c r="K90" s="2" t="s">
        <v>353</v>
      </c>
      <c r="L90">
        <v>4.8</v>
      </c>
      <c r="M90">
        <v>1726</v>
      </c>
      <c r="O90" t="s">
        <v>39</v>
      </c>
      <c r="P90" t="s">
        <v>363</v>
      </c>
      <c r="Q90" t="s">
        <v>364</v>
      </c>
    </row>
    <row r="91" spans="1:17" ht="15.75" x14ac:dyDescent="0.25">
      <c r="A91" s="3" t="str">
        <f>HYPERLINK("https://heavenlyouthouse.com/products/poo-pourri-tropical-hibiscus-toilet-spray", "https://heavenlyouthouse.com/products/poo-pourri-tropical-hibiscus-toilet-spray")</f>
        <v>https://heavenlyouthouse.com/products/poo-pourri-tropical-hibiscus-toilet-spray</v>
      </c>
      <c r="B91" s="3" t="str">
        <f>HYPERLINK("https://heavenlyouthouse.com/products/poo-pourri-tropical-hibiscus-toilet-spray", "https://heavenlyouthouse.com/products/poo-pourri-tropical-hibiscus-toilet-spray")</f>
        <v>https://heavenlyouthouse.com/products/poo-pourri-tropical-hibiscus-toilet-spray</v>
      </c>
      <c r="C91" t="s">
        <v>359</v>
      </c>
      <c r="D91" t="s">
        <v>365</v>
      </c>
      <c r="E91" s="3" t="str">
        <f>HYPERLINK("https://www.amazon.com/Poo-Pourri-Before-You-Go-16-Ounce-Tropical-Hibiscus/dp/B076TCVZW2/ref=sr_1_6?keywords=Poo-Pourri+Tropical+Hibiscus+Toilet+Spray&amp;qid=1695258646&amp;sr=8-6", "https://www.amazon.com/Poo-Pourri-Before-You-Go-16-Ounce-Tropical-Hibiscus/dp/B076TCVZW2/ref=sr_1_6?keywords=Poo-Pourri+Tropical+Hibiscus+Toilet+Spray&amp;qid=1695258646&amp;sr=8-6")</f>
        <v>https://www.amazon.com/Poo-Pourri-Before-You-Go-16-Ounce-Tropical-Hibiscus/dp/B076TCVZW2/ref=sr_1_6?keywords=Poo-Pourri+Tropical+Hibiscus+Toilet+Spray&amp;qid=1695258646&amp;sr=8-6</v>
      </c>
      <c r="F91" t="s">
        <v>366</v>
      </c>
      <c r="G91" t="e">
        <f ca="1">IMAGE("https://heavenlyouthouse.com/cdn/shop/products/Poo-pourritripicalhibiscustoiletbathroomspray2.jpg?v=1621617341")</f>
        <v>#NAME?</v>
      </c>
      <c r="H91" t="e">
        <f ca="1">IMAGE("https://m.media-amazon.com/images/I/81xrePRaw1L._AC_UL320_.jpg")</f>
        <v>#NAME?</v>
      </c>
      <c r="I91" t="s">
        <v>362</v>
      </c>
      <c r="J91">
        <v>29.99</v>
      </c>
      <c r="K91" s="2" t="s">
        <v>353</v>
      </c>
      <c r="L91">
        <v>4.8</v>
      </c>
      <c r="M91">
        <v>2497</v>
      </c>
      <c r="O91" t="s">
        <v>39</v>
      </c>
      <c r="P91" t="s">
        <v>363</v>
      </c>
      <c r="Q91" t="s">
        <v>364</v>
      </c>
    </row>
    <row r="92" spans="1:17" ht="15.75" x14ac:dyDescent="0.25">
      <c r="A92" s="3" t="str">
        <f>HYPERLINK("https://heavenlyouthouse.com/products/thymes-frasier-fir-votive-candle-set", "https://heavenlyouthouse.com/products/thymes-frasier-fir-votive-candle-set")</f>
        <v>https://heavenlyouthouse.com/products/thymes-frasier-fir-votive-candle-set</v>
      </c>
      <c r="B92" s="3" t="str">
        <f>HYPERLINK("https://heavenlyouthouse.com/products/thymes-frasier-fir-votive-candle-set", "https://heavenlyouthouse.com/products/thymes-frasier-fir-votive-candle-set")</f>
        <v>https://heavenlyouthouse.com/products/thymes-frasier-fir-votive-candle-set</v>
      </c>
      <c r="C92" t="s">
        <v>285</v>
      </c>
      <c r="D92" t="s">
        <v>326</v>
      </c>
      <c r="E92" s="3" t="str">
        <f>HYPERLINK("https://www.amazon.com/Thymes-Heritage-3-Wick-Candle-Fragrance/dp/B001LF4DVU/ref=sr_1_5?keywords=Thymes+Frasier+Fir+Votive+Candle+3+Pack&amp;qid=1695258743&amp;sr=8-5", "https://www.amazon.com/Thymes-Heritage-3-Wick-Candle-Fragrance/dp/B001LF4DVU/ref=sr_1_5?keywords=Thymes+Frasier+Fir+Votive+Candle+3+Pack&amp;qid=1695258743&amp;sr=8-5")</f>
        <v>https://www.amazon.com/Thymes-Heritage-3-Wick-Candle-Fragrance/dp/B001LF4DVU/ref=sr_1_5?keywords=Thymes+Frasier+Fir+Votive+Candle+3+Pack&amp;qid=1695258743&amp;sr=8-5</v>
      </c>
      <c r="F92" t="s">
        <v>327</v>
      </c>
      <c r="G92" t="e">
        <f ca="1">IMAGE("https://heavenlyouthouse.com/cdn/shop/products/thymes-Frasier-Fir-votive-candle-set.jpg?v=1640187779")</f>
        <v>#NAME?</v>
      </c>
      <c r="H92" t="e">
        <f ca="1">IMAGE("https://m.media-amazon.com/images/I/717qxzPH-0L._AC_UL320_.jpg")</f>
        <v>#NAME?</v>
      </c>
      <c r="I92" t="s">
        <v>286</v>
      </c>
      <c r="J92">
        <v>60</v>
      </c>
      <c r="K92" s="2" t="s">
        <v>367</v>
      </c>
      <c r="L92">
        <v>4.5999999999999996</v>
      </c>
      <c r="M92">
        <v>355</v>
      </c>
      <c r="O92" t="s">
        <v>39</v>
      </c>
      <c r="P92" t="s">
        <v>288</v>
      </c>
      <c r="Q92" t="s">
        <v>289</v>
      </c>
    </row>
    <row r="93" spans="1:17" ht="15.75" x14ac:dyDescent="0.25">
      <c r="A93" s="3" t="str">
        <f>HYPERLINK("https://heavenlyouthouse.com/products/vanilla-coconut-butter", "https://heavenlyouthouse.com/products/vanilla-coconut-butter")</f>
        <v>https://heavenlyouthouse.com/products/vanilla-coconut-butter</v>
      </c>
      <c r="B93" s="3" t="str">
        <f>HYPERLINK("https://heavenlyouthouse.com/products/vanilla-coconut-butter", "https://heavenlyouthouse.com/products/vanilla-coconut-butter")</f>
        <v>https://heavenlyouthouse.com/products/vanilla-coconut-butter</v>
      </c>
      <c r="C93" t="s">
        <v>309</v>
      </c>
      <c r="D93" t="s">
        <v>368</v>
      </c>
      <c r="E93" s="3" t="str">
        <f>HYPERLINK("https://www.amazon.com/Kopari-Organic-Tahitian-Moisturizer-Unrefined/dp/B09QPK2322/ref=sr_1_1?keywords=Vanilla+Coconut+Body+Butter&amp;qid=1695258804&amp;sr=8-1", "https://www.amazon.com/Kopari-Organic-Tahitian-Moisturizer-Unrefined/dp/B09QPK2322/ref=sr_1_1?keywords=Vanilla+Coconut+Body+Butter&amp;qid=1695258804&amp;sr=8-1")</f>
        <v>https://www.amazon.com/Kopari-Organic-Tahitian-Moisturizer-Unrefined/dp/B09QPK2322/ref=sr_1_1?keywords=Vanilla+Coconut+Body+Butter&amp;qid=1695258804&amp;sr=8-1</v>
      </c>
      <c r="F93" t="s">
        <v>369</v>
      </c>
      <c r="G93" t="e">
        <f ca="1">IMAGE("https://heavenlyouthouse.com/cdn/shop/products/vanilla-coconut-body-butter_2000x_5ad751a5-f997-4412-b034-d7b35819d9d9.jpg?v=1588193267")</f>
        <v>#NAME?</v>
      </c>
      <c r="H93" t="e">
        <f ca="1">IMAGE("https://m.media-amazon.com/images/I/71LfPLF5WqL._AC_UL320_.jpg")</f>
        <v>#NAME?</v>
      </c>
      <c r="I93" t="s">
        <v>233</v>
      </c>
      <c r="J93">
        <v>32</v>
      </c>
      <c r="K93" s="2" t="s">
        <v>367</v>
      </c>
      <c r="L93">
        <v>4.4000000000000004</v>
      </c>
      <c r="M93">
        <v>352</v>
      </c>
      <c r="O93" t="s">
        <v>39</v>
      </c>
      <c r="P93" t="s">
        <v>39</v>
      </c>
      <c r="Q93" t="s">
        <v>313</v>
      </c>
    </row>
    <row r="94" spans="1:17" ht="15.75" x14ac:dyDescent="0.25">
      <c r="A94" s="3" t="str">
        <f>HYPERLINK("https://heavenlyouthouse.com/products/pumice-stone", "https://heavenlyouthouse.com/products/pumice-stone")</f>
        <v>https://heavenlyouthouse.com/products/pumice-stone</v>
      </c>
      <c r="B94" s="3" t="str">
        <f>HYPERLINK("https://heavenlyouthouse.com/products/pumice-stone", "https://heavenlyouthouse.com/products/pumice-stone")</f>
        <v>https://heavenlyouthouse.com/products/pumice-stone</v>
      </c>
      <c r="C94" t="s">
        <v>213</v>
      </c>
      <c r="D94" t="s">
        <v>370</v>
      </c>
      <c r="E94" s="3" t="str">
        <f>HYPERLINK("https://www.amazon.com/Cleaning-Scouring-Cleaner-Removing-Household/dp/B07V1YV9SY/ref=sr_1_8?keywords=Pumice+Stone&amp;qid=1695258677&amp;sr=8-8", "https://www.amazon.com/Cleaning-Scouring-Cleaner-Removing-Household/dp/B07V1YV9SY/ref=sr_1_8?keywords=Pumice+Stone&amp;qid=1695258677&amp;sr=8-8")</f>
        <v>https://www.amazon.com/Cleaning-Scouring-Cleaner-Removing-Household/dp/B07V1YV9SY/ref=sr_1_8?keywords=Pumice+Stone&amp;qid=1695258677&amp;sr=8-8</v>
      </c>
      <c r="F94" t="s">
        <v>371</v>
      </c>
      <c r="G94" t="e">
        <f ca="1">IMAGE("https://heavenlyouthouse.com/cdn/shop/products/Pumice-Stone_2048_2000x_ede24df3-a286-42b7-ba0b-778cf1147f6b.jpg?v=1587064261")</f>
        <v>#NAME?</v>
      </c>
      <c r="H94" t="e">
        <f ca="1">IMAGE("https://m.media-amazon.com/images/I/71dRV9p75xL._AC_UL320_.jpg")</f>
        <v>#NAME?</v>
      </c>
      <c r="I94" t="s">
        <v>216</v>
      </c>
      <c r="J94">
        <v>19.989999999999998</v>
      </c>
      <c r="K94" s="2" t="s">
        <v>367</v>
      </c>
      <c r="L94">
        <v>4.7</v>
      </c>
      <c r="M94">
        <v>2169</v>
      </c>
      <c r="O94" t="s">
        <v>39</v>
      </c>
      <c r="P94" t="s">
        <v>218</v>
      </c>
      <c r="Q94" t="s">
        <v>219</v>
      </c>
    </row>
    <row r="95" spans="1:17" ht="15.75" x14ac:dyDescent="0.25">
      <c r="A95" s="3" t="str">
        <f>HYPERLINK("https://heavenlyouthouse.com/products/pumice-stone", "https://heavenlyouthouse.com/products/pumice-stone")</f>
        <v>https://heavenlyouthouse.com/products/pumice-stone</v>
      </c>
      <c r="B95" s="3" t="str">
        <f>HYPERLINK("https://heavenlyouthouse.com/products/pumice-stone", "https://heavenlyouthouse.com/products/pumice-stone")</f>
        <v>https://heavenlyouthouse.com/products/pumice-stone</v>
      </c>
      <c r="C95" t="s">
        <v>213</v>
      </c>
      <c r="D95" t="s">
        <v>372</v>
      </c>
      <c r="E95" s="3" t="str">
        <f>HYPERLINK("https://www.amazon.com/Pack-Pumice-Stones-Cleaning-Household/dp/B07PV9ZZ8D/ref=sr_1_9?keywords=Pumice+Stone&amp;qid=1695258677&amp;sr=8-9", "https://www.amazon.com/Pack-Pumice-Stones-Cleaning-Household/dp/B07PV9ZZ8D/ref=sr_1_9?keywords=Pumice+Stone&amp;qid=1695258677&amp;sr=8-9")</f>
        <v>https://www.amazon.com/Pack-Pumice-Stones-Cleaning-Household/dp/B07PV9ZZ8D/ref=sr_1_9?keywords=Pumice+Stone&amp;qid=1695258677&amp;sr=8-9</v>
      </c>
      <c r="F95" t="s">
        <v>373</v>
      </c>
      <c r="G95" t="e">
        <f ca="1">IMAGE("https://heavenlyouthouse.com/cdn/shop/products/Pumice-Stone_2048_2000x_ede24df3-a286-42b7-ba0b-778cf1147f6b.jpg?v=1587064261")</f>
        <v>#NAME?</v>
      </c>
      <c r="H95" t="e">
        <f ca="1">IMAGE("https://m.media-amazon.com/images/I/91ASRDBtGlL._AC_UL320_.jpg")</f>
        <v>#NAME?</v>
      </c>
      <c r="I95" t="s">
        <v>216</v>
      </c>
      <c r="J95">
        <v>19.989999999999998</v>
      </c>
      <c r="K95" s="2" t="s">
        <v>367</v>
      </c>
      <c r="L95">
        <v>4.5999999999999996</v>
      </c>
      <c r="M95">
        <v>2402</v>
      </c>
      <c r="O95" t="s">
        <v>39</v>
      </c>
      <c r="P95" t="s">
        <v>218</v>
      </c>
      <c r="Q95" t="s">
        <v>219</v>
      </c>
    </row>
    <row r="96" spans="1:17" ht="15.75" x14ac:dyDescent="0.25">
      <c r="A96" s="3" t="str">
        <f>HYPERLINK("https://heavenlyouthouse.com/products/wonderful-holiday-season-christmas-card", "https://heavenlyouthouse.com/products/wonderful-holiday-season-christmas-card")</f>
        <v>https://heavenlyouthouse.com/products/wonderful-holiday-season-christmas-card</v>
      </c>
      <c r="B96" s="3" t="str">
        <f>HYPERLINK("https://heavenlyouthouse.com/products/wonderful-holiday-season-christmas-card", "https://heavenlyouthouse.com/products/wonderful-holiday-season-christmas-card")</f>
        <v>https://heavenlyouthouse.com/products/wonderful-holiday-season-christmas-card</v>
      </c>
      <c r="C96" t="s">
        <v>236</v>
      </c>
      <c r="D96" t="s">
        <v>374</v>
      </c>
      <c r="E96" s="3" t="str">
        <f>HYPERLINK("https://www.amazon.com/Snowflake-Season-Personalized-Christmas-Cards/dp/B01LXLK1QK/ref=sr_1_6?keywords=Wonderful+Holiday+Season+Christmas+Card&amp;qid=1695258831&amp;sr=8-6", "https://www.amazon.com/Snowflake-Season-Personalized-Christmas-Cards/dp/B01LXLK1QK/ref=sr_1_6?keywords=Wonderful+Holiday+Season+Christmas+Card&amp;qid=1695258831&amp;sr=8-6")</f>
        <v>https://www.amazon.com/Snowflake-Season-Personalized-Christmas-Cards/dp/B01LXLK1QK/ref=sr_1_6?keywords=Wonderful+Holiday+Season+Christmas+Card&amp;qid=1695258831&amp;sr=8-6</v>
      </c>
      <c r="F96" t="s">
        <v>375</v>
      </c>
      <c r="G96" t="e">
        <f ca="1">IMAGE("https://heavenlyouthouse.com/cdn/shop/files/https___images.salsify.com_image_upload_q_70_m0oje5tosgrfxhdy0xdb_300x300.jpg?v=1685404851")</f>
        <v>#NAME?</v>
      </c>
      <c r="H96" t="e">
        <f ca="1">IMAGE("https://m.media-amazon.com/images/I/515bjjS-E6L._AC_UL320_.jpg")</f>
        <v>#NAME?</v>
      </c>
      <c r="I96" t="s">
        <v>239</v>
      </c>
      <c r="J96">
        <v>14.99</v>
      </c>
      <c r="K96" s="2" t="s">
        <v>367</v>
      </c>
      <c r="L96">
        <v>4.5999999999999996</v>
      </c>
      <c r="M96">
        <v>13</v>
      </c>
      <c r="O96" t="s">
        <v>39</v>
      </c>
      <c r="P96" t="s">
        <v>39</v>
      </c>
      <c r="Q96" t="s">
        <v>241</v>
      </c>
    </row>
    <row r="97" spans="1:17" ht="15.75" x14ac:dyDescent="0.25">
      <c r="A97" s="3" t="str">
        <f>HYPERLINK("https://heavenlyouthouse.com/products/spearmint-soap", "https://heavenlyouthouse.com/products/spearmint-soap")</f>
        <v>https://heavenlyouthouse.com/products/spearmint-soap</v>
      </c>
      <c r="B97" s="3" t="str">
        <f>HYPERLINK("https://heavenlyouthouse.com/products/spearmint-soap", "https://heavenlyouthouse.com/products/spearmint-soap")</f>
        <v>https://heavenlyouthouse.com/products/spearmint-soap</v>
      </c>
      <c r="C97" t="s">
        <v>138</v>
      </c>
      <c r="D97" t="s">
        <v>376</v>
      </c>
      <c r="E97" s="3" t="str">
        <f>HYPERLINK("https://www.amazon.com/Bath-Body-Works-Eucalyptus-Spearmint/dp/B0B15ZH8N3/ref=sr_1_2?keywords=Spearmint+Soap&amp;qid=1695258707&amp;sr=8-2", "https://www.amazon.com/Bath-Body-Works-Eucalyptus-Spearmint/dp/B0B15ZH8N3/ref=sr_1_2?keywords=Spearmint+Soap&amp;qid=1695258707&amp;sr=8-2")</f>
        <v>https://www.amazon.com/Bath-Body-Works-Eucalyptus-Spearmint/dp/B0B15ZH8N3/ref=sr_1_2?keywords=Spearmint+Soap&amp;qid=1695258707&amp;sr=8-2</v>
      </c>
      <c r="F97" t="s">
        <v>377</v>
      </c>
      <c r="G97" t="e">
        <f ca="1">IMAGE("https://heavenlyouthouse.com/cdn/shop/products/Spearmint_Bar-Soap_2048_2000x_e9b0fb8d-7255-4bf8-bb50-9da0b59a1544.jpg?v=1586802582")</f>
        <v>#NAME?</v>
      </c>
      <c r="H97" t="e">
        <f ca="1">IMAGE("https://m.media-amazon.com/images/I/61yFk6itNKL._AC_UL320_.jpg")</f>
        <v>#NAME?</v>
      </c>
      <c r="I97" t="s">
        <v>92</v>
      </c>
      <c r="J97">
        <v>15.56</v>
      </c>
      <c r="K97" s="2" t="s">
        <v>378</v>
      </c>
      <c r="L97">
        <v>4.5999999999999996</v>
      </c>
      <c r="M97">
        <v>47</v>
      </c>
      <c r="O97" t="s">
        <v>39</v>
      </c>
      <c r="P97" t="s">
        <v>39</v>
      </c>
      <c r="Q97" t="s">
        <v>142</v>
      </c>
    </row>
    <row r="98" spans="1:17" ht="15.75" x14ac:dyDescent="0.25">
      <c r="A98" s="3" t="str">
        <f>HYPERLINK("https://heavenlyouthouse.com/products/scent-free-soap", "https://heavenlyouthouse.com/products/scent-free-soap")</f>
        <v>https://heavenlyouthouse.com/products/scent-free-soap</v>
      </c>
      <c r="B98" s="3" t="str">
        <f>HYPERLINK("https://heavenlyouthouse.com/products/scent-free-soap", "https://heavenlyouthouse.com/products/scent-free-soap")</f>
        <v>https://heavenlyouthouse.com/products/scent-free-soap</v>
      </c>
      <c r="C98" t="s">
        <v>379</v>
      </c>
      <c r="D98" t="s">
        <v>380</v>
      </c>
      <c r="E98" s="3" t="str">
        <f>HYPERLINK("https://www.amazon.com/Kirks-Original-Castile-Fragrance-Ounces/dp/B001F1PV1G/ref=sr_1_8?keywords=Scent+Free+Soap&amp;qid=1695258691&amp;sr=8-8", "https://www.amazon.com/Kirks-Original-Castile-Fragrance-Ounces/dp/B001F1PV1G/ref=sr_1_8?keywords=Scent+Free+Soap&amp;qid=1695258691&amp;sr=8-8")</f>
        <v>https://www.amazon.com/Kirks-Original-Castile-Fragrance-Ounces/dp/B001F1PV1G/ref=sr_1_8?keywords=Scent+Free+Soap&amp;qid=1695258691&amp;sr=8-8</v>
      </c>
      <c r="F98" t="s">
        <v>381</v>
      </c>
      <c r="G98" t="e">
        <f ca="1">IMAGE("https://heavenlyouthouse.com/cdn/shop/products/Scent-Free_Bar-Soap_2048_2000x_2afcaee1-528e-4e99-8878-52d81e3cc02f.jpg?v=1586536438")</f>
        <v>#NAME?</v>
      </c>
      <c r="H98" t="e">
        <f ca="1">IMAGE("https://m.media-amazon.com/images/I/91LJKucAAcL._AC_UL320_.jpg")</f>
        <v>#NAME?</v>
      </c>
      <c r="I98" t="s">
        <v>92</v>
      </c>
      <c r="J98">
        <v>15.39</v>
      </c>
      <c r="K98" s="2" t="s">
        <v>382</v>
      </c>
      <c r="L98">
        <v>4.7</v>
      </c>
      <c r="M98">
        <v>11125</v>
      </c>
      <c r="O98" t="s">
        <v>39</v>
      </c>
      <c r="P98" t="s">
        <v>39</v>
      </c>
      <c r="Q98" t="s">
        <v>383</v>
      </c>
    </row>
    <row r="99" spans="1:17" ht="15.75" x14ac:dyDescent="0.25">
      <c r="A99" s="3" t="str">
        <f>HYPERLINK("https://heavenlyouthouse.com/products/frasier-fir-home-fragrance-mist", "https://heavenlyouthouse.com/products/frasier-fir-home-fragrance-mist")</f>
        <v>https://heavenlyouthouse.com/products/frasier-fir-home-fragrance-mist</v>
      </c>
      <c r="B99" s="3" t="str">
        <f>HYPERLINK("https://heavenlyouthouse.com/products/frasier-fir-home-fragrance-mist", "https://heavenlyouthouse.com/products/frasier-fir-home-fragrance-mist")</f>
        <v>https://heavenlyouthouse.com/products/frasier-fir-home-fragrance-mist</v>
      </c>
      <c r="C99" t="s">
        <v>384</v>
      </c>
      <c r="D99" t="s">
        <v>227</v>
      </c>
      <c r="E99" s="3" t="str">
        <f>HYPERLINK("https://www.amazon.com/Thymes-Frasier-Diffuser-Needle-Design/dp/B01KIH4X4S/ref=sr_1_5?keywords=Thymes+Frasier+Fir+Home+Fragrance+Mist&amp;qid=1695258733&amp;sr=8-5", "https://www.amazon.com/Thymes-Frasier-Diffuser-Needle-Design/dp/B01KIH4X4S/ref=sr_1_5?keywords=Thymes+Frasier+Fir+Home+Fragrance+Mist&amp;qid=1695258733&amp;sr=8-5")</f>
        <v>https://www.amazon.com/Thymes-Frasier-Diffuser-Needle-Design/dp/B01KIH4X4S/ref=sr_1_5?keywords=Thymes+Frasier+Fir+Home+Fragrance+Mist&amp;qid=1695258733&amp;sr=8-5</v>
      </c>
      <c r="F99" t="s">
        <v>228</v>
      </c>
      <c r="G99" t="e">
        <f ca="1">IMAGE("https://heavenlyouthouse.com/cdn/shop/products/ThymesFrasierFirHomeFragranceMist.jpg?v=1617817932")</f>
        <v>#NAME?</v>
      </c>
      <c r="H99" t="e">
        <f ca="1">IMAGE("https://m.media-amazon.com/images/I/71MVWVg7C-L._AC_UL320_.jpg")</f>
        <v>#NAME?</v>
      </c>
      <c r="I99" t="s">
        <v>385</v>
      </c>
      <c r="J99">
        <v>56</v>
      </c>
      <c r="K99" s="2" t="s">
        <v>386</v>
      </c>
      <c r="L99">
        <v>4.7</v>
      </c>
      <c r="M99">
        <v>597</v>
      </c>
      <c r="O99" t="s">
        <v>39</v>
      </c>
      <c r="P99" t="s">
        <v>39</v>
      </c>
      <c r="Q99" t="s">
        <v>387</v>
      </c>
    </row>
    <row r="100" spans="1:17" ht="15.75" x14ac:dyDescent="0.25">
      <c r="A100" s="3" t="str">
        <f>HYPERLINK("https://heavenlyouthouse.com/products/week-from-hell-hand-rescue-tube?variant=32374479978585", "https://heavenlyouthouse.com/products/week-from-hell-hand-rescue-tube?variant=32374479978585")</f>
        <v>https://heavenlyouthouse.com/products/week-from-hell-hand-rescue-tube?variant=32374479978585</v>
      </c>
      <c r="B100" s="3" t="str">
        <f>HYPERLINK("https://heavenlyouthouse.com/products/week-from-hell-hand-rescue-tube", "https://heavenlyouthouse.com/products/week-from-hell-hand-rescue-tube")</f>
        <v>https://heavenlyouthouse.com/products/week-from-hell-hand-rescue-tube</v>
      </c>
      <c r="C100" t="s">
        <v>143</v>
      </c>
      <c r="D100" t="s">
        <v>388</v>
      </c>
      <c r="E100" s="3" t="str">
        <f>HYPERLINK("https://www.amazon.com/Walton-Wood-Farm-Vegan-Friendly-Paraben-Free/dp/B072W73X7J/ref=sr_1_6?keywords=Week+From+Hell+Hand+Rescue+Tube&amp;qid=1695258826&amp;sr=8-6", "https://www.amazon.com/Walton-Wood-Farm-Vegan-Friendly-Paraben-Free/dp/B072W73X7J/ref=sr_1_6?keywords=Week+From+Hell+Hand+Rescue+Tube&amp;qid=1695258826&amp;sr=8-6")</f>
        <v>https://www.amazon.com/Walton-Wood-Farm-Vegan-Friendly-Paraben-Free/dp/B072W73X7J/ref=sr_1_6?keywords=Week+From+Hell+Hand+Rescue+Tube&amp;qid=1695258826&amp;sr=8-6</v>
      </c>
      <c r="F100" t="s">
        <v>389</v>
      </c>
      <c r="G100" t="e">
        <f ca="1">IMAGE("https://heavenlyouthouse.com/cdn/shop/products/weekfromhellhandrescuetube.jpg?v=1612548050")</f>
        <v>#NAME?</v>
      </c>
      <c r="H100" t="e">
        <f ca="1">IMAGE("https://m.media-amazon.com/images/I/81ppf141ZML._AC_UL320_.jpg")</f>
        <v>#NAME?</v>
      </c>
      <c r="I100" t="s">
        <v>146</v>
      </c>
      <c r="J100">
        <v>19.2</v>
      </c>
      <c r="K100" s="2" t="s">
        <v>386</v>
      </c>
      <c r="L100">
        <v>4.7</v>
      </c>
      <c r="M100">
        <v>56</v>
      </c>
      <c r="O100" t="s">
        <v>136</v>
      </c>
      <c r="P100" t="s">
        <v>39</v>
      </c>
      <c r="Q100" t="s">
        <v>148</v>
      </c>
    </row>
    <row r="101" spans="1:17" ht="15.75" x14ac:dyDescent="0.25">
      <c r="A101" s="3" t="str">
        <f>HYPERLINK("https://heavenlyouthouse.com/products/vanilla-coconut-foaming-wash", "https://heavenlyouthouse.com/products/vanilla-coconut-foaming-wash")</f>
        <v>https://heavenlyouthouse.com/products/vanilla-coconut-foaming-wash</v>
      </c>
      <c r="B101" s="3" t="str">
        <f>HYPERLINK("https://heavenlyouthouse.com/products/vanilla-coconut-foaming-wash", "https://heavenlyouthouse.com/products/vanilla-coconut-foaming-wash")</f>
        <v>https://heavenlyouthouse.com/products/vanilla-coconut-foaming-wash</v>
      </c>
      <c r="C101" t="s">
        <v>390</v>
      </c>
      <c r="D101" t="s">
        <v>391</v>
      </c>
      <c r="E101" s="3" t="str">
        <f>HYPERLINK("https://www.amazon.com/Pampering-NutriumMoisture-Technology-Vanilla-Bodywash/dp/B08373R31B/ref=sr_1_4?keywords=Vanilla+Coconut+Foaming+Wash&amp;qid=1695258837&amp;sr=8-4", "https://www.amazon.com/Pampering-NutriumMoisture-Technology-Vanilla-Bodywash/dp/B08373R31B/ref=sr_1_4?keywords=Vanilla+Coconut+Foaming+Wash&amp;qid=1695258837&amp;sr=8-4")</f>
        <v>https://www.amazon.com/Pampering-NutriumMoisture-Technology-Vanilla-Bodywash/dp/B08373R31B/ref=sr_1_4?keywords=Vanilla+Coconut+Foaming+Wash&amp;qid=1695258837&amp;sr=8-4</v>
      </c>
      <c r="F101" t="s">
        <v>392</v>
      </c>
      <c r="G101" t="e">
        <f ca="1">IMAGE("https://heavenlyouthouse.com/cdn/shop/products/vanilla-coconut-foaming-wash_2000x_7648654b-2503-4219-a1cd-2f8e8ea738eb.jpg?v=1586812094")</f>
        <v>#NAME?</v>
      </c>
      <c r="H101" t="e">
        <f ca="1">IMAGE("https://m.media-amazon.com/images/I/81JisbsVj6L._AC_UL320_.jpg")</f>
        <v>#NAME?</v>
      </c>
      <c r="I101" t="s">
        <v>233</v>
      </c>
      <c r="J101">
        <v>30.41</v>
      </c>
      <c r="K101" s="2" t="s">
        <v>393</v>
      </c>
      <c r="L101">
        <v>4.7</v>
      </c>
      <c r="M101">
        <v>3385</v>
      </c>
      <c r="O101" t="s">
        <v>39</v>
      </c>
      <c r="P101" t="s">
        <v>394</v>
      </c>
      <c r="Q101" t="s">
        <v>395</v>
      </c>
    </row>
    <row r="102" spans="1:17" ht="15.75" x14ac:dyDescent="0.25">
      <c r="A102" s="3" t="str">
        <f>HYPERLINK("https://heavenlyouthouse.com/products/vanilla-coconut-body-lotion", "https://heavenlyouthouse.com/products/vanilla-coconut-body-lotion")</f>
        <v>https://heavenlyouthouse.com/products/vanilla-coconut-body-lotion</v>
      </c>
      <c r="B102" s="3" t="str">
        <f>HYPERLINK("https://heavenlyouthouse.com/products/vanilla-coconut-body-lotion", "https://heavenlyouthouse.com/products/vanilla-coconut-body-lotion")</f>
        <v>https://heavenlyouthouse.com/products/vanilla-coconut-body-lotion</v>
      </c>
      <c r="C102" t="s">
        <v>396</v>
      </c>
      <c r="D102" t="s">
        <v>397</v>
      </c>
      <c r="E102" s="3" t="str">
        <f>HYPERLINK("https://www.amazon.com/Bath-Body-Works-Ultimate-Hydration/dp/B0BH9BZYTC/ref=sr_1_6?keywords=Vanilla+Coconut+Body+Lotion&amp;qid=1695258813&amp;sr=8-6", "https://www.amazon.com/Bath-Body-Works-Ultimate-Hydration/dp/B0BH9BZYTC/ref=sr_1_6?keywords=Vanilla+Coconut+Body+Lotion&amp;qid=1695258813&amp;sr=8-6")</f>
        <v>https://www.amazon.com/Bath-Body-Works-Ultimate-Hydration/dp/B0BH9BZYTC/ref=sr_1_6?keywords=Vanilla+Coconut+Body+Lotion&amp;qid=1695258813&amp;sr=8-6</v>
      </c>
      <c r="F102" t="s">
        <v>398</v>
      </c>
      <c r="G102" t="e">
        <f ca="1">IMAGE("https://heavenlyouthouse.com/cdn/shop/products/Vanilla-Coconut_Body-Lotion_2048_2000x_f9dbe99f-03d5-4b01-984d-3ca76d1c9785.jpg?v=1586911459")</f>
        <v>#NAME?</v>
      </c>
      <c r="H102" t="e">
        <f ca="1">IMAGE("https://m.media-amazon.com/images/I/6124tHfAz7L._AC_UL320_.jpg")</f>
        <v>#NAME?</v>
      </c>
      <c r="I102" t="s">
        <v>399</v>
      </c>
      <c r="J102">
        <v>39.9</v>
      </c>
      <c r="K102" s="2" t="s">
        <v>393</v>
      </c>
      <c r="L102">
        <v>4.5</v>
      </c>
      <c r="M102">
        <v>27</v>
      </c>
      <c r="O102" t="s">
        <v>39</v>
      </c>
      <c r="P102" t="s">
        <v>39</v>
      </c>
      <c r="Q102" t="s">
        <v>400</v>
      </c>
    </row>
    <row r="103" spans="1:17" ht="15.75" x14ac:dyDescent="0.25">
      <c r="A103" s="3" t="str">
        <f>HYPERLINK("https://heavenlyouthouse.com/products/pumpkin-soap", "https://heavenlyouthouse.com/products/pumpkin-soap")</f>
        <v>https://heavenlyouthouse.com/products/pumpkin-soap</v>
      </c>
      <c r="B103" s="3" t="str">
        <f>HYPERLINK("https://heavenlyouthouse.com/products/pumpkin-soap", "https://heavenlyouthouse.com/products/pumpkin-soap")</f>
        <v>https://heavenlyouthouse.com/products/pumpkin-soap</v>
      </c>
      <c r="C103" t="s">
        <v>157</v>
      </c>
      <c r="D103" t="s">
        <v>401</v>
      </c>
      <c r="E103" s="3" t="str">
        <f>HYPERLINK("https://www.amazon.com/Michel-Design-Works-Foaming-Pumpkin/dp/B0B3YBMLPW/ref=sr_1_6?keywords=Pumpkin+Soap&amp;qid=1695258671&amp;sr=8-6", "https://www.amazon.com/Michel-Design-Works-Foaming-Pumpkin/dp/B0B3YBMLPW/ref=sr_1_6?keywords=Pumpkin+Soap&amp;qid=1695258671&amp;sr=8-6")</f>
        <v>https://www.amazon.com/Michel-Design-Works-Foaming-Pumpkin/dp/B0B3YBMLPW/ref=sr_1_6?keywords=Pumpkin+Soap&amp;qid=1695258671&amp;sr=8-6</v>
      </c>
      <c r="F103" t="s">
        <v>402</v>
      </c>
      <c r="G103" t="e">
        <f ca="1">IMAGE("https://heavenlyouthouse.com/cdn/shop/products/Pumpkin_Bar-Soap_2048_2000x_6b1d5e1f-2b42-45d8-85e4-bc5e350eb2be.jpg?v=1586787951")</f>
        <v>#NAME?</v>
      </c>
      <c r="H103" t="e">
        <f ca="1">IMAGE("https://m.media-amazon.com/images/I/61zXGCl3q1L._AC_UL320_.jpg")</f>
        <v>#NAME?</v>
      </c>
      <c r="I103" t="s">
        <v>92</v>
      </c>
      <c r="J103">
        <v>14.99</v>
      </c>
      <c r="K103" s="2" t="s">
        <v>403</v>
      </c>
      <c r="L103">
        <v>4.7</v>
      </c>
      <c r="M103">
        <v>4140</v>
      </c>
      <c r="O103" t="s">
        <v>39</v>
      </c>
      <c r="P103" t="s">
        <v>39</v>
      </c>
      <c r="Q103" t="s">
        <v>161</v>
      </c>
    </row>
    <row r="104" spans="1:17" ht="15.75" x14ac:dyDescent="0.25">
      <c r="A104" s="3" t="str">
        <f>HYPERLINK("https://heavenlyouthouse.com/products/serenity-bubble-bath", "https://heavenlyouthouse.com/products/serenity-bubble-bath")</f>
        <v>https://heavenlyouthouse.com/products/serenity-bubble-bath</v>
      </c>
      <c r="B104" s="3" t="str">
        <f>HYPERLINK("https://heavenlyouthouse.com/products/serenity-bubble-bath", "https://heavenlyouthouse.com/products/serenity-bubble-bath")</f>
        <v>https://heavenlyouthouse.com/products/serenity-bubble-bath</v>
      </c>
      <c r="C104" t="s">
        <v>404</v>
      </c>
      <c r="D104" t="s">
        <v>405</v>
      </c>
      <c r="E104" s="3" t="str">
        <f>HYPERLINK("https://www.amazon.com/Dr-Teals-Foaming-3-Pack-Total/dp/B08L84NX49/ref=sr_1_3?keywords=Serenity+Bubble+Bath&amp;qid=1695258688&amp;sr=8-3", "https://www.amazon.com/Dr-Teals-Foaming-3-Pack-Total/dp/B08L84NX49/ref=sr_1_3?keywords=Serenity+Bubble+Bath&amp;qid=1695258688&amp;sr=8-3")</f>
        <v>https://www.amazon.com/Dr-Teals-Foaming-3-Pack-Total/dp/B08L84NX49/ref=sr_1_3?keywords=Serenity+Bubble+Bath&amp;qid=1695258688&amp;sr=8-3</v>
      </c>
      <c r="F104" t="s">
        <v>406</v>
      </c>
      <c r="G104" t="e">
        <f ca="1">IMAGE("https://heavenlyouthouse.com/cdn/shop/products/Serenity_Bubble-Bath_2048_2000x_5a105ad7-68d8-4390-b59a-da7f09afb3a1.jpg?v=1588955176")</f>
        <v>#NAME?</v>
      </c>
      <c r="H104" t="e">
        <f ca="1">IMAGE("https://m.media-amazon.com/images/I/81-bf11szML._AC_UL320_.jpg")</f>
        <v>#NAME?</v>
      </c>
      <c r="I104" t="s">
        <v>233</v>
      </c>
      <c r="J104">
        <v>29.99</v>
      </c>
      <c r="K104" s="2" t="s">
        <v>407</v>
      </c>
      <c r="L104">
        <v>4.8</v>
      </c>
      <c r="M104">
        <v>211</v>
      </c>
      <c r="O104" t="s">
        <v>39</v>
      </c>
      <c r="P104" t="s">
        <v>39</v>
      </c>
      <c r="Q104" t="s">
        <v>408</v>
      </c>
    </row>
    <row r="105" spans="1:17" ht="15.75" x14ac:dyDescent="0.25">
      <c r="A105" s="3" t="str">
        <f>HYPERLINK("https://heavenlyouthouse.com/products/watercolor-landscape-blank-card", "https://heavenlyouthouse.com/products/watercolor-landscape-blank-card")</f>
        <v>https://heavenlyouthouse.com/products/watercolor-landscape-blank-card</v>
      </c>
      <c r="B105" s="3" t="str">
        <f>HYPERLINK("https://heavenlyouthouse.com/products/watercolor-landscape-blank-card", "https://heavenlyouthouse.com/products/watercolor-landscape-blank-card")</f>
        <v>https://heavenlyouthouse.com/products/watercolor-landscape-blank-card</v>
      </c>
      <c r="C105" t="s">
        <v>89</v>
      </c>
      <c r="D105" t="s">
        <v>409</v>
      </c>
      <c r="E105" s="3" t="str">
        <f>HYPERLINK("https://www.amazon.com/Wright-Home-Gift-Watercolor-All-Occasion/dp/B0C4K3127Z/ref=sr_1_1?keywords=Watercolor+Landscape+Blank+Card&amp;qid=1695258835&amp;sr=8-1", "https://www.amazon.com/Wright-Home-Gift-Watercolor-All-Occasion/dp/B0C4K3127Z/ref=sr_1_1?keywords=Watercolor+Landscape+Blank+Card&amp;qid=1695258835&amp;sr=8-1")</f>
        <v>https://www.amazon.com/Wright-Home-Gift-Watercolor-All-Occasion/dp/B0C4K3127Z/ref=sr_1_1?keywords=Watercolor+Landscape+Blank+Card&amp;qid=1695258835&amp;sr=8-1</v>
      </c>
      <c r="F105" t="s">
        <v>410</v>
      </c>
      <c r="G105" t="e">
        <f ca="1">IMAGE("https://heavenlyouthouse.com/cdn/shop/files/watercolor-landscape-blank-card1_300x300.jpg?v=1692033915")</f>
        <v>#NAME?</v>
      </c>
      <c r="H105" t="e">
        <f ca="1">IMAGE("https://m.media-amazon.com/images/I/715noeWPVHL._AC_UL320_.jpg")</f>
        <v>#NAME?</v>
      </c>
      <c r="I105" t="s">
        <v>92</v>
      </c>
      <c r="J105">
        <v>14.87</v>
      </c>
      <c r="K105" s="2" t="s">
        <v>407</v>
      </c>
      <c r="L105">
        <v>4.5</v>
      </c>
      <c r="M105">
        <v>2</v>
      </c>
      <c r="O105" t="s">
        <v>39</v>
      </c>
      <c r="P105" t="s">
        <v>39</v>
      </c>
      <c r="Q105" t="s">
        <v>94</v>
      </c>
    </row>
    <row r="106" spans="1:17" ht="15.75" x14ac:dyDescent="0.25">
      <c r="A106" s="3" t="str">
        <f t="shared" ref="A106:B108" si="1">HYPERLINK("https://heavenlyouthouse.com/products/rainbow-anniversary-card", "https://heavenlyouthouse.com/products/rainbow-anniversary-card")</f>
        <v>https://heavenlyouthouse.com/products/rainbow-anniversary-card</v>
      </c>
      <c r="B106" s="3" t="str">
        <f t="shared" si="1"/>
        <v>https://heavenlyouthouse.com/products/rainbow-anniversary-card</v>
      </c>
      <c r="C106" t="s">
        <v>411</v>
      </c>
      <c r="D106" t="s">
        <v>412</v>
      </c>
      <c r="E106" s="3" t="str">
        <f>HYPERLINK("https://www.amazon.com/iGifts-Cards-Rainbow-Wisteria-Greeting/dp/B089LH23ZY/ref=sr_1_4?keywords=Rainbow+Anniversary+Card&amp;qid=1695258657&amp;sr=8-4", "https://www.amazon.com/iGifts-Cards-Rainbow-Wisteria-Greeting/dp/B089LH23ZY/ref=sr_1_4?keywords=Rainbow+Anniversary+Card&amp;qid=1695258657&amp;sr=8-4")</f>
        <v>https://www.amazon.com/iGifts-Cards-Rainbow-Wisteria-Greeting/dp/B089LH23ZY/ref=sr_1_4?keywords=Rainbow+Anniversary+Card&amp;qid=1695258657&amp;sr=8-4</v>
      </c>
      <c r="F106" t="s">
        <v>413</v>
      </c>
      <c r="G106" t="e">
        <f ca="1">IMAGE("https://heavenlyouthouse.com/cdn/shop/files/rainbow-anniversary-card3_300x300.jpg?v=1692036950")</f>
        <v>#NAME?</v>
      </c>
      <c r="H106" t="e">
        <f ca="1">IMAGE("https://m.media-amazon.com/images/I/81JgZkQrOhL._AC_UL320_.jpg")</f>
        <v>#NAME?</v>
      </c>
      <c r="I106" t="s">
        <v>414</v>
      </c>
      <c r="J106">
        <v>12.95</v>
      </c>
      <c r="K106" s="2" t="s">
        <v>415</v>
      </c>
      <c r="L106">
        <v>4.8</v>
      </c>
      <c r="M106">
        <v>436</v>
      </c>
      <c r="O106" t="s">
        <v>39</v>
      </c>
      <c r="P106" t="s">
        <v>416</v>
      </c>
      <c r="Q106" t="s">
        <v>417</v>
      </c>
    </row>
    <row r="107" spans="1:17" ht="15.75" x14ac:dyDescent="0.25">
      <c r="A107" s="3" t="str">
        <f t="shared" si="1"/>
        <v>https://heavenlyouthouse.com/products/rainbow-anniversary-card</v>
      </c>
      <c r="B107" s="3" t="str">
        <f t="shared" si="1"/>
        <v>https://heavenlyouthouse.com/products/rainbow-anniversary-card</v>
      </c>
      <c r="C107" t="s">
        <v>411</v>
      </c>
      <c r="D107" t="s">
        <v>418</v>
      </c>
      <c r="E107" s="3" t="str">
        <f>HYPERLINK("https://www.amazon.com/iGifts-Cards-Lesbian-Wisteria-Greeting/dp/B08BKYG1S8/ref=sr_1_5?keywords=Rainbow+Anniversary+Card&amp;qid=1695258657&amp;sr=8-5", "https://www.amazon.com/iGifts-Cards-Lesbian-Wisteria-Greeting/dp/B08BKYG1S8/ref=sr_1_5?keywords=Rainbow+Anniversary+Card&amp;qid=1695258657&amp;sr=8-5")</f>
        <v>https://www.amazon.com/iGifts-Cards-Lesbian-Wisteria-Greeting/dp/B08BKYG1S8/ref=sr_1_5?keywords=Rainbow+Anniversary+Card&amp;qid=1695258657&amp;sr=8-5</v>
      </c>
      <c r="F107" t="s">
        <v>419</v>
      </c>
      <c r="G107" t="e">
        <f ca="1">IMAGE("https://heavenlyouthouse.com/cdn/shop/files/rainbow-anniversary-card3_300x300.jpg?v=1692036950")</f>
        <v>#NAME?</v>
      </c>
      <c r="H107" t="e">
        <f ca="1">IMAGE("https://m.media-amazon.com/images/I/81HN9a4n+KL._AC_UL320_.jpg")</f>
        <v>#NAME?</v>
      </c>
      <c r="I107" t="s">
        <v>414</v>
      </c>
      <c r="J107">
        <v>12.95</v>
      </c>
      <c r="K107" s="2" t="s">
        <v>415</v>
      </c>
      <c r="L107">
        <v>4.7</v>
      </c>
      <c r="M107">
        <v>220</v>
      </c>
      <c r="O107" t="s">
        <v>39</v>
      </c>
      <c r="P107" t="s">
        <v>416</v>
      </c>
      <c r="Q107" t="s">
        <v>417</v>
      </c>
    </row>
    <row r="108" spans="1:17" ht="15.75" x14ac:dyDescent="0.25">
      <c r="A108" s="3" t="str">
        <f t="shared" si="1"/>
        <v>https://heavenlyouthouse.com/products/rainbow-anniversary-card</v>
      </c>
      <c r="B108" s="3" t="str">
        <f t="shared" si="1"/>
        <v>https://heavenlyouthouse.com/products/rainbow-anniversary-card</v>
      </c>
      <c r="C108" t="s">
        <v>411</v>
      </c>
      <c r="D108" t="s">
        <v>420</v>
      </c>
      <c r="E108" s="3" t="str">
        <f>HYPERLINK("https://www.amazon.com/NIQUEA-D-Happy-Anniversary-Rainbow-NA-0008/dp/B0948DZW7Z/ref=sr_1_8?keywords=Rainbow+Anniversary+Card&amp;qid=1695258657&amp;sr=8-8", "https://www.amazon.com/NIQUEA-D-Happy-Anniversary-Rainbow-NA-0008/dp/B0948DZW7Z/ref=sr_1_8?keywords=Rainbow+Anniversary+Card&amp;qid=1695258657&amp;sr=8-8")</f>
        <v>https://www.amazon.com/NIQUEA-D-Happy-Anniversary-Rainbow-NA-0008/dp/B0948DZW7Z/ref=sr_1_8?keywords=Rainbow+Anniversary+Card&amp;qid=1695258657&amp;sr=8-8</v>
      </c>
      <c r="F108" t="s">
        <v>421</v>
      </c>
      <c r="G108" t="e">
        <f ca="1">IMAGE("https://heavenlyouthouse.com/cdn/shop/files/rainbow-anniversary-card3_300x300.jpg?v=1692036950")</f>
        <v>#NAME?</v>
      </c>
      <c r="H108" t="e">
        <f ca="1">IMAGE("https://m.media-amazon.com/images/I/71w9WJjbYSL._AC_UL320_.jpg")</f>
        <v>#NAME?</v>
      </c>
      <c r="I108" t="s">
        <v>414</v>
      </c>
      <c r="J108">
        <v>12.95</v>
      </c>
      <c r="K108" s="2" t="s">
        <v>415</v>
      </c>
      <c r="L108">
        <v>5</v>
      </c>
      <c r="M108">
        <v>1</v>
      </c>
      <c r="O108" t="s">
        <v>39</v>
      </c>
      <c r="P108" t="s">
        <v>416</v>
      </c>
      <c r="Q108" t="s">
        <v>417</v>
      </c>
    </row>
    <row r="109" spans="1:17" ht="15.75" x14ac:dyDescent="0.25">
      <c r="A109" s="3" t="str">
        <f>HYPERLINK("https://heavenlyouthouse.com/products/rosemary-shampoo-bar-soap", "https://heavenlyouthouse.com/products/rosemary-shampoo-bar-soap")</f>
        <v>https://heavenlyouthouse.com/products/rosemary-shampoo-bar-soap</v>
      </c>
      <c r="B109" s="3" t="str">
        <f>HYPERLINK("https://heavenlyouthouse.com/products/rosemary-shampoo-bar-soap", "https://heavenlyouthouse.com/products/rosemary-shampoo-bar-soap")</f>
        <v>https://heavenlyouthouse.com/products/rosemary-shampoo-bar-soap</v>
      </c>
      <c r="C109" t="s">
        <v>290</v>
      </c>
      <c r="D109" t="s">
        <v>422</v>
      </c>
      <c r="E109" s="3"/>
      <c r="F109" t="s">
        <v>423</v>
      </c>
      <c r="G109" t="e">
        <f ca="1">IMAGE("https://heavenlyouthouse.com/cdn/shop/products/Rosemary-Shampoo-Bar_Bar-Soap_2000x_09aa253a-642f-40e6-b2b3-81ca57f74784.jpg?v=1586802089")</f>
        <v>#NAME?</v>
      </c>
      <c r="H109" t="e">
        <f ca="1">IMAGE("https://m.media-amazon.com/images/I/71zrfZXwsUL._AC_UL320_.jpg")</f>
        <v>#NAME?</v>
      </c>
      <c r="I109" t="s">
        <v>92</v>
      </c>
      <c r="J109">
        <v>14.8</v>
      </c>
      <c r="K109" s="2" t="s">
        <v>415</v>
      </c>
      <c r="L109">
        <v>4.4000000000000004</v>
      </c>
      <c r="M109">
        <v>70</v>
      </c>
      <c r="O109" t="s">
        <v>39</v>
      </c>
      <c r="P109" t="s">
        <v>39</v>
      </c>
      <c r="Q109" t="s">
        <v>294</v>
      </c>
    </row>
    <row r="110" spans="1:17" ht="15.75" x14ac:dyDescent="0.25">
      <c r="A110" s="3" t="str">
        <f>HYPERLINK("https://heavenlyouthouse.com/products/tea-tree-deodorant", "https://heavenlyouthouse.com/products/tea-tree-deodorant")</f>
        <v>https://heavenlyouthouse.com/products/tea-tree-deodorant</v>
      </c>
      <c r="B110" s="3" t="str">
        <f>HYPERLINK("https://heavenlyouthouse.com/products/tea-tree-deodorant", "https://heavenlyouthouse.com/products/tea-tree-deodorant")</f>
        <v>https://heavenlyouthouse.com/products/tea-tree-deodorant</v>
      </c>
      <c r="C110" t="s">
        <v>424</v>
      </c>
      <c r="D110" t="s">
        <v>425</v>
      </c>
      <c r="E110" s="3"/>
      <c r="F110" t="s">
        <v>426</v>
      </c>
      <c r="G110" t="e">
        <f ca="1">IMAGE("https://heavenlyouthouse.com/cdn/shop/products/Rocky-Mountain-Soap-Co-tea-tree-Natural-Deodorant.jpg?v=1633542749")</f>
        <v>#NAME?</v>
      </c>
      <c r="H110" t="e">
        <f ca="1">IMAGE("https://m.media-amazon.com/images/I/61Kz16Chn4L._AC_UL320_.jpg")</f>
        <v>#NAME?</v>
      </c>
      <c r="I110" t="s">
        <v>427</v>
      </c>
      <c r="J110">
        <v>25.98</v>
      </c>
      <c r="K110" s="2" t="s">
        <v>415</v>
      </c>
      <c r="L110">
        <v>4.5</v>
      </c>
      <c r="M110">
        <v>90</v>
      </c>
      <c r="O110" t="s">
        <v>39</v>
      </c>
      <c r="P110" t="s">
        <v>428</v>
      </c>
      <c r="Q110" t="s">
        <v>429</v>
      </c>
    </row>
    <row r="111" spans="1:17" ht="15.75" x14ac:dyDescent="0.25">
      <c r="A111" s="3" t="str">
        <f>HYPERLINK("https://heavenlyouthouse.com/products/thymes-frasier-fir-car-diffuser-refill", "https://heavenlyouthouse.com/products/thymes-frasier-fir-car-diffuser-refill")</f>
        <v>https://heavenlyouthouse.com/products/thymes-frasier-fir-car-diffuser-refill</v>
      </c>
      <c r="B111" s="3" t="str">
        <f>HYPERLINK("https://heavenlyouthouse.com/products/thymes-frasier-fir-car-diffuser-refill", "https://heavenlyouthouse.com/products/thymes-frasier-fir-car-diffuser-refill")</f>
        <v>https://heavenlyouthouse.com/products/thymes-frasier-fir-car-diffuser-refill</v>
      </c>
      <c r="C111" t="s">
        <v>95</v>
      </c>
      <c r="D111" t="s">
        <v>252</v>
      </c>
      <c r="E111" s="3" t="str">
        <f>HYPERLINK("https://www.amazon.com/Thymes-Frasier-Diffuser-Refill-Ounces/dp/B001AH8CL6/ref=sr_1_2?keywords=Thymes+Frasier+Fir+Car+Diffuser+Refill&amp;qid=1695258724&amp;sr=8-2", "https://www.amazon.com/Thymes-Frasier-Diffuser-Refill-Ounces/dp/B001AH8CL6/ref=sr_1_2?keywords=Thymes+Frasier+Fir+Car+Diffuser+Refill&amp;qid=1695258724&amp;sr=8-2")</f>
        <v>https://www.amazon.com/Thymes-Frasier-Diffuser-Refill-Ounces/dp/B001AH8CL6/ref=sr_1_2?keywords=Thymes+Frasier+Fir+Car+Diffuser+Refill&amp;qid=1695258724&amp;sr=8-2</v>
      </c>
      <c r="F111" t="s">
        <v>253</v>
      </c>
      <c r="G111" t="e">
        <f ca="1">IMAGE("https://heavenlyouthouse.com/cdn/shop/products/Thymes-frasier-fir-car-diffuser-refill.jpg?v=1662136027")</f>
        <v>#NAME?</v>
      </c>
      <c r="H111" t="e">
        <f ca="1">IMAGE("https://m.media-amazon.com/images/I/51MG8nOHQnL._AC_UL320_.jpg")</f>
        <v>#NAME?</v>
      </c>
      <c r="I111" t="s">
        <v>98</v>
      </c>
      <c r="J111">
        <v>35</v>
      </c>
      <c r="K111" s="2" t="s">
        <v>430</v>
      </c>
      <c r="L111">
        <v>4.7</v>
      </c>
      <c r="M111">
        <v>2687</v>
      </c>
      <c r="O111" t="s">
        <v>39</v>
      </c>
      <c r="P111" t="s">
        <v>100</v>
      </c>
      <c r="Q111" t="s">
        <v>101</v>
      </c>
    </row>
    <row r="112" spans="1:17" ht="15.75" x14ac:dyDescent="0.25">
      <c r="A112" s="3" t="str">
        <f>HYPERLINK("https://heavenlyouthouse.com/products/eucalyptus-bar-soap", "https://heavenlyouthouse.com/products/eucalyptus-bar-soap")</f>
        <v>https://heavenlyouthouse.com/products/eucalyptus-bar-soap</v>
      </c>
      <c r="B112" s="3" t="str">
        <f>HYPERLINK("https://heavenlyouthouse.com/products/eucalyptus-bar-soap", "https://heavenlyouthouse.com/products/eucalyptus-bar-soap")</f>
        <v>https://heavenlyouthouse.com/products/eucalyptus-bar-soap</v>
      </c>
      <c r="C112" t="s">
        <v>431</v>
      </c>
      <c r="D112" t="s">
        <v>432</v>
      </c>
      <c r="E112" s="3" t="str">
        <f>HYPERLINK("https://www.amazon.com/French-milled-Fresh-Eucalyptus-natural/dp/B00J8QQERK/ref=sr_1_10?keywords=Thymes+Eucalyptus+Bar+Soap&amp;qid=1695258725&amp;sr=8-10", "https://www.amazon.com/French-milled-Fresh-Eucalyptus-natural/dp/B00J8QQERK/ref=sr_1_10?keywords=Thymes+Eucalyptus+Bar+Soap&amp;qid=1695258725&amp;sr=8-10")</f>
        <v>https://www.amazon.com/French-milled-Fresh-Eucalyptus-natural/dp/B00J8QQERK/ref=sr_1_10?keywords=Thymes+Eucalyptus+Bar+Soap&amp;qid=1695258725&amp;sr=8-10</v>
      </c>
      <c r="F112" t="s">
        <v>433</v>
      </c>
      <c r="G112" t="e">
        <f ca="1">IMAGE("https://heavenlyouthouse.com/cdn/shop/products/thymes-eucalyptus-bar-soap.jpg?v=1628693255")</f>
        <v>#NAME?</v>
      </c>
      <c r="H112" t="e">
        <f ca="1">IMAGE("https://m.media-amazon.com/images/I/51quqMTwJkL._AC_UL320_.jpg")</f>
        <v>#NAME?</v>
      </c>
      <c r="I112" t="s">
        <v>98</v>
      </c>
      <c r="J112">
        <v>35</v>
      </c>
      <c r="K112" s="2" t="s">
        <v>430</v>
      </c>
      <c r="L112">
        <v>4.5999999999999996</v>
      </c>
      <c r="M112">
        <v>939</v>
      </c>
      <c r="O112" t="s">
        <v>39</v>
      </c>
      <c r="P112" t="s">
        <v>39</v>
      </c>
      <c r="Q112" t="s">
        <v>434</v>
      </c>
    </row>
    <row r="113" spans="1:17" ht="15.75" x14ac:dyDescent="0.25">
      <c r="A113" s="3" t="str">
        <f>HYPERLINK("https://heavenlyouthouse.com/products/thymes-fresh-cut-basil-pura-smart-home-diffuser-refill", "https://heavenlyouthouse.com/products/thymes-fresh-cut-basil-pura-smart-home-diffuser-refill")</f>
        <v>https://heavenlyouthouse.com/products/thymes-fresh-cut-basil-pura-smart-home-diffuser-refill</v>
      </c>
      <c r="B113" s="3" t="str">
        <f>HYPERLINK("https://heavenlyouthouse.com/products/thymes-fresh-cut-basil-pura-smart-home-diffuser-refill", "https://heavenlyouthouse.com/products/thymes-fresh-cut-basil-pura-smart-home-diffuser-refill")</f>
        <v>https://heavenlyouthouse.com/products/thymes-fresh-cut-basil-pura-smart-home-diffuser-refill</v>
      </c>
      <c r="C113" t="s">
        <v>122</v>
      </c>
      <c r="D113" t="s">
        <v>435</v>
      </c>
      <c r="E113" s="3" t="str">
        <f>HYPERLINK("https://www.amazon.com/Thymes-Petite-Reed-Diffuser-Fresh-Cut/dp/B084C52SWG/ref=sr_1_3?keywords=Thymes+Fresh-Cut+Basil+Pura+Diffuser+Refill&amp;qid=1695258753&amp;sr=8-3", "https://www.amazon.com/Thymes-Petite-Reed-Diffuser-Fresh-Cut/dp/B084C52SWG/ref=sr_1_3?keywords=Thymes+Fresh-Cut+Basil+Pura+Diffuser+Refill&amp;qid=1695258753&amp;sr=8-3")</f>
        <v>https://www.amazon.com/Thymes-Petite-Reed-Diffuser-Fresh-Cut/dp/B084C52SWG/ref=sr_1_3?keywords=Thymes+Fresh-Cut+Basil+Pura+Diffuser+Refill&amp;qid=1695258753&amp;sr=8-3</v>
      </c>
      <c r="F113" t="s">
        <v>436</v>
      </c>
      <c r="G113" t="e">
        <f ca="1">IMAGE("https://heavenlyouthouse.com/cdn/shop/products/thymes-fresh-cut-basil-pura-smart-diffuser-refill.jpg?v=1657727543")</f>
        <v>#NAME?</v>
      </c>
      <c r="H113" t="e">
        <f ca="1">IMAGE("https://m.media-amazon.com/images/I/71-NgcdjcnL._AC_UL320_.jpg")</f>
        <v>#NAME?</v>
      </c>
      <c r="I113" t="s">
        <v>117</v>
      </c>
      <c r="J113">
        <v>46</v>
      </c>
      <c r="K113" s="2" t="s">
        <v>437</v>
      </c>
      <c r="L113">
        <v>4.3</v>
      </c>
      <c r="M113">
        <v>185</v>
      </c>
      <c r="O113" t="s">
        <v>39</v>
      </c>
      <c r="P113" t="s">
        <v>53</v>
      </c>
      <c r="Q113" t="s">
        <v>123</v>
      </c>
    </row>
    <row r="114" spans="1:17" ht="15.75" x14ac:dyDescent="0.25">
      <c r="A114" s="3" t="str">
        <f>HYPERLINK("https://heavenlyouthouse.com/products/copy-of-me-time-hand-rescue?variant=32318278107225", "https://heavenlyouthouse.com/products/copy-of-me-time-hand-rescue?variant=32318278107225")</f>
        <v>https://heavenlyouthouse.com/products/copy-of-me-time-hand-rescue?variant=32318278107225</v>
      </c>
      <c r="B114" s="3" t="str">
        <f>HYPERLINK("https://heavenlyouthouse.com/products/copy-of-me-time-hand-rescue", "https://heavenlyouthouse.com/products/copy-of-me-time-hand-rescue")</f>
        <v>https://heavenlyouthouse.com/products/copy-of-me-time-hand-rescue</v>
      </c>
      <c r="C114" t="s">
        <v>438</v>
      </c>
      <c r="D114" t="s">
        <v>144</v>
      </c>
      <c r="E114" s="3" t="str">
        <f>HYPERLINK("https://www.amazon.com/Walton-Wood-Farm-Vegan-Friendly-Paraben-Free/dp/B07NRL8V88/ref=sr_1_6?keywords=Week+From+Hell+Hand+Rescue&amp;qid=1695258818&amp;sr=8-6", "https://www.amazon.com/Walton-Wood-Farm-Vegan-Friendly-Paraben-Free/dp/B07NRL8V88/ref=sr_1_6?keywords=Week+From+Hell+Hand+Rescue&amp;qid=1695258818&amp;sr=8-6")</f>
        <v>https://www.amazon.com/Walton-Wood-Farm-Vegan-Friendly-Paraben-Free/dp/B07NRL8V88/ref=sr_1_6?keywords=Week+From+Hell+Hand+Rescue&amp;qid=1695258818&amp;sr=8-6</v>
      </c>
      <c r="F114" t="s">
        <v>145</v>
      </c>
      <c r="G114" t="e">
        <f ca="1">IMAGE("https://heavenlyouthouse.com/cdn/shop/products/weekfromhellhandrescue.jpg?v=1608166634")</f>
        <v>#NAME?</v>
      </c>
      <c r="H114" t="e">
        <f ca="1">IMAGE("https://m.media-amazon.com/images/I/51L4ELpd3qL._AC_UL320_.jpg")</f>
        <v>#NAME?</v>
      </c>
      <c r="I114" t="s">
        <v>439</v>
      </c>
      <c r="J114">
        <v>32.950000000000003</v>
      </c>
      <c r="K114" s="2" t="s">
        <v>437</v>
      </c>
      <c r="L114">
        <v>4.5</v>
      </c>
      <c r="M114">
        <v>12</v>
      </c>
      <c r="O114" t="s">
        <v>136</v>
      </c>
      <c r="P114" t="s">
        <v>39</v>
      </c>
      <c r="Q114" t="s">
        <v>440</v>
      </c>
    </row>
    <row r="115" spans="1:17" ht="15.75" x14ac:dyDescent="0.25">
      <c r="A115" s="3" t="str">
        <f>HYPERLINK("https://heavenlyouthouse.com/products/frasier-fir-votive-candle", "https://heavenlyouthouse.com/products/frasier-fir-votive-candle")</f>
        <v>https://heavenlyouthouse.com/products/frasier-fir-votive-candle</v>
      </c>
      <c r="B115" s="3" t="str">
        <f>HYPERLINK("https://heavenlyouthouse.com/products/frasier-fir-votive-candle", "https://heavenlyouthouse.com/products/frasier-fir-votive-candle")</f>
        <v>https://heavenlyouthouse.com/products/frasier-fir-votive-candle</v>
      </c>
      <c r="C115" t="s">
        <v>83</v>
      </c>
      <c r="D115" t="s">
        <v>441</v>
      </c>
      <c r="E115" s="3" t="str">
        <f>HYPERLINK("https://www.amazon.com/Thymes-Frasier-Fir-Candle-Set/dp/B0140PRD7I/ref=sr_1_6?keywords=Thymes+Frasier+Fir+Pine+Needle+Votive+Candle&amp;qid=1695258742&amp;sr=8-6", "https://www.amazon.com/Thymes-Frasier-Fir-Candle-Set/dp/B0140PRD7I/ref=sr_1_6?keywords=Thymes+Frasier+Fir+Pine+Needle+Votive+Candle&amp;qid=1695258742&amp;sr=8-6")</f>
        <v>https://www.amazon.com/Thymes-Frasier-Fir-Candle-Set/dp/B0140PRD7I/ref=sr_1_6?keywords=Thymes+Frasier+Fir+Pine+Needle+Votive+Candle&amp;qid=1695258742&amp;sr=8-6</v>
      </c>
      <c r="F115" t="s">
        <v>442</v>
      </c>
      <c r="G115" t="e">
        <f ca="1">IMAGE("https://heavenlyouthouse.com/cdn/shop/products/thymesfrasierfirvotivecandle.jpg?v=1603995950")</f>
        <v>#NAME?</v>
      </c>
      <c r="H115" t="e">
        <f ca="1">IMAGE("https://m.media-amazon.com/images/I/71tOjhmJH0L._AC_UL320_.jpg")</f>
        <v>#NAME?</v>
      </c>
      <c r="I115" t="s">
        <v>86</v>
      </c>
      <c r="J115">
        <v>38</v>
      </c>
      <c r="K115" s="2" t="s">
        <v>443</v>
      </c>
      <c r="L115">
        <v>4.7</v>
      </c>
      <c r="M115">
        <v>181</v>
      </c>
      <c r="O115" t="s">
        <v>39</v>
      </c>
      <c r="P115" t="s">
        <v>39</v>
      </c>
      <c r="Q115" t="s">
        <v>88</v>
      </c>
    </row>
    <row r="116" spans="1:17" ht="15.75" x14ac:dyDescent="0.25">
      <c r="A116" s="3" t="str">
        <f>HYPERLINK("https://heavenlyouthouse.com/products/thymes-eucalyptus-pura-smart-home-diffuser-refill", "https://heavenlyouthouse.com/products/thymes-eucalyptus-pura-smart-home-diffuser-refill")</f>
        <v>https://heavenlyouthouse.com/products/thymes-eucalyptus-pura-smart-home-diffuser-refill</v>
      </c>
      <c r="B116" s="3" t="str">
        <f>HYPERLINK("https://heavenlyouthouse.com/products/thymes-eucalyptus-pura-smart-home-diffuser-refill", "https://heavenlyouthouse.com/products/thymes-eucalyptus-pura-smart-home-diffuser-refill")</f>
        <v>https://heavenlyouthouse.com/products/thymes-eucalyptus-pura-smart-home-diffuser-refill</v>
      </c>
      <c r="C116" t="s">
        <v>120</v>
      </c>
      <c r="D116" t="s">
        <v>444</v>
      </c>
      <c r="E116" s="3" t="str">
        <f>HYPERLINK("https://www.amazon.com/Thymes-Eucalyptus-Smart-Diffuser-Refills/dp/B0BWBSGP1S/ref=sr_1_1?keywords=Thymes+Eucalyptus+Pura+Diffuser+Refill&amp;qid=1695258719&amp;sr=8-1", "https://www.amazon.com/Thymes-Eucalyptus-Smart-Diffuser-Refills/dp/B0BWBSGP1S/ref=sr_1_1?keywords=Thymes+Eucalyptus+Pura+Diffuser+Refill&amp;qid=1695258719&amp;sr=8-1")</f>
        <v>https://www.amazon.com/Thymes-Eucalyptus-Smart-Diffuser-Refills/dp/B0BWBSGP1S/ref=sr_1_1?keywords=Thymes+Eucalyptus+Pura+Diffuser+Refill&amp;qid=1695258719&amp;sr=8-1</v>
      </c>
      <c r="F116" t="s">
        <v>445</v>
      </c>
      <c r="G116" t="e">
        <f ca="1">IMAGE("https://heavenlyouthouse.com/cdn/shop/products/thymes-eucalyptus-pura-refill.jpg?v=1639184698")</f>
        <v>#NAME?</v>
      </c>
      <c r="H116" t="e">
        <f ca="1">IMAGE("https://m.media-amazon.com/images/I/61J1o4RwfLL._AC_UL320_.jpg")</f>
        <v>#NAME?</v>
      </c>
      <c r="I116" t="s">
        <v>117</v>
      </c>
      <c r="J116">
        <v>45</v>
      </c>
      <c r="K116" s="2" t="s">
        <v>446</v>
      </c>
      <c r="L116">
        <v>4.2</v>
      </c>
      <c r="M116">
        <v>234</v>
      </c>
      <c r="O116" t="s">
        <v>39</v>
      </c>
      <c r="P116" t="s">
        <v>39</v>
      </c>
      <c r="Q116" t="s">
        <v>121</v>
      </c>
    </row>
    <row r="117" spans="1:17" ht="15.75" x14ac:dyDescent="0.25">
      <c r="A117" s="3" t="str">
        <f>HYPERLINK("https://heavenlyouthouse.com/products/thymes-mandarin-coriander-pura-smart-home-diffuser-refill", "https://heavenlyouthouse.com/products/thymes-mandarin-coriander-pura-smart-home-diffuser-refill")</f>
        <v>https://heavenlyouthouse.com/products/thymes-mandarin-coriander-pura-smart-home-diffuser-refill</v>
      </c>
      <c r="B117" s="3" t="str">
        <f>HYPERLINK("https://heavenlyouthouse.com/products/thymes-mandarin-coriander-pura-smart-home-diffuser-refill", "https://heavenlyouthouse.com/products/thymes-mandarin-coriander-pura-smart-home-diffuser-refill")</f>
        <v>https://heavenlyouthouse.com/products/thymes-mandarin-coriander-pura-smart-home-diffuser-refill</v>
      </c>
      <c r="C117" t="s">
        <v>447</v>
      </c>
      <c r="D117" t="s">
        <v>448</v>
      </c>
      <c r="E117" s="3" t="str">
        <f>HYPERLINK("https://www.amazon.com/Thymes-Mandarin-Coriander-Diffuser-Refills/dp/B0BWC8V2Y7/ref=sr_1_1?keywords=Thymes+Mandarin+Coriander+Pura+Diffuser+Refill&amp;qid=1695258780&amp;sr=8-1", "https://www.amazon.com/Thymes-Mandarin-Coriander-Diffuser-Refills/dp/B0BWC8V2Y7/ref=sr_1_1?keywords=Thymes+Mandarin+Coriander+Pura+Diffuser+Refill&amp;qid=1695258780&amp;sr=8-1")</f>
        <v>https://www.amazon.com/Thymes-Mandarin-Coriander-Diffuser-Refills/dp/B0BWC8V2Y7/ref=sr_1_1?keywords=Thymes+Mandarin+Coriander+Pura+Diffuser+Refill&amp;qid=1695258780&amp;sr=8-1</v>
      </c>
      <c r="F117" t="s">
        <v>449</v>
      </c>
      <c r="G117" t="e">
        <f ca="1">IMAGE("https://heavenlyouthouse.com/cdn/shop/products/thymes-mandarin-coriander-pura-smart-diffuser-refill.jpg?v=1651851109")</f>
        <v>#NAME?</v>
      </c>
      <c r="H117" t="e">
        <f ca="1">IMAGE("https://m.media-amazon.com/images/I/61gPxekqQKL._AC_UL320_.jpg")</f>
        <v>#NAME?</v>
      </c>
      <c r="I117" t="s">
        <v>117</v>
      </c>
      <c r="J117">
        <v>45</v>
      </c>
      <c r="K117" s="2" t="s">
        <v>446</v>
      </c>
      <c r="L117">
        <v>4.2</v>
      </c>
      <c r="M117">
        <v>234</v>
      </c>
      <c r="O117" t="s">
        <v>39</v>
      </c>
      <c r="P117" t="s">
        <v>39</v>
      </c>
      <c r="Q117" t="s">
        <v>450</v>
      </c>
    </row>
    <row r="118" spans="1:17" ht="15.75" x14ac:dyDescent="0.25">
      <c r="A118" s="3" t="str">
        <f>HYPERLINK("https://heavenlyouthouse.com/products/totally-my-jam-card", "https://heavenlyouthouse.com/products/totally-my-jam-card")</f>
        <v>https://heavenlyouthouse.com/products/totally-my-jam-card</v>
      </c>
      <c r="B118" s="3" t="str">
        <f>HYPERLINK("https://heavenlyouthouse.com/products/totally-my-jam-card", "https://heavenlyouthouse.com/products/totally-my-jam-card")</f>
        <v>https://heavenlyouthouse.com/products/totally-my-jam-card</v>
      </c>
      <c r="C118" t="s">
        <v>451</v>
      </c>
      <c r="D118" t="s">
        <v>452</v>
      </c>
      <c r="E118" s="3" t="str">
        <f>HYPERLINK("https://www.amazon.com/Totally-Valentines-Classmates-Envelopes-AmandaCreation/dp/B08PW4JPFG/ref=sr_1_2?keywords=You%27re+Totally+My+Jam+Card&amp;qid=1695258835&amp;sr=8-2", "https://www.amazon.com/Totally-Valentines-Classmates-Envelopes-AmandaCreation/dp/B08PW4JPFG/ref=sr_1_2?keywords=You%27re+Totally+My+Jam+Card&amp;qid=1695258835&amp;sr=8-2")</f>
        <v>https://www.amazon.com/Totally-Valentines-Classmates-Envelopes-AmandaCreation/dp/B08PW4JPFG/ref=sr_1_2?keywords=You%27re+Totally+My+Jam+Card&amp;qid=1695258835&amp;sr=8-2</v>
      </c>
      <c r="F118" t="s">
        <v>453</v>
      </c>
      <c r="G118" t="e">
        <f ca="1">IMAGE("https://heavenlyouthouse.com/cdn/shop/files/totally-my-jam-card5_300x300.jpg?v=1692035564")</f>
        <v>#NAME?</v>
      </c>
      <c r="H118" t="e">
        <f ca="1">IMAGE("https://m.media-amazon.com/images/I/61Helsy7zjL._AC_UL320_.jpg")</f>
        <v>#NAME?</v>
      </c>
      <c r="I118" t="s">
        <v>454</v>
      </c>
      <c r="J118">
        <v>14.99</v>
      </c>
      <c r="K118" s="2" t="s">
        <v>455</v>
      </c>
      <c r="L118">
        <v>5</v>
      </c>
      <c r="M118">
        <v>4</v>
      </c>
      <c r="O118" t="s">
        <v>39</v>
      </c>
      <c r="P118" t="s">
        <v>39</v>
      </c>
      <c r="Q118" t="s">
        <v>456</v>
      </c>
    </row>
    <row r="119" spans="1:17" ht="15.75" x14ac:dyDescent="0.25">
      <c r="A119" s="3" t="str">
        <f>HYPERLINK("https://heavenlyouthouse.com/products/youre-my-butter-half-love-card", "https://heavenlyouthouse.com/products/youre-my-butter-half-love-card")</f>
        <v>https://heavenlyouthouse.com/products/youre-my-butter-half-love-card</v>
      </c>
      <c r="B119" s="3" t="str">
        <f>HYPERLINK("https://heavenlyouthouse.com/products/youre-my-butter-half-love-card", "https://heavenlyouthouse.com/products/youre-my-butter-half-love-card")</f>
        <v>https://heavenlyouthouse.com/products/youre-my-butter-half-love-card</v>
      </c>
      <c r="C119" t="s">
        <v>457</v>
      </c>
      <c r="D119" t="s">
        <v>452</v>
      </c>
      <c r="E119" s="3" t="str">
        <f>HYPERLINK("https://www.amazon.com/Totally-Valentines-Classmates-Envelopes-AmandaCreation/dp/B08PW4JPFG/ref=sr_1_1?keywords=You%27re+My+Butter+Half+Valentine%27s+Day+Card&amp;qid=1695258836&amp;sr=8-1", "https://www.amazon.com/Totally-Valentines-Classmates-Envelopes-AmandaCreation/dp/B08PW4JPFG/ref=sr_1_1?keywords=You%27re+My+Butter+Half+Valentine%27s+Day+Card&amp;qid=1695258836&amp;sr=8-1")</f>
        <v>https://www.amazon.com/Totally-Valentines-Classmates-Envelopes-AmandaCreation/dp/B08PW4JPFG/ref=sr_1_1?keywords=You%27re+My+Butter+Half+Valentine%27s+Day+Card&amp;qid=1695258836&amp;sr=8-1</v>
      </c>
      <c r="F119" t="s">
        <v>453</v>
      </c>
      <c r="G119" t="e">
        <f ca="1">IMAGE("https://heavenlyouthouse.com/cdn/shop/files/https___images.salsify.com_image_upload_q_70_otc91jh250m8x2z12cbb_300x300.jpg?v=1685401797")</f>
        <v>#NAME?</v>
      </c>
      <c r="H119" t="e">
        <f ca="1">IMAGE("https://m.media-amazon.com/images/I/61Helsy7zjL._AC_UL320_.jpg")</f>
        <v>#NAME?</v>
      </c>
      <c r="I119" t="s">
        <v>454</v>
      </c>
      <c r="J119">
        <v>14.99</v>
      </c>
      <c r="K119" s="2" t="s">
        <v>455</v>
      </c>
      <c r="L119">
        <v>5</v>
      </c>
      <c r="M119">
        <v>4</v>
      </c>
      <c r="O119" t="s">
        <v>39</v>
      </c>
      <c r="P119" t="s">
        <v>39</v>
      </c>
      <c r="Q119" t="s">
        <v>458</v>
      </c>
    </row>
    <row r="120" spans="1:17" ht="15.75" x14ac:dyDescent="0.25">
      <c r="A120" s="3" t="str">
        <f>HYPERLINK("https://heavenlyouthouse.com/products/vanilla-coconut-lip-butter", "https://heavenlyouthouse.com/products/vanilla-coconut-lip-butter")</f>
        <v>https://heavenlyouthouse.com/products/vanilla-coconut-lip-butter</v>
      </c>
      <c r="B120" s="3" t="str">
        <f>HYPERLINK("https://heavenlyouthouse.com/products/vanilla-coconut-lip-butter", "https://heavenlyouthouse.com/products/vanilla-coconut-lip-butter")</f>
        <v>https://heavenlyouthouse.com/products/vanilla-coconut-lip-butter</v>
      </c>
      <c r="C120" t="s">
        <v>179</v>
      </c>
      <c r="D120" t="s">
        <v>459</v>
      </c>
      <c r="E120" s="3" t="str">
        <f>HYPERLINK("https://www.amazon.com/Soothing-Touch-Vegan-Lip-Balm/dp/B08VHQSL8V/ref=sr_1_8?keywords=Vanilla+Coconut+Lip+Butter&amp;qid=1695258806&amp;sr=8-8", "https://www.amazon.com/Soothing-Touch-Vegan-Lip-Balm/dp/B08VHQSL8V/ref=sr_1_8?keywords=Vanilla+Coconut+Lip+Butter&amp;qid=1695258806&amp;sr=8-8")</f>
        <v>https://www.amazon.com/Soothing-Touch-Vegan-Lip-Balm/dp/B08VHQSL8V/ref=sr_1_8?keywords=Vanilla+Coconut+Lip+Butter&amp;qid=1695258806&amp;sr=8-8</v>
      </c>
      <c r="F120" t="s">
        <v>460</v>
      </c>
      <c r="G120" t="e">
        <f ca="1">IMAGE("https://heavenlyouthouse.com/cdn/shop/products/vanilla_coconut_lip_butter_2000x_a349e62e-0577-4340-b194-e2f9012f9936.jpg?v=1587831837")</f>
        <v>#NAME?</v>
      </c>
      <c r="H120" t="e">
        <f ca="1">IMAGE("https://m.media-amazon.com/images/I/51LXBO2m6cL._AC_UL320_.jpg")</f>
        <v>#NAME?</v>
      </c>
      <c r="I120" t="s">
        <v>92</v>
      </c>
      <c r="J120">
        <v>14</v>
      </c>
      <c r="K120" s="2" t="s">
        <v>455</v>
      </c>
      <c r="L120">
        <v>4.7</v>
      </c>
      <c r="M120">
        <v>112</v>
      </c>
      <c r="O120" t="s">
        <v>39</v>
      </c>
      <c r="P120" t="s">
        <v>39</v>
      </c>
      <c r="Q120" t="s">
        <v>183</v>
      </c>
    </row>
    <row r="121" spans="1:17" ht="15.75" x14ac:dyDescent="0.25">
      <c r="A121" s="3" t="str">
        <f>HYPERLINK("https://heavenlyouthouse.com/products/pumpkin-soap", "https://heavenlyouthouse.com/products/pumpkin-soap")</f>
        <v>https://heavenlyouthouse.com/products/pumpkin-soap</v>
      </c>
      <c r="B121" s="3" t="str">
        <f>HYPERLINK("https://heavenlyouthouse.com/products/pumpkin-soap", "https://heavenlyouthouse.com/products/pumpkin-soap")</f>
        <v>https://heavenlyouthouse.com/products/pumpkin-soap</v>
      </c>
      <c r="C121" t="s">
        <v>157</v>
      </c>
      <c r="D121" t="s">
        <v>461</v>
      </c>
      <c r="E121" s="3" t="str">
        <f>HYPERLINK("https://www.amazon.com/Michel-Design-Works-Large-Pumpkin/dp/B0B3Z344PC/ref=sr_1_10?keywords=Pumpkin+Soap&amp;qid=1695258671&amp;sr=8-10", "https://www.amazon.com/Michel-Design-Works-Large-Pumpkin/dp/B0B3Z344PC/ref=sr_1_10?keywords=Pumpkin+Soap&amp;qid=1695258671&amp;sr=8-10")</f>
        <v>https://www.amazon.com/Michel-Design-Works-Large-Pumpkin/dp/B0B3Z344PC/ref=sr_1_10?keywords=Pumpkin+Soap&amp;qid=1695258671&amp;sr=8-10</v>
      </c>
      <c r="F121" t="s">
        <v>462</v>
      </c>
      <c r="G121" t="e">
        <f ca="1">IMAGE("https://heavenlyouthouse.com/cdn/shop/products/Pumpkin_Bar-Soap_2048_2000x_6b1d5e1f-2b42-45d8-85e4-bc5e350eb2be.jpg?v=1586787951")</f>
        <v>#NAME?</v>
      </c>
      <c r="H121" t="e">
        <f ca="1">IMAGE("https://m.media-amazon.com/images/I/71zxO7ZzpTL._AC_UL320_.jpg")</f>
        <v>#NAME?</v>
      </c>
      <c r="I121" t="s">
        <v>92</v>
      </c>
      <c r="J121">
        <v>13.99</v>
      </c>
      <c r="K121" s="2" t="s">
        <v>455</v>
      </c>
      <c r="L121">
        <v>4.7</v>
      </c>
      <c r="M121">
        <v>494</v>
      </c>
      <c r="O121" t="s">
        <v>39</v>
      </c>
      <c r="P121" t="s">
        <v>39</v>
      </c>
      <c r="Q121" t="s">
        <v>161</v>
      </c>
    </row>
    <row r="122" spans="1:17" ht="15.75" x14ac:dyDescent="0.25">
      <c r="A122" s="3" t="str">
        <f>HYPERLINK("https://heavenlyouthouse.com/products/rosemary-shampoo-bar-soap", "https://heavenlyouthouse.com/products/rosemary-shampoo-bar-soap")</f>
        <v>https://heavenlyouthouse.com/products/rosemary-shampoo-bar-soap</v>
      </c>
      <c r="B122" s="3" t="str">
        <f>HYPERLINK("https://heavenlyouthouse.com/products/rosemary-shampoo-bar-soap", "https://heavenlyouthouse.com/products/rosemary-shampoo-bar-soap")</f>
        <v>https://heavenlyouthouse.com/products/rosemary-shampoo-bar-soap</v>
      </c>
      <c r="C122" t="s">
        <v>290</v>
      </c>
      <c r="D122" t="s">
        <v>463</v>
      </c>
      <c r="E122" s="3" t="str">
        <f>HYPERLINK("https://www.amazon.com/Hair-Strengthening-Balanced-Chemicals-Concentration/dp/B0C154RFVK/ref=sr_1_6?keywords=Rosemary+Shampoo+Bar+Soap&amp;qid=1695258676&amp;sr=8-6", "https://www.amazon.com/Hair-Strengthening-Balanced-Chemicals-Concentration/dp/B0C154RFVK/ref=sr_1_6?keywords=Rosemary+Shampoo+Bar+Soap&amp;qid=1695258676&amp;sr=8-6")</f>
        <v>https://www.amazon.com/Hair-Strengthening-Balanced-Chemicals-Concentration/dp/B0C154RFVK/ref=sr_1_6?keywords=Rosemary+Shampoo+Bar+Soap&amp;qid=1695258676&amp;sr=8-6</v>
      </c>
      <c r="F122" t="s">
        <v>464</v>
      </c>
      <c r="G122" t="e">
        <f ca="1">IMAGE("https://heavenlyouthouse.com/cdn/shop/products/Rosemary-Shampoo-Bar_Bar-Soap_2000x_09aa253a-642f-40e6-b2b3-81ca57f74784.jpg?v=1586802089")</f>
        <v>#NAME?</v>
      </c>
      <c r="H122" t="e">
        <f ca="1">IMAGE("https://m.media-amazon.com/images/I/81ap4PSjfxL._AC_UL320_.jpg")</f>
        <v>#NAME?</v>
      </c>
      <c r="I122" t="s">
        <v>92</v>
      </c>
      <c r="J122">
        <v>13.95</v>
      </c>
      <c r="K122" s="2" t="s">
        <v>465</v>
      </c>
      <c r="L122">
        <v>4.0999999999999996</v>
      </c>
      <c r="M122">
        <v>10</v>
      </c>
      <c r="O122" t="s">
        <v>39</v>
      </c>
      <c r="P122" t="s">
        <v>39</v>
      </c>
      <c r="Q122" t="s">
        <v>294</v>
      </c>
    </row>
    <row r="123" spans="1:17" ht="15.75" x14ac:dyDescent="0.25">
      <c r="A123" s="3" t="str">
        <f>HYPERLINK("https://heavenlyouthouse.com/products/vanilla-coconut-butter", "https://heavenlyouthouse.com/products/vanilla-coconut-butter")</f>
        <v>https://heavenlyouthouse.com/products/vanilla-coconut-butter</v>
      </c>
      <c r="B123" s="3" t="str">
        <f>HYPERLINK("https://heavenlyouthouse.com/products/vanilla-coconut-butter", "https://heavenlyouthouse.com/products/vanilla-coconut-butter")</f>
        <v>https://heavenlyouthouse.com/products/vanilla-coconut-butter</v>
      </c>
      <c r="C123" t="s">
        <v>309</v>
      </c>
      <c r="D123" t="s">
        <v>466</v>
      </c>
      <c r="E123" s="3" t="str">
        <f>HYPERLINK("https://www.amazon.com/Tree-Hut-Vanilla-Bundled-Whipped/dp/B0BX4RXP3C/ref=sr_1_9?keywords=Vanilla+Coconut+Body+Butter&amp;qid=1695258804&amp;sr=8-9", "https://www.amazon.com/Tree-Hut-Vanilla-Bundled-Whipped/dp/B0BX4RXP3C/ref=sr_1_9?keywords=Vanilla+Coconut+Body+Butter&amp;qid=1695258804&amp;sr=8-9")</f>
        <v>https://www.amazon.com/Tree-Hut-Vanilla-Bundled-Whipped/dp/B0BX4RXP3C/ref=sr_1_9?keywords=Vanilla+Coconut+Body+Butter&amp;qid=1695258804&amp;sr=8-9</v>
      </c>
      <c r="F123" t="s">
        <v>467</v>
      </c>
      <c r="G123" t="e">
        <f ca="1">IMAGE("https://heavenlyouthouse.com/cdn/shop/products/vanilla-coconut-body-butter_2000x_5ad751a5-f997-4412-b034-d7b35819d9d9.jpg?v=1588193267")</f>
        <v>#NAME?</v>
      </c>
      <c r="H123" t="e">
        <f ca="1">IMAGE("https://m.media-amazon.com/images/I/61flp0cpDiL._AC_UL320_.jpg")</f>
        <v>#NAME?</v>
      </c>
      <c r="I123" t="s">
        <v>233</v>
      </c>
      <c r="J123">
        <v>27.99</v>
      </c>
      <c r="K123" s="2" t="s">
        <v>465</v>
      </c>
      <c r="L123">
        <v>4.3</v>
      </c>
      <c r="M123">
        <v>47</v>
      </c>
      <c r="O123" t="s">
        <v>39</v>
      </c>
      <c r="P123" t="s">
        <v>39</v>
      </c>
      <c r="Q123" t="s">
        <v>313</v>
      </c>
    </row>
    <row r="124" spans="1:17" ht="15.75" x14ac:dyDescent="0.25">
      <c r="A124" s="3" t="str">
        <f>HYPERLINK("https://heavenlyouthouse.com/products/thymes-frasier-fir-votive-candle-set", "https://heavenlyouthouse.com/products/thymes-frasier-fir-votive-candle-set")</f>
        <v>https://heavenlyouthouse.com/products/thymes-frasier-fir-votive-candle-set</v>
      </c>
      <c r="B124" s="3" t="str">
        <f>HYPERLINK("https://heavenlyouthouse.com/products/thymes-frasier-fir-votive-candle-set", "https://heavenlyouthouse.com/products/thymes-frasier-fir-votive-candle-set")</f>
        <v>https://heavenlyouthouse.com/products/thymes-frasier-fir-votive-candle-set</v>
      </c>
      <c r="C124" t="s">
        <v>285</v>
      </c>
      <c r="D124" t="s">
        <v>254</v>
      </c>
      <c r="E124" s="3" t="str">
        <f>HYPERLINK("https://www.amazon.com/Thymes-Candle-Oz-Frasier-Fir/dp/B07Q2D8245/ref=sr_1_2?keywords=Thymes+Frasier+Fir+Votive+Candle+3+Pack&amp;qid=1695258743&amp;sr=8-2", "https://www.amazon.com/Thymes-Candle-Oz-Frasier-Fir/dp/B07Q2D8245/ref=sr_1_2?keywords=Thymes+Frasier+Fir+Votive+Candle+3+Pack&amp;qid=1695258743&amp;sr=8-2")</f>
        <v>https://www.amazon.com/Thymes-Candle-Oz-Frasier-Fir/dp/B07Q2D8245/ref=sr_1_2?keywords=Thymes+Frasier+Fir+Votive+Candle+3+Pack&amp;qid=1695258743&amp;sr=8-2</v>
      </c>
      <c r="F124" t="s">
        <v>255</v>
      </c>
      <c r="G124" t="e">
        <f ca="1">IMAGE("https://heavenlyouthouse.com/cdn/shop/products/thymes-Frasier-Fir-votive-candle-set.jpg?v=1640187779")</f>
        <v>#NAME?</v>
      </c>
      <c r="H124" t="e">
        <f ca="1">IMAGE("https://m.media-amazon.com/images/I/61d9AxRt-WL._AC_UL320_.jpg")</f>
        <v>#NAME?</v>
      </c>
      <c r="I124" t="s">
        <v>286</v>
      </c>
      <c r="J124">
        <v>52</v>
      </c>
      <c r="K124" s="2" t="s">
        <v>468</v>
      </c>
      <c r="L124">
        <v>5</v>
      </c>
      <c r="M124">
        <v>5</v>
      </c>
      <c r="O124" t="s">
        <v>39</v>
      </c>
      <c r="P124" t="s">
        <v>288</v>
      </c>
      <c r="Q124" t="s">
        <v>289</v>
      </c>
    </row>
    <row r="125" spans="1:17" ht="15.75" x14ac:dyDescent="0.25">
      <c r="A125" s="3" t="str">
        <f>HYPERLINK("https://heavenlyouthouse.com/products/rainbow-anniversary-card", "https://heavenlyouthouse.com/products/rainbow-anniversary-card")</f>
        <v>https://heavenlyouthouse.com/products/rainbow-anniversary-card</v>
      </c>
      <c r="B125" s="3" t="str">
        <f>HYPERLINK("https://heavenlyouthouse.com/products/rainbow-anniversary-card", "https://heavenlyouthouse.com/products/rainbow-anniversary-card")</f>
        <v>https://heavenlyouthouse.com/products/rainbow-anniversary-card</v>
      </c>
      <c r="C125" t="s">
        <v>411</v>
      </c>
      <c r="D125" t="s">
        <v>469</v>
      </c>
      <c r="E125" s="3" t="str">
        <f>HYPERLINK("https://www.amazon.com/22CRAFT-Rainbow-Birthday-Anniversary-Valentines/dp/B0C4SW8V51/ref=sr_1_6?keywords=Rainbow+Anniversary+Card&amp;qid=1695258657&amp;sr=8-6", "https://www.amazon.com/22CRAFT-Rainbow-Birthday-Anniversary-Valentines/dp/B0C4SW8V51/ref=sr_1_6?keywords=Rainbow+Anniversary+Card&amp;qid=1695258657&amp;sr=8-6")</f>
        <v>https://www.amazon.com/22CRAFT-Rainbow-Birthday-Anniversary-Valentines/dp/B0C4SW8V51/ref=sr_1_6?keywords=Rainbow+Anniversary+Card&amp;qid=1695258657&amp;sr=8-6</v>
      </c>
      <c r="F125" t="s">
        <v>470</v>
      </c>
      <c r="G125" t="e">
        <f ca="1">IMAGE("https://heavenlyouthouse.com/cdn/shop/files/rainbow-anniversary-card3_300x300.jpg?v=1692036950")</f>
        <v>#NAME?</v>
      </c>
      <c r="H125" t="e">
        <f ca="1">IMAGE("https://m.media-amazon.com/images/I/81usCFqFH4L._AC_UL320_.jpg")</f>
        <v>#NAME?</v>
      </c>
      <c r="I125" t="s">
        <v>414</v>
      </c>
      <c r="J125">
        <v>11.99</v>
      </c>
      <c r="K125" s="2" t="s">
        <v>471</v>
      </c>
      <c r="L125">
        <v>5</v>
      </c>
      <c r="M125">
        <v>8</v>
      </c>
      <c r="O125" t="s">
        <v>39</v>
      </c>
      <c r="P125" t="s">
        <v>416</v>
      </c>
      <c r="Q125" t="s">
        <v>417</v>
      </c>
    </row>
    <row r="126" spans="1:17" ht="15.75" x14ac:dyDescent="0.25">
      <c r="A126" s="3" t="str">
        <f>HYPERLINK("https://heavenlyouthouse.com/products/rainbow-anniversary-card", "https://heavenlyouthouse.com/products/rainbow-anniversary-card")</f>
        <v>https://heavenlyouthouse.com/products/rainbow-anniversary-card</v>
      </c>
      <c r="B126" s="3" t="str">
        <f>HYPERLINK("https://heavenlyouthouse.com/products/rainbow-anniversary-card", "https://heavenlyouthouse.com/products/rainbow-anniversary-card")</f>
        <v>https://heavenlyouthouse.com/products/rainbow-anniversary-card</v>
      </c>
      <c r="C126" t="s">
        <v>411</v>
      </c>
      <c r="D126" t="s">
        <v>472</v>
      </c>
      <c r="E126" s="3" t="str">
        <f>HYPERLINK("https://www.amazon.com/Liif-Love-Bears-Couple-Greeting/dp/B08GTRRHNV/ref=sr_1_3?keywords=Rainbow+Anniversary+Card&amp;qid=1695258657&amp;sr=8-3", "https://www.amazon.com/Liif-Love-Bears-Couple-Greeting/dp/B08GTRRHNV/ref=sr_1_3?keywords=Rainbow+Anniversary+Card&amp;qid=1695258657&amp;sr=8-3")</f>
        <v>https://www.amazon.com/Liif-Love-Bears-Couple-Greeting/dp/B08GTRRHNV/ref=sr_1_3?keywords=Rainbow+Anniversary+Card&amp;qid=1695258657&amp;sr=8-3</v>
      </c>
      <c r="F126" t="s">
        <v>473</v>
      </c>
      <c r="G126" t="e">
        <f ca="1">IMAGE("https://heavenlyouthouse.com/cdn/shop/files/rainbow-anniversary-card3_300x300.jpg?v=1692036950")</f>
        <v>#NAME?</v>
      </c>
      <c r="H126" t="e">
        <f ca="1">IMAGE("https://m.media-amazon.com/images/I/81er4k3VU7L._AC_UL320_.jpg")</f>
        <v>#NAME?</v>
      </c>
      <c r="I126" t="s">
        <v>414</v>
      </c>
      <c r="J126">
        <v>11.95</v>
      </c>
      <c r="K126" s="2" t="s">
        <v>474</v>
      </c>
      <c r="L126">
        <v>4.9000000000000004</v>
      </c>
      <c r="M126">
        <v>163</v>
      </c>
      <c r="O126" t="s">
        <v>39</v>
      </c>
      <c r="P126" t="s">
        <v>416</v>
      </c>
      <c r="Q126" t="s">
        <v>417</v>
      </c>
    </row>
    <row r="127" spans="1:17" ht="15.75" x14ac:dyDescent="0.25">
      <c r="A127" s="3" t="str">
        <f>HYPERLINK("https://heavenlyouthouse.com/products/goldleaf-gardenia-hand-wash", "https://heavenlyouthouse.com/products/goldleaf-gardenia-hand-wash")</f>
        <v>https://heavenlyouthouse.com/products/goldleaf-gardenia-hand-wash</v>
      </c>
      <c r="B127" s="3" t="str">
        <f>HYPERLINK("https://heavenlyouthouse.com/products/goldleaf-gardenia-hand-wash", "https://heavenlyouthouse.com/products/goldleaf-gardenia-hand-wash")</f>
        <v>https://heavenlyouthouse.com/products/goldleaf-gardenia-hand-wash</v>
      </c>
      <c r="C127" t="s">
        <v>475</v>
      </c>
      <c r="D127" t="s">
        <v>476</v>
      </c>
      <c r="E127" s="3" t="str">
        <f>HYPERLINK("https://www.amazon.com/Thymes-Fragrance-Duo-Goldleaf-Gardenia/dp/B08CVSFY68/ref=sr_1_6?keywords=Thymes+Goldleaf+Gardenia+Hand+Wash&amp;qid=1695258751&amp;sr=8-6", "https://www.amazon.com/Thymes-Fragrance-Duo-Goldleaf-Gardenia/dp/B08CVSFY68/ref=sr_1_6?keywords=Thymes+Goldleaf+Gardenia+Hand+Wash&amp;qid=1695258751&amp;sr=8-6")</f>
        <v>https://www.amazon.com/Thymes-Fragrance-Duo-Goldleaf-Gardenia/dp/B08CVSFY68/ref=sr_1_6?keywords=Thymes+Goldleaf+Gardenia+Hand+Wash&amp;qid=1695258751&amp;sr=8-6</v>
      </c>
      <c r="F127" t="s">
        <v>477</v>
      </c>
      <c r="G127" t="e">
        <f ca="1">IMAGE("https://heavenlyouthouse.com/cdn/shop/files/thymes-goldleaf-gardenia-hand-wash.jpg?v=1685637533")</f>
        <v>#NAME?</v>
      </c>
      <c r="H127" t="e">
        <f ca="1">IMAGE("https://m.media-amazon.com/images/I/61pGBHmk-NL._AC_UL320_.jpg")</f>
        <v>#NAME?</v>
      </c>
      <c r="I127" t="s">
        <v>86</v>
      </c>
      <c r="J127">
        <v>36</v>
      </c>
      <c r="K127" s="2" t="s">
        <v>474</v>
      </c>
      <c r="L127">
        <v>4.4000000000000004</v>
      </c>
      <c r="M127">
        <v>57</v>
      </c>
      <c r="O127" t="s">
        <v>39</v>
      </c>
      <c r="P127" t="s">
        <v>39</v>
      </c>
      <c r="Q127" t="s">
        <v>478</v>
      </c>
    </row>
    <row r="128" spans="1:17" ht="15.75" x14ac:dyDescent="0.25">
      <c r="A128" s="3" t="str">
        <f>HYPERLINK("https://heavenlyouthouse.com/products/goldleaf-hand-wash", "https://heavenlyouthouse.com/products/goldleaf-hand-wash")</f>
        <v>https://heavenlyouthouse.com/products/goldleaf-hand-wash</v>
      </c>
      <c r="B128" s="3" t="str">
        <f>HYPERLINK("https://heavenlyouthouse.com/products/goldleaf-hand-wash", "https://heavenlyouthouse.com/products/goldleaf-hand-wash")</f>
        <v>https://heavenlyouthouse.com/products/goldleaf-hand-wash</v>
      </c>
      <c r="C128" t="s">
        <v>479</v>
      </c>
      <c r="D128" t="s">
        <v>480</v>
      </c>
      <c r="E128" s="3" t="str">
        <f>HYPERLINK("https://www.amazon.com/Thymes-Fragrance-Duo-Goldleaf/dp/B08CVSR74R/ref=sr_1_5?keywords=Thymes+Goldleaf+Hand+Wash&amp;qid=1695258748&amp;sr=8-5", "https://www.amazon.com/Thymes-Fragrance-Duo-Goldleaf/dp/B08CVSR74R/ref=sr_1_5?keywords=Thymes+Goldleaf+Hand+Wash&amp;qid=1695258748&amp;sr=8-5")</f>
        <v>https://www.amazon.com/Thymes-Fragrance-Duo-Goldleaf/dp/B08CVSR74R/ref=sr_1_5?keywords=Thymes+Goldleaf+Hand+Wash&amp;qid=1695258748&amp;sr=8-5</v>
      </c>
      <c r="F128" t="s">
        <v>481</v>
      </c>
      <c r="G128" t="e">
        <f ca="1">IMAGE("https://heavenlyouthouse.com/cdn/shop/products/thymes-goldleaf-hand-wash_790c7a89-90bf-4dfd-9a28-50e8cdfd1678.png?v=1652276960")</f>
        <v>#NAME?</v>
      </c>
      <c r="H128" t="e">
        <f ca="1">IMAGE("https://m.media-amazon.com/images/I/61DyKU680bL._AC_UL320_.jpg")</f>
        <v>#NAME?</v>
      </c>
      <c r="I128" t="s">
        <v>86</v>
      </c>
      <c r="J128">
        <v>36</v>
      </c>
      <c r="K128" s="2" t="s">
        <v>474</v>
      </c>
      <c r="L128">
        <v>4.4000000000000004</v>
      </c>
      <c r="M128">
        <v>57</v>
      </c>
      <c r="O128" t="s">
        <v>39</v>
      </c>
      <c r="P128" t="s">
        <v>39</v>
      </c>
      <c r="Q128" t="s">
        <v>482</v>
      </c>
    </row>
    <row r="129" spans="1:17" ht="15.75" x14ac:dyDescent="0.25">
      <c r="A129" s="3" t="str">
        <f>HYPERLINK("https://heavenlyouthouse.com/products/goldleaf-hand-lotion", "https://heavenlyouthouse.com/products/goldleaf-hand-lotion")</f>
        <v>https://heavenlyouthouse.com/products/goldleaf-hand-lotion</v>
      </c>
      <c r="B129" s="3" t="str">
        <f>HYPERLINK("https://heavenlyouthouse.com/products/goldleaf-hand-lotion", "https://heavenlyouthouse.com/products/goldleaf-hand-lotion")</f>
        <v>https://heavenlyouthouse.com/products/goldleaf-hand-lotion</v>
      </c>
      <c r="C129" t="s">
        <v>483</v>
      </c>
      <c r="D129" t="s">
        <v>480</v>
      </c>
      <c r="E129" s="3" t="str">
        <f>HYPERLINK("https://www.amazon.com/Thymes-Fragrance-Duo-Goldleaf/dp/B08CVSR74R/ref=sr_1_6?keywords=Thymes+Goldleaf+Hand+Lotion&amp;qid=1695258754&amp;sr=8-6", "https://www.amazon.com/Thymes-Fragrance-Duo-Goldleaf/dp/B08CVSR74R/ref=sr_1_6?keywords=Thymes+Goldleaf+Hand+Lotion&amp;qid=1695258754&amp;sr=8-6")</f>
        <v>https://www.amazon.com/Thymes-Fragrance-Duo-Goldleaf/dp/B08CVSR74R/ref=sr_1_6?keywords=Thymes+Goldleaf+Hand+Lotion&amp;qid=1695258754&amp;sr=8-6</v>
      </c>
      <c r="F129" t="s">
        <v>481</v>
      </c>
      <c r="G129" t="e">
        <f ca="1">IMAGE("https://heavenlyouthouse.com/cdn/shop/products/thymes-goldleaf-perfumed-hand-lotion_dd6a35dd-31ad-4f2b-818b-b81ebf314b0f.png?v=1652276946")</f>
        <v>#NAME?</v>
      </c>
      <c r="H129" t="e">
        <f ca="1">IMAGE("https://m.media-amazon.com/images/I/61DyKU680bL._AC_UL320_.jpg")</f>
        <v>#NAME?</v>
      </c>
      <c r="I129" t="s">
        <v>86</v>
      </c>
      <c r="J129">
        <v>36</v>
      </c>
      <c r="K129" s="2" t="s">
        <v>474</v>
      </c>
      <c r="L129">
        <v>4.4000000000000004</v>
      </c>
      <c r="M129">
        <v>57</v>
      </c>
      <c r="O129" t="s">
        <v>39</v>
      </c>
      <c r="P129" t="s">
        <v>484</v>
      </c>
      <c r="Q129" t="s">
        <v>485</v>
      </c>
    </row>
    <row r="130" spans="1:17" ht="15.75" x14ac:dyDescent="0.25">
      <c r="A130" s="3" t="str">
        <f>HYPERLINK("https://heavenlyouthouse.com/products/goldleaf-gardenia-hand-lotion", "https://heavenlyouthouse.com/products/goldleaf-gardenia-hand-lotion")</f>
        <v>https://heavenlyouthouse.com/products/goldleaf-gardenia-hand-lotion</v>
      </c>
      <c r="B130" s="3" t="str">
        <f>HYPERLINK("https://heavenlyouthouse.com/products/goldleaf-gardenia-hand-lotion", "https://heavenlyouthouse.com/products/goldleaf-gardenia-hand-lotion")</f>
        <v>https://heavenlyouthouse.com/products/goldleaf-gardenia-hand-lotion</v>
      </c>
      <c r="C130" t="s">
        <v>486</v>
      </c>
      <c r="D130" t="s">
        <v>476</v>
      </c>
      <c r="E130" s="3" t="str">
        <f>HYPERLINK("https://www.amazon.com/Thymes-Fragrance-Duo-Goldleaf-Gardenia/dp/B08CVSFY68/ref=sr_1_9?keywords=Thymes+Goldleaf+Gardenia+Hand+Lotion&amp;qid=1695258756&amp;sr=8-9", "https://www.amazon.com/Thymes-Fragrance-Duo-Goldleaf-Gardenia/dp/B08CVSFY68/ref=sr_1_9?keywords=Thymes+Goldleaf+Gardenia+Hand+Lotion&amp;qid=1695258756&amp;sr=8-9")</f>
        <v>https://www.amazon.com/Thymes-Fragrance-Duo-Goldleaf-Gardenia/dp/B08CVSFY68/ref=sr_1_9?keywords=Thymes+Goldleaf+Gardenia+Hand+Lotion&amp;qid=1695258756&amp;sr=8-9</v>
      </c>
      <c r="F130" t="s">
        <v>477</v>
      </c>
      <c r="G130" t="e">
        <f ca="1">IMAGE("https://heavenlyouthouse.com/cdn/shop/products/thymes-goldleaf-gardenia-hand-lotion.jpg?v=1655330888")</f>
        <v>#NAME?</v>
      </c>
      <c r="H130" t="e">
        <f ca="1">IMAGE("https://m.media-amazon.com/images/I/61pGBHmk-NL._AC_UL320_.jpg")</f>
        <v>#NAME?</v>
      </c>
      <c r="I130" t="s">
        <v>86</v>
      </c>
      <c r="J130">
        <v>36</v>
      </c>
      <c r="K130" s="2" t="s">
        <v>474</v>
      </c>
      <c r="L130">
        <v>4.4000000000000004</v>
      </c>
      <c r="M130">
        <v>57</v>
      </c>
      <c r="O130" t="s">
        <v>39</v>
      </c>
      <c r="P130" t="s">
        <v>484</v>
      </c>
      <c r="Q130" t="s">
        <v>487</v>
      </c>
    </row>
    <row r="131" spans="1:17" ht="15.75" x14ac:dyDescent="0.25">
      <c r="A131" s="3" t="str">
        <f>HYPERLINK("https://heavenlyouthouse.com/products/week-from-hell-hand-rescue-tube?variant=32374479978585", "https://heavenlyouthouse.com/products/week-from-hell-hand-rescue-tube?variant=32374479978585")</f>
        <v>https://heavenlyouthouse.com/products/week-from-hell-hand-rescue-tube?variant=32374479978585</v>
      </c>
      <c r="B131" s="3" t="str">
        <f>HYPERLINK("https://heavenlyouthouse.com/products/week-from-hell-hand-rescue-tube", "https://heavenlyouthouse.com/products/week-from-hell-hand-rescue-tube")</f>
        <v>https://heavenlyouthouse.com/products/week-from-hell-hand-rescue-tube</v>
      </c>
      <c r="C131" t="s">
        <v>143</v>
      </c>
      <c r="D131" t="s">
        <v>488</v>
      </c>
      <c r="E131" s="3" t="str">
        <f>HYPERLINK("https://www.amazon.com/Walton-Wood-Farm-Rescue-Sachet/dp/B07X6JL4B3/ref=sr_1_7?keywords=Week+From+Hell+Hand+Rescue+Tube&amp;qid=1695258826&amp;sr=8-7", "https://www.amazon.com/Walton-Wood-Farm-Rescue-Sachet/dp/B07X6JL4B3/ref=sr_1_7?keywords=Week+From+Hell+Hand+Rescue+Tube&amp;qid=1695258826&amp;sr=8-7")</f>
        <v>https://www.amazon.com/Walton-Wood-Farm-Rescue-Sachet/dp/B07X6JL4B3/ref=sr_1_7?keywords=Week+From+Hell+Hand+Rescue+Tube&amp;qid=1695258826&amp;sr=8-7</v>
      </c>
      <c r="F131" t="s">
        <v>489</v>
      </c>
      <c r="G131" t="e">
        <f ca="1">IMAGE("https://heavenlyouthouse.com/cdn/shop/products/weekfromhellhandrescuetube.jpg?v=1612548050")</f>
        <v>#NAME?</v>
      </c>
      <c r="H131" t="e">
        <f ca="1">IMAGE("https://m.media-amazon.com/images/I/71+gCCAXSmL._AC_UL320_.jpg")</f>
        <v>#NAME?</v>
      </c>
      <c r="I131" t="s">
        <v>146</v>
      </c>
      <c r="J131">
        <v>16.989999999999998</v>
      </c>
      <c r="K131" s="2" t="s">
        <v>490</v>
      </c>
      <c r="L131">
        <v>3.6</v>
      </c>
      <c r="M131">
        <v>12</v>
      </c>
      <c r="O131" t="s">
        <v>136</v>
      </c>
      <c r="P131" t="s">
        <v>39</v>
      </c>
      <c r="Q131" t="s">
        <v>148</v>
      </c>
    </row>
    <row r="132" spans="1:17" ht="15.75" x14ac:dyDescent="0.25">
      <c r="A132" s="3" t="str">
        <f>HYPERLINK("https://heavenlyouthouse.com/products/frasier-fir-statement-pine-needle-candle", "https://heavenlyouthouse.com/products/frasier-fir-statement-pine-needle-candle")</f>
        <v>https://heavenlyouthouse.com/products/frasier-fir-statement-pine-needle-candle</v>
      </c>
      <c r="B132" s="3" t="str">
        <f>HYPERLINK("https://heavenlyouthouse.com/products/frasier-fir-statement-pine-needle-candle", "https://heavenlyouthouse.com/products/frasier-fir-statement-pine-needle-candle")</f>
        <v>https://heavenlyouthouse.com/products/frasier-fir-statement-pine-needle-candle</v>
      </c>
      <c r="C132" t="s">
        <v>167</v>
      </c>
      <c r="D132" t="s">
        <v>223</v>
      </c>
      <c r="E132" s="3" t="str">
        <f>HYPERLINK("https://www.amazon.com/Thymes-Needle-Frasier-Luminary-Candle/dp/B0B9CDSR3K/ref=sr_1_6?keywords=Thymes+Frasier+Fir+Statement+Pine+Needle+Candle&amp;qid=1695258736&amp;sr=8-6", "https://www.amazon.com/Thymes-Needle-Frasier-Luminary-Candle/dp/B0B9CDSR3K/ref=sr_1_6?keywords=Thymes+Frasier+Fir+Statement+Pine+Needle+Candle&amp;qid=1695258736&amp;sr=8-6")</f>
        <v>https://www.amazon.com/Thymes-Needle-Frasier-Luminary-Candle/dp/B0B9CDSR3K/ref=sr_1_6?keywords=Thymes+Frasier+Fir+Statement+Pine+Needle+Candle&amp;qid=1695258736&amp;sr=8-6</v>
      </c>
      <c r="F132" t="s">
        <v>224</v>
      </c>
      <c r="G132" t="e">
        <f ca="1">IMAGE("https://heavenlyouthouse.com/cdn/shop/products/thymesfrasierfirsmallstatementcandlesilverpineneedle.jpg?v=1603994848")</f>
        <v>#NAME?</v>
      </c>
      <c r="H132" t="e">
        <f ca="1">IMAGE("https://m.media-amazon.com/images/I/71YqOVLEPjL._AC_UL320_.jpg")</f>
        <v>#NAME?</v>
      </c>
      <c r="I132" t="s">
        <v>168</v>
      </c>
      <c r="J132">
        <v>56</v>
      </c>
      <c r="K132" s="2" t="s">
        <v>491</v>
      </c>
      <c r="L132">
        <v>5</v>
      </c>
      <c r="M132">
        <v>1</v>
      </c>
      <c r="O132" t="s">
        <v>39</v>
      </c>
      <c r="P132" t="s">
        <v>170</v>
      </c>
      <c r="Q132" t="s">
        <v>171</v>
      </c>
    </row>
    <row r="133" spans="1:17" ht="15.75" x14ac:dyDescent="0.25">
      <c r="A133" s="3" t="str">
        <f>HYPERLINK("https://heavenlyouthouse.com/products/pumice-stone", "https://heavenlyouthouse.com/products/pumice-stone")</f>
        <v>https://heavenlyouthouse.com/products/pumice-stone</v>
      </c>
      <c r="B133" s="3" t="str">
        <f>HYPERLINK("https://heavenlyouthouse.com/products/pumice-stone", "https://heavenlyouthouse.com/products/pumice-stone")</f>
        <v>https://heavenlyouthouse.com/products/pumice-stone</v>
      </c>
      <c r="C133" t="s">
        <v>213</v>
      </c>
      <c r="D133" t="s">
        <v>492</v>
      </c>
      <c r="E133" s="3" t="str">
        <f>HYPERLINK("https://www.amazon.com/Totoship-Pumice-Cleaner-Cleaning-Household/dp/B07PJS533B/ref=sr_1_10?keywords=Pumice+Stone&amp;qid=1695258677&amp;sr=8-10", "https://www.amazon.com/Totoship-Pumice-Cleaner-Cleaning-Household/dp/B07PJS533B/ref=sr_1_10?keywords=Pumice+Stone&amp;qid=1695258677&amp;sr=8-10")</f>
        <v>https://www.amazon.com/Totoship-Pumice-Cleaner-Cleaning-Household/dp/B07PJS533B/ref=sr_1_10?keywords=Pumice+Stone&amp;qid=1695258677&amp;sr=8-10</v>
      </c>
      <c r="F133" t="s">
        <v>493</v>
      </c>
      <c r="G133" t="e">
        <f ca="1">IMAGE("https://heavenlyouthouse.com/cdn/shop/products/Pumice-Stone_2048_2000x_ede24df3-a286-42b7-ba0b-778cf1147f6b.jpg?v=1587064261")</f>
        <v>#NAME?</v>
      </c>
      <c r="H133" t="e">
        <f ca="1">IMAGE("https://m.media-amazon.com/images/I/81fLLBQVNKL._AC_UL320_.jpg")</f>
        <v>#NAME?</v>
      </c>
      <c r="I133" t="s">
        <v>216</v>
      </c>
      <c r="J133">
        <v>16.989999999999998</v>
      </c>
      <c r="K133" s="2" t="s">
        <v>491</v>
      </c>
      <c r="L133">
        <v>4.7</v>
      </c>
      <c r="M133">
        <v>1245</v>
      </c>
      <c r="O133" t="s">
        <v>39</v>
      </c>
      <c r="P133" t="s">
        <v>218</v>
      </c>
      <c r="Q133" t="s">
        <v>219</v>
      </c>
    </row>
    <row r="134" spans="1:17" ht="15.75" x14ac:dyDescent="0.25">
      <c r="A134" s="3" t="str">
        <f>HYPERLINK("https://heavenlyouthouse.com/products/succulents-thank-you-card", "https://heavenlyouthouse.com/products/succulents-thank-you-card")</f>
        <v>https://heavenlyouthouse.com/products/succulents-thank-you-card</v>
      </c>
      <c r="B134" s="3" t="str">
        <f>HYPERLINK("https://heavenlyouthouse.com/products/succulents-thank-you-card", "https://heavenlyouthouse.com/products/succulents-thank-you-card")</f>
        <v>https://heavenlyouthouse.com/products/succulents-thank-you-card</v>
      </c>
      <c r="C134" t="s">
        <v>102</v>
      </c>
      <c r="D134" t="s">
        <v>494</v>
      </c>
      <c r="E134" s="3" t="str">
        <f>HYPERLINK("https://www.amazon.com/Papyrus-Envelopes-Succulents-20-Count-5303934/dp/B08FRQRQGS/ref=sr_1_1?keywords=Succulents+Thank+You+Card&amp;qid=1695258709&amp;sr=8-1", "https://www.amazon.com/Papyrus-Envelopes-Succulents-20-Count-5303934/dp/B08FRQRQGS/ref=sr_1_1?keywords=Succulents+Thank+You+Card&amp;qid=1695258709&amp;sr=8-1")</f>
        <v>https://www.amazon.com/Papyrus-Envelopes-Succulents-20-Count-5303934/dp/B08FRQRQGS/ref=sr_1_1?keywords=Succulents+Thank+You+Card&amp;qid=1695258709&amp;sr=8-1</v>
      </c>
      <c r="F134" t="s">
        <v>495</v>
      </c>
      <c r="G134" t="e">
        <f ca="1">IMAGE("https://heavenlyouthouse.com/cdn/shop/products/thankyou-cactus.jpg?v=1600890223")</f>
        <v>#NAME?</v>
      </c>
      <c r="H134" t="e">
        <f ca="1">IMAGE("https://m.media-amazon.com/images/I/81IcT8vw1fL._AC_UL320_.jpg")</f>
        <v>#NAME?</v>
      </c>
      <c r="I134" t="s">
        <v>105</v>
      </c>
      <c r="J134">
        <v>10.06</v>
      </c>
      <c r="K134" s="2" t="s">
        <v>496</v>
      </c>
      <c r="L134">
        <v>4.8</v>
      </c>
      <c r="M134">
        <v>521</v>
      </c>
      <c r="O134" t="s">
        <v>39</v>
      </c>
      <c r="P134" t="s">
        <v>39</v>
      </c>
      <c r="Q134" t="s">
        <v>107</v>
      </c>
    </row>
    <row r="135" spans="1:17" ht="15.75" x14ac:dyDescent="0.25">
      <c r="A135" s="3" t="str">
        <f>HYPERLINK("https://heavenlyouthouse.com/products/goldleaf-eau-de-parfum-spray-pen", "https://heavenlyouthouse.com/products/goldleaf-eau-de-parfum-spray-pen")</f>
        <v>https://heavenlyouthouse.com/products/goldleaf-eau-de-parfum-spray-pen</v>
      </c>
      <c r="B135" s="3" t="str">
        <f>HYPERLINK("https://heavenlyouthouse.com/products/goldleaf-eau-de-parfum-spray-pen", "https://heavenlyouthouse.com/products/goldleaf-eau-de-parfum-spray-pen")</f>
        <v>https://heavenlyouthouse.com/products/goldleaf-eau-de-parfum-spray-pen</v>
      </c>
      <c r="C135" t="s">
        <v>497</v>
      </c>
      <c r="D135" t="s">
        <v>498</v>
      </c>
      <c r="E135" s="3" t="str">
        <f>HYPERLINK("https://www.amazon.com/Thymes-Goldleaf-Gardenia-Eau-Parfum/dp/B013IU14SK/ref=sr_1_3?keywords=Thymes+Goldleaf+Eau+De+Parfum+Spray+Pen&amp;qid=1695258745&amp;sr=8-3", "https://www.amazon.com/Thymes-Goldleaf-Gardenia-Eau-Parfum/dp/B013IU14SK/ref=sr_1_3?keywords=Thymes+Goldleaf+Eau+De+Parfum+Spray+Pen&amp;qid=1695258745&amp;sr=8-3")</f>
        <v>https://www.amazon.com/Thymes-Goldleaf-Gardenia-Eau-Parfum/dp/B013IU14SK/ref=sr_1_3?keywords=Thymes+Goldleaf+Eau+De+Parfum+Spray+Pen&amp;qid=1695258745&amp;sr=8-3</v>
      </c>
      <c r="F135" t="s">
        <v>499</v>
      </c>
      <c r="G135" t="e">
        <f ca="1">IMAGE("https://heavenlyouthouse.com/cdn/shop/products/perfume10ml.jpg?v=1587763432")</f>
        <v>#NAME?</v>
      </c>
      <c r="H135" t="e">
        <f ca="1">IMAGE("https://m.media-amazon.com/images/I/71S-5BirMPL._AC_UL320_.jpg")</f>
        <v>#NAME?</v>
      </c>
      <c r="I135" t="s">
        <v>500</v>
      </c>
      <c r="J135">
        <v>59</v>
      </c>
      <c r="K135" s="2" t="s">
        <v>496</v>
      </c>
      <c r="L135">
        <v>4</v>
      </c>
      <c r="M135">
        <v>11</v>
      </c>
      <c r="O135" t="s">
        <v>39</v>
      </c>
      <c r="P135" t="s">
        <v>39</v>
      </c>
      <c r="Q135" t="s">
        <v>501</v>
      </c>
    </row>
    <row r="136" spans="1:17" ht="15.75" x14ac:dyDescent="0.25">
      <c r="A136" s="3" t="str">
        <f>HYPERLINK("https://heavenlyouthouse.com/products/vanilla-coconut-bubble-bath", "https://heavenlyouthouse.com/products/vanilla-coconut-bubble-bath")</f>
        <v>https://heavenlyouthouse.com/products/vanilla-coconut-bubble-bath</v>
      </c>
      <c r="B136" s="3" t="str">
        <f>HYPERLINK("https://heavenlyouthouse.com/products/vanilla-coconut-bubble-bath", "https://heavenlyouthouse.com/products/vanilla-coconut-bubble-bath")</f>
        <v>https://heavenlyouthouse.com/products/vanilla-coconut-bubble-bath</v>
      </c>
      <c r="C136" t="s">
        <v>230</v>
      </c>
      <c r="D136" t="s">
        <v>502</v>
      </c>
      <c r="E136" s="3" t="str">
        <f>HYPERLINK("https://www.amazon.com/Deep-Steep-Lathering-Lavender-Chamomile/dp/B09CHFKXTF/ref=sr_1_10?keywords=Vanilla+Coconut+Bubble+Bath&amp;qid=1695258805&amp;sr=8-10", "https://www.amazon.com/Deep-Steep-Lathering-Lavender-Chamomile/dp/B09CHFKXTF/ref=sr_1_10?keywords=Vanilla+Coconut+Bubble+Bath&amp;qid=1695258805&amp;sr=8-10")</f>
        <v>https://www.amazon.com/Deep-Steep-Lathering-Lavender-Chamomile/dp/B09CHFKXTF/ref=sr_1_10?keywords=Vanilla+Coconut+Bubble+Bath&amp;qid=1695258805&amp;sr=8-10</v>
      </c>
      <c r="F136" t="s">
        <v>503</v>
      </c>
      <c r="G136" t="e">
        <f ca="1">IMAGE("https://heavenlyouthouse.com/cdn/shop/products/Vanilla-Coconut_Bubble-Bath_2048_2000x_48bd3f10-44c5-4b84-8976-395bada0d7d1.jpg?v=1588959777")</f>
        <v>#NAME?</v>
      </c>
      <c r="H136" t="e">
        <f ca="1">IMAGE("https://m.media-amazon.com/images/I/61yoyTx6P7L._AC_UL320_.jpg")</f>
        <v>#NAME?</v>
      </c>
      <c r="I136" t="s">
        <v>233</v>
      </c>
      <c r="J136">
        <v>26.99</v>
      </c>
      <c r="K136" s="2" t="s">
        <v>496</v>
      </c>
      <c r="L136">
        <v>4.4000000000000004</v>
      </c>
      <c r="M136">
        <v>42</v>
      </c>
      <c r="O136" t="s">
        <v>39</v>
      </c>
      <c r="P136" t="s">
        <v>39</v>
      </c>
      <c r="Q136" t="s">
        <v>235</v>
      </c>
    </row>
    <row r="137" spans="1:17" ht="15.75" x14ac:dyDescent="0.25">
      <c r="A137" s="3" t="str">
        <f>HYPERLINK("https://heavenlyouthouse.com/products/frasier-fir-aroma-diffuser-oil", "https://heavenlyouthouse.com/products/frasier-fir-aroma-diffuser-oil")</f>
        <v>https://heavenlyouthouse.com/products/frasier-fir-aroma-diffuser-oil</v>
      </c>
      <c r="B137" s="3" t="str">
        <f>HYPERLINK("https://heavenlyouthouse.com/products/frasier-fir-aroma-diffuser-oil", "https://heavenlyouthouse.com/products/frasier-fir-aroma-diffuser-oil")</f>
        <v>https://heavenlyouthouse.com/products/frasier-fir-aroma-diffuser-oil</v>
      </c>
      <c r="C137" t="s">
        <v>226</v>
      </c>
      <c r="D137" t="s">
        <v>252</v>
      </c>
      <c r="E137" s="3" t="str">
        <f>HYPERLINK("https://www.amazon.com/Thymes-Frasier-Diffuser-Refill-Ounces/dp/B001AH8CL6/ref=sr_1_7?keywords=Thymes+Frasier+Fir+Aroma+Diffuser+Oil&amp;qid=1695258721&amp;sr=8-7", "https://www.amazon.com/Thymes-Frasier-Diffuser-Refill-Ounces/dp/B001AH8CL6/ref=sr_1_7?keywords=Thymes+Frasier+Fir+Aroma+Diffuser+Oil&amp;qid=1695258721&amp;sr=8-7")</f>
        <v>https://www.amazon.com/Thymes-Frasier-Diffuser-Refill-Ounces/dp/B001AH8CL6/ref=sr_1_7?keywords=Thymes+Frasier+Fir+Aroma+Diffuser+Oil&amp;qid=1695258721&amp;sr=8-7</v>
      </c>
      <c r="F137" t="s">
        <v>253</v>
      </c>
      <c r="G137" t="e">
        <f ca="1">IMAGE("https://heavenlyouthouse.com/cdn/shop/products/thymesfrasierfirdiffuseroil.jpg?v=1604088755")</f>
        <v>#NAME?</v>
      </c>
      <c r="H137" t="e">
        <f ca="1">IMAGE("https://m.media-amazon.com/images/I/51MG8nOHQnL._AC_UL320_.jpg")</f>
        <v>#NAME?</v>
      </c>
      <c r="I137" t="s">
        <v>86</v>
      </c>
      <c r="J137">
        <v>35</v>
      </c>
      <c r="K137" s="2" t="s">
        <v>504</v>
      </c>
      <c r="L137">
        <v>4.7</v>
      </c>
      <c r="M137">
        <v>2687</v>
      </c>
      <c r="O137" t="s">
        <v>39</v>
      </c>
      <c r="P137" t="s">
        <v>39</v>
      </c>
      <c r="Q137" t="s">
        <v>229</v>
      </c>
    </row>
    <row r="138" spans="1:17" ht="15.75" x14ac:dyDescent="0.25">
      <c r="A138" s="3" t="str">
        <f>HYPERLINK("https://heavenlyouthouse.com/products/poo-pourri-ship-happens-toilet-spray?variant=39334163808345", "https://heavenlyouthouse.com/products/poo-pourri-ship-happens-toilet-spray?variant=39334163808345")</f>
        <v>https://heavenlyouthouse.com/products/poo-pourri-ship-happens-toilet-spray?variant=39334163808345</v>
      </c>
      <c r="B138" s="3" t="str">
        <f>HYPERLINK("https://heavenlyouthouse.com/products/poo-pourri-ship-happens-toilet-spray", "https://heavenlyouthouse.com/products/poo-pourri-ship-happens-toilet-spray")</f>
        <v>https://heavenlyouthouse.com/products/poo-pourri-ship-happens-toilet-spray</v>
      </c>
      <c r="C138" t="s">
        <v>505</v>
      </c>
      <c r="D138" t="s">
        <v>506</v>
      </c>
      <c r="E138" s="3" t="str">
        <f>HYPERLINK("https://www.amazon.com/Poo-Pourri-Original-Happens-Lavender-Vanilla/dp/B07T91KZVV/ref=sr_1_4?keywords=Poo-Pourri+Ship+Happens+Toilet+Spray&amp;qid=1695258653&amp;sr=8-4", "https://www.amazon.com/Poo-Pourri-Original-Happens-Lavender-Vanilla/dp/B07T91KZVV/ref=sr_1_4?keywords=Poo-Pourri+Ship+Happens+Toilet+Spray&amp;qid=1695258653&amp;sr=8-4")</f>
        <v>https://www.amazon.com/Poo-Pourri-Original-Happens-Lavender-Vanilla/dp/B07T91KZVV/ref=sr_1_4?keywords=Poo-Pourri+Ship+Happens+Toilet+Spray&amp;qid=1695258653&amp;sr=8-4</v>
      </c>
      <c r="F138" t="s">
        <v>507</v>
      </c>
      <c r="G138" t="e">
        <f ca="1">IMAGE("https://heavenlyouthouse.com/cdn/shop/products/Poo-pourrishiphappenstoiletbathroomspray2.jpg?v=1621615827")</f>
        <v>#NAME?</v>
      </c>
      <c r="H138" t="e">
        <f ca="1">IMAGE("https://m.media-amazon.com/images/I/91JJ6zI+nlL._AC_UL320_.jpg")</f>
        <v>#NAME?</v>
      </c>
      <c r="I138" t="s">
        <v>362</v>
      </c>
      <c r="J138">
        <v>24.85</v>
      </c>
      <c r="K138" s="2" t="s">
        <v>508</v>
      </c>
      <c r="L138">
        <v>4.5999999999999996</v>
      </c>
      <c r="M138">
        <v>249</v>
      </c>
      <c r="O138" t="s">
        <v>136</v>
      </c>
      <c r="P138" t="s">
        <v>363</v>
      </c>
      <c r="Q138" t="s">
        <v>509</v>
      </c>
    </row>
    <row r="139" spans="1:17" ht="15.75" x14ac:dyDescent="0.25">
      <c r="A139" s="3" t="str">
        <f>HYPERLINK("https://heavenlyouthouse.com/products/poo-pourri-ship-happens-toilet-spray?variant=39334163808345", "https://heavenlyouthouse.com/products/poo-pourri-ship-happens-toilet-spray?variant=39334163808345")</f>
        <v>https://heavenlyouthouse.com/products/poo-pourri-ship-happens-toilet-spray?variant=39334163808345</v>
      </c>
      <c r="B139" s="3" t="str">
        <f>HYPERLINK("https://heavenlyouthouse.com/products/poo-pourri-ship-happens-toilet-spray", "https://heavenlyouthouse.com/products/poo-pourri-ship-happens-toilet-spray")</f>
        <v>https://heavenlyouthouse.com/products/poo-pourri-ship-happens-toilet-spray</v>
      </c>
      <c r="C139" t="s">
        <v>505</v>
      </c>
      <c r="D139" t="s">
        <v>510</v>
      </c>
      <c r="E139" s="3" t="str">
        <f>HYPERLINK("https://www.amazon.com/Poo-Pourri-Happens-Before-Toilet-Bottle/dp/B07SR5X23B/ref=sr_1_3?keywords=Poo-Pourri+Ship+Happens+Toilet+Spray&amp;qid=1695258653&amp;sr=8-3", "https://www.amazon.com/Poo-Pourri-Happens-Before-Toilet-Bottle/dp/B07SR5X23B/ref=sr_1_3?keywords=Poo-Pourri+Ship+Happens+Toilet+Spray&amp;qid=1695258653&amp;sr=8-3")</f>
        <v>https://www.amazon.com/Poo-Pourri-Happens-Before-Toilet-Bottle/dp/B07SR5X23B/ref=sr_1_3?keywords=Poo-Pourri+Ship+Happens+Toilet+Spray&amp;qid=1695258653&amp;sr=8-3</v>
      </c>
      <c r="F139" t="s">
        <v>511</v>
      </c>
      <c r="G139" t="e">
        <f ca="1">IMAGE("https://heavenlyouthouse.com/cdn/shop/products/Poo-pourrishiphappenstoiletbathroomspray2.jpg?v=1621615827")</f>
        <v>#NAME?</v>
      </c>
      <c r="H139" t="e">
        <f ca="1">IMAGE("https://m.media-amazon.com/images/I/91UDMP2j1sL._AC_UL320_.jpg")</f>
        <v>#NAME?</v>
      </c>
      <c r="I139" t="s">
        <v>362</v>
      </c>
      <c r="J139">
        <v>24.85</v>
      </c>
      <c r="K139" s="2" t="s">
        <v>508</v>
      </c>
      <c r="L139">
        <v>4.7</v>
      </c>
      <c r="M139">
        <v>44063</v>
      </c>
      <c r="O139" t="s">
        <v>136</v>
      </c>
      <c r="P139" t="s">
        <v>363</v>
      </c>
      <c r="Q139" t="s">
        <v>509</v>
      </c>
    </row>
    <row r="140" spans="1:17" ht="15.75" x14ac:dyDescent="0.25">
      <c r="A140" s="3" t="str">
        <f>HYPERLINK("https://heavenlyouthouse.com/products/thymes-natural-reed-sticks-refill-for-diffusers", "https://heavenlyouthouse.com/products/thymes-natural-reed-sticks-refill-for-diffusers")</f>
        <v>https://heavenlyouthouse.com/products/thymes-natural-reed-sticks-refill-for-diffusers</v>
      </c>
      <c r="B140" s="3" t="str">
        <f>HYPERLINK("https://heavenlyouthouse.com/products/thymes-natural-reed-sticks-refill-for-diffusers", "https://heavenlyouthouse.com/products/thymes-natural-reed-sticks-refill-for-diffusers")</f>
        <v>https://heavenlyouthouse.com/products/thymes-natural-reed-sticks-refill-for-diffusers</v>
      </c>
      <c r="C140" t="s">
        <v>512</v>
      </c>
      <c r="D140" t="s">
        <v>513</v>
      </c>
      <c r="E140" s="3" t="str">
        <f>HYPERLINK("https://www.amazon.com/Urban-Naturals-Essential-Evergreen-Sandalwood/dp/B0CDKGQ4C8/ref=sr_1_8?keywords=Thymes+Natural+Reed+Sticks+Refill+For+Diffusers&amp;qid=1695258777&amp;sr=8-8", "https://www.amazon.com/Urban-Naturals-Essential-Evergreen-Sandalwood/dp/B0CDKGQ4C8/ref=sr_1_8?keywords=Thymes+Natural+Reed+Sticks+Refill+For+Diffusers&amp;qid=1695258777&amp;sr=8-8")</f>
        <v>https://www.amazon.com/Urban-Naturals-Essential-Evergreen-Sandalwood/dp/B0CDKGQ4C8/ref=sr_1_8?keywords=Thymes+Natural+Reed+Sticks+Refill+For+Diffusers&amp;qid=1695258777&amp;sr=8-8</v>
      </c>
      <c r="F140" t="s">
        <v>514</v>
      </c>
      <c r="G140" t="e">
        <f ca="1">IMAGE("https://heavenlyouthouse.com/cdn/shop/products/thymesnaturalreedrefills.jpg?v=1624458349")</f>
        <v>#NAME?</v>
      </c>
      <c r="H140" t="e">
        <f ca="1">IMAGE("https://m.media-amazon.com/images/I/71M-pqMJjOL._AC_UL320_.jpg")</f>
        <v>#NAME?</v>
      </c>
      <c r="I140" t="s">
        <v>152</v>
      </c>
      <c r="J140">
        <v>22.99</v>
      </c>
      <c r="K140" s="2" t="s">
        <v>515</v>
      </c>
      <c r="L140">
        <v>4.9000000000000004</v>
      </c>
      <c r="M140">
        <v>12</v>
      </c>
      <c r="O140" t="s">
        <v>39</v>
      </c>
      <c r="P140" t="s">
        <v>39</v>
      </c>
      <c r="Q140" t="s">
        <v>516</v>
      </c>
    </row>
    <row r="141" spans="1:17" ht="15.75" x14ac:dyDescent="0.25">
      <c r="A141" s="3" t="str">
        <f>HYPERLINK("https://heavenlyouthouse.com/products/rainbow-anniversary-card", "https://heavenlyouthouse.com/products/rainbow-anniversary-card")</f>
        <v>https://heavenlyouthouse.com/products/rainbow-anniversary-card</v>
      </c>
      <c r="B141" s="3" t="str">
        <f>HYPERLINK("https://heavenlyouthouse.com/products/rainbow-anniversary-card", "https://heavenlyouthouse.com/products/rainbow-anniversary-card")</f>
        <v>https://heavenlyouthouse.com/products/rainbow-anniversary-card</v>
      </c>
      <c r="C141" t="s">
        <v>411</v>
      </c>
      <c r="D141" t="s">
        <v>517</v>
      </c>
      <c r="E141" s="3" t="str">
        <f>HYPERLINK("https://www.amazon.com/iGifts-Cards-Awesome-Lesbian-Greeting/dp/B07PWYG5N7/ref=sr_1_9?keywords=Rainbow+Anniversary+Card&amp;qid=1695258657&amp;sr=8-9", "https://www.amazon.com/iGifts-Cards-Awesome-Lesbian-Greeting/dp/B07PWYG5N7/ref=sr_1_9?keywords=Rainbow+Anniversary+Card&amp;qid=1695258657&amp;sr=8-9")</f>
        <v>https://www.amazon.com/iGifts-Cards-Awesome-Lesbian-Greeting/dp/B07PWYG5N7/ref=sr_1_9?keywords=Rainbow+Anniversary+Card&amp;qid=1695258657&amp;sr=8-9</v>
      </c>
      <c r="F141" t="s">
        <v>518</v>
      </c>
      <c r="G141" t="e">
        <f ca="1">IMAGE("https://heavenlyouthouse.com/cdn/shop/files/rainbow-anniversary-card3_300x300.jpg?v=1692036950")</f>
        <v>#NAME?</v>
      </c>
      <c r="H141" t="e">
        <f ca="1">IMAGE("https://m.media-amazon.com/images/I/81nEQidqtNL._AC_UL320_.jpg")</f>
        <v>#NAME?</v>
      </c>
      <c r="I141" t="s">
        <v>414</v>
      </c>
      <c r="J141">
        <v>11.45</v>
      </c>
      <c r="K141" s="2" t="s">
        <v>515</v>
      </c>
      <c r="L141">
        <v>4.7</v>
      </c>
      <c r="M141">
        <v>212</v>
      </c>
      <c r="O141" t="s">
        <v>39</v>
      </c>
      <c r="P141" t="s">
        <v>416</v>
      </c>
      <c r="Q141" t="s">
        <v>417</v>
      </c>
    </row>
    <row r="142" spans="1:17" ht="15.75" x14ac:dyDescent="0.25">
      <c r="A142" s="3" t="str">
        <f>HYPERLINK("https://heavenlyouthouse.com/products/thymes-frasier-fir-votive-candle-set", "https://heavenlyouthouse.com/products/thymes-frasier-fir-votive-candle-set")</f>
        <v>https://heavenlyouthouse.com/products/thymes-frasier-fir-votive-candle-set</v>
      </c>
      <c r="B142" s="3" t="str">
        <f>HYPERLINK("https://heavenlyouthouse.com/products/thymes-frasier-fir-votive-candle-set", "https://heavenlyouthouse.com/products/thymes-frasier-fir-votive-candle-set")</f>
        <v>https://heavenlyouthouse.com/products/thymes-frasier-fir-votive-candle-set</v>
      </c>
      <c r="C142" t="s">
        <v>285</v>
      </c>
      <c r="D142" t="s">
        <v>519</v>
      </c>
      <c r="E142" s="3" t="str">
        <f>HYPERLINK("https://www.amazon.com/Thymes-Frasier-Limited-3-Wick-Statement/dp/B01KIH4W6W/ref=sr_1_6?keywords=Thymes+Frasier+Fir+Votive+Candle+3+Pack&amp;qid=1695258743&amp;sr=8-6", "https://www.amazon.com/Thymes-Frasier-Limited-3-Wick-Statement/dp/B01KIH4W6W/ref=sr_1_6?keywords=Thymes+Frasier+Fir+Votive+Candle+3+Pack&amp;qid=1695258743&amp;sr=8-6")</f>
        <v>https://www.amazon.com/Thymes-Frasier-Limited-3-Wick-Statement/dp/B01KIH4W6W/ref=sr_1_6?keywords=Thymes+Frasier+Fir+Votive+Candle+3+Pack&amp;qid=1695258743&amp;sr=8-6</v>
      </c>
      <c r="F142" t="s">
        <v>520</v>
      </c>
      <c r="G142" t="e">
        <f ca="1">IMAGE("https://heavenlyouthouse.com/cdn/shop/products/thymes-Frasier-Fir-votive-candle-set.jpg?v=1640187779")</f>
        <v>#NAME?</v>
      </c>
      <c r="H142" t="e">
        <f ca="1">IMAGE("https://m.media-amazon.com/images/I/71Vol+U+TwL._AC_UL320_.jpg")</f>
        <v>#NAME?</v>
      </c>
      <c r="I142" t="s">
        <v>286</v>
      </c>
      <c r="J142">
        <v>49</v>
      </c>
      <c r="K142" s="2" t="s">
        <v>521</v>
      </c>
      <c r="L142">
        <v>4.7</v>
      </c>
      <c r="M142">
        <v>162</v>
      </c>
      <c r="O142" t="s">
        <v>39</v>
      </c>
      <c r="P142" t="s">
        <v>288</v>
      </c>
      <c r="Q142" t="s">
        <v>289</v>
      </c>
    </row>
    <row r="143" spans="1:17" ht="15.75" x14ac:dyDescent="0.25">
      <c r="A143" s="3" t="str">
        <f>HYPERLINK("https://heavenlyouthouse.com/products/spa-day-happy-mothers-day-card", "https://heavenlyouthouse.com/products/spa-day-happy-mothers-day-card")</f>
        <v>https://heavenlyouthouse.com/products/spa-day-happy-mothers-day-card</v>
      </c>
      <c r="B143" s="3" t="str">
        <f>HYPERLINK("https://heavenlyouthouse.com/products/spa-day-happy-mothers-day-card", "https://heavenlyouthouse.com/products/spa-day-happy-mothers-day-card")</f>
        <v>https://heavenlyouthouse.com/products/spa-day-happy-mothers-day-card</v>
      </c>
      <c r="C143" t="s">
        <v>522</v>
      </c>
      <c r="D143" t="s">
        <v>523</v>
      </c>
      <c r="E143" s="3" t="str">
        <f>HYPERLINK("https://www.amazon.com/PopLife-Happy-Mothers-Card-Mother/dp/B08QYYLWLV/ref=sr_1_3?keywords=Spa+Day+Happy+Mother%27s+Day+Card&amp;qid=1695258697&amp;sr=8-3", "https://www.amazon.com/PopLife-Happy-Mothers-Card-Mother/dp/B08QYYLWLV/ref=sr_1_3?keywords=Spa+Day+Happy+Mother%27s+Day+Card&amp;qid=1695258697&amp;sr=8-3")</f>
        <v>https://www.amazon.com/PopLife-Happy-Mothers-Card-Mother/dp/B08QYYLWLV/ref=sr_1_3?keywords=Spa+Day+Happy+Mother%27s+Day+Card&amp;qid=1695258697&amp;sr=8-3</v>
      </c>
      <c r="F143" t="s">
        <v>524</v>
      </c>
      <c r="G143" t="e">
        <f ca="1">IMAGE("https://heavenlyouthouse.com/cdn/shop/products/601606_default_large_11017f71-8c01-41a1-843b-a160c6063f44.jpg?v=1636926438")</f>
        <v>#NAME?</v>
      </c>
      <c r="H143" t="e">
        <f ca="1">IMAGE("https://m.media-amazon.com/images/I/71FkA2dgRML._AC_UL320_.jpg")</f>
        <v>#NAME?</v>
      </c>
      <c r="I143" t="s">
        <v>92</v>
      </c>
      <c r="J143">
        <v>13</v>
      </c>
      <c r="K143" s="2" t="s">
        <v>521</v>
      </c>
      <c r="L143">
        <v>4.8</v>
      </c>
      <c r="M143">
        <v>4035</v>
      </c>
      <c r="O143" t="s">
        <v>39</v>
      </c>
      <c r="P143" t="s">
        <v>39</v>
      </c>
      <c r="Q143" t="s">
        <v>525</v>
      </c>
    </row>
    <row r="144" spans="1:17" ht="15.75" x14ac:dyDescent="0.25">
      <c r="A144" s="3" t="str">
        <f>HYPERLINK("https://heavenlyouthouse.com/products/poo-pourri-original-citrus-toilet-spray?variant=39334155321433", "https://heavenlyouthouse.com/products/poo-pourri-original-citrus-toilet-spray?variant=39334155321433")</f>
        <v>https://heavenlyouthouse.com/products/poo-pourri-original-citrus-toilet-spray?variant=39334155321433</v>
      </c>
      <c r="B144" s="3" t="str">
        <f>HYPERLINK("https://heavenlyouthouse.com/products/poo-pourri-original-citrus-toilet-spray", "https://heavenlyouthouse.com/products/poo-pourri-original-citrus-toilet-spray")</f>
        <v>https://heavenlyouthouse.com/products/poo-pourri-original-citrus-toilet-spray</v>
      </c>
      <c r="C144" t="s">
        <v>526</v>
      </c>
      <c r="D144" t="s">
        <v>527</v>
      </c>
      <c r="E144" s="3" t="str">
        <f>HYPERLINK("https://www.amazon.com/Poo-Pourri-Before-You-Go-Toilet-Bottle-Original/dp/B01BCU9RIW/ref=sr_1_6?keywords=Poo-Pourri+Original+Citrus+Toilet+Spray&amp;qid=1695258667&amp;sr=8-6", "https://www.amazon.com/Poo-Pourri-Before-You-Go-Toilet-Bottle-Original/dp/B01BCU9RIW/ref=sr_1_6?keywords=Poo-Pourri+Original+Citrus+Toilet+Spray&amp;qid=1695258667&amp;sr=8-6")</f>
        <v>https://www.amazon.com/Poo-Pourri-Before-You-Go-Toilet-Bottle-Original/dp/B01BCU9RIW/ref=sr_1_6?keywords=Poo-Pourri+Original+Citrus+Toilet+Spray&amp;qid=1695258667&amp;sr=8-6</v>
      </c>
      <c r="F144" t="s">
        <v>528</v>
      </c>
      <c r="G144" t="e">
        <f ca="1">IMAGE("https://heavenlyouthouse.com/cdn/shop/products/Poo-pourrioriginalcitrustoiletbathroomspray1.jpg?v=1621615377")</f>
        <v>#NAME?</v>
      </c>
      <c r="H144" t="e">
        <f ca="1">IMAGE("https://m.media-amazon.com/images/I/713Q1Hc4Z9L._AC_UL320_.jpg")</f>
        <v>#NAME?</v>
      </c>
      <c r="I144" t="s">
        <v>362</v>
      </c>
      <c r="J144">
        <v>24.35</v>
      </c>
      <c r="K144" s="2" t="s">
        <v>529</v>
      </c>
      <c r="L144">
        <v>4.7</v>
      </c>
      <c r="M144">
        <v>44063</v>
      </c>
      <c r="O144" t="s">
        <v>136</v>
      </c>
      <c r="P144" t="s">
        <v>363</v>
      </c>
      <c r="Q144" t="s">
        <v>530</v>
      </c>
    </row>
    <row r="145" spans="1:17" ht="15.75" x14ac:dyDescent="0.25">
      <c r="A145" s="3" t="str">
        <f>HYPERLINK("https://heavenlyouthouse.com/products/rosemary-mint-body-butter", "https://heavenlyouthouse.com/products/rosemary-mint-body-butter")</f>
        <v>https://heavenlyouthouse.com/products/rosemary-mint-body-butter</v>
      </c>
      <c r="B145" s="3" t="str">
        <f>HYPERLINK("https://heavenlyouthouse.com/products/rosemary-mint-body-butter", "https://heavenlyouthouse.com/products/rosemary-mint-body-butter")</f>
        <v>https://heavenlyouthouse.com/products/rosemary-mint-body-butter</v>
      </c>
      <c r="C145" t="s">
        <v>531</v>
      </c>
      <c r="D145" t="s">
        <v>532</v>
      </c>
      <c r="E145" s="3" t="str">
        <f>HYPERLINK("https://www.amazon.com/Natural-Inspirations-Eucalyptus-Rosemary-Ultra-Moisturizing/dp/B0BBXN2KC7/ref=sr_1_7?keywords=Rosemary+Mint+Body+Butter&amp;qid=1695258669&amp;sr=8-7", "https://www.amazon.com/Natural-Inspirations-Eucalyptus-Rosemary-Ultra-Moisturizing/dp/B0BBXN2KC7/ref=sr_1_7?keywords=Rosemary+Mint+Body+Butter&amp;qid=1695258669&amp;sr=8-7")</f>
        <v>https://www.amazon.com/Natural-Inspirations-Eucalyptus-Rosemary-Ultra-Moisturizing/dp/B0BBXN2KC7/ref=sr_1_7?keywords=Rosemary+Mint+Body+Butter&amp;qid=1695258669&amp;sr=8-7</v>
      </c>
      <c r="F145" t="s">
        <v>533</v>
      </c>
      <c r="G145" t="e">
        <f ca="1">IMAGE("https://heavenlyouthouse.com/cdn/shop/products/RosemaryMint-BodyButter.webp?v=1681505618")</f>
        <v>#NAME?</v>
      </c>
      <c r="H145" t="e">
        <f ca="1">IMAGE("https://m.media-amazon.com/images/I/71bb1jaopOL._AC_UL320_.jpg")</f>
        <v>#NAME?</v>
      </c>
      <c r="I145" t="s">
        <v>233</v>
      </c>
      <c r="J145">
        <v>26</v>
      </c>
      <c r="K145" s="2" t="s">
        <v>534</v>
      </c>
      <c r="L145">
        <v>4.3</v>
      </c>
      <c r="M145">
        <v>9</v>
      </c>
      <c r="O145" t="s">
        <v>39</v>
      </c>
      <c r="P145" t="s">
        <v>394</v>
      </c>
      <c r="Q145" t="s">
        <v>535</v>
      </c>
    </row>
    <row r="146" spans="1:17" ht="15.75" x14ac:dyDescent="0.25">
      <c r="A146" s="3" t="str">
        <f>HYPERLINK("https://heavenlyouthouse.com/products/rosemary-mint-body-butter", "https://heavenlyouthouse.com/products/rosemary-mint-body-butter")</f>
        <v>https://heavenlyouthouse.com/products/rosemary-mint-body-butter</v>
      </c>
      <c r="B146" s="3" t="str">
        <f>HYPERLINK("https://heavenlyouthouse.com/products/rosemary-mint-body-butter", "https://heavenlyouthouse.com/products/rosemary-mint-body-butter")</f>
        <v>https://heavenlyouthouse.com/products/rosemary-mint-body-butter</v>
      </c>
      <c r="C146" t="s">
        <v>531</v>
      </c>
      <c r="D146" t="s">
        <v>532</v>
      </c>
      <c r="E146" s="3"/>
      <c r="F146" t="s">
        <v>533</v>
      </c>
      <c r="G146" t="e">
        <f ca="1">IMAGE("https://heavenlyouthouse.com/cdn/shop/products/RosemaryMint-BodyButter.webp?v=1681505618")</f>
        <v>#NAME?</v>
      </c>
      <c r="H146" t="e">
        <f ca="1">IMAGE("https://m.media-amazon.com/images/I/71bb1jaopOL._AC_UL320_.jpg")</f>
        <v>#NAME?</v>
      </c>
      <c r="I146" t="s">
        <v>233</v>
      </c>
      <c r="J146">
        <v>26</v>
      </c>
      <c r="K146" s="2" t="s">
        <v>534</v>
      </c>
      <c r="L146">
        <v>4.3</v>
      </c>
      <c r="M146">
        <v>9</v>
      </c>
      <c r="O146" t="s">
        <v>39</v>
      </c>
      <c r="P146" t="s">
        <v>394</v>
      </c>
      <c r="Q146" t="s">
        <v>535</v>
      </c>
    </row>
    <row r="147" spans="1:17" ht="15.75" x14ac:dyDescent="0.25">
      <c r="A147" s="3" t="str">
        <f>HYPERLINK("https://heavenlyouthouse.com/products/goldleaf-gardenia-hand-wash", "https://heavenlyouthouse.com/products/goldleaf-gardenia-hand-wash")</f>
        <v>https://heavenlyouthouse.com/products/goldleaf-gardenia-hand-wash</v>
      </c>
      <c r="B147" s="3" t="str">
        <f>HYPERLINK("https://heavenlyouthouse.com/products/goldleaf-gardenia-hand-wash", "https://heavenlyouthouse.com/products/goldleaf-gardenia-hand-wash")</f>
        <v>https://heavenlyouthouse.com/products/goldleaf-gardenia-hand-wash</v>
      </c>
      <c r="C147" t="s">
        <v>475</v>
      </c>
      <c r="D147" t="s">
        <v>536</v>
      </c>
      <c r="E147" s="3" t="str">
        <f>HYPERLINK("https://www.amazon.com/Thymes-Hand-Cream-Trio-Lavender/dp/B08CVT8XST/ref=sr_1_7?keywords=Thymes+Goldleaf+Gardenia+Hand+Wash&amp;qid=1695258751&amp;sr=8-7", "https://www.amazon.com/Thymes-Hand-Cream-Trio-Lavender/dp/B08CVT8XST/ref=sr_1_7?keywords=Thymes+Goldleaf+Gardenia+Hand+Wash&amp;qid=1695258751&amp;sr=8-7")</f>
        <v>https://www.amazon.com/Thymes-Hand-Cream-Trio-Lavender/dp/B08CVT8XST/ref=sr_1_7?keywords=Thymes+Goldleaf+Gardenia+Hand+Wash&amp;qid=1695258751&amp;sr=8-7</v>
      </c>
      <c r="F147" t="s">
        <v>537</v>
      </c>
      <c r="G147" t="e">
        <f ca="1">IMAGE("https://heavenlyouthouse.com/cdn/shop/files/thymes-goldleaf-gardenia-hand-wash.jpg?v=1685637533")</f>
        <v>#NAME?</v>
      </c>
      <c r="H147" t="e">
        <f ca="1">IMAGE("https://m.media-amazon.com/images/I/61gSBI2RN3L._AC_UL320_.jpg")</f>
        <v>#NAME?</v>
      </c>
      <c r="I147" t="s">
        <v>86</v>
      </c>
      <c r="J147">
        <v>34</v>
      </c>
      <c r="K147" s="2" t="s">
        <v>534</v>
      </c>
      <c r="L147">
        <v>4.4000000000000004</v>
      </c>
      <c r="M147">
        <v>29</v>
      </c>
      <c r="O147" t="s">
        <v>39</v>
      </c>
      <c r="P147" t="s">
        <v>39</v>
      </c>
      <c r="Q147" t="s">
        <v>478</v>
      </c>
    </row>
    <row r="148" spans="1:17" ht="15.75" x14ac:dyDescent="0.25">
      <c r="A148" s="3" t="str">
        <f>HYPERLINK("https://heavenlyouthouse.com/products/kimono-rose-hand-lotion", "https://heavenlyouthouse.com/products/kimono-rose-hand-lotion")</f>
        <v>https://heavenlyouthouse.com/products/kimono-rose-hand-lotion</v>
      </c>
      <c r="B148" s="3" t="str">
        <f>HYPERLINK("https://heavenlyouthouse.com/products/kimono-rose-hand-lotion", "https://heavenlyouthouse.com/products/kimono-rose-hand-lotion")</f>
        <v>https://heavenlyouthouse.com/products/kimono-rose-hand-lotion</v>
      </c>
      <c r="C148" t="s">
        <v>538</v>
      </c>
      <c r="D148" t="s">
        <v>536</v>
      </c>
      <c r="E148" s="3" t="str">
        <f>HYPERLINK("https://www.amazon.com/Thymes-Hand-Cream-Trio-Lavender/dp/B08CVT8XST/ref=sr_1_8?keywords=Thymes+Kimono+Rose+Hand+Lotion&amp;qid=1695258762&amp;sr=8-8", "https://www.amazon.com/Thymes-Hand-Cream-Trio-Lavender/dp/B08CVT8XST/ref=sr_1_8?keywords=Thymes+Kimono+Rose+Hand+Lotion&amp;qid=1695258762&amp;sr=8-8")</f>
        <v>https://www.amazon.com/Thymes-Hand-Cream-Trio-Lavender/dp/B08CVT8XST/ref=sr_1_8?keywords=Thymes+Kimono+Rose+Hand+Lotion&amp;qid=1695258762&amp;sr=8-8</v>
      </c>
      <c r="F148" t="s">
        <v>537</v>
      </c>
      <c r="G148" t="e">
        <f ca="1">IMAGE("https://heavenlyouthouse.com/cdn/shop/files/thymes-kimono-rose-HAND-LOTION_300x300.jpg?v=1682980281")</f>
        <v>#NAME?</v>
      </c>
      <c r="H148" t="e">
        <f ca="1">IMAGE("https://m.media-amazon.com/images/I/61gSBI2RN3L._AC_UL320_.jpg")</f>
        <v>#NAME?</v>
      </c>
      <c r="I148" t="s">
        <v>86</v>
      </c>
      <c r="J148">
        <v>34</v>
      </c>
      <c r="K148" s="2" t="s">
        <v>534</v>
      </c>
      <c r="L148">
        <v>4.4000000000000004</v>
      </c>
      <c r="M148">
        <v>29</v>
      </c>
      <c r="O148" t="s">
        <v>39</v>
      </c>
      <c r="P148" t="s">
        <v>39</v>
      </c>
      <c r="Q148" t="s">
        <v>539</v>
      </c>
    </row>
    <row r="149" spans="1:17" ht="15.75" x14ac:dyDescent="0.25">
      <c r="A149" s="3" t="str">
        <f>HYPERLINK("https://heavenlyouthouse.com/products/lavender-hand-wash", "https://heavenlyouthouse.com/products/lavender-hand-wash")</f>
        <v>https://heavenlyouthouse.com/products/lavender-hand-wash</v>
      </c>
      <c r="B149" s="3" t="str">
        <f>HYPERLINK("https://heavenlyouthouse.com/products/lavender-hand-wash", "https://heavenlyouthouse.com/products/lavender-hand-wash")</f>
        <v>https://heavenlyouthouse.com/products/lavender-hand-wash</v>
      </c>
      <c r="C149" t="s">
        <v>540</v>
      </c>
      <c r="D149" t="s">
        <v>541</v>
      </c>
      <c r="E149" s="3" t="str">
        <f>HYPERLINK("https://www.amazon.com/Thymes-Hand-Cream-Trio-Eucalyptus/dp/B08CVS7J4W/ref=sr_1_3?keywords=Thymes+Lavender+Hand+Wash&amp;qid=1695258763&amp;sr=8-3", "https://www.amazon.com/Thymes-Hand-Cream-Trio-Eucalyptus/dp/B08CVS7J4W/ref=sr_1_3?keywords=Thymes+Lavender+Hand+Wash&amp;qid=1695258763&amp;sr=8-3")</f>
        <v>https://www.amazon.com/Thymes-Hand-Cream-Trio-Eucalyptus/dp/B08CVS7J4W/ref=sr_1_3?keywords=Thymes+Lavender+Hand+Wash&amp;qid=1695258763&amp;sr=8-3</v>
      </c>
      <c r="F149" t="s">
        <v>542</v>
      </c>
      <c r="G149" t="e">
        <f ca="1">IMAGE("https://heavenlyouthouse.com/cdn/shop/products/thymes-lavender-hand-wash.jpg?v=1673017797")</f>
        <v>#NAME?</v>
      </c>
      <c r="H149" t="e">
        <f ca="1">IMAGE("https://m.media-amazon.com/images/I/61Hwmst+wVL._AC_UL320_.jpg")</f>
        <v>#NAME?</v>
      </c>
      <c r="I149" t="s">
        <v>86</v>
      </c>
      <c r="J149">
        <v>34</v>
      </c>
      <c r="K149" s="2" t="s">
        <v>534</v>
      </c>
      <c r="L149">
        <v>4.4000000000000004</v>
      </c>
      <c r="M149">
        <v>29</v>
      </c>
      <c r="O149" t="s">
        <v>39</v>
      </c>
      <c r="P149" t="s">
        <v>39</v>
      </c>
      <c r="Q149" t="s">
        <v>543</v>
      </c>
    </row>
    <row r="150" spans="1:17" ht="15.75" x14ac:dyDescent="0.25">
      <c r="A150" s="3" t="str">
        <f>HYPERLINK("https://heavenlyouthouse.com/products/kimono-rose-hand-wash", "https://heavenlyouthouse.com/products/kimono-rose-hand-wash")</f>
        <v>https://heavenlyouthouse.com/products/kimono-rose-hand-wash</v>
      </c>
      <c r="B150" s="3" t="str">
        <f>HYPERLINK("https://heavenlyouthouse.com/products/kimono-rose-hand-wash", "https://heavenlyouthouse.com/products/kimono-rose-hand-wash")</f>
        <v>https://heavenlyouthouse.com/products/kimono-rose-hand-wash</v>
      </c>
      <c r="C150" t="s">
        <v>544</v>
      </c>
      <c r="D150" t="s">
        <v>536</v>
      </c>
      <c r="E150" s="3" t="str">
        <f>HYPERLINK("https://www.amazon.com/Thymes-Hand-Cream-Trio-Lavender/dp/B08CVT8XST/ref=sr_1_6?keywords=Thymes+Kimono+Rose+Hand+Wash&amp;qid=1695258755&amp;sr=8-6", "https://www.amazon.com/Thymes-Hand-Cream-Trio-Lavender/dp/B08CVT8XST/ref=sr_1_6?keywords=Thymes+Kimono+Rose+Hand+Wash&amp;qid=1695258755&amp;sr=8-6")</f>
        <v>https://www.amazon.com/Thymes-Hand-Cream-Trio-Lavender/dp/B08CVT8XST/ref=sr_1_6?keywords=Thymes+Kimono+Rose+Hand+Wash&amp;qid=1695258755&amp;sr=8-6</v>
      </c>
      <c r="F150" t="s">
        <v>537</v>
      </c>
      <c r="G150" t="e">
        <f ca="1">IMAGE("https://heavenlyouthouse.com/cdn/shop/products/handwash_18174433-5a85-4ea6-ac07-76353b67db0d.jpg?v=1588107247")</f>
        <v>#NAME?</v>
      </c>
      <c r="H150" t="e">
        <f ca="1">IMAGE("https://m.media-amazon.com/images/I/61gSBI2RN3L._AC_UL320_.jpg")</f>
        <v>#NAME?</v>
      </c>
      <c r="I150" t="s">
        <v>86</v>
      </c>
      <c r="J150">
        <v>34</v>
      </c>
      <c r="K150" s="2" t="s">
        <v>534</v>
      </c>
      <c r="L150">
        <v>4.4000000000000004</v>
      </c>
      <c r="M150">
        <v>29</v>
      </c>
      <c r="O150" t="s">
        <v>39</v>
      </c>
      <c r="P150" t="s">
        <v>39</v>
      </c>
      <c r="Q150" t="s">
        <v>545</v>
      </c>
    </row>
    <row r="151" spans="1:17" ht="15.75" x14ac:dyDescent="0.25">
      <c r="A151" s="3" t="str">
        <f>HYPERLINK("https://heavenlyouthouse.com/products/thymes-olive-leaf-hand-lotion", "https://heavenlyouthouse.com/products/thymes-olive-leaf-hand-lotion")</f>
        <v>https://heavenlyouthouse.com/products/thymes-olive-leaf-hand-lotion</v>
      </c>
      <c r="B151" s="3" t="str">
        <f>HYPERLINK("https://heavenlyouthouse.com/products/thymes-olive-leaf-hand-lotion", "https://heavenlyouthouse.com/products/thymes-olive-leaf-hand-lotion")</f>
        <v>https://heavenlyouthouse.com/products/thymes-olive-leaf-hand-lotion</v>
      </c>
      <c r="C151" t="s">
        <v>546</v>
      </c>
      <c r="D151" t="s">
        <v>547</v>
      </c>
      <c r="E151" s="3" t="str">
        <f>HYPERLINK("https://www.amazon.com/Thymes-Hand-Cream-Trio-Eucalyptus/dp/B08CVS65TK/ref=sr_1_5?keywords=Thymes+Olive+Leaf+Hand+Lotion&amp;qid=1695258785&amp;sr=8-5", "https://www.amazon.com/Thymes-Hand-Cream-Trio-Eucalyptus/dp/B08CVS65TK/ref=sr_1_5?keywords=Thymes+Olive+Leaf+Hand+Lotion&amp;qid=1695258785&amp;sr=8-5")</f>
        <v>https://www.amazon.com/Thymes-Hand-Cream-Trio-Eucalyptus/dp/B08CVS65TK/ref=sr_1_5?keywords=Thymes+Olive+Leaf+Hand+Lotion&amp;qid=1695258785&amp;sr=8-5</v>
      </c>
      <c r="F151" t="s">
        <v>548</v>
      </c>
      <c r="G151" t="e">
        <f ca="1">IMAGE("https://heavenlyouthouse.com/cdn/shop/products/Olive-Leaf-Hand-Lotion.jpg?v=1633124000")</f>
        <v>#NAME?</v>
      </c>
      <c r="H151" t="e">
        <f ca="1">IMAGE("https://m.media-amazon.com/images/I/71dMcg2wQcL._AC_UL320_.jpg")</f>
        <v>#NAME?</v>
      </c>
      <c r="I151" t="s">
        <v>86</v>
      </c>
      <c r="J151">
        <v>34</v>
      </c>
      <c r="K151" s="2" t="s">
        <v>534</v>
      </c>
      <c r="L151">
        <v>4.4000000000000004</v>
      </c>
      <c r="M151">
        <v>29</v>
      </c>
      <c r="O151" t="s">
        <v>39</v>
      </c>
      <c r="P151" t="s">
        <v>39</v>
      </c>
      <c r="Q151" t="s">
        <v>549</v>
      </c>
    </row>
    <row r="152" spans="1:17" ht="15.75" x14ac:dyDescent="0.25">
      <c r="A152" s="3" t="str">
        <f>HYPERLINK("https://heavenlyouthouse.com/products/goldleaf-gardenia-hand-lotion", "https://heavenlyouthouse.com/products/goldleaf-gardenia-hand-lotion")</f>
        <v>https://heavenlyouthouse.com/products/goldleaf-gardenia-hand-lotion</v>
      </c>
      <c r="B152" s="3" t="str">
        <f>HYPERLINK("https://heavenlyouthouse.com/products/goldleaf-gardenia-hand-lotion", "https://heavenlyouthouse.com/products/goldleaf-gardenia-hand-lotion")</f>
        <v>https://heavenlyouthouse.com/products/goldleaf-gardenia-hand-lotion</v>
      </c>
      <c r="C152" t="s">
        <v>486</v>
      </c>
      <c r="D152" t="s">
        <v>536</v>
      </c>
      <c r="E152" s="3" t="str">
        <f>HYPERLINK("https://www.amazon.com/Thymes-Hand-Cream-Trio-Lavender/dp/B08CVT8XST/ref=sr_1_8?keywords=Thymes+Goldleaf+Gardenia+Hand+Lotion&amp;qid=1695258756&amp;sr=8-8", "https://www.amazon.com/Thymes-Hand-Cream-Trio-Lavender/dp/B08CVT8XST/ref=sr_1_8?keywords=Thymes+Goldleaf+Gardenia+Hand+Lotion&amp;qid=1695258756&amp;sr=8-8")</f>
        <v>https://www.amazon.com/Thymes-Hand-Cream-Trio-Lavender/dp/B08CVT8XST/ref=sr_1_8?keywords=Thymes+Goldleaf+Gardenia+Hand+Lotion&amp;qid=1695258756&amp;sr=8-8</v>
      </c>
      <c r="F152" t="s">
        <v>537</v>
      </c>
      <c r="G152" t="e">
        <f ca="1">IMAGE("https://heavenlyouthouse.com/cdn/shop/products/thymes-goldleaf-gardenia-hand-lotion.jpg?v=1655330888")</f>
        <v>#NAME?</v>
      </c>
      <c r="H152" t="e">
        <f ca="1">IMAGE("https://m.media-amazon.com/images/I/61gSBI2RN3L._AC_UL320_.jpg")</f>
        <v>#NAME?</v>
      </c>
      <c r="I152" t="s">
        <v>86</v>
      </c>
      <c r="J152">
        <v>34</v>
      </c>
      <c r="K152" s="2" t="s">
        <v>534</v>
      </c>
      <c r="L152">
        <v>4.4000000000000004</v>
      </c>
      <c r="M152">
        <v>29</v>
      </c>
      <c r="O152" t="s">
        <v>39</v>
      </c>
      <c r="P152" t="s">
        <v>484</v>
      </c>
      <c r="Q152" t="s">
        <v>487</v>
      </c>
    </row>
    <row r="153" spans="1:17" ht="15.75" x14ac:dyDescent="0.25">
      <c r="A153" s="3" t="str">
        <f>HYPERLINK("https://heavenlyouthouse.com/products/frasier-fir-votive-candle", "https://heavenlyouthouse.com/products/frasier-fir-votive-candle")</f>
        <v>https://heavenlyouthouse.com/products/frasier-fir-votive-candle</v>
      </c>
      <c r="B153" s="3" t="str">
        <f>HYPERLINK("https://heavenlyouthouse.com/products/frasier-fir-votive-candle", "https://heavenlyouthouse.com/products/frasier-fir-votive-candle")</f>
        <v>https://heavenlyouthouse.com/products/frasier-fir-votive-candle</v>
      </c>
      <c r="C153" t="s">
        <v>83</v>
      </c>
      <c r="D153" t="s">
        <v>550</v>
      </c>
      <c r="E153" s="3" t="str">
        <f>HYPERLINK("https://www.amazon.com/Thymes-Frasier-Needle-Decorative-50-Hour/dp/B00YPP2LBM/ref=sr_1_3?keywords=Thymes+Frasier+Fir+Pine+Needle+Votive+Candle&amp;qid=1695258742&amp;sr=8-3", "https://www.amazon.com/Thymes-Frasier-Needle-Decorative-50-Hour/dp/B00YPP2LBM/ref=sr_1_3?keywords=Thymes+Frasier+Fir+Pine+Needle+Votive+Candle&amp;qid=1695258742&amp;sr=8-3")</f>
        <v>https://www.amazon.com/Thymes-Frasier-Needle-Decorative-50-Hour/dp/B00YPP2LBM/ref=sr_1_3?keywords=Thymes+Frasier+Fir+Pine+Needle+Votive+Candle&amp;qid=1695258742&amp;sr=8-3</v>
      </c>
      <c r="F153" t="s">
        <v>551</v>
      </c>
      <c r="G153" t="e">
        <f ca="1">IMAGE("https://heavenlyouthouse.com/cdn/shop/products/thymesfrasierfirvotivecandle.jpg?v=1603995950")</f>
        <v>#NAME?</v>
      </c>
      <c r="H153" t="e">
        <f ca="1">IMAGE("https://m.media-amazon.com/images/I/61rj1n74esL._AC_UL320_.jpg")</f>
        <v>#NAME?</v>
      </c>
      <c r="I153" t="s">
        <v>86</v>
      </c>
      <c r="J153">
        <v>34</v>
      </c>
      <c r="K153" s="2" t="s">
        <v>534</v>
      </c>
      <c r="L153">
        <v>4.7</v>
      </c>
      <c r="M153">
        <v>3739</v>
      </c>
      <c r="O153" t="s">
        <v>39</v>
      </c>
      <c r="P153" t="s">
        <v>39</v>
      </c>
      <c r="Q153" t="s">
        <v>88</v>
      </c>
    </row>
    <row r="154" spans="1:17" ht="15.75" x14ac:dyDescent="0.25">
      <c r="A154" s="3" t="str">
        <f>HYPERLINK("https://heavenlyouthouse.com/products/goldleaf-hand-lotion", "https://heavenlyouthouse.com/products/goldleaf-hand-lotion")</f>
        <v>https://heavenlyouthouse.com/products/goldleaf-hand-lotion</v>
      </c>
      <c r="B154" s="3" t="str">
        <f>HYPERLINK("https://heavenlyouthouse.com/products/goldleaf-hand-lotion", "https://heavenlyouthouse.com/products/goldleaf-hand-lotion")</f>
        <v>https://heavenlyouthouse.com/products/goldleaf-hand-lotion</v>
      </c>
      <c r="C154" t="s">
        <v>483</v>
      </c>
      <c r="D154" t="s">
        <v>536</v>
      </c>
      <c r="E154" s="3" t="str">
        <f>HYPERLINK("https://www.amazon.com/Thymes-Hand-Cream-Trio-Lavender/dp/B08CVT8XST/ref=sr_1_5?keywords=Thymes+Goldleaf+Hand+Lotion&amp;qid=1695258754&amp;sr=8-5", "https://www.amazon.com/Thymes-Hand-Cream-Trio-Lavender/dp/B08CVT8XST/ref=sr_1_5?keywords=Thymes+Goldleaf+Hand+Lotion&amp;qid=1695258754&amp;sr=8-5")</f>
        <v>https://www.amazon.com/Thymes-Hand-Cream-Trio-Lavender/dp/B08CVT8XST/ref=sr_1_5?keywords=Thymes+Goldleaf+Hand+Lotion&amp;qid=1695258754&amp;sr=8-5</v>
      </c>
      <c r="F154" t="s">
        <v>537</v>
      </c>
      <c r="G154" t="e">
        <f ca="1">IMAGE("https://heavenlyouthouse.com/cdn/shop/products/thymes-goldleaf-perfumed-hand-lotion_dd6a35dd-31ad-4f2b-818b-b81ebf314b0f.png?v=1652276946")</f>
        <v>#NAME?</v>
      </c>
      <c r="H154" t="e">
        <f ca="1">IMAGE("https://m.media-amazon.com/images/I/61gSBI2RN3L._AC_UL320_.jpg")</f>
        <v>#NAME?</v>
      </c>
      <c r="I154" t="s">
        <v>86</v>
      </c>
      <c r="J154">
        <v>34</v>
      </c>
      <c r="K154" s="2" t="s">
        <v>534</v>
      </c>
      <c r="L154">
        <v>4.4000000000000004</v>
      </c>
      <c r="M154">
        <v>29</v>
      </c>
      <c r="O154" t="s">
        <v>39</v>
      </c>
      <c r="P154" t="s">
        <v>484</v>
      </c>
      <c r="Q154" t="s">
        <v>485</v>
      </c>
    </row>
    <row r="155" spans="1:17" ht="15.75" x14ac:dyDescent="0.25">
      <c r="A155" s="3" t="str">
        <f>HYPERLINK("https://heavenlyouthouse.com/products/goldleaf-hand-wash", "https://heavenlyouthouse.com/products/goldleaf-hand-wash")</f>
        <v>https://heavenlyouthouse.com/products/goldleaf-hand-wash</v>
      </c>
      <c r="B155" s="3" t="str">
        <f>HYPERLINK("https://heavenlyouthouse.com/products/goldleaf-hand-wash", "https://heavenlyouthouse.com/products/goldleaf-hand-wash")</f>
        <v>https://heavenlyouthouse.com/products/goldleaf-hand-wash</v>
      </c>
      <c r="C155" t="s">
        <v>479</v>
      </c>
      <c r="D155" t="s">
        <v>536</v>
      </c>
      <c r="E155" s="3" t="str">
        <f>HYPERLINK("https://www.amazon.com/Thymes-Hand-Cream-Trio-Lavender/dp/B08CVT8XST/ref=sr_1_6?keywords=Thymes+Goldleaf+Hand+Wash&amp;qid=1695258748&amp;sr=8-6", "https://www.amazon.com/Thymes-Hand-Cream-Trio-Lavender/dp/B08CVT8XST/ref=sr_1_6?keywords=Thymes+Goldleaf+Hand+Wash&amp;qid=1695258748&amp;sr=8-6")</f>
        <v>https://www.amazon.com/Thymes-Hand-Cream-Trio-Lavender/dp/B08CVT8XST/ref=sr_1_6?keywords=Thymes+Goldleaf+Hand+Wash&amp;qid=1695258748&amp;sr=8-6</v>
      </c>
      <c r="F155" t="s">
        <v>537</v>
      </c>
      <c r="G155" t="e">
        <f ca="1">IMAGE("https://heavenlyouthouse.com/cdn/shop/products/thymes-goldleaf-hand-wash_790c7a89-90bf-4dfd-9a28-50e8cdfd1678.png?v=1652276960")</f>
        <v>#NAME?</v>
      </c>
      <c r="H155" t="e">
        <f ca="1">IMAGE("https://m.media-amazon.com/images/I/61gSBI2RN3L._AC_UL320_.jpg")</f>
        <v>#NAME?</v>
      </c>
      <c r="I155" t="s">
        <v>86</v>
      </c>
      <c r="J155">
        <v>34</v>
      </c>
      <c r="K155" s="2" t="s">
        <v>534</v>
      </c>
      <c r="L155">
        <v>4.4000000000000004</v>
      </c>
      <c r="M155">
        <v>29</v>
      </c>
      <c r="O155" t="s">
        <v>39</v>
      </c>
      <c r="P155" t="s">
        <v>39</v>
      </c>
      <c r="Q155" t="s">
        <v>482</v>
      </c>
    </row>
    <row r="156" spans="1:17" ht="15.75" x14ac:dyDescent="0.25">
      <c r="A156" s="3" t="str">
        <f>HYPERLINK("https://heavenlyouthouse.com/products/eucalyptus-hand-lotion?variant=31706511114329", "https://heavenlyouthouse.com/products/eucalyptus-hand-lotion?variant=31706511114329")</f>
        <v>https://heavenlyouthouse.com/products/eucalyptus-hand-lotion?variant=31706511114329</v>
      </c>
      <c r="B156" s="3" t="str">
        <f>HYPERLINK("https://heavenlyouthouse.com/products/eucalyptus-hand-lotion", "https://heavenlyouthouse.com/products/eucalyptus-hand-lotion")</f>
        <v>https://heavenlyouthouse.com/products/eucalyptus-hand-lotion</v>
      </c>
      <c r="C156" t="s">
        <v>552</v>
      </c>
      <c r="D156" t="s">
        <v>541</v>
      </c>
      <c r="E156" s="3" t="str">
        <f>HYPERLINK("https://www.amazon.com/Thymes-Hand-Cream-Trio-Eucalyptus/dp/B08CVS7J4W/ref=sr_1_2?keywords=Thymes+Eucalyptus+Hand+Lotion&amp;qid=1695258716&amp;sr=8-2", "https://www.amazon.com/Thymes-Hand-Cream-Trio-Eucalyptus/dp/B08CVS7J4W/ref=sr_1_2?keywords=Thymes+Eucalyptus+Hand+Lotion&amp;qid=1695258716&amp;sr=8-2")</f>
        <v>https://www.amazon.com/Thymes-Hand-Cream-Trio-Eucalyptus/dp/B08CVS7J4W/ref=sr_1_2?keywords=Thymes+Eucalyptus+Hand+Lotion&amp;qid=1695258716&amp;sr=8-2</v>
      </c>
      <c r="F156" t="s">
        <v>542</v>
      </c>
      <c r="G156" t="e">
        <f ca="1">IMAGE("https://heavenlyouthouse.com/cdn/shop/products/thymes-eucalyptus-hand-lotion_e875e475-4a24-4858-9caa-3b33b83cdd22.png?v=1652276792")</f>
        <v>#NAME?</v>
      </c>
      <c r="H156" t="e">
        <f ca="1">IMAGE("https://m.media-amazon.com/images/I/61Hwmst+wVL._AC_UL320_.jpg")</f>
        <v>#NAME?</v>
      </c>
      <c r="I156" t="s">
        <v>86</v>
      </c>
      <c r="J156">
        <v>34</v>
      </c>
      <c r="K156" s="2" t="s">
        <v>534</v>
      </c>
      <c r="L156">
        <v>4.4000000000000004</v>
      </c>
      <c r="M156">
        <v>29</v>
      </c>
      <c r="O156" t="s">
        <v>136</v>
      </c>
      <c r="P156" t="s">
        <v>39</v>
      </c>
      <c r="Q156" t="s">
        <v>553</v>
      </c>
    </row>
    <row r="157" spans="1:17" ht="15.75" x14ac:dyDescent="0.25">
      <c r="A157" s="3" t="str">
        <f>HYPERLINK("https://heavenlyouthouse.com/products/fresh-cut-basil-hand-wash", "https://heavenlyouthouse.com/products/fresh-cut-basil-hand-wash")</f>
        <v>https://heavenlyouthouse.com/products/fresh-cut-basil-hand-wash</v>
      </c>
      <c r="B157" s="3" t="str">
        <f>HYPERLINK("https://heavenlyouthouse.com/products/fresh-cut-basil-hand-wash", "https://heavenlyouthouse.com/products/fresh-cut-basil-hand-wash")</f>
        <v>https://heavenlyouthouse.com/products/fresh-cut-basil-hand-wash</v>
      </c>
      <c r="C157" t="s">
        <v>554</v>
      </c>
      <c r="D157" t="s">
        <v>555</v>
      </c>
      <c r="E157" s="3" t="str">
        <f>HYPERLINK("https://www.amazon.com/Thymes-Hand-Wash-Refill-Fresh-Cut/dp/B084C3VV3K/ref=sr_1_1?keywords=Thymes+Fresh-Cut+Basil+Hand+Wash&amp;qid=1695258744&amp;sr=8-1", "https://www.amazon.com/Thymes-Hand-Wash-Refill-Fresh-Cut/dp/B084C3VV3K/ref=sr_1_1?keywords=Thymes+Fresh-Cut+Basil+Hand+Wash&amp;qid=1695258744&amp;sr=8-1")</f>
        <v>https://www.amazon.com/Thymes-Hand-Wash-Refill-Fresh-Cut/dp/B084C3VV3K/ref=sr_1_1?keywords=Thymes+Fresh-Cut+Basil+Hand+Wash&amp;qid=1695258744&amp;sr=8-1</v>
      </c>
      <c r="F157" t="s">
        <v>556</v>
      </c>
      <c r="G157" t="e">
        <f ca="1">IMAGE("https://heavenlyouthouse.com/cdn/shop/products/thymesfresh-cutbasilhandwash.jpg?v=1613073126")</f>
        <v>#NAME?</v>
      </c>
      <c r="H157" t="e">
        <f ca="1">IMAGE("https://m.media-amazon.com/images/I/61z-aUG5F8L._AC_UL320_.jpg")</f>
        <v>#NAME?</v>
      </c>
      <c r="I157" t="s">
        <v>86</v>
      </c>
      <c r="J157">
        <v>34</v>
      </c>
      <c r="K157" s="2" t="s">
        <v>534</v>
      </c>
      <c r="L157">
        <v>4.5999999999999996</v>
      </c>
      <c r="M157">
        <v>3441</v>
      </c>
      <c r="O157" t="s">
        <v>39</v>
      </c>
      <c r="P157" t="s">
        <v>39</v>
      </c>
      <c r="Q157" t="s">
        <v>557</v>
      </c>
    </row>
    <row r="158" spans="1:17" ht="15.75" x14ac:dyDescent="0.25">
      <c r="A158" s="3" t="str">
        <f>HYPERLINK("https://heavenlyouthouse.com/products/vanilla-coconut-body-lotion", "https://heavenlyouthouse.com/products/vanilla-coconut-body-lotion")</f>
        <v>https://heavenlyouthouse.com/products/vanilla-coconut-body-lotion</v>
      </c>
      <c r="B158" s="3" t="str">
        <f>HYPERLINK("https://heavenlyouthouse.com/products/vanilla-coconut-body-lotion", "https://heavenlyouthouse.com/products/vanilla-coconut-body-lotion")</f>
        <v>https://heavenlyouthouse.com/products/vanilla-coconut-body-lotion</v>
      </c>
      <c r="C158" t="s">
        <v>396</v>
      </c>
      <c r="D158" t="s">
        <v>558</v>
      </c>
      <c r="E158" s="3" t="str">
        <f>HYPERLINK("https://www.amazon.com/EOS-Shea-Better-Body-Lotion/dp/B0C1TWJHVV/ref=sr_1_10?keywords=Vanilla+Coconut+Body+Lotion&amp;qid=1695258813&amp;sr=8-10", "https://www.amazon.com/EOS-Shea-Better-Body-Lotion/dp/B0C1TWJHVV/ref=sr_1_10?keywords=Vanilla+Coconut+Body+Lotion&amp;qid=1695258813&amp;sr=8-10")</f>
        <v>https://www.amazon.com/EOS-Shea-Better-Body-Lotion/dp/B0C1TWJHVV/ref=sr_1_10?keywords=Vanilla+Coconut+Body+Lotion&amp;qid=1695258813&amp;sr=8-10</v>
      </c>
      <c r="F158" t="s">
        <v>559</v>
      </c>
      <c r="G158" t="e">
        <f ca="1">IMAGE("https://heavenlyouthouse.com/cdn/shop/products/Vanilla-Coconut_Body-Lotion_2048_2000x_f9dbe99f-03d5-4b01-984d-3ca76d1c9785.jpg?v=1586911459")</f>
        <v>#NAME?</v>
      </c>
      <c r="H158" t="e">
        <f ca="1">IMAGE("https://m.media-amazon.com/images/I/519RqNsDXyL._AC_UL320_.jpg")</f>
        <v>#NAME?</v>
      </c>
      <c r="I158" t="s">
        <v>399</v>
      </c>
      <c r="J158">
        <v>33.99</v>
      </c>
      <c r="K158" s="2" t="s">
        <v>534</v>
      </c>
      <c r="L158">
        <v>4.5</v>
      </c>
      <c r="M158">
        <v>31</v>
      </c>
      <c r="O158" t="s">
        <v>39</v>
      </c>
      <c r="P158" t="s">
        <v>39</v>
      </c>
      <c r="Q158" t="s">
        <v>400</v>
      </c>
    </row>
    <row r="159" spans="1:17" ht="15.75" x14ac:dyDescent="0.25">
      <c r="A159" s="3" t="str">
        <f>HYPERLINK("https://heavenlyouthouse.com/products/vanilla-coconut-body-lotion", "https://heavenlyouthouse.com/products/vanilla-coconut-body-lotion")</f>
        <v>https://heavenlyouthouse.com/products/vanilla-coconut-body-lotion</v>
      </c>
      <c r="B159" s="3" t="str">
        <f>HYPERLINK("https://heavenlyouthouse.com/products/vanilla-coconut-body-lotion", "https://heavenlyouthouse.com/products/vanilla-coconut-body-lotion")</f>
        <v>https://heavenlyouthouse.com/products/vanilla-coconut-body-lotion</v>
      </c>
      <c r="C159" t="s">
        <v>396</v>
      </c>
      <c r="D159" t="s">
        <v>560</v>
      </c>
      <c r="E159" s="3" t="str">
        <f>HYPERLINK("https://www.amazon.com/Victorias-Secret-Pink-Vanilla-Lotion/dp/B0BNK52FFR/ref=sr_1_9?keywords=Vanilla+Coconut+Body+Lotion&amp;qid=1695258813&amp;sr=8-9", "https://www.amazon.com/Victorias-Secret-Pink-Vanilla-Lotion/dp/B0BNK52FFR/ref=sr_1_9?keywords=Vanilla+Coconut+Body+Lotion&amp;qid=1695258813&amp;sr=8-9")</f>
        <v>https://www.amazon.com/Victorias-Secret-Pink-Vanilla-Lotion/dp/B0BNK52FFR/ref=sr_1_9?keywords=Vanilla+Coconut+Body+Lotion&amp;qid=1695258813&amp;sr=8-9</v>
      </c>
      <c r="F159" t="s">
        <v>561</v>
      </c>
      <c r="G159" t="e">
        <f ca="1">IMAGE("https://heavenlyouthouse.com/cdn/shop/products/Vanilla-Coconut_Body-Lotion_2048_2000x_f9dbe99f-03d5-4b01-984d-3ca76d1c9785.jpg?v=1586911459")</f>
        <v>#NAME?</v>
      </c>
      <c r="H159" t="e">
        <f ca="1">IMAGE("https://m.media-amazon.com/images/I/71KVClHo9GL._AC_UL320_.jpg")</f>
        <v>#NAME?</v>
      </c>
      <c r="I159" t="s">
        <v>399</v>
      </c>
      <c r="J159">
        <v>33.68</v>
      </c>
      <c r="K159" s="2" t="s">
        <v>562</v>
      </c>
      <c r="L159">
        <v>4.5</v>
      </c>
      <c r="M159">
        <v>44</v>
      </c>
      <c r="O159" t="s">
        <v>39</v>
      </c>
      <c r="P159" t="s">
        <v>39</v>
      </c>
      <c r="Q159" t="s">
        <v>400</v>
      </c>
    </row>
    <row r="160" spans="1:17" ht="15.75" x14ac:dyDescent="0.25">
      <c r="A160" s="3" t="str">
        <f>HYPERLINK("https://heavenlyouthouse.com/products/thymes-aqua-coralline-pura-diffuser-refill", "https://heavenlyouthouse.com/products/thymes-aqua-coralline-pura-diffuser-refill")</f>
        <v>https://heavenlyouthouse.com/products/thymes-aqua-coralline-pura-diffuser-refill</v>
      </c>
      <c r="B160" s="3" t="str">
        <f>HYPERLINK("https://heavenlyouthouse.com/products/thymes-aqua-coralline-pura-diffuser-refill", "https://heavenlyouthouse.com/products/thymes-aqua-coralline-pura-diffuser-refill")</f>
        <v>https://heavenlyouthouse.com/products/thymes-aqua-coralline-pura-diffuser-refill</v>
      </c>
      <c r="C160" t="s">
        <v>563</v>
      </c>
      <c r="D160" t="s">
        <v>564</v>
      </c>
      <c r="E160" s="3" t="str">
        <f>HYPERLINK("https://www.amazon.com/Thymes-Coralline-Smart-Diffuser-Refills/dp/B0BWC27162", "https://www.amazon.com/Thymes-Coralline-Smart-Diffuser-Refills/dp/B0BWC27162")</f>
        <v>https://www.amazon.com/Thymes-Coralline-Smart-Diffuser-Refills/dp/B0BWC27162</v>
      </c>
      <c r="F160" t="s">
        <v>565</v>
      </c>
      <c r="G160" t="e">
        <f ca="1">IMAGE("https://heavenlyouthouse.com/cdn/shop/products/thymes-aqua-coralline-pura-diffuser-refill-0.jpg?v=1676558913")</f>
        <v>#NAME?</v>
      </c>
      <c r="H160" t="e">
        <f ca="1">IMAGE("https://m.media-amazon.com/images/I/6142YbMEdzL._AC_UL320_.jpg")</f>
        <v>#NAME?</v>
      </c>
      <c r="I160" t="s">
        <v>117</v>
      </c>
      <c r="J160">
        <v>40</v>
      </c>
      <c r="K160" s="2" t="s">
        <v>562</v>
      </c>
      <c r="L160">
        <v>4.2</v>
      </c>
      <c r="M160">
        <v>234</v>
      </c>
      <c r="O160" t="s">
        <v>39</v>
      </c>
      <c r="P160" t="s">
        <v>53</v>
      </c>
      <c r="Q160" t="s">
        <v>566</v>
      </c>
    </row>
    <row r="161" spans="1:17" ht="15.75" x14ac:dyDescent="0.25">
      <c r="A161" s="3" t="str">
        <f>HYPERLINK("https://heavenlyouthouse.com/products/thymes-lavender-pura-smart-home-diffuser-refill", "https://heavenlyouthouse.com/products/thymes-lavender-pura-smart-home-diffuser-refill")</f>
        <v>https://heavenlyouthouse.com/products/thymes-lavender-pura-smart-home-diffuser-refill</v>
      </c>
      <c r="B161" s="3" t="str">
        <f>HYPERLINK("https://heavenlyouthouse.com/products/thymes-lavender-pura-smart-home-diffuser-refill", "https://heavenlyouthouse.com/products/thymes-lavender-pura-smart-home-diffuser-refill")</f>
        <v>https://heavenlyouthouse.com/products/thymes-lavender-pura-smart-home-diffuser-refill</v>
      </c>
      <c r="C161" t="s">
        <v>114</v>
      </c>
      <c r="D161" t="s">
        <v>567</v>
      </c>
      <c r="E161" s="3" t="str">
        <f>HYPERLINK("https://www.amazon.com/Thymes-Lavender-Smart-Diffuser-Refills/dp/B0BWC23NGH/ref=sr_1_1?keywords=Thymes+Lavender+Pura+Diffuser+Refill&amp;qid=1695258761&amp;sr=8-1", "https://www.amazon.com/Thymes-Lavender-Smart-Diffuser-Refills/dp/B0BWC23NGH/ref=sr_1_1?keywords=Thymes+Lavender+Pura+Diffuser+Refill&amp;qid=1695258761&amp;sr=8-1")</f>
        <v>https://www.amazon.com/Thymes-Lavender-Smart-Diffuser-Refills/dp/B0BWC23NGH/ref=sr_1_1?keywords=Thymes+Lavender+Pura+Diffuser+Refill&amp;qid=1695258761&amp;sr=8-1</v>
      </c>
      <c r="F161" t="s">
        <v>568</v>
      </c>
      <c r="G161" t="e">
        <f ca="1">IMAGE("https://heavenlyouthouse.com/cdn/shop/products/thymes-lavender-pura-diffuser-refill.jpg?v=1650913024")</f>
        <v>#NAME?</v>
      </c>
      <c r="H161" t="e">
        <f ca="1">IMAGE("https://m.media-amazon.com/images/I/61PiAHRP8HL._AC_UL320_.jpg")</f>
        <v>#NAME?</v>
      </c>
      <c r="I161" t="s">
        <v>117</v>
      </c>
      <c r="J161">
        <v>40</v>
      </c>
      <c r="K161" s="2" t="s">
        <v>562</v>
      </c>
      <c r="L161">
        <v>4.2</v>
      </c>
      <c r="M161">
        <v>234</v>
      </c>
      <c r="O161" t="s">
        <v>39</v>
      </c>
      <c r="P161" t="s">
        <v>39</v>
      </c>
      <c r="Q161" t="s">
        <v>119</v>
      </c>
    </row>
    <row r="162" spans="1:17" ht="15.75" x14ac:dyDescent="0.25">
      <c r="A162" s="3" t="str">
        <f>HYPERLINK("https://heavenlyouthouse.com/products/thymes-magnolia-willow-pura-smart-home-diffuser-refill", "https://heavenlyouthouse.com/products/thymes-magnolia-willow-pura-smart-home-diffuser-refill")</f>
        <v>https://heavenlyouthouse.com/products/thymes-magnolia-willow-pura-smart-home-diffuser-refill</v>
      </c>
      <c r="B162" s="3" t="str">
        <f>HYPERLINK("https://heavenlyouthouse.com/products/thymes-magnolia-willow-pura-smart-home-diffuser-refill", "https://heavenlyouthouse.com/products/thymes-magnolia-willow-pura-smart-home-diffuser-refill")</f>
        <v>https://heavenlyouthouse.com/products/thymes-magnolia-willow-pura-smart-home-diffuser-refill</v>
      </c>
      <c r="C162" t="s">
        <v>569</v>
      </c>
      <c r="D162" t="s">
        <v>570</v>
      </c>
      <c r="E162" s="3" t="str">
        <f>HYPERLINK("https://www.amazon.com/Thymes-Magnolia-Willow-Diffuser-Refills/dp/B0BWBVM5HG/ref=sr_1_1?keywords=Thymes+Magnolia+Willow+Pura+Diffuser+Refill&amp;qid=1695258770&amp;sr=8-1", "https://www.amazon.com/Thymes-Magnolia-Willow-Diffuser-Refills/dp/B0BWBVM5HG/ref=sr_1_1?keywords=Thymes+Magnolia+Willow+Pura+Diffuser+Refill&amp;qid=1695258770&amp;sr=8-1")</f>
        <v>https://www.amazon.com/Thymes-Magnolia-Willow-Diffuser-Refills/dp/B0BWBVM5HG/ref=sr_1_1?keywords=Thymes+Magnolia+Willow+Pura+Diffuser+Refill&amp;qid=1695258770&amp;sr=8-1</v>
      </c>
      <c r="F162" t="s">
        <v>571</v>
      </c>
      <c r="G162" t="e">
        <f ca="1">IMAGE("https://heavenlyouthouse.com/cdn/shop/products/Thymes-Magnolia-Willow-Pura-Diffuser-Refill.jpg?v=1656612064")</f>
        <v>#NAME?</v>
      </c>
      <c r="H162" t="e">
        <f ca="1">IMAGE("https://m.media-amazon.com/images/I/61TCafMR5AL._AC_UL320_.jpg")</f>
        <v>#NAME?</v>
      </c>
      <c r="I162" t="s">
        <v>117</v>
      </c>
      <c r="J162">
        <v>40</v>
      </c>
      <c r="K162" s="2" t="s">
        <v>562</v>
      </c>
      <c r="L162">
        <v>4.2</v>
      </c>
      <c r="M162">
        <v>234</v>
      </c>
      <c r="O162" t="s">
        <v>39</v>
      </c>
      <c r="P162" t="s">
        <v>53</v>
      </c>
      <c r="Q162" t="s">
        <v>572</v>
      </c>
    </row>
    <row r="163" spans="1:17" ht="15.75" x14ac:dyDescent="0.25">
      <c r="A163" s="3" t="str">
        <f>HYPERLINK("https://heavenlyouthouse.com/products/thymes-lemon-leaf-pura-smart-home-diffuser-refill", "https://heavenlyouthouse.com/products/thymes-lemon-leaf-pura-smart-home-diffuser-refill")</f>
        <v>https://heavenlyouthouse.com/products/thymes-lemon-leaf-pura-smart-home-diffuser-refill</v>
      </c>
      <c r="B163" s="3" t="str">
        <f>HYPERLINK("https://heavenlyouthouse.com/products/thymes-lemon-leaf-pura-smart-home-diffuser-refill", "https://heavenlyouthouse.com/products/thymes-lemon-leaf-pura-smart-home-diffuser-refill")</f>
        <v>https://heavenlyouthouse.com/products/thymes-lemon-leaf-pura-smart-home-diffuser-refill</v>
      </c>
      <c r="C163" t="s">
        <v>573</v>
      </c>
      <c r="D163" t="s">
        <v>574</v>
      </c>
      <c r="E163" s="3" t="str">
        <f>HYPERLINK("https://www.amazon.com/Thymes-Lemon-Smart-Diffuser-Refills/dp/B0BWC26L2W/ref=sr_1_1?keywords=Thymes+Lemon+Leaf+Pura+Diffuser+Refill&amp;qid=1695258771&amp;sr=8-1", "https://www.amazon.com/Thymes-Lemon-Smart-Diffuser-Refills/dp/B0BWC26L2W/ref=sr_1_1?keywords=Thymes+Lemon+Leaf+Pura+Diffuser+Refill&amp;qid=1695258771&amp;sr=8-1")</f>
        <v>https://www.amazon.com/Thymes-Lemon-Smart-Diffuser-Refills/dp/B0BWC26L2W/ref=sr_1_1?keywords=Thymes+Lemon+Leaf+Pura+Diffuser+Refill&amp;qid=1695258771&amp;sr=8-1</v>
      </c>
      <c r="F163" t="s">
        <v>575</v>
      </c>
      <c r="G163" t="e">
        <f ca="1">IMAGE("https://heavenlyouthouse.com/cdn/shop/products/Thymes-Lemon-Leaf-pura-smart-diffuser-refill.jpg?v=1651849745")</f>
        <v>#NAME?</v>
      </c>
      <c r="H163" t="e">
        <f ca="1">IMAGE("https://m.media-amazon.com/images/I/61Uk2wD+khL._AC_UL320_.jpg")</f>
        <v>#NAME?</v>
      </c>
      <c r="I163" t="s">
        <v>117</v>
      </c>
      <c r="J163">
        <v>40</v>
      </c>
      <c r="K163" s="2" t="s">
        <v>562</v>
      </c>
      <c r="L163">
        <v>4.2</v>
      </c>
      <c r="M163">
        <v>234</v>
      </c>
      <c r="O163" t="s">
        <v>39</v>
      </c>
      <c r="P163" t="s">
        <v>39</v>
      </c>
      <c r="Q163" t="s">
        <v>576</v>
      </c>
    </row>
    <row r="164" spans="1:17" ht="15.75" x14ac:dyDescent="0.25">
      <c r="A164" s="3" t="str">
        <f>HYPERLINK("https://heavenlyouthouse.com/products/thymes-highland-frost-pura-smart-home-diffuser-refill", "https://heavenlyouthouse.com/products/thymes-highland-frost-pura-smart-home-diffuser-refill")</f>
        <v>https://heavenlyouthouse.com/products/thymes-highland-frost-pura-smart-home-diffuser-refill</v>
      </c>
      <c r="B164" s="3" t="str">
        <f>HYPERLINK("https://heavenlyouthouse.com/products/thymes-highland-frost-pura-smart-home-diffuser-refill", "https://heavenlyouthouse.com/products/thymes-highland-frost-pura-smart-home-diffuser-refill")</f>
        <v>https://heavenlyouthouse.com/products/thymes-highland-frost-pura-smart-home-diffuser-refill</v>
      </c>
      <c r="C164" t="s">
        <v>577</v>
      </c>
      <c r="D164" t="s">
        <v>578</v>
      </c>
      <c r="E164" s="3" t="str">
        <f>HYPERLINK("https://www.amazon.com/Thymes-Highland-Frost-Diffuser-Refills/dp/B0BWBZLHRF/ref=sr_1_1?keywords=Thymes+Highland+Frost+Pura+Diffuser+Refill&amp;qid=1695258759&amp;sr=8-1", "https://www.amazon.com/Thymes-Highland-Frost-Diffuser-Refills/dp/B0BWBZLHRF/ref=sr_1_1?keywords=Thymes+Highland+Frost+Pura+Diffuser+Refill&amp;qid=1695258759&amp;sr=8-1")</f>
        <v>https://www.amazon.com/Thymes-Highland-Frost-Diffuser-Refills/dp/B0BWBZLHRF/ref=sr_1_1?keywords=Thymes+Highland+Frost+Pura+Diffuser+Refill&amp;qid=1695258759&amp;sr=8-1</v>
      </c>
      <c r="F164" t="s">
        <v>579</v>
      </c>
      <c r="G164" t="e">
        <f ca="1">IMAGE("https://heavenlyouthouse.com/cdn/shop/products/thymes-highland-frost-pura-refill.jpg?v=1664375453")</f>
        <v>#NAME?</v>
      </c>
      <c r="H164" t="e">
        <f ca="1">IMAGE("https://m.media-amazon.com/images/I/61nS0Nqe6hL._AC_UL320_.jpg")</f>
        <v>#NAME?</v>
      </c>
      <c r="I164" t="s">
        <v>117</v>
      </c>
      <c r="J164">
        <v>40</v>
      </c>
      <c r="K164" s="2" t="s">
        <v>562</v>
      </c>
      <c r="L164">
        <v>4.2</v>
      </c>
      <c r="M164">
        <v>234</v>
      </c>
      <c r="O164" t="s">
        <v>39</v>
      </c>
      <c r="P164" t="s">
        <v>39</v>
      </c>
      <c r="Q164" t="s">
        <v>580</v>
      </c>
    </row>
    <row r="165" spans="1:17" ht="15.75" x14ac:dyDescent="0.25">
      <c r="A165" s="3" t="str">
        <f>HYPERLINK("https://heavenlyouthouse.com/products/thymes-frasier-fir-pura-smart-home-diffuser-refill", "https://heavenlyouthouse.com/products/thymes-frasier-fir-pura-smart-home-diffuser-refill")</f>
        <v>https://heavenlyouthouse.com/products/thymes-frasier-fir-pura-smart-home-diffuser-refill</v>
      </c>
      <c r="B165" s="3" t="str">
        <f>HYPERLINK("https://heavenlyouthouse.com/products/thymes-frasier-fir-pura-smart-home-diffuser-refill", "https://heavenlyouthouse.com/products/thymes-frasier-fir-pura-smart-home-diffuser-refill")</f>
        <v>https://heavenlyouthouse.com/products/thymes-frasier-fir-pura-smart-home-diffuser-refill</v>
      </c>
      <c r="C165" t="s">
        <v>126</v>
      </c>
      <c r="D165" t="s">
        <v>339</v>
      </c>
      <c r="E165" s="3" t="str">
        <f>HYPERLINK("https://www.amazon.com/Thymes-Frasier-Smart-Diffuser-Refills/dp/B0BWC7VMG5/ref=sr_1_1?keywords=Thymes+Frasier+Fir+Pura+Diffuser+Refill&amp;qid=1695258738&amp;sr=8-1", "https://www.amazon.com/Thymes-Frasier-Smart-Diffuser-Refills/dp/B0BWC7VMG5/ref=sr_1_1?keywords=Thymes+Frasier+Fir+Pura+Diffuser+Refill&amp;qid=1695258738&amp;sr=8-1")</f>
        <v>https://www.amazon.com/Thymes-Frasier-Smart-Diffuser-Refills/dp/B0BWC7VMG5/ref=sr_1_1?keywords=Thymes+Frasier+Fir+Pura+Diffuser+Refill&amp;qid=1695258738&amp;sr=8-1</v>
      </c>
      <c r="F165" t="s">
        <v>340</v>
      </c>
      <c r="G165" t="e">
        <f ca="1">IMAGE("https://heavenlyouthouse.com/cdn/shop/products/Thymes-Frasier-Fir-pura-smart-home-diffuser-refill.jpg?v=1632434828")</f>
        <v>#NAME?</v>
      </c>
      <c r="H165" t="e">
        <f ca="1">IMAGE("https://m.media-amazon.com/images/I/719X51fg5uL._AC_UL320_.jpg")</f>
        <v>#NAME?</v>
      </c>
      <c r="I165" t="s">
        <v>117</v>
      </c>
      <c r="J165">
        <v>40</v>
      </c>
      <c r="K165" s="2" t="s">
        <v>562</v>
      </c>
      <c r="L165">
        <v>4.2</v>
      </c>
      <c r="M165">
        <v>234</v>
      </c>
      <c r="O165" t="s">
        <v>39</v>
      </c>
      <c r="P165" t="s">
        <v>53</v>
      </c>
      <c r="Q165" t="s">
        <v>127</v>
      </c>
    </row>
    <row r="166" spans="1:17" ht="15.75" x14ac:dyDescent="0.25">
      <c r="A166" s="3" t="str">
        <f>HYPERLINK("https://heavenlyouthouse.com/products/thymes-simmered-cider-pura-smart-home-diffuser-refill", "https://heavenlyouthouse.com/products/thymes-simmered-cider-pura-smart-home-diffuser-refill")</f>
        <v>https://heavenlyouthouse.com/products/thymes-simmered-cider-pura-smart-home-diffuser-refill</v>
      </c>
      <c r="B166" s="3" t="str">
        <f>HYPERLINK("https://heavenlyouthouse.com/products/thymes-simmered-cider-pura-smart-home-diffuser-refill", "https://heavenlyouthouse.com/products/thymes-simmered-cider-pura-smart-home-diffuser-refill")</f>
        <v>https://heavenlyouthouse.com/products/thymes-simmered-cider-pura-smart-home-diffuser-refill</v>
      </c>
      <c r="C166" t="s">
        <v>581</v>
      </c>
      <c r="D166" t="s">
        <v>582</v>
      </c>
      <c r="E166" s="3" t="str">
        <f>HYPERLINK("https://www.amazon.com/Thymes-Simmered-Cider-Diffuser-Refills/dp/B0BWBVM5HJ/ref=sr_1_2?keywords=Thymes+Simmered+Cider+Pura+Diffuser+Refill&amp;qid=1695258823&amp;sr=8-2", "https://www.amazon.com/Thymes-Simmered-Cider-Diffuser-Refills/dp/B0BWBVM5HJ/ref=sr_1_2?keywords=Thymes+Simmered+Cider+Pura+Diffuser+Refill&amp;qid=1695258823&amp;sr=8-2")</f>
        <v>https://www.amazon.com/Thymes-Simmered-Cider-Diffuser-Refills/dp/B0BWBVM5HJ/ref=sr_1_2?keywords=Thymes+Simmered+Cider+Pura+Diffuser+Refill&amp;qid=1695258823&amp;sr=8-2</v>
      </c>
      <c r="F166" t="s">
        <v>583</v>
      </c>
      <c r="G166" t="e">
        <f ca="1">IMAGE("https://heavenlyouthouse.com/cdn/shop/products/thymes-simmered-cider-pura-smart-diffuser-refill.jpg?v=1657731939")</f>
        <v>#NAME?</v>
      </c>
      <c r="H166" t="e">
        <f ca="1">IMAGE("https://m.media-amazon.com/images/I/61w1Do321uL._AC_UL320_.jpg")</f>
        <v>#NAME?</v>
      </c>
      <c r="I166" t="s">
        <v>117</v>
      </c>
      <c r="J166">
        <v>40</v>
      </c>
      <c r="K166" s="2" t="s">
        <v>562</v>
      </c>
      <c r="L166">
        <v>4.2</v>
      </c>
      <c r="M166">
        <v>234</v>
      </c>
      <c r="O166" t="s">
        <v>136</v>
      </c>
      <c r="P166" t="s">
        <v>39</v>
      </c>
      <c r="Q166" t="s">
        <v>584</v>
      </c>
    </row>
    <row r="167" spans="1:17" ht="15.75" x14ac:dyDescent="0.25">
      <c r="A167" s="3" t="str">
        <f>HYPERLINK("https://heavenlyouthouse.com/products/thymes-simmered-cider-pura-smart-home-diffuser-refill", "https://heavenlyouthouse.com/products/thymes-simmered-cider-pura-smart-home-diffuser-refill")</f>
        <v>https://heavenlyouthouse.com/products/thymes-simmered-cider-pura-smart-home-diffuser-refill</v>
      </c>
      <c r="B167" s="3" t="str">
        <f>HYPERLINK("https://heavenlyouthouse.com/products/thymes-simmered-cider-pura-smart-home-diffuser-refill", "https://heavenlyouthouse.com/products/thymes-simmered-cider-pura-smart-home-diffuser-refill")</f>
        <v>https://heavenlyouthouse.com/products/thymes-simmered-cider-pura-smart-home-diffuser-refill</v>
      </c>
      <c r="C167" t="s">
        <v>581</v>
      </c>
      <c r="D167" t="s">
        <v>582</v>
      </c>
      <c r="E167" s="3"/>
      <c r="F167" t="s">
        <v>583</v>
      </c>
      <c r="G167" t="e">
        <f ca="1">IMAGE("https://heavenlyouthouse.com/cdn/shop/products/thymes-simmered-cider-pura-smart-diffuser-refill.jpg?v=1657731939")</f>
        <v>#NAME?</v>
      </c>
      <c r="H167" t="e">
        <f ca="1">IMAGE("https://m.media-amazon.com/images/I/61w1Do321uL._AC_UL320_.jpg")</f>
        <v>#NAME?</v>
      </c>
      <c r="I167" t="s">
        <v>117</v>
      </c>
      <c r="J167">
        <v>40</v>
      </c>
      <c r="K167" s="2" t="s">
        <v>562</v>
      </c>
      <c r="L167">
        <v>4.2</v>
      </c>
      <c r="M167">
        <v>234</v>
      </c>
      <c r="O167" t="s">
        <v>136</v>
      </c>
      <c r="P167" t="s">
        <v>39</v>
      </c>
      <c r="Q167" t="s">
        <v>584</v>
      </c>
    </row>
    <row r="168" spans="1:17" ht="15.75" x14ac:dyDescent="0.25">
      <c r="A168" s="3" t="str">
        <f>HYPERLINK("https://heavenlyouthouse.com/products/thymes-fresh-cut-basil-pura-smart-home-diffuser-refill", "https://heavenlyouthouse.com/products/thymes-fresh-cut-basil-pura-smart-home-diffuser-refill")</f>
        <v>https://heavenlyouthouse.com/products/thymes-fresh-cut-basil-pura-smart-home-diffuser-refill</v>
      </c>
      <c r="B168" s="3" t="str">
        <f>HYPERLINK("https://heavenlyouthouse.com/products/thymes-fresh-cut-basil-pura-smart-home-diffuser-refill", "https://heavenlyouthouse.com/products/thymes-fresh-cut-basil-pura-smart-home-diffuser-refill")</f>
        <v>https://heavenlyouthouse.com/products/thymes-fresh-cut-basil-pura-smart-home-diffuser-refill</v>
      </c>
      <c r="C168" t="s">
        <v>122</v>
      </c>
      <c r="D168" t="s">
        <v>585</v>
      </c>
      <c r="E168" s="3" t="str">
        <f>HYPERLINK("https://www.amazon.com/Thymes-Fresh-Cut-Basil-Diffuser-Refills/dp/B0BWC6LWSY/ref=sr_1_1?keywords=Thymes+Fresh-Cut+Basil+Pura+Diffuser+Refill&amp;qid=1695258753&amp;sr=8-1", "https://www.amazon.com/Thymes-Fresh-Cut-Basil-Diffuser-Refills/dp/B0BWC6LWSY/ref=sr_1_1?keywords=Thymes+Fresh-Cut+Basil+Pura+Diffuser+Refill&amp;qid=1695258753&amp;sr=8-1")</f>
        <v>https://www.amazon.com/Thymes-Fresh-Cut-Basil-Diffuser-Refills/dp/B0BWC6LWSY/ref=sr_1_1?keywords=Thymes+Fresh-Cut+Basil+Pura+Diffuser+Refill&amp;qid=1695258753&amp;sr=8-1</v>
      </c>
      <c r="F168" t="s">
        <v>586</v>
      </c>
      <c r="G168" t="e">
        <f ca="1">IMAGE("https://heavenlyouthouse.com/cdn/shop/products/thymes-fresh-cut-basil-pura-smart-diffuser-refill.jpg?v=1657727543")</f>
        <v>#NAME?</v>
      </c>
      <c r="H168" t="e">
        <f ca="1">IMAGE("https://m.media-amazon.com/images/I/61bO9tDgbVL._AC_UL320_.jpg")</f>
        <v>#NAME?</v>
      </c>
      <c r="I168" t="s">
        <v>117</v>
      </c>
      <c r="J168">
        <v>40</v>
      </c>
      <c r="K168" s="2" t="s">
        <v>562</v>
      </c>
      <c r="L168">
        <v>4.2</v>
      </c>
      <c r="M168">
        <v>234</v>
      </c>
      <c r="O168" t="s">
        <v>39</v>
      </c>
      <c r="P168" t="s">
        <v>53</v>
      </c>
      <c r="Q168" t="s">
        <v>123</v>
      </c>
    </row>
    <row r="169" spans="1:17" ht="15.75" x14ac:dyDescent="0.25">
      <c r="A169" s="3" t="str">
        <f>HYPERLINK("https://heavenlyouthouse.com/products/wonderful-holiday-season-christmas-card", "https://heavenlyouthouse.com/products/wonderful-holiday-season-christmas-card")</f>
        <v>https://heavenlyouthouse.com/products/wonderful-holiday-season-christmas-card</v>
      </c>
      <c r="B169" s="3" t="str">
        <f>HYPERLINK("https://heavenlyouthouse.com/products/wonderful-holiday-season-christmas-card", "https://heavenlyouthouse.com/products/wonderful-holiday-season-christmas-card")</f>
        <v>https://heavenlyouthouse.com/products/wonderful-holiday-season-christmas-card</v>
      </c>
      <c r="C169" t="s">
        <v>236</v>
      </c>
      <c r="D169" t="s">
        <v>587</v>
      </c>
      <c r="E169" s="3" t="str">
        <f>HYPERLINK("https://www.amazon.com/Graphique-Seasons-Greetings-Mid-Sized-BXM122/dp/1477080686/ref=sr_1_5?keywords=Wonderful+Holiday+Season+Christmas+Card&amp;qid=1695258831&amp;sr=8-5", "https://www.amazon.com/Graphique-Seasons-Greetings-Mid-Sized-BXM122/dp/1477080686/ref=sr_1_5?keywords=Wonderful+Holiday+Season+Christmas+Card&amp;qid=1695258831&amp;sr=8-5")</f>
        <v>https://www.amazon.com/Graphique-Seasons-Greetings-Mid-Sized-BXM122/dp/1477080686/ref=sr_1_5?keywords=Wonderful+Holiday+Season+Christmas+Card&amp;qid=1695258831&amp;sr=8-5</v>
      </c>
      <c r="F169" t="s">
        <v>588</v>
      </c>
      <c r="G169" t="e">
        <f ca="1">IMAGE("https://heavenlyouthouse.com/cdn/shop/files/https___images.salsify.com_image_upload_q_70_m0oje5tosgrfxhdy0xdb_300x300.jpg?v=1685404851")</f>
        <v>#NAME?</v>
      </c>
      <c r="H169" t="e">
        <f ca="1">IMAGE("https://m.media-amazon.com/images/I/71dvJmmA3-L._AC_UL320_.jpg")</f>
        <v>#NAME?</v>
      </c>
      <c r="I169" t="s">
        <v>239</v>
      </c>
      <c r="J169">
        <v>11.99</v>
      </c>
      <c r="K169" s="2" t="s">
        <v>562</v>
      </c>
      <c r="L169">
        <v>4.5999999999999996</v>
      </c>
      <c r="M169">
        <v>15</v>
      </c>
      <c r="O169" t="s">
        <v>39</v>
      </c>
      <c r="P169" t="s">
        <v>39</v>
      </c>
      <c r="Q169" t="s">
        <v>241</v>
      </c>
    </row>
    <row r="170" spans="1:17" ht="15.75" x14ac:dyDescent="0.25">
      <c r="A170" s="3" t="str">
        <f>HYPERLINK("https://heavenlyouthouse.com/products/poo-pourri-original-citrus-toilet-spray?variant=39334155321433", "https://heavenlyouthouse.com/products/poo-pourri-original-citrus-toilet-spray?variant=39334155321433")</f>
        <v>https://heavenlyouthouse.com/products/poo-pourri-original-citrus-toilet-spray?variant=39334155321433</v>
      </c>
      <c r="B170" s="3" t="str">
        <f>HYPERLINK("https://heavenlyouthouse.com/products/poo-pourri-original-citrus-toilet-spray", "https://heavenlyouthouse.com/products/poo-pourri-original-citrus-toilet-spray")</f>
        <v>https://heavenlyouthouse.com/products/poo-pourri-original-citrus-toilet-spray</v>
      </c>
      <c r="C170" t="s">
        <v>526</v>
      </c>
      <c r="D170" t="s">
        <v>589</v>
      </c>
      <c r="E170" s="3" t="str">
        <f>HYPERLINK("https://www.amazon.com/Poo-Pourri-Before-You-Go-Toilet-Bottle-Original/dp/B0071B09Y8/ref=sr_1_1?keywords=Poo-Pourri+Original+Citrus+Toilet+Spray&amp;qid=1695258667&amp;sr=8-1", "https://www.amazon.com/Poo-Pourri-Before-You-Go-Toilet-Bottle-Original/dp/B0071B09Y8/ref=sr_1_1?keywords=Poo-Pourri+Original+Citrus+Toilet+Spray&amp;qid=1695258667&amp;sr=8-1")</f>
        <v>https://www.amazon.com/Poo-Pourri-Before-You-Go-Toilet-Bottle-Original/dp/B0071B09Y8/ref=sr_1_1?keywords=Poo-Pourri+Original+Citrus+Toilet+Spray&amp;qid=1695258667&amp;sr=8-1</v>
      </c>
      <c r="F170" t="s">
        <v>590</v>
      </c>
      <c r="G170" t="e">
        <f ca="1">IMAGE("https://heavenlyouthouse.com/cdn/shop/products/Poo-pourrioriginalcitrustoiletbathroomspray1.jpg?v=1621615377")</f>
        <v>#NAME?</v>
      </c>
      <c r="H170" t="e">
        <f ca="1">IMAGE("https://m.media-amazon.com/images/I/71-+2idrPgL._AC_UL320_.jpg")</f>
        <v>#NAME?</v>
      </c>
      <c r="I170" t="s">
        <v>362</v>
      </c>
      <c r="J170">
        <v>23.87</v>
      </c>
      <c r="K170" s="2" t="s">
        <v>562</v>
      </c>
      <c r="L170">
        <v>4.7</v>
      </c>
      <c r="M170">
        <v>95529</v>
      </c>
      <c r="O170" t="s">
        <v>136</v>
      </c>
      <c r="P170" t="s">
        <v>363</v>
      </c>
      <c r="Q170" t="s">
        <v>530</v>
      </c>
    </row>
    <row r="171" spans="1:17" ht="15.75" x14ac:dyDescent="0.25">
      <c r="A171" s="3" t="str">
        <f>HYPERLINK("https://heavenlyouthouse.com/products/thymes-washed-linen-home-fragrance-mist", "https://heavenlyouthouse.com/products/thymes-washed-linen-home-fragrance-mist")</f>
        <v>https://heavenlyouthouse.com/products/thymes-washed-linen-home-fragrance-mist</v>
      </c>
      <c r="B171" s="3" t="str">
        <f>HYPERLINK("https://heavenlyouthouse.com/products/thymes-washed-linen-home-fragrance-mist", "https://heavenlyouthouse.com/products/thymes-washed-linen-home-fragrance-mist")</f>
        <v>https://heavenlyouthouse.com/products/thymes-washed-linen-home-fragrance-mist</v>
      </c>
      <c r="C171" t="s">
        <v>591</v>
      </c>
      <c r="D171" t="s">
        <v>51</v>
      </c>
      <c r="E171" s="3" t="str">
        <f>HYPERLINK("https://www.amazon.com/Thymes-Petite-Reed-Diffuser-Washed/dp/B084C4KQX7/ref=sr_1_3?keywords=Thymes+Washed+Linen+Home+Fragrance+Mist&amp;qid=1695258787&amp;sr=8-3", "https://www.amazon.com/Thymes-Petite-Reed-Diffuser-Washed/dp/B084C4KQX7/ref=sr_1_3?keywords=Thymes+Washed+Linen+Home+Fragrance+Mist&amp;qid=1695258787&amp;sr=8-3")</f>
        <v>https://www.amazon.com/Thymes-Petite-Reed-Diffuser-Washed/dp/B084C4KQX7/ref=sr_1_3?keywords=Thymes+Washed+Linen+Home+Fragrance+Mist&amp;qid=1695258787&amp;sr=8-3</v>
      </c>
      <c r="F171" t="s">
        <v>52</v>
      </c>
      <c r="G171" t="e">
        <f ca="1">IMAGE("https://heavenlyouthouse.com/cdn/shop/products/ThymesWashedLinenhomefragrancemist.jpg?v=1613174767")</f>
        <v>#NAME?</v>
      </c>
      <c r="H171" t="e">
        <f ca="1">IMAGE("https://m.media-amazon.com/images/I/71AO0IPM4lL._AC_UL320_.jpg")</f>
        <v>#NAME?</v>
      </c>
      <c r="I171" t="s">
        <v>385</v>
      </c>
      <c r="J171">
        <v>46</v>
      </c>
      <c r="K171" s="2" t="s">
        <v>592</v>
      </c>
      <c r="L171">
        <v>4.3</v>
      </c>
      <c r="M171">
        <v>185</v>
      </c>
      <c r="O171" t="s">
        <v>39</v>
      </c>
      <c r="P171" t="s">
        <v>39</v>
      </c>
      <c r="Q171" t="s">
        <v>593</v>
      </c>
    </row>
    <row r="172" spans="1:17" ht="15.75" x14ac:dyDescent="0.25">
      <c r="A172" s="3" t="str">
        <f>HYPERLINK("https://heavenlyouthouse.com/products/frasier-fir-home-fragrance-mist", "https://heavenlyouthouse.com/products/frasier-fir-home-fragrance-mist")</f>
        <v>https://heavenlyouthouse.com/products/frasier-fir-home-fragrance-mist</v>
      </c>
      <c r="B172" s="3" t="str">
        <f>HYPERLINK("https://heavenlyouthouse.com/products/frasier-fir-home-fragrance-mist", "https://heavenlyouthouse.com/products/frasier-fir-home-fragrance-mist")</f>
        <v>https://heavenlyouthouse.com/products/frasier-fir-home-fragrance-mist</v>
      </c>
      <c r="C172" t="s">
        <v>384</v>
      </c>
      <c r="D172" t="s">
        <v>150</v>
      </c>
      <c r="E172" s="3" t="str">
        <f>HYPERLINK("https://www.amazon.com/Frasier-Diffuser-Petite-Needle-Design/dp/B07PX41PHQ/ref=sr_1_2?keywords=Thymes+Frasier+Fir+Home+Fragrance+Mist&amp;qid=1695258733&amp;sr=8-2", "https://www.amazon.com/Frasier-Diffuser-Petite-Needle-Design/dp/B07PX41PHQ/ref=sr_1_2?keywords=Thymes+Frasier+Fir+Home+Fragrance+Mist&amp;qid=1695258733&amp;sr=8-2")</f>
        <v>https://www.amazon.com/Frasier-Diffuser-Petite-Needle-Design/dp/B07PX41PHQ/ref=sr_1_2?keywords=Thymes+Frasier+Fir+Home+Fragrance+Mist&amp;qid=1695258733&amp;sr=8-2</v>
      </c>
      <c r="F172" t="s">
        <v>151</v>
      </c>
      <c r="G172" t="e">
        <f ca="1">IMAGE("https://heavenlyouthouse.com/cdn/shop/products/ThymesFrasierFirHomeFragranceMist.jpg?v=1617817932")</f>
        <v>#NAME?</v>
      </c>
      <c r="H172" t="e">
        <f ca="1">IMAGE("https://m.media-amazon.com/images/I/81b2I297VgL._AC_UL320_.jpg")</f>
        <v>#NAME?</v>
      </c>
      <c r="I172" t="s">
        <v>385</v>
      </c>
      <c r="J172">
        <v>46</v>
      </c>
      <c r="K172" s="2" t="s">
        <v>592</v>
      </c>
      <c r="L172">
        <v>4.7</v>
      </c>
      <c r="M172">
        <v>283</v>
      </c>
      <c r="O172" t="s">
        <v>39</v>
      </c>
      <c r="P172" t="s">
        <v>39</v>
      </c>
      <c r="Q172" t="s">
        <v>387</v>
      </c>
    </row>
    <row r="173" spans="1:17" ht="15.75" x14ac:dyDescent="0.25">
      <c r="A173" s="3" t="str">
        <f>HYPERLINK("https://heavenlyouthouse.com/products/thymes-ceramic-sink-caddy", "https://heavenlyouthouse.com/products/thymes-ceramic-sink-caddy")</f>
        <v>https://heavenlyouthouse.com/products/thymes-ceramic-sink-caddy</v>
      </c>
      <c r="B173" s="3" t="str">
        <f>HYPERLINK("https://heavenlyouthouse.com/products/thymes-ceramic-sink-caddy", "https://heavenlyouthouse.com/products/thymes-ceramic-sink-caddy")</f>
        <v>https://heavenlyouthouse.com/products/thymes-ceramic-sink-caddy</v>
      </c>
      <c r="C173" t="s">
        <v>257</v>
      </c>
      <c r="D173" t="s">
        <v>594</v>
      </c>
      <c r="E173" s="3" t="str">
        <f>HYPERLINK("https://www.amazon.com/Uiddo-Ceramic-Holder%EF%BC%8C-Kitchen-Organizer/dp/B0CBBJ7GWX/ref=sr_1_3?keywords=Thymes+Ceramic+Sink+Caddy&amp;qid=1695258735&amp;sr=8-3", "https://www.amazon.com/Uiddo-Ceramic-Holder%EF%BC%8C-Kitchen-Organizer/dp/B0CBBJ7GWX/ref=sr_1_3?keywords=Thymes+Ceramic+Sink+Caddy&amp;qid=1695258735&amp;sr=8-3")</f>
        <v>https://www.amazon.com/Uiddo-Ceramic-Holder%EF%BC%8C-Kitchen-Organizer/dp/B0CBBJ7GWX/ref=sr_1_3?keywords=Thymes+Ceramic+Sink+Caddy&amp;qid=1695258735&amp;sr=8-3</v>
      </c>
      <c r="F173" t="s">
        <v>595</v>
      </c>
      <c r="G173" t="e">
        <f ca="1">IMAGE("https://heavenlyouthouse.com/cdn/shop/products/Thymesceramicsinkcaddy.jpg?v=1613077205")</f>
        <v>#NAME?</v>
      </c>
      <c r="H173" t="e">
        <f ca="1">IMAGE("https://m.media-amazon.com/images/I/71mDzH2y6LL._AC_UL320_.jpg")</f>
        <v>#NAME?</v>
      </c>
      <c r="I173" t="s">
        <v>260</v>
      </c>
      <c r="J173">
        <v>13.99</v>
      </c>
      <c r="K173" s="2" t="s">
        <v>596</v>
      </c>
      <c r="L173">
        <v>5</v>
      </c>
      <c r="M173">
        <v>2</v>
      </c>
      <c r="O173" t="s">
        <v>39</v>
      </c>
      <c r="P173" t="s">
        <v>39</v>
      </c>
      <c r="Q173" t="s">
        <v>262</v>
      </c>
    </row>
    <row r="174" spans="1:17" ht="15.75" x14ac:dyDescent="0.25">
      <c r="A174" s="3" t="str">
        <f>HYPERLINK("https://heavenlyouthouse.com/products/vanilla-coconut-foaming-wash", "https://heavenlyouthouse.com/products/vanilla-coconut-foaming-wash")</f>
        <v>https://heavenlyouthouse.com/products/vanilla-coconut-foaming-wash</v>
      </c>
      <c r="B174" s="3" t="str">
        <f>HYPERLINK("https://heavenlyouthouse.com/products/vanilla-coconut-foaming-wash", "https://heavenlyouthouse.com/products/vanilla-coconut-foaming-wash")</f>
        <v>https://heavenlyouthouse.com/products/vanilla-coconut-foaming-wash</v>
      </c>
      <c r="C174" t="s">
        <v>390</v>
      </c>
      <c r="D174" t="s">
        <v>597</v>
      </c>
      <c r="E174" s="3" t="str">
        <f>HYPERLINK("https://www.amazon.com/Valentines-Moisturizing-Essential-Alcohol-Free-Bathroom/dp/B08YDYW68T/ref=sr_1_5?keywords=Vanilla+Coconut+Foaming+Wash&amp;qid=1695258837&amp;sr=8-5", "https://www.amazon.com/Valentines-Moisturizing-Essential-Alcohol-Free-Bathroom/dp/B08YDYW68T/ref=sr_1_5?keywords=Vanilla+Coconut+Foaming+Wash&amp;qid=1695258837&amp;sr=8-5")</f>
        <v>https://www.amazon.com/Valentines-Moisturizing-Essential-Alcohol-Free-Bathroom/dp/B08YDYW68T/ref=sr_1_5?keywords=Vanilla+Coconut+Foaming+Wash&amp;qid=1695258837&amp;sr=8-5</v>
      </c>
      <c r="F174" t="s">
        <v>598</v>
      </c>
      <c r="G174" t="e">
        <f ca="1">IMAGE("https://heavenlyouthouse.com/cdn/shop/products/vanilla-coconut-foaming-wash_2000x_7648654b-2503-4219-a1cd-2f8e8ea738eb.jpg?v=1586812094")</f>
        <v>#NAME?</v>
      </c>
      <c r="H174" t="e">
        <f ca="1">IMAGE("https://m.media-amazon.com/images/I/81sVaNm6BcL._AC_UL320_.jpg")</f>
        <v>#NAME?</v>
      </c>
      <c r="I174" t="s">
        <v>233</v>
      </c>
      <c r="J174">
        <v>24.99</v>
      </c>
      <c r="K174" s="2" t="s">
        <v>596</v>
      </c>
      <c r="L174">
        <v>4.4000000000000004</v>
      </c>
      <c r="M174">
        <v>576</v>
      </c>
      <c r="O174" t="s">
        <v>39</v>
      </c>
      <c r="P174" t="s">
        <v>394</v>
      </c>
      <c r="Q174" t="s">
        <v>395</v>
      </c>
    </row>
    <row r="175" spans="1:17" ht="15.75" x14ac:dyDescent="0.25">
      <c r="A175" s="3" t="str">
        <f>HYPERLINK("https://heavenlyouthouse.com/products/thymes-mandarin-coriander-laundry-fragrance-oil", "https://heavenlyouthouse.com/products/thymes-mandarin-coriander-laundry-fragrance-oil")</f>
        <v>https://heavenlyouthouse.com/products/thymes-mandarin-coriander-laundry-fragrance-oil</v>
      </c>
      <c r="B175" s="3" t="str">
        <f>HYPERLINK("https://heavenlyouthouse.com/products/thymes-mandarin-coriander-laundry-fragrance-oil", "https://heavenlyouthouse.com/products/thymes-mandarin-coriander-laundry-fragrance-oil")</f>
        <v>https://heavenlyouthouse.com/products/thymes-mandarin-coriander-laundry-fragrance-oil</v>
      </c>
      <c r="C175" t="s">
        <v>599</v>
      </c>
      <c r="D175" t="s">
        <v>600</v>
      </c>
      <c r="E175" s="3" t="str">
        <f>HYPERLINK("https://www.amazon.com/Thymes-Wool-Dryer-Fragrance-Laundry/dp/B0B75T73J8/ref=sr_1_1?keywords=Thymes+Mandarin+Coriander+Laundry+Fragrance+Oil&amp;qid=1695258797&amp;sr=8-1", "https://www.amazon.com/Thymes-Wool-Dryer-Fragrance-Laundry/dp/B0B75T73J8/ref=sr_1_1?keywords=Thymes+Mandarin+Coriander+Laundry+Fragrance+Oil&amp;qid=1695258797&amp;sr=8-1")</f>
        <v>https://www.amazon.com/Thymes-Wool-Dryer-Fragrance-Laundry/dp/B0B75T73J8/ref=sr_1_1?keywords=Thymes+Mandarin+Coriander+Laundry+Fragrance+Oil&amp;qid=1695258797&amp;sr=8-1</v>
      </c>
      <c r="F175" t="s">
        <v>601</v>
      </c>
      <c r="G175" t="e">
        <f ca="1">IMAGE("https://heavenlyouthouse.com/cdn/shop/products/thymes-mandarin-coriander-laundry-fragrance-oil.jpg?v=1657728919")</f>
        <v>#NAME?</v>
      </c>
      <c r="H175" t="e">
        <f ca="1">IMAGE("https://m.media-amazon.com/images/I/71Jx3cei7WL._AC_UL320_.jpg")</f>
        <v>#NAME?</v>
      </c>
      <c r="I175" t="s">
        <v>188</v>
      </c>
      <c r="J175">
        <v>34</v>
      </c>
      <c r="K175" s="2" t="s">
        <v>602</v>
      </c>
      <c r="L175">
        <v>4.2</v>
      </c>
      <c r="M175">
        <v>49</v>
      </c>
      <c r="O175" t="s">
        <v>39</v>
      </c>
      <c r="P175" t="s">
        <v>39</v>
      </c>
      <c r="Q175" t="s">
        <v>603</v>
      </c>
    </row>
    <row r="176" spans="1:17" ht="15.75" x14ac:dyDescent="0.25">
      <c r="A176" s="3" t="str">
        <f>HYPERLINK("https://heavenlyouthouse.com/products/thymes-washed-linen-laundry-fragrance-oil", "https://heavenlyouthouse.com/products/thymes-washed-linen-laundry-fragrance-oil")</f>
        <v>https://heavenlyouthouse.com/products/thymes-washed-linen-laundry-fragrance-oil</v>
      </c>
      <c r="B176" s="3" t="str">
        <f>HYPERLINK("https://heavenlyouthouse.com/products/thymes-washed-linen-laundry-fragrance-oil", "https://heavenlyouthouse.com/products/thymes-washed-linen-laundry-fragrance-oil")</f>
        <v>https://heavenlyouthouse.com/products/thymes-washed-linen-laundry-fragrance-oil</v>
      </c>
      <c r="C176" t="s">
        <v>604</v>
      </c>
      <c r="D176" t="s">
        <v>605</v>
      </c>
      <c r="E176" s="3" t="str">
        <f>HYPERLINK("https://www.amazon.com/Thymes-Wool-Dryer-Fragrance-Laundry/dp/B0B75XKBXS/ref=sr_1_1?keywords=Thymes+Washed+Linen+Laundry+Fragrance+Oil&amp;qid=1695258793&amp;sr=8-1", "https://www.amazon.com/Thymes-Wool-Dryer-Fragrance-Laundry/dp/B0B75XKBXS/ref=sr_1_1?keywords=Thymes+Washed+Linen+Laundry+Fragrance+Oil&amp;qid=1695258793&amp;sr=8-1")</f>
        <v>https://www.amazon.com/Thymes-Wool-Dryer-Fragrance-Laundry/dp/B0B75XKBXS/ref=sr_1_1?keywords=Thymes+Washed+Linen+Laundry+Fragrance+Oil&amp;qid=1695258793&amp;sr=8-1</v>
      </c>
      <c r="F176" t="s">
        <v>606</v>
      </c>
      <c r="G176" t="e">
        <f ca="1">IMAGE("https://heavenlyouthouse.com/cdn/shop/products/thymes-washed-linen-fragrance-laundry-oil-TH30607307907.jpg?v=1657730639")</f>
        <v>#NAME?</v>
      </c>
      <c r="H176" t="e">
        <f ca="1">IMAGE("https://m.media-amazon.com/images/I/716Pb-9owwL._AC_UL320_.jpg")</f>
        <v>#NAME?</v>
      </c>
      <c r="I176" t="s">
        <v>188</v>
      </c>
      <c r="J176">
        <v>34</v>
      </c>
      <c r="K176" s="2" t="s">
        <v>602</v>
      </c>
      <c r="L176">
        <v>4.2</v>
      </c>
      <c r="M176">
        <v>49</v>
      </c>
      <c r="O176" t="s">
        <v>39</v>
      </c>
      <c r="P176" t="s">
        <v>39</v>
      </c>
      <c r="Q176" t="s">
        <v>607</v>
      </c>
    </row>
    <row r="177" spans="1:17" ht="15.75" x14ac:dyDescent="0.25">
      <c r="A177" s="3" t="str">
        <f>HYPERLINK("https://heavenlyouthouse.com/products/thymes-lemon-leaf-laundry-fragrance-oil", "https://heavenlyouthouse.com/products/thymes-lemon-leaf-laundry-fragrance-oil")</f>
        <v>https://heavenlyouthouse.com/products/thymes-lemon-leaf-laundry-fragrance-oil</v>
      </c>
      <c r="B177" s="3" t="str">
        <f>HYPERLINK("https://heavenlyouthouse.com/products/thymes-lemon-leaf-laundry-fragrance-oil", "https://heavenlyouthouse.com/products/thymes-lemon-leaf-laundry-fragrance-oil")</f>
        <v>https://heavenlyouthouse.com/products/thymes-lemon-leaf-laundry-fragrance-oil</v>
      </c>
      <c r="C177" t="s">
        <v>608</v>
      </c>
      <c r="D177" t="s">
        <v>609</v>
      </c>
      <c r="E177" s="3" t="str">
        <f>HYPERLINK("https://www.amazon.com/Thymes-Wool-Dryer-Fragrance-Laundry/dp/B0B75Q5Z4C/ref=sr_1_1?keywords=Thymes+Lemon+Leaf+Laundry+Fragrance+Oil&amp;qid=1695258784&amp;sr=8-1", "https://www.amazon.com/Thymes-Wool-Dryer-Fragrance-Laundry/dp/B0B75Q5Z4C/ref=sr_1_1?keywords=Thymes+Lemon+Leaf+Laundry+Fragrance+Oil&amp;qid=1695258784&amp;sr=8-1")</f>
        <v>https://www.amazon.com/Thymes-Wool-Dryer-Fragrance-Laundry/dp/B0B75Q5Z4C/ref=sr_1_1?keywords=Thymes+Lemon+Leaf+Laundry+Fragrance+Oil&amp;qid=1695258784&amp;sr=8-1</v>
      </c>
      <c r="F177" t="s">
        <v>610</v>
      </c>
      <c r="G177" t="e">
        <f ca="1">IMAGE("https://heavenlyouthouse.com/cdn/shop/products/thymes-lemon-leaf-laundry-oil.jpg?v=1657726571")</f>
        <v>#NAME?</v>
      </c>
      <c r="H177" t="e">
        <f ca="1">IMAGE("https://m.media-amazon.com/images/I/7102IMj1B1L._AC_UL320_.jpg")</f>
        <v>#NAME?</v>
      </c>
      <c r="I177" t="s">
        <v>188</v>
      </c>
      <c r="J177">
        <v>34</v>
      </c>
      <c r="K177" s="2" t="s">
        <v>602</v>
      </c>
      <c r="L177">
        <v>4.2</v>
      </c>
      <c r="M177">
        <v>49</v>
      </c>
      <c r="O177" t="s">
        <v>39</v>
      </c>
      <c r="P177" t="s">
        <v>39</v>
      </c>
      <c r="Q177" t="s">
        <v>611</v>
      </c>
    </row>
    <row r="178" spans="1:17" ht="15.75" x14ac:dyDescent="0.25">
      <c r="A178" s="3" t="str">
        <f>HYPERLINK("https://heavenlyouthouse.com/products/thymes-frasier-fir-hand-wash", "https://heavenlyouthouse.com/products/thymes-frasier-fir-hand-wash")</f>
        <v>https://heavenlyouthouse.com/products/thymes-frasier-fir-hand-wash</v>
      </c>
      <c r="B178" s="3" t="str">
        <f>HYPERLINK("https://heavenlyouthouse.com/products/thymes-frasier-fir-hand-wash", "https://heavenlyouthouse.com/products/thymes-frasier-fir-hand-wash")</f>
        <v>https://heavenlyouthouse.com/products/thymes-frasier-fir-hand-wash</v>
      </c>
      <c r="C178" t="s">
        <v>612</v>
      </c>
      <c r="D178" t="s">
        <v>613</v>
      </c>
      <c r="E178" s="3" t="str">
        <f>HYPERLINK("https://www.amazon.com/Frasier-Fir-Hand-Wash-Refill/dp/B07Q2GVV9J/ref=sr_1_1?keywords=Thymes+Frasier+Fir+Hand+Wash&amp;qid=1695258728&amp;sr=8-1", "https://www.amazon.com/Frasier-Fir-Hand-Wash-Refill/dp/B07Q2GVV9J/ref=sr_1_1?keywords=Thymes+Frasier+Fir+Hand+Wash&amp;qid=1695258728&amp;sr=8-1")</f>
        <v>https://www.amazon.com/Frasier-Fir-Hand-Wash-Refill/dp/B07Q2GVV9J/ref=sr_1_1?keywords=Thymes+Frasier+Fir+Hand+Wash&amp;qid=1695258728&amp;sr=8-1</v>
      </c>
      <c r="F178" t="s">
        <v>614</v>
      </c>
      <c r="G178" t="e">
        <f ca="1">IMAGE("https://heavenlyouthouse.com/cdn/shop/products/thymes-frasier-fir-hand-wash.jpg?v=1629315405")</f>
        <v>#NAME?</v>
      </c>
      <c r="H178" t="e">
        <f ca="1">IMAGE("https://m.media-amazon.com/images/I/61P+I7RToYL._AC_UL320_.jpg")</f>
        <v>#NAME?</v>
      </c>
      <c r="I178" t="s">
        <v>188</v>
      </c>
      <c r="J178">
        <v>34</v>
      </c>
      <c r="K178" s="2" t="s">
        <v>602</v>
      </c>
      <c r="L178">
        <v>4.5999999999999996</v>
      </c>
      <c r="M178">
        <v>3441</v>
      </c>
      <c r="O178" t="s">
        <v>39</v>
      </c>
      <c r="P178" t="s">
        <v>39</v>
      </c>
      <c r="Q178" t="s">
        <v>615</v>
      </c>
    </row>
    <row r="179" spans="1:17" ht="15.75" x14ac:dyDescent="0.25">
      <c r="A179" s="3" t="str">
        <f>HYPERLINK("https://heavenlyouthouse.com/products/so-grateful-mothers-day-card", "https://heavenlyouthouse.com/products/so-grateful-mothers-day-card")</f>
        <v>https://heavenlyouthouse.com/products/so-grateful-mothers-day-card</v>
      </c>
      <c r="B179" s="3" t="str">
        <f>HYPERLINK("https://heavenlyouthouse.com/products/so-grateful-mothers-day-card", "https://heavenlyouthouse.com/products/so-grateful-mothers-day-card")</f>
        <v>https://heavenlyouthouse.com/products/so-grateful-mothers-day-card</v>
      </c>
      <c r="C179" t="s">
        <v>616</v>
      </c>
      <c r="D179" t="s">
        <v>617</v>
      </c>
      <c r="E179" s="3" t="str">
        <f>HYPERLINK("https://www.amazon.com/Lovepop-Mothers-Day-Grateful-Card/dp/B08WRXV7VN/ref=sr_1_3?keywords=So+Grateful+Mother%27s+Day+Card&amp;qid=1695258692&amp;sr=8-3", "https://www.amazon.com/Lovepop-Mothers-Day-Grateful-Card/dp/B08WRXV7VN/ref=sr_1_3?keywords=So+Grateful+Mother%27s+Day+Card&amp;qid=1695258692&amp;sr=8-3")</f>
        <v>https://www.amazon.com/Lovepop-Mothers-Day-Grateful-Card/dp/B08WRXV7VN/ref=sr_1_3?keywords=So+Grateful+Mother%27s+Day+Card&amp;qid=1695258692&amp;sr=8-3</v>
      </c>
      <c r="F179" t="s">
        <v>618</v>
      </c>
      <c r="G179" t="e">
        <f ca="1">IMAGE("https://heavenlyouthouse.com/cdn/shop/products/605030156378papyrusfloralmother_sdaycard.jpg?v=1619455182")</f>
        <v>#NAME?</v>
      </c>
      <c r="H179" t="e">
        <f ca="1">IMAGE("https://m.media-amazon.com/images/I/91m9TNWnVfL._AC_UL320_.jpg")</f>
        <v>#NAME?</v>
      </c>
      <c r="I179" t="s">
        <v>454</v>
      </c>
      <c r="J179">
        <v>13</v>
      </c>
      <c r="K179" s="2" t="s">
        <v>619</v>
      </c>
      <c r="L179">
        <v>4.8</v>
      </c>
      <c r="M179">
        <v>51</v>
      </c>
      <c r="O179" t="s">
        <v>39</v>
      </c>
      <c r="P179" t="s">
        <v>39</v>
      </c>
      <c r="Q179" t="s">
        <v>620</v>
      </c>
    </row>
    <row r="180" spans="1:17" ht="15.75" x14ac:dyDescent="0.25">
      <c r="A180" s="3" t="str">
        <f>HYPERLINK("https://heavenlyouthouse.com/products/goldleaf-hand-wash", "https://heavenlyouthouse.com/products/goldleaf-hand-wash")</f>
        <v>https://heavenlyouthouse.com/products/goldleaf-hand-wash</v>
      </c>
      <c r="B180" s="3" t="str">
        <f>HYPERLINK("https://heavenlyouthouse.com/products/goldleaf-hand-wash", "https://heavenlyouthouse.com/products/goldleaf-hand-wash")</f>
        <v>https://heavenlyouthouse.com/products/goldleaf-hand-wash</v>
      </c>
      <c r="C180" t="s">
        <v>479</v>
      </c>
      <c r="D180" t="s">
        <v>621</v>
      </c>
      <c r="E180" s="3" t="str">
        <f>HYPERLINK("https://www.amazon.com/Thymes-Tiare-Monoi-Hand-Ounce/dp/B00J0HST2A/ref=sr_1_9?keywords=Thymes+Goldleaf+Hand+Wash&amp;qid=1695258748&amp;sr=8-9", "https://www.amazon.com/Thymes-Tiare-Monoi-Hand-Ounce/dp/B00J0HST2A/ref=sr_1_9?keywords=Thymes+Goldleaf+Hand+Wash&amp;qid=1695258748&amp;sr=8-9")</f>
        <v>https://www.amazon.com/Thymes-Tiare-Monoi-Hand-Ounce/dp/B00J0HST2A/ref=sr_1_9?keywords=Thymes+Goldleaf+Hand+Wash&amp;qid=1695258748&amp;sr=8-9</v>
      </c>
      <c r="F180" t="s">
        <v>622</v>
      </c>
      <c r="G180" t="e">
        <f ca="1">IMAGE("https://heavenlyouthouse.com/cdn/shop/products/thymes-goldleaf-hand-wash_790c7a89-90bf-4dfd-9a28-50e8cdfd1678.png?v=1652276960")</f>
        <v>#NAME?</v>
      </c>
      <c r="H180" t="e">
        <f ca="1">IMAGE("https://m.media-amazon.com/images/I/31pg8pzcU3L._AC_UL320_.jpg")</f>
        <v>#NAME?</v>
      </c>
      <c r="I180" t="s">
        <v>86</v>
      </c>
      <c r="J180">
        <v>32</v>
      </c>
      <c r="K180" s="2" t="s">
        <v>619</v>
      </c>
      <c r="L180">
        <v>5</v>
      </c>
      <c r="M180">
        <v>1</v>
      </c>
      <c r="O180" t="s">
        <v>39</v>
      </c>
      <c r="P180" t="s">
        <v>39</v>
      </c>
      <c r="Q180" t="s">
        <v>482</v>
      </c>
    </row>
    <row r="181" spans="1:17" ht="15.75" x14ac:dyDescent="0.25">
      <c r="A181" s="3" t="str">
        <f>HYPERLINK("https://heavenlyouthouse.com/products/lavender-hand-lotion", "https://heavenlyouthouse.com/products/lavender-hand-lotion")</f>
        <v>https://heavenlyouthouse.com/products/lavender-hand-lotion</v>
      </c>
      <c r="B181" s="3" t="str">
        <f>HYPERLINK("https://heavenlyouthouse.com/products/lavender-hand-lotion", "https://heavenlyouthouse.com/products/lavender-hand-lotion")</f>
        <v>https://heavenlyouthouse.com/products/lavender-hand-lotion</v>
      </c>
      <c r="C181" t="s">
        <v>623</v>
      </c>
      <c r="D181" t="s">
        <v>624</v>
      </c>
      <c r="E181" s="3" t="str">
        <f>HYPERLINK("https://www.amazon.com/LOccitane-Lavender-Moisturizing-Enriched-Essential/dp/B0055EPHLS/ref=sr_1_2?keywords=Thymes+Lavender+Hand+Lotion&amp;qid=1695258772&amp;sr=8-2", "https://www.amazon.com/LOccitane-Lavender-Moisturizing-Enriched-Essential/dp/B0055EPHLS/ref=sr_1_2?keywords=Thymes+Lavender+Hand+Lotion&amp;qid=1695258772&amp;sr=8-2")</f>
        <v>https://www.amazon.com/LOccitane-Lavender-Moisturizing-Enriched-Essential/dp/B0055EPHLS/ref=sr_1_2?keywords=Thymes+Lavender+Hand+Lotion&amp;qid=1695258772&amp;sr=8-2</v>
      </c>
      <c r="F181" t="s">
        <v>625</v>
      </c>
      <c r="G181" t="e">
        <f ca="1">IMAGE("https://heavenlyouthouse.com/cdn/shop/products/thymes-lavender-hand-lotion.jpg?v=1681319126")</f>
        <v>#NAME?</v>
      </c>
      <c r="H181" t="e">
        <f ca="1">IMAGE("https://m.media-amazon.com/images/I/51vLymBHVQL._AC_UL320_.jpg")</f>
        <v>#NAME?</v>
      </c>
      <c r="I181" t="s">
        <v>86</v>
      </c>
      <c r="J181">
        <v>32</v>
      </c>
      <c r="K181" s="2" t="s">
        <v>619</v>
      </c>
      <c r="L181">
        <v>4.7</v>
      </c>
      <c r="M181">
        <v>1013</v>
      </c>
      <c r="O181" t="s">
        <v>39</v>
      </c>
      <c r="P181" t="s">
        <v>39</v>
      </c>
      <c r="Q181" t="s">
        <v>626</v>
      </c>
    </row>
    <row r="182" spans="1:17" ht="15.75" x14ac:dyDescent="0.25">
      <c r="A182" s="3" t="str">
        <f>HYPERLINK("https://heavenlyouthouse.com/products/eucalyptus-hand-lotion?variant=31706511114329", "https://heavenlyouthouse.com/products/eucalyptus-hand-lotion?variant=31706511114329")</f>
        <v>https://heavenlyouthouse.com/products/eucalyptus-hand-lotion?variant=31706511114329</v>
      </c>
      <c r="B182" s="3" t="str">
        <f>HYPERLINK("https://heavenlyouthouse.com/products/eucalyptus-hand-lotion", "https://heavenlyouthouse.com/products/eucalyptus-hand-lotion")</f>
        <v>https://heavenlyouthouse.com/products/eucalyptus-hand-lotion</v>
      </c>
      <c r="C182" t="s">
        <v>552</v>
      </c>
      <c r="D182" t="s">
        <v>627</v>
      </c>
      <c r="E182" s="3" t="str">
        <f>HYPERLINK("https://www.amazon.com/Thymes-Travel-Set-Beauty-Bag/dp/B08CVS6XFP/ref=sr_1_5?keywords=Thymes+Eucalyptus+Hand+Lotion&amp;qid=1695258716&amp;sr=8-5", "https://www.amazon.com/Thymes-Travel-Set-Beauty-Bag/dp/B08CVS6XFP/ref=sr_1_5?keywords=Thymes+Eucalyptus+Hand+Lotion&amp;qid=1695258716&amp;sr=8-5")</f>
        <v>https://www.amazon.com/Thymes-Travel-Set-Beauty-Bag/dp/B08CVS6XFP/ref=sr_1_5?keywords=Thymes+Eucalyptus+Hand+Lotion&amp;qid=1695258716&amp;sr=8-5</v>
      </c>
      <c r="F182" t="s">
        <v>628</v>
      </c>
      <c r="G182" t="e">
        <f ca="1">IMAGE("https://heavenlyouthouse.com/cdn/shop/products/thymes-eucalyptus-hand-lotion_e875e475-4a24-4858-9caa-3b33b83cdd22.png?v=1652276792")</f>
        <v>#NAME?</v>
      </c>
      <c r="H182" t="e">
        <f ca="1">IMAGE("https://m.media-amazon.com/images/I/71cfN7qjRdL._AC_UL320_.jpg")</f>
        <v>#NAME?</v>
      </c>
      <c r="I182" t="s">
        <v>86</v>
      </c>
      <c r="J182">
        <v>32</v>
      </c>
      <c r="K182" s="2" t="s">
        <v>619</v>
      </c>
      <c r="L182">
        <v>4.5999999999999996</v>
      </c>
      <c r="M182">
        <v>91</v>
      </c>
      <c r="O182" t="s">
        <v>136</v>
      </c>
      <c r="P182" t="s">
        <v>39</v>
      </c>
      <c r="Q182" t="s">
        <v>553</v>
      </c>
    </row>
    <row r="183" spans="1:17" ht="15.75" x14ac:dyDescent="0.25">
      <c r="A183" s="3" t="str">
        <f>HYPERLINK("https://heavenlyouthouse.com/products/eucalyptus-hand-lotion?variant=31706511114329", "https://heavenlyouthouse.com/products/eucalyptus-hand-lotion?variant=31706511114329")</f>
        <v>https://heavenlyouthouse.com/products/eucalyptus-hand-lotion?variant=31706511114329</v>
      </c>
      <c r="B183" s="3" t="str">
        <f>HYPERLINK("https://heavenlyouthouse.com/products/eucalyptus-hand-lotion", "https://heavenlyouthouse.com/products/eucalyptus-hand-lotion")</f>
        <v>https://heavenlyouthouse.com/products/eucalyptus-hand-lotion</v>
      </c>
      <c r="C183" t="s">
        <v>552</v>
      </c>
      <c r="D183" t="s">
        <v>629</v>
      </c>
      <c r="E183" s="3" t="str">
        <f>HYPERLINK("https://www.amazon.com/Eucalyptus-White-Tea-Hand-Cream/dp/B07RP2V9NP/ref=sr_1_3?keywords=Thymes+Eucalyptus+Hand+Lotion&amp;qid=1695258716&amp;sr=8-3", "https://www.amazon.com/Eucalyptus-White-Tea-Hand-Cream/dp/B07RP2V9NP/ref=sr_1_3?keywords=Thymes+Eucalyptus+Hand+Lotion&amp;qid=1695258716&amp;sr=8-3")</f>
        <v>https://www.amazon.com/Eucalyptus-White-Tea-Hand-Cream/dp/B07RP2V9NP/ref=sr_1_3?keywords=Thymes+Eucalyptus+Hand+Lotion&amp;qid=1695258716&amp;sr=8-3</v>
      </c>
      <c r="F183" t="s">
        <v>630</v>
      </c>
      <c r="G183" t="e">
        <f ca="1">IMAGE("https://heavenlyouthouse.com/cdn/shop/products/thymes-eucalyptus-hand-lotion_e875e475-4a24-4858-9caa-3b33b83cdd22.png?v=1652276792")</f>
        <v>#NAME?</v>
      </c>
      <c r="H183" t="e">
        <f ca="1">IMAGE("https://m.media-amazon.com/images/I/717tGSQpqfL._AC_UL320_.jpg")</f>
        <v>#NAME?</v>
      </c>
      <c r="I183" t="s">
        <v>86</v>
      </c>
      <c r="J183">
        <v>32</v>
      </c>
      <c r="K183" s="2" t="s">
        <v>619</v>
      </c>
      <c r="L183">
        <v>4.8</v>
      </c>
      <c r="M183">
        <v>401</v>
      </c>
      <c r="O183" t="s">
        <v>136</v>
      </c>
      <c r="P183" t="s">
        <v>39</v>
      </c>
      <c r="Q183" t="s">
        <v>553</v>
      </c>
    </row>
    <row r="184" spans="1:17" ht="15.75" x14ac:dyDescent="0.25">
      <c r="A184" s="3" t="str">
        <f>HYPERLINK("https://heavenlyouthouse.com/products/goldleaf-hand-lotion", "https://heavenlyouthouse.com/products/goldleaf-hand-lotion")</f>
        <v>https://heavenlyouthouse.com/products/goldleaf-hand-lotion</v>
      </c>
      <c r="B184" s="3" t="str">
        <f>HYPERLINK("https://heavenlyouthouse.com/products/goldleaf-hand-lotion", "https://heavenlyouthouse.com/products/goldleaf-hand-lotion")</f>
        <v>https://heavenlyouthouse.com/products/goldleaf-hand-lotion</v>
      </c>
      <c r="C184" t="s">
        <v>483</v>
      </c>
      <c r="D184" t="s">
        <v>631</v>
      </c>
      <c r="E184" s="3" t="str">
        <f>HYPERLINK("https://www.amazon.com/Thymes-Goldleaf-Travel-Set-Beauty/dp/B09HL8YZNG/ref=sr_1_4?keywords=Thymes+Goldleaf+Hand+Lotion&amp;qid=1695258754&amp;sr=8-4", "https://www.amazon.com/Thymes-Goldleaf-Travel-Set-Beauty/dp/B09HL8YZNG/ref=sr_1_4?keywords=Thymes+Goldleaf+Hand+Lotion&amp;qid=1695258754&amp;sr=8-4")</f>
        <v>https://www.amazon.com/Thymes-Goldleaf-Travel-Set-Beauty/dp/B09HL8YZNG/ref=sr_1_4?keywords=Thymes+Goldleaf+Hand+Lotion&amp;qid=1695258754&amp;sr=8-4</v>
      </c>
      <c r="F184" t="s">
        <v>632</v>
      </c>
      <c r="G184" t="e">
        <f ca="1">IMAGE("https://heavenlyouthouse.com/cdn/shop/products/thymes-goldleaf-perfumed-hand-lotion_dd6a35dd-31ad-4f2b-818b-b81ebf314b0f.png?v=1652276946")</f>
        <v>#NAME?</v>
      </c>
      <c r="H184" t="e">
        <f ca="1">IMAGE("https://m.media-amazon.com/images/I/711Psd6sNIL._AC_UL320_.jpg")</f>
        <v>#NAME?</v>
      </c>
      <c r="I184" t="s">
        <v>86</v>
      </c>
      <c r="J184">
        <v>32</v>
      </c>
      <c r="K184" s="2" t="s">
        <v>619</v>
      </c>
      <c r="L184">
        <v>4.5999999999999996</v>
      </c>
      <c r="M184">
        <v>91</v>
      </c>
      <c r="O184" t="s">
        <v>39</v>
      </c>
      <c r="P184" t="s">
        <v>484</v>
      </c>
      <c r="Q184" t="s">
        <v>485</v>
      </c>
    </row>
    <row r="185" spans="1:17" ht="15.75" x14ac:dyDescent="0.25">
      <c r="A185" s="3" t="str">
        <f>HYPERLINK("https://heavenlyouthouse.com/products/kimono-rose-hand-lotion", "https://heavenlyouthouse.com/products/kimono-rose-hand-lotion")</f>
        <v>https://heavenlyouthouse.com/products/kimono-rose-hand-lotion</v>
      </c>
      <c r="B185" s="3" t="str">
        <f>HYPERLINK("https://heavenlyouthouse.com/products/kimono-rose-hand-lotion", "https://heavenlyouthouse.com/products/kimono-rose-hand-lotion")</f>
        <v>https://heavenlyouthouse.com/products/kimono-rose-hand-lotion</v>
      </c>
      <c r="C185" t="s">
        <v>538</v>
      </c>
      <c r="D185" t="s">
        <v>633</v>
      </c>
      <c r="E185" s="3" t="str">
        <f>HYPERLINK("https://www.amazon.com/Thymes-Travel-Set-Beauty-Bag/dp/B08CVR64W7/ref=sr_1_7?keywords=Thymes+Kimono+Rose+Hand+Lotion&amp;qid=1695258762&amp;sr=8-7", "https://www.amazon.com/Thymes-Travel-Set-Beauty-Bag/dp/B08CVR64W7/ref=sr_1_7?keywords=Thymes+Kimono+Rose+Hand+Lotion&amp;qid=1695258762&amp;sr=8-7")</f>
        <v>https://www.amazon.com/Thymes-Travel-Set-Beauty-Bag/dp/B08CVR64W7/ref=sr_1_7?keywords=Thymes+Kimono+Rose+Hand+Lotion&amp;qid=1695258762&amp;sr=8-7</v>
      </c>
      <c r="F185" t="s">
        <v>634</v>
      </c>
      <c r="G185" t="e">
        <f ca="1">IMAGE("https://heavenlyouthouse.com/cdn/shop/files/thymes-kimono-rose-HAND-LOTION_300x300.jpg?v=1682980281")</f>
        <v>#NAME?</v>
      </c>
      <c r="H185" t="e">
        <f ca="1">IMAGE("https://m.media-amazon.com/images/I/71usZZkC9AL._AC_UL320_.jpg")</f>
        <v>#NAME?</v>
      </c>
      <c r="I185" t="s">
        <v>86</v>
      </c>
      <c r="J185">
        <v>32</v>
      </c>
      <c r="K185" s="2" t="s">
        <v>619</v>
      </c>
      <c r="L185">
        <v>4.5999999999999996</v>
      </c>
      <c r="M185">
        <v>91</v>
      </c>
      <c r="O185" t="s">
        <v>39</v>
      </c>
      <c r="P185" t="s">
        <v>39</v>
      </c>
      <c r="Q185" t="s">
        <v>539</v>
      </c>
    </row>
    <row r="186" spans="1:17" ht="15.75" x14ac:dyDescent="0.25">
      <c r="A186" s="3" t="str">
        <f>HYPERLINK("https://heavenlyouthouse.com/products/goldleaf-gardenia-hand-lotion", "https://heavenlyouthouse.com/products/goldleaf-gardenia-hand-lotion")</f>
        <v>https://heavenlyouthouse.com/products/goldleaf-gardenia-hand-lotion</v>
      </c>
      <c r="B186" s="3" t="str">
        <f>HYPERLINK("https://heavenlyouthouse.com/products/goldleaf-gardenia-hand-lotion", "https://heavenlyouthouse.com/products/goldleaf-gardenia-hand-lotion")</f>
        <v>https://heavenlyouthouse.com/products/goldleaf-gardenia-hand-lotion</v>
      </c>
      <c r="C186" t="s">
        <v>486</v>
      </c>
      <c r="D186" t="s">
        <v>635</v>
      </c>
      <c r="E186" s="3" t="str">
        <f>HYPERLINK("https://www.amazon.com/Thymes-Goldleaf-Gardenia-Perfumed-Moisturizing/dp/B06WGWNNV4/ref=sr_1_6?keywords=Thymes+Goldleaf+Gardenia+Hand+Lotion&amp;qid=1695258756&amp;sr=8-6", "https://www.amazon.com/Thymes-Goldleaf-Gardenia-Perfumed-Moisturizing/dp/B06WGWNNV4/ref=sr_1_6?keywords=Thymes+Goldleaf+Gardenia+Hand+Lotion&amp;qid=1695258756&amp;sr=8-6")</f>
        <v>https://www.amazon.com/Thymes-Goldleaf-Gardenia-Perfumed-Moisturizing/dp/B06WGWNNV4/ref=sr_1_6?keywords=Thymes+Goldleaf+Gardenia+Hand+Lotion&amp;qid=1695258756&amp;sr=8-6</v>
      </c>
      <c r="F186" t="s">
        <v>636</v>
      </c>
      <c r="G186" t="e">
        <f ca="1">IMAGE("https://heavenlyouthouse.com/cdn/shop/products/thymes-goldleaf-gardenia-hand-lotion.jpg?v=1655330888")</f>
        <v>#NAME?</v>
      </c>
      <c r="H186" t="e">
        <f ca="1">IMAGE("https://m.media-amazon.com/images/I/814cM3dVNjL._AC_UL320_.jpg")</f>
        <v>#NAME?</v>
      </c>
      <c r="I186" t="s">
        <v>86</v>
      </c>
      <c r="J186">
        <v>32</v>
      </c>
      <c r="K186" s="2" t="s">
        <v>619</v>
      </c>
      <c r="L186">
        <v>4.5999999999999996</v>
      </c>
      <c r="M186">
        <v>2417</v>
      </c>
      <c r="O186" t="s">
        <v>39</v>
      </c>
      <c r="P186" t="s">
        <v>484</v>
      </c>
      <c r="Q186" t="s">
        <v>487</v>
      </c>
    </row>
    <row r="187" spans="1:17" ht="15.75" x14ac:dyDescent="0.25">
      <c r="A187" s="3" t="str">
        <f>HYPERLINK("https://heavenlyouthouse.com/products/goldleaf-hand-lotion", "https://heavenlyouthouse.com/products/goldleaf-hand-lotion")</f>
        <v>https://heavenlyouthouse.com/products/goldleaf-hand-lotion</v>
      </c>
      <c r="B187" s="3" t="str">
        <f>HYPERLINK("https://heavenlyouthouse.com/products/goldleaf-hand-lotion", "https://heavenlyouthouse.com/products/goldleaf-hand-lotion")</f>
        <v>https://heavenlyouthouse.com/products/goldleaf-hand-lotion</v>
      </c>
      <c r="C187" t="s">
        <v>483</v>
      </c>
      <c r="D187" t="s">
        <v>637</v>
      </c>
      <c r="E187" s="3" t="str">
        <f>HYPERLINK("https://www.amazon.com/Thymes-Goldleaf-Perfumed-Deeply-Moisturizing/dp/B06XSNHQ5G/ref=sr_1_3?keywords=Thymes+Goldleaf+Hand+Lotion&amp;qid=1695258754&amp;sr=8-3", "https://www.amazon.com/Thymes-Goldleaf-Perfumed-Deeply-Moisturizing/dp/B06XSNHQ5G/ref=sr_1_3?keywords=Thymes+Goldleaf+Hand+Lotion&amp;qid=1695258754&amp;sr=8-3")</f>
        <v>https://www.amazon.com/Thymes-Goldleaf-Perfumed-Deeply-Moisturizing/dp/B06XSNHQ5G/ref=sr_1_3?keywords=Thymes+Goldleaf+Hand+Lotion&amp;qid=1695258754&amp;sr=8-3</v>
      </c>
      <c r="F187" t="s">
        <v>638</v>
      </c>
      <c r="G187" t="e">
        <f ca="1">IMAGE("https://heavenlyouthouse.com/cdn/shop/products/thymes-goldleaf-perfumed-hand-lotion_dd6a35dd-31ad-4f2b-818b-b81ebf314b0f.png?v=1652276946")</f>
        <v>#NAME?</v>
      </c>
      <c r="H187" t="e">
        <f ca="1">IMAGE("https://m.media-amazon.com/images/I/81VAtWtQAiL._AC_UL320_.jpg")</f>
        <v>#NAME?</v>
      </c>
      <c r="I187" t="s">
        <v>86</v>
      </c>
      <c r="J187">
        <v>32</v>
      </c>
      <c r="K187" s="2" t="s">
        <v>619</v>
      </c>
      <c r="L187">
        <v>4.5999999999999996</v>
      </c>
      <c r="M187">
        <v>2417</v>
      </c>
      <c r="O187" t="s">
        <v>39</v>
      </c>
      <c r="P187" t="s">
        <v>484</v>
      </c>
      <c r="Q187" t="s">
        <v>485</v>
      </c>
    </row>
    <row r="188" spans="1:17" ht="15.75" x14ac:dyDescent="0.25">
      <c r="A188" s="3" t="str">
        <f>HYPERLINK("https://heavenlyouthouse.com/products/rosemary-shampoo-bar-soap", "https://heavenlyouthouse.com/products/rosemary-shampoo-bar-soap")</f>
        <v>https://heavenlyouthouse.com/products/rosemary-shampoo-bar-soap</v>
      </c>
      <c r="B188" s="3" t="str">
        <f>HYPERLINK("https://heavenlyouthouse.com/products/rosemary-shampoo-bar-soap", "https://heavenlyouthouse.com/products/rosemary-shampoo-bar-soap")</f>
        <v>https://heavenlyouthouse.com/products/rosemary-shampoo-bar-soap</v>
      </c>
      <c r="C188" t="s">
        <v>290</v>
      </c>
      <c r="D188" t="s">
        <v>639</v>
      </c>
      <c r="E188" s="3" t="str">
        <f>HYPERLINK("https://www.amazon.com/Philorganic-Reborn-Shampoo-Rosemary-Peppermint/dp/B09PKTC7FR/ref=sr_1_8?keywords=Rosemary+Shampoo+Bar+Soap&amp;qid=1695258676&amp;sr=8-8", "https://www.amazon.com/Philorganic-Reborn-Shampoo-Rosemary-Peppermint/dp/B09PKTC7FR/ref=sr_1_8?keywords=Rosemary+Shampoo+Bar+Soap&amp;qid=1695258676&amp;sr=8-8")</f>
        <v>https://www.amazon.com/Philorganic-Reborn-Shampoo-Rosemary-Peppermint/dp/B09PKTC7FR/ref=sr_1_8?keywords=Rosemary+Shampoo+Bar+Soap&amp;qid=1695258676&amp;sr=8-8</v>
      </c>
      <c r="F188" t="s">
        <v>640</v>
      </c>
      <c r="G188" t="e">
        <f ca="1">IMAGE("https://heavenlyouthouse.com/cdn/shop/products/Rosemary-Shampoo-Bar_Bar-Soap_2000x_09aa253a-642f-40e6-b2b3-81ca57f74784.jpg?v=1586802089")</f>
        <v>#NAME?</v>
      </c>
      <c r="H188" t="e">
        <f ca="1">IMAGE("https://m.media-amazon.com/images/I/61vRgW6AFzL._AC_UL320_.jpg")</f>
        <v>#NAME?</v>
      </c>
      <c r="I188" t="s">
        <v>92</v>
      </c>
      <c r="J188">
        <v>11.98</v>
      </c>
      <c r="K188" s="2" t="s">
        <v>641</v>
      </c>
      <c r="L188">
        <v>4.5999999999999996</v>
      </c>
      <c r="M188">
        <v>56</v>
      </c>
      <c r="O188" t="s">
        <v>39</v>
      </c>
      <c r="P188" t="s">
        <v>39</v>
      </c>
      <c r="Q188" t="s">
        <v>294</v>
      </c>
    </row>
    <row r="189" spans="1:17" ht="15.75" x14ac:dyDescent="0.25">
      <c r="A189" s="3" t="str">
        <f>HYPERLINK("https://heavenlyouthouse.com/products/spearmint-soap", "https://heavenlyouthouse.com/products/spearmint-soap")</f>
        <v>https://heavenlyouthouse.com/products/spearmint-soap</v>
      </c>
      <c r="B189" s="3" t="str">
        <f>HYPERLINK("https://heavenlyouthouse.com/products/spearmint-soap", "https://heavenlyouthouse.com/products/spearmint-soap")</f>
        <v>https://heavenlyouthouse.com/products/spearmint-soap</v>
      </c>
      <c r="C189" t="s">
        <v>138</v>
      </c>
      <c r="D189" t="s">
        <v>642</v>
      </c>
      <c r="E189" s="3" t="str">
        <f>HYPERLINK("https://www.amazon.com/Spearmint-Basil-Natural-Soap-Men/dp/B00TXRG2W6/ref=sr_1_10?keywords=Spearmint+Soap&amp;qid=1695258707&amp;sr=8-10", "https://www.amazon.com/Spearmint-Basil-Natural-Soap-Men/dp/B00TXRG2W6/ref=sr_1_10?keywords=Spearmint+Soap&amp;qid=1695258707&amp;sr=8-10")</f>
        <v>https://www.amazon.com/Spearmint-Basil-Natural-Soap-Men/dp/B00TXRG2W6/ref=sr_1_10?keywords=Spearmint+Soap&amp;qid=1695258707&amp;sr=8-10</v>
      </c>
      <c r="F189" t="s">
        <v>643</v>
      </c>
      <c r="G189" t="e">
        <f ca="1">IMAGE("https://heavenlyouthouse.com/cdn/shop/products/Spearmint_Bar-Soap_2048_2000x_e9b0fb8d-7255-4bf8-bb50-9da0b59a1544.jpg?v=1586802582")</f>
        <v>#NAME?</v>
      </c>
      <c r="H189" t="e">
        <f ca="1">IMAGE("https://m.media-amazon.com/images/I/41SRovdF9vL._AC_UL320_.jpg")</f>
        <v>#NAME?</v>
      </c>
      <c r="I189" t="s">
        <v>92</v>
      </c>
      <c r="J189">
        <v>11.98</v>
      </c>
      <c r="K189" s="2" t="s">
        <v>641</v>
      </c>
      <c r="L189">
        <v>4.4000000000000004</v>
      </c>
      <c r="M189">
        <v>37963</v>
      </c>
      <c r="O189" t="s">
        <v>39</v>
      </c>
      <c r="P189" t="s">
        <v>39</v>
      </c>
      <c r="Q189" t="s">
        <v>142</v>
      </c>
    </row>
    <row r="190" spans="1:17" ht="15.75" x14ac:dyDescent="0.25">
      <c r="A190" s="3" t="str">
        <f>HYPERLINK("https://heavenlyouthouse.com/products/restorative-face-serum", "https://heavenlyouthouse.com/products/restorative-face-serum")</f>
        <v>https://heavenlyouthouse.com/products/restorative-face-serum</v>
      </c>
      <c r="B190" s="3" t="str">
        <f>HYPERLINK("https://heavenlyouthouse.com/products/restorative-face-serum", "https://heavenlyouthouse.com/products/restorative-face-serum")</f>
        <v>https://heavenlyouthouse.com/products/restorative-face-serum</v>
      </c>
      <c r="C190" t="s">
        <v>172</v>
      </c>
      <c r="D190" t="s">
        <v>644</v>
      </c>
      <c r="E190" s="3" t="str">
        <f>HYPERLINK("https://www.amazon.com/100-Pure-Restorative-Culture-Serum/dp/B076CRDZ1J/ref=sr_1_10?keywords=Restorative+Face+Serum&amp;qid=1695258665&amp;sr=8-10", "https://www.amazon.com/100-Pure-Restorative-Culture-Serum/dp/B076CRDZ1J/ref=sr_1_10?keywords=Restorative+Face+Serum&amp;qid=1695258665&amp;sr=8-10")</f>
        <v>https://www.amazon.com/100-Pure-Restorative-Culture-Serum/dp/B076CRDZ1J/ref=sr_1_10?keywords=Restorative+Face+Serum&amp;qid=1695258665&amp;sr=8-10</v>
      </c>
      <c r="F190" t="s">
        <v>645</v>
      </c>
      <c r="G190" t="e">
        <f ca="1">IMAGE("https://heavenlyouthouse.com/cdn/shop/products/Rocky-Mountain-Soap-Company-Face-serum-restorative.jpg?v=1628190288")</f>
        <v>#NAME?</v>
      </c>
      <c r="H190" t="e">
        <f ca="1">IMAGE("https://m.media-amazon.com/images/I/313Nc7tRPRL._AC_UL320_.jpg")</f>
        <v>#NAME?</v>
      </c>
      <c r="I190" t="s">
        <v>175</v>
      </c>
      <c r="J190">
        <v>58</v>
      </c>
      <c r="K190" s="2" t="s">
        <v>646</v>
      </c>
      <c r="L190">
        <v>5</v>
      </c>
      <c r="M190">
        <v>2</v>
      </c>
      <c r="O190" t="s">
        <v>39</v>
      </c>
      <c r="P190" t="s">
        <v>177</v>
      </c>
      <c r="Q190" t="s">
        <v>178</v>
      </c>
    </row>
    <row r="191" spans="1:17" ht="15.75" x14ac:dyDescent="0.25">
      <c r="A191" s="3" t="str">
        <f>HYPERLINK("https://heavenlyouthouse.com/products/frasier-fir-statement-silver-candle", "https://heavenlyouthouse.com/products/frasier-fir-statement-silver-candle")</f>
        <v>https://heavenlyouthouse.com/products/frasier-fir-statement-silver-candle</v>
      </c>
      <c r="B191" s="3" t="str">
        <f>HYPERLINK("https://heavenlyouthouse.com/products/frasier-fir-statement-silver-candle", "https://heavenlyouthouse.com/products/frasier-fir-statement-silver-candle")</f>
        <v>https://heavenlyouthouse.com/products/frasier-fir-statement-silver-candle</v>
      </c>
      <c r="C191" t="s">
        <v>647</v>
      </c>
      <c r="D191" t="s">
        <v>519</v>
      </c>
      <c r="E191" s="3" t="str">
        <f>HYPERLINK("https://www.amazon.com/Thymes-Frasier-Limited-3-Wick-Statement/dp/B01KIH4W6W/ref=sr_1_1?keywords=Thymes+Frasier+Fir+Statement+Silver+Candle&amp;qid=1695258743&amp;sr=8-1", "https://www.amazon.com/Thymes-Frasier-Limited-3-Wick-Statement/dp/B01KIH4W6W/ref=sr_1_1?keywords=Thymes+Frasier+Fir+Statement+Silver+Candle&amp;qid=1695258743&amp;sr=8-1")</f>
        <v>https://www.amazon.com/Thymes-Frasier-Limited-3-Wick-Statement/dp/B01KIH4W6W/ref=sr_1_1?keywords=Thymes+Frasier+Fir+Statement+Silver+Candle&amp;qid=1695258743&amp;sr=8-1</v>
      </c>
      <c r="F191" t="s">
        <v>520</v>
      </c>
      <c r="G191" t="e">
        <f ca="1">IMAGE("https://heavenlyouthouse.com/cdn/shop/products/thymesfrasierfirsmallstatementcandlesilver.jpg?v=1603994667")</f>
        <v>#NAME?</v>
      </c>
      <c r="H191" t="e">
        <f ca="1">IMAGE("https://m.media-amazon.com/images/I/71Vol+U+TwL._AC_UL320_.jpg")</f>
        <v>#NAME?</v>
      </c>
      <c r="I191" t="s">
        <v>168</v>
      </c>
      <c r="J191">
        <v>49</v>
      </c>
      <c r="K191" s="2" t="s">
        <v>646</v>
      </c>
      <c r="L191">
        <v>4.7</v>
      </c>
      <c r="M191">
        <v>162</v>
      </c>
      <c r="O191" t="s">
        <v>39</v>
      </c>
      <c r="P191" t="s">
        <v>39</v>
      </c>
      <c r="Q191" t="s">
        <v>648</v>
      </c>
    </row>
    <row r="192" spans="1:17" ht="15.75" x14ac:dyDescent="0.25">
      <c r="A192" s="3" t="str">
        <f>HYPERLINK("https://heavenlyouthouse.com/products/frasier-fir-statement-pine-needle-candle", "https://heavenlyouthouse.com/products/frasier-fir-statement-pine-needle-candle")</f>
        <v>https://heavenlyouthouse.com/products/frasier-fir-statement-pine-needle-candle</v>
      </c>
      <c r="B192" s="3" t="str">
        <f>HYPERLINK("https://heavenlyouthouse.com/products/frasier-fir-statement-pine-needle-candle", "https://heavenlyouthouse.com/products/frasier-fir-statement-pine-needle-candle")</f>
        <v>https://heavenlyouthouse.com/products/frasier-fir-statement-pine-needle-candle</v>
      </c>
      <c r="C192" t="s">
        <v>167</v>
      </c>
      <c r="D192" t="s">
        <v>519</v>
      </c>
      <c r="E192" s="3" t="str">
        <f>HYPERLINK("https://www.amazon.com/Thymes-Frasier-Limited-3-Wick-Statement/dp/B01KIH4W6W/ref=sr_1_1?keywords=Thymes+Frasier+Fir+Statement+Pine+Needle+Candle&amp;qid=1695258736&amp;sr=8-1", "https://www.amazon.com/Thymes-Frasier-Limited-3-Wick-Statement/dp/B01KIH4W6W/ref=sr_1_1?keywords=Thymes+Frasier+Fir+Statement+Pine+Needle+Candle&amp;qid=1695258736&amp;sr=8-1")</f>
        <v>https://www.amazon.com/Thymes-Frasier-Limited-3-Wick-Statement/dp/B01KIH4W6W/ref=sr_1_1?keywords=Thymes+Frasier+Fir+Statement+Pine+Needle+Candle&amp;qid=1695258736&amp;sr=8-1</v>
      </c>
      <c r="F192" t="s">
        <v>520</v>
      </c>
      <c r="G192" t="e">
        <f ca="1">IMAGE("https://heavenlyouthouse.com/cdn/shop/products/thymesfrasierfirsmallstatementcandlesilverpineneedle.jpg?v=1603994848")</f>
        <v>#NAME?</v>
      </c>
      <c r="H192" t="e">
        <f ca="1">IMAGE("https://m.media-amazon.com/images/I/71Vol+U+TwL._AC_UL320_.jpg")</f>
        <v>#NAME?</v>
      </c>
      <c r="I192" t="s">
        <v>168</v>
      </c>
      <c r="J192">
        <v>49</v>
      </c>
      <c r="K192" s="2" t="s">
        <v>646</v>
      </c>
      <c r="L192">
        <v>4.7</v>
      </c>
      <c r="M192">
        <v>162</v>
      </c>
      <c r="O192" t="s">
        <v>39</v>
      </c>
      <c r="P192" t="s">
        <v>170</v>
      </c>
      <c r="Q192" t="s">
        <v>171</v>
      </c>
    </row>
    <row r="193" spans="1:17" ht="15.75" x14ac:dyDescent="0.25">
      <c r="A193" s="3" t="str">
        <f>HYPERLINK("https://heavenlyouthouse.com/products/thymes-frasier-fir-heritage-pillar-candle-large", "https://heavenlyouthouse.com/products/thymes-frasier-fir-heritage-pillar-candle-large")</f>
        <v>https://heavenlyouthouse.com/products/thymes-frasier-fir-heritage-pillar-candle-large</v>
      </c>
      <c r="B193" s="3" t="str">
        <f>HYPERLINK("https://heavenlyouthouse.com/products/thymes-frasier-fir-heritage-pillar-candle-large", "https://heavenlyouthouse.com/products/thymes-frasier-fir-heritage-pillar-candle-large")</f>
        <v>https://heavenlyouthouse.com/products/thymes-frasier-fir-heritage-pillar-candle-large</v>
      </c>
      <c r="C193" t="s">
        <v>649</v>
      </c>
      <c r="D193" t="s">
        <v>326</v>
      </c>
      <c r="E193" s="3" t="str">
        <f>HYPERLINK("https://www.amazon.com/Thymes-Heritage-3-Wick-Candle-Fragrance/dp/B001LF4DVU/ref=sr_1_3?keywords=Thymes+Frasier+Fir+Heritage+Pillar+Candle+Large&amp;qid=1695258741&amp;sr=8-3", "https://www.amazon.com/Thymes-Heritage-3-Wick-Candle-Fragrance/dp/B001LF4DVU/ref=sr_1_3?keywords=Thymes+Frasier+Fir+Heritage+Pillar+Candle+Large&amp;qid=1695258741&amp;sr=8-3")</f>
        <v>https://www.amazon.com/Thymes-Heritage-3-Wick-Candle-Fragrance/dp/B001LF4DVU/ref=sr_1_3?keywords=Thymes+Frasier+Fir+Heritage+Pillar+Candle+Large&amp;qid=1695258741&amp;sr=8-3</v>
      </c>
      <c r="F193" t="s">
        <v>327</v>
      </c>
      <c r="G193" t="e">
        <f ca="1">IMAGE("https://heavenlyouthouse.com/cdn/shop/files/thymes-frasier-fir-heritage-3x6-pillar-candle-large_300x300.jpg?v=1692208949")</f>
        <v>#NAME?</v>
      </c>
      <c r="H193" t="e">
        <f ca="1">IMAGE("https://m.media-amazon.com/images/I/717qxzPH-0L._AC_UL320_.jpg")</f>
        <v>#NAME?</v>
      </c>
      <c r="I193" t="s">
        <v>650</v>
      </c>
      <c r="J193">
        <v>60</v>
      </c>
      <c r="K193" s="2" t="s">
        <v>651</v>
      </c>
      <c r="L193">
        <v>4.5999999999999996</v>
      </c>
      <c r="M193">
        <v>355</v>
      </c>
      <c r="O193" t="s">
        <v>39</v>
      </c>
      <c r="P193" t="s">
        <v>652</v>
      </c>
      <c r="Q193" t="s">
        <v>653</v>
      </c>
    </row>
    <row r="194" spans="1:17" ht="15.75" x14ac:dyDescent="0.25">
      <c r="A194" s="3" t="str">
        <f>HYPERLINK("https://heavenlyouthouse.com/products/thymes-frasier-fir-pine-needle-reed-diffuser", "https://heavenlyouthouse.com/products/thymes-frasier-fir-pine-needle-reed-diffuser")</f>
        <v>https://heavenlyouthouse.com/products/thymes-frasier-fir-pine-needle-reed-diffuser</v>
      </c>
      <c r="B194" s="3" t="str">
        <f>HYPERLINK("https://heavenlyouthouse.com/products/thymes-frasier-fir-pine-needle-reed-diffuser", "https://heavenlyouthouse.com/products/thymes-frasier-fir-pine-needle-reed-diffuser")</f>
        <v>https://heavenlyouthouse.com/products/thymes-frasier-fir-pine-needle-reed-diffuser</v>
      </c>
      <c r="C194" t="s">
        <v>654</v>
      </c>
      <c r="D194" t="s">
        <v>84</v>
      </c>
      <c r="E194" s="3" t="str">
        <f>HYPERLINK("https://www.amazon.com/Thymes-Frasier-Limited-4-Wick-Statement/dp/B01KIH4XCA/ref=sr_1_5?keywords=Thymes+Frasier+Fir+Pine+Needle+Reed+Diffuser&amp;qid=1695258733&amp;sr=8-5", "https://www.amazon.com/Thymes-Frasier-Limited-4-Wick-Statement/dp/B01KIH4XCA/ref=sr_1_5?keywords=Thymes+Frasier+Fir+Pine+Needle+Reed+Diffuser&amp;qid=1695258733&amp;sr=8-5")</f>
        <v>https://www.amazon.com/Thymes-Frasier-Limited-4-Wick-Statement/dp/B01KIH4XCA/ref=sr_1_5?keywords=Thymes+Frasier+Fir+Pine+Needle+Reed+Diffuser&amp;qid=1695258733&amp;sr=8-5</v>
      </c>
      <c r="F194" t="s">
        <v>85</v>
      </c>
      <c r="G194" t="e">
        <f ca="1">IMAGE("https://heavenlyouthouse.com/cdn/shop/products/thymesfrasierfirpineneedledesignreeddiffuser.jpg?v=1619197867")</f>
        <v>#NAME?</v>
      </c>
      <c r="H194" t="e">
        <f ca="1">IMAGE("https://m.media-amazon.com/images/I/71+UQARiQhL._AC_UL320_.jpg")</f>
        <v>#NAME?</v>
      </c>
      <c r="I194" t="s">
        <v>655</v>
      </c>
      <c r="J194">
        <v>106</v>
      </c>
      <c r="K194" s="2" t="s">
        <v>656</v>
      </c>
      <c r="L194">
        <v>4.4000000000000004</v>
      </c>
      <c r="M194">
        <v>46</v>
      </c>
      <c r="O194" t="s">
        <v>39</v>
      </c>
      <c r="P194" t="s">
        <v>39</v>
      </c>
      <c r="Q194" t="s">
        <v>657</v>
      </c>
    </row>
    <row r="195" spans="1:17" ht="15.75" x14ac:dyDescent="0.25">
      <c r="A195" s="3" t="str">
        <f>HYPERLINK("https://heavenlyouthouse.com/products/vanilla-coconut-bubble-bath", "https://heavenlyouthouse.com/products/vanilla-coconut-bubble-bath")</f>
        <v>https://heavenlyouthouse.com/products/vanilla-coconut-bubble-bath</v>
      </c>
      <c r="B195" s="3" t="str">
        <f>HYPERLINK("https://heavenlyouthouse.com/products/vanilla-coconut-bubble-bath", "https://heavenlyouthouse.com/products/vanilla-coconut-bubble-bath")</f>
        <v>https://heavenlyouthouse.com/products/vanilla-coconut-bubble-bath</v>
      </c>
      <c r="C195" t="s">
        <v>230</v>
      </c>
      <c r="D195" t="s">
        <v>658</v>
      </c>
      <c r="E195" s="3" t="str">
        <f>HYPERLINK("https://www.amazon.com/Baskets-Coconut-Vanilla-Essential-Birthday/dp/B099RYHHBD/ref=sr_1_7?keywords=Vanilla+Coconut+Bubble+Bath&amp;qid=1695258805&amp;sr=8-7", "https://www.amazon.com/Baskets-Coconut-Vanilla-Essential-Birthday/dp/B099RYHHBD/ref=sr_1_7?keywords=Vanilla+Coconut+Bubble+Bath&amp;qid=1695258805&amp;sr=8-7")</f>
        <v>https://www.amazon.com/Baskets-Coconut-Vanilla-Essential-Birthday/dp/B099RYHHBD/ref=sr_1_7?keywords=Vanilla+Coconut+Bubble+Bath&amp;qid=1695258805&amp;sr=8-7</v>
      </c>
      <c r="F195" t="s">
        <v>659</v>
      </c>
      <c r="G195" t="e">
        <f ca="1">IMAGE("https://heavenlyouthouse.com/cdn/shop/products/Vanilla-Coconut_Bubble-Bath_2048_2000x_48bd3f10-44c5-4b84-8976-395bada0d7d1.jpg?v=1588959777")</f>
        <v>#NAME?</v>
      </c>
      <c r="H195" t="e">
        <f ca="1">IMAGE("https://m.media-amazon.com/images/I/71tvWrCcJgL._AC_UL320_.jpg")</f>
        <v>#NAME?</v>
      </c>
      <c r="I195" t="s">
        <v>233</v>
      </c>
      <c r="J195">
        <v>22.99</v>
      </c>
      <c r="K195" s="2" t="s">
        <v>660</v>
      </c>
      <c r="L195">
        <v>4.5</v>
      </c>
      <c r="M195">
        <v>310</v>
      </c>
      <c r="O195" t="s">
        <v>39</v>
      </c>
      <c r="P195" t="s">
        <v>39</v>
      </c>
      <c r="Q195" t="s">
        <v>235</v>
      </c>
    </row>
    <row r="196" spans="1:17" ht="15.75" x14ac:dyDescent="0.25">
      <c r="A196" s="3" t="str">
        <f>HYPERLINK("https://heavenlyouthouse.com/products/vanilla-coconut-foaming-wash", "https://heavenlyouthouse.com/products/vanilla-coconut-foaming-wash")</f>
        <v>https://heavenlyouthouse.com/products/vanilla-coconut-foaming-wash</v>
      </c>
      <c r="B196" s="3" t="str">
        <f>HYPERLINK("https://heavenlyouthouse.com/products/vanilla-coconut-foaming-wash", "https://heavenlyouthouse.com/products/vanilla-coconut-foaming-wash")</f>
        <v>https://heavenlyouthouse.com/products/vanilla-coconut-foaming-wash</v>
      </c>
      <c r="C196" t="s">
        <v>390</v>
      </c>
      <c r="D196" t="s">
        <v>661</v>
      </c>
      <c r="E196" s="3" t="str">
        <f>HYPERLINK("https://www.amazon.com/Scent-Theory-Mood-boosting-Luxury-minded-Collection/dp/B0C7NSXLDP/ref=sr_1_7?keywords=Vanilla+Coconut+Foaming+Wash&amp;qid=1695258837&amp;sr=8-7", "https://www.amazon.com/Scent-Theory-Mood-boosting-Luxury-minded-Collection/dp/B0C7NSXLDP/ref=sr_1_7?keywords=Vanilla+Coconut+Foaming+Wash&amp;qid=1695258837&amp;sr=8-7")</f>
        <v>https://www.amazon.com/Scent-Theory-Mood-boosting-Luxury-minded-Collection/dp/B0C7NSXLDP/ref=sr_1_7?keywords=Vanilla+Coconut+Foaming+Wash&amp;qid=1695258837&amp;sr=8-7</v>
      </c>
      <c r="F196" t="s">
        <v>662</v>
      </c>
      <c r="G196" t="e">
        <f ca="1">IMAGE("https://heavenlyouthouse.com/cdn/shop/products/vanilla-coconut-foaming-wash_2000x_7648654b-2503-4219-a1cd-2f8e8ea738eb.jpg?v=1586812094")</f>
        <v>#NAME?</v>
      </c>
      <c r="H196" t="e">
        <f ca="1">IMAGE("https://m.media-amazon.com/images/I/71TaETvJglL._AC_UL320_.jpg")</f>
        <v>#NAME?</v>
      </c>
      <c r="I196" t="s">
        <v>233</v>
      </c>
      <c r="J196">
        <v>22.9</v>
      </c>
      <c r="K196" s="2" t="s">
        <v>663</v>
      </c>
      <c r="L196">
        <v>1</v>
      </c>
      <c r="M196">
        <v>1</v>
      </c>
      <c r="O196" t="s">
        <v>39</v>
      </c>
      <c r="P196" t="s">
        <v>394</v>
      </c>
      <c r="Q196" t="s">
        <v>395</v>
      </c>
    </row>
    <row r="197" spans="1:17" ht="15.75" x14ac:dyDescent="0.25">
      <c r="A197" s="3" t="str">
        <f>HYPERLINK("https://heavenlyouthouse.com/products/rosemary-mint-body-lotion", "https://heavenlyouthouse.com/products/rosemary-mint-body-lotion")</f>
        <v>https://heavenlyouthouse.com/products/rosemary-mint-body-lotion</v>
      </c>
      <c r="B197" s="3" t="str">
        <f>HYPERLINK("https://heavenlyouthouse.com/products/rosemary-mint-body-lotion", "https://heavenlyouthouse.com/products/rosemary-mint-body-lotion")</f>
        <v>https://heavenlyouthouse.com/products/rosemary-mint-body-lotion</v>
      </c>
      <c r="C197" t="s">
        <v>664</v>
      </c>
      <c r="D197" t="s">
        <v>665</v>
      </c>
      <c r="E197" s="3" t="str">
        <f>HYPERLINK("https://www.amazon.com/Essentiel-Elements-Rosemary-Mint-Lotion/dp/B01N9MOEVW/ref=sr_1_4?keywords=Rosemary+Mint+Body+Lotion&amp;qid=1695258667&amp;sr=8-4", "https://www.amazon.com/Essentiel-Elements-Rosemary-Mint-Lotion/dp/B01N9MOEVW/ref=sr_1_4?keywords=Rosemary+Mint+Body+Lotion&amp;qid=1695258667&amp;sr=8-4")</f>
        <v>https://www.amazon.com/Essentiel-Elements-Rosemary-Mint-Lotion/dp/B01N9MOEVW/ref=sr_1_4?keywords=Rosemary+Mint+Body+Lotion&amp;qid=1695258667&amp;sr=8-4</v>
      </c>
      <c r="F197" t="s">
        <v>666</v>
      </c>
      <c r="G197" t="e">
        <f ca="1">IMAGE("https://heavenlyouthouse.com/cdn/shop/products/RosemaryMint-OatLotion.webp?v=1681505156")</f>
        <v>#NAME?</v>
      </c>
      <c r="H197" t="e">
        <f ca="1">IMAGE("https://m.media-amazon.com/images/I/71EwFBO1IcL._AC_UL320_.jpg")</f>
        <v>#NAME?</v>
      </c>
      <c r="I197" t="s">
        <v>399</v>
      </c>
      <c r="J197">
        <v>29.99</v>
      </c>
      <c r="K197" s="2" t="s">
        <v>663</v>
      </c>
      <c r="L197">
        <v>4.5999999999999996</v>
      </c>
      <c r="M197">
        <v>174</v>
      </c>
      <c r="O197" t="s">
        <v>39</v>
      </c>
      <c r="P197" t="s">
        <v>39</v>
      </c>
      <c r="Q197" t="s">
        <v>667</v>
      </c>
    </row>
    <row r="198" spans="1:17" ht="15.75" x14ac:dyDescent="0.25">
      <c r="A198" s="3" t="str">
        <f>HYPERLINK("https://heavenlyouthouse.com/products/frasier-fir-aroma-diffuser-oil", "https://heavenlyouthouse.com/products/frasier-fir-aroma-diffuser-oil")</f>
        <v>https://heavenlyouthouse.com/products/frasier-fir-aroma-diffuser-oil</v>
      </c>
      <c r="B198" s="3" t="str">
        <f>HYPERLINK("https://heavenlyouthouse.com/products/frasier-fir-aroma-diffuser-oil", "https://heavenlyouthouse.com/products/frasier-fir-aroma-diffuser-oil")</f>
        <v>https://heavenlyouthouse.com/products/frasier-fir-aroma-diffuser-oil</v>
      </c>
      <c r="C198" t="s">
        <v>226</v>
      </c>
      <c r="D198" t="s">
        <v>668</v>
      </c>
      <c r="E198" s="3" t="str">
        <f>HYPERLINK("https://www.amazon.com/Acqua-Aroma-Diffuser-Essential-Christmas/dp/B07SWLGTBR/ref=sr_1_6?keywords=Thymes+Frasier+Fir+Aroma+Diffuser+Oil&amp;qid=1695258721&amp;sr=8-6", "https://www.amazon.com/Acqua-Aroma-Diffuser-Essential-Christmas/dp/B07SWLGTBR/ref=sr_1_6?keywords=Thymes+Frasier+Fir+Aroma+Diffuser+Oil&amp;qid=1695258721&amp;sr=8-6")</f>
        <v>https://www.amazon.com/Acqua-Aroma-Diffuser-Essential-Christmas/dp/B07SWLGTBR/ref=sr_1_6?keywords=Thymes+Frasier+Fir+Aroma+Diffuser+Oil&amp;qid=1695258721&amp;sr=8-6</v>
      </c>
      <c r="F198" t="s">
        <v>669</v>
      </c>
      <c r="G198" t="e">
        <f ca="1">IMAGE("https://heavenlyouthouse.com/cdn/shop/products/thymesfrasierfirdiffuseroil.jpg?v=1604088755")</f>
        <v>#NAME?</v>
      </c>
      <c r="H198" t="e">
        <f ca="1">IMAGE("https://m.media-amazon.com/images/I/51-VG8opnjL._AC_UL320_.jpg")</f>
        <v>#NAME?</v>
      </c>
      <c r="I198" t="s">
        <v>86</v>
      </c>
      <c r="J198">
        <v>29.9</v>
      </c>
      <c r="K198" s="2" t="s">
        <v>663</v>
      </c>
      <c r="L198">
        <v>4</v>
      </c>
      <c r="M198">
        <v>56</v>
      </c>
      <c r="O198" t="s">
        <v>39</v>
      </c>
      <c r="P198" t="s">
        <v>39</v>
      </c>
      <c r="Q198" t="s">
        <v>229</v>
      </c>
    </row>
    <row r="199" spans="1:17" ht="15.75" x14ac:dyDescent="0.25">
      <c r="A199" s="3" t="str">
        <f>HYPERLINK("https://heavenlyouthouse.com/products/winters-a-b-tch-hand-rescue-tube?variant=32374486138969", "https://heavenlyouthouse.com/products/winters-a-b-tch-hand-rescue-tube?variant=32374486138969")</f>
        <v>https://heavenlyouthouse.com/products/winters-a-b-tch-hand-rescue-tube?variant=32374486138969</v>
      </c>
      <c r="B199" s="3" t="str">
        <f>HYPERLINK("https://heavenlyouthouse.com/products/winters-a-b-tch-hand-rescue-tube", "https://heavenlyouthouse.com/products/winters-a-b-tch-hand-rescue-tube")</f>
        <v>https://heavenlyouthouse.com/products/winters-a-b-tch-hand-rescue-tube</v>
      </c>
      <c r="C199" t="s">
        <v>670</v>
      </c>
      <c r="D199" t="s">
        <v>671</v>
      </c>
      <c r="E199" s="3" t="str">
        <f>HYPERLINK("https://www.amazon.com/Walton-Wood-Farm-Vegan-Friendly-Paraben-Free/dp/B09FR6NHSZ/ref=sr_1_2?keywords=Winter%27s+A+B*tch+Hand+Rescue+Tube&amp;qid=1695258831&amp;sr=8-2", "https://www.amazon.com/Walton-Wood-Farm-Vegan-Friendly-Paraben-Free/dp/B09FR6NHSZ/ref=sr_1_2?keywords=Winter%27s+A+B*tch+Hand+Rescue+Tube&amp;qid=1695258831&amp;sr=8-2")</f>
        <v>https://www.amazon.com/Walton-Wood-Farm-Vegan-Friendly-Paraben-Free/dp/B09FR6NHSZ/ref=sr_1_2?keywords=Winter%27s+A+B*tch+Hand+Rescue+Tube&amp;qid=1695258831&amp;sr=8-2</v>
      </c>
      <c r="F199" t="s">
        <v>672</v>
      </c>
      <c r="G199" t="e">
        <f ca="1">IMAGE("https://heavenlyouthouse.com/cdn/shop/products/wintersabitchhandrescuetube.jpg?v=1612548551")</f>
        <v>#NAME?</v>
      </c>
      <c r="H199" t="e">
        <f ca="1">IMAGE("https://m.media-amazon.com/images/I/41URSoFOWIL._AC_UL320_.jpg")</f>
        <v>#NAME?</v>
      </c>
      <c r="I199" t="s">
        <v>146</v>
      </c>
      <c r="J199">
        <v>13.99</v>
      </c>
      <c r="K199" s="2" t="s">
        <v>673</v>
      </c>
      <c r="L199">
        <v>4.2</v>
      </c>
      <c r="M199">
        <v>35</v>
      </c>
      <c r="O199" t="s">
        <v>136</v>
      </c>
      <c r="P199" t="s">
        <v>39</v>
      </c>
      <c r="Q199" t="s">
        <v>674</v>
      </c>
    </row>
    <row r="200" spans="1:17" ht="15.75" x14ac:dyDescent="0.25">
      <c r="A200" s="3" t="str">
        <f>HYPERLINK("https://heavenlyouthouse.com/products/thymes-gingerbread-pura-smart-home-diffuser-refill", "https://heavenlyouthouse.com/products/thymes-gingerbread-pura-smart-home-diffuser-refill")</f>
        <v>https://heavenlyouthouse.com/products/thymes-gingerbread-pura-smart-home-diffuser-refill</v>
      </c>
      <c r="B200" s="3" t="str">
        <f>HYPERLINK("https://heavenlyouthouse.com/products/thymes-gingerbread-pura-smart-home-diffuser-refill", "https://heavenlyouthouse.com/products/thymes-gingerbread-pura-smart-home-diffuser-refill")</f>
        <v>https://heavenlyouthouse.com/products/thymes-gingerbread-pura-smart-home-diffuser-refill</v>
      </c>
      <c r="C200" t="s">
        <v>124</v>
      </c>
      <c r="D200" t="s">
        <v>675</v>
      </c>
      <c r="E200" s="3" t="str">
        <f>HYPERLINK("https://www.amazon.com/Thymes-Reed-Diffuser-Oil-Refill/dp/B09HLBTL3X/ref=sr_1_1?keywords=Thymes+Gingerbread+Pura+Diffuser+Refill&amp;qid=1695258742&amp;sr=8-1", "https://www.amazon.com/Thymes-Reed-Diffuser-Oil-Refill/dp/B09HLBTL3X/ref=sr_1_1?keywords=Thymes+Gingerbread+Pura+Diffuser+Refill&amp;qid=1695258742&amp;sr=8-1")</f>
        <v>https://www.amazon.com/Thymes-Reed-Diffuser-Oil-Refill/dp/B09HLBTL3X/ref=sr_1_1?keywords=Thymes+Gingerbread+Pura+Diffuser+Refill&amp;qid=1695258742&amp;sr=8-1</v>
      </c>
      <c r="F200" t="s">
        <v>676</v>
      </c>
      <c r="G200" t="e">
        <f ca="1">IMAGE("https://heavenlyouthouse.com/cdn/shop/products/thymes-gingerbread-pura-refill.jpg?v=1664374943")</f>
        <v>#NAME?</v>
      </c>
      <c r="H200" t="e">
        <f ca="1">IMAGE("https://m.media-amazon.com/images/I/61xuH5z4QxL._AC_UL320_.jpg")</f>
        <v>#NAME?</v>
      </c>
      <c r="I200" t="s">
        <v>117</v>
      </c>
      <c r="J200">
        <v>35</v>
      </c>
      <c r="K200" s="2" t="s">
        <v>677</v>
      </c>
      <c r="L200">
        <v>4.4000000000000004</v>
      </c>
      <c r="M200">
        <v>96</v>
      </c>
      <c r="O200" t="s">
        <v>39</v>
      </c>
      <c r="P200" t="s">
        <v>53</v>
      </c>
      <c r="Q200" t="s">
        <v>125</v>
      </c>
    </row>
    <row r="201" spans="1:17" ht="15.75" x14ac:dyDescent="0.25">
      <c r="A201" s="3" t="str">
        <f>HYPERLINK("https://heavenlyouthouse.com/products/thymes-fresh-cut-basil-pura-smart-home-diffuser-refill", "https://heavenlyouthouse.com/products/thymes-fresh-cut-basil-pura-smart-home-diffuser-refill")</f>
        <v>https://heavenlyouthouse.com/products/thymes-fresh-cut-basil-pura-smart-home-diffuser-refill</v>
      </c>
      <c r="B201" s="3" t="str">
        <f>HYPERLINK("https://heavenlyouthouse.com/products/thymes-fresh-cut-basil-pura-smart-home-diffuser-refill", "https://heavenlyouthouse.com/products/thymes-fresh-cut-basil-pura-smart-home-diffuser-refill")</f>
        <v>https://heavenlyouthouse.com/products/thymes-fresh-cut-basil-pura-smart-home-diffuser-refill</v>
      </c>
      <c r="C201" t="s">
        <v>122</v>
      </c>
      <c r="D201" t="s">
        <v>678</v>
      </c>
      <c r="E201" s="3" t="str">
        <f>HYPERLINK("https://www.amazon.com/Thymes-Reed-Diffuser-Oil-Fresh-Cut/dp/B0B4T5C48F/ref=sr_1_2?keywords=Thymes+Fresh-Cut+Basil+Pura+Diffuser+Refill&amp;qid=1695258753&amp;sr=8-2", "https://www.amazon.com/Thymes-Reed-Diffuser-Oil-Fresh-Cut/dp/B0B4T5C48F/ref=sr_1_2?keywords=Thymes+Fresh-Cut+Basil+Pura+Diffuser+Refill&amp;qid=1695258753&amp;sr=8-2")</f>
        <v>https://www.amazon.com/Thymes-Reed-Diffuser-Oil-Fresh-Cut/dp/B0B4T5C48F/ref=sr_1_2?keywords=Thymes+Fresh-Cut+Basil+Pura+Diffuser+Refill&amp;qid=1695258753&amp;sr=8-2</v>
      </c>
      <c r="F201" t="s">
        <v>679</v>
      </c>
      <c r="G201" t="e">
        <f ca="1">IMAGE("https://heavenlyouthouse.com/cdn/shop/products/thymes-fresh-cut-basil-pura-smart-diffuser-refill.jpg?v=1657727543")</f>
        <v>#NAME?</v>
      </c>
      <c r="H201" t="e">
        <f ca="1">IMAGE("https://m.media-amazon.com/images/I/51p+TG3uZNL._AC_UL320_.jpg")</f>
        <v>#NAME?</v>
      </c>
      <c r="I201" t="s">
        <v>117</v>
      </c>
      <c r="J201">
        <v>35</v>
      </c>
      <c r="K201" s="2" t="s">
        <v>677</v>
      </c>
      <c r="L201">
        <v>4.0999999999999996</v>
      </c>
      <c r="M201">
        <v>9</v>
      </c>
      <c r="O201" t="s">
        <v>39</v>
      </c>
      <c r="P201" t="s">
        <v>53</v>
      </c>
      <c r="Q201" t="s">
        <v>123</v>
      </c>
    </row>
    <row r="202" spans="1:17" ht="15.75" x14ac:dyDescent="0.25">
      <c r="A202" s="3" t="str">
        <f>HYPERLINK("https://heavenlyouthouse.com/products/thymes-frasier-fir-pura-smart-home-diffuser-refill", "https://heavenlyouthouse.com/products/thymes-frasier-fir-pura-smart-home-diffuser-refill")</f>
        <v>https://heavenlyouthouse.com/products/thymes-frasier-fir-pura-smart-home-diffuser-refill</v>
      </c>
      <c r="B202" s="3" t="str">
        <f>HYPERLINK("https://heavenlyouthouse.com/products/thymes-frasier-fir-pura-smart-home-diffuser-refill", "https://heavenlyouthouse.com/products/thymes-frasier-fir-pura-smart-home-diffuser-refill")</f>
        <v>https://heavenlyouthouse.com/products/thymes-frasier-fir-pura-smart-home-diffuser-refill</v>
      </c>
      <c r="C202" t="s">
        <v>126</v>
      </c>
      <c r="D202" t="s">
        <v>252</v>
      </c>
      <c r="E202" s="3" t="str">
        <f>HYPERLINK("https://www.amazon.com/Thymes-Frasier-Diffuser-Refill-Ounces/dp/B001AH8CL6/ref=sr_1_2?keywords=Thymes+Frasier+Fir+Pura+Diffuser+Refill&amp;qid=1695258738&amp;sr=8-2", "https://www.amazon.com/Thymes-Frasier-Diffuser-Refill-Ounces/dp/B001AH8CL6/ref=sr_1_2?keywords=Thymes+Frasier+Fir+Pura+Diffuser+Refill&amp;qid=1695258738&amp;sr=8-2")</f>
        <v>https://www.amazon.com/Thymes-Frasier-Diffuser-Refill-Ounces/dp/B001AH8CL6/ref=sr_1_2?keywords=Thymes+Frasier+Fir+Pura+Diffuser+Refill&amp;qid=1695258738&amp;sr=8-2</v>
      </c>
      <c r="F202" t="s">
        <v>253</v>
      </c>
      <c r="G202" t="e">
        <f ca="1">IMAGE("https://heavenlyouthouse.com/cdn/shop/products/Thymes-Frasier-Fir-pura-smart-home-diffuser-refill.jpg?v=1632434828")</f>
        <v>#NAME?</v>
      </c>
      <c r="H202" t="e">
        <f ca="1">IMAGE("https://m.media-amazon.com/images/I/51MG8nOHQnL._AC_UL320_.jpg")</f>
        <v>#NAME?</v>
      </c>
      <c r="I202" t="s">
        <v>117</v>
      </c>
      <c r="J202">
        <v>35</v>
      </c>
      <c r="K202" s="2" t="s">
        <v>677</v>
      </c>
      <c r="L202">
        <v>4.7</v>
      </c>
      <c r="M202">
        <v>2687</v>
      </c>
      <c r="O202" t="s">
        <v>39</v>
      </c>
      <c r="P202" t="s">
        <v>53</v>
      </c>
      <c r="Q202" t="s">
        <v>127</v>
      </c>
    </row>
    <row r="203" spans="1:17" ht="15.75" x14ac:dyDescent="0.25">
      <c r="A203" s="3" t="str">
        <f>HYPERLINK("https://heavenlyouthouse.com/products/spell-it-out-funny-valentines-day-card", "https://heavenlyouthouse.com/products/spell-it-out-funny-valentines-day-card")</f>
        <v>https://heavenlyouthouse.com/products/spell-it-out-funny-valentines-day-card</v>
      </c>
      <c r="B203" s="3" t="str">
        <f>HYPERLINK("https://heavenlyouthouse.com/products/spell-it-out-funny-valentines-day-card", "https://heavenlyouthouse.com/products/spell-it-out-funny-valentines-day-card")</f>
        <v>https://heavenlyouthouse.com/products/spell-it-out-funny-valentines-day-card</v>
      </c>
      <c r="C203" t="s">
        <v>680</v>
      </c>
      <c r="D203" t="s">
        <v>681</v>
      </c>
      <c r="E203" s="3" t="str">
        <f>HYPERLINK("https://www.amazon.com/2425-Spell-Out-Valentines-NobleWorks/dp/B000Y4MM1C/ref=sr_1_1?keywords=Spell+It+Out+Valentines+Day+Card&amp;qid=1695258694&amp;sr=8-1", "https://www.amazon.com/2425-Spell-Out-Valentines-NobleWorks/dp/B000Y4MM1C/ref=sr_1_1?keywords=Spell+It+Out+Valentines+Day+Card&amp;qid=1695258694&amp;sr=8-1")</f>
        <v>https://www.amazon.com/2425-Spell-Out-Valentines-NobleWorks/dp/B000Y4MM1C/ref=sr_1_1?keywords=Spell+It+Out+Valentines+Day+Card&amp;qid=1695258694&amp;sr=8-1</v>
      </c>
      <c r="F203" t="s">
        <v>682</v>
      </c>
      <c r="G203" t="e">
        <f ca="1">IMAGE("https://heavenlyouthouse.com/cdn/shop/products/2425-happy-ucking-valentine-buy-vowel-funny-adult-vd-card.jpg?v=1611358267")</f>
        <v>#NAME?</v>
      </c>
      <c r="H203" t="e">
        <f ca="1">IMAGE("https://m.media-amazon.com/images/I/71KycPkez2L._AC_UL320_.jpg")</f>
        <v>#NAME?</v>
      </c>
      <c r="I203" t="s">
        <v>134</v>
      </c>
      <c r="J203">
        <v>6.89</v>
      </c>
      <c r="K203" s="2" t="s">
        <v>683</v>
      </c>
      <c r="L203">
        <v>4.5999999999999996</v>
      </c>
      <c r="M203">
        <v>67</v>
      </c>
      <c r="O203" t="s">
        <v>39</v>
      </c>
      <c r="P203" t="s">
        <v>39</v>
      </c>
      <c r="Q203" t="s">
        <v>684</v>
      </c>
    </row>
    <row r="204" spans="1:17" ht="15.75" x14ac:dyDescent="0.25">
      <c r="A204" s="3" t="str">
        <f>HYPERLINK("https://heavenlyouthouse.com/products/wood-cross-easter-card", "https://heavenlyouthouse.com/products/wood-cross-easter-card")</f>
        <v>https://heavenlyouthouse.com/products/wood-cross-easter-card</v>
      </c>
      <c r="B204" s="3" t="str">
        <f>HYPERLINK("https://heavenlyouthouse.com/products/wood-cross-easter-card", "https://heavenlyouthouse.com/products/wood-cross-easter-card")</f>
        <v>https://heavenlyouthouse.com/products/wood-cross-easter-card</v>
      </c>
      <c r="C204" t="s">
        <v>248</v>
      </c>
      <c r="D204" t="s">
        <v>685</v>
      </c>
      <c r="E204" s="3" t="str">
        <f>HYPERLINK("https://www.amazon.com/Liif-Religious-Easter-Card-Greeting/dp/B0BXVNFXFS/ref=sr_1_4?keywords=Wood+Cross+Easter+Card&amp;qid=1695258829&amp;sr=8-4", "https://www.amazon.com/Liif-Religious-Easter-Card-Greeting/dp/B0BXVNFXFS/ref=sr_1_4?keywords=Wood+Cross+Easter+Card&amp;qid=1695258829&amp;sr=8-4")</f>
        <v>https://www.amazon.com/Liif-Religious-Easter-Card-Greeting/dp/B0BXVNFXFS/ref=sr_1_4?keywords=Wood+Cross+Easter+Card&amp;qid=1695258829&amp;sr=8-4</v>
      </c>
      <c r="F204" t="s">
        <v>686</v>
      </c>
      <c r="G204" t="e">
        <f ca="1">IMAGE("https://heavenlyouthouse.com/cdn/shop/products/papyruswoodcrosseastercard1_2.jpg?v=1619896050")</f>
        <v>#NAME?</v>
      </c>
      <c r="H204" t="e">
        <f ca="1">IMAGE("https://m.media-amazon.com/images/I/71F9fCsnkkL._AC_UL320_.jpg")</f>
        <v>#NAME?</v>
      </c>
      <c r="I204" t="s">
        <v>92</v>
      </c>
      <c r="J204">
        <v>10.99</v>
      </c>
      <c r="K204" s="2" t="s">
        <v>687</v>
      </c>
      <c r="L204">
        <v>4.8</v>
      </c>
      <c r="M204">
        <v>79</v>
      </c>
      <c r="O204" t="s">
        <v>39</v>
      </c>
      <c r="P204" t="s">
        <v>39</v>
      </c>
      <c r="Q204" t="s">
        <v>251</v>
      </c>
    </row>
    <row r="205" spans="1:17" ht="15.75" x14ac:dyDescent="0.25">
      <c r="A205" s="3" t="str">
        <f>HYPERLINK("https://heavenlyouthouse.com/products/usb-rechargeable-led-beanie-black", "https://heavenlyouthouse.com/products/usb-rechargeable-led-beanie-black")</f>
        <v>https://heavenlyouthouse.com/products/usb-rechargeable-led-beanie-black</v>
      </c>
      <c r="B205" s="3" t="str">
        <f>HYPERLINK("https://heavenlyouthouse.com/products/usb-rechargeable-led-beanie-black", "https://heavenlyouthouse.com/products/usb-rechargeable-led-beanie-black")</f>
        <v>https://heavenlyouthouse.com/products/usb-rechargeable-led-beanie-black</v>
      </c>
      <c r="C205" t="s">
        <v>688</v>
      </c>
      <c r="D205" t="s">
        <v>689</v>
      </c>
      <c r="E205" s="3" t="str">
        <f>HYPERLINK("https://www.amazon.com/SATINIOR-Rechargeable-Headlamp-Knitted-Running/dp/B09L15BPC6/ref=sr_1_8?keywords=USB+Rechargeable+LED+Beanie+-+Black&amp;qid=1695258801&amp;sr=8-8", "https://www.amazon.com/SATINIOR-Rechargeable-Headlamp-Knitted-Running/dp/B09L15BPC6/ref=sr_1_8?keywords=USB+Rechargeable+LED+Beanie+-+Black&amp;qid=1695258801&amp;sr=8-8")</f>
        <v>https://www.amazon.com/SATINIOR-Rechargeable-Headlamp-Knitted-Running/dp/B09L15BPC6/ref=sr_1_8?keywords=USB+Rechargeable+LED+Beanie+-+Black&amp;qid=1695258801&amp;sr=8-8</v>
      </c>
      <c r="F205" t="s">
        <v>690</v>
      </c>
      <c r="G205" t="e">
        <f ca="1">IMAGE("https://heavenlyouthouse.com/cdn/shop/products/nightscoutrechargeableLEDtoqueblack_951f8ad0-7b76-49f7-ab39-c5624789256a.jpg?v=1669042861")</f>
        <v>#NAME?</v>
      </c>
      <c r="H205" t="e">
        <f ca="1">IMAGE("https://m.media-amazon.com/images/I/81cZXukdntL._AC_UL320_.jpg")</f>
        <v>#NAME?</v>
      </c>
      <c r="I205" t="s">
        <v>385</v>
      </c>
      <c r="J205">
        <v>39.99</v>
      </c>
      <c r="K205" s="2" t="s">
        <v>687</v>
      </c>
      <c r="L205">
        <v>4.9000000000000004</v>
      </c>
      <c r="M205">
        <v>28</v>
      </c>
      <c r="O205" t="s">
        <v>39</v>
      </c>
      <c r="P205" t="s">
        <v>39</v>
      </c>
      <c r="Q205" t="s">
        <v>691</v>
      </c>
    </row>
    <row r="206" spans="1:17" ht="15.75" x14ac:dyDescent="0.25">
      <c r="A206" s="3" t="str">
        <f>HYPERLINK("https://heavenlyouthouse.com/products/rosemary-mint-body-butter", "https://heavenlyouthouse.com/products/rosemary-mint-body-butter")</f>
        <v>https://heavenlyouthouse.com/products/rosemary-mint-body-butter</v>
      </c>
      <c r="B206" s="3" t="str">
        <f>HYPERLINK("https://heavenlyouthouse.com/products/rosemary-mint-body-butter", "https://heavenlyouthouse.com/products/rosemary-mint-body-butter")</f>
        <v>https://heavenlyouthouse.com/products/rosemary-mint-body-butter</v>
      </c>
      <c r="C206" t="s">
        <v>531</v>
      </c>
      <c r="D206" t="s">
        <v>692</v>
      </c>
      <c r="E206" s="3" t="str">
        <f>HYPERLINK("https://www.amazon.com/Glimmer-Goddess-Organic-Body-Butter/dp/B09K2HCB1B/ref=sr_1_6?keywords=Rosemary+Mint+Body+Butter&amp;qid=1695258669&amp;sr=8-6", "https://www.amazon.com/Glimmer-Goddess-Organic-Body-Butter/dp/B09K2HCB1B/ref=sr_1_6?keywords=Rosemary+Mint+Body+Butter&amp;qid=1695258669&amp;sr=8-6")</f>
        <v>https://www.amazon.com/Glimmer-Goddess-Organic-Body-Butter/dp/B09K2HCB1B/ref=sr_1_6?keywords=Rosemary+Mint+Body+Butter&amp;qid=1695258669&amp;sr=8-6</v>
      </c>
      <c r="F206" t="s">
        <v>693</v>
      </c>
      <c r="G206" t="e">
        <f ca="1">IMAGE("https://heavenlyouthouse.com/cdn/shop/products/RosemaryMint-BodyButter.webp?v=1681505618")</f>
        <v>#NAME?</v>
      </c>
      <c r="H206" t="e">
        <f ca="1">IMAGE("https://m.media-amazon.com/images/I/51gtSWnQK5L._AC_UL320_.jpg")</f>
        <v>#NAME?</v>
      </c>
      <c r="I206" t="s">
        <v>233</v>
      </c>
      <c r="J206">
        <v>21.95</v>
      </c>
      <c r="K206" s="2" t="s">
        <v>694</v>
      </c>
      <c r="L206">
        <v>4.4000000000000004</v>
      </c>
      <c r="M206">
        <v>1247</v>
      </c>
      <c r="O206" t="s">
        <v>39</v>
      </c>
      <c r="P206" t="s">
        <v>394</v>
      </c>
      <c r="Q206" t="s">
        <v>535</v>
      </c>
    </row>
    <row r="207" spans="1:17" ht="15.75" x14ac:dyDescent="0.25">
      <c r="A207" s="3" t="str">
        <f>HYPERLINK("https://heavenlyouthouse.com/products/scent-free-body-butter", "https://heavenlyouthouse.com/products/scent-free-body-butter")</f>
        <v>https://heavenlyouthouse.com/products/scent-free-body-butter</v>
      </c>
      <c r="B207" s="3" t="str">
        <f>HYPERLINK("https://heavenlyouthouse.com/products/scent-free-body-butter", "https://heavenlyouthouse.com/products/scent-free-body-butter")</f>
        <v>https://heavenlyouthouse.com/products/scent-free-body-butter</v>
      </c>
      <c r="C207" t="s">
        <v>695</v>
      </c>
      <c r="D207" t="s">
        <v>696</v>
      </c>
      <c r="E207" s="3" t="str">
        <f>HYPERLINK("https://www.amazon.com/Natural-UNSCENTED-Organic-Body-Butter/dp/B08F7HCCBZ/ref=sr_1_7?keywords=Scent+Free+Body+Butter&amp;qid=1695258680&amp;sr=8-7", "https://www.amazon.com/Natural-UNSCENTED-Organic-Body-Butter/dp/B08F7HCCBZ/ref=sr_1_7?keywords=Scent+Free+Body+Butter&amp;qid=1695258680&amp;sr=8-7")</f>
        <v>https://www.amazon.com/Natural-UNSCENTED-Organic-Body-Butter/dp/B08F7HCCBZ/ref=sr_1_7?keywords=Scent+Free+Body+Butter&amp;qid=1695258680&amp;sr=8-7</v>
      </c>
      <c r="F207" t="s">
        <v>697</v>
      </c>
      <c r="G207" t="e">
        <f ca="1">IMAGE("https://heavenlyouthouse.com/cdn/shop/products/dry-skin-body-butter_2000x_a7842167-ad66-4fcf-9097-94fb6cdff081.jpg?v=1586787710")</f>
        <v>#NAME?</v>
      </c>
      <c r="H207" t="e">
        <f ca="1">IMAGE("https://m.media-amazon.com/images/I/61tMwYyQQbL._AC_UL320_.jpg")</f>
        <v>#NAME?</v>
      </c>
      <c r="I207" t="s">
        <v>233</v>
      </c>
      <c r="J207">
        <v>21.95</v>
      </c>
      <c r="K207" s="2" t="s">
        <v>694</v>
      </c>
      <c r="L207">
        <v>4.4000000000000004</v>
      </c>
      <c r="M207">
        <v>1247</v>
      </c>
      <c r="O207" t="s">
        <v>39</v>
      </c>
      <c r="P207" t="s">
        <v>39</v>
      </c>
      <c r="Q207" t="s">
        <v>698</v>
      </c>
    </row>
    <row r="208" spans="1:17" ht="15.75" x14ac:dyDescent="0.25">
      <c r="A208" s="3" t="str">
        <f>HYPERLINK("https://heavenlyouthouse.com/products/thymes-frasier-fir-heritage-molded-green-glass-poured-candle", "https://heavenlyouthouse.com/products/thymes-frasier-fir-heritage-molded-green-glass-poured-candle")</f>
        <v>https://heavenlyouthouse.com/products/thymes-frasier-fir-heritage-molded-green-glass-poured-candle</v>
      </c>
      <c r="B208" s="3" t="str">
        <f>HYPERLINK("https://heavenlyouthouse.com/products/thymes-frasier-fir-heritage-molded-green-glass-poured-candle", "https://heavenlyouthouse.com/products/thymes-frasier-fir-heritage-molded-green-glass-poured-candle")</f>
        <v>https://heavenlyouthouse.com/products/thymes-frasier-fir-heritage-molded-green-glass-poured-candle</v>
      </c>
      <c r="C208" t="s">
        <v>699</v>
      </c>
      <c r="D208" t="s">
        <v>326</v>
      </c>
      <c r="E208" s="3" t="str">
        <f>HYPERLINK("https://www.amazon.com/Thymes-Heritage-3-Wick-Candle-Fragrance/dp/B001LF4DVU/ref=sr_1_2?keywords=Thymes+Frasier+Fir+Heritage+Molded+Green+Glass+Candle&amp;qid=1695258729&amp;sr=8-2", "https://www.amazon.com/Thymes-Heritage-3-Wick-Candle-Fragrance/dp/B001LF4DVU/ref=sr_1_2?keywords=Thymes+Frasier+Fir+Heritage+Molded+Green+Glass+Candle&amp;qid=1695258729&amp;sr=8-2")</f>
        <v>https://www.amazon.com/Thymes-Heritage-3-Wick-Candle-Fragrance/dp/B001LF4DVU/ref=sr_1_2?keywords=Thymes+Frasier+Fir+Heritage+Molded+Green+Glass+Candle&amp;qid=1695258729&amp;sr=8-2</v>
      </c>
      <c r="F208" t="s">
        <v>327</v>
      </c>
      <c r="G208" t="e">
        <f ca="1">IMAGE("https://heavenlyouthouse.com/cdn/shop/products/thymes-frasier-fir-heritage-molded-green-glass-candle.jpg?v=1624372737")</f>
        <v>#NAME?</v>
      </c>
      <c r="H208" t="e">
        <f ca="1">IMAGE("https://m.media-amazon.com/images/I/717qxzPH-0L._AC_UL320_.jpg")</f>
        <v>#NAME?</v>
      </c>
      <c r="I208" t="s">
        <v>264</v>
      </c>
      <c r="J208">
        <v>60</v>
      </c>
      <c r="K208" s="2" t="s">
        <v>694</v>
      </c>
      <c r="L208">
        <v>4.5999999999999996</v>
      </c>
      <c r="M208">
        <v>355</v>
      </c>
      <c r="O208" t="s">
        <v>39</v>
      </c>
      <c r="P208" t="s">
        <v>39</v>
      </c>
      <c r="Q208" t="s">
        <v>700</v>
      </c>
    </row>
    <row r="209" spans="1:17" ht="15.75" x14ac:dyDescent="0.25">
      <c r="A209" s="3" t="str">
        <f>HYPERLINK("https://heavenlyouthouse.com/products/thymes-simmered-cider-copper-cup-candle", "https://heavenlyouthouse.com/products/thymes-simmered-cider-copper-cup-candle")</f>
        <v>https://heavenlyouthouse.com/products/thymes-simmered-cider-copper-cup-candle</v>
      </c>
      <c r="B209" s="3" t="str">
        <f>HYPERLINK("https://heavenlyouthouse.com/products/thymes-simmered-cider-copper-cup-candle", "https://heavenlyouthouse.com/products/thymes-simmered-cider-copper-cup-candle")</f>
        <v>https://heavenlyouthouse.com/products/thymes-simmered-cider-copper-cup-candle</v>
      </c>
      <c r="C209" t="s">
        <v>701</v>
      </c>
      <c r="D209" t="s">
        <v>702</v>
      </c>
      <c r="E209" s="3" t="str">
        <f>HYPERLINK("https://www.amazon.com/Thymes-Simmered-Poured-Candle-Copper/dp/B074KKWZXP/ref=sr_1_2?keywords=Thymes+Simmered+Cider+Copper+Cup+Candle&amp;qid=1695258781&amp;sr=8-2", "https://www.amazon.com/Thymes-Simmered-Poured-Candle-Copper/dp/B074KKWZXP/ref=sr_1_2?keywords=Thymes+Simmered+Cider+Copper+Cup+Candle&amp;qid=1695258781&amp;sr=8-2")</f>
        <v>https://www.amazon.com/Thymes-Simmered-Poured-Candle-Copper/dp/B074KKWZXP/ref=sr_1_2?keywords=Thymes+Simmered+Cider+Copper+Cup+Candle&amp;qid=1695258781&amp;sr=8-2</v>
      </c>
      <c r="F209" t="s">
        <v>703</v>
      </c>
      <c r="G209" t="e">
        <f ca="1">IMAGE("https://heavenlyouthouse.com/cdn/shop/products/simmered-cider-copper-mug-candle.jpg?v=1674146070")</f>
        <v>#NAME?</v>
      </c>
      <c r="H209" t="e">
        <f ca="1">IMAGE("https://m.media-amazon.com/images/I/61NuHWMphEL._AC_UL320_.jpg")</f>
        <v>#NAME?</v>
      </c>
      <c r="I209" t="s">
        <v>264</v>
      </c>
      <c r="J209">
        <v>60</v>
      </c>
      <c r="K209" s="2" t="s">
        <v>694</v>
      </c>
      <c r="L209">
        <v>4.7</v>
      </c>
      <c r="M209">
        <v>219</v>
      </c>
      <c r="O209" t="s">
        <v>39</v>
      </c>
      <c r="P209" t="s">
        <v>336</v>
      </c>
      <c r="Q209" t="s">
        <v>704</v>
      </c>
    </row>
    <row r="210" spans="1:17" ht="15.75" x14ac:dyDescent="0.25">
      <c r="A210" s="3" t="str">
        <f>HYPERLINK("https://heavenlyouthouse.com/products/poo-pourri-original-citrus-toilet-spray?variant=39334155321433", "https://heavenlyouthouse.com/products/poo-pourri-original-citrus-toilet-spray?variant=39334155321433")</f>
        <v>https://heavenlyouthouse.com/products/poo-pourri-original-citrus-toilet-spray?variant=39334155321433</v>
      </c>
      <c r="B210" s="3" t="str">
        <f>HYPERLINK("https://heavenlyouthouse.com/products/poo-pourri-original-citrus-toilet-spray", "https://heavenlyouthouse.com/products/poo-pourri-original-citrus-toilet-spray")</f>
        <v>https://heavenlyouthouse.com/products/poo-pourri-original-citrus-toilet-spray</v>
      </c>
      <c r="C210" t="s">
        <v>526</v>
      </c>
      <c r="D210" t="s">
        <v>705</v>
      </c>
      <c r="E210" s="3" t="str">
        <f>HYPERLINK("https://www.amazon.com/Poo-Pourri-Before-You-Go-Toilet-Bottle-Original/dp/B07SRCNVK7/ref=sr_1_9?keywords=Poo-Pourri+Original+Citrus+Toilet+Spray&amp;qid=1695258667&amp;sr=8-9", "https://www.amazon.com/Poo-Pourri-Before-You-Go-Toilet-Bottle-Original/dp/B07SRCNVK7/ref=sr_1_9?keywords=Poo-Pourri+Original+Citrus+Toilet+Spray&amp;qid=1695258667&amp;sr=8-9")</f>
        <v>https://www.amazon.com/Poo-Pourri-Before-You-Go-Toilet-Bottle-Original/dp/B07SRCNVK7/ref=sr_1_9?keywords=Poo-Pourri+Original+Citrus+Toilet+Spray&amp;qid=1695258667&amp;sr=8-9</v>
      </c>
      <c r="F210" t="s">
        <v>706</v>
      </c>
      <c r="G210" t="e">
        <f ca="1">IMAGE("https://heavenlyouthouse.com/cdn/shop/products/Poo-pourrioriginalcitrustoiletbathroomspray1.jpg?v=1621615377")</f>
        <v>#NAME?</v>
      </c>
      <c r="H210" t="e">
        <f ca="1">IMAGE("https://m.media-amazon.com/images/I/4101fPyw01L._AC_UL320_.jpg")</f>
        <v>#NAME?</v>
      </c>
      <c r="I210" t="s">
        <v>362</v>
      </c>
      <c r="J210">
        <v>19.989999999999998</v>
      </c>
      <c r="K210" s="2" t="s">
        <v>707</v>
      </c>
      <c r="L210">
        <v>4.8</v>
      </c>
      <c r="M210">
        <v>75</v>
      </c>
      <c r="O210" t="s">
        <v>136</v>
      </c>
      <c r="P210" t="s">
        <v>363</v>
      </c>
      <c r="Q210" t="s">
        <v>530</v>
      </c>
    </row>
    <row r="211" spans="1:17" ht="15.75" x14ac:dyDescent="0.25">
      <c r="A211" s="3" t="str">
        <f>HYPERLINK("https://heavenlyouthouse.com/products/frasier-fir-petite-hand-lotion", "https://heavenlyouthouse.com/products/frasier-fir-petite-hand-lotion")</f>
        <v>https://heavenlyouthouse.com/products/frasier-fir-petite-hand-lotion</v>
      </c>
      <c r="B211" s="3" t="str">
        <f>HYPERLINK("https://heavenlyouthouse.com/products/frasier-fir-petite-hand-lotion", "https://heavenlyouthouse.com/products/frasier-fir-petite-hand-lotion")</f>
        <v>https://heavenlyouthouse.com/products/frasier-fir-petite-hand-lotion</v>
      </c>
      <c r="C211" t="s">
        <v>708</v>
      </c>
      <c r="D211" t="s">
        <v>709</v>
      </c>
      <c r="E211" s="3"/>
      <c r="F211" t="s">
        <v>710</v>
      </c>
      <c r="G211" t="e">
        <f ca="1">IMAGE("https://heavenlyouthouse.com/cdn/shop/products/ThymesFrasierFirHandLotion.jpg?v=1612375466")</f>
        <v>#NAME?</v>
      </c>
      <c r="H211" t="e">
        <f ca="1">IMAGE("https://m.media-amazon.com/images/I/61cyQa0bwAL._AC_UL320_.jpg")</f>
        <v>#NAME?</v>
      </c>
      <c r="I211" t="s">
        <v>86</v>
      </c>
      <c r="J211">
        <v>28</v>
      </c>
      <c r="K211" s="2" t="s">
        <v>707</v>
      </c>
      <c r="L211">
        <v>4.5999999999999996</v>
      </c>
      <c r="M211">
        <v>3441</v>
      </c>
      <c r="O211" t="s">
        <v>39</v>
      </c>
      <c r="P211" t="s">
        <v>39</v>
      </c>
      <c r="Q211" t="s">
        <v>711</v>
      </c>
    </row>
    <row r="212" spans="1:17" ht="15.75" x14ac:dyDescent="0.25">
      <c r="A212" s="3" t="str">
        <f>HYPERLINK("https://heavenlyouthouse.com/products/eucalyptus-hand-lotion?variant=31706511114329", "https://heavenlyouthouse.com/products/eucalyptus-hand-lotion?variant=31706511114329")</f>
        <v>https://heavenlyouthouse.com/products/eucalyptus-hand-lotion?variant=31706511114329</v>
      </c>
      <c r="B212" s="3" t="str">
        <f>HYPERLINK("https://heavenlyouthouse.com/products/eucalyptus-hand-lotion", "https://heavenlyouthouse.com/products/eucalyptus-hand-lotion")</f>
        <v>https://heavenlyouthouse.com/products/eucalyptus-hand-lotion</v>
      </c>
      <c r="C212" t="s">
        <v>552</v>
      </c>
      <c r="D212" t="s">
        <v>712</v>
      </c>
      <c r="E212" s="3" t="str">
        <f>HYPERLINK("https://www.amazon.com/Thymes-Eucalyptus-Lotion-Moisturizing-Rejuvenating/dp/B0029F2HO6/ref=sr_1_4?keywords=Thymes+Eucalyptus+Hand+Lotion&amp;qid=1695258716&amp;sr=8-4", "https://www.amazon.com/Thymes-Eucalyptus-Lotion-Moisturizing-Rejuvenating/dp/B0029F2HO6/ref=sr_1_4?keywords=Thymes+Eucalyptus+Hand+Lotion&amp;qid=1695258716&amp;sr=8-4")</f>
        <v>https://www.amazon.com/Thymes-Eucalyptus-Lotion-Moisturizing-Rejuvenating/dp/B0029F2HO6/ref=sr_1_4?keywords=Thymes+Eucalyptus+Hand+Lotion&amp;qid=1695258716&amp;sr=8-4</v>
      </c>
      <c r="F212" t="s">
        <v>713</v>
      </c>
      <c r="G212" t="e">
        <f ca="1">IMAGE("https://heavenlyouthouse.com/cdn/shop/products/thymes-eucalyptus-hand-lotion_e875e475-4a24-4858-9caa-3b33b83cdd22.png?v=1652276792")</f>
        <v>#NAME?</v>
      </c>
      <c r="H212" t="e">
        <f ca="1">IMAGE("https://m.media-amazon.com/images/I/61YpbCFiyNL._AC_UL320_.jpg")</f>
        <v>#NAME?</v>
      </c>
      <c r="I212" t="s">
        <v>86</v>
      </c>
      <c r="J212">
        <v>28</v>
      </c>
      <c r="K212" s="2" t="s">
        <v>707</v>
      </c>
      <c r="L212">
        <v>4.5999999999999996</v>
      </c>
      <c r="M212">
        <v>2417</v>
      </c>
      <c r="O212" t="s">
        <v>136</v>
      </c>
      <c r="P212" t="s">
        <v>39</v>
      </c>
      <c r="Q212" t="s">
        <v>553</v>
      </c>
    </row>
    <row r="213" spans="1:17" ht="15.75" x14ac:dyDescent="0.25">
      <c r="A213" s="3" t="str">
        <f>HYPERLINK("https://heavenlyouthouse.com/products/eucalyptus-hand-lotion?variant=31706511114329", "https://heavenlyouthouse.com/products/eucalyptus-hand-lotion?variant=31706511114329")</f>
        <v>https://heavenlyouthouse.com/products/eucalyptus-hand-lotion?variant=31706511114329</v>
      </c>
      <c r="B213" s="3" t="str">
        <f>HYPERLINK("https://heavenlyouthouse.com/products/eucalyptus-hand-lotion", "https://heavenlyouthouse.com/products/eucalyptus-hand-lotion")</f>
        <v>https://heavenlyouthouse.com/products/eucalyptus-hand-lotion</v>
      </c>
      <c r="C213" t="s">
        <v>552</v>
      </c>
      <c r="D213" t="s">
        <v>714</v>
      </c>
      <c r="E213" s="3" t="str">
        <f>HYPERLINK("https://www.amazon.com/Thymes-Body-Scrub-FL-Eucalyptus/dp/B09HL8RKVG/ref=sr_1_9?keywords=Thymes+Eucalyptus+Hand+Lotion&amp;qid=1695258716&amp;sr=8-9", "https://www.amazon.com/Thymes-Body-Scrub-FL-Eucalyptus/dp/B09HL8RKVG/ref=sr_1_9?keywords=Thymes+Eucalyptus+Hand+Lotion&amp;qid=1695258716&amp;sr=8-9")</f>
        <v>https://www.amazon.com/Thymes-Body-Scrub-FL-Eucalyptus/dp/B09HL8RKVG/ref=sr_1_9?keywords=Thymes+Eucalyptus+Hand+Lotion&amp;qid=1695258716&amp;sr=8-9</v>
      </c>
      <c r="F213" t="s">
        <v>715</v>
      </c>
      <c r="G213" t="e">
        <f ca="1">IMAGE("https://heavenlyouthouse.com/cdn/shop/products/thymes-eucalyptus-hand-lotion_e875e475-4a24-4858-9caa-3b33b83cdd22.png?v=1652276792")</f>
        <v>#NAME?</v>
      </c>
      <c r="H213" t="e">
        <f ca="1">IMAGE("https://m.media-amazon.com/images/I/614szqRXE4L._AC_UL320_.jpg")</f>
        <v>#NAME?</v>
      </c>
      <c r="I213" t="s">
        <v>86</v>
      </c>
      <c r="J213">
        <v>28</v>
      </c>
      <c r="K213" s="2" t="s">
        <v>707</v>
      </c>
      <c r="L213">
        <v>4.5999999999999996</v>
      </c>
      <c r="M213">
        <v>34</v>
      </c>
      <c r="O213" t="s">
        <v>136</v>
      </c>
      <c r="P213" t="s">
        <v>39</v>
      </c>
      <c r="Q213" t="s">
        <v>553</v>
      </c>
    </row>
    <row r="214" spans="1:17" ht="15.75" x14ac:dyDescent="0.25">
      <c r="A214" s="3" t="str">
        <f>HYPERLINK("https://heavenlyouthouse.com/products/goldleaf-hand-lotion", "https://heavenlyouthouse.com/products/goldleaf-hand-lotion")</f>
        <v>https://heavenlyouthouse.com/products/goldleaf-hand-lotion</v>
      </c>
      <c r="B214" s="3" t="str">
        <f>HYPERLINK("https://heavenlyouthouse.com/products/goldleaf-hand-lotion", "https://heavenlyouthouse.com/products/goldleaf-hand-lotion")</f>
        <v>https://heavenlyouthouse.com/products/goldleaf-hand-lotion</v>
      </c>
      <c r="C214" t="s">
        <v>483</v>
      </c>
      <c r="D214" t="s">
        <v>716</v>
      </c>
      <c r="E214" s="3" t="str">
        <f>HYPERLINK("https://www.amazon.com/Thymes-Body-Scrub-Goldleaf-Gardenia/dp/B09HLD6STB/ref=sr_1_9?keywords=Thymes+Goldleaf+Hand+Lotion&amp;qid=1695258754&amp;sr=8-9", "https://www.amazon.com/Thymes-Body-Scrub-Goldleaf-Gardenia/dp/B09HLD6STB/ref=sr_1_9?keywords=Thymes+Goldleaf+Hand+Lotion&amp;qid=1695258754&amp;sr=8-9")</f>
        <v>https://www.amazon.com/Thymes-Body-Scrub-Goldleaf-Gardenia/dp/B09HLD6STB/ref=sr_1_9?keywords=Thymes+Goldleaf+Hand+Lotion&amp;qid=1695258754&amp;sr=8-9</v>
      </c>
      <c r="F214" t="s">
        <v>717</v>
      </c>
      <c r="G214" t="e">
        <f ca="1">IMAGE("https://heavenlyouthouse.com/cdn/shop/products/thymes-goldleaf-perfumed-hand-lotion_dd6a35dd-31ad-4f2b-818b-b81ebf314b0f.png?v=1652276946")</f>
        <v>#NAME?</v>
      </c>
      <c r="H214" t="e">
        <f ca="1">IMAGE("https://m.media-amazon.com/images/I/61IxVU-jzLL._AC_UL320_.jpg")</f>
        <v>#NAME?</v>
      </c>
      <c r="I214" t="s">
        <v>86</v>
      </c>
      <c r="J214">
        <v>28</v>
      </c>
      <c r="K214" s="2" t="s">
        <v>707</v>
      </c>
      <c r="L214">
        <v>4.5999999999999996</v>
      </c>
      <c r="M214">
        <v>34</v>
      </c>
      <c r="O214" t="s">
        <v>39</v>
      </c>
      <c r="P214" t="s">
        <v>484</v>
      </c>
      <c r="Q214" t="s">
        <v>485</v>
      </c>
    </row>
    <row r="215" spans="1:17" ht="15.75" x14ac:dyDescent="0.25">
      <c r="A215" s="3" t="str">
        <f>HYPERLINK("https://heavenlyouthouse.com/products/goldleaf-gardenia-hand-wash", "https://heavenlyouthouse.com/products/goldleaf-gardenia-hand-wash")</f>
        <v>https://heavenlyouthouse.com/products/goldleaf-gardenia-hand-wash</v>
      </c>
      <c r="B215" s="3" t="str">
        <f>HYPERLINK("https://heavenlyouthouse.com/products/goldleaf-gardenia-hand-wash", "https://heavenlyouthouse.com/products/goldleaf-gardenia-hand-wash")</f>
        <v>https://heavenlyouthouse.com/products/goldleaf-gardenia-hand-wash</v>
      </c>
      <c r="C215" t="s">
        <v>475</v>
      </c>
      <c r="D215" t="s">
        <v>718</v>
      </c>
      <c r="E215" s="3" t="str">
        <f>HYPERLINK("https://www.amazon.com/Thymes-Large-Hand-Wash-Goldleaf/dp/B0B75S3PRX/ref=sr_1_1?keywords=Thymes+Goldleaf+Gardenia+Hand+Wash&amp;qid=1695258751&amp;sr=8-1", "https://www.amazon.com/Thymes-Large-Hand-Wash-Goldleaf/dp/B0B75S3PRX/ref=sr_1_1?keywords=Thymes+Goldleaf+Gardenia+Hand+Wash&amp;qid=1695258751&amp;sr=8-1")</f>
        <v>https://www.amazon.com/Thymes-Large-Hand-Wash-Goldleaf/dp/B0B75S3PRX/ref=sr_1_1?keywords=Thymes+Goldleaf+Gardenia+Hand+Wash&amp;qid=1695258751&amp;sr=8-1</v>
      </c>
      <c r="F215" t="s">
        <v>719</v>
      </c>
      <c r="G215" t="e">
        <f ca="1">IMAGE("https://heavenlyouthouse.com/cdn/shop/files/thymes-goldleaf-gardenia-hand-wash.jpg?v=1685637533")</f>
        <v>#NAME?</v>
      </c>
      <c r="H215" t="e">
        <f ca="1">IMAGE("https://m.media-amazon.com/images/I/515X2VGXpNL._AC_UL320_.jpg")</f>
        <v>#NAME?</v>
      </c>
      <c r="I215" t="s">
        <v>86</v>
      </c>
      <c r="J215">
        <v>28</v>
      </c>
      <c r="K215" s="2" t="s">
        <v>707</v>
      </c>
      <c r="L215">
        <v>4.5999999999999996</v>
      </c>
      <c r="M215">
        <v>3441</v>
      </c>
      <c r="O215" t="s">
        <v>39</v>
      </c>
      <c r="P215" t="s">
        <v>39</v>
      </c>
      <c r="Q215" t="s">
        <v>478</v>
      </c>
    </row>
    <row r="216" spans="1:17" ht="15.75" x14ac:dyDescent="0.25">
      <c r="A216" s="3" t="str">
        <f>HYPERLINK("https://heavenlyouthouse.com/products/thymes-washed-linen-hand-wash", "https://heavenlyouthouse.com/products/thymes-washed-linen-hand-wash")</f>
        <v>https://heavenlyouthouse.com/products/thymes-washed-linen-hand-wash</v>
      </c>
      <c r="B216" s="3" t="str">
        <f>HYPERLINK("https://heavenlyouthouse.com/products/thymes-washed-linen-hand-wash", "https://heavenlyouthouse.com/products/thymes-washed-linen-hand-wash")</f>
        <v>https://heavenlyouthouse.com/products/thymes-washed-linen-hand-wash</v>
      </c>
      <c r="C216" t="s">
        <v>720</v>
      </c>
      <c r="D216" t="s">
        <v>721</v>
      </c>
      <c r="E216" s="3" t="str">
        <f>HYPERLINK("https://www.amazon.com/Thymes-Hand-Wash-Washed-Linen/dp/B07NRV8RDF/ref=sr_1_1?keywords=Thymes+Washed+Linen+Hand+Wash&amp;qid=1695258790&amp;sr=8-1", "https://www.amazon.com/Thymes-Hand-Wash-Washed-Linen/dp/B07NRV8RDF/ref=sr_1_1?keywords=Thymes+Washed+Linen+Hand+Wash&amp;qid=1695258790&amp;sr=8-1")</f>
        <v>https://www.amazon.com/Thymes-Hand-Wash-Washed-Linen/dp/B07NRV8RDF/ref=sr_1_1?keywords=Thymes+Washed+Linen+Hand+Wash&amp;qid=1695258790&amp;sr=8-1</v>
      </c>
      <c r="F216" t="s">
        <v>722</v>
      </c>
      <c r="G216" t="e">
        <f ca="1">IMAGE("https://heavenlyouthouse.com/cdn/shop/products/ThymesWashedLinenhandwash.jpg?v=1613174268")</f>
        <v>#NAME?</v>
      </c>
      <c r="H216" t="e">
        <f ca="1">IMAGE("https://m.media-amazon.com/images/I/616jXsoRmpL._AC_UL320_.jpg")</f>
        <v>#NAME?</v>
      </c>
      <c r="I216" t="s">
        <v>86</v>
      </c>
      <c r="J216">
        <v>28</v>
      </c>
      <c r="K216" s="2" t="s">
        <v>707</v>
      </c>
      <c r="L216">
        <v>4.5999999999999996</v>
      </c>
      <c r="M216">
        <v>3441</v>
      </c>
      <c r="O216" t="s">
        <v>39</v>
      </c>
      <c r="P216" t="s">
        <v>39</v>
      </c>
      <c r="Q216" t="s">
        <v>723</v>
      </c>
    </row>
    <row r="217" spans="1:17" ht="15.75" x14ac:dyDescent="0.25">
      <c r="A217" s="3" t="str">
        <f>HYPERLINK("https://heavenlyouthouse.com/products/thymes-washed-linen-hand-lotion", "https://heavenlyouthouse.com/products/thymes-washed-linen-hand-lotion")</f>
        <v>https://heavenlyouthouse.com/products/thymes-washed-linen-hand-lotion</v>
      </c>
      <c r="B217" s="3" t="str">
        <f>HYPERLINK("https://heavenlyouthouse.com/products/thymes-washed-linen-hand-lotion", "https://heavenlyouthouse.com/products/thymes-washed-linen-hand-lotion")</f>
        <v>https://heavenlyouthouse.com/products/thymes-washed-linen-hand-lotion</v>
      </c>
      <c r="C217" t="s">
        <v>724</v>
      </c>
      <c r="D217" t="s">
        <v>721</v>
      </c>
      <c r="E217" s="3" t="str">
        <f>HYPERLINK("https://www.amazon.com/Thymes-Hand-Wash-Washed-Linen/dp/B07NRV8RDF/ref=sr_1_7?keywords=Thymes+Washed+Linen+Hand+Lotion&amp;qid=1695258808&amp;sr=8-7", "https://www.amazon.com/Thymes-Hand-Wash-Washed-Linen/dp/B07NRV8RDF/ref=sr_1_7?keywords=Thymes+Washed+Linen+Hand+Lotion&amp;qid=1695258808&amp;sr=8-7")</f>
        <v>https://www.amazon.com/Thymes-Hand-Wash-Washed-Linen/dp/B07NRV8RDF/ref=sr_1_7?keywords=Thymes+Washed+Linen+Hand+Lotion&amp;qid=1695258808&amp;sr=8-7</v>
      </c>
      <c r="F217" t="s">
        <v>722</v>
      </c>
      <c r="G217" t="e">
        <f ca="1">IMAGE("https://heavenlyouthouse.com/cdn/shop/products/ThymesWashedLinenhandlotion.jpg?v=1613174357")</f>
        <v>#NAME?</v>
      </c>
      <c r="H217" t="e">
        <f ca="1">IMAGE("https://m.media-amazon.com/images/I/616jXsoRmpL._AC_UL320_.jpg")</f>
        <v>#NAME?</v>
      </c>
      <c r="I217" t="s">
        <v>86</v>
      </c>
      <c r="J217">
        <v>28</v>
      </c>
      <c r="K217" s="2" t="s">
        <v>707</v>
      </c>
      <c r="L217">
        <v>4.5999999999999996</v>
      </c>
      <c r="M217">
        <v>3441</v>
      </c>
      <c r="O217" t="s">
        <v>39</v>
      </c>
      <c r="P217" t="s">
        <v>39</v>
      </c>
      <c r="Q217" t="s">
        <v>725</v>
      </c>
    </row>
    <row r="218" spans="1:17" ht="15.75" x14ac:dyDescent="0.25">
      <c r="A218" s="3" t="str">
        <f>HYPERLINK("https://heavenlyouthouse.com/products/thymes-lemon-leaf-basil-hand-lotion", "https://heavenlyouthouse.com/products/thymes-lemon-leaf-basil-hand-lotion")</f>
        <v>https://heavenlyouthouse.com/products/thymes-lemon-leaf-basil-hand-lotion</v>
      </c>
      <c r="B218" s="3" t="str">
        <f>HYPERLINK("https://heavenlyouthouse.com/products/thymes-lemon-leaf-basil-hand-lotion", "https://heavenlyouthouse.com/products/thymes-lemon-leaf-basil-hand-lotion")</f>
        <v>https://heavenlyouthouse.com/products/thymes-lemon-leaf-basil-hand-lotion</v>
      </c>
      <c r="C218" t="s">
        <v>726</v>
      </c>
      <c r="D218" t="s">
        <v>727</v>
      </c>
      <c r="E218" s="3" t="str">
        <f>HYPERLINK("https://www.amazon.com/Thymes-Petite-Perfumed-Cr%C3%A8me-Parent/dp/B073Z3VMFX/ref=sr_1_8?keywords=Thymes+Lemon+Leaf+Hand+Lotion&amp;qid=1695258774&amp;sr=8-8", "https://www.amazon.com/Thymes-Petite-Perfumed-Cr%C3%A8me-Parent/dp/B073Z3VMFX/ref=sr_1_8?keywords=Thymes+Lemon+Leaf+Hand+Lotion&amp;qid=1695258774&amp;sr=8-8")</f>
        <v>https://www.amazon.com/Thymes-Petite-Perfumed-Cr%C3%A8me-Parent/dp/B073Z3VMFX/ref=sr_1_8?keywords=Thymes+Lemon+Leaf+Hand+Lotion&amp;qid=1695258774&amp;sr=8-8</v>
      </c>
      <c r="F218" t="s">
        <v>728</v>
      </c>
      <c r="G218" t="e">
        <f ca="1">IMAGE("https://heavenlyouthouse.com/cdn/shop/products/ThymesLemonLeafhandlotion.jpg?v=1613092448")</f>
        <v>#NAME?</v>
      </c>
      <c r="H218" t="e">
        <f ca="1">IMAGE("https://m.media-amazon.com/images/I/71C0-WYNaSL._AC_UL320_.jpg")</f>
        <v>#NAME?</v>
      </c>
      <c r="I218" t="s">
        <v>86</v>
      </c>
      <c r="J218">
        <v>28</v>
      </c>
      <c r="K218" s="2" t="s">
        <v>707</v>
      </c>
      <c r="L218">
        <v>4.5999999999999996</v>
      </c>
      <c r="M218">
        <v>2417</v>
      </c>
      <c r="O218" t="s">
        <v>39</v>
      </c>
      <c r="P218" t="s">
        <v>39</v>
      </c>
      <c r="Q218" t="s">
        <v>729</v>
      </c>
    </row>
    <row r="219" spans="1:17" ht="15.75" x14ac:dyDescent="0.25">
      <c r="A219" s="3" t="str">
        <f>HYPERLINK("https://heavenlyouthouse.com/products/thymes-washed-linen-hand-lotion", "https://heavenlyouthouse.com/products/thymes-washed-linen-hand-lotion")</f>
        <v>https://heavenlyouthouse.com/products/thymes-washed-linen-hand-lotion</v>
      </c>
      <c r="B219" s="3" t="str">
        <f>HYPERLINK("https://heavenlyouthouse.com/products/thymes-washed-linen-hand-lotion", "https://heavenlyouthouse.com/products/thymes-washed-linen-hand-lotion")</f>
        <v>https://heavenlyouthouse.com/products/thymes-washed-linen-hand-lotion</v>
      </c>
      <c r="C219" t="s">
        <v>724</v>
      </c>
      <c r="D219" t="s">
        <v>721</v>
      </c>
      <c r="E219" s="3"/>
      <c r="F219" t="s">
        <v>722</v>
      </c>
      <c r="G219" t="e">
        <f ca="1">IMAGE("https://heavenlyouthouse.com/cdn/shop/products/ThymesWashedLinenhandlotion.jpg?v=1613174357")</f>
        <v>#NAME?</v>
      </c>
      <c r="H219" t="e">
        <f ca="1">IMAGE("https://m.media-amazon.com/images/I/616jXsoRmpL._AC_UL320_.jpg")</f>
        <v>#NAME?</v>
      </c>
      <c r="I219" t="s">
        <v>86</v>
      </c>
      <c r="J219">
        <v>28</v>
      </c>
      <c r="K219" s="2" t="s">
        <v>707</v>
      </c>
      <c r="L219">
        <v>4.5999999999999996</v>
      </c>
      <c r="M219">
        <v>3441</v>
      </c>
      <c r="O219" t="s">
        <v>39</v>
      </c>
      <c r="P219" t="s">
        <v>39</v>
      </c>
      <c r="Q219" t="s">
        <v>725</v>
      </c>
    </row>
    <row r="220" spans="1:17" ht="15.75" x14ac:dyDescent="0.25">
      <c r="A220" s="3" t="str">
        <f>HYPERLINK("https://heavenlyouthouse.com/products/thymes-olive-leaf-hand-lotion", "https://heavenlyouthouse.com/products/thymes-olive-leaf-hand-lotion")</f>
        <v>https://heavenlyouthouse.com/products/thymes-olive-leaf-hand-lotion</v>
      </c>
      <c r="B220" s="3" t="str">
        <f>HYPERLINK("https://heavenlyouthouse.com/products/thymes-olive-leaf-hand-lotion", "https://heavenlyouthouse.com/products/thymes-olive-leaf-hand-lotion")</f>
        <v>https://heavenlyouthouse.com/products/thymes-olive-leaf-hand-lotion</v>
      </c>
      <c r="C220" t="s">
        <v>546</v>
      </c>
      <c r="D220" t="s">
        <v>727</v>
      </c>
      <c r="E220" s="3" t="str">
        <f>HYPERLINK("https://www.amazon.com/Thymes-Petite-Perfumed-Cr%C3%A8me-Parent/dp/B073Z3VMFX/ref=sr_1_3?keywords=Thymes+Olive+Leaf+Hand+Lotion&amp;qid=1695258785&amp;sr=8-3", "https://www.amazon.com/Thymes-Petite-Perfumed-Cr%C3%A8me-Parent/dp/B073Z3VMFX/ref=sr_1_3?keywords=Thymes+Olive+Leaf+Hand+Lotion&amp;qid=1695258785&amp;sr=8-3")</f>
        <v>https://www.amazon.com/Thymes-Petite-Perfumed-Cr%C3%A8me-Parent/dp/B073Z3VMFX/ref=sr_1_3?keywords=Thymes+Olive+Leaf+Hand+Lotion&amp;qid=1695258785&amp;sr=8-3</v>
      </c>
      <c r="F220" t="s">
        <v>728</v>
      </c>
      <c r="G220" t="e">
        <f ca="1">IMAGE("https://heavenlyouthouse.com/cdn/shop/products/Olive-Leaf-Hand-Lotion.jpg?v=1633124000")</f>
        <v>#NAME?</v>
      </c>
      <c r="H220" t="e">
        <f ca="1">IMAGE("https://m.media-amazon.com/images/I/71C0-WYNaSL._AC_UL320_.jpg")</f>
        <v>#NAME?</v>
      </c>
      <c r="I220" t="s">
        <v>86</v>
      </c>
      <c r="J220">
        <v>28</v>
      </c>
      <c r="K220" s="2" t="s">
        <v>707</v>
      </c>
      <c r="L220">
        <v>4.5999999999999996</v>
      </c>
      <c r="M220">
        <v>2417</v>
      </c>
      <c r="O220" t="s">
        <v>39</v>
      </c>
      <c r="P220" t="s">
        <v>39</v>
      </c>
      <c r="Q220" t="s">
        <v>549</v>
      </c>
    </row>
    <row r="221" spans="1:17" ht="15.75" x14ac:dyDescent="0.25">
      <c r="A221" s="3" t="str">
        <f>HYPERLINK("https://heavenlyouthouse.com/products/variety-pack-cocktail-bombs?variant=39387715469401", "https://heavenlyouthouse.com/products/variety-pack-cocktail-bombs?variant=39387715469401")</f>
        <v>https://heavenlyouthouse.com/products/variety-pack-cocktail-bombs?variant=39387715469401</v>
      </c>
      <c r="B221" s="3" t="str">
        <f>HYPERLINK("https://heavenlyouthouse.com/products/variety-pack-cocktail-bombs", "https://heavenlyouthouse.com/products/variety-pack-cocktail-bombs")</f>
        <v>https://heavenlyouthouse.com/products/variety-pack-cocktail-bombs</v>
      </c>
      <c r="C221" t="s">
        <v>730</v>
      </c>
      <c r="D221" t="s">
        <v>731</v>
      </c>
      <c r="E221" s="3" t="str">
        <f>HYPERLINK("https://www.amazon.com/MyDrinkBomb-Cocktail-Bombs-Party-Mocktail/dp/B09B81QP69/ref=sr_1_1?keywords=Variety+Pack+Cocktail+Bombs&amp;qid=1695258815&amp;sr=8-1", "https://www.amazon.com/MyDrinkBomb-Cocktail-Bombs-Party-Mocktail/dp/B09B81QP69/ref=sr_1_1?keywords=Variety+Pack+Cocktail+Bombs&amp;qid=1695258815&amp;sr=8-1")</f>
        <v>https://www.amazon.com/MyDrinkBomb-Cocktail-Bombs-Party-Mocktail/dp/B09B81QP69/ref=sr_1_1?keywords=Variety+Pack+Cocktail+Bombs&amp;qid=1695258815&amp;sr=8-1</v>
      </c>
      <c r="F221" t="s">
        <v>732</v>
      </c>
      <c r="G221" t="e">
        <f ca="1">IMAGE("https://heavenlyouthouse.com/cdn/shop/products/cocktail-bombs-variety-pack.jpg?v=1626724745")</f>
        <v>#NAME?</v>
      </c>
      <c r="H221" t="e">
        <f ca="1">IMAGE("https://m.media-amazon.com/images/I/71bk3sdSs1L._AC_UL320_.jpg")</f>
        <v>#NAME?</v>
      </c>
      <c r="I221" t="s">
        <v>286</v>
      </c>
      <c r="J221">
        <v>39.950000000000003</v>
      </c>
      <c r="K221" s="2" t="s">
        <v>733</v>
      </c>
      <c r="L221">
        <v>3.6</v>
      </c>
      <c r="M221">
        <v>83</v>
      </c>
      <c r="O221" t="s">
        <v>136</v>
      </c>
      <c r="P221" t="s">
        <v>288</v>
      </c>
      <c r="Q221" t="s">
        <v>734</v>
      </c>
    </row>
    <row r="222" spans="1:17" ht="15.75" x14ac:dyDescent="0.25">
      <c r="A222" s="3" t="str">
        <f>HYPERLINK("https://heavenlyouthouse.com/products/rosemary-mint-body-lotion", "https://heavenlyouthouse.com/products/rosemary-mint-body-lotion")</f>
        <v>https://heavenlyouthouse.com/products/rosemary-mint-body-lotion</v>
      </c>
      <c r="B222" s="3" t="str">
        <f>HYPERLINK("https://heavenlyouthouse.com/products/rosemary-mint-body-lotion", "https://heavenlyouthouse.com/products/rosemary-mint-body-lotion")</f>
        <v>https://heavenlyouthouse.com/products/rosemary-mint-body-lotion</v>
      </c>
      <c r="C222" t="s">
        <v>664</v>
      </c>
      <c r="D222" t="s">
        <v>735</v>
      </c>
      <c r="E222" s="3" t="str">
        <f>HYPERLINK("https://www.amazon.com/Mint-Rosemary-Hand-Body-Lotion/dp/B081PP5DWY/ref=sr_1_10?keywords=Rosemary+Mint+Body+Lotion&amp;qid=1695258667&amp;sr=8-10", "https://www.amazon.com/Mint-Rosemary-Hand-Body-Lotion/dp/B081PP5DWY/ref=sr_1_10?keywords=Rosemary+Mint+Body+Lotion&amp;qid=1695258667&amp;sr=8-10")</f>
        <v>https://www.amazon.com/Mint-Rosemary-Hand-Body-Lotion/dp/B081PP5DWY/ref=sr_1_10?keywords=Rosemary+Mint+Body+Lotion&amp;qid=1695258667&amp;sr=8-10</v>
      </c>
      <c r="F222" t="s">
        <v>736</v>
      </c>
      <c r="G222" t="e">
        <f ca="1">IMAGE("https://heavenlyouthouse.com/cdn/shop/products/RosemaryMint-OatLotion.webp?v=1681505156")</f>
        <v>#NAME?</v>
      </c>
      <c r="H222" t="e">
        <f ca="1">IMAGE("https://m.media-amazon.com/images/I/31ruVNdolcL._AC_UL320_.jpg")</f>
        <v>#NAME?</v>
      </c>
      <c r="I222" t="s">
        <v>399</v>
      </c>
      <c r="J222">
        <v>28</v>
      </c>
      <c r="K222" s="2" t="s">
        <v>733</v>
      </c>
      <c r="L222">
        <v>3.4</v>
      </c>
      <c r="M222">
        <v>4</v>
      </c>
      <c r="O222" t="s">
        <v>39</v>
      </c>
      <c r="P222" t="s">
        <v>39</v>
      </c>
      <c r="Q222" t="s">
        <v>667</v>
      </c>
    </row>
    <row r="223" spans="1:17" ht="15.75" x14ac:dyDescent="0.25">
      <c r="A223" s="3" t="str">
        <f>HYPERLINK("https://heavenlyouthouse.com/products/vanilla-coconut-lip-butter", "https://heavenlyouthouse.com/products/vanilla-coconut-lip-butter")</f>
        <v>https://heavenlyouthouse.com/products/vanilla-coconut-lip-butter</v>
      </c>
      <c r="B223" s="3" t="str">
        <f>HYPERLINK("https://heavenlyouthouse.com/products/vanilla-coconut-lip-butter", "https://heavenlyouthouse.com/products/vanilla-coconut-lip-butter")</f>
        <v>https://heavenlyouthouse.com/products/vanilla-coconut-lip-butter</v>
      </c>
      <c r="C223" t="s">
        <v>179</v>
      </c>
      <c r="D223" t="s">
        <v>737</v>
      </c>
      <c r="E223" s="3" t="str">
        <f>HYPERLINK("https://www.amazon.com/Burts-Bees-Natural-Moisturizing-Multipack/dp/B07ZPDPKN2/ref=sr_1_6?keywords=Vanilla+Coconut+Lip+Butter&amp;qid=1695258806&amp;sr=8-6", "https://www.amazon.com/Burts-Bees-Natural-Moisturizing-Multipack/dp/B07ZPDPKN2/ref=sr_1_6?keywords=Vanilla+Coconut+Lip+Butter&amp;qid=1695258806&amp;sr=8-6")</f>
        <v>https://www.amazon.com/Burts-Bees-Natural-Moisturizing-Multipack/dp/B07ZPDPKN2/ref=sr_1_6?keywords=Vanilla+Coconut+Lip+Butter&amp;qid=1695258806&amp;sr=8-6</v>
      </c>
      <c r="F223" t="s">
        <v>738</v>
      </c>
      <c r="G223" t="e">
        <f ca="1">IMAGE("https://heavenlyouthouse.com/cdn/shop/products/vanilla_coconut_lip_butter_2000x_a349e62e-0577-4340-b194-e2f9012f9936.jpg?v=1587831837")</f>
        <v>#NAME?</v>
      </c>
      <c r="H223" t="e">
        <f ca="1">IMAGE("https://m.media-amazon.com/images/I/81n2Y9hli8L._AC_UL320_.jpg")</f>
        <v>#NAME?</v>
      </c>
      <c r="I223" t="s">
        <v>92</v>
      </c>
      <c r="J223">
        <v>10.49</v>
      </c>
      <c r="K223" s="2" t="s">
        <v>739</v>
      </c>
      <c r="L223">
        <v>4.8</v>
      </c>
      <c r="M223">
        <v>85844</v>
      </c>
      <c r="O223" t="s">
        <v>39</v>
      </c>
      <c r="P223" t="s">
        <v>39</v>
      </c>
      <c r="Q223" t="s">
        <v>183</v>
      </c>
    </row>
    <row r="224" spans="1:17" ht="15.75" x14ac:dyDescent="0.25">
      <c r="A224" s="3" t="str">
        <f>HYPERLINK("https://heavenlyouthouse.com/products/vanilla-coconut-bubble-bath", "https://heavenlyouthouse.com/products/vanilla-coconut-bubble-bath")</f>
        <v>https://heavenlyouthouse.com/products/vanilla-coconut-bubble-bath</v>
      </c>
      <c r="B224" s="3" t="str">
        <f>HYPERLINK("https://heavenlyouthouse.com/products/vanilla-coconut-bubble-bath", "https://heavenlyouthouse.com/products/vanilla-coconut-bubble-bath")</f>
        <v>https://heavenlyouthouse.com/products/vanilla-coconut-bubble-bath</v>
      </c>
      <c r="C224" t="s">
        <v>230</v>
      </c>
      <c r="D224" t="s">
        <v>740</v>
      </c>
      <c r="E224" s="3" t="str">
        <f>HYPERLINK("https://www.amazon.com/Deep-Steep-Bubble-Vanilla-Coconut/dp/B08BZSN1XC/ref=sr_1_2?keywords=Vanilla+Coconut+Bubble+Bath&amp;qid=1695258805&amp;sr=8-2", "https://www.amazon.com/Deep-Steep-Bubble-Vanilla-Coconut/dp/B08BZSN1XC/ref=sr_1_2?keywords=Vanilla+Coconut+Bubble+Bath&amp;qid=1695258805&amp;sr=8-2")</f>
        <v>https://www.amazon.com/Deep-Steep-Bubble-Vanilla-Coconut/dp/B08BZSN1XC/ref=sr_1_2?keywords=Vanilla+Coconut+Bubble+Bath&amp;qid=1695258805&amp;sr=8-2</v>
      </c>
      <c r="F224" t="s">
        <v>741</v>
      </c>
      <c r="G224" t="e">
        <f ca="1">IMAGE("https://heavenlyouthouse.com/cdn/shop/products/Vanilla-Coconut_Bubble-Bath_2048_2000x_48bd3f10-44c5-4b84-8976-395bada0d7d1.jpg?v=1588959777")</f>
        <v>#NAME?</v>
      </c>
      <c r="H224" t="e">
        <f ca="1">IMAGE("https://m.media-amazon.com/images/I/71ezVHuH2pL._AC_UL320_.jpg")</f>
        <v>#NAME?</v>
      </c>
      <c r="I224" t="s">
        <v>233</v>
      </c>
      <c r="J224">
        <v>20.95</v>
      </c>
      <c r="K224" s="2" t="s">
        <v>742</v>
      </c>
      <c r="L224">
        <v>4.5</v>
      </c>
      <c r="M224">
        <v>502</v>
      </c>
      <c r="O224" t="s">
        <v>39</v>
      </c>
      <c r="P224" t="s">
        <v>39</v>
      </c>
      <c r="Q224" t="s">
        <v>235</v>
      </c>
    </row>
    <row r="225" spans="1:17" ht="15.75" x14ac:dyDescent="0.25">
      <c r="A225" s="3" t="str">
        <f>HYPERLINK("https://heavenlyouthouse.com/products/purifying-toner", "https://heavenlyouthouse.com/products/purifying-toner")</f>
        <v>https://heavenlyouthouse.com/products/purifying-toner</v>
      </c>
      <c r="B225" s="3" t="str">
        <f>HYPERLINK("https://heavenlyouthouse.com/products/purifying-toner", "https://heavenlyouthouse.com/products/purifying-toner")</f>
        <v>https://heavenlyouthouse.com/products/purifying-toner</v>
      </c>
      <c r="C225" t="s">
        <v>743</v>
      </c>
      <c r="D225" t="s">
        <v>744</v>
      </c>
      <c r="E225" s="3" t="str">
        <f>HYPERLINK("https://www.amazon.com/Kaya-Skin-Clinic-Purifying-Toner/dp/B008KH68GA/ref=sr_1_5?keywords=Purifying+Toner+100ml&amp;qid=1695258664&amp;sr=8-5", "https://www.amazon.com/Kaya-Skin-Clinic-Purifying-Toner/dp/B008KH68GA/ref=sr_1_5?keywords=Purifying+Toner+100ml&amp;qid=1695258664&amp;sr=8-5")</f>
        <v>https://www.amazon.com/Kaya-Skin-Clinic-Purifying-Toner/dp/B008KH68GA/ref=sr_1_5?keywords=Purifying+Toner+100ml&amp;qid=1695258664&amp;sr=8-5</v>
      </c>
      <c r="F225" t="s">
        <v>745</v>
      </c>
      <c r="G225" t="e">
        <f ca="1">IMAGE("https://heavenlyouthouse.com/cdn/shop/products/purifying-toner_2000x_924c0e25-86a9-4f23-b46b-c4d5dc969d08.jpg?v=1587062212")</f>
        <v>#NAME?</v>
      </c>
      <c r="H225" t="e">
        <f ca="1">IMAGE("https://m.media-amazon.com/images/I/61gmEERVOHL._AC_UL320_.jpg")</f>
        <v>#NAME?</v>
      </c>
      <c r="I225" t="s">
        <v>746</v>
      </c>
      <c r="J225">
        <v>35</v>
      </c>
      <c r="K225" s="2" t="s">
        <v>747</v>
      </c>
      <c r="L225">
        <v>3.9</v>
      </c>
      <c r="M225">
        <v>2179</v>
      </c>
      <c r="O225" t="s">
        <v>39</v>
      </c>
      <c r="P225" t="s">
        <v>748</v>
      </c>
      <c r="Q225" t="s">
        <v>749</v>
      </c>
    </row>
    <row r="226" spans="1:17" ht="15.75" x14ac:dyDescent="0.25">
      <c r="A226" s="3" t="str">
        <f>HYPERLINK("https://heavenlyouthouse.com/products/vanilla-coconut-bubble-bath", "https://heavenlyouthouse.com/products/vanilla-coconut-bubble-bath")</f>
        <v>https://heavenlyouthouse.com/products/vanilla-coconut-bubble-bath</v>
      </c>
      <c r="B226" s="3" t="str">
        <f>HYPERLINK("https://heavenlyouthouse.com/products/vanilla-coconut-bubble-bath", "https://heavenlyouthouse.com/products/vanilla-coconut-bubble-bath")</f>
        <v>https://heavenlyouthouse.com/products/vanilla-coconut-bubble-bath</v>
      </c>
      <c r="C226" t="s">
        <v>230</v>
      </c>
      <c r="D226" t="s">
        <v>750</v>
      </c>
      <c r="E226" s="3" t="str">
        <f>HYPERLINK("https://www.amazon.com/Creamy-Coconut-Collagen-Powder-Moisturize/dp/B0B6N37J6V/ref=sr_1_5?keywords=Vanilla+Coconut+Bubble+Bath&amp;qid=1695258805&amp;sr=8-5", "https://www.amazon.com/Creamy-Coconut-Collagen-Powder-Moisturize/dp/B0B6N37J6V/ref=sr_1_5?keywords=Vanilla+Coconut+Bubble+Bath&amp;qid=1695258805&amp;sr=8-5")</f>
        <v>https://www.amazon.com/Creamy-Coconut-Collagen-Powder-Moisturize/dp/B0B6N37J6V/ref=sr_1_5?keywords=Vanilla+Coconut+Bubble+Bath&amp;qid=1695258805&amp;sr=8-5</v>
      </c>
      <c r="F226" t="s">
        <v>751</v>
      </c>
      <c r="G226" t="e">
        <f ca="1">IMAGE("https://heavenlyouthouse.com/cdn/shop/products/Vanilla-Coconut_Bubble-Bath_2048_2000x_48bd3f10-44c5-4b84-8976-395bada0d7d1.jpg?v=1588959777")</f>
        <v>#NAME?</v>
      </c>
      <c r="H226" t="e">
        <f ca="1">IMAGE("https://m.media-amazon.com/images/I/61WJVJk4wVL._AC_UL320_.jpg")</f>
        <v>#NAME?</v>
      </c>
      <c r="I226" t="s">
        <v>233</v>
      </c>
      <c r="J226">
        <v>20.69</v>
      </c>
      <c r="K226" s="2" t="s">
        <v>752</v>
      </c>
      <c r="L226">
        <v>4.4000000000000004</v>
      </c>
      <c r="M226">
        <v>149</v>
      </c>
      <c r="O226" t="s">
        <v>39</v>
      </c>
      <c r="P226" t="s">
        <v>39</v>
      </c>
      <c r="Q226" t="s">
        <v>235</v>
      </c>
    </row>
    <row r="227" spans="1:17" ht="15.75" x14ac:dyDescent="0.25">
      <c r="A227" s="3" t="str">
        <f>HYPERLINK("https://heavenlyouthouse.com/products/vanilla-coconut-bath-salts-jar", "https://heavenlyouthouse.com/products/vanilla-coconut-bath-salts-jar")</f>
        <v>https://heavenlyouthouse.com/products/vanilla-coconut-bath-salts-jar</v>
      </c>
      <c r="B227" s="3" t="str">
        <f>HYPERLINK("https://heavenlyouthouse.com/products/vanilla-coconut-bath-salts-jar", "https://heavenlyouthouse.com/products/vanilla-coconut-bath-salts-jar")</f>
        <v>https://heavenlyouthouse.com/products/vanilla-coconut-bath-salts-jar</v>
      </c>
      <c r="C227" t="s">
        <v>753</v>
      </c>
      <c r="D227" t="s">
        <v>754</v>
      </c>
      <c r="E227" s="3" t="str">
        <f>HYPERLINK("https://www.amazon.com/Lovestee-Epsom-Salt-Gift-Salts/dp/B0BM2CG5SV/ref=sr_1_5?keywords=Vanilla+Coconut+Bath+Salts+Jar&amp;qid=1695258816&amp;sr=8-5", "https://www.amazon.com/Lovestee-Epsom-Salt-Gift-Salts/dp/B0BM2CG5SV/ref=sr_1_5?keywords=Vanilla+Coconut+Bath+Salts+Jar&amp;qid=1695258816&amp;sr=8-5")</f>
        <v>https://www.amazon.com/Lovestee-Epsom-Salt-Gift-Salts/dp/B0BM2CG5SV/ref=sr_1_5?keywords=Vanilla+Coconut+Bath+Salts+Jar&amp;qid=1695258816&amp;sr=8-5</v>
      </c>
      <c r="F227" t="s">
        <v>755</v>
      </c>
      <c r="G227" t="e">
        <f ca="1">IMAGE("https://heavenlyouthouse.com/cdn/shop/products/Vanilla-Coconut_Large-Wellness-Salts_2048_2000x_5be79c17-1048-47e9-8057-fa2477f52611.jpg?v=1589466218")</f>
        <v>#NAME?</v>
      </c>
      <c r="H227" t="e">
        <f ca="1">IMAGE("https://m.media-amazon.com/images/I/81ywBhRKRtL._AC_UL320_.jpg")</f>
        <v>#NAME?</v>
      </c>
      <c r="I227" t="s">
        <v>756</v>
      </c>
      <c r="J227">
        <v>31.99</v>
      </c>
      <c r="K227" s="2" t="s">
        <v>757</v>
      </c>
      <c r="L227">
        <v>4.5</v>
      </c>
      <c r="M227">
        <v>26</v>
      </c>
      <c r="O227" t="s">
        <v>39</v>
      </c>
      <c r="P227" t="s">
        <v>39</v>
      </c>
      <c r="Q227" t="s">
        <v>758</v>
      </c>
    </row>
    <row r="228" spans="1:17" ht="15.75" x14ac:dyDescent="0.25">
      <c r="A228" s="3" t="str">
        <f>HYPERLINK("https://heavenlyouthouse.com/products/copy-of-me-time-hand-rescue?variant=32318278107225", "https://heavenlyouthouse.com/products/copy-of-me-time-hand-rescue?variant=32318278107225")</f>
        <v>https://heavenlyouthouse.com/products/copy-of-me-time-hand-rescue?variant=32318278107225</v>
      </c>
      <c r="B228" s="3" t="str">
        <f>HYPERLINK("https://heavenlyouthouse.com/products/copy-of-me-time-hand-rescue", "https://heavenlyouthouse.com/products/copy-of-me-time-hand-rescue")</f>
        <v>https://heavenlyouthouse.com/products/copy-of-me-time-hand-rescue</v>
      </c>
      <c r="C228" t="s">
        <v>438</v>
      </c>
      <c r="D228" t="s">
        <v>278</v>
      </c>
      <c r="E228" s="3" t="str">
        <f>HYPERLINK("https://www.amazon.com/Walton-Wood-Farm-Hand-Rescue/dp/B09WRWX2SN/ref=sr_1_2?keywords=Week+From+Hell+Hand+Rescue&amp;qid=1695258818&amp;sr=8-2", "https://www.amazon.com/Walton-Wood-Farm-Hand-Rescue/dp/B09WRWX2SN/ref=sr_1_2?keywords=Week+From+Hell+Hand+Rescue&amp;qid=1695258818&amp;sr=8-2")</f>
        <v>https://www.amazon.com/Walton-Wood-Farm-Hand-Rescue/dp/B09WRWX2SN/ref=sr_1_2?keywords=Week+From+Hell+Hand+Rescue&amp;qid=1695258818&amp;sr=8-2</v>
      </c>
      <c r="F228" t="s">
        <v>279</v>
      </c>
      <c r="G228" t="e">
        <f ca="1">IMAGE("https://heavenlyouthouse.com/cdn/shop/products/weekfromhellhandrescue.jpg?v=1608166634")</f>
        <v>#NAME?</v>
      </c>
      <c r="H228" t="e">
        <f ca="1">IMAGE("https://m.media-amazon.com/images/I/511GirTHkOL._AC_UL320_.jpg")</f>
        <v>#NAME?</v>
      </c>
      <c r="I228" t="s">
        <v>439</v>
      </c>
      <c r="J228">
        <v>22.95</v>
      </c>
      <c r="K228" s="2" t="s">
        <v>757</v>
      </c>
      <c r="L228">
        <v>5</v>
      </c>
      <c r="M228">
        <v>3</v>
      </c>
      <c r="O228" t="s">
        <v>136</v>
      </c>
      <c r="P228" t="s">
        <v>39</v>
      </c>
      <c r="Q228" t="s">
        <v>440</v>
      </c>
    </row>
    <row r="229" spans="1:17" ht="15.75" x14ac:dyDescent="0.25">
      <c r="A229" s="3" t="str">
        <f>HYPERLINK("https://heavenlyouthouse.com/products/thymes-eucalyptus-surface-scrub", "https://heavenlyouthouse.com/products/thymes-eucalyptus-surface-scrub")</f>
        <v>https://heavenlyouthouse.com/products/thymes-eucalyptus-surface-scrub</v>
      </c>
      <c r="B229" s="3" t="str">
        <f>HYPERLINK("https://heavenlyouthouse.com/products/thymes-eucalyptus-surface-scrub", "https://heavenlyouthouse.com/products/thymes-eucalyptus-surface-scrub")</f>
        <v>https://heavenlyouthouse.com/products/thymes-eucalyptus-surface-scrub</v>
      </c>
      <c r="C229" t="s">
        <v>759</v>
      </c>
      <c r="D229" t="s">
        <v>714</v>
      </c>
      <c r="E229" s="3" t="str">
        <f>HYPERLINK("https://www.amazon.com/Thymes-Body-Scrub-FL-Eucalyptus/dp/B09HL8RKVG/ref=sr_1_1?keywords=Thymes+Eucalyptus+Surface+Scrub&amp;qid=1695258721&amp;sr=8-1", "https://www.amazon.com/Thymes-Body-Scrub-FL-Eucalyptus/dp/B09HL8RKVG/ref=sr_1_1?keywords=Thymes+Eucalyptus+Surface+Scrub&amp;qid=1695258721&amp;sr=8-1")</f>
        <v>https://www.amazon.com/Thymes-Body-Scrub-FL-Eucalyptus/dp/B09HL8RKVG/ref=sr_1_1?keywords=Thymes+Eucalyptus+Surface+Scrub&amp;qid=1695258721&amp;sr=8-1</v>
      </c>
      <c r="F229" t="s">
        <v>715</v>
      </c>
      <c r="G229" t="e">
        <f ca="1">IMAGE("https://heavenlyouthouse.com/cdn/shop/files/thymes-eucalyptus-surface-scrub_300x300.jpg?v=1690996201")</f>
        <v>#NAME?</v>
      </c>
      <c r="H229" t="e">
        <f ca="1">IMAGE("https://m.media-amazon.com/images/I/614szqRXE4L._AC_UL320_.jpg")</f>
        <v>#NAME?</v>
      </c>
      <c r="I229" t="s">
        <v>188</v>
      </c>
      <c r="J229">
        <v>28</v>
      </c>
      <c r="K229" s="2" t="s">
        <v>757</v>
      </c>
      <c r="L229">
        <v>4.5999999999999996</v>
      </c>
      <c r="M229">
        <v>34</v>
      </c>
      <c r="O229" t="s">
        <v>39</v>
      </c>
      <c r="P229" t="s">
        <v>190</v>
      </c>
      <c r="Q229" t="s">
        <v>760</v>
      </c>
    </row>
    <row r="230" spans="1:17" ht="15.75" x14ac:dyDescent="0.25">
      <c r="A230" s="3" t="str">
        <f>HYPERLINK("https://heavenlyouthouse.com/products/thymes-frasier-fir-pine-needle-candle", "https://heavenlyouthouse.com/products/thymes-frasier-fir-pine-needle-candle")</f>
        <v>https://heavenlyouthouse.com/products/thymes-frasier-fir-pine-needle-candle</v>
      </c>
      <c r="B230" s="3" t="str">
        <f>HYPERLINK("https://heavenlyouthouse.com/products/thymes-frasier-fir-pine-needle-candle", "https://heavenlyouthouse.com/products/thymes-frasier-fir-pine-needle-candle")</f>
        <v>https://heavenlyouthouse.com/products/thymes-frasier-fir-pine-needle-candle</v>
      </c>
      <c r="C230" t="s">
        <v>263</v>
      </c>
      <c r="D230" t="s">
        <v>223</v>
      </c>
      <c r="E230" s="3" t="str">
        <f>HYPERLINK("https://www.amazon.com/Thymes-Needle-Frasier-Luminary-Candle/dp/B0B9CDSR3K/ref=sr_1_3?keywords=Thymes+Frasier+Fir+Pine+Needle+Candle&amp;qid=1695258736&amp;sr=8-3", "https://www.amazon.com/Thymes-Needle-Frasier-Luminary-Candle/dp/B0B9CDSR3K/ref=sr_1_3?keywords=Thymes+Frasier+Fir+Pine+Needle+Candle&amp;qid=1695258736&amp;sr=8-3")</f>
        <v>https://www.amazon.com/Thymes-Needle-Frasier-Luminary-Candle/dp/B0B9CDSR3K/ref=sr_1_3?keywords=Thymes+Frasier+Fir+Pine+Needle+Candle&amp;qid=1695258736&amp;sr=8-3</v>
      </c>
      <c r="F230" t="s">
        <v>224</v>
      </c>
      <c r="G230" t="e">
        <f ca="1">IMAGE("https://heavenlyouthouse.com/cdn/shop/products/thymesfrasierfirpineneedlecandle6.5oz.jpg?v=1619632712")</f>
        <v>#NAME?</v>
      </c>
      <c r="H230" t="e">
        <f ca="1">IMAGE("https://m.media-amazon.com/images/I/71YqOVLEPjL._AC_UL320_.jpg")</f>
        <v>#NAME?</v>
      </c>
      <c r="I230" t="s">
        <v>264</v>
      </c>
      <c r="J230">
        <v>56</v>
      </c>
      <c r="K230" s="2" t="s">
        <v>761</v>
      </c>
      <c r="L230">
        <v>5</v>
      </c>
      <c r="M230">
        <v>1</v>
      </c>
      <c r="O230" t="s">
        <v>39</v>
      </c>
      <c r="P230" t="s">
        <v>266</v>
      </c>
      <c r="Q230" t="s">
        <v>267</v>
      </c>
    </row>
    <row r="231" spans="1:17" ht="15.75" x14ac:dyDescent="0.25">
      <c r="A231" s="3" t="str">
        <f>HYPERLINK("https://heavenlyouthouse.com/products/thymes-frasier-fir-votive-candle-set", "https://heavenlyouthouse.com/products/thymes-frasier-fir-votive-candle-set")</f>
        <v>https://heavenlyouthouse.com/products/thymes-frasier-fir-votive-candle-set</v>
      </c>
      <c r="B231" s="3" t="str">
        <f>HYPERLINK("https://heavenlyouthouse.com/products/thymes-frasier-fir-votive-candle-set", "https://heavenlyouthouse.com/products/thymes-frasier-fir-votive-candle-set")</f>
        <v>https://heavenlyouthouse.com/products/thymes-frasier-fir-votive-candle-set</v>
      </c>
      <c r="C231" t="s">
        <v>285</v>
      </c>
      <c r="D231" t="s">
        <v>762</v>
      </c>
      <c r="E231" s="3" t="str">
        <f>HYPERLINK("https://www.amazon.com/Thymes-Frosted-Plaid-Frasier-Candle/dp/B0B9CB8SL9/ref=sr_1_7?keywords=Thymes+Frasier+Fir+Votive+Candle+3+Pack&amp;qid=1695258743&amp;sr=8-7", "https://www.amazon.com/Thymes-Frosted-Plaid-Frasier-Candle/dp/B0B9CB8SL9/ref=sr_1_7?keywords=Thymes+Frasier+Fir+Votive+Candle+3+Pack&amp;qid=1695258743&amp;sr=8-7")</f>
        <v>https://www.amazon.com/Thymes-Frosted-Plaid-Frasier-Candle/dp/B0B9CB8SL9/ref=sr_1_7?keywords=Thymes+Frasier+Fir+Votive+Candle+3+Pack&amp;qid=1695258743&amp;sr=8-7</v>
      </c>
      <c r="F231" t="s">
        <v>763</v>
      </c>
      <c r="G231" t="e">
        <f ca="1">IMAGE("https://heavenlyouthouse.com/cdn/shop/products/thymes-Frasier-Fir-votive-candle-set.jpg?v=1640187779")</f>
        <v>#NAME?</v>
      </c>
      <c r="H231" t="e">
        <f ca="1">IMAGE("https://m.media-amazon.com/images/I/61rJyTHz9KL._AC_UL320_.jpg")</f>
        <v>#NAME?</v>
      </c>
      <c r="I231" t="s">
        <v>286</v>
      </c>
      <c r="J231">
        <v>38</v>
      </c>
      <c r="K231" s="2" t="s">
        <v>761</v>
      </c>
      <c r="L231">
        <v>5</v>
      </c>
      <c r="M231">
        <v>2</v>
      </c>
      <c r="O231" t="s">
        <v>39</v>
      </c>
      <c r="P231" t="s">
        <v>288</v>
      </c>
      <c r="Q231" t="s">
        <v>289</v>
      </c>
    </row>
    <row r="232" spans="1:17" ht="15.75" x14ac:dyDescent="0.25">
      <c r="A232" s="3" t="str">
        <f>HYPERLINK("https://heavenlyouthouse.com/products/winters-a-bear-lip-balm?variant=32318241112153", "https://heavenlyouthouse.com/products/winters-a-bear-lip-balm?variant=32318241112153")</f>
        <v>https://heavenlyouthouse.com/products/winters-a-bear-lip-balm?variant=32318241112153</v>
      </c>
      <c r="B232" s="3" t="str">
        <f>HYPERLINK("https://heavenlyouthouse.com/products/winters-a-bear-lip-balm", "https://heavenlyouthouse.com/products/winters-a-bear-lip-balm")</f>
        <v>https://heavenlyouthouse.com/products/winters-a-bear-lip-balm</v>
      </c>
      <c r="C232" t="s">
        <v>131</v>
      </c>
      <c r="D232" t="s">
        <v>764</v>
      </c>
      <c r="E232" s="3" t="str">
        <f>HYPERLINK("https://www.amazon.com/Lip-Smacker-Sugar-Bear-Grapeful-4-U/dp/B09N7ZCFGP/ref=sr_1_9?keywords=Winters+A+Bear+Lip+Balm&amp;qid=1695258837&amp;rdc=1&amp;sr=8-9", "https://www.amazon.com/Lip-Smacker-Sugar-Bear-Grapeful-4-U/dp/B09N7ZCFGP/ref=sr_1_9?keywords=Winters+A+Bear+Lip+Balm&amp;qid=1695258837&amp;rdc=1&amp;sr=8-9")</f>
        <v>https://www.amazon.com/Lip-Smacker-Sugar-Bear-Grapeful-4-U/dp/B09N7ZCFGP/ref=sr_1_9?keywords=Winters+A+Bear+Lip+Balm&amp;qid=1695258837&amp;rdc=1&amp;sr=8-9</v>
      </c>
      <c r="F232" t="s">
        <v>765</v>
      </c>
      <c r="G232" t="e">
        <f ca="1">IMAGE("https://heavenlyouthouse.com/cdn/shop/products/walton-wood-farm-winter_s-a-bear-lip-balm1.jpg?v=1646851940")</f>
        <v>#NAME?</v>
      </c>
      <c r="H232" t="e">
        <f ca="1">IMAGE("https://m.media-amazon.com/images/I/61mO+t7Vj-L._AC_UL320_.jpg")</f>
        <v>#NAME?</v>
      </c>
      <c r="I232" t="s">
        <v>134</v>
      </c>
      <c r="J232">
        <v>6.25</v>
      </c>
      <c r="K232" s="2" t="s">
        <v>766</v>
      </c>
      <c r="L232">
        <v>4.5999999999999996</v>
      </c>
      <c r="M232">
        <v>509</v>
      </c>
      <c r="O232" t="s">
        <v>136</v>
      </c>
      <c r="P232" t="s">
        <v>39</v>
      </c>
      <c r="Q232" t="s">
        <v>137</v>
      </c>
    </row>
    <row r="233" spans="1:17" ht="15.75" x14ac:dyDescent="0.25">
      <c r="A233" s="3" t="str">
        <f>HYPERLINK("https://heavenlyouthouse.com/products/spotless-stain-remover-soap", "https://heavenlyouthouse.com/products/spotless-stain-remover-soap")</f>
        <v>https://heavenlyouthouse.com/products/spotless-stain-remover-soap</v>
      </c>
      <c r="B233" s="3" t="str">
        <f>HYPERLINK("https://heavenlyouthouse.com/products/spotless-stain-remover-soap", "https://heavenlyouthouse.com/products/spotless-stain-remover-soap")</f>
        <v>https://heavenlyouthouse.com/products/spotless-stain-remover-soap</v>
      </c>
      <c r="C233" t="s">
        <v>195</v>
      </c>
      <c r="D233" t="s">
        <v>767</v>
      </c>
      <c r="E233" s="3" t="str">
        <f>HYPERLINK("https://www.amazon.com/Clothes-Concentrated-Detergent-Cleaning-Effective/dp/B0C4RPGNHQ/ref=sr_1_8?keywords=Spotless+Stain+Remover+Soap&amp;qid=1695258690&amp;sr=8-8", "https://www.amazon.com/Clothes-Concentrated-Detergent-Cleaning-Effective/dp/B0C4RPGNHQ/ref=sr_1_8?keywords=Spotless+Stain+Remover+Soap&amp;qid=1695258690&amp;sr=8-8")</f>
        <v>https://www.amazon.com/Clothes-Concentrated-Detergent-Cleaning-Effective/dp/B0C4RPGNHQ/ref=sr_1_8?keywords=Spotless+Stain+Remover+Soap&amp;qid=1695258690&amp;sr=8-8</v>
      </c>
      <c r="F233" t="s">
        <v>768</v>
      </c>
      <c r="G233" t="e">
        <f ca="1">IMAGE("https://heavenlyouthouse.com/cdn/shop/products/Spotless-Stain-Remover_Bar-Soap_2048_2000x_48b45b5c-ad2d-465e-a102-14922b0c661d.jpg?v=1586803390")</f>
        <v>#NAME?</v>
      </c>
      <c r="H233" t="e">
        <f ca="1">IMAGE("https://m.media-amazon.com/images/I/61EY9+BI8JL._AC_UL320_.jpg")</f>
        <v>#NAME?</v>
      </c>
      <c r="I233" t="s">
        <v>92</v>
      </c>
      <c r="J233">
        <v>10</v>
      </c>
      <c r="K233" s="2" t="s">
        <v>766</v>
      </c>
      <c r="L233">
        <v>4.5999999999999996</v>
      </c>
      <c r="M233">
        <v>29</v>
      </c>
      <c r="O233" t="s">
        <v>39</v>
      </c>
      <c r="P233" t="s">
        <v>24</v>
      </c>
      <c r="Q233" t="s">
        <v>199</v>
      </c>
    </row>
    <row r="234" spans="1:17" ht="15.75" x14ac:dyDescent="0.25">
      <c r="A234" s="3" t="str">
        <f>HYPERLINK("https://heavenlyouthouse.com/products/rosemary-shampoo-bar-soap", "https://heavenlyouthouse.com/products/rosemary-shampoo-bar-soap")</f>
        <v>https://heavenlyouthouse.com/products/rosemary-shampoo-bar-soap</v>
      </c>
      <c r="B234" s="3" t="str">
        <f>HYPERLINK("https://heavenlyouthouse.com/products/rosemary-shampoo-bar-soap", "https://heavenlyouthouse.com/products/rosemary-shampoo-bar-soap")</f>
        <v>https://heavenlyouthouse.com/products/rosemary-shampoo-bar-soap</v>
      </c>
      <c r="C234" t="s">
        <v>290</v>
      </c>
      <c r="D234" t="s">
        <v>769</v>
      </c>
      <c r="E234" s="3" t="str">
        <f>HYPERLINK("https://www.amazon.com/Shampoo-Grapefruit-Rosemary-Lavender-Ingredients/dp/B073X7M383/ref=sr_1_9?keywords=Rosemary+Shampoo+Bar+Soap&amp;qid=1695258676&amp;sr=8-9", "https://www.amazon.com/Shampoo-Grapefruit-Rosemary-Lavender-Ingredients/dp/B073X7M383/ref=sr_1_9?keywords=Rosemary+Shampoo+Bar+Soap&amp;qid=1695258676&amp;sr=8-9")</f>
        <v>https://www.amazon.com/Shampoo-Grapefruit-Rosemary-Lavender-Ingredients/dp/B073X7M383/ref=sr_1_9?keywords=Rosemary+Shampoo+Bar+Soap&amp;qid=1695258676&amp;sr=8-9</v>
      </c>
      <c r="F234" t="s">
        <v>770</v>
      </c>
      <c r="G234" t="e">
        <f ca="1">IMAGE("https://heavenlyouthouse.com/cdn/shop/products/Rosemary-Shampoo-Bar_Bar-Soap_2000x_09aa253a-642f-40e6-b2b3-81ca57f74784.jpg?v=1586802089")</f>
        <v>#NAME?</v>
      </c>
      <c r="H234" t="e">
        <f ca="1">IMAGE("https://m.media-amazon.com/images/I/718Usa+YY4L._AC_UL320_.jpg")</f>
        <v>#NAME?</v>
      </c>
      <c r="I234" t="s">
        <v>92</v>
      </c>
      <c r="J234">
        <v>10</v>
      </c>
      <c r="K234" s="2" t="s">
        <v>766</v>
      </c>
      <c r="L234">
        <v>3.9</v>
      </c>
      <c r="M234">
        <v>985</v>
      </c>
      <c r="O234" t="s">
        <v>39</v>
      </c>
      <c r="P234" t="s">
        <v>39</v>
      </c>
      <c r="Q234" t="s">
        <v>294</v>
      </c>
    </row>
    <row r="235" spans="1:17" ht="15.75" x14ac:dyDescent="0.25">
      <c r="A235" s="3" t="str">
        <f>HYPERLINK("https://heavenlyouthouse.com/products/vanilla-coconut-lip-butter", "https://heavenlyouthouse.com/products/vanilla-coconut-lip-butter")</f>
        <v>https://heavenlyouthouse.com/products/vanilla-coconut-lip-butter</v>
      </c>
      <c r="B235" s="3" t="str">
        <f>HYPERLINK("https://heavenlyouthouse.com/products/vanilla-coconut-lip-butter", "https://heavenlyouthouse.com/products/vanilla-coconut-lip-butter")</f>
        <v>https://heavenlyouthouse.com/products/vanilla-coconut-lip-butter</v>
      </c>
      <c r="C235" t="s">
        <v>179</v>
      </c>
      <c r="D235" t="s">
        <v>771</v>
      </c>
      <c r="E235" s="3" t="str">
        <f>HYPERLINK("https://www.amazon.com/Pacifica-Variety-Coconut-Watermelon-Vanilla/dp/B0B72RW7P1/ref=sr_1_7?keywords=Vanilla+Coconut+Lip+Butter&amp;qid=1695258806&amp;sr=8-7", "https://www.amazon.com/Pacifica-Variety-Coconut-Watermelon-Vanilla/dp/B0B72RW7P1/ref=sr_1_7?keywords=Vanilla+Coconut+Lip+Butter&amp;qid=1695258806&amp;sr=8-7")</f>
        <v>https://www.amazon.com/Pacifica-Variety-Coconut-Watermelon-Vanilla/dp/B0B72RW7P1/ref=sr_1_7?keywords=Vanilla+Coconut+Lip+Butter&amp;qid=1695258806&amp;sr=8-7</v>
      </c>
      <c r="F235" t="s">
        <v>772</v>
      </c>
      <c r="G235" t="e">
        <f ca="1">IMAGE("https://heavenlyouthouse.com/cdn/shop/products/vanilla_coconut_lip_butter_2000x_a349e62e-0577-4340-b194-e2f9012f9936.jpg?v=1587831837")</f>
        <v>#NAME?</v>
      </c>
      <c r="H235" t="e">
        <f ca="1">IMAGE("https://m.media-amazon.com/images/I/81dL19QRNDL._AC_UL320_.jpg")</f>
        <v>#NAME?</v>
      </c>
      <c r="I235" t="s">
        <v>92</v>
      </c>
      <c r="J235">
        <v>9.99</v>
      </c>
      <c r="K235" s="2" t="s">
        <v>766</v>
      </c>
      <c r="L235">
        <v>4.5</v>
      </c>
      <c r="M235">
        <v>325</v>
      </c>
      <c r="O235" t="s">
        <v>39</v>
      </c>
      <c r="P235" t="s">
        <v>39</v>
      </c>
      <c r="Q235" t="s">
        <v>183</v>
      </c>
    </row>
    <row r="236" spans="1:17" ht="15.75" x14ac:dyDescent="0.25">
      <c r="A236" s="3" t="str">
        <f>HYPERLINK("https://heavenlyouthouse.com/products/rosemary-shampoo-bar-soap", "https://heavenlyouthouse.com/products/rosemary-shampoo-bar-soap")</f>
        <v>https://heavenlyouthouse.com/products/rosemary-shampoo-bar-soap</v>
      </c>
      <c r="B236" s="3" t="str">
        <f>HYPERLINK("https://heavenlyouthouse.com/products/rosemary-shampoo-bar-soap", "https://heavenlyouthouse.com/products/rosemary-shampoo-bar-soap")</f>
        <v>https://heavenlyouthouse.com/products/rosemary-shampoo-bar-soap</v>
      </c>
      <c r="C236" t="s">
        <v>290</v>
      </c>
      <c r="D236" t="s">
        <v>773</v>
      </c>
      <c r="E236" s="3" t="str">
        <f>HYPERLINK("https://www.amazon.com/Natural-Shampoo-Vegetarian-Promotes-Rosemary/dp/B07R1RF551/ref=sr_1_10?keywords=Rosemary+Shampoo+Bar+Soap&amp;qid=1695258676&amp;sr=8-10", "https://www.amazon.com/Natural-Shampoo-Vegetarian-Promotes-Rosemary/dp/B07R1RF551/ref=sr_1_10?keywords=Rosemary+Shampoo+Bar+Soap&amp;qid=1695258676&amp;sr=8-10")</f>
        <v>https://www.amazon.com/Natural-Shampoo-Vegetarian-Promotes-Rosemary/dp/B07R1RF551/ref=sr_1_10?keywords=Rosemary+Shampoo+Bar+Soap&amp;qid=1695258676&amp;sr=8-10</v>
      </c>
      <c r="F236" t="s">
        <v>774</v>
      </c>
      <c r="G236" t="e">
        <f ca="1">IMAGE("https://heavenlyouthouse.com/cdn/shop/products/Rosemary-Shampoo-Bar_Bar-Soap_2000x_09aa253a-642f-40e6-b2b3-81ca57f74784.jpg?v=1586802089")</f>
        <v>#NAME?</v>
      </c>
      <c r="H236" t="e">
        <f ca="1">IMAGE("https://m.media-amazon.com/images/I/510QAQ1LEDL._AC_UL320_.jpg")</f>
        <v>#NAME?</v>
      </c>
      <c r="I236" t="s">
        <v>92</v>
      </c>
      <c r="J236">
        <v>9.99</v>
      </c>
      <c r="K236" s="2" t="s">
        <v>766</v>
      </c>
      <c r="L236">
        <v>4.2</v>
      </c>
      <c r="M236">
        <v>2987</v>
      </c>
      <c r="O236" t="s">
        <v>39</v>
      </c>
      <c r="P236" t="s">
        <v>39</v>
      </c>
      <c r="Q236" t="s">
        <v>294</v>
      </c>
    </row>
    <row r="237" spans="1:17" ht="15.75" x14ac:dyDescent="0.25">
      <c r="A237" s="3" t="str">
        <f>HYPERLINK("https://heavenlyouthouse.com/products/spa-day-happy-mothers-day-card", "https://heavenlyouthouse.com/products/spa-day-happy-mothers-day-card")</f>
        <v>https://heavenlyouthouse.com/products/spa-day-happy-mothers-day-card</v>
      </c>
      <c r="B237" s="3" t="str">
        <f>HYPERLINK("https://heavenlyouthouse.com/products/spa-day-happy-mothers-day-card", "https://heavenlyouthouse.com/products/spa-day-happy-mothers-day-card")</f>
        <v>https://heavenlyouthouse.com/products/spa-day-happy-mothers-day-card</v>
      </c>
      <c r="C237" t="s">
        <v>522</v>
      </c>
      <c r="D237" t="s">
        <v>775</v>
      </c>
      <c r="E237" s="3" t="str">
        <f>HYPERLINK("https://www.amazon.com/HADDIY-Greeting-Envelopes-Stickers-Assorted/dp/B0BWXC6MDG/ref=sr_1_7?keywords=Spa+Day+Happy+Mother%27s+Day+Card&amp;qid=1695258697&amp;sr=8-7", "https://www.amazon.com/HADDIY-Greeting-Envelopes-Stickers-Assorted/dp/B0BWXC6MDG/ref=sr_1_7?keywords=Spa+Day+Happy+Mother%27s+Day+Card&amp;qid=1695258697&amp;sr=8-7")</f>
        <v>https://www.amazon.com/HADDIY-Greeting-Envelopes-Stickers-Assorted/dp/B0BWXC6MDG/ref=sr_1_7?keywords=Spa+Day+Happy+Mother%27s+Day+Card&amp;qid=1695258697&amp;sr=8-7</v>
      </c>
      <c r="F237" t="s">
        <v>776</v>
      </c>
      <c r="G237" t="e">
        <f ca="1">IMAGE("https://heavenlyouthouse.com/cdn/shop/products/601606_default_large_11017f71-8c01-41a1-843b-a160c6063f44.jpg?v=1636926438")</f>
        <v>#NAME?</v>
      </c>
      <c r="H237" t="e">
        <f ca="1">IMAGE("https://m.media-amazon.com/images/I/71Oo4UwU6XL._AC_UL320_.jpg")</f>
        <v>#NAME?</v>
      </c>
      <c r="I237" t="s">
        <v>92</v>
      </c>
      <c r="J237">
        <v>9.99</v>
      </c>
      <c r="K237" s="2" t="s">
        <v>766</v>
      </c>
      <c r="L237">
        <v>4.3</v>
      </c>
      <c r="M237">
        <v>10</v>
      </c>
      <c r="O237" t="s">
        <v>39</v>
      </c>
      <c r="P237" t="s">
        <v>39</v>
      </c>
      <c r="Q237" t="s">
        <v>525</v>
      </c>
    </row>
    <row r="238" spans="1:17" ht="15.75" x14ac:dyDescent="0.25">
      <c r="A238" s="3" t="str">
        <f>HYPERLINK("https://heavenlyouthouse.com/products/sweet-grapefruit-lip-butter-limited-edition", "https://heavenlyouthouse.com/products/sweet-grapefruit-lip-butter-limited-edition")</f>
        <v>https://heavenlyouthouse.com/products/sweet-grapefruit-lip-butter-limited-edition</v>
      </c>
      <c r="B238" s="3" t="str">
        <f>HYPERLINK("https://heavenlyouthouse.com/products/sweet-grapefruit-lip-butter-limited-edition", "https://heavenlyouthouse.com/products/sweet-grapefruit-lip-butter-limited-edition")</f>
        <v>https://heavenlyouthouse.com/products/sweet-grapefruit-lip-butter-limited-edition</v>
      </c>
      <c r="C238" t="s">
        <v>777</v>
      </c>
      <c r="D238" t="s">
        <v>778</v>
      </c>
      <c r="E238" s="3" t="str">
        <f>HYPERLINK("https://www.amazon.com/eos-Flavor-Lavender-Vanilla-Grapefruit/dp/B07QZTXVKC/ref=sr_1_1?keywords=Sweet+Grapefruit+Lip+Butter&amp;qid=1695258722&amp;sr=8-1", "https://www.amazon.com/eos-Flavor-Lavender-Vanilla-Grapefruit/dp/B07QZTXVKC/ref=sr_1_1?keywords=Sweet+Grapefruit+Lip+Butter&amp;qid=1695258722&amp;sr=8-1")</f>
        <v>https://www.amazon.com/eos-Flavor-Lavender-Vanilla-Grapefruit/dp/B07QZTXVKC/ref=sr_1_1?keywords=Sweet+Grapefruit+Lip+Butter&amp;qid=1695258722&amp;sr=8-1</v>
      </c>
      <c r="F238" t="s">
        <v>779</v>
      </c>
      <c r="G238" t="e">
        <f ca="1">IMAGE("https://heavenlyouthouse.com/cdn/shop/products/LipButter-SweetGrapefruit_2000x_572dd008-edf0-418f-be79-ee10f5eec0da.jpg?v=1600113114")</f>
        <v>#NAME?</v>
      </c>
      <c r="H238" t="e">
        <f ca="1">IMAGE("https://m.media-amazon.com/images/I/61RljizWTtL._AC_UL320_.jpg")</f>
        <v>#NAME?</v>
      </c>
      <c r="I238" t="s">
        <v>92</v>
      </c>
      <c r="J238">
        <v>9.99</v>
      </c>
      <c r="K238" s="2" t="s">
        <v>766</v>
      </c>
      <c r="L238">
        <v>4.4000000000000004</v>
      </c>
      <c r="M238">
        <v>38</v>
      </c>
      <c r="O238" t="s">
        <v>39</v>
      </c>
      <c r="P238" t="s">
        <v>39</v>
      </c>
      <c r="Q238" t="s">
        <v>780</v>
      </c>
    </row>
    <row r="239" spans="1:17" ht="15.75" x14ac:dyDescent="0.25">
      <c r="A239" s="3" t="str">
        <f>HYPERLINK("https://heavenlyouthouse.com/products/watercolor-landscape-blank-card", "https://heavenlyouthouse.com/products/watercolor-landscape-blank-card")</f>
        <v>https://heavenlyouthouse.com/products/watercolor-landscape-blank-card</v>
      </c>
      <c r="B239" s="3" t="str">
        <f>HYPERLINK("https://heavenlyouthouse.com/products/watercolor-landscape-blank-card", "https://heavenlyouthouse.com/products/watercolor-landscape-blank-card")</f>
        <v>https://heavenlyouthouse.com/products/watercolor-landscape-blank-card</v>
      </c>
      <c r="C239" t="s">
        <v>89</v>
      </c>
      <c r="D239" t="s">
        <v>781</v>
      </c>
      <c r="E239" s="3" t="str">
        <f>HYPERLINK("https://www.amazon.com/Nature-Watercolor-Card-Reflections-Landscape/dp/B0BSTLLVXJ/ref=sr_1_2?keywords=Watercolor+Landscape+Blank+Card&amp;qid=1695258835&amp;sr=8-2", "https://www.amazon.com/Nature-Watercolor-Card-Reflections-Landscape/dp/B0BSTLLVXJ/ref=sr_1_2?keywords=Watercolor+Landscape+Blank+Card&amp;qid=1695258835&amp;sr=8-2")</f>
        <v>https://www.amazon.com/Nature-Watercolor-Card-Reflections-Landscape/dp/B0BSTLLVXJ/ref=sr_1_2?keywords=Watercolor+Landscape+Blank+Card&amp;qid=1695258835&amp;sr=8-2</v>
      </c>
      <c r="F239" t="s">
        <v>782</v>
      </c>
      <c r="G239" t="e">
        <f ca="1">IMAGE("https://heavenlyouthouse.com/cdn/shop/files/watercolor-landscape-blank-card1_300x300.jpg?v=1692033915")</f>
        <v>#NAME?</v>
      </c>
      <c r="H239" t="e">
        <f ca="1">IMAGE("https://m.media-amazon.com/images/I/81ny+npcGgL._AC_UL320_.jpg")</f>
        <v>#NAME?</v>
      </c>
      <c r="I239" t="s">
        <v>92</v>
      </c>
      <c r="J239">
        <v>9.99</v>
      </c>
      <c r="K239" s="2" t="s">
        <v>766</v>
      </c>
      <c r="L239">
        <v>5</v>
      </c>
      <c r="M239">
        <v>1</v>
      </c>
      <c r="O239" t="s">
        <v>39</v>
      </c>
      <c r="P239" t="s">
        <v>39</v>
      </c>
      <c r="Q239" t="s">
        <v>94</v>
      </c>
    </row>
    <row r="240" spans="1:17" ht="15.75" x14ac:dyDescent="0.25">
      <c r="A240" s="3" t="str">
        <f>HYPERLINK("https://heavenlyouthouse.com/products/watercolor-landscape-blank-card", "https://heavenlyouthouse.com/products/watercolor-landscape-blank-card")</f>
        <v>https://heavenlyouthouse.com/products/watercolor-landscape-blank-card</v>
      </c>
      <c r="B240" s="3" t="str">
        <f>HYPERLINK("https://heavenlyouthouse.com/products/watercolor-landscape-blank-card", "https://heavenlyouthouse.com/products/watercolor-landscape-blank-card")</f>
        <v>https://heavenlyouthouse.com/products/watercolor-landscape-blank-card</v>
      </c>
      <c r="C240" t="s">
        <v>89</v>
      </c>
      <c r="D240" t="s">
        <v>783</v>
      </c>
      <c r="E240" s="3" t="str">
        <f>HYPERLINK("https://www.amazon.com/Watercolor-Postcards-Painting-Invitations-Greeting/dp/B0C5M64FQ7/ref=sr_1_7?keywords=Watercolor+Landscape+Blank+Card&amp;qid=1695258835&amp;sr=8-7", "https://www.amazon.com/Watercolor-Postcards-Painting-Invitations-Greeting/dp/B0C5M64FQ7/ref=sr_1_7?keywords=Watercolor+Landscape+Blank+Card&amp;qid=1695258835&amp;sr=8-7")</f>
        <v>https://www.amazon.com/Watercolor-Postcards-Painting-Invitations-Greeting/dp/B0C5M64FQ7/ref=sr_1_7?keywords=Watercolor+Landscape+Blank+Card&amp;qid=1695258835&amp;sr=8-7</v>
      </c>
      <c r="F240" t="s">
        <v>784</v>
      </c>
      <c r="G240" t="e">
        <f ca="1">IMAGE("https://heavenlyouthouse.com/cdn/shop/files/watercolor-landscape-blank-card1_300x300.jpg?v=1692033915")</f>
        <v>#NAME?</v>
      </c>
      <c r="H240" t="e">
        <f ca="1">IMAGE("https://m.media-amazon.com/images/I/61rAe4hxvvL._AC_UL320_.jpg")</f>
        <v>#NAME?</v>
      </c>
      <c r="I240" t="s">
        <v>92</v>
      </c>
      <c r="J240">
        <v>9.99</v>
      </c>
      <c r="K240" s="2" t="s">
        <v>766</v>
      </c>
      <c r="L240">
        <v>5</v>
      </c>
      <c r="M240">
        <v>1</v>
      </c>
      <c r="O240" t="s">
        <v>39</v>
      </c>
      <c r="P240" t="s">
        <v>39</v>
      </c>
      <c r="Q240" t="s">
        <v>94</v>
      </c>
    </row>
    <row r="241" spans="1:17" ht="15.75" x14ac:dyDescent="0.25">
      <c r="A241" s="3" t="str">
        <f>HYPERLINK("https://heavenlyouthouse.com/products/rosemary-shampoo-bar-soap", "https://heavenlyouthouse.com/products/rosemary-shampoo-bar-soap")</f>
        <v>https://heavenlyouthouse.com/products/rosemary-shampoo-bar-soap</v>
      </c>
      <c r="B241" s="3" t="str">
        <f>HYPERLINK("https://heavenlyouthouse.com/products/rosemary-shampoo-bar-soap", "https://heavenlyouthouse.com/products/rosemary-shampoo-bar-soap")</f>
        <v>https://heavenlyouthouse.com/products/rosemary-shampoo-bar-soap</v>
      </c>
      <c r="C241" t="s">
        <v>290</v>
      </c>
      <c r="D241" t="s">
        <v>785</v>
      </c>
      <c r="E241" s="3" t="str">
        <f>HYPERLINK("https://www.amazon.com/Hotiary-Rosemary-Regrowth-Cleansing-Silicone/dp/B0BS6P8PZ6/ref=sr_1_5?keywords=Rosemary+Shampoo+Bar+Soap&amp;qid=1695258676&amp;sr=8-5", "https://www.amazon.com/Hotiary-Rosemary-Regrowth-Cleansing-Silicone/dp/B0BS6P8PZ6/ref=sr_1_5?keywords=Rosemary+Shampoo+Bar+Soap&amp;qid=1695258676&amp;sr=8-5")</f>
        <v>https://www.amazon.com/Hotiary-Rosemary-Regrowth-Cleansing-Silicone/dp/B0BS6P8PZ6/ref=sr_1_5?keywords=Rosemary+Shampoo+Bar+Soap&amp;qid=1695258676&amp;sr=8-5</v>
      </c>
      <c r="F241" t="s">
        <v>786</v>
      </c>
      <c r="G241" t="e">
        <f ca="1">IMAGE("https://heavenlyouthouse.com/cdn/shop/products/Rosemary-Shampoo-Bar_Bar-Soap_2000x_09aa253a-642f-40e6-b2b3-81ca57f74784.jpg?v=1586802089")</f>
        <v>#NAME?</v>
      </c>
      <c r="H241" t="e">
        <f ca="1">IMAGE("https://m.media-amazon.com/images/I/61x0zjq7zHL._AC_UL320_.jpg")</f>
        <v>#NAME?</v>
      </c>
      <c r="I241" t="s">
        <v>92</v>
      </c>
      <c r="J241">
        <v>9.99</v>
      </c>
      <c r="K241" s="2" t="s">
        <v>766</v>
      </c>
      <c r="L241">
        <v>4.4000000000000004</v>
      </c>
      <c r="M241">
        <v>64</v>
      </c>
      <c r="O241" t="s">
        <v>39</v>
      </c>
      <c r="P241" t="s">
        <v>39</v>
      </c>
      <c r="Q241" t="s">
        <v>294</v>
      </c>
    </row>
    <row r="242" spans="1:17" ht="15.75" x14ac:dyDescent="0.25">
      <c r="A242" s="3" t="str">
        <f>HYPERLINK("https://heavenlyouthouse.com/products/pumpkin-soap", "https://heavenlyouthouse.com/products/pumpkin-soap")</f>
        <v>https://heavenlyouthouse.com/products/pumpkin-soap</v>
      </c>
      <c r="B242" s="3" t="str">
        <f>HYPERLINK("https://heavenlyouthouse.com/products/pumpkin-soap", "https://heavenlyouthouse.com/products/pumpkin-soap")</f>
        <v>https://heavenlyouthouse.com/products/pumpkin-soap</v>
      </c>
      <c r="C242" t="s">
        <v>157</v>
      </c>
      <c r="D242" t="s">
        <v>787</v>
      </c>
      <c r="E242" s="3" t="str">
        <f>HYPERLINK("https://www.amazon.com/Stonewall-Kitchen-Pumpkin-Harvest-Ounces/dp/B075MPH336/ref=sr_1_7?keywords=Pumpkin+Soap&amp;qid=1695258671&amp;sr=8-7", "https://www.amazon.com/Stonewall-Kitchen-Pumpkin-Harvest-Ounces/dp/B075MPH336/ref=sr_1_7?keywords=Pumpkin+Soap&amp;qid=1695258671&amp;sr=8-7")</f>
        <v>https://www.amazon.com/Stonewall-Kitchen-Pumpkin-Harvest-Ounces/dp/B075MPH336/ref=sr_1_7?keywords=Pumpkin+Soap&amp;qid=1695258671&amp;sr=8-7</v>
      </c>
      <c r="F242" t="s">
        <v>788</v>
      </c>
      <c r="G242" t="e">
        <f ca="1">IMAGE("https://heavenlyouthouse.com/cdn/shop/products/Pumpkin_Bar-Soap_2048_2000x_6b1d5e1f-2b42-45d8-85e4-bc5e350eb2be.jpg?v=1586787951")</f>
        <v>#NAME?</v>
      </c>
      <c r="H242" t="e">
        <f ca="1">IMAGE("https://m.media-amazon.com/images/I/51GWBOiZwFL._AC_UL320_.jpg")</f>
        <v>#NAME?</v>
      </c>
      <c r="I242" t="s">
        <v>92</v>
      </c>
      <c r="J242">
        <v>9.9499999999999993</v>
      </c>
      <c r="K242" s="2" t="s">
        <v>789</v>
      </c>
      <c r="L242">
        <v>4.7</v>
      </c>
      <c r="M242">
        <v>1205</v>
      </c>
      <c r="O242" t="s">
        <v>39</v>
      </c>
      <c r="P242" t="s">
        <v>39</v>
      </c>
      <c r="Q242" t="s">
        <v>161</v>
      </c>
    </row>
    <row r="243" spans="1:17" ht="15.75" x14ac:dyDescent="0.25">
      <c r="A243" s="3" t="str">
        <f>HYPERLINK("https://heavenlyouthouse.com/products/the-weekender-navy-drawstring-pants", "https://heavenlyouthouse.com/products/the-weekender-navy-drawstring-pants")</f>
        <v>https://heavenlyouthouse.com/products/the-weekender-navy-drawstring-pants</v>
      </c>
      <c r="B243" s="3" t="str">
        <f>HYPERLINK("https://heavenlyouthouse.com/products/the-weekender-navy-drawstring-pants", "https://heavenlyouthouse.com/products/the-weekender-navy-drawstring-pants")</f>
        <v>https://heavenlyouthouse.com/products/the-weekender-navy-drawstring-pants</v>
      </c>
      <c r="C243" t="s">
        <v>790</v>
      </c>
      <c r="D243" t="s">
        <v>791</v>
      </c>
      <c r="E243" s="3" t="str">
        <f>HYPERLINK("https://www.amazon.com/Tapered-Weekender-Drawstring-X-Large-Collegiate/dp/B01MXUH4VQ/ref=sr_1_1?keywords=The+Weekender+Navy+Drawstring+Pants&amp;qid=1695258707&amp;sr=8-1", "https://www.amazon.com/Tapered-Weekender-Drawstring-X-Large-Collegiate/dp/B01MXUH4VQ/ref=sr_1_1?keywords=The+Weekender+Navy+Drawstring+Pants&amp;qid=1695258707&amp;sr=8-1")</f>
        <v>https://www.amazon.com/Tapered-Weekender-Drawstring-X-Large-Collegiate/dp/B01MXUH4VQ/ref=sr_1_1?keywords=The+Weekender+Navy+Drawstring+Pants&amp;qid=1695258707&amp;sr=8-1</v>
      </c>
      <c r="F243" t="s">
        <v>792</v>
      </c>
      <c r="G243" t="e">
        <f ca="1">IMAGE("https://heavenlyouthouse.com/cdn/shop/products/HMWKP-NVY_2048x_fef62556-2ab8-4ee3-8b58-7e1c1440f49e.jpg?v=1591914659")</f>
        <v>#NAME?</v>
      </c>
      <c r="H243" t="e">
        <f ca="1">IMAGE("https://m.media-amazon.com/images/I/615Km3tf+CL._AC_UL320_.jpg")</f>
        <v>#NAME?</v>
      </c>
      <c r="I243" t="s">
        <v>793</v>
      </c>
      <c r="J243">
        <v>49.99</v>
      </c>
      <c r="K243" s="2" t="s">
        <v>789</v>
      </c>
      <c r="L243">
        <v>3</v>
      </c>
      <c r="M243">
        <v>5</v>
      </c>
      <c r="O243" t="s">
        <v>39</v>
      </c>
      <c r="P243" t="s">
        <v>336</v>
      </c>
      <c r="Q243" t="s">
        <v>794</v>
      </c>
    </row>
    <row r="244" spans="1:17" ht="15.75" x14ac:dyDescent="0.25">
      <c r="A244" s="3" t="str">
        <f>HYPERLINK("https://heavenlyouthouse.com/products/copy-of-the-weekender-black-drawstring-pants", "https://heavenlyouthouse.com/products/copy-of-the-weekender-black-drawstring-pants")</f>
        <v>https://heavenlyouthouse.com/products/copy-of-the-weekender-black-drawstring-pants</v>
      </c>
      <c r="B244" s="3" t="str">
        <f>HYPERLINK("https://heavenlyouthouse.com/products/copy-of-the-weekender-black-drawstring-pants", "https://heavenlyouthouse.com/products/copy-of-the-weekender-black-drawstring-pants")</f>
        <v>https://heavenlyouthouse.com/products/copy-of-the-weekender-black-drawstring-pants</v>
      </c>
      <c r="C244" t="s">
        <v>795</v>
      </c>
      <c r="D244" t="s">
        <v>791</v>
      </c>
      <c r="E244" s="3" t="str">
        <f>HYPERLINK("https://www.amazon.com/Tapered-Weekender-Drawstring-X-Large-Collegiate/dp/B01MXUH4VQ/ref=sr_1_3?keywords=The+Weekender+Grey+Drawstring+Pants&amp;qid=1695258711&amp;sr=8-3", "https://www.amazon.com/Tapered-Weekender-Drawstring-X-Large-Collegiate/dp/B01MXUH4VQ/ref=sr_1_3?keywords=The+Weekender+Grey+Drawstring+Pants&amp;qid=1695258711&amp;sr=8-3")</f>
        <v>https://www.amazon.com/Tapered-Weekender-Drawstring-X-Large-Collegiate/dp/B01MXUH4VQ/ref=sr_1_3?keywords=The+Weekender+Grey+Drawstring+Pants&amp;qid=1695258711&amp;sr=8-3</v>
      </c>
      <c r="F244" t="s">
        <v>792</v>
      </c>
      <c r="G244" t="e">
        <f ca="1">IMAGE("https://heavenlyouthouse.com/cdn/shop/products/HMWKP-GRY_2048x_c908d4db-44e0-4b17-a3c0-d67c7ede0fac.jpg?v=1591914934")</f>
        <v>#NAME?</v>
      </c>
      <c r="H244" t="e">
        <f ca="1">IMAGE("https://m.media-amazon.com/images/I/615Km3tf+CL._AC_UL320_.jpg")</f>
        <v>#NAME?</v>
      </c>
      <c r="I244" t="s">
        <v>793</v>
      </c>
      <c r="J244">
        <v>49.99</v>
      </c>
      <c r="K244" s="2" t="s">
        <v>789</v>
      </c>
      <c r="L244">
        <v>3</v>
      </c>
      <c r="M244">
        <v>5</v>
      </c>
      <c r="O244" t="s">
        <v>39</v>
      </c>
      <c r="P244" t="s">
        <v>336</v>
      </c>
      <c r="Q244" t="s">
        <v>796</v>
      </c>
    </row>
    <row r="245" spans="1:17" ht="15.75" x14ac:dyDescent="0.25">
      <c r="A245" s="3" t="str">
        <f>HYPERLINK("https://heavenlyouthouse.com/products/copy-of-the-weekender-black-drawstring-pants", "https://heavenlyouthouse.com/products/copy-of-the-weekender-black-drawstring-pants")</f>
        <v>https://heavenlyouthouse.com/products/copy-of-the-weekender-black-drawstring-pants</v>
      </c>
      <c r="B245" s="3" t="str">
        <f>HYPERLINK("https://heavenlyouthouse.com/products/copy-of-the-weekender-black-drawstring-pants", "https://heavenlyouthouse.com/products/copy-of-the-weekender-black-drawstring-pants")</f>
        <v>https://heavenlyouthouse.com/products/copy-of-the-weekender-black-drawstring-pants</v>
      </c>
      <c r="C245" t="s">
        <v>795</v>
      </c>
      <c r="D245" t="s">
        <v>797</v>
      </c>
      <c r="E245" s="3" t="str">
        <f>HYPERLINK("https://www.amazon.com/Adidas-Tapered-Weekender-Drawstring-Medium/dp/B077T152VZ/ref=sr_1_1?keywords=The+Weekender+Grey+Drawstring+Pants&amp;qid=1695258711&amp;sr=8-1", "https://www.amazon.com/Adidas-Tapered-Weekender-Drawstring-Medium/dp/B077T152VZ/ref=sr_1_1?keywords=The+Weekender+Grey+Drawstring+Pants&amp;qid=1695258711&amp;sr=8-1")</f>
        <v>https://www.amazon.com/Adidas-Tapered-Weekender-Drawstring-Medium/dp/B077T152VZ/ref=sr_1_1?keywords=The+Weekender+Grey+Drawstring+Pants&amp;qid=1695258711&amp;sr=8-1</v>
      </c>
      <c r="F245" t="s">
        <v>798</v>
      </c>
      <c r="G245" t="e">
        <f ca="1">IMAGE("https://heavenlyouthouse.com/cdn/shop/products/HMWKP-GRY_2048x_c908d4db-44e0-4b17-a3c0-d67c7ede0fac.jpg?v=1591914934")</f>
        <v>#NAME?</v>
      </c>
      <c r="H245" t="e">
        <f ca="1">IMAGE("https://m.media-amazon.com/images/I/61LYOuHjeIL._AC_UL320_.jpg")</f>
        <v>#NAME?</v>
      </c>
      <c r="I245" t="s">
        <v>793</v>
      </c>
      <c r="J245">
        <v>49.99</v>
      </c>
      <c r="K245" s="2" t="s">
        <v>789</v>
      </c>
      <c r="L245">
        <v>3.4</v>
      </c>
      <c r="M245">
        <v>3</v>
      </c>
      <c r="O245" t="s">
        <v>39</v>
      </c>
      <c r="P245" t="s">
        <v>336</v>
      </c>
      <c r="Q245" t="s">
        <v>796</v>
      </c>
    </row>
    <row r="246" spans="1:17" ht="15.75" x14ac:dyDescent="0.25">
      <c r="A246" s="3" t="str">
        <f>HYPERLINK("https://heavenlyouthouse.com/products/video-game-mens-crew-socks", "https://heavenlyouthouse.com/products/video-game-mens-crew-socks")</f>
        <v>https://heavenlyouthouse.com/products/video-game-mens-crew-socks</v>
      </c>
      <c r="B246" s="3" t="str">
        <f>HYPERLINK("https://heavenlyouthouse.com/products/video-game-mens-crew-socks", "https://heavenlyouthouse.com/products/video-game-mens-crew-socks")</f>
        <v>https://heavenlyouthouse.com/products/video-game-mens-crew-socks</v>
      </c>
      <c r="C246" t="s">
        <v>799</v>
      </c>
      <c r="D246" t="s">
        <v>800</v>
      </c>
      <c r="E246" s="3" t="str">
        <f>HYPERLINK("https://www.amazon.com/Nintendo-Super-Mario-Bros-MId-Calf/dp/B08ZDTV6P1/ref=sr_1_1?keywords=Video+Game+Men%27s+Crew+Socks&amp;qid=1695258812&amp;sr=8-1", "https://www.amazon.com/Nintendo-Super-Mario-Bros-MId-Calf/dp/B08ZDTV6P1/ref=sr_1_1?keywords=Video+Game+Men%27s+Crew+Socks&amp;qid=1695258812&amp;sr=8-1")</f>
        <v>https://www.amazon.com/Nintendo-Super-Mario-Bros-MId-Calf/dp/B08ZDTV6P1/ref=sr_1_1?keywords=Video+Game+Men%27s+Crew+Socks&amp;qid=1695258812&amp;sr=8-1</v>
      </c>
      <c r="F246" t="s">
        <v>801</v>
      </c>
      <c r="G246" t="e">
        <f ca="1">IMAGE("https://heavenlyouthouse.com/cdn/shop/files/blue-q-video-game-socks-men_s-socks_300x300.jpg?v=1691436647")</f>
        <v>#NAME?</v>
      </c>
      <c r="H246" t="e">
        <f ca="1">IMAGE("https://m.media-amazon.com/images/I/81y276WDdBL._AC_UL320_.jpg")</f>
        <v>#NAME?</v>
      </c>
      <c r="I246" t="s">
        <v>802</v>
      </c>
      <c r="J246">
        <v>24.95</v>
      </c>
      <c r="K246" s="2" t="s">
        <v>789</v>
      </c>
      <c r="L246">
        <v>4.5999999999999996</v>
      </c>
      <c r="M246">
        <v>82</v>
      </c>
      <c r="O246" t="s">
        <v>39</v>
      </c>
      <c r="P246" t="s">
        <v>803</v>
      </c>
      <c r="Q246" t="s">
        <v>804</v>
      </c>
    </row>
    <row r="247" spans="1:17" ht="15.75" x14ac:dyDescent="0.25">
      <c r="A247" s="3" t="str">
        <f>HYPERLINK("https://heavenlyouthouse.com/products/you-make-life-better-card", "https://heavenlyouthouse.com/products/you-make-life-better-card")</f>
        <v>https://heavenlyouthouse.com/products/you-make-life-better-card</v>
      </c>
      <c r="B247" s="3" t="str">
        <f>HYPERLINK("https://heavenlyouthouse.com/products/you-make-life-better-card", "https://heavenlyouthouse.com/products/you-make-life-better-card")</f>
        <v>https://heavenlyouthouse.com/products/you-make-life-better-card</v>
      </c>
      <c r="C247" t="s">
        <v>805</v>
      </c>
      <c r="D247" t="s">
        <v>806</v>
      </c>
      <c r="E247" s="3" t="str">
        <f>HYPERLINK("https://www.amazon.com/Appreciation-Recognition-Postcards-Encouragement-Difference/dp/B094938T8H/ref=sr_1_3?keywords=You+Make+Life+Better+Card&amp;qid=1695258854&amp;sr=8-3", "https://www.amazon.com/Appreciation-Recognition-Postcards-Encouragement-Difference/dp/B094938T8H/ref=sr_1_3?keywords=You+Make+Life+Better+Card&amp;qid=1695258854&amp;sr=8-3")</f>
        <v>https://www.amazon.com/Appreciation-Recognition-Postcards-Encouragement-Difference/dp/B094938T8H/ref=sr_1_3?keywords=You+Make+Life+Better+Card&amp;qid=1695258854&amp;sr=8-3</v>
      </c>
      <c r="F247" t="s">
        <v>807</v>
      </c>
      <c r="G247" t="e">
        <f ca="1">IMAGE("https://heavenlyouthouse.com/cdn/shop/files/you-make-life-better-card1_300x300.jpg?v=1692055436")</f>
        <v>#NAME?</v>
      </c>
      <c r="H247" t="e">
        <f ca="1">IMAGE("https://m.media-amazon.com/images/I/81kU2YRfspL._AC_UL320_.jpg")</f>
        <v>#NAME?</v>
      </c>
      <c r="I247" t="s">
        <v>92</v>
      </c>
      <c r="J247">
        <v>9.94</v>
      </c>
      <c r="K247" s="2" t="s">
        <v>789</v>
      </c>
      <c r="L247">
        <v>4.5999999999999996</v>
      </c>
      <c r="M247">
        <v>70</v>
      </c>
      <c r="O247" t="s">
        <v>39</v>
      </c>
      <c r="P247" t="s">
        <v>39</v>
      </c>
      <c r="Q247" t="s">
        <v>808</v>
      </c>
    </row>
    <row r="248" spans="1:17" ht="15.75" x14ac:dyDescent="0.25">
      <c r="A248" s="3" t="str">
        <f>HYPERLINK("https://heavenlyouthouse.com/products/white-sparkle-ball-stud-earrings", "https://heavenlyouthouse.com/products/white-sparkle-ball-stud-earrings")</f>
        <v>https://heavenlyouthouse.com/products/white-sparkle-ball-stud-earrings</v>
      </c>
      <c r="B248" s="3" t="str">
        <f>HYPERLINK("https://heavenlyouthouse.com/products/white-sparkle-ball-stud-earrings", "https://heavenlyouthouse.com/products/white-sparkle-ball-stud-earrings")</f>
        <v>https://heavenlyouthouse.com/products/white-sparkle-ball-stud-earrings</v>
      </c>
      <c r="C248" t="s">
        <v>809</v>
      </c>
      <c r="D248" t="s">
        <v>810</v>
      </c>
      <c r="E248" s="3" t="str">
        <f>HYPERLINK("https://www.amazon.com/White-Gold-Diamond-cut-Ball-Earrings/dp/B07RM94F5T/ref=sr_1_10?keywords=White+Sparkle+Ball+Stud+Earrings&amp;qid=1695258839&amp;sr=8-10", "https://www.amazon.com/White-Gold-Diamond-cut-Ball-Earrings/dp/B07RM94F5T/ref=sr_1_10?keywords=White+Sparkle+Ball+Stud+Earrings&amp;qid=1695258839&amp;sr=8-10")</f>
        <v>https://www.amazon.com/White-Gold-Diamond-cut-Ball-Earrings/dp/B07RM94F5T/ref=sr_1_10?keywords=White+Sparkle+Ball+Stud+Earrings&amp;qid=1695258839&amp;sr=8-10</v>
      </c>
      <c r="F248" t="s">
        <v>811</v>
      </c>
      <c r="G248" t="e">
        <f ca="1">IMAGE("https://heavenlyouthouse.com/cdn/shop/products/SB-ES10WHT_1800x1800_7e84f74c-d927-493d-bae8-a2b4d51a8198.jpg?v=1587480879")</f>
        <v>#NAME?</v>
      </c>
      <c r="H248" t="e">
        <f ca="1">IMAGE("https://m.media-amazon.com/images/I/61EUUE8aIzL._AC_UL320_.jpg")</f>
        <v>#NAME?</v>
      </c>
      <c r="I248" t="s">
        <v>812</v>
      </c>
      <c r="J248">
        <v>74.989999999999995</v>
      </c>
      <c r="K248" s="2" t="s">
        <v>789</v>
      </c>
      <c r="L248">
        <v>4.5</v>
      </c>
      <c r="M248">
        <v>37</v>
      </c>
      <c r="O248" t="s">
        <v>39</v>
      </c>
      <c r="P248" t="s">
        <v>39</v>
      </c>
      <c r="Q248" t="s">
        <v>813</v>
      </c>
    </row>
    <row r="249" spans="1:17" ht="15.75" x14ac:dyDescent="0.25">
      <c r="A249" s="3" t="str">
        <f>HYPERLINK("https://heavenlyouthouse.com/products/poo-pourri-original-citrus-toilet-spray?variant=39334155321433", "https://heavenlyouthouse.com/products/poo-pourri-original-citrus-toilet-spray?variant=39334155321433")</f>
        <v>https://heavenlyouthouse.com/products/poo-pourri-original-citrus-toilet-spray?variant=39334155321433</v>
      </c>
      <c r="B249" s="3" t="str">
        <f>HYPERLINK("https://heavenlyouthouse.com/products/poo-pourri-original-citrus-toilet-spray", "https://heavenlyouthouse.com/products/poo-pourri-original-citrus-toilet-spray")</f>
        <v>https://heavenlyouthouse.com/products/poo-pourri-original-citrus-toilet-spray</v>
      </c>
      <c r="C249" t="s">
        <v>526</v>
      </c>
      <c r="D249" t="s">
        <v>814</v>
      </c>
      <c r="E249" s="3" t="str">
        <f>HYPERLINK("https://www.amazon.com/Poo-Pourri-Before-You-Go-Toilet-Spray-Pinch/dp/B07CNPBS7T/ref=sr_1_7?keywords=Poo-Pourri+Original+Citrus+Toilet+Spray&amp;qid=1695258667&amp;sr=8-7", "https://www.amazon.com/Poo-Pourri-Before-You-Go-Toilet-Spray-Pinch/dp/B07CNPBS7T/ref=sr_1_7?keywords=Poo-Pourri+Original+Citrus+Toilet+Spray&amp;qid=1695258667&amp;sr=8-7")</f>
        <v>https://www.amazon.com/Poo-Pourri-Before-You-Go-Toilet-Spray-Pinch/dp/B07CNPBS7T/ref=sr_1_7?keywords=Poo-Pourri+Original+Citrus+Toilet+Spray&amp;qid=1695258667&amp;sr=8-7</v>
      </c>
      <c r="F249" t="s">
        <v>815</v>
      </c>
      <c r="G249" t="e">
        <f ca="1">IMAGE("https://heavenlyouthouse.com/cdn/shop/products/Poo-pourrioriginalcitrustoiletbathroomspray1.jpg?v=1621615377")</f>
        <v>#NAME?</v>
      </c>
      <c r="H249" t="e">
        <f ca="1">IMAGE("https://m.media-amazon.com/images/I/81MEECFtKlL._AC_UL320_.jpg")</f>
        <v>#NAME?</v>
      </c>
      <c r="I249" t="s">
        <v>362</v>
      </c>
      <c r="J249">
        <v>18.62</v>
      </c>
      <c r="K249" s="2" t="s">
        <v>789</v>
      </c>
      <c r="L249">
        <v>4.5999999999999996</v>
      </c>
      <c r="M249">
        <v>11675</v>
      </c>
      <c r="O249" t="s">
        <v>136</v>
      </c>
      <c r="P249" t="s">
        <v>363</v>
      </c>
      <c r="Q249" t="s">
        <v>530</v>
      </c>
    </row>
    <row r="250" spans="1:17" ht="15.75" x14ac:dyDescent="0.25">
      <c r="A250" s="3" t="str">
        <f>HYPERLINK("https://heavenlyouthouse.com/products/poo-pourri-tropical-hibiscus-toilet-spray", "https://heavenlyouthouse.com/products/poo-pourri-tropical-hibiscus-toilet-spray")</f>
        <v>https://heavenlyouthouse.com/products/poo-pourri-tropical-hibiscus-toilet-spray</v>
      </c>
      <c r="B250" s="3" t="str">
        <f>HYPERLINK("https://heavenlyouthouse.com/products/poo-pourri-tropical-hibiscus-toilet-spray", "https://heavenlyouthouse.com/products/poo-pourri-tropical-hibiscus-toilet-spray")</f>
        <v>https://heavenlyouthouse.com/products/poo-pourri-tropical-hibiscus-toilet-spray</v>
      </c>
      <c r="C250" t="s">
        <v>359</v>
      </c>
      <c r="D250" t="s">
        <v>814</v>
      </c>
      <c r="E250" s="3" t="str">
        <f>HYPERLINK("https://www.amazon.com/Poo-Pourri-Before-You-Go-Toilet-Spray-Pinch/dp/B07CNPBS7T/ref=sr_1_7?keywords=Poo-Pourri+Tropical+Hibiscus+Toilet+Spray&amp;qid=1695258646&amp;sr=8-7", "https://www.amazon.com/Poo-Pourri-Before-You-Go-Toilet-Spray-Pinch/dp/B07CNPBS7T/ref=sr_1_7?keywords=Poo-Pourri+Tropical+Hibiscus+Toilet+Spray&amp;qid=1695258646&amp;sr=8-7")</f>
        <v>https://www.amazon.com/Poo-Pourri-Before-You-Go-Toilet-Spray-Pinch/dp/B07CNPBS7T/ref=sr_1_7?keywords=Poo-Pourri+Tropical+Hibiscus+Toilet+Spray&amp;qid=1695258646&amp;sr=8-7</v>
      </c>
      <c r="F250" t="s">
        <v>815</v>
      </c>
      <c r="G250" t="e">
        <f ca="1">IMAGE("https://heavenlyouthouse.com/cdn/shop/products/Poo-pourritripicalhibiscustoiletbathroomspray2.jpg?v=1621617341")</f>
        <v>#NAME?</v>
      </c>
      <c r="H250" t="e">
        <f ca="1">IMAGE("https://m.media-amazon.com/images/I/81MEECFtKlL._AC_UL320_.jpg")</f>
        <v>#NAME?</v>
      </c>
      <c r="I250" t="s">
        <v>362</v>
      </c>
      <c r="J250">
        <v>18.62</v>
      </c>
      <c r="K250" s="2" t="s">
        <v>789</v>
      </c>
      <c r="L250">
        <v>4.5999999999999996</v>
      </c>
      <c r="M250">
        <v>11675</v>
      </c>
      <c r="O250" t="s">
        <v>39</v>
      </c>
      <c r="P250" t="s">
        <v>363</v>
      </c>
      <c r="Q250" t="s">
        <v>364</v>
      </c>
    </row>
    <row r="251" spans="1:17" ht="15.75" x14ac:dyDescent="0.25">
      <c r="A251" s="3" t="str">
        <f>HYPERLINK("https://heavenlyouthouse.com/products/goldleaf-hand-creme", "https://heavenlyouthouse.com/products/goldleaf-hand-creme")</f>
        <v>https://heavenlyouthouse.com/products/goldleaf-hand-creme</v>
      </c>
      <c r="B251" s="3" t="str">
        <f>HYPERLINK("https://heavenlyouthouse.com/products/goldleaf-hand-creme", "https://heavenlyouthouse.com/products/goldleaf-hand-creme")</f>
        <v>https://heavenlyouthouse.com/products/goldleaf-hand-creme</v>
      </c>
      <c r="C251" t="s">
        <v>816</v>
      </c>
      <c r="D251" t="s">
        <v>480</v>
      </c>
      <c r="E251" s="3" t="str">
        <f>HYPERLINK("https://www.amazon.com/Thymes-Fragrance-Duo-Goldleaf/dp/B08CVSR74R/ref=sr_1_4?keywords=thymes+goldleaf+hand+cream&amp;qid=1695258754&amp;sr=8-4", "https://www.amazon.com/Thymes-Fragrance-Duo-Goldleaf/dp/B08CVSR74R/ref=sr_1_4?keywords=thymes+goldleaf+hand+cream&amp;qid=1695258754&amp;sr=8-4")</f>
        <v>https://www.amazon.com/Thymes-Fragrance-Duo-Goldleaf/dp/B08CVSR74R/ref=sr_1_4?keywords=thymes+goldleaf+hand+cream&amp;qid=1695258754&amp;sr=8-4</v>
      </c>
      <c r="F251" t="s">
        <v>481</v>
      </c>
      <c r="G251" t="e">
        <f ca="1">IMAGE("https://heavenlyouthouse.com/cdn/shop/products/handcream90ml.jpg?v=1587764262")</f>
        <v>#NAME?</v>
      </c>
      <c r="H251" t="e">
        <f ca="1">IMAGE("https://m.media-amazon.com/images/I/61DyKU680bL._AC_UL320_.jpg")</f>
        <v>#NAME?</v>
      </c>
      <c r="I251" t="s">
        <v>385</v>
      </c>
      <c r="J251">
        <v>36</v>
      </c>
      <c r="K251" s="2" t="s">
        <v>817</v>
      </c>
      <c r="L251">
        <v>4.4000000000000004</v>
      </c>
      <c r="M251">
        <v>57</v>
      </c>
      <c r="O251" t="s">
        <v>39</v>
      </c>
      <c r="P251" t="s">
        <v>818</v>
      </c>
      <c r="Q251" t="s">
        <v>819</v>
      </c>
    </row>
    <row r="252" spans="1:17" ht="15.75" x14ac:dyDescent="0.25">
      <c r="A252" s="3" t="str">
        <f>HYPERLINK("https://heavenlyouthouse.com/products/goldleaf-gardenia-hand-creme", "https://heavenlyouthouse.com/products/goldleaf-gardenia-hand-creme")</f>
        <v>https://heavenlyouthouse.com/products/goldleaf-gardenia-hand-creme</v>
      </c>
      <c r="B252" s="3" t="str">
        <f>HYPERLINK("https://heavenlyouthouse.com/products/goldleaf-gardenia-hand-creme", "https://heavenlyouthouse.com/products/goldleaf-gardenia-hand-creme")</f>
        <v>https://heavenlyouthouse.com/products/goldleaf-gardenia-hand-creme</v>
      </c>
      <c r="C252" t="s">
        <v>820</v>
      </c>
      <c r="D252" t="s">
        <v>476</v>
      </c>
      <c r="E252" s="3" t="str">
        <f>HYPERLINK("https://www.amazon.com/Thymes-Fragrance-Duo-Goldleaf-Gardenia/dp/B08CVSFY68/ref=sr_1_3?keywords=thymes+goldleaf+gardenia+hand+cream&amp;qid=1695258746&amp;sr=8-3", "https://www.amazon.com/Thymes-Fragrance-Duo-Goldleaf-Gardenia/dp/B08CVSFY68/ref=sr_1_3?keywords=thymes+goldleaf+gardenia+hand+cream&amp;qid=1695258746&amp;sr=8-3")</f>
        <v>https://www.amazon.com/Thymes-Fragrance-Duo-Goldleaf-Gardenia/dp/B08CVSFY68/ref=sr_1_3?keywords=thymes+goldleaf+gardenia+hand+cream&amp;qid=1695258746&amp;sr=8-3</v>
      </c>
      <c r="F252" t="s">
        <v>477</v>
      </c>
      <c r="G252" t="e">
        <f ca="1">IMAGE("https://heavenlyouthouse.com/cdn/shop/products/thymesgoldleafgardeniahandcreme90ml.jpg?v=1609953411")</f>
        <v>#NAME?</v>
      </c>
      <c r="H252" t="e">
        <f ca="1">IMAGE("https://m.media-amazon.com/images/I/61pGBHmk-NL._AC_UL320_.jpg")</f>
        <v>#NAME?</v>
      </c>
      <c r="I252" t="s">
        <v>385</v>
      </c>
      <c r="J252">
        <v>36</v>
      </c>
      <c r="K252" s="2" t="s">
        <v>817</v>
      </c>
      <c r="L252">
        <v>4.4000000000000004</v>
      </c>
      <c r="M252">
        <v>57</v>
      </c>
      <c r="O252" t="s">
        <v>39</v>
      </c>
      <c r="P252" t="s">
        <v>39</v>
      </c>
      <c r="Q252" t="s">
        <v>821</v>
      </c>
    </row>
    <row r="253" spans="1:17" ht="15.75" x14ac:dyDescent="0.25">
      <c r="A253" s="3" t="str">
        <f>HYPERLINK("https://heavenlyouthouse.com/products/rosemary-mint-body-lotion", "https://heavenlyouthouse.com/products/rosemary-mint-body-lotion")</f>
        <v>https://heavenlyouthouse.com/products/rosemary-mint-body-lotion</v>
      </c>
      <c r="B253" s="3" t="str">
        <f>HYPERLINK("https://heavenlyouthouse.com/products/rosemary-mint-body-lotion", "https://heavenlyouthouse.com/products/rosemary-mint-body-lotion")</f>
        <v>https://heavenlyouthouse.com/products/rosemary-mint-body-lotion</v>
      </c>
      <c r="C253" t="s">
        <v>664</v>
      </c>
      <c r="D253" t="s">
        <v>532</v>
      </c>
      <c r="E253" s="3" t="str">
        <f>HYPERLINK("https://www.amazon.com/Natural-Inspirations-Eucalyptus-Rosemary-Ultra-Moisturizing/dp/B0BBXN2KC7/ref=sr_1_9?keywords=Rosemary+Mint+Body+Lotion&amp;qid=1695258667&amp;sr=8-9", "https://www.amazon.com/Natural-Inspirations-Eucalyptus-Rosemary-Ultra-Moisturizing/dp/B0BBXN2KC7/ref=sr_1_9?keywords=Rosemary+Mint+Body+Lotion&amp;qid=1695258667&amp;sr=8-9")</f>
        <v>https://www.amazon.com/Natural-Inspirations-Eucalyptus-Rosemary-Ultra-Moisturizing/dp/B0BBXN2KC7/ref=sr_1_9?keywords=Rosemary+Mint+Body+Lotion&amp;qid=1695258667&amp;sr=8-9</v>
      </c>
      <c r="F253" t="s">
        <v>533</v>
      </c>
      <c r="G253" t="e">
        <f ca="1">IMAGE("https://heavenlyouthouse.com/cdn/shop/products/RosemaryMint-OatLotion.webp?v=1681505156")</f>
        <v>#NAME?</v>
      </c>
      <c r="H253" t="e">
        <f ca="1">IMAGE("https://m.media-amazon.com/images/I/71bb1jaopOL._AC_UL320_.jpg")</f>
        <v>#NAME?</v>
      </c>
      <c r="I253" t="s">
        <v>399</v>
      </c>
      <c r="J253">
        <v>26</v>
      </c>
      <c r="K253" s="2" t="s">
        <v>817</v>
      </c>
      <c r="L253">
        <v>4.3</v>
      </c>
      <c r="M253">
        <v>9</v>
      </c>
      <c r="O253" t="s">
        <v>39</v>
      </c>
      <c r="P253" t="s">
        <v>39</v>
      </c>
      <c r="Q253" t="s">
        <v>667</v>
      </c>
    </row>
    <row r="254" spans="1:17" ht="15.75" x14ac:dyDescent="0.25">
      <c r="A254" s="3" t="str">
        <f>HYPERLINK("https://heavenlyouthouse.com/products/scent-free-body-butter", "https://heavenlyouthouse.com/products/scent-free-body-butter")</f>
        <v>https://heavenlyouthouse.com/products/scent-free-body-butter</v>
      </c>
      <c r="B254" s="3" t="str">
        <f>HYPERLINK("https://heavenlyouthouse.com/products/scent-free-body-butter", "https://heavenlyouthouse.com/products/scent-free-body-butter")</f>
        <v>https://heavenlyouthouse.com/products/scent-free-body-butter</v>
      </c>
      <c r="C254" t="s">
        <v>695</v>
      </c>
      <c r="D254" t="s">
        <v>822</v>
      </c>
      <c r="E254" s="3" t="str">
        <f>HYPERLINK("https://www.amazon.com/Butter-Moisturizer-Shea-Non-Greasy-Better/dp/B07WK4K525/ref=sr_1_1?keywords=Scent+Free+Body+Butter&amp;qid=1695258680&amp;sr=8-1", "https://www.amazon.com/Butter-Moisturizer-Shea-Non-Greasy-Better/dp/B07WK4K525/ref=sr_1_1?keywords=Scent+Free+Body+Butter&amp;qid=1695258680&amp;sr=8-1")</f>
        <v>https://www.amazon.com/Butter-Moisturizer-Shea-Non-Greasy-Better/dp/B07WK4K525/ref=sr_1_1?keywords=Scent+Free+Body+Butter&amp;qid=1695258680&amp;sr=8-1</v>
      </c>
      <c r="F254" t="s">
        <v>823</v>
      </c>
      <c r="G254" t="e">
        <f ca="1">IMAGE("https://heavenlyouthouse.com/cdn/shop/products/dry-skin-body-butter_2000x_a7842167-ad66-4fcf-9097-94fb6cdff081.jpg?v=1586787710")</f>
        <v>#NAME?</v>
      </c>
      <c r="H254" t="e">
        <f ca="1">IMAGE("https://m.media-amazon.com/images/I/71d7B7z3hkL._AC_UL320_.jpg")</f>
        <v>#NAME?</v>
      </c>
      <c r="I254" t="s">
        <v>233</v>
      </c>
      <c r="J254">
        <v>19.5</v>
      </c>
      <c r="K254" s="2" t="s">
        <v>824</v>
      </c>
      <c r="L254">
        <v>4.2</v>
      </c>
      <c r="M254">
        <v>1185</v>
      </c>
      <c r="O254" t="s">
        <v>39</v>
      </c>
      <c r="P254" t="s">
        <v>39</v>
      </c>
      <c r="Q254" t="s">
        <v>698</v>
      </c>
    </row>
    <row r="255" spans="1:17" ht="15.75" x14ac:dyDescent="0.25">
      <c r="A255" s="3" t="str">
        <f>HYPERLINK("https://heavenlyouthouse.com/products/poo-pourri-original-citrus-toilet-spray?variant=39334155321433", "https://heavenlyouthouse.com/products/poo-pourri-original-citrus-toilet-spray?variant=39334155321433")</f>
        <v>https://heavenlyouthouse.com/products/poo-pourri-original-citrus-toilet-spray?variant=39334155321433</v>
      </c>
      <c r="B255" s="3" t="str">
        <f>HYPERLINK("https://heavenlyouthouse.com/products/poo-pourri-original-citrus-toilet-spray", "https://heavenlyouthouse.com/products/poo-pourri-original-citrus-toilet-spray")</f>
        <v>https://heavenlyouthouse.com/products/poo-pourri-original-citrus-toilet-spray</v>
      </c>
      <c r="C255" t="s">
        <v>526</v>
      </c>
      <c r="D255" t="s">
        <v>825</v>
      </c>
      <c r="E255" s="3" t="str">
        <f>HYPERLINK("https://www.amazon.com/Poo-Pourri-Before-You-go-Sprayer-Included-Original/dp/B08BB8DM3Y/ref=sr_1_4?keywords=Poo-Pourri+Original+Citrus+Toilet+Spray&amp;qid=1695258667&amp;sr=8-4", "https://www.amazon.com/Poo-Pourri-Before-You-go-Sprayer-Included-Original/dp/B08BB8DM3Y/ref=sr_1_4?keywords=Poo-Pourri+Original+Citrus+Toilet+Spray&amp;qid=1695258667&amp;sr=8-4")</f>
        <v>https://www.amazon.com/Poo-Pourri-Before-You-go-Sprayer-Included-Original/dp/B08BB8DM3Y/ref=sr_1_4?keywords=Poo-Pourri+Original+Citrus+Toilet+Spray&amp;qid=1695258667&amp;sr=8-4</v>
      </c>
      <c r="F255" t="s">
        <v>826</v>
      </c>
      <c r="G255" t="e">
        <f ca="1">IMAGE("https://heavenlyouthouse.com/cdn/shop/products/Poo-pourrioriginalcitrustoiletbathroomspray1.jpg?v=1621615377")</f>
        <v>#NAME?</v>
      </c>
      <c r="H255" t="e">
        <f ca="1">IMAGE("https://m.media-amazon.com/images/I/61KGXKK8S-L._AC_UL320_.jpg")</f>
        <v>#NAME?</v>
      </c>
      <c r="I255" t="s">
        <v>362</v>
      </c>
      <c r="J255">
        <v>17.989999999999998</v>
      </c>
      <c r="K255" s="2" t="s">
        <v>827</v>
      </c>
      <c r="L255">
        <v>4.8</v>
      </c>
      <c r="M255">
        <v>1275</v>
      </c>
      <c r="O255" t="s">
        <v>136</v>
      </c>
      <c r="P255" t="s">
        <v>363</v>
      </c>
      <c r="Q255" t="s">
        <v>530</v>
      </c>
    </row>
    <row r="256" spans="1:17" ht="15.75" x14ac:dyDescent="0.25">
      <c r="A256" s="3" t="str">
        <f>HYPERLINK("https://heavenlyouthouse.com/products/thymes-frasier-fir-heritage-small-pine-needle-luminary-candle", "https://heavenlyouthouse.com/products/thymes-frasier-fir-heritage-small-pine-needle-luminary-candle")</f>
        <v>https://heavenlyouthouse.com/products/thymes-frasier-fir-heritage-small-pine-needle-luminary-candle</v>
      </c>
      <c r="B256" s="3" t="str">
        <f>HYPERLINK("https://heavenlyouthouse.com/products/thymes-frasier-fir-heritage-small-pine-needle-luminary-candle", "https://heavenlyouthouse.com/products/thymes-frasier-fir-heritage-small-pine-needle-luminary-candle")</f>
        <v>https://heavenlyouthouse.com/products/thymes-frasier-fir-heritage-small-pine-needle-luminary-candle</v>
      </c>
      <c r="C256" t="s">
        <v>828</v>
      </c>
      <c r="D256" t="s">
        <v>223</v>
      </c>
      <c r="E256" s="3" t="str">
        <f>HYPERLINK("https://www.amazon.com/Thymes-Needle-Frasier-Luminary-Candle/dp/B0B9CDSR3K/ref=sr_1_1?keywords=Thymes+Frasier+Fir+Heritage+Small+Pine+Needle+Luminary+Candle&amp;qid=1695258733&amp;sr=8-1", "https://www.amazon.com/Thymes-Needle-Frasier-Luminary-Candle/dp/B0B9CDSR3K/ref=sr_1_1?keywords=Thymes+Frasier+Fir+Heritage+Small+Pine+Needle+Luminary+Candle&amp;qid=1695258733&amp;sr=8-1")</f>
        <v>https://www.amazon.com/Thymes-Needle-Frasier-Luminary-Candle/dp/B0B9CDSR3K/ref=sr_1_1?keywords=Thymes+Frasier+Fir+Heritage+Small+Pine+Needle+Luminary+Candle&amp;qid=1695258733&amp;sr=8-1</v>
      </c>
      <c r="F256" t="s">
        <v>224</v>
      </c>
      <c r="G256" t="e">
        <f ca="1">IMAGE("https://heavenlyouthouse.com/cdn/shop/files/thymes-frasier-fir-heritage-small-pine-needle-luminary-candle_965ab5c2-8413-4550-b146-804b2323a234_300x300.jpg?v=1685393417")</f>
        <v>#NAME?</v>
      </c>
      <c r="H256" t="e">
        <f ca="1">IMAGE("https://m.media-amazon.com/images/I/71YqOVLEPjL._AC_UL320_.jpg")</f>
        <v>#NAME?</v>
      </c>
      <c r="I256" t="s">
        <v>829</v>
      </c>
      <c r="J256">
        <v>56</v>
      </c>
      <c r="K256" s="2" t="s">
        <v>830</v>
      </c>
      <c r="L256">
        <v>5</v>
      </c>
      <c r="M256">
        <v>1</v>
      </c>
      <c r="O256" t="s">
        <v>39</v>
      </c>
      <c r="P256" t="s">
        <v>39</v>
      </c>
      <c r="Q256" t="s">
        <v>831</v>
      </c>
    </row>
    <row r="257" spans="1:17" ht="15.75" x14ac:dyDescent="0.25">
      <c r="A257" s="3" t="str">
        <f>HYPERLINK("https://heavenlyouthouse.com/products/eucalyptus-body-wash", "https://heavenlyouthouse.com/products/eucalyptus-body-wash")</f>
        <v>https://heavenlyouthouse.com/products/eucalyptus-body-wash</v>
      </c>
      <c r="B257" s="3" t="str">
        <f>HYPERLINK("https://heavenlyouthouse.com/products/eucalyptus-body-wash", "https://heavenlyouthouse.com/products/eucalyptus-body-wash")</f>
        <v>https://heavenlyouthouse.com/products/eucalyptus-body-wash</v>
      </c>
      <c r="C257" t="s">
        <v>832</v>
      </c>
      <c r="D257" t="s">
        <v>833</v>
      </c>
      <c r="E257" s="3" t="str">
        <f>HYPERLINK("https://www.amazon.com/Malin-Goetz-Hand-Plus-Eucalyptus/dp/B07QQS24M8/ref=sr_1_8?keywords=Thymes+Eucalyptus+Body+Wash&amp;qid=1695258723&amp;sr=8-8", "https://www.amazon.com/Malin-Goetz-Hand-Plus-Eucalyptus/dp/B07QQS24M8/ref=sr_1_8?keywords=Thymes+Eucalyptus+Body+Wash&amp;qid=1695258723&amp;sr=8-8")</f>
        <v>https://www.amazon.com/Malin-Goetz-Hand-Plus-Eucalyptus/dp/B07QQS24M8/ref=sr_1_8?keywords=Thymes+Eucalyptus+Body+Wash&amp;qid=1695258723&amp;sr=8-8</v>
      </c>
      <c r="F257" t="s">
        <v>834</v>
      </c>
      <c r="G257" t="e">
        <f ca="1">IMAGE("https://heavenlyouthouse.com/cdn/shop/products/thymes-eucalyptus-body-wash.jpg?v=1638555917")</f>
        <v>#NAME?</v>
      </c>
      <c r="H257" t="e">
        <f ca="1">IMAGE("https://m.media-amazon.com/images/I/61kaCCnht+L._AC_UL320_.jpg")</f>
        <v>#NAME?</v>
      </c>
      <c r="I257" t="s">
        <v>835</v>
      </c>
      <c r="J257">
        <v>38</v>
      </c>
      <c r="K257" s="2" t="s">
        <v>830</v>
      </c>
      <c r="L257">
        <v>4.5999999999999996</v>
      </c>
      <c r="M257">
        <v>329</v>
      </c>
      <c r="O257" t="s">
        <v>39</v>
      </c>
      <c r="P257" t="s">
        <v>39</v>
      </c>
      <c r="Q257" t="s">
        <v>836</v>
      </c>
    </row>
    <row r="258" spans="1:17" ht="15.75" x14ac:dyDescent="0.25">
      <c r="A258" s="3" t="str">
        <f t="shared" ref="A258:B260" si="2">HYPERLINK("https://heavenlyouthouse.com/products/pizza-unisex-crew-socks-in-a-box", "https://heavenlyouthouse.com/products/pizza-unisex-crew-socks-in-a-box")</f>
        <v>https://heavenlyouthouse.com/products/pizza-unisex-crew-socks-in-a-box</v>
      </c>
      <c r="B258" s="3" t="str">
        <f t="shared" si="2"/>
        <v>https://heavenlyouthouse.com/products/pizza-unisex-crew-socks-in-a-box</v>
      </c>
      <c r="C258" t="s">
        <v>837</v>
      </c>
      <c r="D258" t="s">
        <v>838</v>
      </c>
      <c r="E258" s="3" t="str">
        <f>HYPERLINK("https://www.amazon.com/PIZZA-Hawaii-Italian-Cotton-Socks/dp/B01N1PFGE1/ref=sr_1_7?keywords=Pizza+Unisex+Crew+Socks+In+A+Box&amp;qid=1695258651&amp;sr=8-7", "https://www.amazon.com/PIZZA-Hawaii-Italian-Cotton-Socks/dp/B01N1PFGE1/ref=sr_1_7?keywords=Pizza+Unisex+Crew+Socks+In+A+Box&amp;qid=1695258651&amp;sr=8-7")</f>
        <v>https://www.amazon.com/PIZZA-Hawaii-Italian-Cotton-Socks/dp/B01N1PFGE1/ref=sr_1_7?keywords=Pizza+Unisex+Crew+Socks+In+A+Box&amp;qid=1695258651&amp;sr=8-7</v>
      </c>
      <c r="F258" t="s">
        <v>839</v>
      </c>
      <c r="G258" t="e">
        <f ca="1">IMAGE("https://heavenlyouthouse.com/cdn/shop/products/pizza-socks-main-and-local-in-a-box.jpg?v=1631548423")</f>
        <v>#NAME?</v>
      </c>
      <c r="H258" t="e">
        <f ca="1">IMAGE("https://m.media-amazon.com/images/I/91L7eQk9Y3L._AC_UL320_.jpg")</f>
        <v>#NAME?</v>
      </c>
      <c r="I258" t="s">
        <v>188</v>
      </c>
      <c r="J258">
        <v>25.99</v>
      </c>
      <c r="K258" s="2" t="s">
        <v>840</v>
      </c>
      <c r="L258">
        <v>4.5999999999999996</v>
      </c>
      <c r="M258">
        <v>379</v>
      </c>
      <c r="O258" t="s">
        <v>39</v>
      </c>
      <c r="P258" t="s">
        <v>39</v>
      </c>
      <c r="Q258" t="s">
        <v>841</v>
      </c>
    </row>
    <row r="259" spans="1:17" ht="15.75" x14ac:dyDescent="0.25">
      <c r="A259" s="3" t="str">
        <f t="shared" si="2"/>
        <v>https://heavenlyouthouse.com/products/pizza-unisex-crew-socks-in-a-box</v>
      </c>
      <c r="B259" s="3" t="str">
        <f t="shared" si="2"/>
        <v>https://heavenlyouthouse.com/products/pizza-unisex-crew-socks-in-a-box</v>
      </c>
      <c r="C259" t="s">
        <v>837</v>
      </c>
      <c r="D259" t="s">
        <v>842</v>
      </c>
      <c r="E259" s="3" t="str">
        <f>HYPERLINK("https://www.amazon.com/PIZZA-Capriciosa-Pepperoni-Cotton-Socks/dp/B01NCJ8W3U/ref=sr_1_6?keywords=Pizza+Unisex+Crew+Socks+In+A+Box&amp;qid=1695258651&amp;sr=8-6", "https://www.amazon.com/PIZZA-Capriciosa-Pepperoni-Cotton-Socks/dp/B01NCJ8W3U/ref=sr_1_6?keywords=Pizza+Unisex+Crew+Socks+In+A+Box&amp;qid=1695258651&amp;sr=8-6")</f>
        <v>https://www.amazon.com/PIZZA-Capriciosa-Pepperoni-Cotton-Socks/dp/B01NCJ8W3U/ref=sr_1_6?keywords=Pizza+Unisex+Crew+Socks+In+A+Box&amp;qid=1695258651&amp;sr=8-6</v>
      </c>
      <c r="F259" t="s">
        <v>843</v>
      </c>
      <c r="G259" t="e">
        <f ca="1">IMAGE("https://heavenlyouthouse.com/cdn/shop/products/pizza-socks-main-and-local-in-a-box.jpg?v=1631548423")</f>
        <v>#NAME?</v>
      </c>
      <c r="H259" t="e">
        <f ca="1">IMAGE("https://m.media-amazon.com/images/I/91JIrJPjpcL._AC_UL320_.jpg")</f>
        <v>#NAME?</v>
      </c>
      <c r="I259" t="s">
        <v>188</v>
      </c>
      <c r="J259">
        <v>25.99</v>
      </c>
      <c r="K259" s="2" t="s">
        <v>840</v>
      </c>
      <c r="L259">
        <v>4.8</v>
      </c>
      <c r="M259">
        <v>1904</v>
      </c>
      <c r="O259" t="s">
        <v>39</v>
      </c>
      <c r="P259" t="s">
        <v>39</v>
      </c>
      <c r="Q259" t="s">
        <v>841</v>
      </c>
    </row>
    <row r="260" spans="1:17" ht="15.75" x14ac:dyDescent="0.25">
      <c r="A260" s="3" t="str">
        <f t="shared" si="2"/>
        <v>https://heavenlyouthouse.com/products/pizza-unisex-crew-socks-in-a-box</v>
      </c>
      <c r="B260" s="3" t="str">
        <f t="shared" si="2"/>
        <v>https://heavenlyouthouse.com/products/pizza-unisex-crew-socks-in-a-box</v>
      </c>
      <c r="C260" t="s">
        <v>837</v>
      </c>
      <c r="D260" t="s">
        <v>844</v>
      </c>
      <c r="E260" s="3" t="str">
        <f>HYPERLINK("https://www.amazon.com/PIZZA-Pepperoni-Cotton-Socks-Europe/dp/B01N0NXBM4/ref=sr_1_1?keywords=Pizza+Unisex+Crew+Socks+In+A+Box&amp;qid=1695258651&amp;sr=8-1", "https://www.amazon.com/PIZZA-Pepperoni-Cotton-Socks-Europe/dp/B01N0NXBM4/ref=sr_1_1?keywords=Pizza+Unisex+Crew+Socks+In+A+Box&amp;qid=1695258651&amp;sr=8-1")</f>
        <v>https://www.amazon.com/PIZZA-Pepperoni-Cotton-Socks-Europe/dp/B01N0NXBM4/ref=sr_1_1?keywords=Pizza+Unisex+Crew+Socks+In+A+Box&amp;qid=1695258651&amp;sr=8-1</v>
      </c>
      <c r="F260" t="s">
        <v>845</v>
      </c>
      <c r="G260" t="e">
        <f ca="1">IMAGE("https://heavenlyouthouse.com/cdn/shop/products/pizza-socks-main-and-local-in-a-box.jpg?v=1631548423")</f>
        <v>#NAME?</v>
      </c>
      <c r="H260" t="e">
        <f ca="1">IMAGE("https://m.media-amazon.com/images/I/515CmS5NHuL._AC_UL320_.jpg")</f>
        <v>#NAME?</v>
      </c>
      <c r="I260" t="s">
        <v>188</v>
      </c>
      <c r="J260">
        <v>25.99</v>
      </c>
      <c r="K260" s="2" t="s">
        <v>840</v>
      </c>
      <c r="L260">
        <v>4.8</v>
      </c>
      <c r="M260">
        <v>3795</v>
      </c>
      <c r="O260" t="s">
        <v>39</v>
      </c>
      <c r="P260" t="s">
        <v>39</v>
      </c>
      <c r="Q260" t="s">
        <v>841</v>
      </c>
    </row>
    <row r="261" spans="1:17" ht="15.75" x14ac:dyDescent="0.25">
      <c r="A261" s="3" t="str">
        <f>HYPERLINK("https://heavenlyouthouse.com/products/prana-yellow-gold-meditation-ring", "https://heavenlyouthouse.com/products/prana-yellow-gold-meditation-ring")</f>
        <v>https://heavenlyouthouse.com/products/prana-yellow-gold-meditation-ring</v>
      </c>
      <c r="B261" s="3" t="str">
        <f>HYPERLINK("https://heavenlyouthouse.com/products/prana-yellow-gold-meditation-ring", "https://heavenlyouthouse.com/products/prana-yellow-gold-meditation-ring")</f>
        <v>https://heavenlyouthouse.com/products/prana-yellow-gold-meditation-ring</v>
      </c>
      <c r="C261" t="s">
        <v>846</v>
      </c>
      <c r="D261" t="s">
        <v>847</v>
      </c>
      <c r="E261" s="3" t="str">
        <f>HYPERLINK("https://www.amazon.com/Dainty-Yellow-Gold-Meditation-Diamond/dp/B00JPPJQ1K/ref=sr_1_7?keywords=Prana+Yellow+Gold+Meditation+Ring&amp;qid=1695258649&amp;sr=8-7", "https://www.amazon.com/Dainty-Yellow-Gold-Meditation-Diamond/dp/B00JPPJQ1K/ref=sr_1_7?keywords=Prana+Yellow+Gold+Meditation+Ring&amp;qid=1695258649&amp;sr=8-7")</f>
        <v>https://www.amazon.com/Dainty-Yellow-Gold-Meditation-Diamond/dp/B00JPPJQ1K/ref=sr_1_7?keywords=Prana+Yellow+Gold+Meditation+Ring&amp;qid=1695258649&amp;sr=8-7</v>
      </c>
      <c r="F261" t="s">
        <v>848</v>
      </c>
      <c r="G261" t="e">
        <f ca="1">IMAGE("https://heavenlyouthouse.com/cdn/shop/products/prana-yellow-gold-meditation-ring.gif?v=1634241843")</f>
        <v>#NAME?</v>
      </c>
      <c r="H261" t="e">
        <f ca="1">IMAGE("https://m.media-amazon.com/images/I/61NRuojQD1L._AC_UL320_.jpg")</f>
        <v>#NAME?</v>
      </c>
      <c r="I261" t="s">
        <v>849</v>
      </c>
      <c r="J261">
        <v>139.99</v>
      </c>
      <c r="K261" s="2" t="s">
        <v>840</v>
      </c>
      <c r="L261">
        <v>5</v>
      </c>
      <c r="M261">
        <v>1</v>
      </c>
      <c r="O261" t="s">
        <v>39</v>
      </c>
      <c r="P261" t="s">
        <v>39</v>
      </c>
      <c r="Q261" t="s">
        <v>850</v>
      </c>
    </row>
    <row r="262" spans="1:17" ht="15.75" x14ac:dyDescent="0.25">
      <c r="A262" s="3" t="str">
        <f>HYPERLINK("https://heavenlyouthouse.com/products/you-did-it-graduation-card", "https://heavenlyouthouse.com/products/you-did-it-graduation-card")</f>
        <v>https://heavenlyouthouse.com/products/you-did-it-graduation-card</v>
      </c>
      <c r="B262" s="3" t="str">
        <f>HYPERLINK("https://heavenlyouthouse.com/products/you-did-it-graduation-card", "https://heavenlyouthouse.com/products/you-did-it-graduation-card")</f>
        <v>https://heavenlyouthouse.com/products/you-did-it-graduation-card</v>
      </c>
      <c r="C262" t="s">
        <v>851</v>
      </c>
      <c r="D262" t="s">
        <v>852</v>
      </c>
      <c r="E262" s="3" t="str">
        <f>HYPERLINK("https://www.amazon.com/Graduation-Envelopes-Greeting-Teachers-Classmates/dp/B09YRJVPHT/ref=sr_1_9?keywords=You+Did+It+Graduation+Card&amp;qid=1695258832&amp;sr=8-9", "https://www.amazon.com/Graduation-Envelopes-Greeting-Teachers-Classmates/dp/B09YRJVPHT/ref=sr_1_9?keywords=You+Did+It+Graduation+Card&amp;qid=1695258832&amp;sr=8-9")</f>
        <v>https://www.amazon.com/Graduation-Envelopes-Greeting-Teachers-Classmates/dp/B09YRJVPHT/ref=sr_1_9?keywords=You+Did+It+Graduation+Card&amp;qid=1695258832&amp;sr=8-9</v>
      </c>
      <c r="F262" t="s">
        <v>853</v>
      </c>
      <c r="G262" t="e">
        <f ca="1">IMAGE("https://heavenlyouthouse.com/cdn/shop/products/papyrus-graduation-card-airplane-flying-around-glo_1.jpg?v=1642617008")</f>
        <v>#NAME?</v>
      </c>
      <c r="H262" t="e">
        <f ca="1">IMAGE("https://m.media-amazon.com/images/I/81OjE1InNVL._AC_UL320_.jpg")</f>
        <v>#NAME?</v>
      </c>
      <c r="I262" t="s">
        <v>454</v>
      </c>
      <c r="J262">
        <v>9.99</v>
      </c>
      <c r="K262" s="2" t="s">
        <v>840</v>
      </c>
      <c r="L262">
        <v>5</v>
      </c>
      <c r="M262">
        <v>1</v>
      </c>
      <c r="O262" t="s">
        <v>39</v>
      </c>
      <c r="P262" t="s">
        <v>39</v>
      </c>
      <c r="Q262" t="s">
        <v>854</v>
      </c>
    </row>
    <row r="263" spans="1:17" ht="15.75" x14ac:dyDescent="0.25">
      <c r="A263" s="3" t="str">
        <f>HYPERLINK("https://heavenlyouthouse.com/products/so-grateful-mothers-day-card", "https://heavenlyouthouse.com/products/so-grateful-mothers-day-card")</f>
        <v>https://heavenlyouthouse.com/products/so-grateful-mothers-day-card</v>
      </c>
      <c r="B263" s="3" t="str">
        <f>HYPERLINK("https://heavenlyouthouse.com/products/so-grateful-mothers-day-card", "https://heavenlyouthouse.com/products/so-grateful-mothers-day-card")</f>
        <v>https://heavenlyouthouse.com/products/so-grateful-mothers-day-card</v>
      </c>
      <c r="C263" t="s">
        <v>616</v>
      </c>
      <c r="D263" t="s">
        <v>775</v>
      </c>
      <c r="E263" s="3" t="str">
        <f>HYPERLINK("https://www.amazon.com/HADDIY-Greeting-Envelopes-Stickers-Assorted/dp/B0BWXC6MDG/ref=sr_1_9?keywords=So+Grateful+Mother%27s+Day+Card&amp;qid=1695258692&amp;sr=8-9", "https://www.amazon.com/HADDIY-Greeting-Envelopes-Stickers-Assorted/dp/B0BWXC6MDG/ref=sr_1_9?keywords=So+Grateful+Mother%27s+Day+Card&amp;qid=1695258692&amp;sr=8-9")</f>
        <v>https://www.amazon.com/HADDIY-Greeting-Envelopes-Stickers-Assorted/dp/B0BWXC6MDG/ref=sr_1_9?keywords=So+Grateful+Mother%27s+Day+Card&amp;qid=1695258692&amp;sr=8-9</v>
      </c>
      <c r="F263" t="s">
        <v>776</v>
      </c>
      <c r="G263" t="e">
        <f ca="1">IMAGE("https://heavenlyouthouse.com/cdn/shop/products/605030156378papyrusfloralmother_sdaycard.jpg?v=1619455182")</f>
        <v>#NAME?</v>
      </c>
      <c r="H263" t="e">
        <f ca="1">IMAGE("https://m.media-amazon.com/images/I/71Oo4UwU6XL._AC_UL320_.jpg")</f>
        <v>#NAME?</v>
      </c>
      <c r="I263" t="s">
        <v>454</v>
      </c>
      <c r="J263">
        <v>9.99</v>
      </c>
      <c r="K263" s="2" t="s">
        <v>840</v>
      </c>
      <c r="L263">
        <v>4.3</v>
      </c>
      <c r="M263">
        <v>10</v>
      </c>
      <c r="O263" t="s">
        <v>39</v>
      </c>
      <c r="P263" t="s">
        <v>39</v>
      </c>
      <c r="Q263" t="s">
        <v>620</v>
      </c>
    </row>
    <row r="264" spans="1:17" ht="15.75" x14ac:dyDescent="0.25">
      <c r="A264" s="3" t="str">
        <f>HYPERLINK("https://heavenlyouthouse.com/products/succulents-thank-you-card", "https://heavenlyouthouse.com/products/succulents-thank-you-card")</f>
        <v>https://heavenlyouthouse.com/products/succulents-thank-you-card</v>
      </c>
      <c r="B264" s="3" t="str">
        <f>HYPERLINK("https://heavenlyouthouse.com/products/succulents-thank-you-card", "https://heavenlyouthouse.com/products/succulents-thank-you-card")</f>
        <v>https://heavenlyouthouse.com/products/succulents-thank-you-card</v>
      </c>
      <c r="C264" t="s">
        <v>102</v>
      </c>
      <c r="D264" t="s">
        <v>855</v>
      </c>
      <c r="E264" s="3" t="str">
        <f>HYPERLINK("https://www.amazon.com/Decorably-Greenery-Thank-Cards-Envelopes/dp/B0BCQJF3FK/ref=sr_1_3?keywords=Succulents+Thank+You+Card&amp;qid=1695258709&amp;sr=8-3", "https://www.amazon.com/Decorably-Greenery-Thank-Cards-Envelopes/dp/B0BCQJF3FK/ref=sr_1_3?keywords=Succulents+Thank+You+Card&amp;qid=1695258709&amp;sr=8-3")</f>
        <v>https://www.amazon.com/Decorably-Greenery-Thank-Cards-Envelopes/dp/B0BCQJF3FK/ref=sr_1_3?keywords=Succulents+Thank+You+Card&amp;qid=1695258709&amp;sr=8-3</v>
      </c>
      <c r="F264" t="s">
        <v>856</v>
      </c>
      <c r="G264" t="e">
        <f ca="1">IMAGE("https://heavenlyouthouse.com/cdn/shop/products/thankyou-cactus.jpg?v=1600890223")</f>
        <v>#NAME?</v>
      </c>
      <c r="H264" t="e">
        <f ca="1">IMAGE("https://m.media-amazon.com/images/I/81iAX0vr+LL._AC_UL320_.jpg")</f>
        <v>#NAME?</v>
      </c>
      <c r="I264" t="s">
        <v>105</v>
      </c>
      <c r="J264">
        <v>6.99</v>
      </c>
      <c r="K264" s="2" t="s">
        <v>857</v>
      </c>
      <c r="L264">
        <v>4.9000000000000004</v>
      </c>
      <c r="M264">
        <v>16</v>
      </c>
      <c r="O264" t="s">
        <v>39</v>
      </c>
      <c r="P264" t="s">
        <v>39</v>
      </c>
      <c r="Q264" t="s">
        <v>107</v>
      </c>
    </row>
    <row r="265" spans="1:17" ht="15.75" x14ac:dyDescent="0.25">
      <c r="A265" s="3" t="str">
        <f>HYPERLINK("https://heavenlyouthouse.com/products/frasier-fir-home-fragrance-mist", "https://heavenlyouthouse.com/products/frasier-fir-home-fragrance-mist")</f>
        <v>https://heavenlyouthouse.com/products/frasier-fir-home-fragrance-mist</v>
      </c>
      <c r="B265" s="3" t="str">
        <f>HYPERLINK("https://heavenlyouthouse.com/products/frasier-fir-home-fragrance-mist", "https://heavenlyouthouse.com/products/frasier-fir-home-fragrance-mist")</f>
        <v>https://heavenlyouthouse.com/products/frasier-fir-home-fragrance-mist</v>
      </c>
      <c r="C265" t="s">
        <v>384</v>
      </c>
      <c r="D265" t="s">
        <v>550</v>
      </c>
      <c r="E265" s="3" t="str">
        <f>HYPERLINK("https://www.amazon.com/Thymes-Frasier-Needle-Decorative-50-Hour/dp/B00YPP2LBM/ref=sr_1_4?keywords=Thymes+Frasier+Fir+Home+Fragrance+Mist&amp;qid=1695258733&amp;sr=8-4", "https://www.amazon.com/Thymes-Frasier-Needle-Decorative-50-Hour/dp/B00YPP2LBM/ref=sr_1_4?keywords=Thymes+Frasier+Fir+Home+Fragrance+Mist&amp;qid=1695258733&amp;sr=8-4")</f>
        <v>https://www.amazon.com/Thymes-Frasier-Needle-Decorative-50-Hour/dp/B00YPP2LBM/ref=sr_1_4?keywords=Thymes+Frasier+Fir+Home+Fragrance+Mist&amp;qid=1695258733&amp;sr=8-4</v>
      </c>
      <c r="F265" t="s">
        <v>551</v>
      </c>
      <c r="G265" t="e">
        <f ca="1">IMAGE("https://heavenlyouthouse.com/cdn/shop/products/ThymesFrasierFirHomeFragranceMist.jpg?v=1617817932")</f>
        <v>#NAME?</v>
      </c>
      <c r="H265" t="e">
        <f ca="1">IMAGE("https://m.media-amazon.com/images/I/61rj1n74esL._AC_UL320_.jpg")</f>
        <v>#NAME?</v>
      </c>
      <c r="I265" t="s">
        <v>385</v>
      </c>
      <c r="J265">
        <v>34</v>
      </c>
      <c r="K265" s="2" t="s">
        <v>857</v>
      </c>
      <c r="L265">
        <v>4.7</v>
      </c>
      <c r="M265">
        <v>3739</v>
      </c>
      <c r="O265" t="s">
        <v>39</v>
      </c>
      <c r="P265" t="s">
        <v>39</v>
      </c>
      <c r="Q265" t="s">
        <v>387</v>
      </c>
    </row>
    <row r="266" spans="1:17" ht="15.75" x14ac:dyDescent="0.25">
      <c r="A266" s="3" t="str">
        <f>HYPERLINK("https://heavenlyouthouse.com/products/kimono-rose-hand-creme", "https://heavenlyouthouse.com/products/kimono-rose-hand-creme")</f>
        <v>https://heavenlyouthouse.com/products/kimono-rose-hand-creme</v>
      </c>
      <c r="B266" s="3" t="str">
        <f>HYPERLINK("https://heavenlyouthouse.com/products/kimono-rose-hand-creme", "https://heavenlyouthouse.com/products/kimono-rose-hand-creme")</f>
        <v>https://heavenlyouthouse.com/products/kimono-rose-hand-creme</v>
      </c>
      <c r="C266" t="s">
        <v>858</v>
      </c>
      <c r="D266" t="s">
        <v>536</v>
      </c>
      <c r="E266" s="3" t="str">
        <f>HYPERLINK("https://www.amazon.com/Thymes-Hand-Cream-Trio-Lavender/dp/B08CVT8XST/ref=sr_1_3?keywords=thymes+kimono+rose+hand+cream&amp;qid=1695258788&amp;sr=8-3", "https://www.amazon.com/Thymes-Hand-Cream-Trio-Lavender/dp/B08CVT8XST/ref=sr_1_3?keywords=thymes+kimono+rose+hand+cream&amp;qid=1695258788&amp;sr=8-3")</f>
        <v>https://www.amazon.com/Thymes-Hand-Cream-Trio-Lavender/dp/B08CVT8XST/ref=sr_1_3?keywords=thymes+kimono+rose+hand+cream&amp;qid=1695258788&amp;sr=8-3</v>
      </c>
      <c r="F266" t="s">
        <v>537</v>
      </c>
      <c r="G266" t="e">
        <f ca="1">IMAGE("https://heavenlyouthouse.com/cdn/shop/products/handcreme90ml.jpg?v=1588107056")</f>
        <v>#NAME?</v>
      </c>
      <c r="H266" t="e">
        <f ca="1">IMAGE("https://m.media-amazon.com/images/I/61gSBI2RN3L._AC_UL320_.jpg")</f>
        <v>#NAME?</v>
      </c>
      <c r="I266" t="s">
        <v>385</v>
      </c>
      <c r="J266">
        <v>34</v>
      </c>
      <c r="K266" s="2" t="s">
        <v>857</v>
      </c>
      <c r="L266">
        <v>4.4000000000000004</v>
      </c>
      <c r="M266">
        <v>29</v>
      </c>
      <c r="O266" t="s">
        <v>39</v>
      </c>
      <c r="P266" t="s">
        <v>39</v>
      </c>
      <c r="Q266" t="s">
        <v>859</v>
      </c>
    </row>
    <row r="267" spans="1:17" ht="15.75" x14ac:dyDescent="0.25">
      <c r="A267" s="3" t="str">
        <f>HYPERLINK("https://heavenlyouthouse.com/products/lavender-hand-creme", "https://heavenlyouthouse.com/products/lavender-hand-creme")</f>
        <v>https://heavenlyouthouse.com/products/lavender-hand-creme</v>
      </c>
      <c r="B267" s="3" t="str">
        <f>HYPERLINK("https://heavenlyouthouse.com/products/lavender-hand-creme", "https://heavenlyouthouse.com/products/lavender-hand-creme")</f>
        <v>https://heavenlyouthouse.com/products/lavender-hand-creme</v>
      </c>
      <c r="C267" t="s">
        <v>860</v>
      </c>
      <c r="D267" t="s">
        <v>541</v>
      </c>
      <c r="E267" s="3" t="str">
        <f>HYPERLINK("https://www.amazon.com/Thymes-Hand-Cream-Trio-Eucalyptus/dp/B08CVS7J4W/ref=sr_1_3?keywords=thymes+lavender+hand+cream&amp;qid=1695258760&amp;sr=8-3", "https://www.amazon.com/Thymes-Hand-Cream-Trio-Eucalyptus/dp/B08CVS7J4W/ref=sr_1_3?keywords=thymes+lavender+hand+cream&amp;qid=1695258760&amp;sr=8-3")</f>
        <v>https://www.amazon.com/Thymes-Hand-Cream-Trio-Eucalyptus/dp/B08CVS7J4W/ref=sr_1_3?keywords=thymes+lavender+hand+cream&amp;qid=1695258760&amp;sr=8-3</v>
      </c>
      <c r="F267" t="s">
        <v>542</v>
      </c>
      <c r="G267" t="e">
        <f ca="1">IMAGE("https://heavenlyouthouse.com/cdn/shop/products/thymeslavenderhandcreme.jpg?v=1609951743")</f>
        <v>#NAME?</v>
      </c>
      <c r="H267" t="e">
        <f ca="1">IMAGE("https://m.media-amazon.com/images/I/61Hwmst+wVL._AC_UL320_.jpg")</f>
        <v>#NAME?</v>
      </c>
      <c r="I267" t="s">
        <v>385</v>
      </c>
      <c r="J267">
        <v>34</v>
      </c>
      <c r="K267" s="2" t="s">
        <v>857</v>
      </c>
      <c r="L267">
        <v>4.4000000000000004</v>
      </c>
      <c r="M267">
        <v>29</v>
      </c>
      <c r="O267" t="s">
        <v>39</v>
      </c>
      <c r="P267" t="s">
        <v>39</v>
      </c>
      <c r="Q267" t="s">
        <v>861</v>
      </c>
    </row>
    <row r="268" spans="1:17" ht="15.75" x14ac:dyDescent="0.25">
      <c r="A268" s="3" t="str">
        <f>HYPERLINK("https://heavenlyouthouse.com/products/goldleaf-hand-creme", "https://heavenlyouthouse.com/products/goldleaf-hand-creme")</f>
        <v>https://heavenlyouthouse.com/products/goldleaf-hand-creme</v>
      </c>
      <c r="B268" s="3" t="str">
        <f>HYPERLINK("https://heavenlyouthouse.com/products/goldleaf-hand-creme", "https://heavenlyouthouse.com/products/goldleaf-hand-creme")</f>
        <v>https://heavenlyouthouse.com/products/goldleaf-hand-creme</v>
      </c>
      <c r="C268" t="s">
        <v>816</v>
      </c>
      <c r="D268" t="s">
        <v>536</v>
      </c>
      <c r="E268" s="3" t="str">
        <f>HYPERLINK("https://www.amazon.com/Thymes-Hand-Cream-Trio-Lavender/dp/B08CVT8XST/ref=sr_1_5?keywords=thymes+goldleaf+hand+cream&amp;qid=1695258754&amp;sr=8-5", "https://www.amazon.com/Thymes-Hand-Cream-Trio-Lavender/dp/B08CVT8XST/ref=sr_1_5?keywords=thymes+goldleaf+hand+cream&amp;qid=1695258754&amp;sr=8-5")</f>
        <v>https://www.amazon.com/Thymes-Hand-Cream-Trio-Lavender/dp/B08CVT8XST/ref=sr_1_5?keywords=thymes+goldleaf+hand+cream&amp;qid=1695258754&amp;sr=8-5</v>
      </c>
      <c r="F268" t="s">
        <v>537</v>
      </c>
      <c r="G268" t="e">
        <f ca="1">IMAGE("https://heavenlyouthouse.com/cdn/shop/products/handcream90ml.jpg?v=1587764262")</f>
        <v>#NAME?</v>
      </c>
      <c r="H268" t="e">
        <f ca="1">IMAGE("https://m.media-amazon.com/images/I/61gSBI2RN3L._AC_UL320_.jpg")</f>
        <v>#NAME?</v>
      </c>
      <c r="I268" t="s">
        <v>385</v>
      </c>
      <c r="J268">
        <v>34</v>
      </c>
      <c r="K268" s="2" t="s">
        <v>857</v>
      </c>
      <c r="L268">
        <v>4.4000000000000004</v>
      </c>
      <c r="M268">
        <v>29</v>
      </c>
      <c r="O268" t="s">
        <v>39</v>
      </c>
      <c r="P268" t="s">
        <v>818</v>
      </c>
      <c r="Q268" t="s">
        <v>819</v>
      </c>
    </row>
    <row r="269" spans="1:17" ht="15.75" x14ac:dyDescent="0.25">
      <c r="A269" s="3" t="str">
        <f>HYPERLINK("https://heavenlyouthouse.com/products/goldleaf-gardenia-hand-creme", "https://heavenlyouthouse.com/products/goldleaf-gardenia-hand-creme")</f>
        <v>https://heavenlyouthouse.com/products/goldleaf-gardenia-hand-creme</v>
      </c>
      <c r="B269" s="3" t="str">
        <f>HYPERLINK("https://heavenlyouthouse.com/products/goldleaf-gardenia-hand-creme", "https://heavenlyouthouse.com/products/goldleaf-gardenia-hand-creme")</f>
        <v>https://heavenlyouthouse.com/products/goldleaf-gardenia-hand-creme</v>
      </c>
      <c r="C269" t="s">
        <v>820</v>
      </c>
      <c r="D269" t="s">
        <v>536</v>
      </c>
      <c r="E269" s="3" t="str">
        <f>HYPERLINK("https://www.amazon.com/Thymes-Hand-Cream-Trio-Lavender/dp/B08CVT8XST/ref=sr_1_5?keywords=thymes+goldleaf+gardenia+hand+cream&amp;qid=1695258746&amp;sr=8-5", "https://www.amazon.com/Thymes-Hand-Cream-Trio-Lavender/dp/B08CVT8XST/ref=sr_1_5?keywords=thymes+goldleaf+gardenia+hand+cream&amp;qid=1695258746&amp;sr=8-5")</f>
        <v>https://www.amazon.com/Thymes-Hand-Cream-Trio-Lavender/dp/B08CVT8XST/ref=sr_1_5?keywords=thymes+goldleaf+gardenia+hand+cream&amp;qid=1695258746&amp;sr=8-5</v>
      </c>
      <c r="F269" t="s">
        <v>537</v>
      </c>
      <c r="G269" t="e">
        <f ca="1">IMAGE("https://heavenlyouthouse.com/cdn/shop/products/thymesgoldleafgardeniahandcreme90ml.jpg?v=1609953411")</f>
        <v>#NAME?</v>
      </c>
      <c r="H269" t="e">
        <f ca="1">IMAGE("https://m.media-amazon.com/images/I/61gSBI2RN3L._AC_UL320_.jpg")</f>
        <v>#NAME?</v>
      </c>
      <c r="I269" t="s">
        <v>385</v>
      </c>
      <c r="J269">
        <v>34</v>
      </c>
      <c r="K269" s="2" t="s">
        <v>857</v>
      </c>
      <c r="L269">
        <v>4.4000000000000004</v>
      </c>
      <c r="M269">
        <v>29</v>
      </c>
      <c r="O269" t="s">
        <v>39</v>
      </c>
      <c r="P269" t="s">
        <v>39</v>
      </c>
      <c r="Q269" t="s">
        <v>821</v>
      </c>
    </row>
    <row r="270" spans="1:17" ht="15.75" x14ac:dyDescent="0.25">
      <c r="A270" s="3" t="str">
        <f>HYPERLINK("https://heavenlyouthouse.com/products/thymes-olive-leaf-hand-cream", "https://heavenlyouthouse.com/products/thymes-olive-leaf-hand-cream")</f>
        <v>https://heavenlyouthouse.com/products/thymes-olive-leaf-hand-cream</v>
      </c>
      <c r="B270" s="3" t="str">
        <f>HYPERLINK("https://heavenlyouthouse.com/products/thymes-olive-leaf-hand-cream", "https://heavenlyouthouse.com/products/thymes-olive-leaf-hand-cream")</f>
        <v>https://heavenlyouthouse.com/products/thymes-olive-leaf-hand-cream</v>
      </c>
      <c r="C270" t="s">
        <v>862</v>
      </c>
      <c r="D270" t="s">
        <v>547</v>
      </c>
      <c r="E270" s="3" t="str">
        <f>HYPERLINK("https://www.amazon.com/Thymes-Hand-Cream-Trio-Eucalyptus/dp/B08CVS65TK/ref=sr_1_3?keywords=Thymes+Olive+Leaf+Hand+Cream&amp;qid=1695258780&amp;sr=8-3", "https://www.amazon.com/Thymes-Hand-Cream-Trio-Eucalyptus/dp/B08CVS65TK/ref=sr_1_3?keywords=Thymes+Olive+Leaf+Hand+Cream&amp;qid=1695258780&amp;sr=8-3")</f>
        <v>https://www.amazon.com/Thymes-Hand-Cream-Trio-Eucalyptus/dp/B08CVS65TK/ref=sr_1_3?keywords=Thymes+Olive+Leaf+Hand+Cream&amp;qid=1695258780&amp;sr=8-3</v>
      </c>
      <c r="F270" t="s">
        <v>548</v>
      </c>
      <c r="G270" t="e">
        <f ca="1">IMAGE("https://heavenlyouthouse.com/cdn/shop/products/Olive-Leaf-Hand-Creme.jpg?v=1633124430")</f>
        <v>#NAME?</v>
      </c>
      <c r="H270" t="e">
        <f ca="1">IMAGE("https://m.media-amazon.com/images/I/71dMcg2wQcL._AC_UL320_.jpg")</f>
        <v>#NAME?</v>
      </c>
      <c r="I270" t="s">
        <v>385</v>
      </c>
      <c r="J270">
        <v>34</v>
      </c>
      <c r="K270" s="2" t="s">
        <v>857</v>
      </c>
      <c r="L270">
        <v>4.4000000000000004</v>
      </c>
      <c r="M270">
        <v>29</v>
      </c>
      <c r="O270" t="s">
        <v>39</v>
      </c>
      <c r="P270" t="s">
        <v>863</v>
      </c>
      <c r="Q270" t="s">
        <v>864</v>
      </c>
    </row>
    <row r="271" spans="1:17" ht="15.75" x14ac:dyDescent="0.25">
      <c r="A271" s="3" t="str">
        <f>HYPERLINK("https://heavenlyouthouse.com/products/eucalyptus-hand-creme", "https://heavenlyouthouse.com/products/eucalyptus-hand-creme")</f>
        <v>https://heavenlyouthouse.com/products/eucalyptus-hand-creme</v>
      </c>
      <c r="B271" s="3" t="str">
        <f>HYPERLINK("https://heavenlyouthouse.com/products/eucalyptus-hand-creme", "https://heavenlyouthouse.com/products/eucalyptus-hand-creme")</f>
        <v>https://heavenlyouthouse.com/products/eucalyptus-hand-creme</v>
      </c>
      <c r="C271" t="s">
        <v>865</v>
      </c>
      <c r="D271" t="s">
        <v>541</v>
      </c>
      <c r="E271" s="3" t="str">
        <f>HYPERLINK("https://www.amazon.com/Thymes-Hand-Cream-Trio-Eucalyptus/dp/B08CVS7J4W/ref=sr_1_2?keywords=thymes+eucalyptus+hand+cream&amp;qid=1695258718&amp;sr=8-2", "https://www.amazon.com/Thymes-Hand-Cream-Trio-Eucalyptus/dp/B08CVS7J4W/ref=sr_1_2?keywords=thymes+eucalyptus+hand+cream&amp;qid=1695258718&amp;sr=8-2")</f>
        <v>https://www.amazon.com/Thymes-Hand-Cream-Trio-Eucalyptus/dp/B08CVS7J4W/ref=sr_1_2?keywords=thymes+eucalyptus+hand+cream&amp;qid=1695258718&amp;sr=8-2</v>
      </c>
      <c r="F271" t="s">
        <v>542</v>
      </c>
      <c r="G271" t="e">
        <f ca="1">IMAGE("https://heavenlyouthouse.com/cdn/shop/products/hancreme.jpg?v=1588104623")</f>
        <v>#NAME?</v>
      </c>
      <c r="H271" t="e">
        <f ca="1">IMAGE("https://m.media-amazon.com/images/I/61Hwmst+wVL._AC_UL320_.jpg")</f>
        <v>#NAME?</v>
      </c>
      <c r="I271" t="s">
        <v>385</v>
      </c>
      <c r="J271">
        <v>34</v>
      </c>
      <c r="K271" s="2" t="s">
        <v>857</v>
      </c>
      <c r="L271">
        <v>4.4000000000000004</v>
      </c>
      <c r="M271">
        <v>29</v>
      </c>
      <c r="O271" t="s">
        <v>39</v>
      </c>
      <c r="P271" t="s">
        <v>39</v>
      </c>
      <c r="Q271" t="s">
        <v>866</v>
      </c>
    </row>
    <row r="272" spans="1:17" ht="15.75" x14ac:dyDescent="0.25">
      <c r="A272" s="3" t="str">
        <f>HYPERLINK("https://heavenlyouthouse.com/products/tool-man-fathers-day-card", "https://heavenlyouthouse.com/products/tool-man-fathers-day-card")</f>
        <v>https://heavenlyouthouse.com/products/tool-man-fathers-day-card</v>
      </c>
      <c r="B272" s="3" t="str">
        <f>HYPERLINK("https://heavenlyouthouse.com/products/tool-man-fathers-day-card", "https://heavenlyouthouse.com/products/tool-man-fathers-day-card")</f>
        <v>https://heavenlyouthouse.com/products/tool-man-fathers-day-card</v>
      </c>
      <c r="C272" t="s">
        <v>867</v>
      </c>
      <c r="D272" t="s">
        <v>868</v>
      </c>
      <c r="E272" s="3" t="str">
        <f>HYPERLINK("https://www.amazon.com/RIHDXCH-Birthday-Christmas-Envelopes-Unique-Grandfather/dp/B0C5JTDGLQ/ref=sr_1_4?keywords=Tool+Man+Fathers+Day+Card&amp;qid=1695258801&amp;sr=8-4", "https://www.amazon.com/RIHDXCH-Birthday-Christmas-Envelopes-Unique-Grandfather/dp/B0C5JTDGLQ/ref=sr_1_4?keywords=Tool+Man+Fathers+Day+Card&amp;qid=1695258801&amp;sr=8-4")</f>
        <v>https://www.amazon.com/RIHDXCH-Birthday-Christmas-Envelopes-Unique-Grandfather/dp/B0C5JTDGLQ/ref=sr_1_4?keywords=Tool+Man+Fathers+Day+Card&amp;qid=1695258801&amp;sr=8-4</v>
      </c>
      <c r="F272" t="s">
        <v>869</v>
      </c>
      <c r="G272" t="e">
        <f ca="1">IMAGE("https://heavenlyouthouse.com/cdn/shop/products/605030123271.jpg?v=1621620239")</f>
        <v>#NAME?</v>
      </c>
      <c r="H272" t="e">
        <f ca="1">IMAGE("https://m.media-amazon.com/images/I/818yuiKaBuL._AC_UL320_.jpg")</f>
        <v>#NAME?</v>
      </c>
      <c r="I272" t="s">
        <v>870</v>
      </c>
      <c r="J272">
        <v>10.99</v>
      </c>
      <c r="K272" s="2" t="s">
        <v>871</v>
      </c>
      <c r="L272">
        <v>4.8</v>
      </c>
      <c r="M272">
        <v>7</v>
      </c>
      <c r="O272" t="s">
        <v>39</v>
      </c>
      <c r="P272" t="s">
        <v>39</v>
      </c>
      <c r="Q272" t="s">
        <v>872</v>
      </c>
    </row>
    <row r="273" spans="1:17" ht="15.75" x14ac:dyDescent="0.25">
      <c r="A273" s="3" t="str">
        <f>HYPERLINK("https://heavenlyouthouse.com/products/frasier-fir-statement-pine-needle-candle", "https://heavenlyouthouse.com/products/frasier-fir-statement-pine-needle-candle")</f>
        <v>https://heavenlyouthouse.com/products/frasier-fir-statement-pine-needle-candle</v>
      </c>
      <c r="B273" s="3" t="str">
        <f>HYPERLINK("https://heavenlyouthouse.com/products/frasier-fir-statement-pine-needle-candle", "https://heavenlyouthouse.com/products/frasier-fir-statement-pine-needle-candle")</f>
        <v>https://heavenlyouthouse.com/products/frasier-fir-statement-pine-needle-candle</v>
      </c>
      <c r="C273" t="s">
        <v>167</v>
      </c>
      <c r="D273" t="s">
        <v>441</v>
      </c>
      <c r="E273" s="3" t="str">
        <f>HYPERLINK("https://www.amazon.com/Thymes-Frasier-Fir-Candle-Set/dp/B0140PRD7I/ref=sr_1_9?keywords=Thymes+Frasier+Fir+Statement+Pine+Needle+Candle&amp;qid=1695258736&amp;sr=8-9", "https://www.amazon.com/Thymes-Frasier-Fir-Candle-Set/dp/B0140PRD7I/ref=sr_1_9?keywords=Thymes+Frasier+Fir+Statement+Pine+Needle+Candle&amp;qid=1695258736&amp;sr=8-9")</f>
        <v>https://www.amazon.com/Thymes-Frasier-Fir-Candle-Set/dp/B0140PRD7I/ref=sr_1_9?keywords=Thymes+Frasier+Fir+Statement+Pine+Needle+Candle&amp;qid=1695258736&amp;sr=8-9</v>
      </c>
      <c r="F273" t="s">
        <v>442</v>
      </c>
      <c r="G273" t="e">
        <f ca="1">IMAGE("https://heavenlyouthouse.com/cdn/shop/products/thymesfrasierfirsmallstatementcandlesilverpineneedle.jpg?v=1603994848")</f>
        <v>#NAME?</v>
      </c>
      <c r="H273" t="e">
        <f ca="1">IMAGE("https://m.media-amazon.com/images/I/71tOjhmJH0L._AC_UL320_.jpg")</f>
        <v>#NAME?</v>
      </c>
      <c r="I273" t="s">
        <v>168</v>
      </c>
      <c r="J273">
        <v>38</v>
      </c>
      <c r="K273" s="2" t="s">
        <v>873</v>
      </c>
      <c r="L273">
        <v>4.7</v>
      </c>
      <c r="M273">
        <v>181</v>
      </c>
      <c r="O273" t="s">
        <v>39</v>
      </c>
      <c r="P273" t="s">
        <v>170</v>
      </c>
      <c r="Q273" t="s">
        <v>171</v>
      </c>
    </row>
    <row r="274" spans="1:17" ht="15.75" x14ac:dyDescent="0.25">
      <c r="A274" s="3" t="str">
        <f>HYPERLINK("https://heavenlyouthouse.com/products/kimono-rose-hand-wash", "https://heavenlyouthouse.com/products/kimono-rose-hand-wash")</f>
        <v>https://heavenlyouthouse.com/products/kimono-rose-hand-wash</v>
      </c>
      <c r="B274" s="3" t="str">
        <f>HYPERLINK("https://heavenlyouthouse.com/products/kimono-rose-hand-wash", "https://heavenlyouthouse.com/products/kimono-rose-hand-wash")</f>
        <v>https://heavenlyouthouse.com/products/kimono-rose-hand-wash</v>
      </c>
      <c r="C274" t="s">
        <v>544</v>
      </c>
      <c r="D274" t="s">
        <v>874</v>
      </c>
      <c r="E274" s="3" t="str">
        <f>HYPERLINK("https://www.amazon.com/Thymes-Kimono-Hydrating-Shower-Vanilla/dp/B0746QFMH8/ref=sr_1_3?keywords=Thymes+Kimono+Rose+Hand+Wash&amp;qid=1695258755&amp;sr=8-3", "https://www.amazon.com/Thymes-Kimono-Hydrating-Shower-Vanilla/dp/B0746QFMH8/ref=sr_1_3?keywords=Thymes+Kimono+Rose+Hand+Wash&amp;qid=1695258755&amp;sr=8-3")</f>
        <v>https://www.amazon.com/Thymes-Kimono-Hydrating-Shower-Vanilla/dp/B0746QFMH8/ref=sr_1_3?keywords=Thymes+Kimono+Rose+Hand+Wash&amp;qid=1695258755&amp;sr=8-3</v>
      </c>
      <c r="F274" t="s">
        <v>875</v>
      </c>
      <c r="G274" t="e">
        <f ca="1">IMAGE("https://heavenlyouthouse.com/cdn/shop/products/handwash_18174433-5a85-4ea6-ac07-76353b67db0d.jpg?v=1588107247")</f>
        <v>#NAME?</v>
      </c>
      <c r="H274" t="e">
        <f ca="1">IMAGE("https://m.media-amazon.com/images/I/61IPNqc5GTL._AC_UL320_.jpg")</f>
        <v>#NAME?</v>
      </c>
      <c r="I274" t="s">
        <v>86</v>
      </c>
      <c r="J274">
        <v>24</v>
      </c>
      <c r="K274" s="2" t="s">
        <v>873</v>
      </c>
      <c r="L274">
        <v>4.5999999999999996</v>
      </c>
      <c r="M274">
        <v>1742</v>
      </c>
      <c r="O274" t="s">
        <v>39</v>
      </c>
      <c r="P274" t="s">
        <v>39</v>
      </c>
      <c r="Q274" t="s">
        <v>545</v>
      </c>
    </row>
    <row r="275" spans="1:17" ht="15.75" x14ac:dyDescent="0.25">
      <c r="A275" s="3" t="str">
        <f>HYPERLINK("https://heavenlyouthouse.com/products/thymes-olive-leaf-hand-wash", "https://heavenlyouthouse.com/products/thymes-olive-leaf-hand-wash")</f>
        <v>https://heavenlyouthouse.com/products/thymes-olive-leaf-hand-wash</v>
      </c>
      <c r="B275" s="3" t="str">
        <f>HYPERLINK("https://heavenlyouthouse.com/products/thymes-olive-leaf-hand-wash", "https://heavenlyouthouse.com/products/thymes-olive-leaf-hand-wash")</f>
        <v>https://heavenlyouthouse.com/products/thymes-olive-leaf-hand-wash</v>
      </c>
      <c r="C275" t="s">
        <v>876</v>
      </c>
      <c r="D275" t="s">
        <v>877</v>
      </c>
      <c r="E275" s="3" t="str">
        <f>HYPERLINK("https://www.amazon.com/Thymes-Olive-Hydrating-Shower-Natural/dp/B0746QSJMS/ref=sr_1_3?keywords=Thymes+Olive+Leaf+Hand+Wash&amp;qid=1695258785&amp;sr=8-3", "https://www.amazon.com/Thymes-Olive-Hydrating-Shower-Natural/dp/B0746QSJMS/ref=sr_1_3?keywords=Thymes+Olive+Leaf+Hand+Wash&amp;qid=1695258785&amp;sr=8-3")</f>
        <v>https://www.amazon.com/Thymes-Olive-Hydrating-Shower-Natural/dp/B0746QSJMS/ref=sr_1_3?keywords=Thymes+Olive+Leaf+Hand+Wash&amp;qid=1695258785&amp;sr=8-3</v>
      </c>
      <c r="F275" t="s">
        <v>878</v>
      </c>
      <c r="G275" t="e">
        <f ca="1">IMAGE("https://heavenlyouthouse.com/cdn/shop/products/Olive-Leaf-Hand-Wash.jpg?v=1633123893")</f>
        <v>#NAME?</v>
      </c>
      <c r="H275" t="e">
        <f ca="1">IMAGE("https://m.media-amazon.com/images/I/61yiEFkgymL._AC_UL320_.jpg")</f>
        <v>#NAME?</v>
      </c>
      <c r="I275" t="s">
        <v>86</v>
      </c>
      <c r="J275">
        <v>24</v>
      </c>
      <c r="K275" s="2" t="s">
        <v>873</v>
      </c>
      <c r="L275">
        <v>4.5999999999999996</v>
      </c>
      <c r="M275">
        <v>1742</v>
      </c>
      <c r="O275" t="s">
        <v>39</v>
      </c>
      <c r="P275" t="s">
        <v>39</v>
      </c>
      <c r="Q275" t="s">
        <v>879</v>
      </c>
    </row>
    <row r="276" spans="1:17" ht="15.75" x14ac:dyDescent="0.25">
      <c r="A276" s="3" t="str">
        <f>HYPERLINK("https://heavenlyouthouse.com/products/goldleaf-gardenia-hand-wash", "https://heavenlyouthouse.com/products/goldleaf-gardenia-hand-wash")</f>
        <v>https://heavenlyouthouse.com/products/goldleaf-gardenia-hand-wash</v>
      </c>
      <c r="B276" s="3" t="str">
        <f>HYPERLINK("https://heavenlyouthouse.com/products/goldleaf-gardenia-hand-wash", "https://heavenlyouthouse.com/products/goldleaf-gardenia-hand-wash")</f>
        <v>https://heavenlyouthouse.com/products/goldleaf-gardenia-hand-wash</v>
      </c>
      <c r="C276" t="s">
        <v>475</v>
      </c>
      <c r="D276" t="s">
        <v>880</v>
      </c>
      <c r="E276" s="3" t="str">
        <f>HYPERLINK("https://www.amazon.com/Thymes-Goldleaf-Gardenia-Perfumed-Luxury/dp/B06W5DQWGQ/ref=sr_1_2?keywords=Thymes+Goldleaf+Gardenia+Hand+Wash&amp;qid=1695258751&amp;sr=8-2", "https://www.amazon.com/Thymes-Goldleaf-Gardenia-Perfumed-Luxury/dp/B06W5DQWGQ/ref=sr_1_2?keywords=Thymes+Goldleaf+Gardenia+Hand+Wash&amp;qid=1695258751&amp;sr=8-2")</f>
        <v>https://www.amazon.com/Thymes-Goldleaf-Gardenia-Perfumed-Luxury/dp/B06W5DQWGQ/ref=sr_1_2?keywords=Thymes+Goldleaf+Gardenia+Hand+Wash&amp;qid=1695258751&amp;sr=8-2</v>
      </c>
      <c r="F276" t="s">
        <v>881</v>
      </c>
      <c r="G276" t="e">
        <f ca="1">IMAGE("https://heavenlyouthouse.com/cdn/shop/files/thymes-goldleaf-gardenia-hand-wash.jpg?v=1685637533")</f>
        <v>#NAME?</v>
      </c>
      <c r="H276" t="e">
        <f ca="1">IMAGE("https://m.media-amazon.com/images/I/51TT9TA52ML._AC_UL320_.jpg")</f>
        <v>#NAME?</v>
      </c>
      <c r="I276" t="s">
        <v>86</v>
      </c>
      <c r="J276">
        <v>24</v>
      </c>
      <c r="K276" s="2" t="s">
        <v>873</v>
      </c>
      <c r="L276">
        <v>4.5999999999999996</v>
      </c>
      <c r="M276">
        <v>1742</v>
      </c>
      <c r="O276" t="s">
        <v>39</v>
      </c>
      <c r="P276" t="s">
        <v>39</v>
      </c>
      <c r="Q276" t="s">
        <v>478</v>
      </c>
    </row>
    <row r="277" spans="1:17" ht="15.75" x14ac:dyDescent="0.25">
      <c r="A277" s="3" t="str">
        <f>HYPERLINK("https://heavenlyouthouse.com/products/wherever-i-go-mothers-day-card", "https://heavenlyouthouse.com/products/wherever-i-go-mothers-day-card")</f>
        <v>https://heavenlyouthouse.com/products/wherever-i-go-mothers-day-card</v>
      </c>
      <c r="B277" s="3" t="str">
        <f>HYPERLINK("https://heavenlyouthouse.com/products/wherever-i-go-mothers-day-card", "https://heavenlyouthouse.com/products/wherever-i-go-mothers-day-card")</f>
        <v>https://heavenlyouthouse.com/products/wherever-i-go-mothers-day-card</v>
      </c>
      <c r="C277" t="s">
        <v>882</v>
      </c>
      <c r="D277" t="s">
        <v>883</v>
      </c>
      <c r="E277" s="3" t="str">
        <f>HYPERLINK("https://www.amazon.com/Papyrus-Mothers-Card-Holds-Together/dp/B0BGRF5JL2/ref=sr_1_2?keywords=Your+Love+Guides+Me+Mother%27s+Day+Card&amp;qid=1695258835&amp;sr=8-2", "https://www.amazon.com/Papyrus-Mothers-Card-Holds-Together/dp/B0BGRF5JL2/ref=sr_1_2?keywords=Your+Love+Guides+Me+Mother%27s+Day+Card&amp;qid=1695258835&amp;sr=8-2")</f>
        <v>https://www.amazon.com/Papyrus-Mothers-Card-Holds-Together/dp/B0BGRF5JL2/ref=sr_1_2?keywords=Your+Love+Guides+Me+Mother%27s+Day+Card&amp;qid=1695258835&amp;sr=8-2</v>
      </c>
      <c r="F277" t="s">
        <v>884</v>
      </c>
      <c r="G277" t="e">
        <f ca="1">IMAGE("https://heavenlyouthouse.com/cdn/shop/products/605030156217papyruslongdistancemother_sdaycard.jpg?v=1619454979")</f>
        <v>#NAME?</v>
      </c>
      <c r="H277" t="e">
        <f ca="1">IMAGE("https://m.media-amazon.com/images/I/910t+Ob46KL._AC_UL320_.jpg")</f>
        <v>#NAME?</v>
      </c>
      <c r="I277" t="s">
        <v>239</v>
      </c>
      <c r="J277">
        <v>8.59</v>
      </c>
      <c r="K277" s="2" t="s">
        <v>873</v>
      </c>
      <c r="L277">
        <v>4.8</v>
      </c>
      <c r="M277">
        <v>194</v>
      </c>
      <c r="O277" t="s">
        <v>39</v>
      </c>
      <c r="P277" t="s">
        <v>39</v>
      </c>
      <c r="Q277" t="s">
        <v>885</v>
      </c>
    </row>
    <row r="278" spans="1:17" ht="15.75" x14ac:dyDescent="0.25">
      <c r="A278" s="3" t="str">
        <f>HYPERLINK("https://heavenlyouthouse.com/products/super-dad-fathers-day-card", "https://heavenlyouthouse.com/products/super-dad-fathers-day-card")</f>
        <v>https://heavenlyouthouse.com/products/super-dad-fathers-day-card</v>
      </c>
      <c r="B278" s="3" t="str">
        <f>HYPERLINK("https://heavenlyouthouse.com/products/super-dad-fathers-day-card", "https://heavenlyouthouse.com/products/super-dad-fathers-day-card")</f>
        <v>https://heavenlyouthouse.com/products/super-dad-fathers-day-card</v>
      </c>
      <c r="C278" t="s">
        <v>886</v>
      </c>
      <c r="D278" t="s">
        <v>887</v>
      </c>
      <c r="E278" s="3" t="str">
        <f>HYPERLINK("https://www.amazon.com/iGifts-Cards-Super-Greeting-Card/dp/B089471GGM/ref=sr_1_1?keywords=Super+Dad+Father%27s+Day+Card&amp;qid=1695258705&amp;sr=8-1", "https://www.amazon.com/iGifts-Cards-Super-Greeting-Card/dp/B089471GGM/ref=sr_1_1?keywords=Super+Dad+Father%27s+Day+Card&amp;qid=1695258705&amp;sr=8-1")</f>
        <v>https://www.amazon.com/iGifts-Cards-Super-Greeting-Card/dp/B089471GGM/ref=sr_1_1?keywords=Super+Dad+Father%27s+Day+Card&amp;qid=1695258705&amp;sr=8-1</v>
      </c>
      <c r="F278" t="s">
        <v>888</v>
      </c>
      <c r="G278" t="e">
        <f ca="1">IMAGE("https://heavenlyouthouse.com/cdn/shop/products/super-dad-father_s-day-card2.jpg?v=1642611898")</f>
        <v>#NAME?</v>
      </c>
      <c r="H278" t="e">
        <f ca="1">IMAGE("https://m.media-amazon.com/images/I/81Y1nibJtlL._AC_UL320_.jpg")</f>
        <v>#NAME?</v>
      </c>
      <c r="I278" t="s">
        <v>889</v>
      </c>
      <c r="J278">
        <v>11.95</v>
      </c>
      <c r="K278" s="2" t="s">
        <v>890</v>
      </c>
      <c r="L278">
        <v>4.5999999999999996</v>
      </c>
      <c r="M278">
        <v>26</v>
      </c>
      <c r="O278" t="s">
        <v>39</v>
      </c>
      <c r="P278" t="s">
        <v>891</v>
      </c>
      <c r="Q278" t="s">
        <v>892</v>
      </c>
    </row>
    <row r="279" spans="1:17" ht="15.75" x14ac:dyDescent="0.25">
      <c r="A279" s="3" t="str">
        <f>HYPERLINK("https://heavenlyouthouse.com/products/to-my-husband-fathers-day-card", "https://heavenlyouthouse.com/products/to-my-husband-fathers-day-card")</f>
        <v>https://heavenlyouthouse.com/products/to-my-husband-fathers-day-card</v>
      </c>
      <c r="B279" s="3" t="str">
        <f>HYPERLINK("https://heavenlyouthouse.com/products/to-my-husband-fathers-day-card", "https://heavenlyouthouse.com/products/to-my-husband-fathers-day-card")</f>
        <v>https://heavenlyouthouse.com/products/to-my-husband-fathers-day-card</v>
      </c>
      <c r="C279" t="s">
        <v>893</v>
      </c>
      <c r="D279" t="s">
        <v>894</v>
      </c>
      <c r="E279" s="3" t="str">
        <f>HYPERLINK("https://www.amazon.com/UK-Greetings-Fathers-Day-Card/dp/B09XMT1743/ref=sr_1_1?keywords=To+My+Husband+Father%27s+Day+Card&amp;qid=1695258791&amp;sr=8-1", "https://www.amazon.com/UK-Greetings-Fathers-Day-Card/dp/B09XMT1743/ref=sr_1_1?keywords=To+My+Husband+Father%27s+Day+Card&amp;qid=1695258791&amp;sr=8-1")</f>
        <v>https://www.amazon.com/UK-Greetings-Fathers-Day-Card/dp/B09XMT1743/ref=sr_1_1?keywords=To+My+Husband+Father%27s+Day+Card&amp;qid=1695258791&amp;sr=8-1</v>
      </c>
      <c r="F279" t="s">
        <v>895</v>
      </c>
      <c r="G279" t="e">
        <f ca="1">IMAGE("https://heavenlyouthouse.com/cdn/shop/products/papyrustomyhusbandfather_sdaycard1_1.jpg?v=1621621174")</f>
        <v>#NAME?</v>
      </c>
      <c r="H279" t="e">
        <f ca="1">IMAGE("https://m.media-amazon.com/images/I/816rS5xK8XL._AC_UL320_.jpg")</f>
        <v>#NAME?</v>
      </c>
      <c r="I279" t="s">
        <v>92</v>
      </c>
      <c r="J279">
        <v>8.99</v>
      </c>
      <c r="K279" s="2" t="s">
        <v>896</v>
      </c>
      <c r="L279">
        <v>4.8</v>
      </c>
      <c r="M279">
        <v>26</v>
      </c>
      <c r="O279" t="s">
        <v>39</v>
      </c>
      <c r="P279" t="s">
        <v>39</v>
      </c>
      <c r="Q279" t="s">
        <v>897</v>
      </c>
    </row>
    <row r="280" spans="1:17" ht="15.75" x14ac:dyDescent="0.25">
      <c r="A280" s="3" t="str">
        <f>HYPERLINK("https://heavenlyouthouse.com/products/vanilla-coconut-lip-butter", "https://heavenlyouthouse.com/products/vanilla-coconut-lip-butter")</f>
        <v>https://heavenlyouthouse.com/products/vanilla-coconut-lip-butter</v>
      </c>
      <c r="B280" s="3" t="str">
        <f>HYPERLINK("https://heavenlyouthouse.com/products/vanilla-coconut-lip-butter", "https://heavenlyouthouse.com/products/vanilla-coconut-lip-butter")</f>
        <v>https://heavenlyouthouse.com/products/vanilla-coconut-lip-butter</v>
      </c>
      <c r="C280" t="s">
        <v>179</v>
      </c>
      <c r="D280" t="s">
        <v>898</v>
      </c>
      <c r="E280" s="3" t="str">
        <f>HYPERLINK("https://www.amazon.com/HEMPZ-Natural-Lip-Balm-Moisturizing/dp/B0BNP9B4V6/ref=sr_1_3?keywords=Vanilla+Coconut+Lip+Butter&amp;qid=1695258806&amp;sr=8-3", "https://www.amazon.com/HEMPZ-Natural-Lip-Balm-Moisturizing/dp/B0BNP9B4V6/ref=sr_1_3?keywords=Vanilla+Coconut+Lip+Butter&amp;qid=1695258806&amp;sr=8-3")</f>
        <v>https://www.amazon.com/HEMPZ-Natural-Lip-Balm-Moisturizing/dp/B0BNP9B4V6/ref=sr_1_3?keywords=Vanilla+Coconut+Lip+Butter&amp;qid=1695258806&amp;sr=8-3</v>
      </c>
      <c r="F280" t="s">
        <v>899</v>
      </c>
      <c r="G280" t="e">
        <f ca="1">IMAGE("https://heavenlyouthouse.com/cdn/shop/products/vanilla_coconut_lip_butter_2000x_a349e62e-0577-4340-b194-e2f9012f9936.jpg?v=1587831837")</f>
        <v>#NAME?</v>
      </c>
      <c r="H280" t="e">
        <f ca="1">IMAGE("https://m.media-amazon.com/images/I/71kCQVwR54L._AC_UL320_.jpg")</f>
        <v>#NAME?</v>
      </c>
      <c r="I280" t="s">
        <v>92</v>
      </c>
      <c r="J280">
        <v>8.99</v>
      </c>
      <c r="K280" s="2" t="s">
        <v>896</v>
      </c>
      <c r="L280">
        <v>4.5</v>
      </c>
      <c r="M280">
        <v>2307</v>
      </c>
      <c r="O280" t="s">
        <v>39</v>
      </c>
      <c r="P280" t="s">
        <v>39</v>
      </c>
      <c r="Q280" t="s">
        <v>183</v>
      </c>
    </row>
    <row r="281" spans="1:17" ht="15.75" x14ac:dyDescent="0.25">
      <c r="A281" s="3" t="str">
        <f>HYPERLINK("https://heavenlyouthouse.com/products/to-my-husband-fathers-day-card", "https://heavenlyouthouse.com/products/to-my-husband-fathers-day-card")</f>
        <v>https://heavenlyouthouse.com/products/to-my-husband-fathers-day-card</v>
      </c>
      <c r="B281" s="3" t="str">
        <f>HYPERLINK("https://heavenlyouthouse.com/products/to-my-husband-fathers-day-card", "https://heavenlyouthouse.com/products/to-my-husband-fathers-day-card")</f>
        <v>https://heavenlyouthouse.com/products/to-my-husband-fathers-day-card</v>
      </c>
      <c r="C281" t="s">
        <v>893</v>
      </c>
      <c r="D281" t="s">
        <v>900</v>
      </c>
      <c r="E281" s="3" t="str">
        <f>HYPERLINK("https://www.amazon.com/Happy-Fathers-Favorite-DILF-Husband/dp/B07R6RHYWF/ref=sr_1_9?keywords=To+My+Husband+Father%27s+Day+Card&amp;qid=1695258791&amp;sr=8-9", "https://www.amazon.com/Happy-Fathers-Favorite-DILF-Husband/dp/B07R6RHYWF/ref=sr_1_9?keywords=To+My+Husband+Father%27s+Day+Card&amp;qid=1695258791&amp;sr=8-9")</f>
        <v>https://www.amazon.com/Happy-Fathers-Favorite-DILF-Husband/dp/B07R6RHYWF/ref=sr_1_9?keywords=To+My+Husband+Father%27s+Day+Card&amp;qid=1695258791&amp;sr=8-9</v>
      </c>
      <c r="F281" t="s">
        <v>901</v>
      </c>
      <c r="G281" t="e">
        <f ca="1">IMAGE("https://heavenlyouthouse.com/cdn/shop/products/papyrustomyhusbandfather_sdaycard1_1.jpg?v=1621621174")</f>
        <v>#NAME?</v>
      </c>
      <c r="H281" t="e">
        <f ca="1">IMAGE("https://m.media-amazon.com/images/I/71QVO2mMU6L._AC_UL320_.jpg")</f>
        <v>#NAME?</v>
      </c>
      <c r="I281" t="s">
        <v>92</v>
      </c>
      <c r="J281">
        <v>8.99</v>
      </c>
      <c r="K281" s="2" t="s">
        <v>896</v>
      </c>
      <c r="L281">
        <v>4.8</v>
      </c>
      <c r="M281">
        <v>459</v>
      </c>
      <c r="O281" t="s">
        <v>39</v>
      </c>
      <c r="P281" t="s">
        <v>39</v>
      </c>
      <c r="Q281" t="s">
        <v>897</v>
      </c>
    </row>
    <row r="282" spans="1:17" ht="15.75" x14ac:dyDescent="0.25">
      <c r="A282" s="3" t="str">
        <f>HYPERLINK("https://heavenlyouthouse.com/products/poo-pourri-ship-happens-toilet-spray?variant=39334163808345", "https://heavenlyouthouse.com/products/poo-pourri-ship-happens-toilet-spray?variant=39334163808345")</f>
        <v>https://heavenlyouthouse.com/products/poo-pourri-ship-happens-toilet-spray?variant=39334163808345</v>
      </c>
      <c r="B282" s="3" t="str">
        <f>HYPERLINK("https://heavenlyouthouse.com/products/poo-pourri-ship-happens-toilet-spray", "https://heavenlyouthouse.com/products/poo-pourri-ship-happens-toilet-spray")</f>
        <v>https://heavenlyouthouse.com/products/poo-pourri-ship-happens-toilet-spray</v>
      </c>
      <c r="C282" t="s">
        <v>505</v>
      </c>
      <c r="D282" t="s">
        <v>902</v>
      </c>
      <c r="E282" s="3" t="str">
        <f>HYPERLINK("https://www.amazon.com/Poo-Pourri-Happens-Before-Toilet-Bottle/dp/B07ST6VYCQ/ref=sr_1_2?keywords=Poo-Pourri+Ship+Happens+Toilet+Spray&amp;qid=1695258653&amp;sr=8-2", "https://www.amazon.com/Poo-Pourri-Happens-Before-Toilet-Bottle/dp/B07ST6VYCQ/ref=sr_1_2?keywords=Poo-Pourri+Ship+Happens+Toilet+Spray&amp;qid=1695258653&amp;sr=8-2")</f>
        <v>https://www.amazon.com/Poo-Pourri-Happens-Before-Toilet-Bottle/dp/B07ST6VYCQ/ref=sr_1_2?keywords=Poo-Pourri+Ship+Happens+Toilet+Spray&amp;qid=1695258653&amp;sr=8-2</v>
      </c>
      <c r="F282" t="s">
        <v>903</v>
      </c>
      <c r="G282" t="e">
        <f ca="1">IMAGE("https://heavenlyouthouse.com/cdn/shop/products/Poo-pourrishiphappenstoiletbathroomspray2.jpg?v=1621615827")</f>
        <v>#NAME?</v>
      </c>
      <c r="H282" t="e">
        <f ca="1">IMAGE("https://m.media-amazon.com/images/I/91s2g0ZKulL._AC_UL320_.jpg")</f>
        <v>#NAME?</v>
      </c>
      <c r="I282" t="s">
        <v>362</v>
      </c>
      <c r="J282">
        <v>16.899999999999999</v>
      </c>
      <c r="K282" s="2" t="s">
        <v>896</v>
      </c>
      <c r="L282">
        <v>4.5</v>
      </c>
      <c r="M282">
        <v>111</v>
      </c>
      <c r="O282" t="s">
        <v>136</v>
      </c>
      <c r="P282" t="s">
        <v>363</v>
      </c>
      <c r="Q282" t="s">
        <v>509</v>
      </c>
    </row>
    <row r="283" spans="1:17" ht="15.75" x14ac:dyDescent="0.25">
      <c r="A283" s="3" t="str">
        <f>HYPERLINK("https://heavenlyouthouse.com/products/thymes-passionfruit-neroli-hard-working-hand-cream?variant=32382344659033", "https://heavenlyouthouse.com/products/thymes-passionfruit-neroli-hard-working-hand-cream?variant=32382344659033")</f>
        <v>https://heavenlyouthouse.com/products/thymes-passionfruit-neroli-hard-working-hand-cream?variant=32382344659033</v>
      </c>
      <c r="B283" s="3" t="str">
        <f>HYPERLINK("https://heavenlyouthouse.com/products/thymes-passionfruit-neroli-hard-working-hand-cream", "https://heavenlyouthouse.com/products/thymes-passionfruit-neroli-hard-working-hand-cream")</f>
        <v>https://heavenlyouthouse.com/products/thymes-passionfruit-neroli-hard-working-hand-cream</v>
      </c>
      <c r="C283" t="s">
        <v>904</v>
      </c>
      <c r="D283" t="s">
        <v>905</v>
      </c>
      <c r="E283" s="3" t="str">
        <f>HYPERLINK("https://www.amazon.com/Thymes-Hard-Working-Hand-Cream-Magnolia/dp/B0B1G56QBJ/ref=sr_1_2?keywords=Thymes+Passionfruit+Neroli+Hard-Working+Hand+Cream&amp;qid=1695258782&amp;sr=8-2", "https://www.amazon.com/Thymes-Hard-Working-Hand-Cream-Magnolia/dp/B0B1G56QBJ/ref=sr_1_2?keywords=Thymes+Passionfruit+Neroli+Hard-Working+Hand+Cream&amp;qid=1695258782&amp;sr=8-2")</f>
        <v>https://www.amazon.com/Thymes-Hard-Working-Hand-Cream-Magnolia/dp/B0B1G56QBJ/ref=sr_1_2?keywords=Thymes+Passionfruit+Neroli+Hard-Working+Hand+Cream&amp;qid=1695258782&amp;sr=8-2</v>
      </c>
      <c r="F283" t="s">
        <v>906</v>
      </c>
      <c r="G283" t="e">
        <f ca="1">IMAGE("https://heavenlyouthouse.com/cdn/shop/products/ThymesPassionfruitNerolihandcream.jpg?v=1613150456")</f>
        <v>#NAME?</v>
      </c>
      <c r="H283" t="e">
        <f ca="1">IMAGE("https://m.media-amazon.com/images/I/51E3NBvhU3L._AC_UL320_.jpg")</f>
        <v>#NAME?</v>
      </c>
      <c r="I283" t="s">
        <v>306</v>
      </c>
      <c r="J283">
        <v>18</v>
      </c>
      <c r="K283" s="2" t="s">
        <v>896</v>
      </c>
      <c r="L283">
        <v>4.3</v>
      </c>
      <c r="M283">
        <v>8</v>
      </c>
      <c r="O283" t="s">
        <v>136</v>
      </c>
      <c r="P283" t="s">
        <v>907</v>
      </c>
      <c r="Q283" t="s">
        <v>908</v>
      </c>
    </row>
    <row r="284" spans="1:17" ht="15.75" x14ac:dyDescent="0.25">
      <c r="A284" s="3" t="str">
        <f>HYPERLINK("https://heavenlyouthouse.com/products/vanilla-coconut-lip-butter", "https://heavenlyouthouse.com/products/vanilla-coconut-lip-butter")</f>
        <v>https://heavenlyouthouse.com/products/vanilla-coconut-lip-butter</v>
      </c>
      <c r="B284" s="3" t="str">
        <f>HYPERLINK("https://heavenlyouthouse.com/products/vanilla-coconut-lip-butter", "https://heavenlyouthouse.com/products/vanilla-coconut-lip-butter")</f>
        <v>https://heavenlyouthouse.com/products/vanilla-coconut-lip-butter</v>
      </c>
      <c r="C284" t="s">
        <v>179</v>
      </c>
      <c r="D284" t="s">
        <v>909</v>
      </c>
      <c r="E284" s="3" t="str">
        <f>HYPERLINK("https://www.amazon.com/USDA-Organic-4-Pack-Earths-Daughter/dp/B08MQ175H8/ref=sr_1_10?keywords=Vanilla+Coconut+Lip+Butter&amp;qid=1695258806&amp;sr=8-10", "https://www.amazon.com/USDA-Organic-4-Pack-Earths-Daughter/dp/B08MQ175H8/ref=sr_1_10?keywords=Vanilla+Coconut+Lip+Butter&amp;qid=1695258806&amp;sr=8-10")</f>
        <v>https://www.amazon.com/USDA-Organic-4-Pack-Earths-Daughter/dp/B08MQ175H8/ref=sr_1_10?keywords=Vanilla+Coconut+Lip+Butter&amp;qid=1695258806&amp;sr=8-10</v>
      </c>
      <c r="F284" t="s">
        <v>910</v>
      </c>
      <c r="G284" t="e">
        <f ca="1">IMAGE("https://heavenlyouthouse.com/cdn/shop/products/vanilla_coconut_lip_butter_2000x_a349e62e-0577-4340-b194-e2f9012f9936.jpg?v=1587831837")</f>
        <v>#NAME?</v>
      </c>
      <c r="H284" t="e">
        <f ca="1">IMAGE("https://m.media-amazon.com/images/I/71uYZeHyx2L._AC_UL320_.jpg")</f>
        <v>#NAME?</v>
      </c>
      <c r="I284" t="s">
        <v>92</v>
      </c>
      <c r="J284">
        <v>8.9499999999999993</v>
      </c>
      <c r="K284" s="2" t="s">
        <v>896</v>
      </c>
      <c r="L284">
        <v>4.5999999999999996</v>
      </c>
      <c r="M284">
        <v>12003</v>
      </c>
      <c r="O284" t="s">
        <v>39</v>
      </c>
      <c r="P284" t="s">
        <v>39</v>
      </c>
      <c r="Q284" t="s">
        <v>183</v>
      </c>
    </row>
    <row r="285" spans="1:17" ht="15.75" x14ac:dyDescent="0.25">
      <c r="A285" s="3" t="str">
        <f>HYPERLINK("https://heavenlyouthouse.com/products/thymes-frasier-fir-pine-needle-candle-set", "https://heavenlyouthouse.com/products/thymes-frasier-fir-pine-needle-candle-set")</f>
        <v>https://heavenlyouthouse.com/products/thymes-frasier-fir-pine-needle-candle-set</v>
      </c>
      <c r="B285" s="3" t="str">
        <f>HYPERLINK("https://heavenlyouthouse.com/products/thymes-frasier-fir-pine-needle-candle-set", "https://heavenlyouthouse.com/products/thymes-frasier-fir-pine-needle-candle-set")</f>
        <v>https://heavenlyouthouse.com/products/thymes-frasier-fir-pine-needle-candle-set</v>
      </c>
      <c r="C285" t="s">
        <v>335</v>
      </c>
      <c r="D285" t="s">
        <v>223</v>
      </c>
      <c r="E285" s="3" t="str">
        <f>HYPERLINK("https://www.amazon.com/Thymes-Needle-Frasier-Luminary-Candle/dp/B0B9CDSR3K/ref=sr_1_10?keywords=Thymes+Frasier+Fir+Pine+Needle+Candle+Set&amp;qid=1695258733&amp;sr=8-10", "https://www.amazon.com/Thymes-Needle-Frasier-Luminary-Candle/dp/B0B9CDSR3K/ref=sr_1_10?keywords=Thymes+Frasier+Fir+Pine+Needle+Candle+Set&amp;qid=1695258733&amp;sr=8-10")</f>
        <v>https://www.amazon.com/Thymes-Needle-Frasier-Luminary-Candle/dp/B0B9CDSR3K/ref=sr_1_10?keywords=Thymes+Frasier+Fir+Pine+Needle+Candle+Set&amp;qid=1695258733&amp;sr=8-10</v>
      </c>
      <c r="F285" t="s">
        <v>224</v>
      </c>
      <c r="G285" t="e">
        <f ca="1">IMAGE("https://heavenlyouthouse.com/cdn/shop/products/thymes-frasier-fir-pine-needle-candle-set.jpg?v=1661983035")</f>
        <v>#NAME?</v>
      </c>
      <c r="H285" t="e">
        <f ca="1">IMAGE("https://m.media-amazon.com/images/I/71YqOVLEPjL._AC_UL320_.jpg")</f>
        <v>#NAME?</v>
      </c>
      <c r="I285" t="s">
        <v>336</v>
      </c>
      <c r="J285">
        <v>56</v>
      </c>
      <c r="K285" s="2" t="s">
        <v>911</v>
      </c>
      <c r="L285">
        <v>5</v>
      </c>
      <c r="M285">
        <v>1</v>
      </c>
      <c r="O285" t="s">
        <v>39</v>
      </c>
      <c r="P285" t="s">
        <v>39</v>
      </c>
      <c r="Q285" t="s">
        <v>338</v>
      </c>
    </row>
    <row r="286" spans="1:17" ht="15.75" x14ac:dyDescent="0.25">
      <c r="A286" s="3" t="str">
        <f>HYPERLINK("https://heavenlyouthouse.com/products/vanilla-coconut-foaming-wash", "https://heavenlyouthouse.com/products/vanilla-coconut-foaming-wash")</f>
        <v>https://heavenlyouthouse.com/products/vanilla-coconut-foaming-wash</v>
      </c>
      <c r="B286" s="3" t="str">
        <f>HYPERLINK("https://heavenlyouthouse.com/products/vanilla-coconut-foaming-wash", "https://heavenlyouthouse.com/products/vanilla-coconut-foaming-wash")</f>
        <v>https://heavenlyouthouse.com/products/vanilla-coconut-foaming-wash</v>
      </c>
      <c r="C286" t="s">
        <v>390</v>
      </c>
      <c r="D286" t="s">
        <v>912</v>
      </c>
      <c r="E286" s="3" t="str">
        <f>HYPERLINK("https://www.amazon.com/Tahitian-Hydrating-Cleanses-Stripping-Cruelty-Free/dp/B0B142XTDT/ref=sr_1_9?keywords=Vanilla+Coconut+Foaming+Wash&amp;qid=1695258837&amp;sr=8-9", "https://www.amazon.com/Tahitian-Hydrating-Cleanses-Stripping-Cruelty-Free/dp/B0B142XTDT/ref=sr_1_9?keywords=Vanilla+Coconut+Foaming+Wash&amp;qid=1695258837&amp;sr=8-9")</f>
        <v>https://www.amazon.com/Tahitian-Hydrating-Cleanses-Stripping-Cruelty-Free/dp/B0B142XTDT/ref=sr_1_9?keywords=Vanilla+Coconut+Foaming+Wash&amp;qid=1695258837&amp;sr=8-9</v>
      </c>
      <c r="F286" t="s">
        <v>913</v>
      </c>
      <c r="G286" t="e">
        <f ca="1">IMAGE("https://heavenlyouthouse.com/cdn/shop/products/vanilla-coconut-foaming-wash_2000x_7648654b-2503-4219-a1cd-2f8e8ea738eb.jpg?v=1586812094")</f>
        <v>#NAME?</v>
      </c>
      <c r="H286" t="e">
        <f ca="1">IMAGE("https://m.media-amazon.com/images/I/61gPS1UdXVL._AC_UL320_.jpg")</f>
        <v>#NAME?</v>
      </c>
      <c r="I286" t="s">
        <v>233</v>
      </c>
      <c r="J286">
        <v>17.899999999999999</v>
      </c>
      <c r="K286" s="2" t="s">
        <v>911</v>
      </c>
      <c r="L286">
        <v>4.5999999999999996</v>
      </c>
      <c r="M286">
        <v>611</v>
      </c>
      <c r="O286" t="s">
        <v>39</v>
      </c>
      <c r="P286" t="s">
        <v>394</v>
      </c>
      <c r="Q286" t="s">
        <v>395</v>
      </c>
    </row>
    <row r="287" spans="1:17" ht="15.75" x14ac:dyDescent="0.25">
      <c r="A287" s="3" t="str">
        <f>HYPERLINK("https://heavenlyouthouse.com/products/thymes-frasier-fir-pine-needle-candle", "https://heavenlyouthouse.com/products/thymes-frasier-fir-pine-needle-candle")</f>
        <v>https://heavenlyouthouse.com/products/thymes-frasier-fir-pine-needle-candle</v>
      </c>
      <c r="B287" s="3" t="str">
        <f>HYPERLINK("https://heavenlyouthouse.com/products/thymes-frasier-fir-pine-needle-candle", "https://heavenlyouthouse.com/products/thymes-frasier-fir-pine-needle-candle")</f>
        <v>https://heavenlyouthouse.com/products/thymes-frasier-fir-pine-needle-candle</v>
      </c>
      <c r="C287" t="s">
        <v>263</v>
      </c>
      <c r="D287" t="s">
        <v>519</v>
      </c>
      <c r="E287" s="3" t="str">
        <f>HYPERLINK("https://www.amazon.com/Thymes-Frasier-Limited-3-Wick-Statement/dp/B01KIH4W6W/ref=sr_1_8?keywords=Thymes+Frasier+Fir+Pine+Needle+Candle&amp;qid=1695258736&amp;sr=8-8", "https://www.amazon.com/Thymes-Frasier-Limited-3-Wick-Statement/dp/B01KIH4W6W/ref=sr_1_8?keywords=Thymes+Frasier+Fir+Pine+Needle+Candle&amp;qid=1695258736&amp;sr=8-8")</f>
        <v>https://www.amazon.com/Thymes-Frasier-Limited-3-Wick-Statement/dp/B01KIH4W6W/ref=sr_1_8?keywords=Thymes+Frasier+Fir+Pine+Needle+Candle&amp;qid=1695258736&amp;sr=8-8</v>
      </c>
      <c r="F287" t="s">
        <v>520</v>
      </c>
      <c r="G287" t="e">
        <f ca="1">IMAGE("https://heavenlyouthouse.com/cdn/shop/products/thymesfrasierfirpineneedlecandle6.5oz.jpg?v=1619632712")</f>
        <v>#NAME?</v>
      </c>
      <c r="H287" t="e">
        <f ca="1">IMAGE("https://m.media-amazon.com/images/I/71Vol+U+TwL._AC_UL320_.jpg")</f>
        <v>#NAME?</v>
      </c>
      <c r="I287" t="s">
        <v>264</v>
      </c>
      <c r="J287">
        <v>49</v>
      </c>
      <c r="K287" s="2" t="s">
        <v>914</v>
      </c>
      <c r="L287">
        <v>4.7</v>
      </c>
      <c r="M287">
        <v>162</v>
      </c>
      <c r="O287" t="s">
        <v>39</v>
      </c>
      <c r="P287" t="s">
        <v>266</v>
      </c>
      <c r="Q287" t="s">
        <v>267</v>
      </c>
    </row>
    <row r="288" spans="1:17" ht="15.75" x14ac:dyDescent="0.25">
      <c r="A288" s="3" t="str">
        <f>HYPERLINK("https://heavenlyouthouse.com/products/vanilla-coconut-organic-sugar-scrub", "https://heavenlyouthouse.com/products/vanilla-coconut-organic-sugar-scrub")</f>
        <v>https://heavenlyouthouse.com/products/vanilla-coconut-organic-sugar-scrub</v>
      </c>
      <c r="B288" s="3" t="str">
        <f>HYPERLINK("https://heavenlyouthouse.com/products/vanilla-coconut-organic-sugar-scrub", "https://heavenlyouthouse.com/products/vanilla-coconut-organic-sugar-scrub")</f>
        <v>https://heavenlyouthouse.com/products/vanilla-coconut-organic-sugar-scrub</v>
      </c>
      <c r="C288" t="s">
        <v>915</v>
      </c>
      <c r="D288" t="s">
        <v>916</v>
      </c>
      <c r="E288" s="3" t="str">
        <f>HYPERLINK("https://www.amazon.com/Premium-BROWN-SUGAR-Scrub-Exfoliating/dp/B07M5PKHWX/ref=sr_1_10?keywords=Vanilla+Coconut+Organic+Sugar+Scrub&amp;qid=1695258822&amp;sr=8-10", "https://www.amazon.com/Premium-BROWN-SUGAR-Scrub-Exfoliating/dp/B07M5PKHWX/ref=sr_1_10?keywords=Vanilla+Coconut+Organic+Sugar+Scrub&amp;qid=1695258822&amp;sr=8-10")</f>
        <v>https://www.amazon.com/Premium-BROWN-SUGAR-Scrub-Exfoliating/dp/B07M5PKHWX/ref=sr_1_10?keywords=Vanilla+Coconut+Organic+Sugar+Scrub&amp;qid=1695258822&amp;sr=8-10</v>
      </c>
      <c r="F288" t="s">
        <v>917</v>
      </c>
      <c r="G288" t="e">
        <f ca="1">IMAGE("https://heavenlyouthouse.com/cdn/shop/products/Scrub-Sugar-VanCo_2000x_f35c4b3f-b159-4b5a-8739-02941369e3ab.jpg?v=1591303172")</f>
        <v>#NAME?</v>
      </c>
      <c r="H288" t="e">
        <f ca="1">IMAGE("https://m.media-amazon.com/images/I/71c+PYW57BL._AC_UL320_.jpg")</f>
        <v>#NAME?</v>
      </c>
      <c r="I288" t="s">
        <v>918</v>
      </c>
      <c r="J288">
        <v>28.95</v>
      </c>
      <c r="K288" s="2" t="s">
        <v>914</v>
      </c>
      <c r="L288">
        <v>4.5999999999999996</v>
      </c>
      <c r="M288">
        <v>1473</v>
      </c>
      <c r="O288" t="s">
        <v>39</v>
      </c>
      <c r="P288" t="s">
        <v>39</v>
      </c>
      <c r="Q288" t="s">
        <v>919</v>
      </c>
    </row>
    <row r="289" spans="1:17" ht="15.75" x14ac:dyDescent="0.25">
      <c r="A289" s="3" t="str">
        <f>HYPERLINK("https://heavenlyouthouse.com/products/frasier-fir-green-reed-refill", "https://heavenlyouthouse.com/products/frasier-fir-green-reed-refill")</f>
        <v>https://heavenlyouthouse.com/products/frasier-fir-green-reed-refill</v>
      </c>
      <c r="B289" s="3" t="str">
        <f>HYPERLINK("https://heavenlyouthouse.com/products/frasier-fir-green-reed-refill", "https://heavenlyouthouse.com/products/frasier-fir-green-reed-refill")</f>
        <v>https://heavenlyouthouse.com/products/frasier-fir-green-reed-refill</v>
      </c>
      <c r="C289" t="s">
        <v>149</v>
      </c>
      <c r="D289" t="s">
        <v>920</v>
      </c>
      <c r="E289" s="3" t="str">
        <f>HYPERLINK("https://www.amazon.com/LOVSPA-Replacement-Evergreen-Sandalwood-Fragrance/dp/B0C88WPGJL/ref=sr_1_6?keywords=Thymes+Frasier+Fir+Green+Reed+Sticks+Refill&amp;qid=1695258725&amp;sr=8-6", "https://www.amazon.com/LOVSPA-Replacement-Evergreen-Sandalwood-Fragrance/dp/B0C88WPGJL/ref=sr_1_6?keywords=Thymes+Frasier+Fir+Green+Reed+Sticks+Refill&amp;qid=1695258725&amp;sr=8-6")</f>
        <v>https://www.amazon.com/LOVSPA-Replacement-Evergreen-Sandalwood-Fragrance/dp/B0C88WPGJL/ref=sr_1_6?keywords=Thymes+Frasier+Fir+Green+Reed+Sticks+Refill&amp;qid=1695258725&amp;sr=8-6</v>
      </c>
      <c r="F289" t="s">
        <v>921</v>
      </c>
      <c r="G289" t="e">
        <f ca="1">IMAGE("https://heavenlyouthouse.com/cdn/shop/products/Frasier-Fir-Heritage-Green-Reed-Refill.jpg?v=1605455568")</f>
        <v>#NAME?</v>
      </c>
      <c r="H289" t="e">
        <f ca="1">IMAGE("https://m.media-amazon.com/images/I/71apU4o-GcL._AC_UL320_.jpg")</f>
        <v>#NAME?</v>
      </c>
      <c r="I289" t="s">
        <v>152</v>
      </c>
      <c r="J289">
        <v>15.5</v>
      </c>
      <c r="K289" s="2" t="s">
        <v>914</v>
      </c>
      <c r="L289">
        <v>4.3</v>
      </c>
      <c r="M289">
        <v>24</v>
      </c>
      <c r="O289" t="s">
        <v>39</v>
      </c>
      <c r="P289" t="s">
        <v>39</v>
      </c>
      <c r="Q289" t="s">
        <v>154</v>
      </c>
    </row>
    <row r="290" spans="1:17" ht="15.75" x14ac:dyDescent="0.25">
      <c r="A290" s="3" t="str">
        <f>HYPERLINK("https://heavenlyouthouse.com/products/goldleaf-gardenia-hand-creme", "https://heavenlyouthouse.com/products/goldleaf-gardenia-hand-creme")</f>
        <v>https://heavenlyouthouse.com/products/goldleaf-gardenia-hand-creme</v>
      </c>
      <c r="B290" s="3" t="str">
        <f>HYPERLINK("https://heavenlyouthouse.com/products/goldleaf-gardenia-hand-creme", "https://heavenlyouthouse.com/products/goldleaf-gardenia-hand-creme")</f>
        <v>https://heavenlyouthouse.com/products/goldleaf-gardenia-hand-creme</v>
      </c>
      <c r="C290" t="s">
        <v>820</v>
      </c>
      <c r="D290" t="s">
        <v>635</v>
      </c>
      <c r="E290" s="3" t="str">
        <f>HYPERLINK("https://www.amazon.com/Thymes-Goldleaf-Gardenia-Perfumed-Moisturizing/dp/B06WGWNNV4/ref=sr_1_6?keywords=thymes+goldleaf+gardenia+hand+cream&amp;qid=1695258746&amp;sr=8-6", "https://www.amazon.com/Thymes-Goldleaf-Gardenia-Perfumed-Moisturizing/dp/B06WGWNNV4/ref=sr_1_6?keywords=thymes+goldleaf+gardenia+hand+cream&amp;qid=1695258746&amp;sr=8-6")</f>
        <v>https://www.amazon.com/Thymes-Goldleaf-Gardenia-Perfumed-Moisturizing/dp/B06WGWNNV4/ref=sr_1_6?keywords=thymes+goldleaf+gardenia+hand+cream&amp;qid=1695258746&amp;sr=8-6</v>
      </c>
      <c r="F290" t="s">
        <v>636</v>
      </c>
      <c r="G290" t="e">
        <f ca="1">IMAGE("https://heavenlyouthouse.com/cdn/shop/products/thymesgoldleafgardeniahandcreme90ml.jpg?v=1609953411")</f>
        <v>#NAME?</v>
      </c>
      <c r="H290" t="e">
        <f ca="1">IMAGE("https://m.media-amazon.com/images/I/814cM3dVNjL._AC_UL320_.jpg")</f>
        <v>#NAME?</v>
      </c>
      <c r="I290" t="s">
        <v>385</v>
      </c>
      <c r="J290">
        <v>32</v>
      </c>
      <c r="K290" s="2" t="s">
        <v>914</v>
      </c>
      <c r="L290">
        <v>4.5999999999999996</v>
      </c>
      <c r="M290">
        <v>2417</v>
      </c>
      <c r="O290" t="s">
        <v>39</v>
      </c>
      <c r="P290" t="s">
        <v>39</v>
      </c>
      <c r="Q290" t="s">
        <v>821</v>
      </c>
    </row>
    <row r="291" spans="1:17" ht="15.75" x14ac:dyDescent="0.25">
      <c r="A291" s="3" t="str">
        <f>HYPERLINK("https://heavenlyouthouse.com/products/thymes-goldleaf-gardenia-home-fragrance-mist", "https://heavenlyouthouse.com/products/thymes-goldleaf-gardenia-home-fragrance-mist")</f>
        <v>https://heavenlyouthouse.com/products/thymes-goldleaf-gardenia-home-fragrance-mist</v>
      </c>
      <c r="B291" s="3" t="str">
        <f>HYPERLINK("https://heavenlyouthouse.com/products/thymes-goldleaf-gardenia-home-fragrance-mist", "https://heavenlyouthouse.com/products/thymes-goldleaf-gardenia-home-fragrance-mist")</f>
        <v>https://heavenlyouthouse.com/products/thymes-goldleaf-gardenia-home-fragrance-mist</v>
      </c>
      <c r="C291" t="s">
        <v>922</v>
      </c>
      <c r="D291" t="s">
        <v>923</v>
      </c>
      <c r="E291" s="3" t="str">
        <f>HYPERLINK("https://www.amazon.com/Thymes-Aromatic-Candle-Goldleaf-Gardenia/dp/B08XR1T8K4/ref=sr_1_4?keywords=Thymes+Goldleaf+Gardenia+Home+Fragrance+Mist&amp;qid=1695258752&amp;sr=8-4", "https://www.amazon.com/Thymes-Aromatic-Candle-Goldleaf-Gardenia/dp/B08XR1T8K4/ref=sr_1_4?keywords=Thymes+Goldleaf+Gardenia+Home+Fragrance+Mist&amp;qid=1695258752&amp;sr=8-4")</f>
        <v>https://www.amazon.com/Thymes-Aromatic-Candle-Goldleaf-Gardenia/dp/B08XR1T8K4/ref=sr_1_4?keywords=Thymes+Goldleaf+Gardenia+Home+Fragrance+Mist&amp;qid=1695258752&amp;sr=8-4</v>
      </c>
      <c r="F291" t="s">
        <v>924</v>
      </c>
      <c r="G291" t="e">
        <f ca="1">IMAGE("https://heavenlyouthouse.com/cdn/shop/products/thymesgoldleafgardeniahomefragrancemist.jpg?v=1613748131")</f>
        <v>#NAME?</v>
      </c>
      <c r="H291" t="e">
        <f ca="1">IMAGE("https://m.media-amazon.com/images/I/314FwElzbhL._AC_UL320_.jpg")</f>
        <v>#NAME?</v>
      </c>
      <c r="I291" t="s">
        <v>385</v>
      </c>
      <c r="J291">
        <v>32</v>
      </c>
      <c r="K291" s="2" t="s">
        <v>914</v>
      </c>
      <c r="L291">
        <v>4.5</v>
      </c>
      <c r="M291">
        <v>197</v>
      </c>
      <c r="O291" t="s">
        <v>39</v>
      </c>
      <c r="P291" t="s">
        <v>39</v>
      </c>
      <c r="Q291" t="s">
        <v>925</v>
      </c>
    </row>
    <row r="292" spans="1:17" ht="15.75" x14ac:dyDescent="0.25">
      <c r="A292" s="3" t="str">
        <f>HYPERLINK("https://heavenlyouthouse.com/products/eucalyptus-hand-creme", "https://heavenlyouthouse.com/products/eucalyptus-hand-creme")</f>
        <v>https://heavenlyouthouse.com/products/eucalyptus-hand-creme</v>
      </c>
      <c r="B292" s="3" t="str">
        <f>HYPERLINK("https://heavenlyouthouse.com/products/eucalyptus-hand-creme", "https://heavenlyouthouse.com/products/eucalyptus-hand-creme")</f>
        <v>https://heavenlyouthouse.com/products/eucalyptus-hand-creme</v>
      </c>
      <c r="C292" t="s">
        <v>865</v>
      </c>
      <c r="D292" t="s">
        <v>629</v>
      </c>
      <c r="E292" s="3" t="str">
        <f>HYPERLINK("https://www.amazon.com/Eucalyptus-White-Tea-Hand-Cream/dp/B07RP2V9NP/ref=sr_1_3?keywords=thymes+eucalyptus+hand+cream&amp;qid=1695258718&amp;sr=8-3", "https://www.amazon.com/Eucalyptus-White-Tea-Hand-Cream/dp/B07RP2V9NP/ref=sr_1_3?keywords=thymes+eucalyptus+hand+cream&amp;qid=1695258718&amp;sr=8-3")</f>
        <v>https://www.amazon.com/Eucalyptus-White-Tea-Hand-Cream/dp/B07RP2V9NP/ref=sr_1_3?keywords=thymes+eucalyptus+hand+cream&amp;qid=1695258718&amp;sr=8-3</v>
      </c>
      <c r="F292" t="s">
        <v>630</v>
      </c>
      <c r="G292" t="e">
        <f ca="1">IMAGE("https://heavenlyouthouse.com/cdn/shop/products/hancreme.jpg?v=1588104623")</f>
        <v>#NAME?</v>
      </c>
      <c r="H292" t="e">
        <f ca="1">IMAGE("https://m.media-amazon.com/images/I/717tGSQpqfL._AC_UL320_.jpg")</f>
        <v>#NAME?</v>
      </c>
      <c r="I292" t="s">
        <v>385</v>
      </c>
      <c r="J292">
        <v>32</v>
      </c>
      <c r="K292" s="2" t="s">
        <v>914</v>
      </c>
      <c r="L292">
        <v>4.8</v>
      </c>
      <c r="M292">
        <v>401</v>
      </c>
      <c r="O292" t="s">
        <v>39</v>
      </c>
      <c r="P292" t="s">
        <v>39</v>
      </c>
      <c r="Q292" t="s">
        <v>866</v>
      </c>
    </row>
    <row r="293" spans="1:17" ht="15.75" x14ac:dyDescent="0.25">
      <c r="A293" s="3" t="str">
        <f>HYPERLINK("https://heavenlyouthouse.com/products/lavender-hand-creme", "https://heavenlyouthouse.com/products/lavender-hand-creme")</f>
        <v>https://heavenlyouthouse.com/products/lavender-hand-creme</v>
      </c>
      <c r="B293" s="3" t="str">
        <f>HYPERLINK("https://heavenlyouthouse.com/products/lavender-hand-creme", "https://heavenlyouthouse.com/products/lavender-hand-creme")</f>
        <v>https://heavenlyouthouse.com/products/lavender-hand-creme</v>
      </c>
      <c r="C293" t="s">
        <v>860</v>
      </c>
      <c r="D293" t="s">
        <v>926</v>
      </c>
      <c r="E293" s="3" t="str">
        <f>HYPERLINK("https://www.amazon.com/Thymes-Travel-Set-Beauty-Bag/dp/B08CVR11MS/ref=sr_1_5?keywords=thymes+lavender+hand+cream&amp;qid=1695258760&amp;sr=8-5", "https://www.amazon.com/Thymes-Travel-Set-Beauty-Bag/dp/B08CVR11MS/ref=sr_1_5?keywords=thymes+lavender+hand+cream&amp;qid=1695258760&amp;sr=8-5")</f>
        <v>https://www.amazon.com/Thymes-Travel-Set-Beauty-Bag/dp/B08CVR11MS/ref=sr_1_5?keywords=thymes+lavender+hand+cream&amp;qid=1695258760&amp;sr=8-5</v>
      </c>
      <c r="F293" t="s">
        <v>927</v>
      </c>
      <c r="G293" t="e">
        <f ca="1">IMAGE("https://heavenlyouthouse.com/cdn/shop/products/thymeslavenderhandcreme.jpg?v=1609951743")</f>
        <v>#NAME?</v>
      </c>
      <c r="H293" t="e">
        <f ca="1">IMAGE("https://m.media-amazon.com/images/I/71ZGXPxyJjL._AC_UL320_.jpg")</f>
        <v>#NAME?</v>
      </c>
      <c r="I293" t="s">
        <v>385</v>
      </c>
      <c r="J293">
        <v>32</v>
      </c>
      <c r="K293" s="2" t="s">
        <v>914</v>
      </c>
      <c r="L293">
        <v>4.5999999999999996</v>
      </c>
      <c r="M293">
        <v>91</v>
      </c>
      <c r="O293" t="s">
        <v>39</v>
      </c>
      <c r="P293" t="s">
        <v>39</v>
      </c>
      <c r="Q293" t="s">
        <v>861</v>
      </c>
    </row>
    <row r="294" spans="1:17" ht="15.75" x14ac:dyDescent="0.25">
      <c r="A294" s="3" t="str">
        <f>HYPERLINK("https://heavenlyouthouse.com/products/lavender-home-fragrance-mist", "https://heavenlyouthouse.com/products/lavender-home-fragrance-mist")</f>
        <v>https://heavenlyouthouse.com/products/lavender-home-fragrance-mist</v>
      </c>
      <c r="B294" s="3" t="str">
        <f>HYPERLINK("https://heavenlyouthouse.com/products/lavender-home-fragrance-mist", "https://heavenlyouthouse.com/products/lavender-home-fragrance-mist")</f>
        <v>https://heavenlyouthouse.com/products/lavender-home-fragrance-mist</v>
      </c>
      <c r="C294" t="s">
        <v>928</v>
      </c>
      <c r="D294" t="s">
        <v>929</v>
      </c>
      <c r="E294" s="3" t="str">
        <f>HYPERLINK("https://www.amazon.com/Thymes-Aromatic-Candle-7-5-Lavender/dp/B08XR156SJ/ref=sr_1_9?keywords=Thymes+Lavender+Home+Fragrance+Mist&amp;qid=1695258762&amp;sr=8-9", "https://www.amazon.com/Thymes-Aromatic-Candle-7-5-Lavender/dp/B08XR156SJ/ref=sr_1_9?keywords=Thymes+Lavender+Home+Fragrance+Mist&amp;qid=1695258762&amp;sr=8-9")</f>
        <v>https://www.amazon.com/Thymes-Aromatic-Candle-7-5-Lavender/dp/B08XR156SJ/ref=sr_1_9?keywords=Thymes+Lavender+Home+Fragrance+Mist&amp;qid=1695258762&amp;sr=8-9</v>
      </c>
      <c r="F294" t="s">
        <v>930</v>
      </c>
      <c r="G294" t="e">
        <f ca="1">IMAGE("https://heavenlyouthouse.com/cdn/shop/products/thymeslavenderhomefragrancemist.jpg?v=1606419352")</f>
        <v>#NAME?</v>
      </c>
      <c r="H294" t="e">
        <f ca="1">IMAGE("https://m.media-amazon.com/images/I/51a-LNETaML._AC_UL320_.jpg")</f>
        <v>#NAME?</v>
      </c>
      <c r="I294" t="s">
        <v>385</v>
      </c>
      <c r="J294">
        <v>32</v>
      </c>
      <c r="K294" s="2" t="s">
        <v>914</v>
      </c>
      <c r="L294">
        <v>4.5</v>
      </c>
      <c r="M294">
        <v>197</v>
      </c>
      <c r="O294" t="s">
        <v>39</v>
      </c>
      <c r="P294" t="s">
        <v>39</v>
      </c>
      <c r="Q294" t="s">
        <v>931</v>
      </c>
    </row>
    <row r="295" spans="1:17" ht="15.75" x14ac:dyDescent="0.25">
      <c r="A295" s="3" t="str">
        <f>HYPERLINK("https://heavenlyouthouse.com/products/goldleaf-hand-creme", "https://heavenlyouthouse.com/products/goldleaf-hand-creme")</f>
        <v>https://heavenlyouthouse.com/products/goldleaf-hand-creme</v>
      </c>
      <c r="B295" s="3" t="str">
        <f>HYPERLINK("https://heavenlyouthouse.com/products/goldleaf-hand-creme", "https://heavenlyouthouse.com/products/goldleaf-hand-creme")</f>
        <v>https://heavenlyouthouse.com/products/goldleaf-hand-creme</v>
      </c>
      <c r="C295" t="s">
        <v>816</v>
      </c>
      <c r="D295" t="s">
        <v>932</v>
      </c>
      <c r="E295" s="3" t="str">
        <f>HYPERLINK("https://www.amazon.com/Thymes-Goldleaf-Gardenia-Travel-Beauty/dp/B09HLB81LB/ref=sr_1_9?keywords=thymes+goldleaf+hand+cream&amp;qid=1695258754&amp;sr=8-9", "https://www.amazon.com/Thymes-Goldleaf-Gardenia-Travel-Beauty/dp/B09HLB81LB/ref=sr_1_9?keywords=thymes+goldleaf+hand+cream&amp;qid=1695258754&amp;sr=8-9")</f>
        <v>https://www.amazon.com/Thymes-Goldleaf-Gardenia-Travel-Beauty/dp/B09HLB81LB/ref=sr_1_9?keywords=thymes+goldleaf+hand+cream&amp;qid=1695258754&amp;sr=8-9</v>
      </c>
      <c r="F295" t="s">
        <v>933</v>
      </c>
      <c r="G295" t="e">
        <f ca="1">IMAGE("https://heavenlyouthouse.com/cdn/shop/products/handcream90ml.jpg?v=1587764262")</f>
        <v>#NAME?</v>
      </c>
      <c r="H295" t="e">
        <f ca="1">IMAGE("https://m.media-amazon.com/images/I/71TFsV4PQzL._AC_UL320_.jpg")</f>
        <v>#NAME?</v>
      </c>
      <c r="I295" t="s">
        <v>385</v>
      </c>
      <c r="J295">
        <v>32</v>
      </c>
      <c r="K295" s="2" t="s">
        <v>914</v>
      </c>
      <c r="L295">
        <v>4.5999999999999996</v>
      </c>
      <c r="M295">
        <v>91</v>
      </c>
      <c r="O295" t="s">
        <v>39</v>
      </c>
      <c r="P295" t="s">
        <v>818</v>
      </c>
      <c r="Q295" t="s">
        <v>819</v>
      </c>
    </row>
    <row r="296" spans="1:17" ht="15.75" x14ac:dyDescent="0.25">
      <c r="A296" s="3" t="str">
        <f>HYPERLINK("https://heavenlyouthouse.com/products/goldleaf-hand-creme", "https://heavenlyouthouse.com/products/goldleaf-hand-creme")</f>
        <v>https://heavenlyouthouse.com/products/goldleaf-hand-creme</v>
      </c>
      <c r="B296" s="3" t="str">
        <f>HYPERLINK("https://heavenlyouthouse.com/products/goldleaf-hand-creme", "https://heavenlyouthouse.com/products/goldleaf-hand-creme")</f>
        <v>https://heavenlyouthouse.com/products/goldleaf-hand-creme</v>
      </c>
      <c r="C296" t="s">
        <v>816</v>
      </c>
      <c r="D296" t="s">
        <v>637</v>
      </c>
      <c r="E296" s="3" t="str">
        <f>HYPERLINK("https://www.amazon.com/Thymes-Goldleaf-Perfumed-Deeply-Moisturizing/dp/B06XSNHQ5G/ref=sr_1_2?keywords=thymes+goldleaf+hand+cream&amp;qid=1695258754&amp;sr=8-2", "https://www.amazon.com/Thymes-Goldleaf-Perfumed-Deeply-Moisturizing/dp/B06XSNHQ5G/ref=sr_1_2?keywords=thymes+goldleaf+hand+cream&amp;qid=1695258754&amp;sr=8-2")</f>
        <v>https://www.amazon.com/Thymes-Goldleaf-Perfumed-Deeply-Moisturizing/dp/B06XSNHQ5G/ref=sr_1_2?keywords=thymes+goldleaf+hand+cream&amp;qid=1695258754&amp;sr=8-2</v>
      </c>
      <c r="F296" t="s">
        <v>638</v>
      </c>
      <c r="G296" t="e">
        <f ca="1">IMAGE("https://heavenlyouthouse.com/cdn/shop/products/handcream90ml.jpg?v=1587764262")</f>
        <v>#NAME?</v>
      </c>
      <c r="H296" t="e">
        <f ca="1">IMAGE("https://m.media-amazon.com/images/I/81VAtWtQAiL._AC_UL320_.jpg")</f>
        <v>#NAME?</v>
      </c>
      <c r="I296" t="s">
        <v>385</v>
      </c>
      <c r="J296">
        <v>32</v>
      </c>
      <c r="K296" s="2" t="s">
        <v>914</v>
      </c>
      <c r="L296">
        <v>4.5999999999999996</v>
      </c>
      <c r="M296">
        <v>2417</v>
      </c>
      <c r="O296" t="s">
        <v>39</v>
      </c>
      <c r="P296" t="s">
        <v>818</v>
      </c>
      <c r="Q296" t="s">
        <v>819</v>
      </c>
    </row>
    <row r="297" spans="1:17" ht="15.75" x14ac:dyDescent="0.25">
      <c r="A297" s="3" t="str">
        <f>HYPERLINK("https://heavenlyouthouse.com/products/goldleaf-gardenia-hand-creme", "https://heavenlyouthouse.com/products/goldleaf-gardenia-hand-creme")</f>
        <v>https://heavenlyouthouse.com/products/goldleaf-gardenia-hand-creme</v>
      </c>
      <c r="B297" s="3" t="str">
        <f>HYPERLINK("https://heavenlyouthouse.com/products/goldleaf-gardenia-hand-creme", "https://heavenlyouthouse.com/products/goldleaf-gardenia-hand-creme")</f>
        <v>https://heavenlyouthouse.com/products/goldleaf-gardenia-hand-creme</v>
      </c>
      <c r="C297" t="s">
        <v>820</v>
      </c>
      <c r="D297" t="s">
        <v>932</v>
      </c>
      <c r="E297" s="3" t="str">
        <f>HYPERLINK("https://www.amazon.com/Thymes-Goldleaf-Gardenia-Travel-Beauty/dp/B09HLB81LB/ref=sr_1_4?keywords=thymes+goldleaf+gardenia+hand+cream&amp;qid=1695258746&amp;sr=8-4", "https://www.amazon.com/Thymes-Goldleaf-Gardenia-Travel-Beauty/dp/B09HLB81LB/ref=sr_1_4?keywords=thymes+goldleaf+gardenia+hand+cream&amp;qid=1695258746&amp;sr=8-4")</f>
        <v>https://www.amazon.com/Thymes-Goldleaf-Gardenia-Travel-Beauty/dp/B09HLB81LB/ref=sr_1_4?keywords=thymes+goldleaf+gardenia+hand+cream&amp;qid=1695258746&amp;sr=8-4</v>
      </c>
      <c r="F297" t="s">
        <v>933</v>
      </c>
      <c r="G297" t="e">
        <f ca="1">IMAGE("https://heavenlyouthouse.com/cdn/shop/products/thymesgoldleafgardeniahandcreme90ml.jpg?v=1609953411")</f>
        <v>#NAME?</v>
      </c>
      <c r="H297" t="e">
        <f ca="1">IMAGE("https://m.media-amazon.com/images/I/71TFsV4PQzL._AC_UL320_.jpg")</f>
        <v>#NAME?</v>
      </c>
      <c r="I297" t="s">
        <v>385</v>
      </c>
      <c r="J297">
        <v>32</v>
      </c>
      <c r="K297" s="2" t="s">
        <v>914</v>
      </c>
      <c r="L297">
        <v>4.5999999999999996</v>
      </c>
      <c r="M297">
        <v>91</v>
      </c>
      <c r="O297" t="s">
        <v>39</v>
      </c>
      <c r="P297" t="s">
        <v>39</v>
      </c>
      <c r="Q297" t="s">
        <v>821</v>
      </c>
    </row>
    <row r="298" spans="1:17" ht="15.75" x14ac:dyDescent="0.25">
      <c r="A298" s="3" t="str">
        <f>HYPERLINK("https://heavenlyouthouse.com/products/thymes-olive-leaf-home-fragrance-mist", "https://heavenlyouthouse.com/products/thymes-olive-leaf-home-fragrance-mist")</f>
        <v>https://heavenlyouthouse.com/products/thymes-olive-leaf-home-fragrance-mist</v>
      </c>
      <c r="B298" s="3" t="str">
        <f>HYPERLINK("https://heavenlyouthouse.com/products/thymes-olive-leaf-home-fragrance-mist", "https://heavenlyouthouse.com/products/thymes-olive-leaf-home-fragrance-mist")</f>
        <v>https://heavenlyouthouse.com/products/thymes-olive-leaf-home-fragrance-mist</v>
      </c>
      <c r="C298" t="s">
        <v>934</v>
      </c>
      <c r="D298" t="s">
        <v>935</v>
      </c>
      <c r="E298" s="3" t="str">
        <f>HYPERLINK("https://www.amazon.com/Thymes-Aromatic-Candle-Olive-Leaf/dp/B08YGNHWFT/ref=sr_1_7?keywords=Thymes+Olive+Leaf+Home+Fragrance+Mist&amp;qid=1695258784&amp;sr=8-7", "https://www.amazon.com/Thymes-Aromatic-Candle-Olive-Leaf/dp/B08YGNHWFT/ref=sr_1_7?keywords=Thymes+Olive+Leaf+Home+Fragrance+Mist&amp;qid=1695258784&amp;sr=8-7")</f>
        <v>https://www.amazon.com/Thymes-Aromatic-Candle-Olive-Leaf/dp/B08YGNHWFT/ref=sr_1_7?keywords=Thymes+Olive+Leaf+Home+Fragrance+Mist&amp;qid=1695258784&amp;sr=8-7</v>
      </c>
      <c r="F298" t="s">
        <v>936</v>
      </c>
      <c r="G298" t="e">
        <f ca="1">IMAGE("https://heavenlyouthouse.com/cdn/shop/products/Olive-Leaf-Home-Fragrance-Mist.jpg?v=1633125346")</f>
        <v>#NAME?</v>
      </c>
      <c r="H298" t="e">
        <f ca="1">IMAGE("https://m.media-amazon.com/images/I/61eFoR+6xQL._AC_UL320_.jpg")</f>
        <v>#NAME?</v>
      </c>
      <c r="I298" t="s">
        <v>385</v>
      </c>
      <c r="J298">
        <v>32</v>
      </c>
      <c r="K298" s="2" t="s">
        <v>914</v>
      </c>
      <c r="L298">
        <v>4.5</v>
      </c>
      <c r="M298">
        <v>197</v>
      </c>
      <c r="O298" t="s">
        <v>39</v>
      </c>
      <c r="P298" t="s">
        <v>39</v>
      </c>
      <c r="Q298" t="s">
        <v>937</v>
      </c>
    </row>
    <row r="299" spans="1:17" ht="15.75" x14ac:dyDescent="0.25">
      <c r="A299" s="3" t="str">
        <f>HYPERLINK("https://heavenlyouthouse.com/products/kimono-rose-hand-creme", "https://heavenlyouthouse.com/products/kimono-rose-hand-creme")</f>
        <v>https://heavenlyouthouse.com/products/kimono-rose-hand-creme</v>
      </c>
      <c r="B299" s="3" t="str">
        <f>HYPERLINK("https://heavenlyouthouse.com/products/kimono-rose-hand-creme", "https://heavenlyouthouse.com/products/kimono-rose-hand-creme")</f>
        <v>https://heavenlyouthouse.com/products/kimono-rose-hand-creme</v>
      </c>
      <c r="C299" t="s">
        <v>858</v>
      </c>
      <c r="D299" t="s">
        <v>633</v>
      </c>
      <c r="E299" s="3" t="str">
        <f>HYPERLINK("https://www.amazon.com/Thymes-Travel-Set-Beauty-Bag/dp/B08CVR64W7/ref=sr_1_4?keywords=thymes+kimono+rose+hand+cream&amp;qid=1695258788&amp;sr=8-4", "https://www.amazon.com/Thymes-Travel-Set-Beauty-Bag/dp/B08CVR64W7/ref=sr_1_4?keywords=thymes+kimono+rose+hand+cream&amp;qid=1695258788&amp;sr=8-4")</f>
        <v>https://www.amazon.com/Thymes-Travel-Set-Beauty-Bag/dp/B08CVR64W7/ref=sr_1_4?keywords=thymes+kimono+rose+hand+cream&amp;qid=1695258788&amp;sr=8-4</v>
      </c>
      <c r="F299" t="s">
        <v>634</v>
      </c>
      <c r="G299" t="e">
        <f ca="1">IMAGE("https://heavenlyouthouse.com/cdn/shop/products/handcreme90ml.jpg?v=1588107056")</f>
        <v>#NAME?</v>
      </c>
      <c r="H299" t="e">
        <f ca="1">IMAGE("https://m.media-amazon.com/images/I/71usZZkC9AL._AC_UL320_.jpg")</f>
        <v>#NAME?</v>
      </c>
      <c r="I299" t="s">
        <v>385</v>
      </c>
      <c r="J299">
        <v>32</v>
      </c>
      <c r="K299" s="2" t="s">
        <v>914</v>
      </c>
      <c r="L299">
        <v>4.5999999999999996</v>
      </c>
      <c r="M299">
        <v>91</v>
      </c>
      <c r="O299" t="s">
        <v>39</v>
      </c>
      <c r="P299" t="s">
        <v>39</v>
      </c>
      <c r="Q299" t="s">
        <v>859</v>
      </c>
    </row>
    <row r="300" spans="1:17" ht="15.75" x14ac:dyDescent="0.25">
      <c r="A300" s="3" t="str">
        <f>HYPERLINK("https://heavenlyouthouse.com/products/wonderful-holiday-season-christmas-card", "https://heavenlyouthouse.com/products/wonderful-holiday-season-christmas-card")</f>
        <v>https://heavenlyouthouse.com/products/wonderful-holiday-season-christmas-card</v>
      </c>
      <c r="B300" s="3" t="str">
        <f>HYPERLINK("https://heavenlyouthouse.com/products/wonderful-holiday-season-christmas-card", "https://heavenlyouthouse.com/products/wonderful-holiday-season-christmas-card")</f>
        <v>https://heavenlyouthouse.com/products/wonderful-holiday-season-christmas-card</v>
      </c>
      <c r="C300" t="s">
        <v>236</v>
      </c>
      <c r="D300" t="s">
        <v>938</v>
      </c>
      <c r="E300" s="3" t="str">
        <f>HYPERLINK("https://www.amazon.com/Papyrus-6411660-Christmas-Card-Magnolia/dp/B08635WNGJ/ref=sr_1_9?keywords=Wonderful+Holiday+Season+Christmas+Card&amp;qid=1695258831&amp;sr=8-9", "https://www.amazon.com/Papyrus-6411660-Christmas-Card-Magnolia/dp/B08635WNGJ/ref=sr_1_9?keywords=Wonderful+Holiday+Season+Christmas+Card&amp;qid=1695258831&amp;sr=8-9")</f>
        <v>https://www.amazon.com/Papyrus-6411660-Christmas-Card-Magnolia/dp/B08635WNGJ/ref=sr_1_9?keywords=Wonderful+Holiday+Season+Christmas+Card&amp;qid=1695258831&amp;sr=8-9</v>
      </c>
      <c r="F300" t="s">
        <v>939</v>
      </c>
      <c r="G300" t="e">
        <f ca="1">IMAGE("https://heavenlyouthouse.com/cdn/shop/files/https___images.salsify.com_image_upload_q_70_m0oje5tosgrfxhdy0xdb_300x300.jpg?v=1685404851")</f>
        <v>#NAME?</v>
      </c>
      <c r="H300" t="e">
        <f ca="1">IMAGE("https://m.media-amazon.com/images/I/91y3QjSsRJL._AC_UL320_.jpg")</f>
        <v>#NAME?</v>
      </c>
      <c r="I300" t="s">
        <v>239</v>
      </c>
      <c r="J300">
        <v>8.2899999999999991</v>
      </c>
      <c r="K300" s="2" t="s">
        <v>914</v>
      </c>
      <c r="L300">
        <v>4.5</v>
      </c>
      <c r="M300">
        <v>66</v>
      </c>
      <c r="O300" t="s">
        <v>39</v>
      </c>
      <c r="P300" t="s">
        <v>39</v>
      </c>
      <c r="Q300" t="s">
        <v>241</v>
      </c>
    </row>
    <row r="301" spans="1:17" ht="15.75" x14ac:dyDescent="0.25">
      <c r="A301" s="3" t="str">
        <f>HYPERLINK("https://heavenlyouthouse.com/products/fresh-cut-basil-aromatic-candle", "https://heavenlyouthouse.com/products/fresh-cut-basil-aromatic-candle")</f>
        <v>https://heavenlyouthouse.com/products/fresh-cut-basil-aromatic-candle</v>
      </c>
      <c r="B301" s="3" t="str">
        <f>HYPERLINK("https://heavenlyouthouse.com/products/fresh-cut-basil-aromatic-candle", "https://heavenlyouthouse.com/products/fresh-cut-basil-aromatic-candle")</f>
        <v>https://heavenlyouthouse.com/products/fresh-cut-basil-aromatic-candle</v>
      </c>
      <c r="C301" t="s">
        <v>940</v>
      </c>
      <c r="D301" t="s">
        <v>941</v>
      </c>
      <c r="E301" s="3" t="str">
        <f>HYPERLINK("https://www.amazon.com/Thymes-Large-Candle-Fresh-Cut-Basil/dp/B0831T8QBB/ref=sr_1_1?keywords=Thymes+Fresh-Cut+Basil+Aromatic+Candle&amp;qid=1695258753&amp;sr=8-1", "https://www.amazon.com/Thymes-Large-Candle-Fresh-Cut-Basil/dp/B0831T8QBB/ref=sr_1_1?keywords=Thymes+Fresh-Cut+Basil+Aromatic+Candle&amp;qid=1695258753&amp;sr=8-1")</f>
        <v>https://www.amazon.com/Thymes-Large-Candle-Fresh-Cut-Basil/dp/B0831T8QBB/ref=sr_1_1?keywords=Thymes+Fresh-Cut+Basil+Aromatic+Candle&amp;qid=1695258753&amp;sr=8-1</v>
      </c>
      <c r="F301" t="s">
        <v>942</v>
      </c>
      <c r="G301" t="e">
        <f ca="1">IMAGE("https://heavenlyouthouse.com/cdn/shop/products/thymesfresh-cutbasilaromaticcandle.jpg?v=1613072066")</f>
        <v>#NAME?</v>
      </c>
      <c r="H301" t="e">
        <f ca="1">IMAGE("https://m.media-amazon.com/images/I/61NVfWtFTzL._AC_UL320_.jpg")</f>
        <v>#NAME?</v>
      </c>
      <c r="I301" t="s">
        <v>793</v>
      </c>
      <c r="J301">
        <v>44</v>
      </c>
      <c r="K301" s="2" t="s">
        <v>943</v>
      </c>
      <c r="L301">
        <v>4.0999999999999996</v>
      </c>
      <c r="M301">
        <v>281</v>
      </c>
      <c r="O301" t="s">
        <v>39</v>
      </c>
      <c r="P301" t="s">
        <v>39</v>
      </c>
      <c r="Q301" t="s">
        <v>944</v>
      </c>
    </row>
    <row r="302" spans="1:17" ht="15.75" x14ac:dyDescent="0.25">
      <c r="A302" s="3" t="str">
        <f>HYPERLINK("https://heavenlyouthouse.com/products/frasier-fir-statement-pine-needle-candle", "https://heavenlyouthouse.com/products/frasier-fir-statement-pine-needle-candle")</f>
        <v>https://heavenlyouthouse.com/products/frasier-fir-statement-pine-needle-candle</v>
      </c>
      <c r="B302" s="3" t="str">
        <f>HYPERLINK("https://heavenlyouthouse.com/products/frasier-fir-statement-pine-needle-candle", "https://heavenlyouthouse.com/products/frasier-fir-statement-pine-needle-candle")</f>
        <v>https://heavenlyouthouse.com/products/frasier-fir-statement-pine-needle-candle</v>
      </c>
      <c r="C302" t="s">
        <v>167</v>
      </c>
      <c r="D302" t="s">
        <v>945</v>
      </c>
      <c r="E302" s="3" t="str">
        <f>HYPERLINK("https://www.amazon.com/Thymes-Silver-Needle-Frasier-Candle/dp/B0B9CG2F5Y/ref=sr_1_2?keywords=Thymes+Frasier+Fir+Statement+Pine+Needle+Candle&amp;qid=1695258736&amp;sr=8-2", "https://www.amazon.com/Thymes-Silver-Needle-Frasier-Candle/dp/B0B9CG2F5Y/ref=sr_1_2?keywords=Thymes+Frasier+Fir+Statement+Pine+Needle+Candle&amp;qid=1695258736&amp;sr=8-2")</f>
        <v>https://www.amazon.com/Thymes-Silver-Needle-Frasier-Candle/dp/B0B9CG2F5Y/ref=sr_1_2?keywords=Thymes+Frasier+Fir+Statement+Pine+Needle+Candle&amp;qid=1695258736&amp;sr=8-2</v>
      </c>
      <c r="F302" t="s">
        <v>946</v>
      </c>
      <c r="G302" t="e">
        <f ca="1">IMAGE("https://heavenlyouthouse.com/cdn/shop/products/thymesfrasierfirsmallstatementcandlesilverpineneedle.jpg?v=1603994848")</f>
        <v>#NAME?</v>
      </c>
      <c r="H302" t="e">
        <f ca="1">IMAGE("https://m.media-amazon.com/images/I/61QrKA8Z9cL._AC_UL320_.jpg")</f>
        <v>#NAME?</v>
      </c>
      <c r="I302" t="s">
        <v>168</v>
      </c>
      <c r="J302">
        <v>36</v>
      </c>
      <c r="K302" s="2" t="s">
        <v>947</v>
      </c>
      <c r="L302">
        <v>5</v>
      </c>
      <c r="M302">
        <v>2</v>
      </c>
      <c r="O302" t="s">
        <v>39</v>
      </c>
      <c r="P302" t="s">
        <v>170</v>
      </c>
      <c r="Q302" t="s">
        <v>171</v>
      </c>
    </row>
    <row r="303" spans="1:17" ht="15.75" x14ac:dyDescent="0.25">
      <c r="A303" s="3" t="str">
        <f>HYPERLINK("https://heavenlyouthouse.com/products/frasier-fir-statement-silver-candle", "https://heavenlyouthouse.com/products/frasier-fir-statement-silver-candle")</f>
        <v>https://heavenlyouthouse.com/products/frasier-fir-statement-silver-candle</v>
      </c>
      <c r="B303" s="3" t="str">
        <f>HYPERLINK("https://heavenlyouthouse.com/products/frasier-fir-statement-silver-candle", "https://heavenlyouthouse.com/products/frasier-fir-statement-silver-candle")</f>
        <v>https://heavenlyouthouse.com/products/frasier-fir-statement-silver-candle</v>
      </c>
      <c r="C303" t="s">
        <v>647</v>
      </c>
      <c r="D303" t="s">
        <v>945</v>
      </c>
      <c r="E303" s="3" t="str">
        <f>HYPERLINK("https://www.amazon.com/Thymes-Silver-Needle-Frasier-Candle/dp/B0B9CG2F5Y/ref=sr_1_2?keywords=Thymes+Frasier+Fir+Statement+Silver+Candle&amp;qid=1695258743&amp;sr=8-2", "https://www.amazon.com/Thymes-Silver-Needle-Frasier-Candle/dp/B0B9CG2F5Y/ref=sr_1_2?keywords=Thymes+Frasier+Fir+Statement+Silver+Candle&amp;qid=1695258743&amp;sr=8-2")</f>
        <v>https://www.amazon.com/Thymes-Silver-Needle-Frasier-Candle/dp/B0B9CG2F5Y/ref=sr_1_2?keywords=Thymes+Frasier+Fir+Statement+Silver+Candle&amp;qid=1695258743&amp;sr=8-2</v>
      </c>
      <c r="F303" t="s">
        <v>946</v>
      </c>
      <c r="G303" t="e">
        <f ca="1">IMAGE("https://heavenlyouthouse.com/cdn/shop/products/thymesfrasierfirsmallstatementcandlesilver.jpg?v=1603994667")</f>
        <v>#NAME?</v>
      </c>
      <c r="H303" t="e">
        <f ca="1">IMAGE("https://m.media-amazon.com/images/I/61QrKA8Z9cL._AC_UL320_.jpg")</f>
        <v>#NAME?</v>
      </c>
      <c r="I303" t="s">
        <v>168</v>
      </c>
      <c r="J303">
        <v>36</v>
      </c>
      <c r="K303" s="2" t="s">
        <v>947</v>
      </c>
      <c r="L303">
        <v>5</v>
      </c>
      <c r="M303">
        <v>2</v>
      </c>
      <c r="O303" t="s">
        <v>39</v>
      </c>
      <c r="P303" t="s">
        <v>39</v>
      </c>
      <c r="Q303" t="s">
        <v>648</v>
      </c>
    </row>
    <row r="304" spans="1:17" ht="15.75" x14ac:dyDescent="0.25">
      <c r="A304" s="3" t="str">
        <f>HYPERLINK("https://heavenlyouthouse.com/products/your-moment-card", "https://heavenlyouthouse.com/products/your-moment-card")</f>
        <v>https://heavenlyouthouse.com/products/your-moment-card</v>
      </c>
      <c r="B304" s="3" t="str">
        <f>HYPERLINK("https://heavenlyouthouse.com/products/your-moment-card", "https://heavenlyouthouse.com/products/your-moment-card")</f>
        <v>https://heavenlyouthouse.com/products/your-moment-card</v>
      </c>
      <c r="C304" t="s">
        <v>350</v>
      </c>
      <c r="D304" t="s">
        <v>948</v>
      </c>
      <c r="E304" s="3" t="str">
        <f>HYPERLINK("https://www.amazon.com/Outdoorsy-Greeting-Love-special-backpacker/dp/B0BH38RWK4/ref=sr_1_2?keywords=Your+Moment+Card&amp;qid=1695258833&amp;sr=8-2", "https://www.amazon.com/Outdoorsy-Greeting-Love-special-backpacker/dp/B0BH38RWK4/ref=sr_1_2?keywords=Your+Moment+Card&amp;qid=1695258833&amp;sr=8-2")</f>
        <v>https://www.amazon.com/Outdoorsy-Greeting-Love-special-backpacker/dp/B0BH38RWK4/ref=sr_1_2?keywords=Your+Moment+Card&amp;qid=1695258833&amp;sr=8-2</v>
      </c>
      <c r="F304" t="s">
        <v>949</v>
      </c>
      <c r="G304" t="e">
        <f ca="1">IMAGE("https://heavenlyouthouse.com/cdn/shop/products/congrats.jpg?v=1600889342")</f>
        <v>#NAME?</v>
      </c>
      <c r="H304" t="e">
        <f ca="1">IMAGE("https://m.media-amazon.com/images/I/8161EUzMt8L._AC_UL320_.jpg")</f>
        <v>#NAME?</v>
      </c>
      <c r="I304" t="s">
        <v>105</v>
      </c>
      <c r="J304">
        <v>6.5</v>
      </c>
      <c r="K304" s="2" t="s">
        <v>947</v>
      </c>
      <c r="L304">
        <v>5</v>
      </c>
      <c r="M304">
        <v>3</v>
      </c>
      <c r="O304" t="s">
        <v>39</v>
      </c>
      <c r="P304" t="s">
        <v>39</v>
      </c>
      <c r="Q304" t="s">
        <v>354</v>
      </c>
    </row>
    <row r="305" spans="1:17" ht="15.75" x14ac:dyDescent="0.25">
      <c r="A305" s="3" t="str">
        <f>HYPERLINK("https://heavenlyouthouse.com/products/spotless-stain-remover-soap", "https://heavenlyouthouse.com/products/spotless-stain-remover-soap")</f>
        <v>https://heavenlyouthouse.com/products/spotless-stain-remover-soap</v>
      </c>
      <c r="B305" s="3" t="str">
        <f>HYPERLINK("https://heavenlyouthouse.com/products/spotless-stain-remover-soap", "https://heavenlyouthouse.com/products/spotless-stain-remover-soap")</f>
        <v>https://heavenlyouthouse.com/products/spotless-stain-remover-soap</v>
      </c>
      <c r="C305" t="s">
        <v>195</v>
      </c>
      <c r="D305" t="s">
        <v>950</v>
      </c>
      <c r="E305" s="3" t="str">
        <f>HYPERLINK("https://www.amazon.com/Zote-Laundry-Remover-Detergent-Underwear/dp/B07K33BW9P/ref=sr_1_2?keywords=Spotless+Stain+Remover+Soap&amp;qid=1695258690&amp;sr=8-2", "https://www.amazon.com/Zote-Laundry-Remover-Detergent-Underwear/dp/B07K33BW9P/ref=sr_1_2?keywords=Spotless+Stain+Remover+Soap&amp;qid=1695258690&amp;sr=8-2")</f>
        <v>https://www.amazon.com/Zote-Laundry-Remover-Detergent-Underwear/dp/B07K33BW9P/ref=sr_1_2?keywords=Spotless+Stain+Remover+Soap&amp;qid=1695258690&amp;sr=8-2</v>
      </c>
      <c r="F305" t="s">
        <v>951</v>
      </c>
      <c r="G305" t="e">
        <f ca="1">IMAGE("https://heavenlyouthouse.com/cdn/shop/products/Spotless-Stain-Remover_Bar-Soap_2048_2000x_48b45b5c-ad2d-465e-a102-14922b0c661d.jpg?v=1586803390")</f>
        <v>#NAME?</v>
      </c>
      <c r="H305" t="e">
        <f ca="1">IMAGE("https://m.media-amazon.com/images/I/71yrUVrMwbL._AC_UL320_.jpg")</f>
        <v>#NAME?</v>
      </c>
      <c r="I305" t="s">
        <v>92</v>
      </c>
      <c r="J305">
        <v>8.67</v>
      </c>
      <c r="K305" s="2" t="s">
        <v>947</v>
      </c>
      <c r="L305">
        <v>4.5999999999999996</v>
      </c>
      <c r="M305">
        <v>496</v>
      </c>
      <c r="O305" t="s">
        <v>39</v>
      </c>
      <c r="P305" t="s">
        <v>24</v>
      </c>
      <c r="Q305" t="s">
        <v>199</v>
      </c>
    </row>
    <row r="306" spans="1:17" ht="15.75" x14ac:dyDescent="0.25">
      <c r="A306" s="3" t="str">
        <f>HYPERLINK("https://heavenlyouthouse.com/products/sick-as-shit-loose-herbal-tea", "https://heavenlyouthouse.com/products/sick-as-shit-loose-herbal-tea")</f>
        <v>https://heavenlyouthouse.com/products/sick-as-shit-loose-herbal-tea</v>
      </c>
      <c r="B306" s="3" t="str">
        <f>HYPERLINK("https://heavenlyouthouse.com/products/sick-as-shit-loose-herbal-tea", "https://heavenlyouthouse.com/products/sick-as-shit-loose-herbal-tea")</f>
        <v>https://heavenlyouthouse.com/products/sick-as-shit-loose-herbal-tea</v>
      </c>
      <c r="C306" t="s">
        <v>952</v>
      </c>
      <c r="D306" t="s">
        <v>953</v>
      </c>
      <c r="E306" s="3" t="str">
        <f>HYPERLINK("https://www.amazon.com/Tealyra-Echinacea-ImmuneTEA-Lemongrass-Cinnamon/dp/B06XZD846B/ref=sr_1_4?keywords=Sick+As+Shit+Loose+Leaf+Herbal+Tea&amp;qid=1695258695&amp;sr=8-4", "https://www.amazon.com/Tealyra-Echinacea-ImmuneTEA-Lemongrass-Cinnamon/dp/B06XZD846B/ref=sr_1_4?keywords=Sick+As+Shit+Loose+Leaf+Herbal+Tea&amp;qid=1695258695&amp;sr=8-4")</f>
        <v>https://www.amazon.com/Tealyra-Echinacea-ImmuneTEA-Lemongrass-Cinnamon/dp/B06XZD846B/ref=sr_1_4?keywords=Sick+As+Shit+Loose+Leaf+Herbal+Tea&amp;qid=1695258695&amp;sr=8-4</v>
      </c>
      <c r="F306" t="s">
        <v>954</v>
      </c>
      <c r="G306" t="e">
        <f ca="1">IMAGE("https://heavenlyouthouse.com/cdn/shop/products/SickasShit.jpg?v=1658440700")</f>
        <v>#NAME?</v>
      </c>
      <c r="H306" t="e">
        <f ca="1">IMAGE("https://m.media-amazon.com/images/I/A1jj9iFF0pL._AC_UL320_.jpg")</f>
        <v>#NAME?</v>
      </c>
      <c r="I306" t="s">
        <v>955</v>
      </c>
      <c r="J306">
        <v>13.99</v>
      </c>
      <c r="K306" s="2" t="s">
        <v>956</v>
      </c>
      <c r="L306">
        <v>4.7</v>
      </c>
      <c r="M306">
        <v>107</v>
      </c>
      <c r="O306" t="s">
        <v>39</v>
      </c>
      <c r="P306" t="s">
        <v>39</v>
      </c>
      <c r="Q306" t="s">
        <v>957</v>
      </c>
    </row>
    <row r="307" spans="1:17" ht="15.75" x14ac:dyDescent="0.25">
      <c r="A307" s="3" t="str">
        <f>HYPERLINK("https://heavenlyouthouse.com/products/thymes-frasier-fir-gilded-ceramic-medium-candle", "https://heavenlyouthouse.com/products/thymes-frasier-fir-gilded-ceramic-medium-candle")</f>
        <v>https://heavenlyouthouse.com/products/thymes-frasier-fir-gilded-ceramic-medium-candle</v>
      </c>
      <c r="B307" s="3" t="str">
        <f>HYPERLINK("https://heavenlyouthouse.com/products/thymes-frasier-fir-gilded-ceramic-medium-candle", "https://heavenlyouthouse.com/products/thymes-frasier-fir-gilded-ceramic-medium-candle")</f>
        <v>https://heavenlyouthouse.com/products/thymes-frasier-fir-gilded-ceramic-medium-candle</v>
      </c>
      <c r="C307" t="s">
        <v>958</v>
      </c>
      <c r="D307" t="s">
        <v>109</v>
      </c>
      <c r="E307" s="3" t="str">
        <f>HYPERLINK("https://www.amazon.com/Thymes-Frasier-Wick-Ceramic-Candle/dp/B0140PRH56/ref=sr_1_2?keywords=Thymes+Frasier+Fir+Gilded+Ceramic+Medium+Candle&amp;qid=1695258728&amp;sr=8-2", "https://www.amazon.com/Thymes-Frasier-Wick-Ceramic-Candle/dp/B0140PRH56/ref=sr_1_2?keywords=Thymes+Frasier+Fir+Gilded+Ceramic+Medium+Candle&amp;qid=1695258728&amp;sr=8-2")</f>
        <v>https://www.amazon.com/Thymes-Frasier-Wick-Ceramic-Candle/dp/B0140PRH56/ref=sr_1_2?keywords=Thymes+Frasier+Fir+Gilded+Ceramic+Medium+Candle&amp;qid=1695258728&amp;sr=8-2</v>
      </c>
      <c r="F307" t="s">
        <v>110</v>
      </c>
      <c r="G307" t="e">
        <f ca="1">IMAGE("https://heavenlyouthouse.com/cdn/shop/products/thymes-frasier-gilded-ceramic-candle-medium.jpg?v=1630015584")</f>
        <v>#NAME?</v>
      </c>
      <c r="H307" t="e">
        <f ca="1">IMAGE("https://m.media-amazon.com/images/I/616N8+OCmhL._AC_UL320_.jpg")</f>
        <v>#NAME?</v>
      </c>
      <c r="I307" t="s">
        <v>959</v>
      </c>
      <c r="J307">
        <v>68</v>
      </c>
      <c r="K307" s="2" t="s">
        <v>956</v>
      </c>
      <c r="L307">
        <v>4.9000000000000004</v>
      </c>
      <c r="M307">
        <v>59</v>
      </c>
      <c r="O307" t="s">
        <v>39</v>
      </c>
      <c r="P307" t="s">
        <v>960</v>
      </c>
      <c r="Q307" t="s">
        <v>961</v>
      </c>
    </row>
    <row r="308" spans="1:17" ht="15.75" x14ac:dyDescent="0.25">
      <c r="A308" s="3" t="str">
        <f>HYPERLINK("https://heavenlyouthouse.com/products/rainbow-anniversary-card", "https://heavenlyouthouse.com/products/rainbow-anniversary-card")</f>
        <v>https://heavenlyouthouse.com/products/rainbow-anniversary-card</v>
      </c>
      <c r="B308" s="3" t="str">
        <f>HYPERLINK("https://heavenlyouthouse.com/products/rainbow-anniversary-card", "https://heavenlyouthouse.com/products/rainbow-anniversary-card")</f>
        <v>https://heavenlyouthouse.com/products/rainbow-anniversary-card</v>
      </c>
      <c r="C308" t="s">
        <v>411</v>
      </c>
      <c r="D308" t="s">
        <v>962</v>
      </c>
      <c r="E308" s="3" t="str">
        <f>HYPERLINK("https://www.amazon.com/Papyrus-6811705-Papryus-Anniversary-Rainbows/dp/B08J981HX3/ref=sr_1_2?keywords=Rainbow+Anniversary+Card&amp;qid=1695258657&amp;sr=8-2", "https://www.amazon.com/Papyrus-6811705-Papryus-Anniversary-Rainbows/dp/B08J981HX3/ref=sr_1_2?keywords=Rainbow+Anniversary+Card&amp;qid=1695258657&amp;sr=8-2")</f>
        <v>https://www.amazon.com/Papyrus-6811705-Papryus-Anniversary-Rainbows/dp/B08J981HX3/ref=sr_1_2?keywords=Rainbow+Anniversary+Card&amp;qid=1695258657&amp;sr=8-2</v>
      </c>
      <c r="F308" t="s">
        <v>963</v>
      </c>
      <c r="G308" t="e">
        <f ca="1">IMAGE("https://heavenlyouthouse.com/cdn/shop/files/rainbow-anniversary-card3_300x300.jpg?v=1692036950")</f>
        <v>#NAME?</v>
      </c>
      <c r="H308" t="e">
        <f ca="1">IMAGE("https://m.media-amazon.com/images/I/81BIsguv3LL._AC_UL320_.jpg")</f>
        <v>#NAME?</v>
      </c>
      <c r="I308" t="s">
        <v>414</v>
      </c>
      <c r="J308">
        <v>7.5</v>
      </c>
      <c r="K308" s="2" t="s">
        <v>956</v>
      </c>
      <c r="L308">
        <v>4.9000000000000004</v>
      </c>
      <c r="M308">
        <v>862</v>
      </c>
      <c r="O308" t="s">
        <v>39</v>
      </c>
      <c r="P308" t="s">
        <v>416</v>
      </c>
      <c r="Q308" t="s">
        <v>417</v>
      </c>
    </row>
    <row r="309" spans="1:17" ht="15.75" x14ac:dyDescent="0.25">
      <c r="A309" s="3" t="str">
        <f>HYPERLINK("https://heavenlyouthouse.com/products/retirement-card", "https://heavenlyouthouse.com/products/retirement-card")</f>
        <v>https://heavenlyouthouse.com/products/retirement-card</v>
      </c>
      <c r="B309" s="3" t="str">
        <f>HYPERLINK("https://heavenlyouthouse.com/products/retirement-card", "https://heavenlyouthouse.com/products/retirement-card")</f>
        <v>https://heavenlyouthouse.com/products/retirement-card</v>
      </c>
      <c r="C309" t="s">
        <v>964</v>
      </c>
      <c r="D309" t="s">
        <v>965</v>
      </c>
      <c r="E309" s="3" t="str">
        <f>HYPERLINK("https://www.amazon.com/Papyrus-Congratulations-Card-Enjoy-View/dp/B08J992S5V/ref=sr_1_4?keywords=Retirement+Card&amp;qid=1695258667&amp;sr=8-4", "https://www.amazon.com/Papyrus-Congratulations-Card-Enjoy-View/dp/B08J992S5V/ref=sr_1_4?keywords=Retirement+Card&amp;qid=1695258667&amp;sr=8-4")</f>
        <v>https://www.amazon.com/Papyrus-Congratulations-Card-Enjoy-View/dp/B08J992S5V/ref=sr_1_4?keywords=Retirement+Card&amp;qid=1695258667&amp;sr=8-4</v>
      </c>
      <c r="F309" t="s">
        <v>966</v>
      </c>
      <c r="G309" t="e">
        <f ca="1">IMAGE("https://heavenlyouthouse.com/cdn/shop/files/retirement-card1_300x300.jpg?v=1692054658")</f>
        <v>#NAME?</v>
      </c>
      <c r="H309" t="e">
        <f ca="1">IMAGE("https://m.media-amazon.com/images/I/91dguEZvUKL._AC_UL320_.jpg")</f>
        <v>#NAME?</v>
      </c>
      <c r="I309" t="s">
        <v>414</v>
      </c>
      <c r="J309">
        <v>7.5</v>
      </c>
      <c r="K309" s="2" t="s">
        <v>956</v>
      </c>
      <c r="L309">
        <v>4.8</v>
      </c>
      <c r="M309">
        <v>145</v>
      </c>
      <c r="O309" t="s">
        <v>39</v>
      </c>
      <c r="P309" t="s">
        <v>39</v>
      </c>
      <c r="Q309" t="s">
        <v>967</v>
      </c>
    </row>
    <row r="310" spans="1:17" ht="15.75" x14ac:dyDescent="0.25">
      <c r="A310" s="3" t="str">
        <f>HYPERLINK("https://heavenlyouthouse.com/products/shitty-day-loose-herbal-tea", "https://heavenlyouthouse.com/products/shitty-day-loose-herbal-tea")</f>
        <v>https://heavenlyouthouse.com/products/shitty-day-loose-herbal-tea</v>
      </c>
      <c r="B310" s="3" t="str">
        <f>HYPERLINK("https://heavenlyouthouse.com/products/shitty-day-loose-herbal-tea", "https://heavenlyouthouse.com/products/shitty-day-loose-herbal-tea")</f>
        <v>https://heavenlyouthouse.com/products/shitty-day-loose-herbal-tea</v>
      </c>
      <c r="C310" t="s">
        <v>968</v>
      </c>
      <c r="D310" t="s">
        <v>969</v>
      </c>
      <c r="E310" s="3" t="str">
        <f>HYPERLINK("https://www.amazon.com/teapigs-Lemon-Ginger-Loose-Gram/dp/B07HHQR46C/ref=sr_1_4?keywords=Shitty+Day+Loose+Leaf+Herbal+Tea&amp;qid=1695258682&amp;sr=8-4", "https://www.amazon.com/teapigs-Lemon-Ginger-Loose-Gram/dp/B07HHQR46C/ref=sr_1_4?keywords=Shitty+Day+Loose+Leaf+Herbal+Tea&amp;qid=1695258682&amp;sr=8-4")</f>
        <v>https://www.amazon.com/teapigs-Lemon-Ginger-Loose-Gram/dp/B07HHQR46C/ref=sr_1_4?keywords=Shitty+Day+Loose+Leaf+Herbal+Tea&amp;qid=1695258682&amp;sr=8-4</v>
      </c>
      <c r="F310" t="s">
        <v>970</v>
      </c>
      <c r="G310" t="e">
        <f ca="1">IMAGE("https://heavenlyouthouse.com/cdn/shop/products/ShittyDay.jpg?v=1658440867")</f>
        <v>#NAME?</v>
      </c>
      <c r="H310" t="e">
        <f ca="1">IMAGE("https://m.media-amazon.com/images/I/61TcI1xkKaL._AC_UL320_.jpg")</f>
        <v>#NAME?</v>
      </c>
      <c r="I310" t="s">
        <v>955</v>
      </c>
      <c r="J310">
        <v>13.96</v>
      </c>
      <c r="K310" s="2" t="s">
        <v>956</v>
      </c>
      <c r="L310">
        <v>4.2</v>
      </c>
      <c r="M310">
        <v>21</v>
      </c>
      <c r="O310" t="s">
        <v>39</v>
      </c>
      <c r="P310" t="s">
        <v>39</v>
      </c>
      <c r="Q310" t="s">
        <v>971</v>
      </c>
    </row>
    <row r="311" spans="1:17" ht="15.75" x14ac:dyDescent="0.25">
      <c r="A311" s="3" t="str">
        <f>HYPERLINK("https://heavenlyouthouse.com/products/thymes-frasier-fir-gilded-gold-pine-needle-candle", "https://heavenlyouthouse.com/products/thymes-frasier-fir-gilded-gold-pine-needle-candle")</f>
        <v>https://heavenlyouthouse.com/products/thymes-frasier-fir-gilded-gold-pine-needle-candle</v>
      </c>
      <c r="B311" s="3" t="str">
        <f>HYPERLINK("https://heavenlyouthouse.com/products/thymes-frasier-fir-gilded-gold-pine-needle-candle", "https://heavenlyouthouse.com/products/thymes-frasier-fir-gilded-gold-pine-needle-candle")</f>
        <v>https://heavenlyouthouse.com/products/thymes-frasier-fir-gilded-gold-pine-needle-candle</v>
      </c>
      <c r="C311" t="s">
        <v>972</v>
      </c>
      <c r="D311" t="s">
        <v>223</v>
      </c>
      <c r="E311" s="3" t="str">
        <f>HYPERLINK("https://www.amazon.com/Thymes-Needle-Frasier-Luminary-Candle/dp/B0B9CDSR3K/ref=sr_1_5?keywords=Thymes+Frasier+Fir+Gilded+Gold+Pine+Needle+Candle&amp;qid=1695258732&amp;sr=8-5", "https://www.amazon.com/Thymes-Needle-Frasier-Luminary-Candle/dp/B0B9CDSR3K/ref=sr_1_5?keywords=Thymes+Frasier+Fir+Gilded+Gold+Pine+Needle+Candle&amp;qid=1695258732&amp;sr=8-5")</f>
        <v>https://www.amazon.com/Thymes-Needle-Frasier-Luminary-Candle/dp/B0B9CDSR3K/ref=sr_1_5?keywords=Thymes+Frasier+Fir+Gilded+Gold+Pine+Needle+Candle&amp;qid=1695258732&amp;sr=8-5</v>
      </c>
      <c r="F311" t="s">
        <v>224</v>
      </c>
      <c r="G311" t="e">
        <f ca="1">IMAGE("https://heavenlyouthouse.com/cdn/shop/files/thymes-frasier-fir-gilded-pine-needle-gold-candle_300x300.jpg?v=1692209396")</f>
        <v>#NAME?</v>
      </c>
      <c r="H311" t="e">
        <f ca="1">IMAGE("https://m.media-amazon.com/images/I/71YqOVLEPjL._AC_UL320_.jpg")</f>
        <v>#NAME?</v>
      </c>
      <c r="I311" t="s">
        <v>973</v>
      </c>
      <c r="J311">
        <v>56</v>
      </c>
      <c r="K311" s="2" t="s">
        <v>956</v>
      </c>
      <c r="L311">
        <v>5</v>
      </c>
      <c r="M311">
        <v>1</v>
      </c>
      <c r="O311" t="s">
        <v>39</v>
      </c>
      <c r="P311" t="s">
        <v>974</v>
      </c>
      <c r="Q311" t="s">
        <v>975</v>
      </c>
    </row>
    <row r="312" spans="1:17" ht="15.75" x14ac:dyDescent="0.25">
      <c r="A312" s="3" t="str">
        <f>HYPERLINK("https://heavenlyouthouse.com/products/really-cute-new-baby-card", "https://heavenlyouthouse.com/products/really-cute-new-baby-card")</f>
        <v>https://heavenlyouthouse.com/products/really-cute-new-baby-card</v>
      </c>
      <c r="B312" s="3" t="str">
        <f>HYPERLINK("https://heavenlyouthouse.com/products/really-cute-new-baby-card", "https://heavenlyouthouse.com/products/really-cute-new-baby-card")</f>
        <v>https://heavenlyouthouse.com/products/really-cute-new-baby-card</v>
      </c>
      <c r="C312" t="s">
        <v>976</v>
      </c>
      <c r="D312" t="s">
        <v>977</v>
      </c>
      <c r="E312" s="3" t="str">
        <f>HYPERLINK("https://www.amazon.com/Shower-Newborn-Chicken-Congrats-Little/dp/B093K9VNZJ/ref=sr_1_3?keywords=Really+Cute+New+Baby+Card&amp;qid=1695258688&amp;sr=8-3", "https://www.amazon.com/Shower-Newborn-Chicken-Congrats-Little/dp/B093K9VNZJ/ref=sr_1_3?keywords=Really+Cute+New+Baby+Card&amp;qid=1695258688&amp;sr=8-3")</f>
        <v>https://www.amazon.com/Shower-Newborn-Chicken-Congrats-Little/dp/B093K9VNZJ/ref=sr_1_3?keywords=Really+Cute+New+Baby+Card&amp;qid=1695258688&amp;sr=8-3</v>
      </c>
      <c r="F312" t="s">
        <v>978</v>
      </c>
      <c r="G312" t="e">
        <f ca="1">IMAGE("https://heavenlyouthouse.com/cdn/shop/files/cute-baby-card_300x300.jpg?v=1692043930")</f>
        <v>#NAME?</v>
      </c>
      <c r="H312" t="e">
        <f ca="1">IMAGE("https://m.media-amazon.com/images/I/61MuIZ0uxDS._AC_UL320_.jpg")</f>
        <v>#NAME?</v>
      </c>
      <c r="I312" t="s">
        <v>979</v>
      </c>
      <c r="J312">
        <v>6.99</v>
      </c>
      <c r="K312" s="2" t="s">
        <v>956</v>
      </c>
      <c r="L312">
        <v>4.8</v>
      </c>
      <c r="M312">
        <v>68</v>
      </c>
      <c r="O312" t="s">
        <v>39</v>
      </c>
      <c r="P312" t="s">
        <v>39</v>
      </c>
      <c r="Q312" t="s">
        <v>980</v>
      </c>
    </row>
    <row r="313" spans="1:17" ht="15.75" x14ac:dyDescent="0.25">
      <c r="A313" s="3" t="str">
        <f>HYPERLINK("https://heavenlyouthouse.com/products/really-cute-new-baby-card", "https://heavenlyouthouse.com/products/really-cute-new-baby-card")</f>
        <v>https://heavenlyouthouse.com/products/really-cute-new-baby-card</v>
      </c>
      <c r="B313" s="3" t="str">
        <f>HYPERLINK("https://heavenlyouthouse.com/products/really-cute-new-baby-card", "https://heavenlyouthouse.com/products/really-cute-new-baby-card")</f>
        <v>https://heavenlyouthouse.com/products/really-cute-new-baby-card</v>
      </c>
      <c r="C313" t="s">
        <v>976</v>
      </c>
      <c r="D313" t="s">
        <v>981</v>
      </c>
      <c r="E313" s="3" t="str">
        <f>HYPERLINK("https://www.amazon.com/Central-23-Congrats-Dumpling-Congratulations/dp/B08M43YQQJ/ref=sr_1_2?keywords=Really+Cute+New+Baby+Card&amp;qid=1695258688&amp;sr=8-2", "https://www.amazon.com/Central-23-Congrats-Dumpling-Congratulations/dp/B08M43YQQJ/ref=sr_1_2?keywords=Really+Cute+New+Baby+Card&amp;qid=1695258688&amp;sr=8-2")</f>
        <v>https://www.amazon.com/Central-23-Congrats-Dumpling-Congratulations/dp/B08M43YQQJ/ref=sr_1_2?keywords=Really+Cute+New+Baby+Card&amp;qid=1695258688&amp;sr=8-2</v>
      </c>
      <c r="F313" t="s">
        <v>982</v>
      </c>
      <c r="G313" t="e">
        <f ca="1">IMAGE("https://heavenlyouthouse.com/cdn/shop/files/cute-baby-card_300x300.jpg?v=1692043930")</f>
        <v>#NAME?</v>
      </c>
      <c r="H313" t="e">
        <f ca="1">IMAGE("https://m.media-amazon.com/images/I/71Ytq-ranvL._AC_UL320_.jpg")</f>
        <v>#NAME?</v>
      </c>
      <c r="I313" t="s">
        <v>979</v>
      </c>
      <c r="J313">
        <v>6.99</v>
      </c>
      <c r="K313" s="2" t="s">
        <v>956</v>
      </c>
      <c r="L313">
        <v>4.7</v>
      </c>
      <c r="M313">
        <v>161</v>
      </c>
      <c r="O313" t="s">
        <v>39</v>
      </c>
      <c r="P313" t="s">
        <v>39</v>
      </c>
      <c r="Q313" t="s">
        <v>980</v>
      </c>
    </row>
    <row r="314" spans="1:17" ht="15.75" x14ac:dyDescent="0.25">
      <c r="A314" s="3" t="str">
        <f>HYPERLINK("https://heavenlyouthouse.com/products/frasier-fir-green-reed-refill", "https://heavenlyouthouse.com/products/frasier-fir-green-reed-refill")</f>
        <v>https://heavenlyouthouse.com/products/frasier-fir-green-reed-refill</v>
      </c>
      <c r="B314" s="3" t="str">
        <f>HYPERLINK("https://heavenlyouthouse.com/products/frasier-fir-green-reed-refill", "https://heavenlyouthouse.com/products/frasier-fir-green-reed-refill")</f>
        <v>https://heavenlyouthouse.com/products/frasier-fir-green-reed-refill</v>
      </c>
      <c r="C314" t="s">
        <v>149</v>
      </c>
      <c r="D314" t="s">
        <v>983</v>
      </c>
      <c r="E314" s="3" t="str">
        <f>HYPERLINK("https://www.amazon.com/Urban-Naturals-Bedroom-Diffuser-Smelling/dp/B07VCJY4XG/ref=sr_1_8?keywords=Thymes+Frasier+Fir+Green+Reed+Sticks+Refill&amp;qid=1695258725&amp;sr=8-8", "https://www.amazon.com/Urban-Naturals-Bedroom-Diffuser-Smelling/dp/B07VCJY4XG/ref=sr_1_8?keywords=Thymes+Frasier+Fir+Green+Reed+Sticks+Refill&amp;qid=1695258725&amp;sr=8-8")</f>
        <v>https://www.amazon.com/Urban-Naturals-Bedroom-Diffuser-Smelling/dp/B07VCJY4XG/ref=sr_1_8?keywords=Thymes+Frasier+Fir+Green+Reed+Sticks+Refill&amp;qid=1695258725&amp;sr=8-8</v>
      </c>
      <c r="F314" t="s">
        <v>984</v>
      </c>
      <c r="G314" t="e">
        <f ca="1">IMAGE("https://heavenlyouthouse.com/cdn/shop/products/Frasier-Fir-Heritage-Green-Reed-Refill.jpg?v=1605455568")</f>
        <v>#NAME?</v>
      </c>
      <c r="H314" t="e">
        <f ca="1">IMAGE("https://m.media-amazon.com/images/I/610ty2cwQDL._AC_UL320_.jpg")</f>
        <v>#NAME?</v>
      </c>
      <c r="I314" t="s">
        <v>152</v>
      </c>
      <c r="J314">
        <v>14.99</v>
      </c>
      <c r="K314" s="2" t="s">
        <v>985</v>
      </c>
      <c r="L314">
        <v>3.9</v>
      </c>
      <c r="M314">
        <v>9055</v>
      </c>
      <c r="O314" t="s">
        <v>39</v>
      </c>
      <c r="P314" t="s">
        <v>39</v>
      </c>
      <c r="Q314" t="s">
        <v>154</v>
      </c>
    </row>
    <row r="315" spans="1:17" ht="15.75" x14ac:dyDescent="0.25">
      <c r="A315" s="3" t="str">
        <f>HYPERLINK("https://heavenlyouthouse.com/products/copy-of-me-time-hand-rescue?variant=32318278107225", "https://heavenlyouthouse.com/products/copy-of-me-time-hand-rescue?variant=32318278107225")</f>
        <v>https://heavenlyouthouse.com/products/copy-of-me-time-hand-rescue?variant=32318278107225</v>
      </c>
      <c r="B315" s="3" t="str">
        <f>HYPERLINK("https://heavenlyouthouse.com/products/copy-of-me-time-hand-rescue", "https://heavenlyouthouse.com/products/copy-of-me-time-hand-rescue")</f>
        <v>https://heavenlyouthouse.com/products/copy-of-me-time-hand-rescue</v>
      </c>
      <c r="C315" t="s">
        <v>438</v>
      </c>
      <c r="D315" t="s">
        <v>388</v>
      </c>
      <c r="E315" s="3" t="str">
        <f>HYPERLINK("https://www.amazon.com/Walton-Wood-Farm-Vegan-Friendly-Paraben-Free/dp/B072W73X7J/ref=sr_1_1?keywords=Week+From+Hell+Hand+Rescue&amp;qid=1695258818&amp;sr=8-1", "https://www.amazon.com/Walton-Wood-Farm-Vegan-Friendly-Paraben-Free/dp/B072W73X7J/ref=sr_1_1?keywords=Week+From+Hell+Hand+Rescue&amp;qid=1695258818&amp;sr=8-1")</f>
        <v>https://www.amazon.com/Walton-Wood-Farm-Vegan-Friendly-Paraben-Free/dp/B072W73X7J/ref=sr_1_1?keywords=Week+From+Hell+Hand+Rescue&amp;qid=1695258818&amp;sr=8-1</v>
      </c>
      <c r="F315" t="s">
        <v>389</v>
      </c>
      <c r="G315" t="e">
        <f ca="1">IMAGE("https://heavenlyouthouse.com/cdn/shop/products/weekfromhellhandrescue.jpg?v=1608166634")</f>
        <v>#NAME?</v>
      </c>
      <c r="H315" t="e">
        <f ca="1">IMAGE("https://m.media-amazon.com/images/I/81ppf141ZML._AC_UL320_.jpg")</f>
        <v>#NAME?</v>
      </c>
      <c r="I315" t="s">
        <v>439</v>
      </c>
      <c r="J315">
        <v>19.2</v>
      </c>
      <c r="K315" s="2" t="s">
        <v>985</v>
      </c>
      <c r="L315">
        <v>4.7</v>
      </c>
      <c r="M315">
        <v>56</v>
      </c>
      <c r="O315" t="s">
        <v>136</v>
      </c>
      <c r="P315" t="s">
        <v>39</v>
      </c>
      <c r="Q315" t="s">
        <v>440</v>
      </c>
    </row>
    <row r="316" spans="1:17" ht="15.75" x14ac:dyDescent="0.25">
      <c r="A316" s="3" t="str">
        <f>HYPERLINK("https://heavenlyouthouse.com/products/tea-tree-deodorant", "https://heavenlyouthouse.com/products/tea-tree-deodorant")</f>
        <v>https://heavenlyouthouse.com/products/tea-tree-deodorant</v>
      </c>
      <c r="B316" s="3" t="str">
        <f>HYPERLINK("https://heavenlyouthouse.com/products/tea-tree-deodorant", "https://heavenlyouthouse.com/products/tea-tree-deodorant")</f>
        <v>https://heavenlyouthouse.com/products/tea-tree-deodorant</v>
      </c>
      <c r="C316" t="s">
        <v>424</v>
      </c>
      <c r="D316" t="s">
        <v>986</v>
      </c>
      <c r="E316" s="3" t="str">
        <f>HYPERLINK("https://www.amazon.com/Earth-Science-Natural-Deodorant-Lavender/dp/B002LM5MHG/ref=sr_1_6?keywords=Tea+Tree+Natural+Deodorant&amp;qid=1695258704&amp;sr=8-6", "https://www.amazon.com/Earth-Science-Natural-Deodorant-Lavender/dp/B002LM5MHG/ref=sr_1_6?keywords=Tea+Tree+Natural+Deodorant&amp;qid=1695258704&amp;sr=8-6")</f>
        <v>https://www.amazon.com/Earth-Science-Natural-Deodorant-Lavender/dp/B002LM5MHG/ref=sr_1_6?keywords=Tea+Tree+Natural+Deodorant&amp;qid=1695258704&amp;sr=8-6</v>
      </c>
      <c r="F316" t="s">
        <v>987</v>
      </c>
      <c r="G316" t="e">
        <f ca="1">IMAGE("https://heavenlyouthouse.com/cdn/shop/products/Rocky-Mountain-Soap-Co-tea-tree-Natural-Deodorant.jpg?v=1633542749")</f>
        <v>#NAME?</v>
      </c>
      <c r="H316" t="e">
        <f ca="1">IMAGE("https://m.media-amazon.com/images/I/715glksJXdL._AC_UL320_.jpg")</f>
        <v>#NAME?</v>
      </c>
      <c r="I316" t="s">
        <v>427</v>
      </c>
      <c r="J316">
        <v>14.97</v>
      </c>
      <c r="K316" s="2" t="s">
        <v>985</v>
      </c>
      <c r="L316">
        <v>4.4000000000000004</v>
      </c>
      <c r="M316">
        <v>229</v>
      </c>
      <c r="O316" t="s">
        <v>39</v>
      </c>
      <c r="P316" t="s">
        <v>428</v>
      </c>
      <c r="Q316" t="s">
        <v>429</v>
      </c>
    </row>
    <row r="317" spans="1:17" ht="15.75" x14ac:dyDescent="0.25">
      <c r="A317" s="3" t="str">
        <f>HYPERLINK("https://heavenlyouthouse.com/products/tea-tree-deodorant", "https://heavenlyouthouse.com/products/tea-tree-deodorant")</f>
        <v>https://heavenlyouthouse.com/products/tea-tree-deodorant</v>
      </c>
      <c r="B317" s="3" t="str">
        <f>HYPERLINK("https://heavenlyouthouse.com/products/tea-tree-deodorant", "https://heavenlyouthouse.com/products/tea-tree-deodorant")</f>
        <v>https://heavenlyouthouse.com/products/tea-tree-deodorant</v>
      </c>
      <c r="C317" t="s">
        <v>424</v>
      </c>
      <c r="D317" t="s">
        <v>988</v>
      </c>
      <c r="E317" s="3" t="str">
        <f>HYPERLINK("https://www.amazon.com/Naturals-Deodorant-Activated-Ingredients-Phthalates/dp/B01E3D2CEG/ref=sr_1_5?keywords=Tea+Tree+Natural+Deodorant&amp;qid=1695258704&amp;sr=8-5", "https://www.amazon.com/Naturals-Deodorant-Activated-Ingredients-Phthalates/dp/B01E3D2CEG/ref=sr_1_5?keywords=Tea+Tree+Natural+Deodorant&amp;qid=1695258704&amp;sr=8-5")</f>
        <v>https://www.amazon.com/Naturals-Deodorant-Activated-Ingredients-Phthalates/dp/B01E3D2CEG/ref=sr_1_5?keywords=Tea+Tree+Natural+Deodorant&amp;qid=1695258704&amp;sr=8-5</v>
      </c>
      <c r="F317" t="s">
        <v>989</v>
      </c>
      <c r="G317" t="e">
        <f ca="1">IMAGE("https://heavenlyouthouse.com/cdn/shop/products/Rocky-Mountain-Soap-Co-tea-tree-Natural-Deodorant.jpg?v=1633542749")</f>
        <v>#NAME?</v>
      </c>
      <c r="H317" t="e">
        <f ca="1">IMAGE("https://m.media-amazon.com/images/I/71m64CoPLqL._AC_UL320_.jpg")</f>
        <v>#NAME?</v>
      </c>
      <c r="I317" t="s">
        <v>427</v>
      </c>
      <c r="J317">
        <v>14.97</v>
      </c>
      <c r="K317" s="2" t="s">
        <v>985</v>
      </c>
      <c r="L317">
        <v>4.3</v>
      </c>
      <c r="M317">
        <v>554</v>
      </c>
      <c r="O317" t="s">
        <v>39</v>
      </c>
      <c r="P317" t="s">
        <v>428</v>
      </c>
      <c r="Q317" t="s">
        <v>429</v>
      </c>
    </row>
    <row r="318" spans="1:17" ht="15.75" x14ac:dyDescent="0.25">
      <c r="A318" s="3" t="str">
        <f>HYPERLINK("https://heavenlyouthouse.com/products/really-cute-new-baby-card", "https://heavenlyouthouse.com/products/really-cute-new-baby-card")</f>
        <v>https://heavenlyouthouse.com/products/really-cute-new-baby-card</v>
      </c>
      <c r="B318" s="3" t="str">
        <f>HYPERLINK("https://heavenlyouthouse.com/products/really-cute-new-baby-card", "https://heavenlyouthouse.com/products/really-cute-new-baby-card")</f>
        <v>https://heavenlyouthouse.com/products/really-cute-new-baby-card</v>
      </c>
      <c r="C318" t="s">
        <v>976</v>
      </c>
      <c r="D318" t="s">
        <v>990</v>
      </c>
      <c r="E318" s="3" t="str">
        <f>HYPERLINK("https://www.amazon.com/Funny-Shower-Congratulation-Couple-There/dp/B09FZ5WNZS/ref=sr_1_4?keywords=Really+Cute+New+Baby+Card&amp;qid=1695258688&amp;sr=8-4", "https://www.amazon.com/Funny-Shower-Congratulation-Couple-There/dp/B09FZ5WNZS/ref=sr_1_4?keywords=Really+Cute+New+Baby+Card&amp;qid=1695258688&amp;sr=8-4")</f>
        <v>https://www.amazon.com/Funny-Shower-Congratulation-Couple-There/dp/B09FZ5WNZS/ref=sr_1_4?keywords=Really+Cute+New+Baby+Card&amp;qid=1695258688&amp;sr=8-4</v>
      </c>
      <c r="F318" t="s">
        <v>991</v>
      </c>
      <c r="G318" t="e">
        <f ca="1">IMAGE("https://heavenlyouthouse.com/cdn/shop/files/cute-baby-card_300x300.jpg?v=1692043930")</f>
        <v>#NAME?</v>
      </c>
      <c r="H318" t="e">
        <f ca="1">IMAGE("https://m.media-amazon.com/images/I/61UZa0N2sjL._AC_UL320_.jpg")</f>
        <v>#NAME?</v>
      </c>
      <c r="I318" t="s">
        <v>979</v>
      </c>
      <c r="J318">
        <v>6.95</v>
      </c>
      <c r="K318" s="2" t="s">
        <v>985</v>
      </c>
      <c r="L318">
        <v>4.9000000000000004</v>
      </c>
      <c r="M318">
        <v>665</v>
      </c>
      <c r="O318" t="s">
        <v>39</v>
      </c>
      <c r="P318" t="s">
        <v>39</v>
      </c>
      <c r="Q318" t="s">
        <v>980</v>
      </c>
    </row>
    <row r="319" spans="1:17" ht="15.75" x14ac:dyDescent="0.25">
      <c r="A319" s="3" t="str">
        <f>HYPERLINK("https://heavenlyouthouse.com/products/wood-cross-easter-card", "https://heavenlyouthouse.com/products/wood-cross-easter-card")</f>
        <v>https://heavenlyouthouse.com/products/wood-cross-easter-card</v>
      </c>
      <c r="B319" s="3" t="str">
        <f>HYPERLINK("https://heavenlyouthouse.com/products/wood-cross-easter-card", "https://heavenlyouthouse.com/products/wood-cross-easter-card")</f>
        <v>https://heavenlyouthouse.com/products/wood-cross-easter-card</v>
      </c>
      <c r="C319" t="s">
        <v>248</v>
      </c>
      <c r="D319" t="s">
        <v>992</v>
      </c>
      <c r="E319" s="3" t="str">
        <f>HYPERLINK("https://www.amazon.com/Easter-Cross-Scripture-Greeting-Cards/dp/B072P2FL9Q/ref=sr_1_1?keywords=Wood+Cross+Easter+Card&amp;qid=1695258829&amp;sr=8-1", "https://www.amazon.com/Easter-Cross-Scripture-Greeting-Cards/dp/B072P2FL9Q/ref=sr_1_1?keywords=Wood+Cross+Easter+Card&amp;qid=1695258829&amp;sr=8-1")</f>
        <v>https://www.amazon.com/Easter-Cross-Scripture-Greeting-Cards/dp/B072P2FL9Q/ref=sr_1_1?keywords=Wood+Cross+Easter+Card&amp;qid=1695258829&amp;sr=8-1</v>
      </c>
      <c r="F319" t="s">
        <v>993</v>
      </c>
      <c r="G319" t="e">
        <f ca="1">IMAGE("https://heavenlyouthouse.com/cdn/shop/products/papyruswoodcrosseastercard1_2.jpg?v=1619896050")</f>
        <v>#NAME?</v>
      </c>
      <c r="H319" t="e">
        <f ca="1">IMAGE("https://m.media-amazon.com/images/I/71yRLo1nKEL._AC_UL320_.jpg")</f>
        <v>#NAME?</v>
      </c>
      <c r="I319" t="s">
        <v>92</v>
      </c>
      <c r="J319">
        <v>8.49</v>
      </c>
      <c r="K319" s="2" t="s">
        <v>985</v>
      </c>
      <c r="L319">
        <v>4.5999999999999996</v>
      </c>
      <c r="M319">
        <v>1833</v>
      </c>
      <c r="O319" t="s">
        <v>39</v>
      </c>
      <c r="P319" t="s">
        <v>39</v>
      </c>
      <c r="Q319" t="s">
        <v>251</v>
      </c>
    </row>
    <row r="320" spans="1:17" ht="15.75" x14ac:dyDescent="0.25">
      <c r="A320" s="3" t="str">
        <f>HYPERLINK("https://heavenlyouthouse.com/products/this-is-my-protest-dish-towel", "https://heavenlyouthouse.com/products/this-is-my-protest-dish-towel")</f>
        <v>https://heavenlyouthouse.com/products/this-is-my-protest-dish-towel</v>
      </c>
      <c r="B320" s="3" t="str">
        <f>HYPERLINK("https://heavenlyouthouse.com/products/this-is-my-protest-dish-towel", "https://heavenlyouthouse.com/products/this-is-my-protest-dish-towel")</f>
        <v>https://heavenlyouthouse.com/products/this-is-my-protest-dish-towel</v>
      </c>
      <c r="C320" t="s">
        <v>994</v>
      </c>
      <c r="D320" t="s">
        <v>995</v>
      </c>
      <c r="E320" s="3" t="str">
        <f>HYPERLINK("https://www.amazon.com/Blue-This-Protest-Dish-Towel/dp/B074ZJWMZ3/ref=sr_1_1?keywords=This+Is+My+Protest+Dish+Towel&amp;qid=1695258728&amp;sr=8-1", "https://www.amazon.com/Blue-This-Protest-Dish-Towel/dp/B074ZJWMZ3/ref=sr_1_1?keywords=This+Is+My+Protest+Dish+Towel&amp;qid=1695258728&amp;sr=8-1")</f>
        <v>https://www.amazon.com/Blue-This-Protest-Dish-Towel/dp/B074ZJWMZ3/ref=sr_1_1?keywords=This+Is+My+Protest+Dish+Towel&amp;qid=1695258728&amp;sr=8-1</v>
      </c>
      <c r="F320" t="s">
        <v>996</v>
      </c>
      <c r="G320" t="e">
        <f ca="1">IMAGE("https://heavenlyouthouse.com/cdn/shop/products/thisismyprotestdishtowel.jpg?v=1607706163")</f>
        <v>#NAME?</v>
      </c>
      <c r="H320" t="e">
        <f ca="1">IMAGE("https://m.media-amazon.com/images/I/91zS1o4DQIL._AC_UL320_.jpg")</f>
        <v>#NAME?</v>
      </c>
      <c r="I320" t="s">
        <v>306</v>
      </c>
      <c r="J320">
        <v>16.989999999999998</v>
      </c>
      <c r="K320" s="2" t="s">
        <v>985</v>
      </c>
      <c r="L320">
        <v>4.5999999999999996</v>
      </c>
      <c r="M320">
        <v>24</v>
      </c>
      <c r="O320" t="s">
        <v>39</v>
      </c>
      <c r="P320" t="s">
        <v>307</v>
      </c>
      <c r="Q320" t="s">
        <v>997</v>
      </c>
    </row>
    <row r="321" spans="1:17" ht="15.75" x14ac:dyDescent="0.25">
      <c r="A321" s="3" t="str">
        <f>HYPERLINK("https://heavenlyouthouse.com/products/poo-pourri-tropical-hibiscus-toilet-spray", "https://heavenlyouthouse.com/products/poo-pourri-tropical-hibiscus-toilet-spray")</f>
        <v>https://heavenlyouthouse.com/products/poo-pourri-tropical-hibiscus-toilet-spray</v>
      </c>
      <c r="B321" s="3" t="str">
        <f>HYPERLINK("https://heavenlyouthouse.com/products/poo-pourri-tropical-hibiscus-toilet-spray", "https://heavenlyouthouse.com/products/poo-pourri-tropical-hibiscus-toilet-spray")</f>
        <v>https://heavenlyouthouse.com/products/poo-pourri-tropical-hibiscus-toilet-spray</v>
      </c>
      <c r="C321" t="s">
        <v>359</v>
      </c>
      <c r="D321" t="s">
        <v>998</v>
      </c>
      <c r="E321" s="3" t="str">
        <f>HYPERLINK("https://www.amazon.com/Poo-Pourri-Before-Toilet-Tropical-Hibiscus/dp/B07T2FQHVN/ref=sr_1_3?keywords=Poo-Pourri+Tropical+Hibiscus+Toilet+Spray&amp;qid=1695258646&amp;sr=8-3", "https://www.amazon.com/Poo-Pourri-Before-Toilet-Tropical-Hibiscus/dp/B07T2FQHVN/ref=sr_1_3?keywords=Poo-Pourri+Tropical+Hibiscus+Toilet+Spray&amp;qid=1695258646&amp;sr=8-3")</f>
        <v>https://www.amazon.com/Poo-Pourri-Before-Toilet-Tropical-Hibiscus/dp/B07T2FQHVN/ref=sr_1_3?keywords=Poo-Pourri+Tropical+Hibiscus+Toilet+Spray&amp;qid=1695258646&amp;sr=8-3</v>
      </c>
      <c r="F321" t="s">
        <v>999</v>
      </c>
      <c r="G321" t="e">
        <f ca="1">IMAGE("https://heavenlyouthouse.com/cdn/shop/products/Poo-pourritripicalhibiscustoiletbathroomspray2.jpg?v=1621617341")</f>
        <v>#NAME?</v>
      </c>
      <c r="H321" t="e">
        <f ca="1">IMAGE("https://m.media-amazon.com/images/I/71OSdocsS4L._AC_UL320_.jpg")</f>
        <v>#NAME?</v>
      </c>
      <c r="I321" t="s">
        <v>362</v>
      </c>
      <c r="J321">
        <v>15.9</v>
      </c>
      <c r="K321" s="2" t="s">
        <v>1000</v>
      </c>
      <c r="L321">
        <v>4.7</v>
      </c>
      <c r="M321">
        <v>823</v>
      </c>
      <c r="O321" t="s">
        <v>39</v>
      </c>
      <c r="P321" t="s">
        <v>363</v>
      </c>
      <c r="Q321" t="s">
        <v>364</v>
      </c>
    </row>
    <row r="322" spans="1:17" ht="15.75" x14ac:dyDescent="0.25">
      <c r="A322" s="3" t="str">
        <f>HYPERLINK("https://heavenlyouthouse.com/products/poo-pourri-tropical-hibiscus-toilet-spray", "https://heavenlyouthouse.com/products/poo-pourri-tropical-hibiscus-toilet-spray")</f>
        <v>https://heavenlyouthouse.com/products/poo-pourri-tropical-hibiscus-toilet-spray</v>
      </c>
      <c r="B322" s="3" t="str">
        <f>HYPERLINK("https://heavenlyouthouse.com/products/poo-pourri-tropical-hibiscus-toilet-spray", "https://heavenlyouthouse.com/products/poo-pourri-tropical-hibiscus-toilet-spray")</f>
        <v>https://heavenlyouthouse.com/products/poo-pourri-tropical-hibiscus-toilet-spray</v>
      </c>
      <c r="C322" t="s">
        <v>359</v>
      </c>
      <c r="D322" t="s">
        <v>1001</v>
      </c>
      <c r="E322" s="3" t="str">
        <f>HYPERLINK("https://www.amazon.com/Poo-Pourri-Tropical-Hibiscus-1-4-Pack/dp/B07K2BDTN4/ref=sr_1_5?keywords=Poo-Pourri+Tropical+Hibiscus+Toilet+Spray&amp;qid=1695258646&amp;sr=8-5", "https://www.amazon.com/Poo-Pourri-Tropical-Hibiscus-1-4-Pack/dp/B07K2BDTN4/ref=sr_1_5?keywords=Poo-Pourri+Tropical+Hibiscus+Toilet+Spray&amp;qid=1695258646&amp;sr=8-5")</f>
        <v>https://www.amazon.com/Poo-Pourri-Tropical-Hibiscus-1-4-Pack/dp/B07K2BDTN4/ref=sr_1_5?keywords=Poo-Pourri+Tropical+Hibiscus+Toilet+Spray&amp;qid=1695258646&amp;sr=8-5</v>
      </c>
      <c r="F322" t="s">
        <v>1002</v>
      </c>
      <c r="G322" t="e">
        <f ca="1">IMAGE("https://heavenlyouthouse.com/cdn/shop/products/Poo-pourritripicalhibiscustoiletbathroomspray2.jpg?v=1621617341")</f>
        <v>#NAME?</v>
      </c>
      <c r="H322" t="e">
        <f ca="1">IMAGE("https://m.media-amazon.com/images/I/711rAtCyQVL._AC_UL320_.jpg")</f>
        <v>#NAME?</v>
      </c>
      <c r="I322" t="s">
        <v>362</v>
      </c>
      <c r="J322">
        <v>15.9</v>
      </c>
      <c r="K322" s="2" t="s">
        <v>1000</v>
      </c>
      <c r="L322">
        <v>4.8</v>
      </c>
      <c r="M322">
        <v>668</v>
      </c>
      <c r="O322" t="s">
        <v>39</v>
      </c>
      <c r="P322" t="s">
        <v>363</v>
      </c>
      <c r="Q322" t="s">
        <v>364</v>
      </c>
    </row>
    <row r="323" spans="1:17" ht="15.75" x14ac:dyDescent="0.25">
      <c r="A323" s="3" t="str">
        <f>HYPERLINK("https://heavenlyouthouse.com/products/scent-free-body-butter", "https://heavenlyouthouse.com/products/scent-free-body-butter")</f>
        <v>https://heavenlyouthouse.com/products/scent-free-body-butter</v>
      </c>
      <c r="B323" s="3" t="str">
        <f>HYPERLINK("https://heavenlyouthouse.com/products/scent-free-body-butter", "https://heavenlyouthouse.com/products/scent-free-body-butter")</f>
        <v>https://heavenlyouthouse.com/products/scent-free-body-butter</v>
      </c>
      <c r="C323" t="s">
        <v>695</v>
      </c>
      <c r="D323" t="s">
        <v>1003</v>
      </c>
      <c r="E323" s="3" t="str">
        <f>HYPERLINK("https://www.amazon.com/Unscented-Body-Lotion-Dry-Skin/dp/B01MU8YEZU/ref=sr_1_5?keywords=Scent+Free+Body+Butter&amp;qid=1695258680&amp;sr=8-5", "https://www.amazon.com/Unscented-Body-Lotion-Dry-Skin/dp/B01MU8YEZU/ref=sr_1_5?keywords=Scent+Free+Body+Butter&amp;qid=1695258680&amp;sr=8-5")</f>
        <v>https://www.amazon.com/Unscented-Body-Lotion-Dry-Skin/dp/B01MU8YEZU/ref=sr_1_5?keywords=Scent+Free+Body+Butter&amp;qid=1695258680&amp;sr=8-5</v>
      </c>
      <c r="F323" t="s">
        <v>1004</v>
      </c>
      <c r="G323" t="e">
        <f ca="1">IMAGE("https://heavenlyouthouse.com/cdn/shop/products/dry-skin-body-butter_2000x_a7842167-ad66-4fcf-9097-94fb6cdff081.jpg?v=1586787710")</f>
        <v>#NAME?</v>
      </c>
      <c r="H323" t="e">
        <f ca="1">IMAGE("https://m.media-amazon.com/images/I/81nfOMm6DAL._AC_UL320_.jpg")</f>
        <v>#NAME?</v>
      </c>
      <c r="I323" t="s">
        <v>233</v>
      </c>
      <c r="J323">
        <v>16.989999999999998</v>
      </c>
      <c r="K323" s="2" t="s">
        <v>1000</v>
      </c>
      <c r="L323">
        <v>4.5</v>
      </c>
      <c r="M323">
        <v>2795</v>
      </c>
      <c r="O323" t="s">
        <v>39</v>
      </c>
      <c r="P323" t="s">
        <v>39</v>
      </c>
      <c r="Q323" t="s">
        <v>698</v>
      </c>
    </row>
    <row r="324" spans="1:17" ht="15.75" x14ac:dyDescent="0.25">
      <c r="A324" s="3" t="str">
        <f>HYPERLINK("https://heavenlyouthouse.com/products/serenity-bubble-bath", "https://heavenlyouthouse.com/products/serenity-bubble-bath")</f>
        <v>https://heavenlyouthouse.com/products/serenity-bubble-bath</v>
      </c>
      <c r="B324" s="3" t="str">
        <f>HYPERLINK("https://heavenlyouthouse.com/products/serenity-bubble-bath", "https://heavenlyouthouse.com/products/serenity-bubble-bath")</f>
        <v>https://heavenlyouthouse.com/products/serenity-bubble-bath</v>
      </c>
      <c r="C324" t="s">
        <v>404</v>
      </c>
      <c r="D324" t="s">
        <v>1005</v>
      </c>
      <c r="E324" s="3" t="str">
        <f>HYPERLINK("https://www.amazon.com/Serenity-Bubble-Bath-10-14-Liquid/dp/B0765MZQX8/ref=sr_1_6?keywords=Serenity+Bubble+Bath&amp;qid=1695258688&amp;sr=8-6", "https://www.amazon.com/Serenity-Bubble-Bath-10-14-Liquid/dp/B0765MZQX8/ref=sr_1_6?keywords=Serenity+Bubble+Bath&amp;qid=1695258688&amp;sr=8-6")</f>
        <v>https://www.amazon.com/Serenity-Bubble-Bath-10-14-Liquid/dp/B0765MZQX8/ref=sr_1_6?keywords=Serenity+Bubble+Bath&amp;qid=1695258688&amp;sr=8-6</v>
      </c>
      <c r="F324" t="s">
        <v>1006</v>
      </c>
      <c r="G324" t="e">
        <f ca="1">IMAGE("https://heavenlyouthouse.com/cdn/shop/products/Serenity_Bubble-Bath_2048_2000x_5a105ad7-68d8-4390-b59a-da7f09afb3a1.jpg?v=1588955176")</f>
        <v>#NAME?</v>
      </c>
      <c r="H324" t="e">
        <f ca="1">IMAGE("https://m.media-amazon.com/images/I/51p2LEMvaKL._AC_UL320_.jpg")</f>
        <v>#NAME?</v>
      </c>
      <c r="I324" t="s">
        <v>233</v>
      </c>
      <c r="J324">
        <v>16.989999999999998</v>
      </c>
      <c r="K324" s="2" t="s">
        <v>1000</v>
      </c>
      <c r="L324">
        <v>4.2</v>
      </c>
      <c r="M324">
        <v>4</v>
      </c>
      <c r="O324" t="s">
        <v>39</v>
      </c>
      <c r="P324" t="s">
        <v>39</v>
      </c>
      <c r="Q324" t="s">
        <v>408</v>
      </c>
    </row>
    <row r="325" spans="1:17" ht="15.75" x14ac:dyDescent="0.25">
      <c r="A325" s="3" t="str">
        <f>HYPERLINK("https://heavenlyouthouse.com/products/rosemary-mint-foaming-wash", "https://heavenlyouthouse.com/products/rosemary-mint-foaming-wash")</f>
        <v>https://heavenlyouthouse.com/products/rosemary-mint-foaming-wash</v>
      </c>
      <c r="B325" s="3" t="str">
        <f>HYPERLINK("https://heavenlyouthouse.com/products/rosemary-mint-foaming-wash", "https://heavenlyouthouse.com/products/rosemary-mint-foaming-wash")</f>
        <v>https://heavenlyouthouse.com/products/rosemary-mint-foaming-wash</v>
      </c>
      <c r="C325" t="s">
        <v>1007</v>
      </c>
      <c r="D325" t="s">
        <v>1008</v>
      </c>
      <c r="E325" s="3" t="str">
        <f>HYPERLINK("https://www.amazon.com/Foaming-Hand-Soap-Plant-Derived-Nourishing/dp/B09BBSWC9H/ref=sr_1_8?keywords=Rosemary+Mint+Foaming+Wash&amp;qid=1695258700&amp;sr=8-8", "https://www.amazon.com/Foaming-Hand-Soap-Plant-Derived-Nourishing/dp/B09BBSWC9H/ref=sr_1_8?keywords=Rosemary+Mint+Foaming+Wash&amp;qid=1695258700&amp;sr=8-8")</f>
        <v>https://www.amazon.com/Foaming-Hand-Soap-Plant-Derived-Nourishing/dp/B09BBSWC9H/ref=sr_1_8?keywords=Rosemary+Mint+Foaming+Wash&amp;qid=1695258700&amp;sr=8-8</v>
      </c>
      <c r="F325" t="s">
        <v>1009</v>
      </c>
      <c r="G325" t="e">
        <f ca="1">IMAGE("https://heavenlyouthouse.com/cdn/shop/products/RosemaryMint-foaming-wash.webp?v=1681505497")</f>
        <v>#NAME?</v>
      </c>
      <c r="H325" t="e">
        <f ca="1">IMAGE("https://m.media-amazon.com/images/I/61qkvRzwcUL._AC_UL320_.jpg")</f>
        <v>#NAME?</v>
      </c>
      <c r="I325" t="s">
        <v>233</v>
      </c>
      <c r="J325">
        <v>16.98</v>
      </c>
      <c r="K325" s="2" t="s">
        <v>1000</v>
      </c>
      <c r="L325">
        <v>4.4000000000000004</v>
      </c>
      <c r="M325">
        <v>197</v>
      </c>
      <c r="O325" t="s">
        <v>39</v>
      </c>
      <c r="P325" t="s">
        <v>394</v>
      </c>
      <c r="Q325" t="s">
        <v>1010</v>
      </c>
    </row>
    <row r="326" spans="1:17" ht="15.75" x14ac:dyDescent="0.25">
      <c r="A326" s="3" t="str">
        <f>HYPERLINK("https://heavenlyouthouse.com/products/thymes-frasier-fir-green-4-wick-candle", "https://heavenlyouthouse.com/products/thymes-frasier-fir-green-4-wick-candle")</f>
        <v>https://heavenlyouthouse.com/products/thymes-frasier-fir-green-4-wick-candle</v>
      </c>
      <c r="B326" s="3" t="str">
        <f>HYPERLINK("https://heavenlyouthouse.com/products/thymes-frasier-fir-green-4-wick-candle", "https://heavenlyouthouse.com/products/thymes-frasier-fir-green-4-wick-candle")</f>
        <v>https://heavenlyouthouse.com/products/thymes-frasier-fir-green-4-wick-candle</v>
      </c>
      <c r="C326" t="s">
        <v>1011</v>
      </c>
      <c r="D326" t="s">
        <v>84</v>
      </c>
      <c r="E326" s="3"/>
      <c r="F326" t="s">
        <v>85</v>
      </c>
      <c r="G326" t="e">
        <f ca="1">IMAGE("https://heavenlyouthouse.com/cdn/shop/files/thymes-frasier-fir-poured-candle-4-wick-TH03505243607-1_300x300.jpg?v=1693232380")</f>
        <v>#NAME?</v>
      </c>
      <c r="H326" t="e">
        <f ca="1">IMAGE("https://m.media-amazon.com/images/I/71+UQARiQhL._AC_UL320_.jpg")</f>
        <v>#NAME?</v>
      </c>
      <c r="I326" t="s">
        <v>1012</v>
      </c>
      <c r="J326">
        <v>106</v>
      </c>
      <c r="K326" s="2" t="s">
        <v>1000</v>
      </c>
      <c r="L326">
        <v>4.4000000000000004</v>
      </c>
      <c r="M326">
        <v>46</v>
      </c>
      <c r="O326" t="s">
        <v>39</v>
      </c>
      <c r="P326" t="s">
        <v>1013</v>
      </c>
      <c r="Q326" t="s">
        <v>1014</v>
      </c>
    </row>
    <row r="327" spans="1:17" ht="15.75" x14ac:dyDescent="0.25">
      <c r="A327" s="3" t="str">
        <f>HYPERLINK("https://heavenlyouthouse.com/products/scent-free-body-butter", "https://heavenlyouthouse.com/products/scent-free-body-butter")</f>
        <v>https://heavenlyouthouse.com/products/scent-free-body-butter</v>
      </c>
      <c r="B327" s="3" t="str">
        <f>HYPERLINK("https://heavenlyouthouse.com/products/scent-free-body-butter", "https://heavenlyouthouse.com/products/scent-free-body-butter")</f>
        <v>https://heavenlyouthouse.com/products/scent-free-body-butter</v>
      </c>
      <c r="C327" t="s">
        <v>695</v>
      </c>
      <c r="D327" t="s">
        <v>1015</v>
      </c>
      <c r="E327" s="3" t="str">
        <f>HYPERLINK("https://www.amazon.com/Unscented-Moisturizing-Hydrating-Unrefined-Moisturizer/dp/B0C38ZBGSG/ref=sr_1_9?keywords=Scent+Free+Body+Butter&amp;qid=1695258680&amp;sr=8-9", "https://www.amazon.com/Unscented-Moisturizing-Hydrating-Unrefined-Moisturizer/dp/B0C38ZBGSG/ref=sr_1_9?keywords=Scent+Free+Body+Butter&amp;qid=1695258680&amp;sr=8-9")</f>
        <v>https://www.amazon.com/Unscented-Moisturizing-Hydrating-Unrefined-Moisturizer/dp/B0C38ZBGSG/ref=sr_1_9?keywords=Scent+Free+Body+Butter&amp;qid=1695258680&amp;sr=8-9</v>
      </c>
      <c r="F327" t="s">
        <v>1016</v>
      </c>
      <c r="G327" t="e">
        <f ca="1">IMAGE("https://heavenlyouthouse.com/cdn/shop/products/dry-skin-body-butter_2000x_a7842167-ad66-4fcf-9097-94fb6cdff081.jpg?v=1586787710")</f>
        <v>#NAME?</v>
      </c>
      <c r="H327" t="e">
        <f ca="1">IMAGE("https://m.media-amazon.com/images/I/718hZ8iRf2L._AC_UL320_.jpg")</f>
        <v>#NAME?</v>
      </c>
      <c r="I327" t="s">
        <v>233</v>
      </c>
      <c r="J327">
        <v>16.95</v>
      </c>
      <c r="K327" s="2" t="s">
        <v>1000</v>
      </c>
      <c r="L327">
        <v>4.3</v>
      </c>
      <c r="M327">
        <v>73</v>
      </c>
      <c r="O327" t="s">
        <v>39</v>
      </c>
      <c r="P327" t="s">
        <v>39</v>
      </c>
      <c r="Q327" t="s">
        <v>698</v>
      </c>
    </row>
    <row r="328" spans="1:17" ht="15.75" x14ac:dyDescent="0.25">
      <c r="A328" s="3" t="str">
        <f>HYPERLINK("https://heavenlyouthouse.com/products/you-did-it-graduation-card", "https://heavenlyouthouse.com/products/you-did-it-graduation-card")</f>
        <v>https://heavenlyouthouse.com/products/you-did-it-graduation-card</v>
      </c>
      <c r="B328" s="3" t="str">
        <f>HYPERLINK("https://heavenlyouthouse.com/products/you-did-it-graduation-card", "https://heavenlyouthouse.com/products/you-did-it-graduation-card")</f>
        <v>https://heavenlyouthouse.com/products/you-did-it-graduation-card</v>
      </c>
      <c r="C328" t="s">
        <v>851</v>
      </c>
      <c r="D328" t="s">
        <v>1017</v>
      </c>
      <c r="E328" s="3" t="str">
        <f>HYPERLINK("https://www.amazon.com/Karto-Graduation-Daughter-Congratulation-Sister/dp/B0C54BH2L2/ref=sr_1_7?keywords=You+Did+It+Graduation+Card&amp;qid=1695258832&amp;sr=8-7", "https://www.amazon.com/Karto-Graduation-Daughter-Congratulation-Sister/dp/B0C54BH2L2/ref=sr_1_7?keywords=You+Did+It+Graduation+Card&amp;qid=1695258832&amp;sr=8-7")</f>
        <v>https://www.amazon.com/Karto-Graduation-Daughter-Congratulation-Sister/dp/B0C54BH2L2/ref=sr_1_7?keywords=You+Did+It+Graduation+Card&amp;qid=1695258832&amp;sr=8-7</v>
      </c>
      <c r="F328" t="s">
        <v>1018</v>
      </c>
      <c r="G328" t="e">
        <f ca="1">IMAGE("https://heavenlyouthouse.com/cdn/shop/products/papyrus-graduation-card-airplane-flying-around-glo_1.jpg?v=1642617008")</f>
        <v>#NAME?</v>
      </c>
      <c r="H328" t="e">
        <f ca="1">IMAGE("https://m.media-amazon.com/images/I/61ZdGXWnWQL._AC_UL320_.jpg")</f>
        <v>#NAME?</v>
      </c>
      <c r="I328" t="s">
        <v>454</v>
      </c>
      <c r="J328">
        <v>8.99</v>
      </c>
      <c r="K328" s="2" t="s">
        <v>1000</v>
      </c>
      <c r="L328">
        <v>4</v>
      </c>
      <c r="M328">
        <v>5</v>
      </c>
      <c r="O328" t="s">
        <v>39</v>
      </c>
      <c r="P328" t="s">
        <v>39</v>
      </c>
      <c r="Q328" t="s">
        <v>854</v>
      </c>
    </row>
    <row r="329" spans="1:17" ht="15.75" x14ac:dyDescent="0.25">
      <c r="A329" s="3" t="str">
        <f>HYPERLINK("https://heavenlyouthouse.com/products/thank-you-hand-rescue", "https://heavenlyouthouse.com/products/thank-you-hand-rescue")</f>
        <v>https://heavenlyouthouse.com/products/thank-you-hand-rescue</v>
      </c>
      <c r="B329" s="3" t="str">
        <f>HYPERLINK("https://heavenlyouthouse.com/products/thank-you-hand-rescue", "https://heavenlyouthouse.com/products/thank-you-hand-rescue")</f>
        <v>https://heavenlyouthouse.com/products/thank-you-hand-rescue</v>
      </c>
      <c r="C329" t="s">
        <v>1019</v>
      </c>
      <c r="D329" t="s">
        <v>1020</v>
      </c>
      <c r="E329" s="3" t="str">
        <f>HYPERLINK("https://www.amazon.com/Walton-Wood-Farm-fragrance-free-Vegan-Friendly/dp/B07LB5BTYM/ref=sr_1_1?keywords=Thank+You+Hand+Rescue&amp;qid=1695258716&amp;sr=8-1", "https://www.amazon.com/Walton-Wood-Farm-fragrance-free-Vegan-Friendly/dp/B07LB5BTYM/ref=sr_1_1?keywords=Thank+You+Hand+Rescue&amp;qid=1695258716&amp;sr=8-1")</f>
        <v>https://www.amazon.com/Walton-Wood-Farm-fragrance-free-Vegan-Friendly/dp/B07LB5BTYM/ref=sr_1_1?keywords=Thank+You+Hand+Rescue&amp;qid=1695258716&amp;sr=8-1</v>
      </c>
      <c r="F329" t="s">
        <v>1021</v>
      </c>
      <c r="G329" t="e">
        <f ca="1">IMAGE("https://heavenlyouthouse.com/cdn/shop/products/HCTHANK.jpg?v=1587779637")</f>
        <v>#NAME?</v>
      </c>
      <c r="H329" t="e">
        <f ca="1">IMAGE("https://m.media-amazon.com/images/I/61VYEYTRq8L._AC_UL320_.jpg")</f>
        <v>#NAME?</v>
      </c>
      <c r="I329" t="s">
        <v>439</v>
      </c>
      <c r="J329">
        <v>18.95</v>
      </c>
      <c r="K329" s="2" t="s">
        <v>1000</v>
      </c>
      <c r="L329">
        <v>4</v>
      </c>
      <c r="M329">
        <v>7</v>
      </c>
      <c r="O329" t="s">
        <v>39</v>
      </c>
      <c r="P329" t="s">
        <v>1022</v>
      </c>
      <c r="Q329" t="s">
        <v>1023</v>
      </c>
    </row>
    <row r="330" spans="1:17" ht="15.75" x14ac:dyDescent="0.25">
      <c r="A330" s="3" t="str">
        <f>HYPERLINK("https://heavenlyouthouse.com/products/transformative-cleansing-oil", "https://heavenlyouthouse.com/products/transformative-cleansing-oil")</f>
        <v>https://heavenlyouthouse.com/products/transformative-cleansing-oil</v>
      </c>
      <c r="B330" s="3" t="str">
        <f>HYPERLINK("https://heavenlyouthouse.com/products/transformative-cleansing-oil", "https://heavenlyouthouse.com/products/transformative-cleansing-oil")</f>
        <v>https://heavenlyouthouse.com/products/transformative-cleansing-oil</v>
      </c>
      <c r="C330" t="s">
        <v>1024</v>
      </c>
      <c r="D330" t="s">
        <v>1025</v>
      </c>
      <c r="E330" s="3" t="str">
        <f>HYPERLINK("https://www.amazon.com/Clarins-Long-Wearing-Waterproof-Pollutants-Dermatologist/dp/B08B7X6LDQ/ref=sr_1_6?keywords=Transformative+Face+Cleansing+Oil&amp;qid=1695258847&amp;sr=8-6", "https://www.amazon.com/Clarins-Long-Wearing-Waterproof-Pollutants-Dermatologist/dp/B08B7X6LDQ/ref=sr_1_6?keywords=Transformative+Face+Cleansing+Oil&amp;qid=1695258847&amp;sr=8-6")</f>
        <v>https://www.amazon.com/Clarins-Long-Wearing-Waterproof-Pollutants-Dermatologist/dp/B08B7X6LDQ/ref=sr_1_6?keywords=Transformative+Face+Cleansing+Oil&amp;qid=1695258847&amp;sr=8-6</v>
      </c>
      <c r="F330" t="s">
        <v>1026</v>
      </c>
      <c r="G330" t="e">
        <f ca="1">IMAGE("https://heavenlyouthouse.com/cdn/shop/files/CleansingOil-Large-1_5000x_03b4d51f-376f-4341-baed-c2507c0bcea5_300x300.webp?v=1689283043")</f>
        <v>#NAME?</v>
      </c>
      <c r="H330" t="e">
        <f ca="1">IMAGE("https://m.media-amazon.com/images/I/51MxeAz-daS._AC_UL320_.jpg")</f>
        <v>#NAME?</v>
      </c>
      <c r="I330" t="s">
        <v>1027</v>
      </c>
      <c r="J330">
        <v>39</v>
      </c>
      <c r="K330" s="2" t="s">
        <v>1028</v>
      </c>
      <c r="L330">
        <v>4.5</v>
      </c>
      <c r="M330">
        <v>104</v>
      </c>
      <c r="O330" t="s">
        <v>39</v>
      </c>
      <c r="P330" t="s">
        <v>39</v>
      </c>
      <c r="Q330" t="s">
        <v>1029</v>
      </c>
    </row>
    <row r="331" spans="1:17" ht="15.75" x14ac:dyDescent="0.25">
      <c r="A331" s="3" t="str">
        <f>HYPERLINK("https://heavenlyouthouse.com/products/you-did-it-graduation-card", "https://heavenlyouthouse.com/products/you-did-it-graduation-card")</f>
        <v>https://heavenlyouthouse.com/products/you-did-it-graduation-card</v>
      </c>
      <c r="B331" s="3" t="str">
        <f>HYPERLINK("https://heavenlyouthouse.com/products/you-did-it-graduation-card", "https://heavenlyouthouse.com/products/you-did-it-graduation-card")</f>
        <v>https://heavenlyouthouse.com/products/you-did-it-graduation-card</v>
      </c>
      <c r="C331" t="s">
        <v>851</v>
      </c>
      <c r="D331" t="s">
        <v>1030</v>
      </c>
      <c r="E331" s="3" t="str">
        <f>HYPERLINK("https://www.amazon.com/Wunderkid-Graduation-Artistic-Single-inside/dp/B093B4Z46Y/ref=sr_1_4?keywords=You+Did+It+Graduation+Card&amp;qid=1695258832&amp;sr=8-4", "https://www.amazon.com/Wunderkid-Graduation-Artistic-Single-inside/dp/B093B4Z46Y/ref=sr_1_4?keywords=You+Did+It+Graduation+Card&amp;qid=1695258832&amp;sr=8-4")</f>
        <v>https://www.amazon.com/Wunderkid-Graduation-Artistic-Single-inside/dp/B093B4Z46Y/ref=sr_1_4?keywords=You+Did+It+Graduation+Card&amp;qid=1695258832&amp;sr=8-4</v>
      </c>
      <c r="F331" t="s">
        <v>1031</v>
      </c>
      <c r="G331" t="e">
        <f ca="1">IMAGE("https://heavenlyouthouse.com/cdn/shop/products/papyrus-graduation-card-airplane-flying-around-glo_1.jpg?v=1642617008")</f>
        <v>#NAME?</v>
      </c>
      <c r="H331" t="e">
        <f ca="1">IMAGE("https://m.media-amazon.com/images/I/81da0NMnjQS._AC_UL320_.jpg")</f>
        <v>#NAME?</v>
      </c>
      <c r="I331" t="s">
        <v>454</v>
      </c>
      <c r="J331">
        <v>8.9499999999999993</v>
      </c>
      <c r="K331" s="2" t="s">
        <v>1028</v>
      </c>
      <c r="L331">
        <v>4.0999999999999996</v>
      </c>
      <c r="M331">
        <v>11</v>
      </c>
      <c r="O331" t="s">
        <v>39</v>
      </c>
      <c r="P331" t="s">
        <v>39</v>
      </c>
      <c r="Q331" t="s">
        <v>854</v>
      </c>
    </row>
    <row r="332" spans="1:17" ht="15.75" x14ac:dyDescent="0.25">
      <c r="A332" s="3" t="str">
        <f>HYPERLINK("https://heavenlyouthouse.com/products/youre-my-butter-half-love-card", "https://heavenlyouthouse.com/products/youre-my-butter-half-love-card")</f>
        <v>https://heavenlyouthouse.com/products/youre-my-butter-half-love-card</v>
      </c>
      <c r="B332" s="3" t="str">
        <f>HYPERLINK("https://heavenlyouthouse.com/products/youre-my-butter-half-love-card", "https://heavenlyouthouse.com/products/youre-my-butter-half-love-card")</f>
        <v>https://heavenlyouthouse.com/products/youre-my-butter-half-love-card</v>
      </c>
      <c r="C332" t="s">
        <v>457</v>
      </c>
      <c r="D332" t="s">
        <v>1032</v>
      </c>
      <c r="E332" s="3" t="str">
        <f>HYPERLINK("https://www.amazon.com/Papyrus-Valentines-Card-Butter-Half/dp/B08DF1PHTB/ref=sr_1_2?keywords=You%27re+My+Butter+Half+Valentine%27s+Day+Card&amp;qid=1695258836&amp;sr=8-2", "https://www.amazon.com/Papyrus-Valentines-Card-Butter-Half/dp/B08DF1PHTB/ref=sr_1_2?keywords=You%27re+My+Butter+Half+Valentine%27s+Day+Card&amp;qid=1695258836&amp;sr=8-2")</f>
        <v>https://www.amazon.com/Papyrus-Valentines-Card-Butter-Half/dp/B08DF1PHTB/ref=sr_1_2?keywords=You%27re+My+Butter+Half+Valentine%27s+Day+Card&amp;qid=1695258836&amp;sr=8-2</v>
      </c>
      <c r="F332" t="s">
        <v>1033</v>
      </c>
      <c r="G332" t="e">
        <f ca="1">IMAGE("https://heavenlyouthouse.com/cdn/shop/files/https___images.salsify.com_image_upload_q_70_otc91jh250m8x2z12cbb_300x300.jpg?v=1685401797")</f>
        <v>#NAME?</v>
      </c>
      <c r="H332" t="e">
        <f ca="1">IMAGE("https://m.media-amazon.com/images/I/91ecejqxAwL._AC_UL320_.jpg")</f>
        <v>#NAME?</v>
      </c>
      <c r="I332" t="s">
        <v>454</v>
      </c>
      <c r="J332">
        <v>8.9499999999999993</v>
      </c>
      <c r="K332" s="2" t="s">
        <v>1028</v>
      </c>
      <c r="L332">
        <v>4.8</v>
      </c>
      <c r="M332">
        <v>118</v>
      </c>
      <c r="O332" t="s">
        <v>39</v>
      </c>
      <c r="P332" t="s">
        <v>39</v>
      </c>
      <c r="Q332" t="s">
        <v>458</v>
      </c>
    </row>
    <row r="333" spans="1:17" ht="15.75" x14ac:dyDescent="0.25">
      <c r="A333" s="3" t="str">
        <f>HYPERLINK("https://heavenlyouthouse.com/products/kimono-rose-hand-wash", "https://heavenlyouthouse.com/products/kimono-rose-hand-wash")</f>
        <v>https://heavenlyouthouse.com/products/kimono-rose-hand-wash</v>
      </c>
      <c r="B333" s="3" t="str">
        <f>HYPERLINK("https://heavenlyouthouse.com/products/kimono-rose-hand-wash", "https://heavenlyouthouse.com/products/kimono-rose-hand-wash")</f>
        <v>https://heavenlyouthouse.com/products/kimono-rose-hand-wash</v>
      </c>
      <c r="C333" t="s">
        <v>544</v>
      </c>
      <c r="D333" t="s">
        <v>1034</v>
      </c>
      <c r="E333" s="3" t="str">
        <f>HYPERLINK("https://www.amazon.com/Thymes-Kimono-Moisturizing-Vanilla-Scented/dp/B002WJHL04/ref=sr_1_5?keywords=Thymes+Kimono+Rose+Hand+Wash&amp;qid=1695258755&amp;sr=8-5", "https://www.amazon.com/Thymes-Kimono-Moisturizing-Vanilla-Scented/dp/B002WJHL04/ref=sr_1_5?keywords=Thymes+Kimono+Rose+Hand+Wash&amp;qid=1695258755&amp;sr=8-5")</f>
        <v>https://www.amazon.com/Thymes-Kimono-Moisturizing-Vanilla-Scented/dp/B002WJHL04/ref=sr_1_5?keywords=Thymes+Kimono+Rose+Hand+Wash&amp;qid=1695258755&amp;sr=8-5</v>
      </c>
      <c r="F333" t="s">
        <v>1035</v>
      </c>
      <c r="G333" t="e">
        <f ca="1">IMAGE("https://heavenlyouthouse.com/cdn/shop/products/handwash_18174433-5a85-4ea6-ac07-76353b67db0d.jpg?v=1588107247")</f>
        <v>#NAME?</v>
      </c>
      <c r="H333" t="e">
        <f ca="1">IMAGE("https://m.media-amazon.com/images/I/71HzY2jHJLL._AC_UL320_.jpg")</f>
        <v>#NAME?</v>
      </c>
      <c r="I333" t="s">
        <v>86</v>
      </c>
      <c r="J333">
        <v>22</v>
      </c>
      <c r="K333" s="2" t="s">
        <v>1028</v>
      </c>
      <c r="L333">
        <v>4.7</v>
      </c>
      <c r="M333">
        <v>1203</v>
      </c>
      <c r="O333" t="s">
        <v>39</v>
      </c>
      <c r="P333" t="s">
        <v>39</v>
      </c>
      <c r="Q333" t="s">
        <v>545</v>
      </c>
    </row>
    <row r="334" spans="1:17" ht="15.75" x14ac:dyDescent="0.25">
      <c r="A334" s="3" t="str">
        <f>HYPERLINK("https://heavenlyouthouse.com/products/goldleaf-hand-wash", "https://heavenlyouthouse.com/products/goldleaf-hand-wash")</f>
        <v>https://heavenlyouthouse.com/products/goldleaf-hand-wash</v>
      </c>
      <c r="B334" s="3" t="str">
        <f>HYPERLINK("https://heavenlyouthouse.com/products/goldleaf-hand-wash", "https://heavenlyouthouse.com/products/goldleaf-hand-wash")</f>
        <v>https://heavenlyouthouse.com/products/goldleaf-hand-wash</v>
      </c>
      <c r="C334" t="s">
        <v>479</v>
      </c>
      <c r="D334" t="s">
        <v>1036</v>
      </c>
      <c r="E334" s="3" t="str">
        <f>HYPERLINK("https://www.amazon.com/Thymes-Goldleaf-Deeply-Moisturizing-Scented/dp/B0746R81PK/ref=sr_1_3?keywords=Thymes+Goldleaf+Hand+Wash&amp;qid=1695258748&amp;sr=8-3", "https://www.amazon.com/Thymes-Goldleaf-Deeply-Moisturizing-Scented/dp/B0746R81PK/ref=sr_1_3?keywords=Thymes+Goldleaf+Hand+Wash&amp;qid=1695258748&amp;sr=8-3")</f>
        <v>https://www.amazon.com/Thymes-Goldleaf-Deeply-Moisturizing-Scented/dp/B0746R81PK/ref=sr_1_3?keywords=Thymes+Goldleaf+Hand+Wash&amp;qid=1695258748&amp;sr=8-3</v>
      </c>
      <c r="F334" t="s">
        <v>1037</v>
      </c>
      <c r="G334" t="e">
        <f ca="1">IMAGE("https://heavenlyouthouse.com/cdn/shop/products/thymes-goldleaf-hand-wash_790c7a89-90bf-4dfd-9a28-50e8cdfd1678.png?v=1652276960")</f>
        <v>#NAME?</v>
      </c>
      <c r="H334" t="e">
        <f ca="1">IMAGE("https://m.media-amazon.com/images/I/71t373FUcPL._AC_UL320_.jpg")</f>
        <v>#NAME?</v>
      </c>
      <c r="I334" t="s">
        <v>86</v>
      </c>
      <c r="J334">
        <v>22</v>
      </c>
      <c r="K334" s="2" t="s">
        <v>1028</v>
      </c>
      <c r="L334">
        <v>4.7</v>
      </c>
      <c r="M334">
        <v>1203</v>
      </c>
      <c r="O334" t="s">
        <v>39</v>
      </c>
      <c r="P334" t="s">
        <v>39</v>
      </c>
      <c r="Q334" t="s">
        <v>482</v>
      </c>
    </row>
    <row r="335" spans="1:17" ht="15.75" x14ac:dyDescent="0.25">
      <c r="A335" s="3" t="str">
        <f>HYPERLINK("https://heavenlyouthouse.com/products/frasier-fir-petite-hand-lotion", "https://heavenlyouthouse.com/products/frasier-fir-petite-hand-lotion")</f>
        <v>https://heavenlyouthouse.com/products/frasier-fir-petite-hand-lotion</v>
      </c>
      <c r="B335" s="3" t="str">
        <f>HYPERLINK("https://heavenlyouthouse.com/products/frasier-fir-petite-hand-lotion", "https://heavenlyouthouse.com/products/frasier-fir-petite-hand-lotion")</f>
        <v>https://heavenlyouthouse.com/products/frasier-fir-petite-hand-lotion</v>
      </c>
      <c r="C335" t="s">
        <v>708</v>
      </c>
      <c r="D335" t="s">
        <v>1038</v>
      </c>
      <c r="E335" s="3" t="str">
        <f>HYPERLINK("https://www.amazon.com/Frasier-Fir-Hand-Cream-3-4/dp/B0763QV2GK/ref=sr_1_6?keywords=Thymes+Frasier+Fir+Hand+Lotion&amp;qid=1695258732&amp;sr=8-6", "https://www.amazon.com/Frasier-Fir-Hand-Cream-3-4/dp/B0763QV2GK/ref=sr_1_6?keywords=Thymes+Frasier+Fir+Hand+Lotion&amp;qid=1695258732&amp;sr=8-6")</f>
        <v>https://www.amazon.com/Frasier-Fir-Hand-Cream-3-4/dp/B0763QV2GK/ref=sr_1_6?keywords=Thymes+Frasier+Fir+Hand+Lotion&amp;qid=1695258732&amp;sr=8-6</v>
      </c>
      <c r="F335" t="s">
        <v>1039</v>
      </c>
      <c r="G335" t="e">
        <f ca="1">IMAGE("https://heavenlyouthouse.com/cdn/shop/products/ThymesFrasierFirHandLotion.jpg?v=1612375466")</f>
        <v>#NAME?</v>
      </c>
      <c r="H335" t="e">
        <f ca="1">IMAGE("https://m.media-amazon.com/images/I/615VA-TaJdL._AC_UL320_.jpg")</f>
        <v>#NAME?</v>
      </c>
      <c r="I335" t="s">
        <v>86</v>
      </c>
      <c r="J335">
        <v>22</v>
      </c>
      <c r="K335" s="2" t="s">
        <v>1028</v>
      </c>
      <c r="L335">
        <v>4.8</v>
      </c>
      <c r="M335">
        <v>401</v>
      </c>
      <c r="O335" t="s">
        <v>39</v>
      </c>
      <c r="P335" t="s">
        <v>39</v>
      </c>
      <c r="Q335" t="s">
        <v>711</v>
      </c>
    </row>
    <row r="336" spans="1:17" ht="15.75" x14ac:dyDescent="0.25">
      <c r="A336" s="3" t="str">
        <f>HYPERLINK("https://heavenlyouthouse.com/products/lavender-hand-wash", "https://heavenlyouthouse.com/products/lavender-hand-wash")</f>
        <v>https://heavenlyouthouse.com/products/lavender-hand-wash</v>
      </c>
      <c r="B336" s="3" t="str">
        <f>HYPERLINK("https://heavenlyouthouse.com/products/lavender-hand-wash", "https://heavenlyouthouse.com/products/lavender-hand-wash")</f>
        <v>https://heavenlyouthouse.com/products/lavender-hand-wash</v>
      </c>
      <c r="C336" t="s">
        <v>540</v>
      </c>
      <c r="D336" t="s">
        <v>1040</v>
      </c>
      <c r="E336" s="3" t="str">
        <f>HYPERLINK("https://www.amazon.com/Thymes-Lavender-Deeply-Moisturizing-Relaxing/dp/B002WJHK1O/ref=sr_1_9?keywords=Thymes+Lavender+Hand+Wash&amp;qid=1695258763&amp;sr=8-9", "https://www.amazon.com/Thymes-Lavender-Deeply-Moisturizing-Relaxing/dp/B002WJHK1O/ref=sr_1_9?keywords=Thymes+Lavender+Hand+Wash&amp;qid=1695258763&amp;sr=8-9")</f>
        <v>https://www.amazon.com/Thymes-Lavender-Deeply-Moisturizing-Relaxing/dp/B002WJHK1O/ref=sr_1_9?keywords=Thymes+Lavender+Hand+Wash&amp;qid=1695258763&amp;sr=8-9</v>
      </c>
      <c r="F336" t="s">
        <v>1041</v>
      </c>
      <c r="G336" t="e">
        <f ca="1">IMAGE("https://heavenlyouthouse.com/cdn/shop/products/thymes-lavender-hand-wash.jpg?v=1673017797")</f>
        <v>#NAME?</v>
      </c>
      <c r="H336" t="e">
        <f ca="1">IMAGE("https://m.media-amazon.com/images/I/713rciqIiAL._AC_UL320_.jpg")</f>
        <v>#NAME?</v>
      </c>
      <c r="I336" t="s">
        <v>86</v>
      </c>
      <c r="J336">
        <v>22</v>
      </c>
      <c r="K336" s="2" t="s">
        <v>1028</v>
      </c>
      <c r="L336">
        <v>4.7</v>
      </c>
      <c r="M336">
        <v>1203</v>
      </c>
      <c r="O336" t="s">
        <v>39</v>
      </c>
      <c r="P336" t="s">
        <v>39</v>
      </c>
      <c r="Q336" t="s">
        <v>543</v>
      </c>
    </row>
    <row r="337" spans="1:17" ht="15.75" x14ac:dyDescent="0.25">
      <c r="A337" s="3" t="str">
        <f>HYPERLINK("https://heavenlyouthouse.com/products/eucalyptus-hand-wash", "https://heavenlyouthouse.com/products/eucalyptus-hand-wash")</f>
        <v>https://heavenlyouthouse.com/products/eucalyptus-hand-wash</v>
      </c>
      <c r="B337" s="3" t="str">
        <f>HYPERLINK("https://heavenlyouthouse.com/products/eucalyptus-hand-wash", "https://heavenlyouthouse.com/products/eucalyptus-hand-wash")</f>
        <v>https://heavenlyouthouse.com/products/eucalyptus-hand-wash</v>
      </c>
      <c r="C337" t="s">
        <v>1042</v>
      </c>
      <c r="D337" t="s">
        <v>1043</v>
      </c>
      <c r="E337" s="3" t="str">
        <f>HYPERLINK("https://www.amazon.com/Thymes-Eucalyptus-Cr%C3%A8me-Deeply-Moisturizing/dp/B002WJHK1E/ref=sr_1_3?keywords=Thymes+Eucalyptus+Hand+Wash&amp;qid=1695258722&amp;sr=8-3", "https://www.amazon.com/Thymes-Eucalyptus-Cr%C3%A8me-Deeply-Moisturizing/dp/B002WJHK1E/ref=sr_1_3?keywords=Thymes+Eucalyptus+Hand+Wash&amp;qid=1695258722&amp;sr=8-3")</f>
        <v>https://www.amazon.com/Thymes-Eucalyptus-Cr%C3%A8me-Deeply-Moisturizing/dp/B002WJHK1E/ref=sr_1_3?keywords=Thymes+Eucalyptus+Hand+Wash&amp;qid=1695258722&amp;sr=8-3</v>
      </c>
      <c r="F337" t="s">
        <v>1044</v>
      </c>
      <c r="G337" t="e">
        <f ca="1">IMAGE("https://heavenlyouthouse.com/cdn/shop/products/thymes-eucalyptus-hand-wash_e930a19f-ee15-49e9-9caf-87b16b1cff84.png?v=1652276810")</f>
        <v>#NAME?</v>
      </c>
      <c r="H337" t="e">
        <f ca="1">IMAGE("https://m.media-amazon.com/images/I/71ZB7ausgxL._AC_UL320_.jpg")</f>
        <v>#NAME?</v>
      </c>
      <c r="I337" t="s">
        <v>86</v>
      </c>
      <c r="J337">
        <v>22</v>
      </c>
      <c r="K337" s="2" t="s">
        <v>1028</v>
      </c>
      <c r="L337">
        <v>4.7</v>
      </c>
      <c r="M337">
        <v>1203</v>
      </c>
      <c r="O337" t="s">
        <v>39</v>
      </c>
      <c r="P337" t="s">
        <v>1045</v>
      </c>
      <c r="Q337" t="s">
        <v>1046</v>
      </c>
    </row>
    <row r="338" spans="1:17" ht="15.75" x14ac:dyDescent="0.25">
      <c r="A338" s="3" t="str">
        <f>HYPERLINK("https://heavenlyouthouse.com/products/thymes-olive-leaf-hand-lotion", "https://heavenlyouthouse.com/products/thymes-olive-leaf-hand-lotion")</f>
        <v>https://heavenlyouthouse.com/products/thymes-olive-leaf-hand-lotion</v>
      </c>
      <c r="B338" s="3" t="str">
        <f>HYPERLINK("https://heavenlyouthouse.com/products/thymes-olive-leaf-hand-lotion", "https://heavenlyouthouse.com/products/thymes-olive-leaf-hand-lotion")</f>
        <v>https://heavenlyouthouse.com/products/thymes-olive-leaf-hand-lotion</v>
      </c>
      <c r="C338" t="s">
        <v>546</v>
      </c>
      <c r="D338" t="s">
        <v>1047</v>
      </c>
      <c r="E338" s="3" t="str">
        <f>HYPERLINK("https://www.amazon.com/Thymes-Olive-Deeply-Moisturizing-Natural/dp/B0746R1Z7V/ref=sr_1_2?keywords=Thymes+Olive+Leaf+Hand+Lotion&amp;qid=1695258785&amp;sr=8-2", "https://www.amazon.com/Thymes-Olive-Deeply-Moisturizing-Natural/dp/B0746R1Z7V/ref=sr_1_2?keywords=Thymes+Olive+Leaf+Hand+Lotion&amp;qid=1695258785&amp;sr=8-2")</f>
        <v>https://www.amazon.com/Thymes-Olive-Deeply-Moisturizing-Natural/dp/B0746R1Z7V/ref=sr_1_2?keywords=Thymes+Olive+Leaf+Hand+Lotion&amp;qid=1695258785&amp;sr=8-2</v>
      </c>
      <c r="F338" t="s">
        <v>1048</v>
      </c>
      <c r="G338" t="e">
        <f ca="1">IMAGE("https://heavenlyouthouse.com/cdn/shop/products/Olive-Leaf-Hand-Lotion.jpg?v=1633124000")</f>
        <v>#NAME?</v>
      </c>
      <c r="H338" t="e">
        <f ca="1">IMAGE("https://m.media-amazon.com/images/I/714yJRv0zZL._AC_UL320_.jpg")</f>
        <v>#NAME?</v>
      </c>
      <c r="I338" t="s">
        <v>86</v>
      </c>
      <c r="J338">
        <v>22</v>
      </c>
      <c r="K338" s="2" t="s">
        <v>1028</v>
      </c>
      <c r="L338">
        <v>4.7</v>
      </c>
      <c r="M338">
        <v>1203</v>
      </c>
      <c r="O338" t="s">
        <v>39</v>
      </c>
      <c r="P338" t="s">
        <v>39</v>
      </c>
      <c r="Q338" t="s">
        <v>549</v>
      </c>
    </row>
    <row r="339" spans="1:17" ht="15.75" x14ac:dyDescent="0.25">
      <c r="A339" s="3" t="str">
        <f>HYPERLINK("https://heavenlyouthouse.com/products/kimono-rose-hand-lotion", "https://heavenlyouthouse.com/products/kimono-rose-hand-lotion")</f>
        <v>https://heavenlyouthouse.com/products/kimono-rose-hand-lotion</v>
      </c>
      <c r="B339" s="3" t="str">
        <f>HYPERLINK("https://heavenlyouthouse.com/products/kimono-rose-hand-lotion", "https://heavenlyouthouse.com/products/kimono-rose-hand-lotion")</f>
        <v>https://heavenlyouthouse.com/products/kimono-rose-hand-lotion</v>
      </c>
      <c r="C339" t="s">
        <v>538</v>
      </c>
      <c r="D339" t="s">
        <v>1034</v>
      </c>
      <c r="E339" s="3" t="str">
        <f>HYPERLINK("https://www.amazon.com/Thymes-Kimono-Moisturizing-Vanilla-Scented/dp/B002WJHL04/ref=sr_1_6?keywords=Thymes+Kimono+Rose+Hand+Lotion&amp;qid=1695258762&amp;sr=8-6", "https://www.amazon.com/Thymes-Kimono-Moisturizing-Vanilla-Scented/dp/B002WJHL04/ref=sr_1_6?keywords=Thymes+Kimono+Rose+Hand+Lotion&amp;qid=1695258762&amp;sr=8-6")</f>
        <v>https://www.amazon.com/Thymes-Kimono-Moisturizing-Vanilla-Scented/dp/B002WJHL04/ref=sr_1_6?keywords=Thymes+Kimono+Rose+Hand+Lotion&amp;qid=1695258762&amp;sr=8-6</v>
      </c>
      <c r="F339" t="s">
        <v>1035</v>
      </c>
      <c r="G339" t="e">
        <f ca="1">IMAGE("https://heavenlyouthouse.com/cdn/shop/files/thymes-kimono-rose-HAND-LOTION_300x300.jpg?v=1682980281")</f>
        <v>#NAME?</v>
      </c>
      <c r="H339" t="e">
        <f ca="1">IMAGE("https://m.media-amazon.com/images/I/71HzY2jHJLL._AC_UL320_.jpg")</f>
        <v>#NAME?</v>
      </c>
      <c r="I339" t="s">
        <v>86</v>
      </c>
      <c r="J339">
        <v>22</v>
      </c>
      <c r="K339" s="2" t="s">
        <v>1028</v>
      </c>
      <c r="L339">
        <v>4.7</v>
      </c>
      <c r="M339">
        <v>1203</v>
      </c>
      <c r="O339" t="s">
        <v>39</v>
      </c>
      <c r="P339" t="s">
        <v>39</v>
      </c>
      <c r="Q339" t="s">
        <v>539</v>
      </c>
    </row>
    <row r="340" spans="1:17" ht="15.75" x14ac:dyDescent="0.25">
      <c r="A340" s="3" t="str">
        <f>HYPERLINK("https://heavenlyouthouse.com/products/goldleaf-gardenia-hand-lotion", "https://heavenlyouthouse.com/products/goldleaf-gardenia-hand-lotion")</f>
        <v>https://heavenlyouthouse.com/products/goldleaf-gardenia-hand-lotion</v>
      </c>
      <c r="B340" s="3" t="str">
        <f>HYPERLINK("https://heavenlyouthouse.com/products/goldleaf-gardenia-hand-lotion", "https://heavenlyouthouse.com/products/goldleaf-gardenia-hand-lotion")</f>
        <v>https://heavenlyouthouse.com/products/goldleaf-gardenia-hand-lotion</v>
      </c>
      <c r="C340" t="s">
        <v>486</v>
      </c>
      <c r="D340" t="s">
        <v>1049</v>
      </c>
      <c r="E340" s="3" t="str">
        <f>HYPERLINK("https://www.amazon.com/Thymes-Goldleaf-Gardenia-Deeply-Moisturizing/dp/B06WVM6PX7/ref=sr_1_7?keywords=Thymes+Goldleaf+Gardenia+Hand+Lotion&amp;qid=1695258756&amp;sr=8-7", "https://www.amazon.com/Thymes-Goldleaf-Gardenia-Deeply-Moisturizing/dp/B06WVM6PX7/ref=sr_1_7?keywords=Thymes+Goldleaf+Gardenia+Hand+Lotion&amp;qid=1695258756&amp;sr=8-7")</f>
        <v>https://www.amazon.com/Thymes-Goldleaf-Gardenia-Deeply-Moisturizing/dp/B06WVM6PX7/ref=sr_1_7?keywords=Thymes+Goldleaf+Gardenia+Hand+Lotion&amp;qid=1695258756&amp;sr=8-7</v>
      </c>
      <c r="F340" t="s">
        <v>1050</v>
      </c>
      <c r="G340" t="e">
        <f ca="1">IMAGE("https://heavenlyouthouse.com/cdn/shop/products/thymes-goldleaf-gardenia-hand-lotion.jpg?v=1655330888")</f>
        <v>#NAME?</v>
      </c>
      <c r="H340" t="e">
        <f ca="1">IMAGE("https://m.media-amazon.com/images/I/71Kd7nUkZBL._AC_UL320_.jpg")</f>
        <v>#NAME?</v>
      </c>
      <c r="I340" t="s">
        <v>86</v>
      </c>
      <c r="J340">
        <v>22</v>
      </c>
      <c r="K340" s="2" t="s">
        <v>1028</v>
      </c>
      <c r="L340">
        <v>4.7</v>
      </c>
      <c r="M340">
        <v>1203</v>
      </c>
      <c r="O340" t="s">
        <v>39</v>
      </c>
      <c r="P340" t="s">
        <v>484</v>
      </c>
      <c r="Q340" t="s">
        <v>487</v>
      </c>
    </row>
    <row r="341" spans="1:17" ht="15.75" x14ac:dyDescent="0.25">
      <c r="A341" s="3" t="str">
        <f>HYPERLINK("https://heavenlyouthouse.com/products/thymes-olive-leaf-hand-wash", "https://heavenlyouthouse.com/products/thymes-olive-leaf-hand-wash")</f>
        <v>https://heavenlyouthouse.com/products/thymes-olive-leaf-hand-wash</v>
      </c>
      <c r="B341" s="3" t="str">
        <f>HYPERLINK("https://heavenlyouthouse.com/products/thymes-olive-leaf-hand-wash", "https://heavenlyouthouse.com/products/thymes-olive-leaf-hand-wash")</f>
        <v>https://heavenlyouthouse.com/products/thymes-olive-leaf-hand-wash</v>
      </c>
      <c r="C341" t="s">
        <v>876</v>
      </c>
      <c r="D341" t="s">
        <v>1047</v>
      </c>
      <c r="E341" s="3" t="str">
        <f>HYPERLINK("https://www.amazon.com/Thymes-Olive-Deeply-Moisturizing-Natural/dp/B0746R1Z7V/ref=sr_1_4?keywords=Thymes+Olive+Leaf+Hand+Wash&amp;qid=1695258785&amp;sr=8-4", "https://www.amazon.com/Thymes-Olive-Deeply-Moisturizing-Natural/dp/B0746R1Z7V/ref=sr_1_4?keywords=Thymes+Olive+Leaf+Hand+Wash&amp;qid=1695258785&amp;sr=8-4")</f>
        <v>https://www.amazon.com/Thymes-Olive-Deeply-Moisturizing-Natural/dp/B0746R1Z7V/ref=sr_1_4?keywords=Thymes+Olive+Leaf+Hand+Wash&amp;qid=1695258785&amp;sr=8-4</v>
      </c>
      <c r="F341" t="s">
        <v>1048</v>
      </c>
      <c r="G341" t="e">
        <f ca="1">IMAGE("https://heavenlyouthouse.com/cdn/shop/products/Olive-Leaf-Hand-Wash.jpg?v=1633123893")</f>
        <v>#NAME?</v>
      </c>
      <c r="H341" t="e">
        <f ca="1">IMAGE("https://m.media-amazon.com/images/I/714yJRv0zZL._AC_UL320_.jpg")</f>
        <v>#NAME?</v>
      </c>
      <c r="I341" t="s">
        <v>86</v>
      </c>
      <c r="J341">
        <v>22</v>
      </c>
      <c r="K341" s="2" t="s">
        <v>1028</v>
      </c>
      <c r="L341">
        <v>4.7</v>
      </c>
      <c r="M341">
        <v>1203</v>
      </c>
      <c r="O341" t="s">
        <v>39</v>
      </c>
      <c r="P341" t="s">
        <v>39</v>
      </c>
      <c r="Q341" t="s">
        <v>879</v>
      </c>
    </row>
    <row r="342" spans="1:17" ht="15.75" x14ac:dyDescent="0.25">
      <c r="A342" s="3" t="str">
        <f>HYPERLINK("https://heavenlyouthouse.com/products/goldleaf-gardenia-hand-wash", "https://heavenlyouthouse.com/products/goldleaf-gardenia-hand-wash")</f>
        <v>https://heavenlyouthouse.com/products/goldleaf-gardenia-hand-wash</v>
      </c>
      <c r="B342" s="3" t="str">
        <f>HYPERLINK("https://heavenlyouthouse.com/products/goldleaf-gardenia-hand-wash", "https://heavenlyouthouse.com/products/goldleaf-gardenia-hand-wash")</f>
        <v>https://heavenlyouthouse.com/products/goldleaf-gardenia-hand-wash</v>
      </c>
      <c r="C342" t="s">
        <v>475</v>
      </c>
      <c r="D342" t="s">
        <v>1049</v>
      </c>
      <c r="E342" s="3" t="str">
        <f>HYPERLINK("https://www.amazon.com/Thymes-Goldleaf-Gardenia-Deeply-Moisturizing/dp/B06WVM6PX7/ref=sr_1_4?keywords=Thymes+Goldleaf+Gardenia+Hand+Wash&amp;qid=1695258751&amp;sr=8-4", "https://www.amazon.com/Thymes-Goldleaf-Gardenia-Deeply-Moisturizing/dp/B06WVM6PX7/ref=sr_1_4?keywords=Thymes+Goldleaf+Gardenia+Hand+Wash&amp;qid=1695258751&amp;sr=8-4")</f>
        <v>https://www.amazon.com/Thymes-Goldleaf-Gardenia-Deeply-Moisturizing/dp/B06WVM6PX7/ref=sr_1_4?keywords=Thymes+Goldleaf+Gardenia+Hand+Wash&amp;qid=1695258751&amp;sr=8-4</v>
      </c>
      <c r="F342" t="s">
        <v>1050</v>
      </c>
      <c r="G342" t="e">
        <f ca="1">IMAGE("https://heavenlyouthouse.com/cdn/shop/files/thymes-goldleaf-gardenia-hand-wash.jpg?v=1685637533")</f>
        <v>#NAME?</v>
      </c>
      <c r="H342" t="e">
        <f ca="1">IMAGE("https://m.media-amazon.com/images/I/71Kd7nUkZBL._AC_UL320_.jpg")</f>
        <v>#NAME?</v>
      </c>
      <c r="I342" t="s">
        <v>86</v>
      </c>
      <c r="J342">
        <v>22</v>
      </c>
      <c r="K342" s="2" t="s">
        <v>1028</v>
      </c>
      <c r="L342">
        <v>4.7</v>
      </c>
      <c r="M342">
        <v>1203</v>
      </c>
      <c r="O342" t="s">
        <v>39</v>
      </c>
      <c r="P342" t="s">
        <v>39</v>
      </c>
      <c r="Q342" t="s">
        <v>478</v>
      </c>
    </row>
    <row r="343" spans="1:17" ht="15.75" x14ac:dyDescent="0.25">
      <c r="A343" s="3" t="str">
        <f>HYPERLINK("https://heavenlyouthouse.com/products/goldleaf-hand-lotion", "https://heavenlyouthouse.com/products/goldleaf-hand-lotion")</f>
        <v>https://heavenlyouthouse.com/products/goldleaf-hand-lotion</v>
      </c>
      <c r="B343" s="3" t="str">
        <f>HYPERLINK("https://heavenlyouthouse.com/products/goldleaf-hand-lotion", "https://heavenlyouthouse.com/products/goldleaf-hand-lotion")</f>
        <v>https://heavenlyouthouse.com/products/goldleaf-hand-lotion</v>
      </c>
      <c r="C343" t="s">
        <v>483</v>
      </c>
      <c r="D343" t="s">
        <v>1036</v>
      </c>
      <c r="E343" s="3" t="str">
        <f>HYPERLINK("https://www.amazon.com/Thymes-Goldleaf-Deeply-Moisturizing-Scented/dp/B0746R81PK/ref=sr_1_2?keywords=Thymes+Goldleaf+Hand+Lotion&amp;qid=1695258754&amp;sr=8-2", "https://www.amazon.com/Thymes-Goldleaf-Deeply-Moisturizing-Scented/dp/B0746R81PK/ref=sr_1_2?keywords=Thymes+Goldleaf+Hand+Lotion&amp;qid=1695258754&amp;sr=8-2")</f>
        <v>https://www.amazon.com/Thymes-Goldleaf-Deeply-Moisturizing-Scented/dp/B0746R81PK/ref=sr_1_2?keywords=Thymes+Goldleaf+Hand+Lotion&amp;qid=1695258754&amp;sr=8-2</v>
      </c>
      <c r="F343" t="s">
        <v>1037</v>
      </c>
      <c r="G343" t="e">
        <f ca="1">IMAGE("https://heavenlyouthouse.com/cdn/shop/products/thymes-goldleaf-perfumed-hand-lotion_dd6a35dd-31ad-4f2b-818b-b81ebf314b0f.png?v=1652276946")</f>
        <v>#NAME?</v>
      </c>
      <c r="H343" t="e">
        <f ca="1">IMAGE("https://m.media-amazon.com/images/I/71t373FUcPL._AC_UL320_.jpg")</f>
        <v>#NAME?</v>
      </c>
      <c r="I343" t="s">
        <v>86</v>
      </c>
      <c r="J343">
        <v>22</v>
      </c>
      <c r="K343" s="2" t="s">
        <v>1028</v>
      </c>
      <c r="L343">
        <v>4.7</v>
      </c>
      <c r="M343">
        <v>1203</v>
      </c>
      <c r="O343" t="s">
        <v>39</v>
      </c>
      <c r="P343" t="s">
        <v>484</v>
      </c>
      <c r="Q343" t="s">
        <v>485</v>
      </c>
    </row>
    <row r="344" spans="1:17" ht="15.75" x14ac:dyDescent="0.25">
      <c r="A344" s="3" t="str">
        <f>HYPERLINK("https://heavenlyouthouse.com/products/eucalyptus-hand-lotion?variant=31706511114329", "https://heavenlyouthouse.com/products/eucalyptus-hand-lotion?variant=31706511114329")</f>
        <v>https://heavenlyouthouse.com/products/eucalyptus-hand-lotion?variant=31706511114329</v>
      </c>
      <c r="B344" s="3" t="str">
        <f>HYPERLINK("https://heavenlyouthouse.com/products/eucalyptus-hand-lotion", "https://heavenlyouthouse.com/products/eucalyptus-hand-lotion")</f>
        <v>https://heavenlyouthouse.com/products/eucalyptus-hand-lotion</v>
      </c>
      <c r="C344" t="s">
        <v>552</v>
      </c>
      <c r="D344" t="s">
        <v>1043</v>
      </c>
      <c r="E344" s="3" t="str">
        <f>HYPERLINK("https://www.amazon.com/Thymes-Eucalyptus-Cr%C3%A8me-Deeply-Moisturizing/dp/B002WJHK1E/ref=sr_1_1?keywords=Thymes+Eucalyptus+Hand+Lotion&amp;qid=1695258716&amp;sr=8-1", "https://www.amazon.com/Thymes-Eucalyptus-Cr%C3%A8me-Deeply-Moisturizing/dp/B002WJHK1E/ref=sr_1_1?keywords=Thymes+Eucalyptus+Hand+Lotion&amp;qid=1695258716&amp;sr=8-1")</f>
        <v>https://www.amazon.com/Thymes-Eucalyptus-Cr%C3%A8me-Deeply-Moisturizing/dp/B002WJHK1E/ref=sr_1_1?keywords=Thymes+Eucalyptus+Hand+Lotion&amp;qid=1695258716&amp;sr=8-1</v>
      </c>
      <c r="F344" t="s">
        <v>1044</v>
      </c>
      <c r="G344" t="e">
        <f ca="1">IMAGE("https://heavenlyouthouse.com/cdn/shop/products/thymes-eucalyptus-hand-lotion_e875e475-4a24-4858-9caa-3b33b83cdd22.png?v=1652276792")</f>
        <v>#NAME?</v>
      </c>
      <c r="H344" t="e">
        <f ca="1">IMAGE("https://m.media-amazon.com/images/I/71ZB7ausgxL._AC_UL320_.jpg")</f>
        <v>#NAME?</v>
      </c>
      <c r="I344" t="s">
        <v>86</v>
      </c>
      <c r="J344">
        <v>22</v>
      </c>
      <c r="K344" s="2" t="s">
        <v>1028</v>
      </c>
      <c r="L344">
        <v>4.7</v>
      </c>
      <c r="M344">
        <v>1203</v>
      </c>
      <c r="O344" t="s">
        <v>136</v>
      </c>
      <c r="P344" t="s">
        <v>39</v>
      </c>
      <c r="Q344" t="s">
        <v>553</v>
      </c>
    </row>
    <row r="345" spans="1:17" ht="15.75" x14ac:dyDescent="0.25">
      <c r="A345" s="3" t="str">
        <f>HYPERLINK("https://heavenlyouthouse.com/products/poo-pourri-original-citrus-toilet-spray?variant=39334155321433", "https://heavenlyouthouse.com/products/poo-pourri-original-citrus-toilet-spray?variant=39334155321433")</f>
        <v>https://heavenlyouthouse.com/products/poo-pourri-original-citrus-toilet-spray?variant=39334155321433</v>
      </c>
      <c r="B345" s="3" t="str">
        <f>HYPERLINK("https://heavenlyouthouse.com/products/poo-pourri-original-citrus-toilet-spray", "https://heavenlyouthouse.com/products/poo-pourri-original-citrus-toilet-spray")</f>
        <v>https://heavenlyouthouse.com/products/poo-pourri-original-citrus-toilet-spray</v>
      </c>
      <c r="C345" t="s">
        <v>526</v>
      </c>
      <c r="D345" t="s">
        <v>1051</v>
      </c>
      <c r="E345" s="3" t="str">
        <f>HYPERLINK("https://www.amazon.com/Poo-Pourri-Before-You-Go-Toilet-Bottle-Original/dp/B07F256TGV/ref=sr_1_2?keywords=Poo-Pourri+Original+Citrus+Toilet+Spray&amp;qid=1695258667&amp;sr=8-2", "https://www.amazon.com/Poo-Pourri-Before-You-Go-Toilet-Bottle-Original/dp/B07F256TGV/ref=sr_1_2?keywords=Poo-Pourri+Original+Citrus+Toilet+Spray&amp;qid=1695258667&amp;sr=8-2")</f>
        <v>https://www.amazon.com/Poo-Pourri-Before-You-Go-Toilet-Bottle-Original/dp/B07F256TGV/ref=sr_1_2?keywords=Poo-Pourri+Original+Citrus+Toilet+Spray&amp;qid=1695258667&amp;sr=8-2</v>
      </c>
      <c r="F345" t="s">
        <v>1052</v>
      </c>
      <c r="G345" t="e">
        <f ca="1">IMAGE("https://heavenlyouthouse.com/cdn/shop/products/Poo-pourrioriginalcitrustoiletbathroomspray1.jpg?v=1621615377")</f>
        <v>#NAME?</v>
      </c>
      <c r="H345" t="e">
        <f ca="1">IMAGE("https://m.media-amazon.com/images/I/810A89sRYpL._AC_UL320_.jpg")</f>
        <v>#NAME?</v>
      </c>
      <c r="I345" t="s">
        <v>362</v>
      </c>
      <c r="J345">
        <v>15.69</v>
      </c>
      <c r="K345" s="2" t="s">
        <v>1028</v>
      </c>
      <c r="L345">
        <v>4.7</v>
      </c>
      <c r="M345">
        <v>2286</v>
      </c>
      <c r="O345" t="s">
        <v>136</v>
      </c>
      <c r="P345" t="s">
        <v>363</v>
      </c>
      <c r="Q345" t="s">
        <v>530</v>
      </c>
    </row>
    <row r="346" spans="1:17" ht="15.75" x14ac:dyDescent="0.25">
      <c r="A346" s="3" t="str">
        <f>HYPERLINK("https://heavenlyouthouse.com/products/rosemary-mint-body-lotion", "https://heavenlyouthouse.com/products/rosemary-mint-body-lotion")</f>
        <v>https://heavenlyouthouse.com/products/rosemary-mint-body-lotion</v>
      </c>
      <c r="B346" s="3" t="str">
        <f>HYPERLINK("https://heavenlyouthouse.com/products/rosemary-mint-body-lotion", "https://heavenlyouthouse.com/products/rosemary-mint-body-lotion")</f>
        <v>https://heavenlyouthouse.com/products/rosemary-mint-body-lotion</v>
      </c>
      <c r="C346" t="s">
        <v>664</v>
      </c>
      <c r="D346" t="s">
        <v>1053</v>
      </c>
      <c r="E346" s="3" t="str">
        <f>HYPERLINK("https://www.amazon.com/Natural-Inspirations-Eucalyptus-Rosemary-Nourishing/dp/B0B9Q41K1Z/ref=sr_1_6?keywords=Rosemary+Mint+Body+Lotion&amp;qid=1695258667&amp;sr=8-6", "https://www.amazon.com/Natural-Inspirations-Eucalyptus-Rosemary-Nourishing/dp/B0B9Q41K1Z/ref=sr_1_6?keywords=Rosemary+Mint+Body+Lotion&amp;qid=1695258667&amp;sr=8-6")</f>
        <v>https://www.amazon.com/Natural-Inspirations-Eucalyptus-Rosemary-Nourishing/dp/B0B9Q41K1Z/ref=sr_1_6?keywords=Rosemary+Mint+Body+Lotion&amp;qid=1695258667&amp;sr=8-6</v>
      </c>
      <c r="F346" t="s">
        <v>1054</v>
      </c>
      <c r="G346" t="e">
        <f ca="1">IMAGE("https://heavenlyouthouse.com/cdn/shop/products/RosemaryMint-OatLotion.webp?v=1681505156")</f>
        <v>#NAME?</v>
      </c>
      <c r="H346" t="e">
        <f ca="1">IMAGE("https://m.media-amazon.com/images/I/61gpa03OJEL._AC_UL320_.jpg")</f>
        <v>#NAME?</v>
      </c>
      <c r="I346" t="s">
        <v>399</v>
      </c>
      <c r="J346">
        <v>22</v>
      </c>
      <c r="K346" s="2" t="s">
        <v>1028</v>
      </c>
      <c r="L346">
        <v>4.7</v>
      </c>
      <c r="M346">
        <v>171</v>
      </c>
      <c r="O346" t="s">
        <v>39</v>
      </c>
      <c r="P346" t="s">
        <v>39</v>
      </c>
      <c r="Q346" t="s">
        <v>667</v>
      </c>
    </row>
    <row r="347" spans="1:17" ht="15.75" x14ac:dyDescent="0.25">
      <c r="A347" s="3" t="str">
        <f>HYPERLINK("https://heavenlyouthouse.com/products/wonderful-person-fathers-day-card", "https://heavenlyouthouse.com/products/wonderful-person-fathers-day-card")</f>
        <v>https://heavenlyouthouse.com/products/wonderful-person-fathers-day-card</v>
      </c>
      <c r="B347" s="3" t="str">
        <f>HYPERLINK("https://heavenlyouthouse.com/products/wonderful-person-fathers-day-card", "https://heavenlyouthouse.com/products/wonderful-person-fathers-day-card")</f>
        <v>https://heavenlyouthouse.com/products/wonderful-person-fathers-day-card</v>
      </c>
      <c r="C347" t="s">
        <v>1055</v>
      </c>
      <c r="D347" t="s">
        <v>1056</v>
      </c>
      <c r="E347" s="3" t="str">
        <f>HYPERLINK("https://www.amazon.com/Papyrus-Fathers-Card-Wood-Lettering/dp/B081TRNZKB/ref=sr_1_6?keywords=Wonderful+Person+Fathers+Day+Card&amp;qid=1695258834&amp;sr=8-6", "https://www.amazon.com/Papyrus-Fathers-Card-Wood-Lettering/dp/B081TRNZKB/ref=sr_1_6?keywords=Wonderful+Person+Fathers+Day+Card&amp;qid=1695258834&amp;sr=8-6")</f>
        <v>https://www.amazon.com/Papyrus-Fathers-Card-Wood-Lettering/dp/B081TRNZKB/ref=sr_1_6?keywords=Wonderful+Person+Fathers+Day+Card&amp;qid=1695258834&amp;sr=8-6</v>
      </c>
      <c r="F347" t="s">
        <v>1057</v>
      </c>
      <c r="G347" t="e">
        <f ca="1">IMAGE("https://heavenlyouthouse.com/cdn/shop/products/wonderful-father_s-day-card4.jpg?v=1642611712")</f>
        <v>#NAME?</v>
      </c>
      <c r="H347" t="e">
        <f ca="1">IMAGE("https://m.media-amazon.com/images/I/81dUQlcM5xS._AC_UL320_.jpg")</f>
        <v>#NAME?</v>
      </c>
      <c r="I347" t="s">
        <v>454</v>
      </c>
      <c r="J347">
        <v>8.84</v>
      </c>
      <c r="K347" s="2" t="s">
        <v>1058</v>
      </c>
      <c r="L347">
        <v>4.8</v>
      </c>
      <c r="M347">
        <v>233</v>
      </c>
      <c r="O347" t="s">
        <v>39</v>
      </c>
      <c r="P347" t="s">
        <v>39</v>
      </c>
      <c r="Q347" t="s">
        <v>1059</v>
      </c>
    </row>
    <row r="348" spans="1:17" ht="15.75" x14ac:dyDescent="0.25">
      <c r="A348" s="3" t="str">
        <f>HYPERLINK("https://heavenlyouthouse.com/products/unscented-deodorant", "https://heavenlyouthouse.com/products/unscented-deodorant")</f>
        <v>https://heavenlyouthouse.com/products/unscented-deodorant</v>
      </c>
      <c r="B348" s="3" t="str">
        <f>HYPERLINK("https://heavenlyouthouse.com/products/unscented-deodorant", "https://heavenlyouthouse.com/products/unscented-deodorant")</f>
        <v>https://heavenlyouthouse.com/products/unscented-deodorant</v>
      </c>
      <c r="C348" t="s">
        <v>1060</v>
      </c>
      <c r="D348" t="s">
        <v>1061</v>
      </c>
      <c r="E348" s="3" t="str">
        <f>HYPERLINK("https://www.amazon.com/Toms-Maine-Lasting-Deodorant-Unscented/dp/B07Y38BKBR/ref=sr_1_4?keywords=Unscented+Natural+Deodorant&amp;qid=1695258814&amp;sr=8-4", "https://www.amazon.com/Toms-Maine-Lasting-Deodorant-Unscented/dp/B07Y38BKBR/ref=sr_1_4?keywords=Unscented+Natural+Deodorant&amp;qid=1695258814&amp;sr=8-4")</f>
        <v>https://www.amazon.com/Toms-Maine-Lasting-Deodorant-Unscented/dp/B07Y38BKBR/ref=sr_1_4?keywords=Unscented+Natural+Deodorant&amp;qid=1695258814&amp;sr=8-4</v>
      </c>
      <c r="F348" t="s">
        <v>1062</v>
      </c>
      <c r="G348" t="e">
        <f ca="1">IMAGE("https://heavenlyouthouse.com/cdn/shop/products/Rocky-Mountain-Soap-Co-Scent-Free-Natural-Deodorant.jpg?v=1633542762")</f>
        <v>#NAME?</v>
      </c>
      <c r="H348" t="e">
        <f ca="1">IMAGE("https://m.media-amazon.com/images/I/81k7Nu4P7kL._AC_UL320_.jpg")</f>
        <v>#NAME?</v>
      </c>
      <c r="I348" t="s">
        <v>427</v>
      </c>
      <c r="J348">
        <v>14.52</v>
      </c>
      <c r="K348" s="2" t="s">
        <v>1058</v>
      </c>
      <c r="L348">
        <v>4.3</v>
      </c>
      <c r="M348">
        <v>24092</v>
      </c>
      <c r="O348" t="s">
        <v>39</v>
      </c>
      <c r="P348" t="s">
        <v>428</v>
      </c>
      <c r="Q348" t="s">
        <v>1063</v>
      </c>
    </row>
    <row r="349" spans="1:17" ht="15.75" x14ac:dyDescent="0.25">
      <c r="A349" s="3" t="str">
        <f>HYPERLINK("https://heavenlyouthouse.com/products/frasier-fir-statement-pine-needle-candle", "https://heavenlyouthouse.com/products/frasier-fir-statement-pine-needle-candle")</f>
        <v>https://heavenlyouthouse.com/products/frasier-fir-statement-pine-needle-candle</v>
      </c>
      <c r="B349" s="3" t="str">
        <f>HYPERLINK("https://heavenlyouthouse.com/products/frasier-fir-statement-pine-needle-candle", "https://heavenlyouthouse.com/products/frasier-fir-statement-pine-needle-candle")</f>
        <v>https://heavenlyouthouse.com/products/frasier-fir-statement-pine-needle-candle</v>
      </c>
      <c r="C349" t="s">
        <v>167</v>
      </c>
      <c r="D349" t="s">
        <v>550</v>
      </c>
      <c r="E349" s="3" t="str">
        <f>HYPERLINK("https://www.amazon.com/Thymes-Frasier-Needle-Decorative-50-Hour/dp/B00YPP2LBM/ref=sr_1_3?keywords=Thymes+Frasier+Fir+Statement+Pine+Needle+Candle&amp;qid=1695258736&amp;sr=8-3", "https://www.amazon.com/Thymes-Frasier-Needle-Decorative-50-Hour/dp/B00YPP2LBM/ref=sr_1_3?keywords=Thymes+Frasier+Fir+Statement+Pine+Needle+Candle&amp;qid=1695258736&amp;sr=8-3")</f>
        <v>https://www.amazon.com/Thymes-Frasier-Needle-Decorative-50-Hour/dp/B00YPP2LBM/ref=sr_1_3?keywords=Thymes+Frasier+Fir+Statement+Pine+Needle+Candle&amp;qid=1695258736&amp;sr=8-3</v>
      </c>
      <c r="F349" t="s">
        <v>551</v>
      </c>
      <c r="G349" t="e">
        <f ca="1">IMAGE("https://heavenlyouthouse.com/cdn/shop/products/thymesfrasierfirsmallstatementcandlesilverpineneedle.jpg?v=1603994848")</f>
        <v>#NAME?</v>
      </c>
      <c r="H349" t="e">
        <f ca="1">IMAGE("https://m.media-amazon.com/images/I/61rj1n74esL._AC_UL320_.jpg")</f>
        <v>#NAME?</v>
      </c>
      <c r="I349" t="s">
        <v>168</v>
      </c>
      <c r="J349">
        <v>34</v>
      </c>
      <c r="K349" s="2" t="s">
        <v>1064</v>
      </c>
      <c r="L349">
        <v>4.7</v>
      </c>
      <c r="M349">
        <v>3739</v>
      </c>
      <c r="O349" t="s">
        <v>39</v>
      </c>
      <c r="P349" t="s">
        <v>170</v>
      </c>
      <c r="Q349" t="s">
        <v>171</v>
      </c>
    </row>
    <row r="350" spans="1:17" ht="15.75" x14ac:dyDescent="0.25">
      <c r="A350" s="3" t="str">
        <f>HYPERLINK("https://heavenlyouthouse.com/products/goldleaf-gardenia-eau-de-parfume-spray-pen", "https://heavenlyouthouse.com/products/goldleaf-gardenia-eau-de-parfume-spray-pen")</f>
        <v>https://heavenlyouthouse.com/products/goldleaf-gardenia-eau-de-parfume-spray-pen</v>
      </c>
      <c r="B350" s="3" t="str">
        <f>HYPERLINK("https://heavenlyouthouse.com/products/goldleaf-gardenia-eau-de-parfume-spray-pen", "https://heavenlyouthouse.com/products/goldleaf-gardenia-eau-de-parfume-spray-pen")</f>
        <v>https://heavenlyouthouse.com/products/goldleaf-gardenia-eau-de-parfume-spray-pen</v>
      </c>
      <c r="C350" t="s">
        <v>1065</v>
      </c>
      <c r="D350" t="s">
        <v>476</v>
      </c>
      <c r="E350" s="3" t="str">
        <f>HYPERLINK("https://www.amazon.com/Thymes-Fragrance-Duo-Goldleaf-Gardenia/dp/B08CVSFY68/ref=sr_1_2?keywords=thymes+goldleaf+gardenia+eau+de+parfum+spray+pen&amp;qid=1695258756&amp;sr=8-2", "https://www.amazon.com/Thymes-Fragrance-Duo-Goldleaf-Gardenia/dp/B08CVSFY68/ref=sr_1_2?keywords=thymes+goldleaf+gardenia+eau+de+parfum+spray+pen&amp;qid=1695258756&amp;sr=8-2")</f>
        <v>https://www.amazon.com/Thymes-Fragrance-Duo-Goldleaf-Gardenia/dp/B08CVSFY68/ref=sr_1_2?keywords=thymes+goldleaf+gardenia+eau+de+parfum+spray+pen&amp;qid=1695258756&amp;sr=8-2</v>
      </c>
      <c r="F350" t="s">
        <v>477</v>
      </c>
      <c r="G350" t="e">
        <f ca="1">IMAGE("https://heavenlyouthouse.com/cdn/shop/products/thymesgoldleafgardeniaeaudeparfumespraypen.jpg?v=1606408525")</f>
        <v>#NAME?</v>
      </c>
      <c r="H350" t="e">
        <f ca="1">IMAGE("https://m.media-amazon.com/images/I/61pGBHmk-NL._AC_UL320_.jpg")</f>
        <v>#NAME?</v>
      </c>
      <c r="I350" t="s">
        <v>500</v>
      </c>
      <c r="J350">
        <v>36</v>
      </c>
      <c r="K350" s="2" t="s">
        <v>1064</v>
      </c>
      <c r="L350">
        <v>4.4000000000000004</v>
      </c>
      <c r="M350">
        <v>57</v>
      </c>
      <c r="O350" t="s">
        <v>39</v>
      </c>
      <c r="P350" t="s">
        <v>39</v>
      </c>
      <c r="Q350" t="s">
        <v>1066</v>
      </c>
    </row>
    <row r="351" spans="1:17" ht="15.75" x14ac:dyDescent="0.25">
      <c r="A351" s="3" t="str">
        <f>HYPERLINK("https://heavenlyouthouse.com/products/purifying-face-serum", "https://heavenlyouthouse.com/products/purifying-face-serum")</f>
        <v>https://heavenlyouthouse.com/products/purifying-face-serum</v>
      </c>
      <c r="B351" s="3" t="str">
        <f>HYPERLINK("https://heavenlyouthouse.com/products/purifying-face-serum", "https://heavenlyouthouse.com/products/purifying-face-serum")</f>
        <v>https://heavenlyouthouse.com/products/purifying-face-serum</v>
      </c>
      <c r="C351" t="s">
        <v>1067</v>
      </c>
      <c r="D351" t="s">
        <v>1068</v>
      </c>
      <c r="E351" s="3" t="str">
        <f>HYPERLINK("https://www.amazon.com/Waxhead-Sun-Damaged-Repair-Serum/dp/B07H1H9CKL/ref=sr_1_5?keywords=Purifying+Face+Serum&amp;qid=1695258651&amp;sr=8-5", "https://www.amazon.com/Waxhead-Sun-Damaged-Repair-Serum/dp/B07H1H9CKL/ref=sr_1_5?keywords=Purifying+Face+Serum&amp;qid=1695258651&amp;sr=8-5")</f>
        <v>https://www.amazon.com/Waxhead-Sun-Damaged-Repair-Serum/dp/B07H1H9CKL/ref=sr_1_5?keywords=Purifying+Face+Serum&amp;qid=1695258651&amp;sr=8-5</v>
      </c>
      <c r="F351" t="s">
        <v>1069</v>
      </c>
      <c r="G351" t="e">
        <f ca="1">IMAGE("https://heavenlyouthouse.com/cdn/shop/products/Serum-Purifying-rocky-mountain-soap-co.jpg?v=1636133573")</f>
        <v>#NAME?</v>
      </c>
      <c r="H351" t="e">
        <f ca="1">IMAGE("https://m.media-amazon.com/images/I/71HsyHgmLwL._AC_UL320_.jpg")</f>
        <v>#NAME?</v>
      </c>
      <c r="I351" t="s">
        <v>175</v>
      </c>
      <c r="J351">
        <v>39.99</v>
      </c>
      <c r="K351" s="2" t="s">
        <v>1064</v>
      </c>
      <c r="L351">
        <v>3.6</v>
      </c>
      <c r="M351">
        <v>19</v>
      </c>
      <c r="O351" t="s">
        <v>39</v>
      </c>
      <c r="P351" t="s">
        <v>177</v>
      </c>
      <c r="Q351" t="s">
        <v>1070</v>
      </c>
    </row>
    <row r="352" spans="1:17" ht="15.75" x14ac:dyDescent="0.25">
      <c r="A352" s="3" t="str">
        <f>HYPERLINK("https://heavenlyouthouse.com/products/vanilla-coconut-body-lotion", "https://heavenlyouthouse.com/products/vanilla-coconut-body-lotion")</f>
        <v>https://heavenlyouthouse.com/products/vanilla-coconut-body-lotion</v>
      </c>
      <c r="B352" s="3" t="str">
        <f>HYPERLINK("https://heavenlyouthouse.com/products/vanilla-coconut-body-lotion", "https://heavenlyouthouse.com/products/vanilla-coconut-body-lotion")</f>
        <v>https://heavenlyouthouse.com/products/vanilla-coconut-body-lotion</v>
      </c>
      <c r="C352" t="s">
        <v>396</v>
      </c>
      <c r="D352" t="s">
        <v>1071</v>
      </c>
      <c r="E352" s="3" t="str">
        <f>HYPERLINK("https://www.amazon.com/Alaffia-Everyday-Moisturizing-Hydrated-Lemongrass/dp/B003B6JDYO/ref=sr_1_7?keywords=Vanilla+Coconut+Body+Lotion&amp;qid=1695258813&amp;sr=8-7", "https://www.amazon.com/Alaffia-Everyday-Moisturizing-Hydrated-Lemongrass/dp/B003B6JDYO/ref=sr_1_7?keywords=Vanilla+Coconut+Body+Lotion&amp;qid=1695258813&amp;sr=8-7")</f>
        <v>https://www.amazon.com/Alaffia-Everyday-Moisturizing-Hydrated-Lemongrass/dp/B003B6JDYO/ref=sr_1_7?keywords=Vanilla+Coconut+Body+Lotion&amp;qid=1695258813&amp;sr=8-7</v>
      </c>
      <c r="F352" t="s">
        <v>1072</v>
      </c>
      <c r="G352" t="e">
        <f ca="1">IMAGE("https://heavenlyouthouse.com/cdn/shop/products/Vanilla-Coconut_Body-Lotion_2048_2000x_f9dbe99f-03d5-4b01-984d-3ca76d1c9785.jpg?v=1586911459")</f>
        <v>#NAME?</v>
      </c>
      <c r="H352" t="e">
        <f ca="1">IMAGE("https://m.media-amazon.com/images/I/61iZxp0FPkL._AC_UL320_.jpg")</f>
        <v>#NAME?</v>
      </c>
      <c r="I352" t="s">
        <v>399</v>
      </c>
      <c r="J352">
        <v>21.2</v>
      </c>
      <c r="K352" s="2" t="s">
        <v>1073</v>
      </c>
      <c r="L352">
        <v>4.2</v>
      </c>
      <c r="M352">
        <v>2418</v>
      </c>
      <c r="O352" t="s">
        <v>39</v>
      </c>
      <c r="P352" t="s">
        <v>39</v>
      </c>
      <c r="Q352" t="s">
        <v>400</v>
      </c>
    </row>
    <row r="353" spans="1:17" ht="15.75" x14ac:dyDescent="0.25">
      <c r="A353" s="3" t="str">
        <f>HYPERLINK("https://heavenlyouthouse.com/products/spotless-stain-remover-soap", "https://heavenlyouthouse.com/products/spotless-stain-remover-soap")</f>
        <v>https://heavenlyouthouse.com/products/spotless-stain-remover-soap</v>
      </c>
      <c r="B353" s="3" t="str">
        <f>HYPERLINK("https://heavenlyouthouse.com/products/spotless-stain-remover-soap", "https://heavenlyouthouse.com/products/spotless-stain-remover-soap")</f>
        <v>https://heavenlyouthouse.com/products/spotless-stain-remover-soap</v>
      </c>
      <c r="C353" t="s">
        <v>195</v>
      </c>
      <c r="D353" t="s">
        <v>1074</v>
      </c>
      <c r="E353" s="3" t="str">
        <f>HYPERLINK("https://www.amazon.com/Fels-Naptha-Laundry-Stain-Remover/dp/B01AVK332A/ref=sr_1_3?keywords=Spotless+Stain+Remover+Soap&amp;qid=1695258690&amp;sr=8-3", "https://www.amazon.com/Fels-Naptha-Laundry-Stain-Remover/dp/B01AVK332A/ref=sr_1_3?keywords=Spotless+Stain+Remover+Soap&amp;qid=1695258690&amp;sr=8-3")</f>
        <v>https://www.amazon.com/Fels-Naptha-Laundry-Stain-Remover/dp/B01AVK332A/ref=sr_1_3?keywords=Spotless+Stain+Remover+Soap&amp;qid=1695258690&amp;sr=8-3</v>
      </c>
      <c r="F353" t="s">
        <v>1075</v>
      </c>
      <c r="G353" t="e">
        <f ca="1">IMAGE("https://heavenlyouthouse.com/cdn/shop/products/Spotless-Stain-Remover_Bar-Soap_2048_2000x_48b45b5c-ad2d-465e-a102-14922b0c661d.jpg?v=1586803390")</f>
        <v>#NAME?</v>
      </c>
      <c r="H353" t="e">
        <f ca="1">IMAGE("https://m.media-amazon.com/images/I/718+P2mDx8L._AC_UL320_.jpg")</f>
        <v>#NAME?</v>
      </c>
      <c r="I353" t="s">
        <v>92</v>
      </c>
      <c r="J353">
        <v>8.02</v>
      </c>
      <c r="K353" s="2" t="s">
        <v>1073</v>
      </c>
      <c r="L353">
        <v>4.5999999999999996</v>
      </c>
      <c r="M353">
        <v>322</v>
      </c>
      <c r="O353" t="s">
        <v>39</v>
      </c>
      <c r="P353" t="s">
        <v>24</v>
      </c>
      <c r="Q353" t="s">
        <v>199</v>
      </c>
    </row>
    <row r="354" spans="1:17" ht="15.75" x14ac:dyDescent="0.25">
      <c r="A354" s="3" t="str">
        <f t="shared" ref="A354:B356" si="3">HYPERLINK("https://heavenlyouthouse.com/products/shanti-yellow-gold-meditation-ring", "https://heavenlyouthouse.com/products/shanti-yellow-gold-meditation-ring")</f>
        <v>https://heavenlyouthouse.com/products/shanti-yellow-gold-meditation-ring</v>
      </c>
      <c r="B354" s="3" t="str">
        <f t="shared" si="3"/>
        <v>https://heavenlyouthouse.com/products/shanti-yellow-gold-meditation-ring</v>
      </c>
      <c r="C354" t="s">
        <v>1076</v>
      </c>
      <c r="D354" t="s">
        <v>1077</v>
      </c>
      <c r="E354" s="3" t="str">
        <f>HYPERLINK("https://www.amazon.com/Dainty-Yellow-Gold-Meditation-Diamond/dp/B00JPPJO4E/ref=sr_1_1?keywords=Shanti+Yellow+Gold+Meditation+Ring&amp;qid=1695258679&amp;sr=8-1", "https://www.amazon.com/Dainty-Yellow-Gold-Meditation-Diamond/dp/B00JPPJO4E/ref=sr_1_1?keywords=Shanti+Yellow+Gold+Meditation+Ring&amp;qid=1695258679&amp;sr=8-1")</f>
        <v>https://www.amazon.com/Dainty-Yellow-Gold-Meditation-Diamond/dp/B00JPPJO4E/ref=sr_1_1?keywords=Shanti+Yellow+Gold+Meditation+Ring&amp;qid=1695258679&amp;sr=8-1</v>
      </c>
      <c r="F354" t="s">
        <v>1078</v>
      </c>
      <c r="G354" t="e">
        <f ca="1">IMAGE("https://heavenlyouthouse.com/cdn/shop/products/Shanti-YGV-MR-4415YGV_1800x1800_42ff6719-eaa3-4e77-8085-771ba62bb1b0.gif?v=1664401451")</f>
        <v>#NAME?</v>
      </c>
      <c r="H354" t="e">
        <f ca="1">IMAGE("https://m.media-amazon.com/images/I/61NRuojQD1L._AC_UL320_.jpg")</f>
        <v>#NAME?</v>
      </c>
      <c r="I354" t="s">
        <v>1079</v>
      </c>
      <c r="J354">
        <v>139.99</v>
      </c>
      <c r="K354" s="2" t="s">
        <v>1073</v>
      </c>
      <c r="L354">
        <v>3.7</v>
      </c>
      <c r="M354">
        <v>5</v>
      </c>
      <c r="O354" t="s">
        <v>39</v>
      </c>
      <c r="P354" t="s">
        <v>39</v>
      </c>
      <c r="Q354" t="s">
        <v>1080</v>
      </c>
    </row>
    <row r="355" spans="1:17" ht="15.75" x14ac:dyDescent="0.25">
      <c r="A355" s="3" t="str">
        <f t="shared" si="3"/>
        <v>https://heavenlyouthouse.com/products/shanti-yellow-gold-meditation-ring</v>
      </c>
      <c r="B355" s="3" t="str">
        <f t="shared" si="3"/>
        <v>https://heavenlyouthouse.com/products/shanti-yellow-gold-meditation-ring</v>
      </c>
      <c r="C355" t="s">
        <v>1076</v>
      </c>
      <c r="D355" t="s">
        <v>1081</v>
      </c>
      <c r="E355" s="3" t="str">
        <f>HYPERLINK("https://www.amazon.com/Dainty-Yellow-Gold-Meditation-Diamond/dp/B00JPPJJWQ/ref=sr_1_9?keywords=Shanti+Yellow+Gold+Meditation+Ring&amp;qid=1695258679&amp;sr=8-9", "https://www.amazon.com/Dainty-Yellow-Gold-Meditation-Diamond/dp/B00JPPJJWQ/ref=sr_1_9?keywords=Shanti+Yellow+Gold+Meditation+Ring&amp;qid=1695258679&amp;sr=8-9")</f>
        <v>https://www.amazon.com/Dainty-Yellow-Gold-Meditation-Diamond/dp/B00JPPJJWQ/ref=sr_1_9?keywords=Shanti+Yellow+Gold+Meditation+Ring&amp;qid=1695258679&amp;sr=8-9</v>
      </c>
      <c r="F355" t="s">
        <v>1082</v>
      </c>
      <c r="G355" t="e">
        <f ca="1">IMAGE("https://heavenlyouthouse.com/cdn/shop/products/Shanti-YGV-MR-4415YGV_1800x1800_42ff6719-eaa3-4e77-8085-771ba62bb1b0.gif?v=1664401451")</f>
        <v>#NAME?</v>
      </c>
      <c r="H355" t="e">
        <f ca="1">IMAGE("https://m.media-amazon.com/images/I/61NRuojQD1L._AC_UL320_.jpg")</f>
        <v>#NAME?</v>
      </c>
      <c r="I355" t="s">
        <v>1079</v>
      </c>
      <c r="J355">
        <v>139.99</v>
      </c>
      <c r="K355" s="2" t="s">
        <v>1073</v>
      </c>
      <c r="L355">
        <v>5</v>
      </c>
      <c r="M355">
        <v>1</v>
      </c>
      <c r="O355" t="s">
        <v>39</v>
      </c>
      <c r="P355" t="s">
        <v>39</v>
      </c>
      <c r="Q355" t="s">
        <v>1080</v>
      </c>
    </row>
    <row r="356" spans="1:17" ht="15.75" x14ac:dyDescent="0.25">
      <c r="A356" s="3" t="str">
        <f t="shared" si="3"/>
        <v>https://heavenlyouthouse.com/products/shanti-yellow-gold-meditation-ring</v>
      </c>
      <c r="B356" s="3" t="str">
        <f t="shared" si="3"/>
        <v>https://heavenlyouthouse.com/products/shanti-yellow-gold-meditation-ring</v>
      </c>
      <c r="C356" t="s">
        <v>1076</v>
      </c>
      <c r="D356" t="s">
        <v>847</v>
      </c>
      <c r="E356" s="3" t="str">
        <f>HYPERLINK("https://www.amazon.com/Dainty-Yellow-Gold-Meditation-Diamond/dp/B00JPPJQ1K/ref=sr_1_4?keywords=Shanti+Yellow+Gold+Meditation+Ring&amp;qid=1695258679&amp;sr=8-4", "https://www.amazon.com/Dainty-Yellow-Gold-Meditation-Diamond/dp/B00JPPJQ1K/ref=sr_1_4?keywords=Shanti+Yellow+Gold+Meditation+Ring&amp;qid=1695258679&amp;sr=8-4")</f>
        <v>https://www.amazon.com/Dainty-Yellow-Gold-Meditation-Diamond/dp/B00JPPJQ1K/ref=sr_1_4?keywords=Shanti+Yellow+Gold+Meditation+Ring&amp;qid=1695258679&amp;sr=8-4</v>
      </c>
      <c r="F356" t="s">
        <v>848</v>
      </c>
      <c r="G356" t="e">
        <f ca="1">IMAGE("https://heavenlyouthouse.com/cdn/shop/products/Shanti-YGV-MR-4415YGV_1800x1800_42ff6719-eaa3-4e77-8085-771ba62bb1b0.gif?v=1664401451")</f>
        <v>#NAME?</v>
      </c>
      <c r="H356" t="e">
        <f ca="1">IMAGE("https://m.media-amazon.com/images/I/61NRuojQD1L._AC_UL320_.jpg")</f>
        <v>#NAME?</v>
      </c>
      <c r="I356" t="s">
        <v>1079</v>
      </c>
      <c r="J356">
        <v>139.99</v>
      </c>
      <c r="K356" s="2" t="s">
        <v>1073</v>
      </c>
      <c r="L356">
        <v>5</v>
      </c>
      <c r="M356">
        <v>1</v>
      </c>
      <c r="O356" t="s">
        <v>39</v>
      </c>
      <c r="P356" t="s">
        <v>39</v>
      </c>
      <c r="Q356" t="s">
        <v>1080</v>
      </c>
    </row>
    <row r="357" spans="1:17" ht="15.75" x14ac:dyDescent="0.25">
      <c r="A357" s="3" t="str">
        <f>HYPERLINK("https://heavenlyouthouse.com/products/retirement-card", "https://heavenlyouthouse.com/products/retirement-card")</f>
        <v>https://heavenlyouthouse.com/products/retirement-card</v>
      </c>
      <c r="B357" s="3" t="str">
        <f>HYPERLINK("https://heavenlyouthouse.com/products/retirement-card", "https://heavenlyouthouse.com/products/retirement-card")</f>
        <v>https://heavenlyouthouse.com/products/retirement-card</v>
      </c>
      <c r="C357" t="s">
        <v>964</v>
      </c>
      <c r="D357" t="s">
        <v>1083</v>
      </c>
      <c r="E357" s="3" t="str">
        <f>HYPERLINK("https://www.amazon.com/Retirement-Card-Women-Her-Colleagues/dp/B09MSMRL9F/ref=sr_1_3?keywords=Retirement+Card&amp;qid=1695258667&amp;sr=8-3", "https://www.amazon.com/Retirement-Card-Women-Her-Colleagues/dp/B09MSMRL9F/ref=sr_1_3?keywords=Retirement+Card&amp;qid=1695258667&amp;sr=8-3")</f>
        <v>https://www.amazon.com/Retirement-Card-Women-Her-Colleagues/dp/B09MSMRL9F/ref=sr_1_3?keywords=Retirement+Card&amp;qid=1695258667&amp;sr=8-3</v>
      </c>
      <c r="F357" t="s">
        <v>1084</v>
      </c>
      <c r="G357" t="e">
        <f ca="1">IMAGE("https://heavenlyouthouse.com/cdn/shop/files/retirement-card1_300x300.jpg?v=1692054658")</f>
        <v>#NAME?</v>
      </c>
      <c r="H357" t="e">
        <f ca="1">IMAGE("https://m.media-amazon.com/images/I/61pYfFhAdCL._AC_UL320_.jpg")</f>
        <v>#NAME?</v>
      </c>
      <c r="I357" t="s">
        <v>414</v>
      </c>
      <c r="J357">
        <v>6.99</v>
      </c>
      <c r="K357" s="2" t="s">
        <v>1073</v>
      </c>
      <c r="L357">
        <v>4.8</v>
      </c>
      <c r="M357">
        <v>584</v>
      </c>
      <c r="O357" t="s">
        <v>39</v>
      </c>
      <c r="P357" t="s">
        <v>39</v>
      </c>
      <c r="Q357" t="s">
        <v>967</v>
      </c>
    </row>
    <row r="358" spans="1:17" ht="15.75" x14ac:dyDescent="0.25">
      <c r="A358" s="3" t="str">
        <f>HYPERLINK("https://heavenlyouthouse.com/products/retirement-card", "https://heavenlyouthouse.com/products/retirement-card")</f>
        <v>https://heavenlyouthouse.com/products/retirement-card</v>
      </c>
      <c r="B358" s="3" t="str">
        <f>HYPERLINK("https://heavenlyouthouse.com/products/retirement-card", "https://heavenlyouthouse.com/products/retirement-card")</f>
        <v>https://heavenlyouthouse.com/products/retirement-card</v>
      </c>
      <c r="C358" t="s">
        <v>964</v>
      </c>
      <c r="D358" t="s">
        <v>1085</v>
      </c>
      <c r="E358" s="3" t="str">
        <f>HYPERLINK("https://www.amazon.com/Retirement-Congratulation-Retired-Coworker-Schedule/dp/B0B4VKGQVK/ref=sr_1_5?keywords=Retirement+Card&amp;qid=1695258667&amp;sr=8-5", "https://www.amazon.com/Retirement-Congratulation-Retired-Coworker-Schedule/dp/B0B4VKGQVK/ref=sr_1_5?keywords=Retirement+Card&amp;qid=1695258667&amp;sr=8-5")</f>
        <v>https://www.amazon.com/Retirement-Congratulation-Retired-Coworker-Schedule/dp/B0B4VKGQVK/ref=sr_1_5?keywords=Retirement+Card&amp;qid=1695258667&amp;sr=8-5</v>
      </c>
      <c r="F358" t="s">
        <v>1086</v>
      </c>
      <c r="G358" t="e">
        <f ca="1">IMAGE("https://heavenlyouthouse.com/cdn/shop/files/retirement-card1_300x300.jpg?v=1692054658")</f>
        <v>#NAME?</v>
      </c>
      <c r="H358" t="e">
        <f ca="1">IMAGE("https://m.media-amazon.com/images/I/51Sit62wgEL._AC_UL320_.jpg")</f>
        <v>#NAME?</v>
      </c>
      <c r="I358" t="s">
        <v>414</v>
      </c>
      <c r="J358">
        <v>6.99</v>
      </c>
      <c r="K358" s="2" t="s">
        <v>1073</v>
      </c>
      <c r="L358">
        <v>4.7</v>
      </c>
      <c r="M358">
        <v>37</v>
      </c>
      <c r="O358" t="s">
        <v>39</v>
      </c>
      <c r="P358" t="s">
        <v>39</v>
      </c>
      <c r="Q358" t="s">
        <v>967</v>
      </c>
    </row>
    <row r="359" spans="1:17" ht="15.75" x14ac:dyDescent="0.25">
      <c r="A359" s="3" t="str">
        <f>HYPERLINK("https://heavenlyouthouse.com/products/rosemary-shampoo-bar-soap", "https://heavenlyouthouse.com/products/rosemary-shampoo-bar-soap")</f>
        <v>https://heavenlyouthouse.com/products/rosemary-shampoo-bar-soap</v>
      </c>
      <c r="B359" s="3" t="str">
        <f>HYPERLINK("https://heavenlyouthouse.com/products/rosemary-shampoo-bar-soap", "https://heavenlyouthouse.com/products/rosemary-shampoo-bar-soap")</f>
        <v>https://heavenlyouthouse.com/products/rosemary-shampoo-bar-soap</v>
      </c>
      <c r="C359" t="s">
        <v>290</v>
      </c>
      <c r="D359" t="s">
        <v>1087</v>
      </c>
      <c r="E359" s="3" t="str">
        <f>HYPERLINK("https://www.amazon.com/LIYALAN-Shampoo-Rosemary-Jasmine-Cleansing/dp/B0BTDP46HT/ref=sr_1_7?keywords=Rosemary+Shampoo+Bar+Soap&amp;qid=1695258676&amp;sr=8-7", "https://www.amazon.com/LIYALAN-Shampoo-Rosemary-Jasmine-Cleansing/dp/B0BTDP46HT/ref=sr_1_7?keywords=Rosemary+Shampoo+Bar+Soap&amp;qid=1695258676&amp;sr=8-7")</f>
        <v>https://www.amazon.com/LIYALAN-Shampoo-Rosemary-Jasmine-Cleansing/dp/B0BTDP46HT/ref=sr_1_7?keywords=Rosemary+Shampoo+Bar+Soap&amp;qid=1695258676&amp;sr=8-7</v>
      </c>
      <c r="F359" t="s">
        <v>1088</v>
      </c>
      <c r="G359" t="e">
        <f ca="1">IMAGE("https://heavenlyouthouse.com/cdn/shop/products/Rosemary-Shampoo-Bar_Bar-Soap_2000x_09aa253a-642f-40e6-b2b3-81ca57f74784.jpg?v=1586802089")</f>
        <v>#NAME?</v>
      </c>
      <c r="H359" t="e">
        <f ca="1">IMAGE("https://m.media-amazon.com/images/I/71tS4Dv9tQL._AC_UL320_.jpg")</f>
        <v>#NAME?</v>
      </c>
      <c r="I359" t="s">
        <v>92</v>
      </c>
      <c r="J359">
        <v>7.99</v>
      </c>
      <c r="K359" s="2" t="s">
        <v>1073</v>
      </c>
      <c r="L359">
        <v>4.3</v>
      </c>
      <c r="M359">
        <v>154</v>
      </c>
      <c r="O359" t="s">
        <v>39</v>
      </c>
      <c r="P359" t="s">
        <v>39</v>
      </c>
      <c r="Q359" t="s">
        <v>294</v>
      </c>
    </row>
    <row r="360" spans="1:17" ht="15.75" x14ac:dyDescent="0.25">
      <c r="A360" s="3" t="str">
        <f>HYPERLINK("https://heavenlyouthouse.com/products/ribbon-flower-mothers-day-card", "https://heavenlyouthouse.com/products/ribbon-flower-mothers-day-card")</f>
        <v>https://heavenlyouthouse.com/products/ribbon-flower-mothers-day-card</v>
      </c>
      <c r="B360" s="3" t="str">
        <f>HYPERLINK("https://heavenlyouthouse.com/products/ribbon-flower-mothers-day-card", "https://heavenlyouthouse.com/products/ribbon-flower-mothers-day-card")</f>
        <v>https://heavenlyouthouse.com/products/ribbon-flower-mothers-day-card</v>
      </c>
      <c r="C360" t="s">
        <v>1089</v>
      </c>
      <c r="D360" t="s">
        <v>1090</v>
      </c>
      <c r="E360" s="3" t="str">
        <f>HYPERLINK("https://www.amazon.com/Lovepop-Mothers-Tulips-Card-Bouquet/dp/B08Z69T3MP/ref=sr_1_2?keywords=Ribbon+Flower+Mother%27s+Day+Card&amp;qid=1695258662&amp;sr=8-2", "https://www.amazon.com/Lovepop-Mothers-Tulips-Card-Bouquet/dp/B08Z69T3MP/ref=sr_1_2?keywords=Ribbon+Flower+Mother%27s+Day+Card&amp;qid=1695258662&amp;sr=8-2")</f>
        <v>https://www.amazon.com/Lovepop-Mothers-Tulips-Card-Bouquet/dp/B08Z69T3MP/ref=sr_1_2?keywords=Ribbon+Flower+Mother%27s+Day+Card&amp;qid=1695258662&amp;sr=8-2</v>
      </c>
      <c r="F360" t="s">
        <v>1091</v>
      </c>
      <c r="G360" t="e">
        <f ca="1">IMAGE("https://heavenlyouthouse.com/cdn/shop/products/059584207114papyrusfloralmother_sdaycard.jpg?v=1619454393")</f>
        <v>#NAME?</v>
      </c>
      <c r="H360" t="e">
        <f ca="1">IMAGE("https://m.media-amazon.com/images/I/81N7JS11PdS._AC_UL320_.jpg")</f>
        <v>#NAME?</v>
      </c>
      <c r="I360" t="s">
        <v>955</v>
      </c>
      <c r="J360">
        <v>13</v>
      </c>
      <c r="K360" s="2" t="s">
        <v>1092</v>
      </c>
      <c r="L360">
        <v>4.8</v>
      </c>
      <c r="M360">
        <v>1264</v>
      </c>
      <c r="O360" t="s">
        <v>39</v>
      </c>
      <c r="P360" t="s">
        <v>39</v>
      </c>
      <c r="Q360" t="s">
        <v>1093</v>
      </c>
    </row>
    <row r="361" spans="1:17" ht="15.75" x14ac:dyDescent="0.25">
      <c r="A361" s="3" t="str">
        <f>HYPERLINK("https://heavenlyouthouse.com/products/ribbon-flower-mothers-day-card", "https://heavenlyouthouse.com/products/ribbon-flower-mothers-day-card")</f>
        <v>https://heavenlyouthouse.com/products/ribbon-flower-mothers-day-card</v>
      </c>
      <c r="B361" s="3" t="str">
        <f>HYPERLINK("https://heavenlyouthouse.com/products/ribbon-flower-mothers-day-card", "https://heavenlyouthouse.com/products/ribbon-flower-mothers-day-card")</f>
        <v>https://heavenlyouthouse.com/products/ribbon-flower-mothers-day-card</v>
      </c>
      <c r="C361" t="s">
        <v>1089</v>
      </c>
      <c r="D361" t="s">
        <v>523</v>
      </c>
      <c r="E361" s="3" t="str">
        <f>HYPERLINK("https://www.amazon.com/PopLife-Happy-Mothers-Card-Mother/dp/B08QYYLWLV/ref=sr_1_5?keywords=Ribbon+Flower+Mother%27s+Day+Card&amp;qid=1695258662&amp;sr=8-5", "https://www.amazon.com/PopLife-Happy-Mothers-Card-Mother/dp/B08QYYLWLV/ref=sr_1_5?keywords=Ribbon+Flower+Mother%27s+Day+Card&amp;qid=1695258662&amp;sr=8-5")</f>
        <v>https://www.amazon.com/PopLife-Happy-Mothers-Card-Mother/dp/B08QYYLWLV/ref=sr_1_5?keywords=Ribbon+Flower+Mother%27s+Day+Card&amp;qid=1695258662&amp;sr=8-5</v>
      </c>
      <c r="F361" t="s">
        <v>524</v>
      </c>
      <c r="G361" t="e">
        <f ca="1">IMAGE("https://heavenlyouthouse.com/cdn/shop/products/059584207114papyrusfloralmother_sdaycard.jpg?v=1619454393")</f>
        <v>#NAME?</v>
      </c>
      <c r="H361" t="e">
        <f ca="1">IMAGE("https://m.media-amazon.com/images/I/71FkA2dgRML._AC_UL320_.jpg")</f>
        <v>#NAME?</v>
      </c>
      <c r="I361" t="s">
        <v>955</v>
      </c>
      <c r="J361">
        <v>13</v>
      </c>
      <c r="K361" s="2" t="s">
        <v>1092</v>
      </c>
      <c r="L361">
        <v>4.8</v>
      </c>
      <c r="M361">
        <v>4035</v>
      </c>
      <c r="O361" t="s">
        <v>39</v>
      </c>
      <c r="P361" t="s">
        <v>39</v>
      </c>
      <c r="Q361" t="s">
        <v>1093</v>
      </c>
    </row>
    <row r="362" spans="1:17" ht="15.75" x14ac:dyDescent="0.25">
      <c r="A362" s="3" t="str">
        <f>HYPERLINK("https://heavenlyouthouse.com/products/thymes-frasier-fir-hand-wash", "https://heavenlyouthouse.com/products/thymes-frasier-fir-hand-wash")</f>
        <v>https://heavenlyouthouse.com/products/thymes-frasier-fir-hand-wash</v>
      </c>
      <c r="B362" s="3" t="str">
        <f>HYPERLINK("https://heavenlyouthouse.com/products/thymes-frasier-fir-hand-wash", "https://heavenlyouthouse.com/products/thymes-frasier-fir-hand-wash")</f>
        <v>https://heavenlyouthouse.com/products/thymes-frasier-fir-hand-wash</v>
      </c>
      <c r="C362" t="s">
        <v>612</v>
      </c>
      <c r="D362" t="s">
        <v>1038</v>
      </c>
      <c r="E362" s="3" t="str">
        <f>HYPERLINK("https://www.amazon.com/Frasier-Fir-Hand-Cream-3-4/dp/B0763QV2GK/ref=sr_1_7?keywords=Thymes+Frasier+Fir+Hand+Wash&amp;qid=1695258728&amp;sr=8-7", "https://www.amazon.com/Frasier-Fir-Hand-Cream-3-4/dp/B0763QV2GK/ref=sr_1_7?keywords=Thymes+Frasier+Fir+Hand+Wash&amp;qid=1695258728&amp;sr=8-7")</f>
        <v>https://www.amazon.com/Frasier-Fir-Hand-Cream-3-4/dp/B0763QV2GK/ref=sr_1_7?keywords=Thymes+Frasier+Fir+Hand+Wash&amp;qid=1695258728&amp;sr=8-7</v>
      </c>
      <c r="F362" t="s">
        <v>1039</v>
      </c>
      <c r="G362" t="e">
        <f ca="1">IMAGE("https://heavenlyouthouse.com/cdn/shop/products/thymes-frasier-fir-hand-wash.jpg?v=1629315405")</f>
        <v>#NAME?</v>
      </c>
      <c r="H362" t="e">
        <f ca="1">IMAGE("https://m.media-amazon.com/images/I/615VA-TaJdL._AC_UL320_.jpg")</f>
        <v>#NAME?</v>
      </c>
      <c r="I362" t="s">
        <v>188</v>
      </c>
      <c r="J362">
        <v>22</v>
      </c>
      <c r="K362" s="2" t="s">
        <v>1092</v>
      </c>
      <c r="L362">
        <v>4.8</v>
      </c>
      <c r="M362">
        <v>401</v>
      </c>
      <c r="O362" t="s">
        <v>39</v>
      </c>
      <c r="P362" t="s">
        <v>39</v>
      </c>
      <c r="Q362" t="s">
        <v>615</v>
      </c>
    </row>
    <row r="363" spans="1:17" ht="15.75" x14ac:dyDescent="0.25">
      <c r="A363" s="3" t="str">
        <f>HYPERLINK("https://heavenlyouthouse.com/products/winters-a-b-tch-hand-rescue?variant=32318155849817", "https://heavenlyouthouse.com/products/winters-a-b-tch-hand-rescue?variant=32318155849817")</f>
        <v>https://heavenlyouthouse.com/products/winters-a-b-tch-hand-rescue?variant=32318155849817</v>
      </c>
      <c r="B363" s="3" t="str">
        <f>HYPERLINK("https://heavenlyouthouse.com/products/winters-a-b-tch-hand-rescue", "https://heavenlyouthouse.com/products/winters-a-b-tch-hand-rescue")</f>
        <v>https://heavenlyouthouse.com/products/winters-a-b-tch-hand-rescue</v>
      </c>
      <c r="C363" t="s">
        <v>1094</v>
      </c>
      <c r="D363" t="s">
        <v>1095</v>
      </c>
      <c r="E363" s="3" t="str">
        <f>HYPERLINK("https://www.amazon.com/Walton-Wood-Farm-Vegan-Friendly-Paraben-Free/dp/B072W64562/ref=sr_1_2?keywords=Winter%27s+A+B*tch+Hand+Rescue&amp;qid=1695258831&amp;sr=8-2", "https://www.amazon.com/Walton-Wood-Farm-Vegan-Friendly-Paraben-Free/dp/B072W64562/ref=sr_1_2?keywords=Winter%27s+A+B*tch+Hand+Rescue&amp;qid=1695258831&amp;sr=8-2")</f>
        <v>https://www.amazon.com/Walton-Wood-Farm-Vegan-Friendly-Paraben-Free/dp/B072W64562/ref=sr_1_2?keywords=Winter%27s+A+B*tch+Hand+Rescue&amp;qid=1695258831&amp;sr=8-2</v>
      </c>
      <c r="F363" t="s">
        <v>1096</v>
      </c>
      <c r="G363" t="e">
        <f ca="1">IMAGE("https://heavenlyouthouse.com/cdn/shop/products/wintersabitchhandrescue.jpg?v=1608157065")</f>
        <v>#NAME?</v>
      </c>
      <c r="H363" t="e">
        <f ca="1">IMAGE("https://m.media-amazon.com/images/I/51cSJ1tvE6L._AC_UL320_.jpg")</f>
        <v>#NAME?</v>
      </c>
      <c r="I363" t="s">
        <v>439</v>
      </c>
      <c r="J363">
        <v>17.989999999999998</v>
      </c>
      <c r="K363" s="2" t="s">
        <v>1092</v>
      </c>
      <c r="L363">
        <v>4.5</v>
      </c>
      <c r="M363">
        <v>8</v>
      </c>
      <c r="O363" t="s">
        <v>136</v>
      </c>
      <c r="P363" t="s">
        <v>39</v>
      </c>
      <c r="Q363" t="s">
        <v>1097</v>
      </c>
    </row>
    <row r="364" spans="1:17" ht="15.75" x14ac:dyDescent="0.25">
      <c r="A364" s="3" t="str">
        <f>HYPERLINK("https://heavenlyouthouse.com/products/sunday-mens-crew-socks", "https://heavenlyouthouse.com/products/sunday-mens-crew-socks")</f>
        <v>https://heavenlyouthouse.com/products/sunday-mens-crew-socks</v>
      </c>
      <c r="B364" s="3" t="str">
        <f>HYPERLINK("https://heavenlyouthouse.com/products/sunday-mens-crew-socks", "https://heavenlyouthouse.com/products/sunday-mens-crew-socks")</f>
        <v>https://heavenlyouthouse.com/products/sunday-mens-crew-socks</v>
      </c>
      <c r="C364" t="s">
        <v>1098</v>
      </c>
      <c r="D364" t="s">
        <v>1099</v>
      </c>
      <c r="E364" s="3"/>
      <c r="F364" t="s">
        <v>1100</v>
      </c>
      <c r="G364" t="e">
        <f ca="1">IMAGE("https://heavenlyouthouse.com/cdn/shop/files/blue-q-cool-sunday-men_s-socks_300x300.jpg?v=1689179188")</f>
        <v>#NAME?</v>
      </c>
      <c r="H364" t="e">
        <f ca="1">IMAGE("https://m.media-amazon.com/images/I/81ejDSlMFEL._AC_UL320_.jpg")</f>
        <v>#NAME?</v>
      </c>
      <c r="I364" t="s">
        <v>802</v>
      </c>
      <c r="J364">
        <v>19.989999999999998</v>
      </c>
      <c r="K364" s="2" t="s">
        <v>1092</v>
      </c>
      <c r="L364">
        <v>4.5</v>
      </c>
      <c r="M364">
        <v>3346</v>
      </c>
      <c r="O364" t="s">
        <v>39</v>
      </c>
      <c r="P364" t="s">
        <v>803</v>
      </c>
      <c r="Q364" t="s">
        <v>1101</v>
      </c>
    </row>
    <row r="365" spans="1:17" ht="15.75" x14ac:dyDescent="0.25">
      <c r="A365" s="3" t="str">
        <f>HYPERLINK("https://heavenlyouthouse.com/products/pudus-classic-slipper-socks-geometric-raspberry", "https://heavenlyouthouse.com/products/pudus-classic-slipper-socks-geometric-raspberry")</f>
        <v>https://heavenlyouthouse.com/products/pudus-classic-slipper-socks-geometric-raspberry</v>
      </c>
      <c r="B365" s="3" t="str">
        <f>HYPERLINK("https://heavenlyouthouse.com/products/pudus-classic-slipper-socks-geometric-raspberry", "https://heavenlyouthouse.com/products/pudus-classic-slipper-socks-geometric-raspberry")</f>
        <v>https://heavenlyouthouse.com/products/pudus-classic-slipper-socks-geometric-raspberry</v>
      </c>
      <c r="C365" t="s">
        <v>1102</v>
      </c>
      <c r="D365" t="s">
        <v>1103</v>
      </c>
      <c r="E365" s="3" t="str">
        <f>HYPERLINK("https://www.amazon.com/Pudus-Geometric-Raspberry-Non-Slip-Grippers/dp/B07VYBCYR3/ref=sr_1_1?keywords=Pudus+Classic+Slipper+Socks+Geometric+Raspberry&amp;qid=1695258647&amp;sr=8-1", "https://www.amazon.com/Pudus-Geometric-Raspberry-Non-Slip-Grippers/dp/B07VYBCYR3/ref=sr_1_1?keywords=Pudus+Classic+Slipper+Socks+Geometric+Raspberry&amp;qid=1695258647&amp;sr=8-1")</f>
        <v>https://www.amazon.com/Pudus-Geometric-Raspberry-Non-Slip-Grippers/dp/B07VYBCYR3/ref=sr_1_1?keywords=Pudus+Classic+Slipper+Socks+Geometric+Raspberry&amp;qid=1695258647&amp;sr=8-1</v>
      </c>
      <c r="F365" t="s">
        <v>1104</v>
      </c>
      <c r="G365" t="e">
        <f ca="1">IMAGE("https://heavenlyouthouse.com/cdn/shop/products/geometic-raspberry-Pudus-Slipper-Socks.jpg?v=1634939789")</f>
        <v>#NAME?</v>
      </c>
      <c r="H365" t="e">
        <f ca="1">IMAGE("https://m.media-amazon.com/images/I/71jyc1B2ZCL._AC_UL320_.jpg")</f>
        <v>#NAME?</v>
      </c>
      <c r="I365" t="s">
        <v>117</v>
      </c>
      <c r="J365">
        <v>25</v>
      </c>
      <c r="K365" s="2" t="s">
        <v>1092</v>
      </c>
      <c r="L365">
        <v>4.7</v>
      </c>
      <c r="M365">
        <v>7</v>
      </c>
      <c r="O365" t="s">
        <v>39</v>
      </c>
      <c r="P365" t="s">
        <v>286</v>
      </c>
      <c r="Q365" t="s">
        <v>1105</v>
      </c>
    </row>
    <row r="366" spans="1:17" ht="15.75" x14ac:dyDescent="0.25">
      <c r="A366" s="3" t="str">
        <f>HYPERLINK("https://heavenlyouthouse.com/products/thymes-frasier-fir-votive-candle-set", "https://heavenlyouthouse.com/products/thymes-frasier-fir-votive-candle-set")</f>
        <v>https://heavenlyouthouse.com/products/thymes-frasier-fir-votive-candle-set</v>
      </c>
      <c r="B366" s="3" t="str">
        <f>HYPERLINK("https://heavenlyouthouse.com/products/thymes-frasier-fir-votive-candle-set", "https://heavenlyouthouse.com/products/thymes-frasier-fir-votive-candle-set")</f>
        <v>https://heavenlyouthouse.com/products/thymes-frasier-fir-votive-candle-set</v>
      </c>
      <c r="C366" t="s">
        <v>285</v>
      </c>
      <c r="D366" t="s">
        <v>1106</v>
      </c>
      <c r="E366" s="3" t="str">
        <f>HYPERLINK("https://www.amazon.com/Thymes-Frasier-Fir-Pillar-Candle/dp/B0BZ1Z7HQ8/ref=sr_1_10?keywords=Thymes+Frasier+Fir+Votive+Candle+3+Pack&amp;qid=1695258743&amp;sr=8-10", "https://www.amazon.com/Thymes-Frasier-Fir-Pillar-Candle/dp/B0BZ1Z7HQ8/ref=sr_1_10?keywords=Thymes+Frasier+Fir+Votive+Candle+3+Pack&amp;qid=1695258743&amp;sr=8-10")</f>
        <v>https://www.amazon.com/Thymes-Frasier-Fir-Pillar-Candle/dp/B0BZ1Z7HQ8/ref=sr_1_10?keywords=Thymes+Frasier+Fir+Votive+Candle+3+Pack&amp;qid=1695258743&amp;sr=8-10</v>
      </c>
      <c r="F366" t="s">
        <v>1107</v>
      </c>
      <c r="G366" t="e">
        <f ca="1">IMAGE("https://heavenlyouthouse.com/cdn/shop/products/thymes-Frasier-Fir-votive-candle-set.jpg?v=1640187779")</f>
        <v>#NAME?</v>
      </c>
      <c r="H366" t="e">
        <f ca="1">IMAGE("https://m.media-amazon.com/images/I/61Cru0xqg1L._AC_UL320_.jpg")</f>
        <v>#NAME?</v>
      </c>
      <c r="I366" t="s">
        <v>286</v>
      </c>
      <c r="J366">
        <v>30</v>
      </c>
      <c r="K366" s="2" t="s">
        <v>1092</v>
      </c>
      <c r="L366">
        <v>4.8</v>
      </c>
      <c r="M366">
        <v>12</v>
      </c>
      <c r="O366" t="s">
        <v>39</v>
      </c>
      <c r="P366" t="s">
        <v>288</v>
      </c>
      <c r="Q366" t="s">
        <v>289</v>
      </c>
    </row>
    <row r="367" spans="1:17" ht="15.75" x14ac:dyDescent="0.25">
      <c r="A367" s="3" t="str">
        <f>HYPERLINK("https://heavenlyouthouse.com/products/pudus-classic-slipper-socks-hockey-red", "https://heavenlyouthouse.com/products/pudus-classic-slipper-socks-hockey-red")</f>
        <v>https://heavenlyouthouse.com/products/pudus-classic-slipper-socks-hockey-red</v>
      </c>
      <c r="B367" s="3" t="str">
        <f>HYPERLINK("https://heavenlyouthouse.com/products/pudus-classic-slipper-socks-hockey-red", "https://heavenlyouthouse.com/products/pudus-classic-slipper-socks-hockey-red")</f>
        <v>https://heavenlyouthouse.com/products/pudus-classic-slipper-socks-hockey-red</v>
      </c>
      <c r="C367" t="s">
        <v>1108</v>
      </c>
      <c r="D367" t="s">
        <v>1109</v>
      </c>
      <c r="E367" s="3" t="str">
        <f>HYPERLINK("https://www.amazon.com/Pudus-Classic-Slipper-Socks-Lumberjack/dp/B07FYVPW31/ref=sr_1_2?keywords=Pudus+Classic+Slipper+Socks+Hockey+Red&amp;qid=1695258648&amp;sr=8-2", "https://www.amazon.com/Pudus-Classic-Slipper-Socks-Lumberjack/dp/B07FYVPW31/ref=sr_1_2?keywords=Pudus+Classic+Slipper+Socks+Hockey+Red&amp;qid=1695258648&amp;sr=8-2")</f>
        <v>https://www.amazon.com/Pudus-Classic-Slipper-Socks-Lumberjack/dp/B07FYVPW31/ref=sr_1_2?keywords=Pudus+Classic+Slipper+Socks+Hockey+Red&amp;qid=1695258648&amp;sr=8-2</v>
      </c>
      <c r="F367" t="s">
        <v>1110</v>
      </c>
      <c r="G367" t="e">
        <f ca="1">IMAGE("https://heavenlyouthouse.com/cdn/shop/products/pudusclassicslippersockshockeyred.jpg?v=1604524456")</f>
        <v>#NAME?</v>
      </c>
      <c r="H367" t="e">
        <f ca="1">IMAGE("https://m.media-amazon.com/images/I/71-8lWl50-L._AC_UL320_.jpg")</f>
        <v>#NAME?</v>
      </c>
      <c r="I367" t="s">
        <v>117</v>
      </c>
      <c r="J367">
        <v>24.99</v>
      </c>
      <c r="K367" s="2" t="s">
        <v>1092</v>
      </c>
      <c r="L367">
        <v>4.0999999999999996</v>
      </c>
      <c r="M367">
        <v>32</v>
      </c>
      <c r="O367" t="s">
        <v>39</v>
      </c>
      <c r="P367" t="s">
        <v>286</v>
      </c>
      <c r="Q367" t="s">
        <v>1111</v>
      </c>
    </row>
    <row r="368" spans="1:17" ht="15.75" x14ac:dyDescent="0.25">
      <c r="A368" s="3" t="str">
        <f>HYPERLINK("https://heavenlyouthouse.com/products/goldleaf-body-wash", "https://heavenlyouthouse.com/products/goldleaf-body-wash")</f>
        <v>https://heavenlyouthouse.com/products/goldleaf-body-wash</v>
      </c>
      <c r="B368" s="3" t="str">
        <f>HYPERLINK("https://heavenlyouthouse.com/products/goldleaf-body-wash", "https://heavenlyouthouse.com/products/goldleaf-body-wash")</f>
        <v>https://heavenlyouthouse.com/products/goldleaf-body-wash</v>
      </c>
      <c r="C368" t="s">
        <v>1112</v>
      </c>
      <c r="D368" t="s">
        <v>631</v>
      </c>
      <c r="E368" s="3" t="str">
        <f>HYPERLINK("https://www.amazon.com/Thymes-Goldleaf-Travel-Set-Beauty/dp/B09HL8YZNG/ref=sr_1_2?keywords=Thymes+Goldleaf+Body+Wash&amp;qid=1695258751&amp;sr=8-2", "https://www.amazon.com/Thymes-Goldleaf-Travel-Set-Beauty/dp/B09HL8YZNG/ref=sr_1_2?keywords=Thymes+Goldleaf+Body+Wash&amp;qid=1695258751&amp;sr=8-2")</f>
        <v>https://www.amazon.com/Thymes-Goldleaf-Travel-Set-Beauty/dp/B09HL8YZNG/ref=sr_1_2?keywords=Thymes+Goldleaf+Body+Wash&amp;qid=1695258751&amp;sr=8-2</v>
      </c>
      <c r="F368" t="s">
        <v>632</v>
      </c>
      <c r="G368" t="e">
        <f ca="1">IMAGE("https://heavenlyouthouse.com/cdn/shop/products/thymes-goldleaf-perfumed-body-wash_c77d8ae5-0456-44d3-9c0f-fdae5ab83836.png?v=1652277031")</f>
        <v>#NAME?</v>
      </c>
      <c r="H368" t="e">
        <f ca="1">IMAGE("https://m.media-amazon.com/images/I/711Psd6sNIL._AC_UL320_.jpg")</f>
        <v>#NAME?</v>
      </c>
      <c r="I368" t="s">
        <v>835</v>
      </c>
      <c r="J368">
        <v>32</v>
      </c>
      <c r="K368" s="2" t="s">
        <v>1092</v>
      </c>
      <c r="L368">
        <v>4.5999999999999996</v>
      </c>
      <c r="M368">
        <v>91</v>
      </c>
      <c r="O368" t="s">
        <v>39</v>
      </c>
      <c r="P368" t="s">
        <v>39</v>
      </c>
      <c r="Q368" t="s">
        <v>1113</v>
      </c>
    </row>
    <row r="369" spans="1:17" ht="15.75" x14ac:dyDescent="0.25">
      <c r="A369" s="3" t="str">
        <f>HYPERLINK("https://heavenlyouthouse.com/products/goldleaf-body-wash", "https://heavenlyouthouse.com/products/goldleaf-body-wash")</f>
        <v>https://heavenlyouthouse.com/products/goldleaf-body-wash</v>
      </c>
      <c r="B369" s="3" t="str">
        <f>HYPERLINK("https://heavenlyouthouse.com/products/goldleaf-body-wash", "https://heavenlyouthouse.com/products/goldleaf-body-wash")</f>
        <v>https://heavenlyouthouse.com/products/goldleaf-body-wash</v>
      </c>
      <c r="C369" t="s">
        <v>1112</v>
      </c>
      <c r="D369" t="s">
        <v>932</v>
      </c>
      <c r="E369" s="3" t="str">
        <f>HYPERLINK("https://www.amazon.com/Thymes-Goldleaf-Gardenia-Travel-Beauty/dp/B09HLB81LB/ref=sr_1_fkmr0_1?keywords=Thymes+Goldleaf+Body+Wash&amp;qid=1695258751&amp;sr=8-1-fkmr0", "https://www.amazon.com/Thymes-Goldleaf-Gardenia-Travel-Beauty/dp/B09HLB81LB/ref=sr_1_fkmr0_1?keywords=Thymes+Goldleaf+Body+Wash&amp;qid=1695258751&amp;sr=8-1-fkmr0")</f>
        <v>https://www.amazon.com/Thymes-Goldleaf-Gardenia-Travel-Beauty/dp/B09HLB81LB/ref=sr_1_fkmr0_1?keywords=Thymes+Goldleaf+Body+Wash&amp;qid=1695258751&amp;sr=8-1-fkmr0</v>
      </c>
      <c r="F369" t="s">
        <v>933</v>
      </c>
      <c r="G369" t="e">
        <f ca="1">IMAGE("https://heavenlyouthouse.com/cdn/shop/products/thymes-goldleaf-perfumed-body-wash_c77d8ae5-0456-44d3-9c0f-fdae5ab83836.png?v=1652277031")</f>
        <v>#NAME?</v>
      </c>
      <c r="H369" t="e">
        <f ca="1">IMAGE("https://m.media-amazon.com/images/I/71TFsV4PQzL._AC_UL320_.jpg")</f>
        <v>#NAME?</v>
      </c>
      <c r="I369" t="s">
        <v>835</v>
      </c>
      <c r="J369">
        <v>32</v>
      </c>
      <c r="K369" s="2" t="s">
        <v>1092</v>
      </c>
      <c r="L369">
        <v>4.5999999999999996</v>
      </c>
      <c r="M369">
        <v>91</v>
      </c>
      <c r="O369" t="s">
        <v>39</v>
      </c>
      <c r="P369" t="s">
        <v>39</v>
      </c>
      <c r="Q369" t="s">
        <v>1113</v>
      </c>
    </row>
    <row r="370" spans="1:17" ht="15.75" x14ac:dyDescent="0.25">
      <c r="A370" s="3" t="str">
        <f>HYPERLINK("https://heavenlyouthouse.com/products/eucalyptus-body-wash", "https://heavenlyouthouse.com/products/eucalyptus-body-wash")</f>
        <v>https://heavenlyouthouse.com/products/eucalyptus-body-wash</v>
      </c>
      <c r="B370" s="3" t="str">
        <f>HYPERLINK("https://heavenlyouthouse.com/products/eucalyptus-body-wash", "https://heavenlyouthouse.com/products/eucalyptus-body-wash")</f>
        <v>https://heavenlyouthouse.com/products/eucalyptus-body-wash</v>
      </c>
      <c r="C370" t="s">
        <v>832</v>
      </c>
      <c r="D370" t="s">
        <v>627</v>
      </c>
      <c r="E370" s="3" t="str">
        <f>HYPERLINK("https://www.amazon.com/Thymes-Travel-Set-Beauty-Bag/dp/B08CVS6XFP/ref=sr_1_2?keywords=Thymes+Eucalyptus+Body+Wash&amp;qid=1695258723&amp;sr=8-2", "https://www.amazon.com/Thymes-Travel-Set-Beauty-Bag/dp/B08CVS6XFP/ref=sr_1_2?keywords=Thymes+Eucalyptus+Body+Wash&amp;qid=1695258723&amp;sr=8-2")</f>
        <v>https://www.amazon.com/Thymes-Travel-Set-Beauty-Bag/dp/B08CVS6XFP/ref=sr_1_2?keywords=Thymes+Eucalyptus+Body+Wash&amp;qid=1695258723&amp;sr=8-2</v>
      </c>
      <c r="F370" t="s">
        <v>628</v>
      </c>
      <c r="G370" t="e">
        <f ca="1">IMAGE("https://heavenlyouthouse.com/cdn/shop/products/thymes-eucalyptus-body-wash.jpg?v=1638555917")</f>
        <v>#NAME?</v>
      </c>
      <c r="H370" t="e">
        <f ca="1">IMAGE("https://m.media-amazon.com/images/I/71cfN7qjRdL._AC_UL320_.jpg")</f>
        <v>#NAME?</v>
      </c>
      <c r="I370" t="s">
        <v>835</v>
      </c>
      <c r="J370">
        <v>32</v>
      </c>
      <c r="K370" s="2" t="s">
        <v>1092</v>
      </c>
      <c r="L370">
        <v>4.5999999999999996</v>
      </c>
      <c r="M370">
        <v>91</v>
      </c>
      <c r="O370" t="s">
        <v>39</v>
      </c>
      <c r="P370" t="s">
        <v>39</v>
      </c>
      <c r="Q370" t="s">
        <v>836</v>
      </c>
    </row>
    <row r="371" spans="1:17" ht="15.75" x14ac:dyDescent="0.25">
      <c r="A371" s="3" t="str">
        <f>HYPERLINK("https://heavenlyouthouse.com/products/lavender-body-wash", "https://heavenlyouthouse.com/products/lavender-body-wash")</f>
        <v>https://heavenlyouthouse.com/products/lavender-body-wash</v>
      </c>
      <c r="B371" s="3" t="str">
        <f>HYPERLINK("https://heavenlyouthouse.com/products/lavender-body-wash", "https://heavenlyouthouse.com/products/lavender-body-wash")</f>
        <v>https://heavenlyouthouse.com/products/lavender-body-wash</v>
      </c>
      <c r="C371" t="s">
        <v>1114</v>
      </c>
      <c r="D371" t="s">
        <v>926</v>
      </c>
      <c r="E371" s="3" t="str">
        <f>HYPERLINK("https://www.amazon.com/Thymes-Travel-Set-Beauty-Bag/dp/B08CVR11MS/ref=sr_1_6?keywords=Thymes+Lavender+Body+Wash&amp;qid=1695258762&amp;sr=8-6", "https://www.amazon.com/Thymes-Travel-Set-Beauty-Bag/dp/B08CVR11MS/ref=sr_1_6?keywords=Thymes+Lavender+Body+Wash&amp;qid=1695258762&amp;sr=8-6")</f>
        <v>https://www.amazon.com/Thymes-Travel-Set-Beauty-Bag/dp/B08CVR11MS/ref=sr_1_6?keywords=Thymes+Lavender+Body+Wash&amp;qid=1695258762&amp;sr=8-6</v>
      </c>
      <c r="F371" t="s">
        <v>927</v>
      </c>
      <c r="G371" t="e">
        <f ca="1">IMAGE("https://heavenlyouthouse.com/cdn/shop/products/thymes-lavender-body-wash.jpg?v=1652367040")</f>
        <v>#NAME?</v>
      </c>
      <c r="H371" t="e">
        <f ca="1">IMAGE("https://m.media-amazon.com/images/I/71ZGXPxyJjL._AC_UL320_.jpg")</f>
        <v>#NAME?</v>
      </c>
      <c r="I371" t="s">
        <v>835</v>
      </c>
      <c r="J371">
        <v>32</v>
      </c>
      <c r="K371" s="2" t="s">
        <v>1092</v>
      </c>
      <c r="L371">
        <v>4.5999999999999996</v>
      </c>
      <c r="M371">
        <v>91</v>
      </c>
      <c r="O371" t="s">
        <v>39</v>
      </c>
      <c r="P371" t="s">
        <v>39</v>
      </c>
      <c r="Q371" t="s">
        <v>1115</v>
      </c>
    </row>
    <row r="372" spans="1:17" ht="15.75" x14ac:dyDescent="0.25">
      <c r="A372" s="3" t="str">
        <f>HYPERLINK("https://heavenlyouthouse.com/products/kimono-rose-body-wash", "https://heavenlyouthouse.com/products/kimono-rose-body-wash")</f>
        <v>https://heavenlyouthouse.com/products/kimono-rose-body-wash</v>
      </c>
      <c r="B372" s="3" t="str">
        <f>HYPERLINK("https://heavenlyouthouse.com/products/kimono-rose-body-wash", "https://heavenlyouthouse.com/products/kimono-rose-body-wash")</f>
        <v>https://heavenlyouthouse.com/products/kimono-rose-body-wash</v>
      </c>
      <c r="C372" t="s">
        <v>1116</v>
      </c>
      <c r="D372" t="s">
        <v>633</v>
      </c>
      <c r="E372" s="3" t="str">
        <f>HYPERLINK("https://www.amazon.com/Thymes-Travel-Set-Beauty-Bag/dp/B08CVR64W7/ref=sr_1_2?keywords=Thymes+Kimono+Rose+Body+Wash&amp;qid=1695258755&amp;sr=8-2", "https://www.amazon.com/Thymes-Travel-Set-Beauty-Bag/dp/B08CVR64W7/ref=sr_1_2?keywords=Thymes+Kimono+Rose+Body+Wash&amp;qid=1695258755&amp;sr=8-2")</f>
        <v>https://www.amazon.com/Thymes-Travel-Set-Beauty-Bag/dp/B08CVR64W7/ref=sr_1_2?keywords=Thymes+Kimono+Rose+Body+Wash&amp;qid=1695258755&amp;sr=8-2</v>
      </c>
      <c r="F372" t="s">
        <v>634</v>
      </c>
      <c r="G372" t="e">
        <f ca="1">IMAGE("https://heavenlyouthouse.com/cdn/shop/files/thymes-kimono-rose-body-wash.jpg?v=1687275425")</f>
        <v>#NAME?</v>
      </c>
      <c r="H372" t="e">
        <f ca="1">IMAGE("https://m.media-amazon.com/images/I/71usZZkC9AL._AC_UL320_.jpg")</f>
        <v>#NAME?</v>
      </c>
      <c r="I372" t="s">
        <v>835</v>
      </c>
      <c r="J372">
        <v>32</v>
      </c>
      <c r="K372" s="2" t="s">
        <v>1092</v>
      </c>
      <c r="L372">
        <v>4.5999999999999996</v>
      </c>
      <c r="M372">
        <v>91</v>
      </c>
      <c r="O372" t="s">
        <v>39</v>
      </c>
      <c r="P372" t="s">
        <v>39</v>
      </c>
      <c r="Q372" t="s">
        <v>1117</v>
      </c>
    </row>
    <row r="373" spans="1:17" ht="15.75" x14ac:dyDescent="0.25">
      <c r="A373" s="3" t="str">
        <f>HYPERLINK("https://heavenlyouthouse.com/products/thymes-eucalyptus-countertop-spray-all-purpose-cleaner", "https://heavenlyouthouse.com/products/thymes-eucalyptus-countertop-spray-all-purpose-cleaner")</f>
        <v>https://heavenlyouthouse.com/products/thymes-eucalyptus-countertop-spray-all-purpose-cleaner</v>
      </c>
      <c r="B373" s="3" t="str">
        <f>HYPERLINK("https://heavenlyouthouse.com/products/thymes-eucalyptus-countertop-spray-all-purpose-cleaner", "https://heavenlyouthouse.com/products/thymes-eucalyptus-countertop-spray-all-purpose-cleaner")</f>
        <v>https://heavenlyouthouse.com/products/thymes-eucalyptus-countertop-spray-all-purpose-cleaner</v>
      </c>
      <c r="C373" t="s">
        <v>1118</v>
      </c>
      <c r="D373" t="s">
        <v>1119</v>
      </c>
      <c r="E373" s="3" t="str">
        <f>HYPERLINK("https://www.amazon.com/Natural-Flower-Power-All-Purpose-Multi-Surface/dp/B01FT2BUNY/ref=sr_1_7?keywords=Thymes+Eucalyptus+Countertop+Spray+All-Purpose+Cleaner&amp;qid=1695258716&amp;sr=8-7", "https://www.amazon.com/Natural-Flower-Power-All-Purpose-Multi-Surface/dp/B01FT2BUNY/ref=sr_1_7?keywords=Thymes+Eucalyptus+Countertop+Spray+All-Purpose+Cleaner&amp;qid=1695258716&amp;sr=8-7")</f>
        <v>https://www.amazon.com/Natural-Flower-Power-All-Purpose-Multi-Surface/dp/B01FT2BUNY/ref=sr_1_7?keywords=Thymes+Eucalyptus+Countertop+Spray+All-Purpose+Cleaner&amp;qid=1695258716&amp;sr=8-7</v>
      </c>
      <c r="F373" t="s">
        <v>1120</v>
      </c>
      <c r="G373" t="e">
        <f ca="1">IMAGE("https://heavenlyouthouse.com/cdn/shop/files/thymes-eucalyptus-countertop-spray_300x300.jpg?v=1690995911")</f>
        <v>#NAME?</v>
      </c>
      <c r="H373" t="e">
        <f ca="1">IMAGE("https://m.media-amazon.com/images/I/71INNNqwNIL._AC_UL320_.jpg")</f>
        <v>#NAME?</v>
      </c>
      <c r="I373" t="s">
        <v>188</v>
      </c>
      <c r="J373">
        <v>21.98</v>
      </c>
      <c r="K373" s="2" t="s">
        <v>1092</v>
      </c>
      <c r="L373">
        <v>4.4000000000000004</v>
      </c>
      <c r="M373">
        <v>130</v>
      </c>
      <c r="O373" t="s">
        <v>39</v>
      </c>
      <c r="P373" t="s">
        <v>39</v>
      </c>
      <c r="Q373" t="s">
        <v>1121</v>
      </c>
    </row>
    <row r="374" spans="1:17" ht="15.75" x14ac:dyDescent="0.25">
      <c r="A374" s="3" t="str">
        <f>HYPERLINK("https://heavenlyouthouse.com/products/variety-pack-cocktail-bombs?variant=39387715469401", "https://heavenlyouthouse.com/products/variety-pack-cocktail-bombs?variant=39387715469401")</f>
        <v>https://heavenlyouthouse.com/products/variety-pack-cocktail-bombs?variant=39387715469401</v>
      </c>
      <c r="B374" s="3" t="str">
        <f>HYPERLINK("https://heavenlyouthouse.com/products/variety-pack-cocktail-bombs", "https://heavenlyouthouse.com/products/variety-pack-cocktail-bombs")</f>
        <v>https://heavenlyouthouse.com/products/variety-pack-cocktail-bombs</v>
      </c>
      <c r="C374" t="s">
        <v>730</v>
      </c>
      <c r="D374" t="s">
        <v>1122</v>
      </c>
      <c r="E374" s="3" t="str">
        <f>HYPERLINK("https://www.amazon.com/Cocktail-Crate-Craft-Variety-3-pack/dp/B08127MZ5K/ref=sr_1_10?keywords=Variety+Pack+Cocktail+Bombs&amp;qid=1695258815&amp;rdc=1&amp;sr=8-10", "https://www.amazon.com/Cocktail-Crate-Craft-Variety-3-pack/dp/B08127MZ5K/ref=sr_1_10?keywords=Variety+Pack+Cocktail+Bombs&amp;qid=1695258815&amp;rdc=1&amp;sr=8-10")</f>
        <v>https://www.amazon.com/Cocktail-Crate-Craft-Variety-3-pack/dp/B08127MZ5K/ref=sr_1_10?keywords=Variety+Pack+Cocktail+Bombs&amp;qid=1695258815&amp;rdc=1&amp;sr=8-10</v>
      </c>
      <c r="F374" t="s">
        <v>1123</v>
      </c>
      <c r="G374" t="e">
        <f ca="1">IMAGE("https://heavenlyouthouse.com/cdn/shop/products/cocktail-bombs-variety-pack.jpg?v=1626724745")</f>
        <v>#NAME?</v>
      </c>
      <c r="H374" t="e">
        <f ca="1">IMAGE("https://m.media-amazon.com/images/I/71NvUQPm9qL._AC_UL320_.jpg")</f>
        <v>#NAME?</v>
      </c>
      <c r="I374" t="s">
        <v>286</v>
      </c>
      <c r="J374">
        <v>29.99</v>
      </c>
      <c r="K374" s="2" t="s">
        <v>1092</v>
      </c>
      <c r="L374">
        <v>4.2</v>
      </c>
      <c r="M374">
        <v>445</v>
      </c>
      <c r="O374" t="s">
        <v>136</v>
      </c>
      <c r="P374" t="s">
        <v>288</v>
      </c>
      <c r="Q374" t="s">
        <v>734</v>
      </c>
    </row>
    <row r="375" spans="1:17" ht="15.75" x14ac:dyDescent="0.25">
      <c r="A375" s="3" t="str">
        <f>HYPERLINK("https://heavenlyouthouse.com/products/poo-pourri-original-citrus-toilet-spray?variant=39334155321433", "https://heavenlyouthouse.com/products/poo-pourri-original-citrus-toilet-spray?variant=39334155321433")</f>
        <v>https://heavenlyouthouse.com/products/poo-pourri-original-citrus-toilet-spray?variant=39334155321433</v>
      </c>
      <c r="B375" s="3" t="str">
        <f>HYPERLINK("https://heavenlyouthouse.com/products/poo-pourri-original-citrus-toilet-spray", "https://heavenlyouthouse.com/products/poo-pourri-original-citrus-toilet-spray")</f>
        <v>https://heavenlyouthouse.com/products/poo-pourri-original-citrus-toilet-spray</v>
      </c>
      <c r="C375" t="s">
        <v>526</v>
      </c>
      <c r="D375" t="s">
        <v>1124</v>
      </c>
      <c r="E375" s="3" t="str">
        <f>HYPERLINK("https://www.amazon.com/Poo-Pourri-Before-You-Go-Toilet-Original-Citrus/dp/B0BVZ8Z9F5/ref=sr_1_8?keywords=Poo-Pourri+Original+Citrus+Toilet+Spray&amp;qid=1695258667&amp;sr=8-8", "https://www.amazon.com/Poo-Pourri-Before-You-Go-Toilet-Original-Citrus/dp/B0BVZ8Z9F5/ref=sr_1_8?keywords=Poo-Pourri+Original+Citrus+Toilet+Spray&amp;qid=1695258667&amp;sr=8-8")</f>
        <v>https://www.amazon.com/Poo-Pourri-Before-You-Go-Toilet-Original-Citrus/dp/B0BVZ8Z9F5/ref=sr_1_8?keywords=Poo-Pourri+Original+Citrus+Toilet+Spray&amp;qid=1695258667&amp;sr=8-8</v>
      </c>
      <c r="F375" t="s">
        <v>1125</v>
      </c>
      <c r="G375" t="e">
        <f ca="1">IMAGE("https://heavenlyouthouse.com/cdn/shop/products/Poo-pourrioriginalcitrustoiletbathroomspray1.jpg?v=1621615377")</f>
        <v>#NAME?</v>
      </c>
      <c r="H375" t="e">
        <f ca="1">IMAGE("https://m.media-amazon.com/images/I/51oDvec0osL._AC_UL320_.jpg")</f>
        <v>#NAME?</v>
      </c>
      <c r="I375" t="s">
        <v>362</v>
      </c>
      <c r="J375">
        <v>14.96</v>
      </c>
      <c r="K375" s="2" t="s">
        <v>1092</v>
      </c>
      <c r="L375">
        <v>5</v>
      </c>
      <c r="M375">
        <v>1</v>
      </c>
      <c r="O375" t="s">
        <v>136</v>
      </c>
      <c r="P375" t="s">
        <v>363</v>
      </c>
      <c r="Q375" t="s">
        <v>530</v>
      </c>
    </row>
    <row r="376" spans="1:17" ht="15.75" x14ac:dyDescent="0.25">
      <c r="A376" s="3" t="str">
        <f>HYPERLINK("https://heavenlyouthouse.com/products/video-game-mens-crew-socks", "https://heavenlyouthouse.com/products/video-game-mens-crew-socks")</f>
        <v>https://heavenlyouthouse.com/products/video-game-mens-crew-socks</v>
      </c>
      <c r="B376" s="3" t="str">
        <f>HYPERLINK("https://heavenlyouthouse.com/products/video-game-mens-crew-socks", "https://heavenlyouthouse.com/products/video-game-mens-crew-socks")</f>
        <v>https://heavenlyouthouse.com/products/video-game-mens-crew-socks</v>
      </c>
      <c r="C376" t="s">
        <v>799</v>
      </c>
      <c r="D376" t="s">
        <v>1126</v>
      </c>
      <c r="E376" s="3" t="str">
        <f>HYPERLINK("https://www.amazon.com/Socks-Controllers-Gaming-Patterns-Mid-Calf/dp/B0913GXZQ2/ref=sr_1_4?keywords=Video+Game+Men%27s+Crew+Socks&amp;qid=1695258812&amp;sr=8-4", "https://www.amazon.com/Socks-Controllers-Gaming-Patterns-Mid-Calf/dp/B0913GXZQ2/ref=sr_1_4?keywords=Video+Game+Men%27s+Crew+Socks&amp;qid=1695258812&amp;sr=8-4")</f>
        <v>https://www.amazon.com/Socks-Controllers-Gaming-Patterns-Mid-Calf/dp/B0913GXZQ2/ref=sr_1_4?keywords=Video+Game+Men%27s+Crew+Socks&amp;qid=1695258812&amp;sr=8-4</v>
      </c>
      <c r="F376" t="s">
        <v>1127</v>
      </c>
      <c r="G376" t="e">
        <f ca="1">IMAGE("https://heavenlyouthouse.com/cdn/shop/files/blue-q-video-game-socks-men_s-socks_300x300.jpg?v=1691436647")</f>
        <v>#NAME?</v>
      </c>
      <c r="H376" t="e">
        <f ca="1">IMAGE("https://m.media-amazon.com/images/I/81W4Lg6g4QL._AC_UL320_.jpg")</f>
        <v>#NAME?</v>
      </c>
      <c r="I376" t="s">
        <v>802</v>
      </c>
      <c r="J376">
        <v>19.95</v>
      </c>
      <c r="K376" s="2" t="s">
        <v>1092</v>
      </c>
      <c r="L376">
        <v>4.8</v>
      </c>
      <c r="M376">
        <v>93</v>
      </c>
      <c r="O376" t="s">
        <v>39</v>
      </c>
      <c r="P376" t="s">
        <v>803</v>
      </c>
      <c r="Q376" t="s">
        <v>804</v>
      </c>
    </row>
    <row r="377" spans="1:17" ht="15.75" x14ac:dyDescent="0.25">
      <c r="A377" s="3" t="str">
        <f>HYPERLINK("https://heavenlyouthouse.com/products/totally-my-jam-card", "https://heavenlyouthouse.com/products/totally-my-jam-card")</f>
        <v>https://heavenlyouthouse.com/products/totally-my-jam-card</v>
      </c>
      <c r="B377" s="3" t="str">
        <f>HYPERLINK("https://heavenlyouthouse.com/products/totally-my-jam-card", "https://heavenlyouthouse.com/products/totally-my-jam-card")</f>
        <v>https://heavenlyouthouse.com/products/totally-my-jam-card</v>
      </c>
      <c r="C377" t="s">
        <v>451</v>
      </c>
      <c r="D377" t="s">
        <v>1128</v>
      </c>
      <c r="E377" s="3" t="str">
        <f>HYPERLINK("https://www.amazon.com/Papyrus-Thinking-You-Card-EA/dp/B092LC91PD/ref=sr_1_1?keywords=You%27re+Totally+My+Jam+Card&amp;qid=1695258835&amp;sr=8-1", "https://www.amazon.com/Papyrus-Thinking-You-Card-EA/dp/B092LC91PD/ref=sr_1_1?keywords=You%27re+Totally+My+Jam+Card&amp;qid=1695258835&amp;sr=8-1")</f>
        <v>https://www.amazon.com/Papyrus-Thinking-You-Card-EA/dp/B092LC91PD/ref=sr_1_1?keywords=You%27re+Totally+My+Jam+Card&amp;qid=1695258835&amp;sr=8-1</v>
      </c>
      <c r="F377" t="s">
        <v>1129</v>
      </c>
      <c r="G377" t="e">
        <f ca="1">IMAGE("https://heavenlyouthouse.com/cdn/shop/files/totally-my-jam-card5_300x300.jpg?v=1692035564")</f>
        <v>#NAME?</v>
      </c>
      <c r="H377" t="e">
        <f ca="1">IMAGE("https://m.media-amazon.com/images/I/816WHX+nVRL._AC_UL320_.jpg")</f>
        <v>#NAME?</v>
      </c>
      <c r="I377" t="s">
        <v>454</v>
      </c>
      <c r="J377">
        <v>8.5</v>
      </c>
      <c r="K377" s="2" t="s">
        <v>1092</v>
      </c>
      <c r="L377">
        <v>4.9000000000000004</v>
      </c>
      <c r="M377">
        <v>275</v>
      </c>
      <c r="O377" t="s">
        <v>39</v>
      </c>
      <c r="P377" t="s">
        <v>39</v>
      </c>
      <c r="Q377" t="s">
        <v>456</v>
      </c>
    </row>
    <row r="378" spans="1:17" ht="15.75" x14ac:dyDescent="0.25">
      <c r="A378" s="3" t="str">
        <f>HYPERLINK("https://heavenlyouthouse.com/products/whippersnapper-mens-crew-socks", "https://heavenlyouthouse.com/products/whippersnapper-mens-crew-socks")</f>
        <v>https://heavenlyouthouse.com/products/whippersnapper-mens-crew-socks</v>
      </c>
      <c r="B378" s="3" t="str">
        <f>HYPERLINK("https://heavenlyouthouse.com/products/whippersnapper-mens-crew-socks", "https://heavenlyouthouse.com/products/whippersnapper-mens-crew-socks")</f>
        <v>https://heavenlyouthouse.com/products/whippersnapper-mens-crew-socks</v>
      </c>
      <c r="C378" t="s">
        <v>1130</v>
      </c>
      <c r="D378" t="s">
        <v>1131</v>
      </c>
      <c r="E378" s="3" t="str">
        <f>HYPERLINK("https://www.amazon.com/Conscious-Step-Socks-Protect-Oceans/dp/B073BPC4T5/ref=sr_1_2?keywords=Whippersnapper+Mens+Crew+Socks&amp;qid=1695258826&amp;sr=8-2", "https://www.amazon.com/Conscious-Step-Socks-Protect-Oceans/dp/B073BPC4T5/ref=sr_1_2?keywords=Whippersnapper+Mens+Crew+Socks&amp;qid=1695258826&amp;sr=8-2")</f>
        <v>https://www.amazon.com/Conscious-Step-Socks-Protect-Oceans/dp/B073BPC4T5/ref=sr_1_2?keywords=Whippersnapper+Mens+Crew+Socks&amp;qid=1695258826&amp;sr=8-2</v>
      </c>
      <c r="F378" t="s">
        <v>1132</v>
      </c>
      <c r="G378" t="e">
        <f ca="1">IMAGE("https://heavenlyouthouse.com/cdn/shop/files/blue-q-cool-whippersnapper-men_s-socks_300x300.jpg?v=1689186599")</f>
        <v>#NAME?</v>
      </c>
      <c r="H378" t="e">
        <f ca="1">IMAGE("https://m.media-amazon.com/images/I/81W7CQP6WcL._AC_UL320_.jpg")</f>
        <v>#NAME?</v>
      </c>
      <c r="I378" t="s">
        <v>802</v>
      </c>
      <c r="J378">
        <v>19.95</v>
      </c>
      <c r="K378" s="2" t="s">
        <v>1092</v>
      </c>
      <c r="L378">
        <v>4.7</v>
      </c>
      <c r="M378">
        <v>310</v>
      </c>
      <c r="O378" t="s">
        <v>39</v>
      </c>
      <c r="P378" t="s">
        <v>803</v>
      </c>
      <c r="Q378" t="s">
        <v>1133</v>
      </c>
    </row>
    <row r="379" spans="1:17" ht="15.75" x14ac:dyDescent="0.25">
      <c r="A379" s="3" t="str">
        <f>HYPERLINK("https://heavenlyouthouse.com/products/shitty-day-loose-herbal-tea", "https://heavenlyouthouse.com/products/shitty-day-loose-herbal-tea")</f>
        <v>https://heavenlyouthouse.com/products/shitty-day-loose-herbal-tea</v>
      </c>
      <c r="B379" s="3" t="str">
        <f>HYPERLINK("https://heavenlyouthouse.com/products/shitty-day-loose-herbal-tea", "https://heavenlyouthouse.com/products/shitty-day-loose-herbal-tea")</f>
        <v>https://heavenlyouthouse.com/products/shitty-day-loose-herbal-tea</v>
      </c>
      <c r="C379" t="s">
        <v>968</v>
      </c>
      <c r="D379" t="s">
        <v>1134</v>
      </c>
      <c r="E379" s="3" t="str">
        <f>HYPERLINK("https://www.amazon.com/Drink-Katys-Berry-Herbal-Supply/dp/B0831T7BXM/ref=sr_1_1?keywords=Shitty+Day+Loose+Leaf+Herbal+Tea&amp;qid=1695258682&amp;sr=8-1", "https://www.amazon.com/Drink-Katys-Berry-Herbal-Supply/dp/B0831T7BXM/ref=sr_1_1?keywords=Shitty+Day+Loose+Leaf+Herbal+Tea&amp;qid=1695258682&amp;sr=8-1")</f>
        <v>https://www.amazon.com/Drink-Katys-Berry-Herbal-Supply/dp/B0831T7BXM/ref=sr_1_1?keywords=Shitty+Day+Loose+Leaf+Herbal+Tea&amp;qid=1695258682&amp;sr=8-1</v>
      </c>
      <c r="F379" t="s">
        <v>1135</v>
      </c>
      <c r="G379" t="e">
        <f ca="1">IMAGE("https://heavenlyouthouse.com/cdn/shop/products/ShittyDay.jpg?v=1658440867")</f>
        <v>#NAME?</v>
      </c>
      <c r="H379" t="e">
        <f ca="1">IMAGE("https://m.media-amazon.com/images/I/71VXJ5aHyhL._AC_UL320_.jpg")</f>
        <v>#NAME?</v>
      </c>
      <c r="I379" t="s">
        <v>955</v>
      </c>
      <c r="J379">
        <v>12.95</v>
      </c>
      <c r="K379" s="2" t="s">
        <v>1092</v>
      </c>
      <c r="L379">
        <v>4.4000000000000004</v>
      </c>
      <c r="M379">
        <v>1238</v>
      </c>
      <c r="O379" t="s">
        <v>39</v>
      </c>
      <c r="P379" t="s">
        <v>39</v>
      </c>
      <c r="Q379" t="s">
        <v>971</v>
      </c>
    </row>
    <row r="380" spans="1:17" ht="15.75" x14ac:dyDescent="0.25">
      <c r="A380" s="3" t="str">
        <f>HYPERLINK("https://heavenlyouthouse.com/products/retirement-card", "https://heavenlyouthouse.com/products/retirement-card")</f>
        <v>https://heavenlyouthouse.com/products/retirement-card</v>
      </c>
      <c r="B380" s="3" t="str">
        <f>HYPERLINK("https://heavenlyouthouse.com/products/retirement-card", "https://heavenlyouthouse.com/products/retirement-card")</f>
        <v>https://heavenlyouthouse.com/products/retirement-card</v>
      </c>
      <c r="C380" t="s">
        <v>964</v>
      </c>
      <c r="D380" t="s">
        <v>1136</v>
      </c>
      <c r="E380" s="3" t="str">
        <f>HYPERLINK("https://www.amazon.com/Best-Card-Company-Retirement-Automobile/dp/B08Q6CTZFS/ref=sr_1_6?keywords=Retirement+Card&amp;qid=1695258667&amp;sr=8-6", "https://www.amazon.com/Best-Card-Company-Retirement-Automobile/dp/B08Q6CTZFS/ref=sr_1_6?keywords=Retirement+Card&amp;qid=1695258667&amp;sr=8-6")</f>
        <v>https://www.amazon.com/Best-Card-Company-Retirement-Automobile/dp/B08Q6CTZFS/ref=sr_1_6?keywords=Retirement+Card&amp;qid=1695258667&amp;sr=8-6</v>
      </c>
      <c r="F380" t="s">
        <v>1137</v>
      </c>
      <c r="G380" t="e">
        <f ca="1">IMAGE("https://heavenlyouthouse.com/cdn/shop/files/retirement-card1_300x300.jpg?v=1692054658")</f>
        <v>#NAME?</v>
      </c>
      <c r="H380" t="e">
        <f ca="1">IMAGE("https://m.media-amazon.com/images/I/71P5Yf-zcEL._AC_UL320_.jpg")</f>
        <v>#NAME?</v>
      </c>
      <c r="I380" t="s">
        <v>414</v>
      </c>
      <c r="J380">
        <v>6.89</v>
      </c>
      <c r="K380" s="2" t="s">
        <v>1138</v>
      </c>
      <c r="L380">
        <v>4.7</v>
      </c>
      <c r="M380">
        <v>386</v>
      </c>
      <c r="O380" t="s">
        <v>39</v>
      </c>
      <c r="P380" t="s">
        <v>39</v>
      </c>
      <c r="Q380" t="s">
        <v>967</v>
      </c>
    </row>
    <row r="381" spans="1:17" ht="15.75" x14ac:dyDescent="0.25">
      <c r="A381" s="3" t="str">
        <f>HYPERLINK("https://heavenlyouthouse.com/products/spotless-stain-remover-soap", "https://heavenlyouthouse.com/products/spotless-stain-remover-soap")</f>
        <v>https://heavenlyouthouse.com/products/spotless-stain-remover-soap</v>
      </c>
      <c r="B381" s="3" t="str">
        <f>HYPERLINK("https://heavenlyouthouse.com/products/spotless-stain-remover-soap", "https://heavenlyouthouse.com/products/spotless-stain-remover-soap")</f>
        <v>https://heavenlyouthouse.com/products/spotless-stain-remover-soap</v>
      </c>
      <c r="C381" t="s">
        <v>195</v>
      </c>
      <c r="D381" t="s">
        <v>1139</v>
      </c>
      <c r="E381" s="3" t="str">
        <f>HYPERLINK("https://www.amazon.com/Underwear-Cleaning-Bedclothes-Long-Lasting-Fragrance/dp/B0BRSP3D3D/ref=sr_1_4?keywords=Spotless+Stain+Remover+Soap&amp;qid=1695258690&amp;sr=8-4", "https://www.amazon.com/Underwear-Cleaning-Bedclothes-Long-Lasting-Fragrance/dp/B0BRSP3D3D/ref=sr_1_4?keywords=Spotless+Stain+Remover+Soap&amp;qid=1695258690&amp;sr=8-4")</f>
        <v>https://www.amazon.com/Underwear-Cleaning-Bedclothes-Long-Lasting-Fragrance/dp/B0BRSP3D3D/ref=sr_1_4?keywords=Spotless+Stain+Remover+Soap&amp;qid=1695258690&amp;sr=8-4</v>
      </c>
      <c r="F381" t="s">
        <v>1140</v>
      </c>
      <c r="G381" t="e">
        <f ca="1">IMAGE("https://heavenlyouthouse.com/cdn/shop/products/Spotless-Stain-Remover_Bar-Soap_2048_2000x_48b45b5c-ad2d-465e-a102-14922b0c661d.jpg?v=1586803390")</f>
        <v>#NAME?</v>
      </c>
      <c r="H381" t="e">
        <f ca="1">IMAGE("https://m.media-amazon.com/images/I/71zNBaRsp8L._AC_UL320_.jpg")</f>
        <v>#NAME?</v>
      </c>
      <c r="I381" t="s">
        <v>92</v>
      </c>
      <c r="J381">
        <v>7.88</v>
      </c>
      <c r="K381" s="2" t="s">
        <v>1138</v>
      </c>
      <c r="L381">
        <v>3.8</v>
      </c>
      <c r="M381">
        <v>59</v>
      </c>
      <c r="O381" t="s">
        <v>39</v>
      </c>
      <c r="P381" t="s">
        <v>24</v>
      </c>
      <c r="Q381" t="s">
        <v>199</v>
      </c>
    </row>
    <row r="382" spans="1:17" ht="15.75" x14ac:dyDescent="0.25">
      <c r="A382" s="3" t="str">
        <f>HYPERLINK("https://heavenlyouthouse.com/products/thymes-mandarin-coriander-reed-diffuser-refill", "https://heavenlyouthouse.com/products/thymes-mandarin-coriander-reed-diffuser-refill")</f>
        <v>https://heavenlyouthouse.com/products/thymes-mandarin-coriander-reed-diffuser-refill</v>
      </c>
      <c r="B382" s="3" t="str">
        <f>HYPERLINK("https://heavenlyouthouse.com/products/thymes-mandarin-coriander-reed-diffuser-refill", "https://heavenlyouthouse.com/products/thymes-mandarin-coriander-reed-diffuser-refill")</f>
        <v>https://heavenlyouthouse.com/products/thymes-mandarin-coriander-reed-diffuser-refill</v>
      </c>
      <c r="C382" t="s">
        <v>1141</v>
      </c>
      <c r="D382" t="s">
        <v>1142</v>
      </c>
      <c r="E382" s="3" t="str">
        <f>HYPERLINK("https://www.amazon.com/Thymes-Petite-Reed-Diffuser-Coriander/dp/B083F8X532/ref=sr_1_2?keywords=Thymes+Mandarin+Coriander+Reed+Diffuser+Refill&amp;qid=1695258793&amp;sr=8-2", "https://www.amazon.com/Thymes-Petite-Reed-Diffuser-Coriander/dp/B083F8X532/ref=sr_1_2?keywords=Thymes+Mandarin+Coriander+Reed+Diffuser+Refill&amp;qid=1695258793&amp;sr=8-2")</f>
        <v>https://www.amazon.com/Thymes-Petite-Reed-Diffuser-Coriander/dp/B083F8X532/ref=sr_1_2?keywords=Thymes+Mandarin+Coriander+Reed+Diffuser+Refill&amp;qid=1695258793&amp;sr=8-2</v>
      </c>
      <c r="F382" t="s">
        <v>1143</v>
      </c>
      <c r="G382" t="e">
        <f ca="1">IMAGE("https://heavenlyouthouse.com/cdn/shop/products/thymes-mandarin-coriander-reed-diffuser-refill.jpg?v=1657727707")</f>
        <v>#NAME?</v>
      </c>
      <c r="H382" t="e">
        <f ca="1">IMAGE("https://m.media-amazon.com/images/I/71l0SgUiNLL._AC_UL320_.jpg")</f>
        <v>#NAME?</v>
      </c>
      <c r="I382" t="s">
        <v>829</v>
      </c>
      <c r="J382">
        <v>46</v>
      </c>
      <c r="K382" s="2" t="s">
        <v>1144</v>
      </c>
      <c r="L382">
        <v>4.3</v>
      </c>
      <c r="M382">
        <v>185</v>
      </c>
      <c r="O382" t="s">
        <v>39</v>
      </c>
      <c r="P382" t="s">
        <v>39</v>
      </c>
      <c r="Q382" t="s">
        <v>1145</v>
      </c>
    </row>
    <row r="383" spans="1:17" ht="15.75" x14ac:dyDescent="0.25">
      <c r="A383" s="3" t="str">
        <f>HYPERLINK("https://heavenlyouthouse.com/products/thymes-frasier-fir-reed-diffuser-refill", "https://heavenlyouthouse.com/products/thymes-frasier-fir-reed-diffuser-refill")</f>
        <v>https://heavenlyouthouse.com/products/thymes-frasier-fir-reed-diffuser-refill</v>
      </c>
      <c r="B383" s="3" t="str">
        <f>HYPERLINK("https://heavenlyouthouse.com/products/thymes-frasier-fir-reed-diffuser-refill", "https://heavenlyouthouse.com/products/thymes-frasier-fir-reed-diffuser-refill")</f>
        <v>https://heavenlyouthouse.com/products/thymes-frasier-fir-reed-diffuser-refill</v>
      </c>
      <c r="C383" t="s">
        <v>1146</v>
      </c>
      <c r="D383" t="s">
        <v>155</v>
      </c>
      <c r="E383" s="3" t="str">
        <f>HYPERLINK("https://www.amazon.com/Thymes-Frasier-Petite-Reed-Diffuser/dp/B074KL8KPP/ref=sr_1_4?keywords=Thymes+Frasier+Fir+Reed+Diffuser+Refill&amp;qid=1695258739&amp;sr=8-4", "https://www.amazon.com/Thymes-Frasier-Petite-Reed-Diffuser/dp/B074KL8KPP/ref=sr_1_4?keywords=Thymes+Frasier+Fir+Reed+Diffuser+Refill&amp;qid=1695258739&amp;sr=8-4")</f>
        <v>https://www.amazon.com/Thymes-Frasier-Petite-Reed-Diffuser/dp/B074KL8KPP/ref=sr_1_4?keywords=Thymes+Frasier+Fir+Reed+Diffuser+Refill&amp;qid=1695258739&amp;sr=8-4</v>
      </c>
      <c r="F383" t="s">
        <v>156</v>
      </c>
      <c r="G383" t="e">
        <f ca="1">IMAGE("https://heavenlyouthouse.com/cdn/shop/products/thymesfrasierfirreeddiffuserrefill.jpg?v=1603998608")</f>
        <v>#NAME?</v>
      </c>
      <c r="H383" t="e">
        <f ca="1">IMAGE("https://m.media-amazon.com/images/I/71vTZnnZvCL._AC_UL320_.jpg")</f>
        <v>#NAME?</v>
      </c>
      <c r="I383" t="s">
        <v>829</v>
      </c>
      <c r="J383">
        <v>46</v>
      </c>
      <c r="K383" s="2" t="s">
        <v>1144</v>
      </c>
      <c r="L383">
        <v>4.7</v>
      </c>
      <c r="M383">
        <v>479</v>
      </c>
      <c r="O383" t="s">
        <v>39</v>
      </c>
      <c r="P383" t="s">
        <v>39</v>
      </c>
      <c r="Q383" t="s">
        <v>1147</v>
      </c>
    </row>
    <row r="384" spans="1:17" ht="15.75" x14ac:dyDescent="0.25">
      <c r="A384" s="3" t="str">
        <f>HYPERLINK("https://heavenlyouthouse.com/products/thymes-frasier-fir-gift-set", "https://heavenlyouthouse.com/products/thymes-frasier-fir-gift-set")</f>
        <v>https://heavenlyouthouse.com/products/thymes-frasier-fir-gift-set</v>
      </c>
      <c r="B384" s="3" t="str">
        <f>HYPERLINK("https://heavenlyouthouse.com/products/thymes-frasier-fir-gift-set", "https://heavenlyouthouse.com/products/thymes-frasier-fir-gift-set")</f>
        <v>https://heavenlyouthouse.com/products/thymes-frasier-fir-gift-set</v>
      </c>
      <c r="C384" t="s">
        <v>1148</v>
      </c>
      <c r="D384" t="s">
        <v>155</v>
      </c>
      <c r="E384" s="3" t="str">
        <f>HYPERLINK("https://www.amazon.com/Thymes-Frasier-Petite-Reed-Diffuser/dp/B074KL8KPP/ref=sr_1_2?keywords=Thymes+Frasier+Fir+Gift+Set&amp;qid=1695258724&amp;sr=8-2", "https://www.amazon.com/Thymes-Frasier-Petite-Reed-Diffuser/dp/B074KL8KPP/ref=sr_1_2?keywords=Thymes+Frasier+Fir+Gift+Set&amp;qid=1695258724&amp;sr=8-2")</f>
        <v>https://www.amazon.com/Thymes-Frasier-Petite-Reed-Diffuser/dp/B074KL8KPP/ref=sr_1_2?keywords=Thymes+Frasier+Fir+Gift+Set&amp;qid=1695258724&amp;sr=8-2</v>
      </c>
      <c r="F384" t="s">
        <v>156</v>
      </c>
      <c r="G384" t="e">
        <f ca="1">IMAGE("https://heavenlyouthouse.com/cdn/shop/products/Frasier-Fir-Gift-Set.jpg?v=1630017599")</f>
        <v>#NAME?</v>
      </c>
      <c r="H384" t="e">
        <f ca="1">IMAGE("https://m.media-amazon.com/images/I/71vTZnnZvCL._AC_UL320_.jpg")</f>
        <v>#NAME?</v>
      </c>
      <c r="I384" t="s">
        <v>829</v>
      </c>
      <c r="J384">
        <v>46</v>
      </c>
      <c r="K384" s="2" t="s">
        <v>1144</v>
      </c>
      <c r="L384">
        <v>4.7</v>
      </c>
      <c r="M384">
        <v>479</v>
      </c>
      <c r="O384" t="s">
        <v>39</v>
      </c>
      <c r="P384" t="s">
        <v>39</v>
      </c>
      <c r="Q384" t="s">
        <v>1149</v>
      </c>
    </row>
    <row r="385" spans="1:17" ht="15.75" x14ac:dyDescent="0.25">
      <c r="A385" s="3" t="str">
        <f>HYPERLINK("https://heavenlyouthouse.com/products/thymes-frasier-fir-reed-diffuser-refill", "https://heavenlyouthouse.com/products/thymes-frasier-fir-reed-diffuser-refill")</f>
        <v>https://heavenlyouthouse.com/products/thymes-frasier-fir-reed-diffuser-refill</v>
      </c>
      <c r="B385" s="3" t="str">
        <f>HYPERLINK("https://heavenlyouthouse.com/products/thymes-frasier-fir-reed-diffuser-refill", "https://heavenlyouthouse.com/products/thymes-frasier-fir-reed-diffuser-refill")</f>
        <v>https://heavenlyouthouse.com/products/thymes-frasier-fir-reed-diffuser-refill</v>
      </c>
      <c r="C385" t="s">
        <v>1146</v>
      </c>
      <c r="D385" t="s">
        <v>150</v>
      </c>
      <c r="E385" s="3" t="str">
        <f>HYPERLINK("https://www.amazon.com/Frasier-Diffuser-Petite-Needle-Design/dp/B07PX41PHQ/ref=sr_1_3?keywords=Thymes+Frasier+Fir+Reed+Diffuser+Refill&amp;qid=1695258739&amp;sr=8-3", "https://www.amazon.com/Frasier-Diffuser-Petite-Needle-Design/dp/B07PX41PHQ/ref=sr_1_3?keywords=Thymes+Frasier+Fir+Reed+Diffuser+Refill&amp;qid=1695258739&amp;sr=8-3")</f>
        <v>https://www.amazon.com/Frasier-Diffuser-Petite-Needle-Design/dp/B07PX41PHQ/ref=sr_1_3?keywords=Thymes+Frasier+Fir+Reed+Diffuser+Refill&amp;qid=1695258739&amp;sr=8-3</v>
      </c>
      <c r="F385" t="s">
        <v>151</v>
      </c>
      <c r="G385" t="e">
        <f ca="1">IMAGE("https://heavenlyouthouse.com/cdn/shop/products/thymesfrasierfirreeddiffuserrefill.jpg?v=1603998608")</f>
        <v>#NAME?</v>
      </c>
      <c r="H385" t="e">
        <f ca="1">IMAGE("https://m.media-amazon.com/images/I/81b2I297VgL._AC_UL320_.jpg")</f>
        <v>#NAME?</v>
      </c>
      <c r="I385" t="s">
        <v>829</v>
      </c>
      <c r="J385">
        <v>46</v>
      </c>
      <c r="K385" s="2" t="s">
        <v>1144</v>
      </c>
      <c r="L385">
        <v>4.7</v>
      </c>
      <c r="M385">
        <v>283</v>
      </c>
      <c r="O385" t="s">
        <v>39</v>
      </c>
      <c r="P385" t="s">
        <v>39</v>
      </c>
      <c r="Q385" t="s">
        <v>1147</v>
      </c>
    </row>
    <row r="386" spans="1:17" ht="15.75" x14ac:dyDescent="0.25">
      <c r="A386" s="3" t="str">
        <f>HYPERLINK("https://heavenlyouthouse.com/products/thymes-lemon-leaf-reed-diffuser-refill", "https://heavenlyouthouse.com/products/thymes-lemon-leaf-reed-diffuser-refill")</f>
        <v>https://heavenlyouthouse.com/products/thymes-lemon-leaf-reed-diffuser-refill</v>
      </c>
      <c r="B386" s="3" t="str">
        <f>HYPERLINK("https://heavenlyouthouse.com/products/thymes-lemon-leaf-reed-diffuser-refill", "https://heavenlyouthouse.com/products/thymes-lemon-leaf-reed-diffuser-refill")</f>
        <v>https://heavenlyouthouse.com/products/thymes-lemon-leaf-reed-diffuser-refill</v>
      </c>
      <c r="C386" t="s">
        <v>1150</v>
      </c>
      <c r="D386" t="s">
        <v>1151</v>
      </c>
      <c r="E386" s="3" t="str">
        <f>HYPERLINK("https://www.amazon.com/Thymes-Petite-Reed-Diffuser-Lemon/dp/B084BRX7CV/ref=sr_1_1?keywords=Thymes+Lemon+Leaf+Reed+Diffuser+Refill&amp;qid=1695258779&amp;sr=8-1", "https://www.amazon.com/Thymes-Petite-Reed-Diffuser-Lemon/dp/B084BRX7CV/ref=sr_1_1?keywords=Thymes+Lemon+Leaf+Reed+Diffuser+Refill&amp;qid=1695258779&amp;sr=8-1")</f>
        <v>https://www.amazon.com/Thymes-Petite-Reed-Diffuser-Lemon/dp/B084BRX7CV/ref=sr_1_1?keywords=Thymes+Lemon+Leaf+Reed+Diffuser+Refill&amp;qid=1695258779&amp;sr=8-1</v>
      </c>
      <c r="F386" t="s">
        <v>1152</v>
      </c>
      <c r="G386" t="e">
        <f ca="1">IMAGE("https://heavenlyouthouse.com/cdn/shop/products/thymes-lemon-leaf-reed-diffuser-refill.jpg?v=1657727070")</f>
        <v>#NAME?</v>
      </c>
      <c r="H386" t="e">
        <f ca="1">IMAGE("https://m.media-amazon.com/images/I/71hPW5ManPL._AC_UL320_.jpg")</f>
        <v>#NAME?</v>
      </c>
      <c r="I386" t="s">
        <v>829</v>
      </c>
      <c r="J386">
        <v>46</v>
      </c>
      <c r="K386" s="2" t="s">
        <v>1144</v>
      </c>
      <c r="L386">
        <v>4.3</v>
      </c>
      <c r="M386">
        <v>185</v>
      </c>
      <c r="O386" t="s">
        <v>39</v>
      </c>
      <c r="P386" t="s">
        <v>39</v>
      </c>
      <c r="Q386" t="s">
        <v>1153</v>
      </c>
    </row>
    <row r="387" spans="1:17" ht="15.75" x14ac:dyDescent="0.25">
      <c r="A387" s="3" t="str">
        <f>HYPERLINK("https://heavenlyouthouse.com/products/thymes-washed-linen-reed-diffuser-refill", "https://heavenlyouthouse.com/products/thymes-washed-linen-reed-diffuser-refill")</f>
        <v>https://heavenlyouthouse.com/products/thymes-washed-linen-reed-diffuser-refill</v>
      </c>
      <c r="B387" s="3" t="str">
        <f>HYPERLINK("https://heavenlyouthouse.com/products/thymes-washed-linen-reed-diffuser-refill", "https://heavenlyouthouse.com/products/thymes-washed-linen-reed-diffuser-refill")</f>
        <v>https://heavenlyouthouse.com/products/thymes-washed-linen-reed-diffuser-refill</v>
      </c>
      <c r="C387" t="s">
        <v>1154</v>
      </c>
      <c r="D387" t="s">
        <v>51</v>
      </c>
      <c r="E387" s="3" t="str">
        <f>HYPERLINK("https://www.amazon.com/Thymes-Petite-Reed-Diffuser-Washed/dp/B084C4KQX7/ref=sr_1_2?keywords=Thymes+Washed+Linen+Reed+Diffuser+Refill&amp;qid=1695258797&amp;sr=8-2", "https://www.amazon.com/Thymes-Petite-Reed-Diffuser-Washed/dp/B084C4KQX7/ref=sr_1_2?keywords=Thymes+Washed+Linen+Reed+Diffuser+Refill&amp;qid=1695258797&amp;sr=8-2")</f>
        <v>https://www.amazon.com/Thymes-Petite-Reed-Diffuser-Washed/dp/B084C4KQX7/ref=sr_1_2?keywords=Thymes+Washed+Linen+Reed+Diffuser+Refill&amp;qid=1695258797&amp;sr=8-2</v>
      </c>
      <c r="F387" t="s">
        <v>52</v>
      </c>
      <c r="G387" t="e">
        <f ca="1">IMAGE("https://heavenlyouthouse.com/cdn/shop/products/thymes-washed-linen-reed-diffuser-refill.jpg?v=1657729554")</f>
        <v>#NAME?</v>
      </c>
      <c r="H387" t="e">
        <f ca="1">IMAGE("https://m.media-amazon.com/images/I/71AO0IPM4lL._AC_UL320_.jpg")</f>
        <v>#NAME?</v>
      </c>
      <c r="I387" t="s">
        <v>829</v>
      </c>
      <c r="J387">
        <v>46</v>
      </c>
      <c r="K387" s="2" t="s">
        <v>1144</v>
      </c>
      <c r="L387">
        <v>4.3</v>
      </c>
      <c r="M387">
        <v>185</v>
      </c>
      <c r="O387" t="s">
        <v>39</v>
      </c>
      <c r="P387" t="s">
        <v>39</v>
      </c>
      <c r="Q387" t="s">
        <v>1155</v>
      </c>
    </row>
    <row r="388" spans="1:17" ht="15.75" x14ac:dyDescent="0.25">
      <c r="A388" s="3" t="str">
        <f>HYPERLINK("https://heavenlyouthouse.com/products/thymes-frasier-fir-gilded-poured-candle-trio-set", "https://heavenlyouthouse.com/products/thymes-frasier-fir-gilded-poured-candle-trio-set")</f>
        <v>https://heavenlyouthouse.com/products/thymes-frasier-fir-gilded-poured-candle-trio-set</v>
      </c>
      <c r="B388" s="3" t="str">
        <f>HYPERLINK("https://heavenlyouthouse.com/products/thymes-frasier-fir-gilded-poured-candle-trio-set", "https://heavenlyouthouse.com/products/thymes-frasier-fir-gilded-poured-candle-trio-set")</f>
        <v>https://heavenlyouthouse.com/products/thymes-frasier-fir-gilded-poured-candle-trio-set</v>
      </c>
      <c r="C388" t="s">
        <v>1156</v>
      </c>
      <c r="D388" t="s">
        <v>109</v>
      </c>
      <c r="E388" s="3" t="str">
        <f>HYPERLINK("https://www.amazon.com/Thymes-Frasier-Wick-Ceramic-Candle/dp/B0140PRH56/ref=sr_1_6?keywords=Thymes+Frasier+Fir+Gilded+Poured+Candle+Trio&amp;qid=1695258729&amp;sr=8-6", "https://www.amazon.com/Thymes-Frasier-Wick-Ceramic-Candle/dp/B0140PRH56/ref=sr_1_6?keywords=Thymes+Frasier+Fir+Gilded+Poured+Candle+Trio&amp;qid=1695258729&amp;sr=8-6")</f>
        <v>https://www.amazon.com/Thymes-Frasier-Wick-Ceramic-Candle/dp/B0140PRH56/ref=sr_1_6?keywords=Thymes+Frasier+Fir+Gilded+Poured+Candle+Trio&amp;qid=1695258729&amp;sr=8-6</v>
      </c>
      <c r="F388" t="s">
        <v>110</v>
      </c>
      <c r="G388" t="e">
        <f ca="1">IMAGE("https://heavenlyouthouse.com/cdn/shop/products/Thymes-Frasier-Fir-Gilded-ceramic-candle-trio-set.jpg?v=1660769749")</f>
        <v>#NAME?</v>
      </c>
      <c r="H388" t="e">
        <f ca="1">IMAGE("https://m.media-amazon.com/images/I/616N8+OCmhL._AC_UL320_.jpg")</f>
        <v>#NAME?</v>
      </c>
      <c r="I388" t="s">
        <v>1157</v>
      </c>
      <c r="J388">
        <v>68</v>
      </c>
      <c r="K388" s="2" t="s">
        <v>1158</v>
      </c>
      <c r="L388">
        <v>4.9000000000000004</v>
      </c>
      <c r="M388">
        <v>59</v>
      </c>
      <c r="O388" t="s">
        <v>39</v>
      </c>
      <c r="P388" t="s">
        <v>39</v>
      </c>
      <c r="Q388" t="s">
        <v>1159</v>
      </c>
    </row>
    <row r="389" spans="1:17" ht="15.75" x14ac:dyDescent="0.25">
      <c r="A389" s="3" t="str">
        <f>HYPERLINK("https://heavenlyouthouse.com/products/lavender-hand-creme", "https://heavenlyouthouse.com/products/lavender-hand-creme")</f>
        <v>https://heavenlyouthouse.com/products/lavender-hand-creme</v>
      </c>
      <c r="B389" s="3" t="str">
        <f>HYPERLINK("https://heavenlyouthouse.com/products/lavender-hand-creme", "https://heavenlyouthouse.com/products/lavender-hand-creme")</f>
        <v>https://heavenlyouthouse.com/products/lavender-hand-creme</v>
      </c>
      <c r="C389" t="s">
        <v>860</v>
      </c>
      <c r="D389" t="s">
        <v>1160</v>
      </c>
      <c r="E389" s="3" t="str">
        <f>HYPERLINK("https://www.amazon.com/Thymes-Goldleaf-Perfumed-Guest-Soaps/dp/B0011MJPGG/ref=sr_1_6?keywords=thymes+lavender+hand+cream&amp;qid=1695258760&amp;sr=8-6", "https://www.amazon.com/Thymes-Goldleaf-Perfumed-Guest-Soaps/dp/B0011MJPGG/ref=sr_1_6?keywords=thymes+lavender+hand+cream&amp;qid=1695258760&amp;sr=8-6")</f>
        <v>https://www.amazon.com/Thymes-Goldleaf-Perfumed-Guest-Soaps/dp/B0011MJPGG/ref=sr_1_6?keywords=thymes+lavender+hand+cream&amp;qid=1695258760&amp;sr=8-6</v>
      </c>
      <c r="F389" t="s">
        <v>1161</v>
      </c>
      <c r="G389" t="e">
        <f ca="1">IMAGE("https://heavenlyouthouse.com/cdn/shop/products/thymeslavenderhandcreme.jpg?v=1609951743")</f>
        <v>#NAME?</v>
      </c>
      <c r="H389" t="e">
        <f ca="1">IMAGE("https://m.media-amazon.com/images/I/61vUGuKcD+L._AC_UL320_.jpg")</f>
        <v>#NAME?</v>
      </c>
      <c r="I389" t="s">
        <v>385</v>
      </c>
      <c r="J389">
        <v>28</v>
      </c>
      <c r="K389" s="2" t="s">
        <v>1158</v>
      </c>
      <c r="L389">
        <v>4.5999999999999996</v>
      </c>
      <c r="M389">
        <v>3441</v>
      </c>
      <c r="O389" t="s">
        <v>39</v>
      </c>
      <c r="P389" t="s">
        <v>39</v>
      </c>
      <c r="Q389" t="s">
        <v>861</v>
      </c>
    </row>
    <row r="390" spans="1:17" ht="15.75" x14ac:dyDescent="0.25">
      <c r="A390" s="3" t="str">
        <f>HYPERLINK("https://heavenlyouthouse.com/products/goldleaf-gardenia-hand-creme", "https://heavenlyouthouse.com/products/goldleaf-gardenia-hand-creme")</f>
        <v>https://heavenlyouthouse.com/products/goldleaf-gardenia-hand-creme</v>
      </c>
      <c r="B390" s="3" t="str">
        <f>HYPERLINK("https://heavenlyouthouse.com/products/goldleaf-gardenia-hand-creme", "https://heavenlyouthouse.com/products/goldleaf-gardenia-hand-creme")</f>
        <v>https://heavenlyouthouse.com/products/goldleaf-gardenia-hand-creme</v>
      </c>
      <c r="C390" t="s">
        <v>820</v>
      </c>
      <c r="D390" t="s">
        <v>716</v>
      </c>
      <c r="E390" s="3" t="str">
        <f>HYPERLINK("https://www.amazon.com/Thymes-Body-Scrub-Goldleaf-Gardenia/dp/B09HLD6STB/ref=sr_1_10?keywords=thymes+goldleaf+gardenia+hand+cream&amp;qid=1695258746&amp;sr=8-10", "https://www.amazon.com/Thymes-Body-Scrub-Goldleaf-Gardenia/dp/B09HLD6STB/ref=sr_1_10?keywords=thymes+goldleaf+gardenia+hand+cream&amp;qid=1695258746&amp;sr=8-10")</f>
        <v>https://www.amazon.com/Thymes-Body-Scrub-Goldleaf-Gardenia/dp/B09HLD6STB/ref=sr_1_10?keywords=thymes+goldleaf+gardenia+hand+cream&amp;qid=1695258746&amp;sr=8-10</v>
      </c>
      <c r="F390" t="s">
        <v>717</v>
      </c>
      <c r="G390" t="e">
        <f ca="1">IMAGE("https://heavenlyouthouse.com/cdn/shop/products/thymesgoldleafgardeniahandcreme90ml.jpg?v=1609953411")</f>
        <v>#NAME?</v>
      </c>
      <c r="H390" t="e">
        <f ca="1">IMAGE("https://m.media-amazon.com/images/I/61IxVU-jzLL._AC_UL320_.jpg")</f>
        <v>#NAME?</v>
      </c>
      <c r="I390" t="s">
        <v>385</v>
      </c>
      <c r="J390">
        <v>28</v>
      </c>
      <c r="K390" s="2" t="s">
        <v>1158</v>
      </c>
      <c r="L390">
        <v>4.5999999999999996</v>
      </c>
      <c r="M390">
        <v>34</v>
      </c>
      <c r="O390" t="s">
        <v>39</v>
      </c>
      <c r="P390" t="s">
        <v>39</v>
      </c>
      <c r="Q390" t="s">
        <v>821</v>
      </c>
    </row>
    <row r="391" spans="1:17" ht="15.75" x14ac:dyDescent="0.25">
      <c r="A391" s="3" t="str">
        <f>HYPERLINK("https://heavenlyouthouse.com/products/thymes-olive-leaf-hand-cream", "https://heavenlyouthouse.com/products/thymes-olive-leaf-hand-cream")</f>
        <v>https://heavenlyouthouse.com/products/thymes-olive-leaf-hand-cream</v>
      </c>
      <c r="B391" s="3" t="str">
        <f>HYPERLINK("https://heavenlyouthouse.com/products/thymes-olive-leaf-hand-cream", "https://heavenlyouthouse.com/products/thymes-olive-leaf-hand-cream")</f>
        <v>https://heavenlyouthouse.com/products/thymes-olive-leaf-hand-cream</v>
      </c>
      <c r="C391" t="s">
        <v>862</v>
      </c>
      <c r="D391" t="s">
        <v>727</v>
      </c>
      <c r="E391" s="3" t="str">
        <f>HYPERLINK("https://www.amazon.com/Thymes-Petite-Perfumed-Cr%C3%A8me-Parent/dp/B073Z3VMFX/ref=sr_1_4?keywords=Thymes+Olive+Leaf+Hand+Cream&amp;qid=1695258780&amp;sr=8-4", "https://www.amazon.com/Thymes-Petite-Perfumed-Cr%C3%A8me-Parent/dp/B073Z3VMFX/ref=sr_1_4?keywords=Thymes+Olive+Leaf+Hand+Cream&amp;qid=1695258780&amp;sr=8-4")</f>
        <v>https://www.amazon.com/Thymes-Petite-Perfumed-Cr%C3%A8me-Parent/dp/B073Z3VMFX/ref=sr_1_4?keywords=Thymes+Olive+Leaf+Hand+Cream&amp;qid=1695258780&amp;sr=8-4</v>
      </c>
      <c r="F391" t="s">
        <v>728</v>
      </c>
      <c r="G391" t="e">
        <f ca="1">IMAGE("https://heavenlyouthouse.com/cdn/shop/products/Olive-Leaf-Hand-Creme.jpg?v=1633124430")</f>
        <v>#NAME?</v>
      </c>
      <c r="H391" t="e">
        <f ca="1">IMAGE("https://m.media-amazon.com/images/I/71C0-WYNaSL._AC_UL320_.jpg")</f>
        <v>#NAME?</v>
      </c>
      <c r="I391" t="s">
        <v>385</v>
      </c>
      <c r="J391">
        <v>28</v>
      </c>
      <c r="K391" s="2" t="s">
        <v>1158</v>
      </c>
      <c r="L391">
        <v>4.5999999999999996</v>
      </c>
      <c r="M391">
        <v>2417</v>
      </c>
      <c r="O391" t="s">
        <v>39</v>
      </c>
      <c r="P391" t="s">
        <v>863</v>
      </c>
      <c r="Q391" t="s">
        <v>864</v>
      </c>
    </row>
    <row r="392" spans="1:17" ht="15.75" x14ac:dyDescent="0.25">
      <c r="A392" s="3" t="str">
        <f>HYPERLINK("https://heavenlyouthouse.com/products/pudus-classic-slipper-socks-hockey-red", "https://heavenlyouthouse.com/products/pudus-classic-slipper-socks-hockey-red")</f>
        <v>https://heavenlyouthouse.com/products/pudus-classic-slipper-socks-hockey-red</v>
      </c>
      <c r="B392" s="3" t="str">
        <f>HYPERLINK("https://heavenlyouthouse.com/products/pudus-classic-slipper-socks-hockey-red", "https://heavenlyouthouse.com/products/pudus-classic-slipper-socks-hockey-red")</f>
        <v>https://heavenlyouthouse.com/products/pudus-classic-slipper-socks-hockey-red</v>
      </c>
      <c r="C392" t="s">
        <v>1108</v>
      </c>
      <c r="D392" t="s">
        <v>1162</v>
      </c>
      <c r="E392" s="3" t="str">
        <f>HYPERLINK("https://www.amazon.com/southwest-regular-classic-slipper-grippers/dp/B07C5BCCQR/ref=sr_1_7?keywords=Pudus+Classic+Slipper+Socks+Hockey+Red&amp;qid=1695258648&amp;sr=8-7", "https://www.amazon.com/southwest-regular-classic-slipper-grippers/dp/B07C5BCCQR/ref=sr_1_7?keywords=Pudus+Classic+Slipper+Socks+Hockey+Red&amp;qid=1695258648&amp;sr=8-7")</f>
        <v>https://www.amazon.com/southwest-regular-classic-slipper-grippers/dp/B07C5BCCQR/ref=sr_1_7?keywords=Pudus+Classic+Slipper+Socks+Hockey+Red&amp;qid=1695258648&amp;sr=8-7</v>
      </c>
      <c r="F392" t="s">
        <v>1163</v>
      </c>
      <c r="G392" t="e">
        <f ca="1">IMAGE("https://heavenlyouthouse.com/cdn/shop/products/pudusclassicslippersockshockeyred.jpg?v=1604524456")</f>
        <v>#NAME?</v>
      </c>
      <c r="H392" t="e">
        <f ca="1">IMAGE("https://m.media-amazon.com/images/I/61F0ZNIT0AL._AC_UL320_.jpg")</f>
        <v>#NAME?</v>
      </c>
      <c r="I392" t="s">
        <v>117</v>
      </c>
      <c r="J392">
        <v>24</v>
      </c>
      <c r="K392" s="2" t="s">
        <v>1164</v>
      </c>
      <c r="L392">
        <v>5</v>
      </c>
      <c r="M392">
        <v>2</v>
      </c>
      <c r="O392" t="s">
        <v>39</v>
      </c>
      <c r="P392" t="s">
        <v>286</v>
      </c>
      <c r="Q392" t="s">
        <v>1111</v>
      </c>
    </row>
    <row r="393" spans="1:17" ht="15.75" x14ac:dyDescent="0.25">
      <c r="A393" s="3" t="str">
        <f>HYPERLINK("https://heavenlyouthouse.com/products/vanilla-coconut-organic-sugar-scrub", "https://heavenlyouthouse.com/products/vanilla-coconut-organic-sugar-scrub")</f>
        <v>https://heavenlyouthouse.com/products/vanilla-coconut-organic-sugar-scrub</v>
      </c>
      <c r="B393" s="3" t="str">
        <f>HYPERLINK("https://heavenlyouthouse.com/products/vanilla-coconut-organic-sugar-scrub", "https://heavenlyouthouse.com/products/vanilla-coconut-organic-sugar-scrub")</f>
        <v>https://heavenlyouthouse.com/products/vanilla-coconut-organic-sugar-scrub</v>
      </c>
      <c r="C393" t="s">
        <v>915</v>
      </c>
      <c r="D393" t="s">
        <v>1165</v>
      </c>
      <c r="E393" s="3" t="str">
        <f>HYPERLINK("https://www.amazon.com/Organic-Body-Scrub-Exfoliating-Exfoliator/dp/B09233TW6F/ref=sr_1_5?keywords=Vanilla+Coconut+Organic+Sugar+Scrub&amp;qid=1695258822&amp;sr=8-5", "https://www.amazon.com/Organic-Body-Scrub-Exfoliating-Exfoliator/dp/B09233TW6F/ref=sr_1_5?keywords=Vanilla+Coconut+Organic+Sugar+Scrub&amp;qid=1695258822&amp;sr=8-5")</f>
        <v>https://www.amazon.com/Organic-Body-Scrub-Exfoliating-Exfoliator/dp/B09233TW6F/ref=sr_1_5?keywords=Vanilla+Coconut+Organic+Sugar+Scrub&amp;qid=1695258822&amp;sr=8-5</v>
      </c>
      <c r="F393" t="s">
        <v>1166</v>
      </c>
      <c r="G393" t="e">
        <f ca="1">IMAGE("https://heavenlyouthouse.com/cdn/shop/products/Scrub-Sugar-VanCo_2000x_f35c4b3f-b159-4b5a-8739-02941369e3ab.jpg?v=1591303172")</f>
        <v>#NAME?</v>
      </c>
      <c r="H393" t="e">
        <f ca="1">IMAGE("https://m.media-amazon.com/images/I/71OvorcrIKL._AC_UL320_.jpg")</f>
        <v>#NAME?</v>
      </c>
      <c r="I393" t="s">
        <v>918</v>
      </c>
      <c r="J393">
        <v>24.99</v>
      </c>
      <c r="K393" s="2" t="s">
        <v>1164</v>
      </c>
      <c r="L393">
        <v>4.4000000000000004</v>
      </c>
      <c r="M393">
        <v>821</v>
      </c>
      <c r="O393" t="s">
        <v>39</v>
      </c>
      <c r="P393" t="s">
        <v>39</v>
      </c>
      <c r="Q393" t="s">
        <v>919</v>
      </c>
    </row>
    <row r="394" spans="1:17" ht="15.75" x14ac:dyDescent="0.25">
      <c r="A394" s="3" t="str">
        <f>HYPERLINK("https://heavenlyouthouse.com/products/lavender-hand-lotion", "https://heavenlyouthouse.com/products/lavender-hand-lotion")</f>
        <v>https://heavenlyouthouse.com/products/lavender-hand-lotion</v>
      </c>
      <c r="B394" s="3" t="str">
        <f>HYPERLINK("https://heavenlyouthouse.com/products/lavender-hand-lotion", "https://heavenlyouthouse.com/products/lavender-hand-lotion")</f>
        <v>https://heavenlyouthouse.com/products/lavender-hand-lotion</v>
      </c>
      <c r="C394" t="s">
        <v>623</v>
      </c>
      <c r="D394" t="s">
        <v>1167</v>
      </c>
      <c r="E394" s="3" t="str">
        <f>HYPERLINK("https://www.amazon.com/ILLUME-Elemental-Collection-Cypress-Lavender/dp/B09TMXLXH2/ref=sr_1_4?keywords=Thymes+Lavender+Hand+Lotion&amp;qid=1695258772&amp;sr=8-4", "https://www.amazon.com/ILLUME-Elemental-Collection-Cypress-Lavender/dp/B09TMXLXH2/ref=sr_1_4?keywords=Thymes+Lavender+Hand+Lotion&amp;qid=1695258772&amp;sr=8-4")</f>
        <v>https://www.amazon.com/ILLUME-Elemental-Collection-Cypress-Lavender/dp/B09TMXLXH2/ref=sr_1_4?keywords=Thymes+Lavender+Hand+Lotion&amp;qid=1695258772&amp;sr=8-4</v>
      </c>
      <c r="F394" t="s">
        <v>1168</v>
      </c>
      <c r="G394" t="e">
        <f ca="1">IMAGE("https://heavenlyouthouse.com/cdn/shop/products/thymes-lavender-hand-lotion.jpg?v=1681319126")</f>
        <v>#NAME?</v>
      </c>
      <c r="H394" t="e">
        <f ca="1">IMAGE("https://m.media-amazon.com/images/I/51SWW7M4cVL._AC_UL320_.jpg")</f>
        <v>#NAME?</v>
      </c>
      <c r="I394" t="s">
        <v>86</v>
      </c>
      <c r="J394">
        <v>19.989999999999998</v>
      </c>
      <c r="K394" s="2" t="s">
        <v>1169</v>
      </c>
      <c r="L394">
        <v>4.5</v>
      </c>
      <c r="M394">
        <v>2</v>
      </c>
      <c r="O394" t="s">
        <v>39</v>
      </c>
      <c r="P394" t="s">
        <v>39</v>
      </c>
      <c r="Q394" t="s">
        <v>626</v>
      </c>
    </row>
    <row r="395" spans="1:17" ht="15.75" x14ac:dyDescent="0.25">
      <c r="A395" s="3" t="str">
        <f>HYPERLINK("https://heavenlyouthouse.com/products/thymes-frasier-fir-gilded-ceramic-medium-candle", "https://heavenlyouthouse.com/products/thymes-frasier-fir-gilded-ceramic-medium-candle")</f>
        <v>https://heavenlyouthouse.com/products/thymes-frasier-fir-gilded-ceramic-medium-candle</v>
      </c>
      <c r="B395" s="3" t="str">
        <f>HYPERLINK("https://heavenlyouthouse.com/products/thymes-frasier-fir-gilded-ceramic-medium-candle", "https://heavenlyouthouse.com/products/thymes-frasier-fir-gilded-ceramic-medium-candle")</f>
        <v>https://heavenlyouthouse.com/products/thymes-frasier-fir-gilded-ceramic-medium-candle</v>
      </c>
      <c r="C395" t="s">
        <v>958</v>
      </c>
      <c r="D395" t="s">
        <v>210</v>
      </c>
      <c r="E395" s="3" t="str">
        <f>HYPERLINK("https://www.amazon.com/Thymes-Frasier-Poured-3-Wick-Candle/dp/B076DMLBFR/ref=sr_1_3?keywords=Thymes+Frasier+Fir+Gilded+Ceramic+Medium+Candle&amp;qid=1695258728&amp;sr=8-3", "https://www.amazon.com/Thymes-Frasier-Poured-3-Wick-Candle/dp/B076DMLBFR/ref=sr_1_3?keywords=Thymes+Frasier+Fir+Gilded+Ceramic+Medium+Candle&amp;qid=1695258728&amp;sr=8-3")</f>
        <v>https://www.amazon.com/Thymes-Frasier-Poured-3-Wick-Candle/dp/B076DMLBFR/ref=sr_1_3?keywords=Thymes+Frasier+Fir+Gilded+Ceramic+Medium+Candle&amp;qid=1695258728&amp;sr=8-3</v>
      </c>
      <c r="F395" t="s">
        <v>211</v>
      </c>
      <c r="G395" t="e">
        <f ca="1">IMAGE("https://heavenlyouthouse.com/cdn/shop/products/thymes-frasier-gilded-ceramic-candle-medium.jpg?v=1630015584")</f>
        <v>#NAME?</v>
      </c>
      <c r="H395" t="e">
        <f ca="1">IMAGE("https://m.media-amazon.com/images/I/61Q5s0MJ6uL._AC_UL320_.jpg")</f>
        <v>#NAME?</v>
      </c>
      <c r="I395" t="s">
        <v>959</v>
      </c>
      <c r="J395">
        <v>60</v>
      </c>
      <c r="K395" s="2" t="s">
        <v>1169</v>
      </c>
      <c r="L395">
        <v>4.5999999999999996</v>
      </c>
      <c r="M395">
        <v>61</v>
      </c>
      <c r="O395" t="s">
        <v>39</v>
      </c>
      <c r="P395" t="s">
        <v>960</v>
      </c>
      <c r="Q395" t="s">
        <v>961</v>
      </c>
    </row>
    <row r="396" spans="1:17" ht="15.75" x14ac:dyDescent="0.25">
      <c r="A396" s="3" t="str">
        <f>HYPERLINK("https://heavenlyouthouse.com/products/eucalyptus-hand-wash", "https://heavenlyouthouse.com/products/eucalyptus-hand-wash")</f>
        <v>https://heavenlyouthouse.com/products/eucalyptus-hand-wash</v>
      </c>
      <c r="B396" s="3" t="str">
        <f>HYPERLINK("https://heavenlyouthouse.com/products/eucalyptus-hand-wash", "https://heavenlyouthouse.com/products/eucalyptus-hand-wash")</f>
        <v>https://heavenlyouthouse.com/products/eucalyptus-hand-wash</v>
      </c>
      <c r="C396" t="s">
        <v>1042</v>
      </c>
      <c r="D396" t="s">
        <v>1170</v>
      </c>
      <c r="E396" s="3" t="str">
        <f>HYPERLINK("https://www.amazon.com/ROSLYN-Aromatic-Scented-Liquid-Eucalyptus/dp/B0BF5D4KZ9/ref=sr_1_10?keywords=Thymes+Eucalyptus+Hand+Wash&amp;qid=1695258722&amp;sr=8-10", "https://www.amazon.com/ROSLYN-Aromatic-Scented-Liquid-Eucalyptus/dp/B0BF5D4KZ9/ref=sr_1_10?keywords=Thymes+Eucalyptus+Hand+Wash&amp;qid=1695258722&amp;sr=8-10")</f>
        <v>https://www.amazon.com/ROSLYN-Aromatic-Scented-Liquid-Eucalyptus/dp/B0BF5D4KZ9/ref=sr_1_10?keywords=Thymes+Eucalyptus+Hand+Wash&amp;qid=1695258722&amp;sr=8-10</v>
      </c>
      <c r="F396" t="s">
        <v>1171</v>
      </c>
      <c r="G396" t="e">
        <f ca="1">IMAGE("https://heavenlyouthouse.com/cdn/shop/products/thymes-eucalyptus-hand-wash_e930a19f-ee15-49e9-9caf-87b16b1cff84.png?v=1652276810")</f>
        <v>#NAME?</v>
      </c>
      <c r="H396" t="e">
        <f ca="1">IMAGE("https://m.media-amazon.com/images/I/41yEJfLhxFL._AC_UL320_.jpg")</f>
        <v>#NAME?</v>
      </c>
      <c r="I396" t="s">
        <v>86</v>
      </c>
      <c r="J396">
        <v>19.95</v>
      </c>
      <c r="K396" s="2" t="s">
        <v>1169</v>
      </c>
      <c r="L396">
        <v>4.3</v>
      </c>
      <c r="M396">
        <v>39</v>
      </c>
      <c r="O396" t="s">
        <v>39</v>
      </c>
      <c r="P396" t="s">
        <v>1045</v>
      </c>
      <c r="Q396" t="s">
        <v>1046</v>
      </c>
    </row>
    <row r="397" spans="1:17" ht="15.75" x14ac:dyDescent="0.25">
      <c r="A397" s="3" t="str">
        <f>HYPERLINK("https://heavenlyouthouse.com/products/eucalyptus-bar-soap", "https://heavenlyouthouse.com/products/eucalyptus-bar-soap")</f>
        <v>https://heavenlyouthouse.com/products/eucalyptus-bar-soap</v>
      </c>
      <c r="B397" s="3" t="str">
        <f>HYPERLINK("https://heavenlyouthouse.com/products/eucalyptus-bar-soap", "https://heavenlyouthouse.com/products/eucalyptus-bar-soap")</f>
        <v>https://heavenlyouthouse.com/products/eucalyptus-bar-soap</v>
      </c>
      <c r="C397" t="s">
        <v>431</v>
      </c>
      <c r="D397" t="s">
        <v>1172</v>
      </c>
      <c r="E397" s="3" t="str">
        <f>HYPERLINK("https://www.amazon.com/Eucalyptus-Peppermint-natural-handmade-essential/dp/B07NCQ2LP5/ref=sr_1_4?keywords=Thymes+Eucalyptus+Bar+Soap&amp;qid=1695258725&amp;sr=8-4", "https://www.amazon.com/Eucalyptus-Peppermint-natural-handmade-essential/dp/B07NCQ2LP5/ref=sr_1_4?keywords=Thymes+Eucalyptus+Bar+Soap&amp;qid=1695258725&amp;sr=8-4")</f>
        <v>https://www.amazon.com/Eucalyptus-Peppermint-natural-handmade-essential/dp/B07NCQ2LP5/ref=sr_1_4?keywords=Thymes+Eucalyptus+Bar+Soap&amp;qid=1695258725&amp;sr=8-4</v>
      </c>
      <c r="F397" t="s">
        <v>1173</v>
      </c>
      <c r="G397" t="e">
        <f ca="1">IMAGE("https://heavenlyouthouse.com/cdn/shop/products/thymes-eucalyptus-bar-soap.jpg?v=1628693255")</f>
        <v>#NAME?</v>
      </c>
      <c r="H397" t="e">
        <f ca="1">IMAGE("https://m.media-amazon.com/images/I/61ZwZv3KrtL._AC_UL320_.jpg")</f>
        <v>#NAME?</v>
      </c>
      <c r="I397" t="s">
        <v>98</v>
      </c>
      <c r="J397">
        <v>17.95</v>
      </c>
      <c r="K397" s="2" t="s">
        <v>1169</v>
      </c>
      <c r="L397">
        <v>4.4000000000000004</v>
      </c>
      <c r="M397">
        <v>281</v>
      </c>
      <c r="O397" t="s">
        <v>39</v>
      </c>
      <c r="P397" t="s">
        <v>39</v>
      </c>
      <c r="Q397" t="s">
        <v>434</v>
      </c>
    </row>
    <row r="398" spans="1:17" ht="15.75" x14ac:dyDescent="0.25">
      <c r="A398" s="3" t="str">
        <f>HYPERLINK("https://heavenlyouthouse.com/products/copy-of-me-time-hand-rescue?variant=32318278107225", "https://heavenlyouthouse.com/products/copy-of-me-time-hand-rescue?variant=32318278107225")</f>
        <v>https://heavenlyouthouse.com/products/copy-of-me-time-hand-rescue?variant=32318278107225</v>
      </c>
      <c r="B398" s="3" t="str">
        <f>HYPERLINK("https://heavenlyouthouse.com/products/copy-of-me-time-hand-rescue", "https://heavenlyouthouse.com/products/copy-of-me-time-hand-rescue")</f>
        <v>https://heavenlyouthouse.com/products/copy-of-me-time-hand-rescue</v>
      </c>
      <c r="C398" t="s">
        <v>438</v>
      </c>
      <c r="D398" t="s">
        <v>488</v>
      </c>
      <c r="E398" s="3" t="str">
        <f>HYPERLINK("https://www.amazon.com/Walton-Wood-Farm-Rescue-Sachet/dp/B07X6JL4B3/ref=sr_1_5?keywords=Week+From+Hell+Hand+Rescue&amp;qid=1695258818&amp;sr=8-5", "https://www.amazon.com/Walton-Wood-Farm-Rescue-Sachet/dp/B07X6JL4B3/ref=sr_1_5?keywords=Week+From+Hell+Hand+Rescue&amp;qid=1695258818&amp;sr=8-5")</f>
        <v>https://www.amazon.com/Walton-Wood-Farm-Rescue-Sachet/dp/B07X6JL4B3/ref=sr_1_5?keywords=Week+From+Hell+Hand+Rescue&amp;qid=1695258818&amp;sr=8-5</v>
      </c>
      <c r="F398" t="s">
        <v>489</v>
      </c>
      <c r="G398" t="e">
        <f ca="1">IMAGE("https://heavenlyouthouse.com/cdn/shop/products/weekfromhellhandrescue.jpg?v=1608166634")</f>
        <v>#NAME?</v>
      </c>
      <c r="H398" t="e">
        <f ca="1">IMAGE("https://m.media-amazon.com/images/I/71+gCCAXSmL._AC_UL320_.jpg")</f>
        <v>#NAME?</v>
      </c>
      <c r="I398" t="s">
        <v>439</v>
      </c>
      <c r="J398">
        <v>16.989999999999998</v>
      </c>
      <c r="K398" s="2" t="s">
        <v>1169</v>
      </c>
      <c r="L398">
        <v>3.6</v>
      </c>
      <c r="M398">
        <v>12</v>
      </c>
      <c r="O398" t="s">
        <v>136</v>
      </c>
      <c r="P398" t="s">
        <v>39</v>
      </c>
      <c r="Q398" t="s">
        <v>440</v>
      </c>
    </row>
    <row r="399" spans="1:17" ht="15.75" x14ac:dyDescent="0.25">
      <c r="A399" s="3" t="str">
        <f>HYPERLINK("https://heavenlyouthouse.com/products/tool-man-fathers-day-card", "https://heavenlyouthouse.com/products/tool-man-fathers-day-card")</f>
        <v>https://heavenlyouthouse.com/products/tool-man-fathers-day-card</v>
      </c>
      <c r="B399" s="3" t="str">
        <f>HYPERLINK("https://heavenlyouthouse.com/products/tool-man-fathers-day-card", "https://heavenlyouthouse.com/products/tool-man-fathers-day-card")</f>
        <v>https://heavenlyouthouse.com/products/tool-man-fathers-day-card</v>
      </c>
      <c r="C399" t="s">
        <v>867</v>
      </c>
      <c r="D399" t="s">
        <v>1174</v>
      </c>
      <c r="E399" s="3" t="str">
        <f>HYPERLINK("https://www.amazon.com/Giiffu-Fathers-Handcrafted-Greeting-Grandfather/dp/B09YMK4KSB/ref=sr_1_5?keywords=Tool+Man+Fathers+Day+Card&amp;qid=1695258801&amp;sr=8-5", "https://www.amazon.com/Giiffu-Fathers-Handcrafted-Greeting-Grandfather/dp/B09YMK4KSB/ref=sr_1_5?keywords=Tool+Man+Fathers+Day+Card&amp;qid=1695258801&amp;sr=8-5")</f>
        <v>https://www.amazon.com/Giiffu-Fathers-Handcrafted-Greeting-Grandfather/dp/B09YMK4KSB/ref=sr_1_5?keywords=Tool+Man+Fathers+Day+Card&amp;qid=1695258801&amp;sr=8-5</v>
      </c>
      <c r="F399" t="s">
        <v>1175</v>
      </c>
      <c r="G399" t="e">
        <f ca="1">IMAGE("https://heavenlyouthouse.com/cdn/shop/products/605030123271.jpg?v=1621620239")</f>
        <v>#NAME?</v>
      </c>
      <c r="H399" t="e">
        <f ca="1">IMAGE("https://m.media-amazon.com/images/I/71lv+9suTzL._AC_UL320_.jpg")</f>
        <v>#NAME?</v>
      </c>
      <c r="I399" t="s">
        <v>870</v>
      </c>
      <c r="J399">
        <v>8.99</v>
      </c>
      <c r="K399" s="2" t="s">
        <v>1169</v>
      </c>
      <c r="L399">
        <v>4.9000000000000004</v>
      </c>
      <c r="M399">
        <v>27</v>
      </c>
      <c r="O399" t="s">
        <v>39</v>
      </c>
      <c r="P399" t="s">
        <v>39</v>
      </c>
      <c r="Q399" t="s">
        <v>872</v>
      </c>
    </row>
    <row r="400" spans="1:17" ht="15.75" x14ac:dyDescent="0.25">
      <c r="A400" s="3" t="str">
        <f>HYPERLINK("https://heavenlyouthouse.com/products/thymes-eucalyptus-body-scrub", "https://heavenlyouthouse.com/products/thymes-eucalyptus-body-scrub")</f>
        <v>https://heavenlyouthouse.com/products/thymes-eucalyptus-body-scrub</v>
      </c>
      <c r="B400" s="3" t="str">
        <f>HYPERLINK("https://heavenlyouthouse.com/products/thymes-eucalyptus-body-scrub", "https://heavenlyouthouse.com/products/thymes-eucalyptus-body-scrub")</f>
        <v>https://heavenlyouthouse.com/products/thymes-eucalyptus-body-scrub</v>
      </c>
      <c r="C400" t="s">
        <v>1176</v>
      </c>
      <c r="D400" t="s">
        <v>1177</v>
      </c>
      <c r="E400" s="3" t="str">
        <f>HYPERLINK("https://www.amazon.com/Aromatherapy-Eucalyptus-Spearmint-Sugar-Scrub/dp/B0BTNGDBXG/ref=sr_1_10?keywords=Thymes+Eucalyptus+Body+Scrub&amp;qid=1695258727&amp;sr=8-10", "https://www.amazon.com/Aromatherapy-Eucalyptus-Spearmint-Sugar-Scrub/dp/B0BTNGDBXG/ref=sr_1_10?keywords=Thymes+Eucalyptus+Body+Scrub&amp;qid=1695258727&amp;sr=8-10")</f>
        <v>https://www.amazon.com/Aromatherapy-Eucalyptus-Spearmint-Sugar-Scrub/dp/B0BTNGDBXG/ref=sr_1_10?keywords=Thymes+Eucalyptus+Body+Scrub&amp;qid=1695258727&amp;sr=8-10</v>
      </c>
      <c r="F400" t="s">
        <v>1178</v>
      </c>
      <c r="G400" t="e">
        <f ca="1">IMAGE("https://heavenlyouthouse.com/cdn/shop/products/thymes-eucalyptus-body-scrub.jpg?v=1630620279")</f>
        <v>#NAME?</v>
      </c>
      <c r="H400" t="e">
        <f ca="1">IMAGE("https://m.media-amazon.com/images/I/21CoC8O1saL._AC_UL320_.jpg")</f>
        <v>#NAME?</v>
      </c>
      <c r="I400" t="s">
        <v>1179</v>
      </c>
      <c r="J400">
        <v>33.979999999999997</v>
      </c>
      <c r="K400" s="2" t="s">
        <v>1169</v>
      </c>
      <c r="L400">
        <v>3</v>
      </c>
      <c r="M400">
        <v>1</v>
      </c>
      <c r="O400" t="s">
        <v>39</v>
      </c>
      <c r="P400" t="s">
        <v>39</v>
      </c>
      <c r="Q400" t="s">
        <v>1180</v>
      </c>
    </row>
    <row r="401" spans="1:17" ht="15.75" x14ac:dyDescent="0.25">
      <c r="A401" s="3" t="str">
        <f>HYPERLINK("https://heavenlyouthouse.com/products/so-grateful-mothers-day-card", "https://heavenlyouthouse.com/products/so-grateful-mothers-day-card")</f>
        <v>https://heavenlyouthouse.com/products/so-grateful-mothers-day-card</v>
      </c>
      <c r="B401" s="3" t="str">
        <f>HYPERLINK("https://heavenlyouthouse.com/products/so-grateful-mothers-day-card", "https://heavenlyouthouse.com/products/so-grateful-mothers-day-card")</f>
        <v>https://heavenlyouthouse.com/products/so-grateful-mothers-day-card</v>
      </c>
      <c r="C401" t="s">
        <v>616</v>
      </c>
      <c r="D401" t="s">
        <v>1181</v>
      </c>
      <c r="E401" s="3" t="str">
        <f>HYPERLINK("https://www.amazon.com/Hallmark-Wonder-Mothers-Bridge-Grateful/dp/B07M7LD6G7/ref=sr_1_1?keywords=So+Grateful+Mother%27s+Day+Card&amp;qid=1695258692&amp;sr=8-1", "https://www.amazon.com/Hallmark-Wonder-Mothers-Bridge-Grateful/dp/B07M7LD6G7/ref=sr_1_1?keywords=So+Grateful+Mother%27s+Day+Card&amp;qid=1695258692&amp;sr=8-1")</f>
        <v>https://www.amazon.com/Hallmark-Wonder-Mothers-Bridge-Grateful/dp/B07M7LD6G7/ref=sr_1_1?keywords=So+Grateful+Mother%27s+Day+Card&amp;qid=1695258692&amp;sr=8-1</v>
      </c>
      <c r="F401" t="s">
        <v>1182</v>
      </c>
      <c r="G401" t="e">
        <f ca="1">IMAGE("https://heavenlyouthouse.com/cdn/shop/products/605030156378papyrusfloralmother_sdaycard.jpg?v=1619455182")</f>
        <v>#NAME?</v>
      </c>
      <c r="H401" t="e">
        <f ca="1">IMAGE("https://m.media-amazon.com/images/I/81lhhMbsR6L._AC_UL320_.jpg")</f>
        <v>#NAME?</v>
      </c>
      <c r="I401" t="s">
        <v>454</v>
      </c>
      <c r="J401">
        <v>8.01</v>
      </c>
      <c r="K401" s="2" t="s">
        <v>1183</v>
      </c>
      <c r="L401">
        <v>4.7</v>
      </c>
      <c r="M401">
        <v>167</v>
      </c>
      <c r="O401" t="s">
        <v>39</v>
      </c>
      <c r="P401" t="s">
        <v>39</v>
      </c>
      <c r="Q401" t="s">
        <v>620</v>
      </c>
    </row>
    <row r="402" spans="1:17" ht="15.75" x14ac:dyDescent="0.25">
      <c r="A402" s="3" t="str">
        <f>HYPERLINK("https://heavenlyouthouse.com/products/eucalyptus-reed-diffuser-refill", "https://heavenlyouthouse.com/products/eucalyptus-reed-diffuser-refill")</f>
        <v>https://heavenlyouthouse.com/products/eucalyptus-reed-diffuser-refill</v>
      </c>
      <c r="B402" s="3" t="str">
        <f>HYPERLINK("https://heavenlyouthouse.com/products/eucalyptus-reed-diffuser-refill", "https://heavenlyouthouse.com/products/eucalyptus-reed-diffuser-refill")</f>
        <v>https://heavenlyouthouse.com/products/eucalyptus-reed-diffuser-refill</v>
      </c>
      <c r="C402" t="s">
        <v>1184</v>
      </c>
      <c r="D402" t="s">
        <v>1185</v>
      </c>
      <c r="E402" s="3" t="str">
        <f>HYPERLINK("https://www.amazon.com/NEST-Eucalyptus-Diffuser-Liquid-Refill/dp/B0BG3M6WX7/ref=sr_1_7?keywords=Thymes+Eucalyptus+Reed+Diffuser+Refill&amp;qid=1695258717&amp;sr=8-7", "https://www.amazon.com/NEST-Eucalyptus-Diffuser-Liquid-Refill/dp/B0BG3M6WX7/ref=sr_1_7?keywords=Thymes+Eucalyptus+Reed+Diffuser+Refill&amp;qid=1695258717&amp;sr=8-7")</f>
        <v>https://www.amazon.com/NEST-Eucalyptus-Diffuser-Liquid-Refill/dp/B0BG3M6WX7/ref=sr_1_7?keywords=Thymes+Eucalyptus+Reed+Diffuser+Refill&amp;qid=1695258717&amp;sr=8-7</v>
      </c>
      <c r="F402" t="s">
        <v>1186</v>
      </c>
      <c r="G402" t="e">
        <f ca="1">IMAGE("https://heavenlyouthouse.com/cdn/shop/products/ThymesEucalyptusreeddiffuseroilrefill.jpg?v=1616434961")</f>
        <v>#NAME?</v>
      </c>
      <c r="H402" t="e">
        <f ca="1">IMAGE("https://m.media-amazon.com/images/I/71ZRwmfa9hL._AC_UL320_.jpg")</f>
        <v>#NAME?</v>
      </c>
      <c r="I402" t="s">
        <v>829</v>
      </c>
      <c r="J402">
        <v>44</v>
      </c>
      <c r="K402" s="2" t="s">
        <v>1183</v>
      </c>
      <c r="L402">
        <v>4.2</v>
      </c>
      <c r="M402">
        <v>51</v>
      </c>
      <c r="O402" t="s">
        <v>39</v>
      </c>
      <c r="P402" t="s">
        <v>39</v>
      </c>
      <c r="Q402" t="s">
        <v>1187</v>
      </c>
    </row>
    <row r="403" spans="1:17" ht="15.75" x14ac:dyDescent="0.25">
      <c r="A403" s="3" t="str">
        <f>HYPERLINK("https://heavenlyouthouse.com/products/lavender-reed-diffuser-refill", "https://heavenlyouthouse.com/products/lavender-reed-diffuser-refill")</f>
        <v>https://heavenlyouthouse.com/products/lavender-reed-diffuser-refill</v>
      </c>
      <c r="B403" s="3" t="str">
        <f>HYPERLINK("https://heavenlyouthouse.com/products/lavender-reed-diffuser-refill", "https://heavenlyouthouse.com/products/lavender-reed-diffuser-refill")</f>
        <v>https://heavenlyouthouse.com/products/lavender-reed-diffuser-refill</v>
      </c>
      <c r="C403" t="s">
        <v>1188</v>
      </c>
      <c r="D403" t="s">
        <v>1189</v>
      </c>
      <c r="E403" s="3" t="str">
        <f>HYPERLINK("https://www.amazon.com/Reed-Diffuser-Refill-Lavender-Essential/dp/B0933HFFCR/ref=sr_1_9?keywords=Thymes+Lavender+Reed+Diffuser+Refill&amp;qid=1695258763&amp;sr=8-9", "https://www.amazon.com/Reed-Diffuser-Refill-Lavender-Essential/dp/B0933HFFCR/ref=sr_1_9?keywords=Thymes+Lavender+Reed+Diffuser+Refill&amp;qid=1695258763&amp;sr=8-9")</f>
        <v>https://www.amazon.com/Reed-Diffuser-Refill-Lavender-Essential/dp/B0933HFFCR/ref=sr_1_9?keywords=Thymes+Lavender+Reed+Diffuser+Refill&amp;qid=1695258763&amp;sr=8-9</v>
      </c>
      <c r="F403" t="s">
        <v>1190</v>
      </c>
      <c r="G403" t="e">
        <f ca="1">IMAGE("https://heavenlyouthouse.com/cdn/shop/products/thymeslavenderreeddiffuserrefill.jpg?v=1606419251")</f>
        <v>#NAME?</v>
      </c>
      <c r="H403" t="e">
        <f ca="1">IMAGE("https://m.media-amazon.com/images/I/71YCymaKfdL._AC_UL320_.jpg")</f>
        <v>#NAME?</v>
      </c>
      <c r="I403" t="s">
        <v>829</v>
      </c>
      <c r="J403">
        <v>43.99</v>
      </c>
      <c r="K403" s="2" t="s">
        <v>1183</v>
      </c>
      <c r="L403">
        <v>4.2</v>
      </c>
      <c r="M403">
        <v>96</v>
      </c>
      <c r="O403" t="s">
        <v>39</v>
      </c>
      <c r="P403" t="s">
        <v>39</v>
      </c>
      <c r="Q403" t="s">
        <v>1191</v>
      </c>
    </row>
    <row r="404" spans="1:17" ht="15.75" x14ac:dyDescent="0.25">
      <c r="A404" s="3" t="str">
        <f>HYPERLINK("https://heavenlyouthouse.com/products/so-grateful-mothers-day-card", "https://heavenlyouthouse.com/products/so-grateful-mothers-day-card")</f>
        <v>https://heavenlyouthouse.com/products/so-grateful-mothers-day-card</v>
      </c>
      <c r="B404" s="3" t="str">
        <f>HYPERLINK("https://heavenlyouthouse.com/products/so-grateful-mothers-day-card", "https://heavenlyouthouse.com/products/so-grateful-mothers-day-card")</f>
        <v>https://heavenlyouthouse.com/products/so-grateful-mothers-day-card</v>
      </c>
      <c r="C404" t="s">
        <v>616</v>
      </c>
      <c r="D404" t="s">
        <v>1192</v>
      </c>
      <c r="E404" s="3" t="str">
        <f>HYPERLINK("https://www.amazon.com/Blue-Mountain-Arts-Pocket-Sized-Christmas/dp/B074WCM9N4/ref=sr_1_4?keywords=So+Grateful+Mother%27s+Day+Card&amp;qid=1695258692&amp;sr=8-4", "https://www.amazon.com/Blue-Mountain-Arts-Pocket-Sized-Christmas/dp/B074WCM9N4/ref=sr_1_4?keywords=So+Grateful+Mother%27s+Day+Card&amp;qid=1695258692&amp;sr=8-4")</f>
        <v>https://www.amazon.com/Blue-Mountain-Arts-Pocket-Sized-Christmas/dp/B074WCM9N4/ref=sr_1_4?keywords=So+Grateful+Mother%27s+Day+Card&amp;qid=1695258692&amp;sr=8-4</v>
      </c>
      <c r="F404" t="s">
        <v>1193</v>
      </c>
      <c r="G404" t="e">
        <f ca="1">IMAGE("https://heavenlyouthouse.com/cdn/shop/products/605030156378papyrusfloralmother_sdaycard.jpg?v=1619455182")</f>
        <v>#NAME?</v>
      </c>
      <c r="H404" t="e">
        <f ca="1">IMAGE("https://m.media-amazon.com/images/I/81rVGh8BdAL._AC_UL320_.jpg")</f>
        <v>#NAME?</v>
      </c>
      <c r="I404" t="s">
        <v>454</v>
      </c>
      <c r="J404">
        <v>7.95</v>
      </c>
      <c r="K404" s="2" t="s">
        <v>1183</v>
      </c>
      <c r="L404">
        <v>4.5</v>
      </c>
      <c r="M404">
        <v>9</v>
      </c>
      <c r="O404" t="s">
        <v>39</v>
      </c>
      <c r="P404" t="s">
        <v>39</v>
      </c>
      <c r="Q404" t="s">
        <v>620</v>
      </c>
    </row>
    <row r="405" spans="1:17" ht="15.75" x14ac:dyDescent="0.25">
      <c r="A405" s="3" t="str">
        <f>HYPERLINK("https://heavenlyouthouse.com/products/vanilla-coconut-bubble-bath", "https://heavenlyouthouse.com/products/vanilla-coconut-bubble-bath")</f>
        <v>https://heavenlyouthouse.com/products/vanilla-coconut-bubble-bath</v>
      </c>
      <c r="B405" s="3" t="str">
        <f>HYPERLINK("https://heavenlyouthouse.com/products/vanilla-coconut-bubble-bath", "https://heavenlyouthouse.com/products/vanilla-coconut-bubble-bath")</f>
        <v>https://heavenlyouthouse.com/products/vanilla-coconut-bubble-bath</v>
      </c>
      <c r="C405" t="s">
        <v>230</v>
      </c>
      <c r="D405" t="s">
        <v>1194</v>
      </c>
      <c r="E405" s="3" t="str">
        <f>HYPERLINK("https://www.amazon.com/Deep-Steep-Bubble-Vanilla-Coconut/dp/B01MQ3OLA5/ref=sr_1_1?keywords=Vanilla+Coconut+Bubble+Bath&amp;qid=1695258805&amp;sr=8-1", "https://www.amazon.com/Deep-Steep-Bubble-Vanilla-Coconut/dp/B01MQ3OLA5/ref=sr_1_1?keywords=Vanilla+Coconut+Bubble+Bath&amp;qid=1695258805&amp;sr=8-1")</f>
        <v>https://www.amazon.com/Deep-Steep-Bubble-Vanilla-Coconut/dp/B01MQ3OLA5/ref=sr_1_1?keywords=Vanilla+Coconut+Bubble+Bath&amp;qid=1695258805&amp;sr=8-1</v>
      </c>
      <c r="F405" t="s">
        <v>1195</v>
      </c>
      <c r="G405" t="e">
        <f ca="1">IMAGE("https://heavenlyouthouse.com/cdn/shop/products/Vanilla-Coconut_Bubble-Bath_2048_2000x_48bd3f10-44c5-4b84-8976-395bada0d7d1.jpg?v=1588959777")</f>
        <v>#NAME?</v>
      </c>
      <c r="H405" t="e">
        <f ca="1">IMAGE("https://m.media-amazon.com/images/I/61NomHqb7VL._AC_UL320_.jpg")</f>
        <v>#NAME?</v>
      </c>
      <c r="I405" t="s">
        <v>233</v>
      </c>
      <c r="J405">
        <v>14.95</v>
      </c>
      <c r="K405" s="2" t="s">
        <v>1196</v>
      </c>
      <c r="L405">
        <v>4.5</v>
      </c>
      <c r="M405">
        <v>5147</v>
      </c>
      <c r="O405" t="s">
        <v>39</v>
      </c>
      <c r="P405" t="s">
        <v>39</v>
      </c>
      <c r="Q405" t="s">
        <v>235</v>
      </c>
    </row>
    <row r="406" spans="1:17" ht="15.75" x14ac:dyDescent="0.25">
      <c r="A406" s="3" t="str">
        <f>HYPERLINK("https://heavenlyouthouse.com/products/rosemary-mint-foaming-wash", "https://heavenlyouthouse.com/products/rosemary-mint-foaming-wash")</f>
        <v>https://heavenlyouthouse.com/products/rosemary-mint-foaming-wash</v>
      </c>
      <c r="B406" s="3" t="str">
        <f>HYPERLINK("https://heavenlyouthouse.com/products/rosemary-mint-foaming-wash", "https://heavenlyouthouse.com/products/rosemary-mint-foaming-wash")</f>
        <v>https://heavenlyouthouse.com/products/rosemary-mint-foaming-wash</v>
      </c>
      <c r="C406" t="s">
        <v>1007</v>
      </c>
      <c r="D406" t="s">
        <v>1197</v>
      </c>
      <c r="E406" s="3" t="str">
        <f>HYPERLINK("https://www.amazon.com/Deep-Steep-Body-Wash-Rosemary/dp/B074G24Q1X/ref=sr_1_7?keywords=Rosemary+Mint+Foaming+Wash&amp;qid=1695258700&amp;sr=8-7", "https://www.amazon.com/Deep-Steep-Body-Wash-Rosemary/dp/B074G24Q1X/ref=sr_1_7?keywords=Rosemary+Mint+Foaming+Wash&amp;qid=1695258700&amp;sr=8-7")</f>
        <v>https://www.amazon.com/Deep-Steep-Body-Wash-Rosemary/dp/B074G24Q1X/ref=sr_1_7?keywords=Rosemary+Mint+Foaming+Wash&amp;qid=1695258700&amp;sr=8-7</v>
      </c>
      <c r="F406" t="s">
        <v>1198</v>
      </c>
      <c r="G406" t="e">
        <f ca="1">IMAGE("https://heavenlyouthouse.com/cdn/shop/products/RosemaryMint-foaming-wash.webp?v=1681505497")</f>
        <v>#NAME?</v>
      </c>
      <c r="H406" t="e">
        <f ca="1">IMAGE("https://m.media-amazon.com/images/I/51Bspq6Yb3L._AC_UL320_.jpg")</f>
        <v>#NAME?</v>
      </c>
      <c r="I406" t="s">
        <v>233</v>
      </c>
      <c r="J406">
        <v>14.95</v>
      </c>
      <c r="K406" s="2" t="s">
        <v>1196</v>
      </c>
      <c r="L406">
        <v>4.3</v>
      </c>
      <c r="M406">
        <v>608</v>
      </c>
      <c r="O406" t="s">
        <v>39</v>
      </c>
      <c r="P406" t="s">
        <v>394</v>
      </c>
      <c r="Q406" t="s">
        <v>1010</v>
      </c>
    </row>
    <row r="407" spans="1:17" ht="15.75" x14ac:dyDescent="0.25">
      <c r="A407" s="3" t="str">
        <f>HYPERLINK("https://heavenlyouthouse.com/products/rosemary-mint-body-butter", "https://heavenlyouthouse.com/products/rosemary-mint-body-butter")</f>
        <v>https://heavenlyouthouse.com/products/rosemary-mint-body-butter</v>
      </c>
      <c r="B407" s="3" t="str">
        <f>HYPERLINK("https://heavenlyouthouse.com/products/rosemary-mint-body-butter", "https://heavenlyouthouse.com/products/rosemary-mint-body-butter")</f>
        <v>https://heavenlyouthouse.com/products/rosemary-mint-body-butter</v>
      </c>
      <c r="C407" t="s">
        <v>531</v>
      </c>
      <c r="D407" t="s">
        <v>1199</v>
      </c>
      <c r="E407" s="3" t="str">
        <f>HYPERLINK("https://www.amazon.com/DEEP-STEEP-Rosemary-Mint-Butter/dp/B09TWZFKS4/ref=sr_1_5?keywords=Rosemary+Mint+Body+Butter&amp;qid=1695258669&amp;sr=8-5", "https://www.amazon.com/DEEP-STEEP-Rosemary-Mint-Butter/dp/B09TWZFKS4/ref=sr_1_5?keywords=Rosemary+Mint+Body+Butter&amp;qid=1695258669&amp;sr=8-5")</f>
        <v>https://www.amazon.com/DEEP-STEEP-Rosemary-Mint-Butter/dp/B09TWZFKS4/ref=sr_1_5?keywords=Rosemary+Mint+Body+Butter&amp;qid=1695258669&amp;sr=8-5</v>
      </c>
      <c r="F407" t="s">
        <v>1200</v>
      </c>
      <c r="G407" t="e">
        <f ca="1">IMAGE("https://heavenlyouthouse.com/cdn/shop/products/RosemaryMint-BodyButter.webp?v=1681505618")</f>
        <v>#NAME?</v>
      </c>
      <c r="H407" t="e">
        <f ca="1">IMAGE("https://m.media-amazon.com/images/I/61HSzlKfw7L._AC_UL320_.jpg")</f>
        <v>#NAME?</v>
      </c>
      <c r="I407" t="s">
        <v>233</v>
      </c>
      <c r="J407">
        <v>14.95</v>
      </c>
      <c r="K407" s="2" t="s">
        <v>1196</v>
      </c>
      <c r="L407">
        <v>4.2</v>
      </c>
      <c r="M407">
        <v>63</v>
      </c>
      <c r="O407" t="s">
        <v>39</v>
      </c>
      <c r="P407" t="s">
        <v>394</v>
      </c>
      <c r="Q407" t="s">
        <v>535</v>
      </c>
    </row>
    <row r="408" spans="1:17" ht="15.75" x14ac:dyDescent="0.25">
      <c r="A408" s="3" t="str">
        <f>HYPERLINK("https://heavenlyouthouse.com/products/vanilla-coconut-foaming-wash", "https://heavenlyouthouse.com/products/vanilla-coconut-foaming-wash")</f>
        <v>https://heavenlyouthouse.com/products/vanilla-coconut-foaming-wash</v>
      </c>
      <c r="B408" s="3" t="str">
        <f>HYPERLINK("https://heavenlyouthouse.com/products/vanilla-coconut-foaming-wash", "https://heavenlyouthouse.com/products/vanilla-coconut-foaming-wash")</f>
        <v>https://heavenlyouthouse.com/products/vanilla-coconut-foaming-wash</v>
      </c>
      <c r="C408" t="s">
        <v>390</v>
      </c>
      <c r="D408" t="s">
        <v>1201</v>
      </c>
      <c r="E408" s="3" t="str">
        <f>HYPERLINK("https://www.amazon.com/Deep-Steep-Coconut-Vanilla-Fluid/dp/B01ASC51HQ/ref=sr_1_1?keywords=Vanilla+Coconut+Foaming+Wash&amp;qid=1695258837&amp;sr=8-1", "https://www.amazon.com/Deep-Steep-Coconut-Vanilla-Fluid/dp/B01ASC51HQ/ref=sr_1_1?keywords=Vanilla+Coconut+Foaming+Wash&amp;qid=1695258837&amp;sr=8-1")</f>
        <v>https://www.amazon.com/Deep-Steep-Coconut-Vanilla-Fluid/dp/B01ASC51HQ/ref=sr_1_1?keywords=Vanilla+Coconut+Foaming+Wash&amp;qid=1695258837&amp;sr=8-1</v>
      </c>
      <c r="F408" t="s">
        <v>1202</v>
      </c>
      <c r="G408" t="e">
        <f ca="1">IMAGE("https://heavenlyouthouse.com/cdn/shop/products/vanilla-coconut-foaming-wash_2000x_7648654b-2503-4219-a1cd-2f8e8ea738eb.jpg?v=1586812094")</f>
        <v>#NAME?</v>
      </c>
      <c r="H408" t="e">
        <f ca="1">IMAGE("https://m.media-amazon.com/images/I/51wNSpRTTuL._AC_UL320_.jpg")</f>
        <v>#NAME?</v>
      </c>
      <c r="I408" t="s">
        <v>233</v>
      </c>
      <c r="J408">
        <v>14.95</v>
      </c>
      <c r="K408" s="2" t="s">
        <v>1196</v>
      </c>
      <c r="L408">
        <v>4.3</v>
      </c>
      <c r="M408">
        <v>608</v>
      </c>
      <c r="O408" t="s">
        <v>39</v>
      </c>
      <c r="P408" t="s">
        <v>394</v>
      </c>
      <c r="Q408" t="s">
        <v>395</v>
      </c>
    </row>
    <row r="409" spans="1:17" ht="15.75" x14ac:dyDescent="0.25">
      <c r="A409" s="3" t="str">
        <f>HYPERLINK("https://heavenlyouthouse.com/products/thymes-frasier-fir-molded-pine-cone-candle", "https://heavenlyouthouse.com/products/thymes-frasier-fir-molded-pine-cone-candle")</f>
        <v>https://heavenlyouthouse.com/products/thymes-frasier-fir-molded-pine-cone-candle</v>
      </c>
      <c r="B409" s="3" t="str">
        <f>HYPERLINK("https://heavenlyouthouse.com/products/thymes-frasier-fir-molded-pine-cone-candle", "https://heavenlyouthouse.com/products/thymes-frasier-fir-molded-pine-cone-candle")</f>
        <v>https://heavenlyouthouse.com/products/thymes-frasier-fir-molded-pine-cone-candle</v>
      </c>
      <c r="C409" t="s">
        <v>1203</v>
      </c>
      <c r="D409" t="s">
        <v>223</v>
      </c>
      <c r="E409" s="3" t="str">
        <f>HYPERLINK("https://www.amazon.com/Thymes-Needle-Frasier-Luminary-Candle/dp/B0B9CDSR3K/ref=sr_1_7?keywords=Thymes+Frasier+Fir+Molded+Pine+Cone+Candle&amp;qid=1695258731&amp;sr=8-7", "https://www.amazon.com/Thymes-Needle-Frasier-Luminary-Candle/dp/B0B9CDSR3K/ref=sr_1_7?keywords=Thymes+Frasier+Fir+Molded+Pine+Cone+Candle&amp;qid=1695258731&amp;sr=8-7")</f>
        <v>https://www.amazon.com/Thymes-Needle-Frasier-Luminary-Candle/dp/B0B9CDSR3K/ref=sr_1_7?keywords=Thymes+Frasier+Fir+Molded+Pine+Cone+Candle&amp;qid=1695258731&amp;sr=8-7</v>
      </c>
      <c r="F409" t="s">
        <v>224</v>
      </c>
      <c r="G409" t="e">
        <f ca="1">IMAGE("https://heavenlyouthouse.com/cdn/shop/products/Thymes-frasier-fir-pinecone-candle.jpg?v=1662139253")</f>
        <v>#NAME?</v>
      </c>
      <c r="H409" t="e">
        <f ca="1">IMAGE("https://m.media-amazon.com/images/I/71YqOVLEPjL._AC_UL320_.jpg")</f>
        <v>#NAME?</v>
      </c>
      <c r="I409" t="s">
        <v>1204</v>
      </c>
      <c r="J409">
        <v>56</v>
      </c>
      <c r="K409" s="2" t="s">
        <v>1196</v>
      </c>
      <c r="L409">
        <v>5</v>
      </c>
      <c r="M409">
        <v>1</v>
      </c>
      <c r="O409" t="s">
        <v>39</v>
      </c>
      <c r="P409" t="s">
        <v>39</v>
      </c>
      <c r="Q409" t="s">
        <v>1205</v>
      </c>
    </row>
    <row r="410" spans="1:17" ht="15.75" x14ac:dyDescent="0.25">
      <c r="A410" s="3" t="str">
        <f>HYPERLINK("https://heavenlyouthouse.com/products/thymes-frasier-fir-heritage-medium-pine-needle-luminary-candle", "https://heavenlyouthouse.com/products/thymes-frasier-fir-heritage-medium-pine-needle-luminary-candle")</f>
        <v>https://heavenlyouthouse.com/products/thymes-frasier-fir-heritage-medium-pine-needle-luminary-candle</v>
      </c>
      <c r="B410" s="3" t="str">
        <f>HYPERLINK("https://heavenlyouthouse.com/products/thymes-frasier-fir-heritage-medium-pine-needle-luminary-candle", "https://heavenlyouthouse.com/products/thymes-frasier-fir-heritage-medium-pine-needle-luminary-candle")</f>
        <v>https://heavenlyouthouse.com/products/thymes-frasier-fir-heritage-medium-pine-needle-luminary-candle</v>
      </c>
      <c r="C410" t="s">
        <v>1206</v>
      </c>
      <c r="D410" t="s">
        <v>223</v>
      </c>
      <c r="E410" s="3" t="str">
        <f>HYPERLINK("https://www.amazon.com/Thymes-Needle-Frasier-Luminary-Candle/dp/B0B9CDSR3K/ref=sr_1_2?keywords=Thymes+Frasier+Fir+Heritage+Medium+Pine+Needle+Luminary+Candle&amp;qid=1695258734&amp;sr=8-2", "https://www.amazon.com/Thymes-Needle-Frasier-Luminary-Candle/dp/B0B9CDSR3K/ref=sr_1_2?keywords=Thymes+Frasier+Fir+Heritage+Medium+Pine+Needle+Luminary+Candle&amp;qid=1695258734&amp;sr=8-2")</f>
        <v>https://www.amazon.com/Thymes-Needle-Frasier-Luminary-Candle/dp/B0B9CDSR3K/ref=sr_1_2?keywords=Thymes+Frasier+Fir+Heritage+Medium+Pine+Needle+Luminary+Candle&amp;qid=1695258734&amp;sr=8-2</v>
      </c>
      <c r="F410" t="s">
        <v>224</v>
      </c>
      <c r="G410" t="e">
        <f ca="1">IMAGE("https://heavenlyouthouse.com/cdn/shop/products/thymes-frasier-fir-medium-pine-needle-luminary-candle.jpg?v=1661983306")</f>
        <v>#NAME?</v>
      </c>
      <c r="H410" t="e">
        <f ca="1">IMAGE("https://m.media-amazon.com/images/I/71YqOVLEPjL._AC_UL320_.jpg")</f>
        <v>#NAME?</v>
      </c>
      <c r="I410" t="s">
        <v>1204</v>
      </c>
      <c r="J410">
        <v>56</v>
      </c>
      <c r="K410" s="2" t="s">
        <v>1196</v>
      </c>
      <c r="L410">
        <v>5</v>
      </c>
      <c r="M410">
        <v>1</v>
      </c>
      <c r="O410" t="s">
        <v>39</v>
      </c>
      <c r="P410" t="s">
        <v>39</v>
      </c>
      <c r="Q410" t="s">
        <v>1207</v>
      </c>
    </row>
    <row r="411" spans="1:17" ht="15.75" x14ac:dyDescent="0.25">
      <c r="A411" s="3" t="str">
        <f>HYPERLINK("https://heavenlyouthouse.com/products/lavender-bubble-bath", "https://heavenlyouthouse.com/products/lavender-bubble-bath")</f>
        <v>https://heavenlyouthouse.com/products/lavender-bubble-bath</v>
      </c>
      <c r="B411" s="3" t="str">
        <f>HYPERLINK("https://heavenlyouthouse.com/products/lavender-bubble-bath", "https://heavenlyouthouse.com/products/lavender-bubble-bath")</f>
        <v>https://heavenlyouthouse.com/products/lavender-bubble-bath</v>
      </c>
      <c r="C411" t="s">
        <v>1208</v>
      </c>
      <c r="D411" t="s">
        <v>1209</v>
      </c>
      <c r="E411" s="3" t="str">
        <f>HYPERLINK("https://www.amazon.com/Aura-Cacia-Aromatherapy-Relaxing-Lavender/dp/B002Q4UC06/ref=sr_1_5?keywords=Thymes+Lavender+Bubble+Bath&amp;qid=1695258760&amp;sr=8-5", "https://www.amazon.com/Aura-Cacia-Aromatherapy-Relaxing-Lavender/dp/B002Q4UC06/ref=sr_1_5?keywords=Thymes+Lavender+Bubble+Bath&amp;qid=1695258760&amp;sr=8-5")</f>
        <v>https://www.amazon.com/Aura-Cacia-Aromatherapy-Relaxing-Lavender/dp/B002Q4UC06/ref=sr_1_5?keywords=Thymes+Lavender+Bubble+Bath&amp;qid=1695258760&amp;sr=8-5</v>
      </c>
      <c r="F411" t="s">
        <v>1210</v>
      </c>
      <c r="G411" t="e">
        <f ca="1">IMAGE("https://heavenlyouthouse.com/cdn/shop/products/thymeslavenderbubblebath.jpg?v=1608572028")</f>
        <v>#NAME?</v>
      </c>
      <c r="H411" t="e">
        <f ca="1">IMAGE("https://m.media-amazon.com/images/I/51SmlllkyoL._AC_UL320_.jpg")</f>
        <v>#NAME?</v>
      </c>
      <c r="I411" t="s">
        <v>1211</v>
      </c>
      <c r="J411">
        <v>36.340000000000003</v>
      </c>
      <c r="K411" s="2" t="s">
        <v>1196</v>
      </c>
      <c r="L411">
        <v>4.5999999999999996</v>
      </c>
      <c r="M411">
        <v>277</v>
      </c>
      <c r="O411" t="s">
        <v>39</v>
      </c>
      <c r="P411" t="s">
        <v>39</v>
      </c>
      <c r="Q411" t="s">
        <v>1212</v>
      </c>
    </row>
    <row r="412" spans="1:17" ht="15.75" x14ac:dyDescent="0.25">
      <c r="A412" s="3" t="str">
        <f>HYPERLINK("https://heavenlyouthouse.com/products/thymes-natural-reed-sticks-refill-for-diffusers", "https://heavenlyouthouse.com/products/thymes-natural-reed-sticks-refill-for-diffusers")</f>
        <v>https://heavenlyouthouse.com/products/thymes-natural-reed-sticks-refill-for-diffusers</v>
      </c>
      <c r="B412" s="3" t="str">
        <f>HYPERLINK("https://heavenlyouthouse.com/products/thymes-natural-reed-sticks-refill-for-diffusers", "https://heavenlyouthouse.com/products/thymes-natural-reed-sticks-refill-for-diffusers")</f>
        <v>https://heavenlyouthouse.com/products/thymes-natural-reed-sticks-refill-for-diffusers</v>
      </c>
      <c r="C412" t="s">
        <v>512</v>
      </c>
      <c r="D412" t="s">
        <v>1213</v>
      </c>
      <c r="E412" s="3" t="str">
        <f>HYPERLINK("https://www.amazon.com/HOSSIAN-Diffuser-Fragrance-Stick-Essential-Replacement/dp/B08PCZNKCF/ref=sr_1_4?keywords=Thymes+Natural+Reed+Sticks+Refill+For+Diffusers&amp;qid=1695258777&amp;sr=8-4", "https://www.amazon.com/HOSSIAN-Diffuser-Fragrance-Stick-Essential-Replacement/dp/B08PCZNKCF/ref=sr_1_4?keywords=Thymes+Natural+Reed+Sticks+Refill+For+Diffusers&amp;qid=1695258777&amp;sr=8-4")</f>
        <v>https://www.amazon.com/HOSSIAN-Diffuser-Fragrance-Stick-Essential-Replacement/dp/B08PCZNKCF/ref=sr_1_4?keywords=Thymes+Natural+Reed+Sticks+Refill+For+Diffusers&amp;qid=1695258777&amp;sr=8-4</v>
      </c>
      <c r="F412" t="s">
        <v>1214</v>
      </c>
      <c r="G412" t="e">
        <f ca="1">IMAGE("https://heavenlyouthouse.com/cdn/shop/products/thymesnaturalreedrefills.jpg?v=1624458349")</f>
        <v>#NAME?</v>
      </c>
      <c r="H412" t="e">
        <f ca="1">IMAGE("https://m.media-amazon.com/images/I/71hGLh-F7qL._AC_UL320_.jpg")</f>
        <v>#NAME?</v>
      </c>
      <c r="I412" t="s">
        <v>152</v>
      </c>
      <c r="J412">
        <v>12.99</v>
      </c>
      <c r="K412" s="2" t="s">
        <v>1196</v>
      </c>
      <c r="L412">
        <v>4.3</v>
      </c>
      <c r="M412">
        <v>7010</v>
      </c>
      <c r="O412" t="s">
        <v>39</v>
      </c>
      <c r="P412" t="s">
        <v>39</v>
      </c>
      <c r="Q412" t="s">
        <v>516</v>
      </c>
    </row>
    <row r="413" spans="1:17" ht="15.75" x14ac:dyDescent="0.25">
      <c r="A413" s="3" t="str">
        <f>HYPERLINK("https://heavenlyouthouse.com/products/rosemary-mint-foaming-wash", "https://heavenlyouthouse.com/products/rosemary-mint-foaming-wash")</f>
        <v>https://heavenlyouthouse.com/products/rosemary-mint-foaming-wash</v>
      </c>
      <c r="B413" s="3" t="str">
        <f>HYPERLINK("https://heavenlyouthouse.com/products/rosemary-mint-foaming-wash", "https://heavenlyouthouse.com/products/rosemary-mint-foaming-wash")</f>
        <v>https://heavenlyouthouse.com/products/rosemary-mint-foaming-wash</v>
      </c>
      <c r="C413" t="s">
        <v>1007</v>
      </c>
      <c r="D413" t="s">
        <v>1215</v>
      </c>
      <c r="E413" s="3" t="str">
        <f>HYPERLINK("https://www.amazon.com/ALL-Natural-Body-Wash-Athletes/dp/B0C4JP954J/ref=sr_1_3?keywords=Rosemary+Mint+Foaming+Wash&amp;qid=1695258700&amp;sr=8-3", "https://www.amazon.com/ALL-Natural-Body-Wash-Athletes/dp/B0C4JP954J/ref=sr_1_3?keywords=Rosemary+Mint+Foaming+Wash&amp;qid=1695258700&amp;sr=8-3")</f>
        <v>https://www.amazon.com/ALL-Natural-Body-Wash-Athletes/dp/B0C4JP954J/ref=sr_1_3?keywords=Rosemary+Mint+Foaming+Wash&amp;qid=1695258700&amp;sr=8-3</v>
      </c>
      <c r="F413" t="s">
        <v>1216</v>
      </c>
      <c r="G413" t="e">
        <f ca="1">IMAGE("https://heavenlyouthouse.com/cdn/shop/products/RosemaryMint-foaming-wash.webp?v=1681505497")</f>
        <v>#NAME?</v>
      </c>
      <c r="H413" t="e">
        <f ca="1">IMAGE("https://m.media-amazon.com/images/I/61Cq+0azE4L._AC_UL320_.jpg")</f>
        <v>#NAME?</v>
      </c>
      <c r="I413" t="s">
        <v>233</v>
      </c>
      <c r="J413">
        <v>14.89</v>
      </c>
      <c r="K413" s="2" t="s">
        <v>1196</v>
      </c>
      <c r="L413">
        <v>4.3</v>
      </c>
      <c r="M413">
        <v>12062</v>
      </c>
      <c r="O413" t="s">
        <v>39</v>
      </c>
      <c r="P413" t="s">
        <v>394</v>
      </c>
      <c r="Q413" t="s">
        <v>1010</v>
      </c>
    </row>
    <row r="414" spans="1:17" ht="15.75" x14ac:dyDescent="0.25">
      <c r="A414" s="3" t="str">
        <f>HYPERLINK("https://heavenlyouthouse.com/products/unscented-deodorant", "https://heavenlyouthouse.com/products/unscented-deodorant")</f>
        <v>https://heavenlyouthouse.com/products/unscented-deodorant</v>
      </c>
      <c r="B414" s="3" t="str">
        <f>HYPERLINK("https://heavenlyouthouse.com/products/unscented-deodorant", "https://heavenlyouthouse.com/products/unscented-deodorant")</f>
        <v>https://heavenlyouthouse.com/products/unscented-deodorant</v>
      </c>
      <c r="C414" t="s">
        <v>1060</v>
      </c>
      <c r="D414" t="s">
        <v>1217</v>
      </c>
      <c r="E414" s="3" t="str">
        <f>HYPERLINK("https://www.amazon.com/Thai-Deodorant-Stone-Unscented-Aluminum/dp/B089DMYDH7/ref=sr_1_9?keywords=Unscented+Natural+Deodorant&amp;qid=1695258814&amp;sr=8-9", "https://www.amazon.com/Thai-Deodorant-Stone-Unscented-Aluminum/dp/B089DMYDH7/ref=sr_1_9?keywords=Unscented+Natural+Deodorant&amp;qid=1695258814&amp;sr=8-9")</f>
        <v>https://www.amazon.com/Thai-Deodorant-Stone-Unscented-Aluminum/dp/B089DMYDH7/ref=sr_1_9?keywords=Unscented+Natural+Deodorant&amp;qid=1695258814&amp;sr=8-9</v>
      </c>
      <c r="F414" t="s">
        <v>1218</v>
      </c>
      <c r="G414" t="e">
        <f ca="1">IMAGE("https://heavenlyouthouse.com/cdn/shop/products/Rocky-Mountain-Soap-Co-Scent-Free-Natural-Deodorant.jpg?v=1633542762")</f>
        <v>#NAME?</v>
      </c>
      <c r="H414" t="e">
        <f ca="1">IMAGE("https://m.media-amazon.com/images/I/818r7T+5vKL._AC_UL320_.jpg")</f>
        <v>#NAME?</v>
      </c>
      <c r="I414" t="s">
        <v>427</v>
      </c>
      <c r="J414">
        <v>12.99</v>
      </c>
      <c r="K414" s="2" t="s">
        <v>1196</v>
      </c>
      <c r="L414">
        <v>4.4000000000000004</v>
      </c>
      <c r="M414">
        <v>3199</v>
      </c>
      <c r="O414" t="s">
        <v>39</v>
      </c>
      <c r="P414" t="s">
        <v>428</v>
      </c>
      <c r="Q414" t="s">
        <v>1063</v>
      </c>
    </row>
    <row r="415" spans="1:17" ht="15.75" x14ac:dyDescent="0.25">
      <c r="A415" s="3" t="str">
        <f>HYPERLINK("https://heavenlyouthouse.com/products/wonderful-holiday-season-christmas-card", "https://heavenlyouthouse.com/products/wonderful-holiday-season-christmas-card")</f>
        <v>https://heavenlyouthouse.com/products/wonderful-holiday-season-christmas-card</v>
      </c>
      <c r="B415" s="3" t="str">
        <f>HYPERLINK("https://heavenlyouthouse.com/products/wonderful-holiday-season-christmas-card", "https://heavenlyouthouse.com/products/wonderful-holiday-season-christmas-card")</f>
        <v>https://heavenlyouthouse.com/products/wonderful-holiday-season-christmas-card</v>
      </c>
      <c r="C415" t="s">
        <v>236</v>
      </c>
      <c r="D415" t="s">
        <v>1219</v>
      </c>
      <c r="E415" s="3" t="str">
        <f>HYPERLINK("https://www.amazon.com/PAPYRUS-Christmas-Card-1-EA/dp/B08637FDG5/ref=sr_1_1?keywords=Wonderful+Holiday+Season+Christmas+Card&amp;qid=1695258831&amp;sr=8-1", "https://www.amazon.com/PAPYRUS-Christmas-Card-1-EA/dp/B08637FDG5/ref=sr_1_1?keywords=Wonderful+Holiday+Season+Christmas+Card&amp;qid=1695258831&amp;sr=8-1")</f>
        <v>https://www.amazon.com/PAPYRUS-Christmas-Card-1-EA/dp/B08637FDG5/ref=sr_1_1?keywords=Wonderful+Holiday+Season+Christmas+Card&amp;qid=1695258831&amp;sr=8-1</v>
      </c>
      <c r="F415" t="s">
        <v>1220</v>
      </c>
      <c r="G415" t="e">
        <f ca="1">IMAGE("https://heavenlyouthouse.com/cdn/shop/files/https___images.salsify.com_image_upload_q_70_m0oje5tosgrfxhdy0xdb_300x300.jpg?v=1685404851")</f>
        <v>#NAME?</v>
      </c>
      <c r="H415" t="e">
        <f ca="1">IMAGE("https://m.media-amazon.com/images/I/91HC5hXWjuL._AC_UL320_.jpg")</f>
        <v>#NAME?</v>
      </c>
      <c r="I415" t="s">
        <v>239</v>
      </c>
      <c r="J415">
        <v>6.95</v>
      </c>
      <c r="K415" s="2" t="s">
        <v>1196</v>
      </c>
      <c r="L415">
        <v>4.7</v>
      </c>
      <c r="M415">
        <v>70</v>
      </c>
      <c r="O415" t="s">
        <v>39</v>
      </c>
      <c r="P415" t="s">
        <v>39</v>
      </c>
      <c r="Q415" t="s">
        <v>241</v>
      </c>
    </row>
    <row r="416" spans="1:17" ht="15.75" x14ac:dyDescent="0.25">
      <c r="A416" s="3" t="str">
        <f>HYPERLINK("https://heavenlyouthouse.com/products/unscented-deodorant", "https://heavenlyouthouse.com/products/unscented-deodorant")</f>
        <v>https://heavenlyouthouse.com/products/unscented-deodorant</v>
      </c>
      <c r="B416" s="3" t="str">
        <f>HYPERLINK("https://heavenlyouthouse.com/products/unscented-deodorant", "https://heavenlyouthouse.com/products/unscented-deodorant")</f>
        <v>https://heavenlyouthouse.com/products/unscented-deodorant</v>
      </c>
      <c r="C416" t="s">
        <v>1060</v>
      </c>
      <c r="D416" t="s">
        <v>1221</v>
      </c>
      <c r="E416" s="3" t="str">
        <f>HYPERLINK("https://www.amazon.com/Native-Deodorant-Natural-Deodorant-Women/dp/B08QR7Y1JX/ref=sr_1_8?keywords=Unscented+Natural+Deodorant&amp;qid=1695258814&amp;sr=8-8", "https://www.amazon.com/Native-Deodorant-Natural-Deodorant-Women/dp/B08QR7Y1JX/ref=sr_1_8?keywords=Unscented+Natural+Deodorant&amp;qid=1695258814&amp;sr=8-8")</f>
        <v>https://www.amazon.com/Native-Deodorant-Natural-Deodorant-Women/dp/B08QR7Y1JX/ref=sr_1_8?keywords=Unscented+Natural+Deodorant&amp;qid=1695258814&amp;sr=8-8</v>
      </c>
      <c r="F416" t="s">
        <v>1222</v>
      </c>
      <c r="G416" t="e">
        <f ca="1">IMAGE("https://heavenlyouthouse.com/cdn/shop/products/Rocky-Mountain-Soap-Co-Scent-Free-Natural-Deodorant.jpg?v=1633542762")</f>
        <v>#NAME?</v>
      </c>
      <c r="H416" t="e">
        <f ca="1">IMAGE("https://m.media-amazon.com/images/I/612JRfZpFpL._AC_UL320_.jpg")</f>
        <v>#NAME?</v>
      </c>
      <c r="I416" t="s">
        <v>427</v>
      </c>
      <c r="J416">
        <v>12.97</v>
      </c>
      <c r="K416" s="2" t="s">
        <v>1196</v>
      </c>
      <c r="L416">
        <v>4.4000000000000004</v>
      </c>
      <c r="M416">
        <v>5129</v>
      </c>
      <c r="O416" t="s">
        <v>39</v>
      </c>
      <c r="P416" t="s">
        <v>428</v>
      </c>
      <c r="Q416" t="s">
        <v>1063</v>
      </c>
    </row>
    <row r="417" spans="1:17" ht="15.75" x14ac:dyDescent="0.25">
      <c r="A417" s="3" t="str">
        <f>HYPERLINK("https://heavenlyouthouse.com/products/unscented-deodorant", "https://heavenlyouthouse.com/products/unscented-deodorant")</f>
        <v>https://heavenlyouthouse.com/products/unscented-deodorant</v>
      </c>
      <c r="B417" s="3" t="str">
        <f>HYPERLINK("https://heavenlyouthouse.com/products/unscented-deodorant", "https://heavenlyouthouse.com/products/unscented-deodorant")</f>
        <v>https://heavenlyouthouse.com/products/unscented-deodorant</v>
      </c>
      <c r="C417" t="s">
        <v>1060</v>
      </c>
      <c r="D417" t="s">
        <v>1223</v>
      </c>
      <c r="E417" s="3" t="str">
        <f>HYPERLINK("https://www.amazon.com/Native-Deodorant-Aluminum-Parabens-Unscented/dp/B07G9Z5LQD/ref=sr_1_1?keywords=Unscented+Natural+Deodorant&amp;qid=1695258814&amp;sr=8-1", "https://www.amazon.com/Native-Deodorant-Aluminum-Parabens-Unscented/dp/B07G9Z5LQD/ref=sr_1_1?keywords=Unscented+Natural+Deodorant&amp;qid=1695258814&amp;sr=8-1")</f>
        <v>https://www.amazon.com/Native-Deodorant-Aluminum-Parabens-Unscented/dp/B07G9Z5LQD/ref=sr_1_1?keywords=Unscented+Natural+Deodorant&amp;qid=1695258814&amp;sr=8-1</v>
      </c>
      <c r="F417" t="s">
        <v>1224</v>
      </c>
      <c r="G417" t="e">
        <f ca="1">IMAGE("https://heavenlyouthouse.com/cdn/shop/products/Rocky-Mountain-Soap-Co-Scent-Free-Natural-Deodorant.jpg?v=1633542762")</f>
        <v>#NAME?</v>
      </c>
      <c r="H417" t="e">
        <f ca="1">IMAGE("https://m.media-amazon.com/images/I/61mFaZ7seGL._AC_UL320_.jpg")</f>
        <v>#NAME?</v>
      </c>
      <c r="I417" t="s">
        <v>427</v>
      </c>
      <c r="J417">
        <v>12.97</v>
      </c>
      <c r="K417" s="2" t="s">
        <v>1196</v>
      </c>
      <c r="L417">
        <v>4.4000000000000004</v>
      </c>
      <c r="M417">
        <v>81305</v>
      </c>
      <c r="O417" t="s">
        <v>39</v>
      </c>
      <c r="P417" t="s">
        <v>428</v>
      </c>
      <c r="Q417" t="s">
        <v>1063</v>
      </c>
    </row>
    <row r="418" spans="1:17" ht="15.75" x14ac:dyDescent="0.25">
      <c r="A418" s="3" t="str">
        <f>HYPERLINK("https://heavenlyouthouse.com/products/sick-as-shit-loose-herbal-tea", "https://heavenlyouthouse.com/products/sick-as-shit-loose-herbal-tea")</f>
        <v>https://heavenlyouthouse.com/products/sick-as-shit-loose-herbal-tea</v>
      </c>
      <c r="B418" s="3" t="str">
        <f>HYPERLINK("https://heavenlyouthouse.com/products/sick-as-shit-loose-herbal-tea", "https://heavenlyouthouse.com/products/sick-as-shit-loose-herbal-tea")</f>
        <v>https://heavenlyouthouse.com/products/sick-as-shit-loose-herbal-tea</v>
      </c>
      <c r="C418" t="s">
        <v>952</v>
      </c>
      <c r="D418" t="s">
        <v>1225</v>
      </c>
      <c r="E418" s="3" t="str">
        <f>HYPERLINK("https://www.amazon.com/Gardenika-Organic-Caffeine-Wellness-Immunity/dp/B08HZJB1FP/ref=sr_1_1?keywords=Sick+As+Shit+Loose+Leaf+Herbal+Tea&amp;qid=1695258695&amp;sr=8-1", "https://www.amazon.com/Gardenika-Organic-Caffeine-Wellness-Immunity/dp/B08HZJB1FP/ref=sr_1_1?keywords=Sick+As+Shit+Loose+Leaf+Herbal+Tea&amp;qid=1695258695&amp;sr=8-1")</f>
        <v>https://www.amazon.com/Gardenika-Organic-Caffeine-Wellness-Immunity/dp/B08HZJB1FP/ref=sr_1_1?keywords=Sick+As+Shit+Loose+Leaf+Herbal+Tea&amp;qid=1695258695&amp;sr=8-1</v>
      </c>
      <c r="F418" t="s">
        <v>1226</v>
      </c>
      <c r="G418" t="e">
        <f ca="1">IMAGE("https://heavenlyouthouse.com/cdn/shop/products/SickasShit.jpg?v=1658440700")</f>
        <v>#NAME?</v>
      </c>
      <c r="H418" t="e">
        <f ca="1">IMAGE("https://m.media-amazon.com/images/I/81piFyAbcXL._AC_UL320_.jpg")</f>
        <v>#NAME?</v>
      </c>
      <c r="I418" t="s">
        <v>955</v>
      </c>
      <c r="J418">
        <v>11.95</v>
      </c>
      <c r="K418" s="2" t="s">
        <v>1227</v>
      </c>
      <c r="L418">
        <v>4.5</v>
      </c>
      <c r="M418">
        <v>1025</v>
      </c>
      <c r="O418" t="s">
        <v>39</v>
      </c>
      <c r="P418" t="s">
        <v>39</v>
      </c>
      <c r="Q418" t="s">
        <v>957</v>
      </c>
    </row>
    <row r="419" spans="1:17" ht="15.75" x14ac:dyDescent="0.25">
      <c r="A419" s="3" t="str">
        <f>HYPERLINK("https://heavenlyouthouse.com/products/really-cute-new-baby-card", "https://heavenlyouthouse.com/products/really-cute-new-baby-card")</f>
        <v>https://heavenlyouthouse.com/products/really-cute-new-baby-card</v>
      </c>
      <c r="B419" s="3" t="str">
        <f>HYPERLINK("https://heavenlyouthouse.com/products/really-cute-new-baby-card", "https://heavenlyouthouse.com/products/really-cute-new-baby-card")</f>
        <v>https://heavenlyouthouse.com/products/really-cute-new-baby-card</v>
      </c>
      <c r="C419" t="s">
        <v>976</v>
      </c>
      <c r="D419" t="s">
        <v>1228</v>
      </c>
      <c r="E419" s="3" t="str">
        <f>HYPERLINK("https://www.amazon.com/Parent-Greeting-Pregnancy-Announcement-Shower/dp/B0C4J6BTDB/ref=sr_1_10?keywords=Really+Cute+New+Baby+Card&amp;qid=1695258688&amp;sr=8-10", "https://www.amazon.com/Parent-Greeting-Pregnancy-Announcement-Shower/dp/B0C4J6BTDB/ref=sr_1_10?keywords=Really+Cute+New+Baby+Card&amp;qid=1695258688&amp;sr=8-10")</f>
        <v>https://www.amazon.com/Parent-Greeting-Pregnancy-Announcement-Shower/dp/B0C4J6BTDB/ref=sr_1_10?keywords=Really+Cute+New+Baby+Card&amp;qid=1695258688&amp;sr=8-10</v>
      </c>
      <c r="F419" t="s">
        <v>1229</v>
      </c>
      <c r="G419" t="e">
        <f ca="1">IMAGE("https://heavenlyouthouse.com/cdn/shop/files/cute-baby-card_300x300.jpg?v=1692043930")</f>
        <v>#NAME?</v>
      </c>
      <c r="H419" t="e">
        <f ca="1">IMAGE("https://m.media-amazon.com/images/I/71y8+WL6qaL._AC_UL320_.jpg")</f>
        <v>#NAME?</v>
      </c>
      <c r="I419" t="s">
        <v>979</v>
      </c>
      <c r="J419">
        <v>5.99</v>
      </c>
      <c r="K419" s="2" t="s">
        <v>1227</v>
      </c>
      <c r="L419">
        <v>4.9000000000000004</v>
      </c>
      <c r="M419">
        <v>12</v>
      </c>
      <c r="O419" t="s">
        <v>39</v>
      </c>
      <c r="P419" t="s">
        <v>39</v>
      </c>
      <c r="Q419" t="s">
        <v>980</v>
      </c>
    </row>
    <row r="420" spans="1:17" ht="15.75" x14ac:dyDescent="0.25">
      <c r="A420" s="3" t="str">
        <f>HYPERLINK("https://heavenlyouthouse.com/products/really-cute-new-baby-card", "https://heavenlyouthouse.com/products/really-cute-new-baby-card")</f>
        <v>https://heavenlyouthouse.com/products/really-cute-new-baby-card</v>
      </c>
      <c r="B420" s="3" t="str">
        <f>HYPERLINK("https://heavenlyouthouse.com/products/really-cute-new-baby-card", "https://heavenlyouthouse.com/products/really-cute-new-baby-card")</f>
        <v>https://heavenlyouthouse.com/products/really-cute-new-baby-card</v>
      </c>
      <c r="C420" t="s">
        <v>976</v>
      </c>
      <c r="D420" t="s">
        <v>1230</v>
      </c>
      <c r="E420" s="3" t="str">
        <f>HYPERLINK("https://www.amazon.com/Funny-Shower-Girls-Congratulation-Parents/dp/B0CDG6F27M/ref=sr_1_1?keywords=Really+Cute+New+Baby+Card&amp;qid=1695258688&amp;sr=8-1", "https://www.amazon.com/Funny-Shower-Girls-Congratulation-Parents/dp/B0CDG6F27M/ref=sr_1_1?keywords=Really+Cute+New+Baby+Card&amp;qid=1695258688&amp;sr=8-1")</f>
        <v>https://www.amazon.com/Funny-Shower-Girls-Congratulation-Parents/dp/B0CDG6F27M/ref=sr_1_1?keywords=Really+Cute+New+Baby+Card&amp;qid=1695258688&amp;sr=8-1</v>
      </c>
      <c r="F420" t="s">
        <v>1231</v>
      </c>
      <c r="G420" t="e">
        <f ca="1">IMAGE("https://heavenlyouthouse.com/cdn/shop/files/cute-baby-card_300x300.jpg?v=1692043930")</f>
        <v>#NAME?</v>
      </c>
      <c r="H420" t="e">
        <f ca="1">IMAGE("https://m.media-amazon.com/images/I/71QVWfb-6ZL._AC_UL320_.jpg")</f>
        <v>#NAME?</v>
      </c>
      <c r="I420" t="s">
        <v>979</v>
      </c>
      <c r="J420">
        <v>5.99</v>
      </c>
      <c r="K420" s="2" t="s">
        <v>1227</v>
      </c>
      <c r="L420">
        <v>5</v>
      </c>
      <c r="M420">
        <v>1</v>
      </c>
      <c r="O420" t="s">
        <v>39</v>
      </c>
      <c r="P420" t="s">
        <v>39</v>
      </c>
      <c r="Q420" t="s">
        <v>980</v>
      </c>
    </row>
    <row r="421" spans="1:17" ht="15.75" x14ac:dyDescent="0.25">
      <c r="A421" s="3" t="str">
        <f>HYPERLINK("https://heavenlyouthouse.com/products/thymes-olive-leaf-body-lotion", "https://heavenlyouthouse.com/products/thymes-olive-leaf-body-lotion")</f>
        <v>https://heavenlyouthouse.com/products/thymes-olive-leaf-body-lotion</v>
      </c>
      <c r="B421" s="3" t="str">
        <f>HYPERLINK("https://heavenlyouthouse.com/products/thymes-olive-leaf-body-lotion", "https://heavenlyouthouse.com/products/thymes-olive-leaf-body-lotion")</f>
        <v>https://heavenlyouthouse.com/products/thymes-olive-leaf-body-lotion</v>
      </c>
      <c r="C421" t="s">
        <v>1232</v>
      </c>
      <c r="D421" t="s">
        <v>547</v>
      </c>
      <c r="E421" s="3" t="str">
        <f>HYPERLINK("https://www.amazon.com/Thymes-Hand-Cream-Trio-Eucalyptus/dp/B08CVS65TK/ref=sr_1_7?keywords=Thymes+Olive+Leaf+Body+Lotion&amp;qid=1695258779&amp;sr=8-7", "https://www.amazon.com/Thymes-Hand-Cream-Trio-Eucalyptus/dp/B08CVS65TK/ref=sr_1_7?keywords=Thymes+Olive+Leaf+Body+Lotion&amp;qid=1695258779&amp;sr=8-7")</f>
        <v>https://www.amazon.com/Thymes-Hand-Cream-Trio-Eucalyptus/dp/B08CVS65TK/ref=sr_1_7?keywords=Thymes+Olive+Leaf+Body+Lotion&amp;qid=1695258779&amp;sr=8-7</v>
      </c>
      <c r="F421" t="s">
        <v>548</v>
      </c>
      <c r="G421" t="e">
        <f ca="1">IMAGE("https://heavenlyouthouse.com/cdn/shop/files/thymes-olive-leaf-body-lotion_300x300.jpg?v=1687382312")</f>
        <v>#NAME?</v>
      </c>
      <c r="H421" t="e">
        <f ca="1">IMAGE("https://m.media-amazon.com/images/I/71dMcg2wQcL._AC_UL320_.jpg")</f>
        <v>#NAME?</v>
      </c>
      <c r="I421" t="s">
        <v>1233</v>
      </c>
      <c r="J421">
        <v>34</v>
      </c>
      <c r="K421" s="2" t="s">
        <v>1227</v>
      </c>
      <c r="L421">
        <v>4.4000000000000004</v>
      </c>
      <c r="M421">
        <v>29</v>
      </c>
      <c r="O421" t="s">
        <v>39</v>
      </c>
      <c r="P421" t="s">
        <v>39</v>
      </c>
      <c r="Q421" t="s">
        <v>1234</v>
      </c>
    </row>
    <row r="422" spans="1:17" ht="15.75" x14ac:dyDescent="0.25">
      <c r="A422" s="3" t="str">
        <f>HYPERLINK("https://heavenlyouthouse.com/products/thymes-eucalyptus-body-serum", "https://heavenlyouthouse.com/products/thymes-eucalyptus-body-serum")</f>
        <v>https://heavenlyouthouse.com/products/thymes-eucalyptus-body-serum</v>
      </c>
      <c r="B422" s="3" t="str">
        <f>HYPERLINK("https://heavenlyouthouse.com/products/thymes-eucalyptus-body-serum", "https://heavenlyouthouse.com/products/thymes-eucalyptus-body-serum")</f>
        <v>https://heavenlyouthouse.com/products/thymes-eucalyptus-body-serum</v>
      </c>
      <c r="C422" t="s">
        <v>1235</v>
      </c>
      <c r="D422" t="s">
        <v>627</v>
      </c>
      <c r="E422" s="3" t="str">
        <f>HYPERLINK("https://www.amazon.com/Thymes-Travel-Set-Beauty-Bag/dp/B08CVS6XFP/ref=sr_1_6?keywords=Thymes+Eucalyptus+Body+Serum&amp;qid=1695258722&amp;sr=8-6", "https://www.amazon.com/Thymes-Travel-Set-Beauty-Bag/dp/B08CVS6XFP/ref=sr_1_6?keywords=Thymes+Eucalyptus+Body+Serum&amp;qid=1695258722&amp;sr=8-6")</f>
        <v>https://www.amazon.com/Thymes-Travel-Set-Beauty-Bag/dp/B08CVS6XFP/ref=sr_1_6?keywords=Thymes+Eucalyptus+Body+Serum&amp;qid=1695258722&amp;sr=8-6</v>
      </c>
      <c r="F422" t="s">
        <v>628</v>
      </c>
      <c r="G422" t="e">
        <f ca="1">IMAGE("https://heavenlyouthouse.com/cdn/shop/products/thymes-eucalyptus-body-serum.jpg?v=1646863572")</f>
        <v>#NAME?</v>
      </c>
      <c r="H422" t="e">
        <f ca="1">IMAGE("https://m.media-amazon.com/images/I/71cfN7qjRdL._AC_UL320_.jpg")</f>
        <v>#NAME?</v>
      </c>
      <c r="I422" t="s">
        <v>500</v>
      </c>
      <c r="J422">
        <v>32</v>
      </c>
      <c r="K422" s="2" t="s">
        <v>1227</v>
      </c>
      <c r="L422">
        <v>4.5999999999999996</v>
      </c>
      <c r="M422">
        <v>91</v>
      </c>
      <c r="O422" t="s">
        <v>39</v>
      </c>
      <c r="P422" t="s">
        <v>39</v>
      </c>
      <c r="Q422" t="s">
        <v>1236</v>
      </c>
    </row>
    <row r="423" spans="1:17" ht="15.75" x14ac:dyDescent="0.25">
      <c r="A423" s="3" t="str">
        <f>HYPERLINK("https://heavenlyouthouse.com/products/purifying-face-serum", "https://heavenlyouthouse.com/products/purifying-face-serum")</f>
        <v>https://heavenlyouthouse.com/products/purifying-face-serum</v>
      </c>
      <c r="B423" s="3" t="str">
        <f>HYPERLINK("https://heavenlyouthouse.com/products/purifying-face-serum", "https://heavenlyouthouse.com/products/purifying-face-serum")</f>
        <v>https://heavenlyouthouse.com/products/purifying-face-serum</v>
      </c>
      <c r="C423" t="s">
        <v>1067</v>
      </c>
      <c r="D423" t="s">
        <v>1237</v>
      </c>
      <c r="E423" s="3" t="str">
        <f>HYPERLINK("https://www.amazon.com/Odacit%C3%A9-Pimples-Facial-Serum-Concentrate/dp/B00MYMGUF6/ref=sr_1_7?keywords=Purifying+Face+Serum&amp;qid=1695258651&amp;sr=8-7", "https://www.amazon.com/Odacit%C3%A9-Pimples-Facial-Serum-Concentrate/dp/B00MYMGUF6/ref=sr_1_7?keywords=Purifying+Face+Serum&amp;qid=1695258651&amp;sr=8-7")</f>
        <v>https://www.amazon.com/Odacit%C3%A9-Pimples-Facial-Serum-Concentrate/dp/B00MYMGUF6/ref=sr_1_7?keywords=Purifying+Face+Serum&amp;qid=1695258651&amp;sr=8-7</v>
      </c>
      <c r="F423" t="s">
        <v>1238</v>
      </c>
      <c r="G423" t="e">
        <f ca="1">IMAGE("https://heavenlyouthouse.com/cdn/shop/products/Serum-Purifying-rocky-mountain-soap-co.jpg?v=1636133573")</f>
        <v>#NAME?</v>
      </c>
      <c r="H423" t="e">
        <f ca="1">IMAGE("https://m.media-amazon.com/images/I/71KcS6khlSL._AC_UL320_.jpg")</f>
        <v>#NAME?</v>
      </c>
      <c r="I423" t="s">
        <v>175</v>
      </c>
      <c r="J423">
        <v>35.5</v>
      </c>
      <c r="K423" s="2" t="s">
        <v>1239</v>
      </c>
      <c r="L423">
        <v>4.4000000000000004</v>
      </c>
      <c r="M423">
        <v>272</v>
      </c>
      <c r="O423" t="s">
        <v>39</v>
      </c>
      <c r="P423" t="s">
        <v>177</v>
      </c>
      <c r="Q423" t="s">
        <v>1070</v>
      </c>
    </row>
    <row r="424" spans="1:17" ht="15.75" x14ac:dyDescent="0.25">
      <c r="A424" s="3" t="str">
        <f>HYPERLINK("https://heavenlyouthouse.com/products/goldleaf-eau-de-parfum", "https://heavenlyouthouse.com/products/goldleaf-eau-de-parfum")</f>
        <v>https://heavenlyouthouse.com/products/goldleaf-eau-de-parfum</v>
      </c>
      <c r="B424" s="3" t="str">
        <f>HYPERLINK("https://heavenlyouthouse.com/products/goldleaf-eau-de-parfum", "https://heavenlyouthouse.com/products/goldleaf-eau-de-parfum")</f>
        <v>https://heavenlyouthouse.com/products/goldleaf-eau-de-parfum</v>
      </c>
      <c r="C424" t="s">
        <v>1240</v>
      </c>
      <c r="D424" t="s">
        <v>498</v>
      </c>
      <c r="E424" s="3" t="str">
        <f>HYPERLINK("https://www.amazon.com/Thymes-Goldleaf-Gardenia-Eau-Parfum/dp/B013IU14SK/ref=sr_1_2?keywords=Thymes+Goldleaf+Eau+De+Parfum&amp;qid=1695258750&amp;sr=8-2", "https://www.amazon.com/Thymes-Goldleaf-Gardenia-Eau-Parfum/dp/B013IU14SK/ref=sr_1_2?keywords=Thymes+Goldleaf+Eau+De+Parfum&amp;qid=1695258750&amp;sr=8-2")</f>
        <v>https://www.amazon.com/Thymes-Goldleaf-Gardenia-Eau-Parfum/dp/B013IU14SK/ref=sr_1_2?keywords=Thymes+Goldleaf+Eau+De+Parfum&amp;qid=1695258750&amp;sr=8-2</v>
      </c>
      <c r="F424" t="s">
        <v>499</v>
      </c>
      <c r="G424" t="e">
        <f ca="1">IMAGE("https://heavenlyouthouse.com/cdn/shop/products/thymes-goldleaf-perfume-50ml.jpg?v=1628692065")</f>
        <v>#NAME?</v>
      </c>
      <c r="H424" t="e">
        <f ca="1">IMAGE("https://m.media-amazon.com/images/I/71S-5BirMPL._AC_UL320_.jpg")</f>
        <v>#NAME?</v>
      </c>
      <c r="I424" t="s">
        <v>1241</v>
      </c>
      <c r="J424">
        <v>59</v>
      </c>
      <c r="K424" s="2" t="s">
        <v>1239</v>
      </c>
      <c r="L424">
        <v>4</v>
      </c>
      <c r="M424">
        <v>11</v>
      </c>
      <c r="O424" t="s">
        <v>39</v>
      </c>
      <c r="P424" t="s">
        <v>1242</v>
      </c>
      <c r="Q424" t="s">
        <v>1243</v>
      </c>
    </row>
    <row r="425" spans="1:17" ht="15.75" x14ac:dyDescent="0.25">
      <c r="A425" s="3" t="str">
        <f>HYPERLINK("https://heavenlyouthouse.com/products/goldleaf-gardenia-eau-de-parfume", "https://heavenlyouthouse.com/products/goldleaf-gardenia-eau-de-parfume")</f>
        <v>https://heavenlyouthouse.com/products/goldleaf-gardenia-eau-de-parfume</v>
      </c>
      <c r="B425" s="3" t="str">
        <f>HYPERLINK("https://heavenlyouthouse.com/products/goldleaf-gardenia-eau-de-parfume", "https://heavenlyouthouse.com/products/goldleaf-gardenia-eau-de-parfume")</f>
        <v>https://heavenlyouthouse.com/products/goldleaf-gardenia-eau-de-parfume</v>
      </c>
      <c r="C425" t="s">
        <v>1244</v>
      </c>
      <c r="D425" t="s">
        <v>498</v>
      </c>
      <c r="E425" s="3" t="str">
        <f>HYPERLINK("https://www.amazon.com/Thymes-Goldleaf-Gardenia-Eau-Parfum/dp/B013IU14SK/ref=sr_1_4?keywords=thymes+goldleaf+gardenia+eau+de+parfum&amp;qid=1695258753&amp;sr=8-4", "https://www.amazon.com/Thymes-Goldleaf-Gardenia-Eau-Parfum/dp/B013IU14SK/ref=sr_1_4?keywords=thymes+goldleaf+gardenia+eau+de+parfum&amp;qid=1695258753&amp;sr=8-4")</f>
        <v>https://www.amazon.com/Thymes-Goldleaf-Gardenia-Eau-Parfum/dp/B013IU14SK/ref=sr_1_4?keywords=thymes+goldleaf+gardenia+eau+de+parfum&amp;qid=1695258753&amp;sr=8-4</v>
      </c>
      <c r="F425" t="s">
        <v>499</v>
      </c>
      <c r="G425" t="e">
        <f ca="1">IMAGE("https://heavenlyouthouse.com/cdn/shop/products/thymes-goldleaf-gardenia-eau-de-parfume-50ml.jpg?v=1628692367")</f>
        <v>#NAME?</v>
      </c>
      <c r="H425" t="e">
        <f ca="1">IMAGE("https://m.media-amazon.com/images/I/71S-5BirMPL._AC_UL320_.jpg")</f>
        <v>#NAME?</v>
      </c>
      <c r="I425" t="s">
        <v>1241</v>
      </c>
      <c r="J425">
        <v>59</v>
      </c>
      <c r="K425" s="2" t="s">
        <v>1239</v>
      </c>
      <c r="L425">
        <v>4</v>
      </c>
      <c r="M425">
        <v>11</v>
      </c>
      <c r="O425" t="s">
        <v>39</v>
      </c>
      <c r="P425" t="s">
        <v>1242</v>
      </c>
      <c r="Q425" t="s">
        <v>1245</v>
      </c>
    </row>
    <row r="426" spans="1:17" ht="15.75" x14ac:dyDescent="0.25">
      <c r="A426" s="3" t="str">
        <f>HYPERLINK("https://heavenlyouthouse.com/products/really-cute-new-baby-card", "https://heavenlyouthouse.com/products/really-cute-new-baby-card")</f>
        <v>https://heavenlyouthouse.com/products/really-cute-new-baby-card</v>
      </c>
      <c r="B426" s="3" t="str">
        <f>HYPERLINK("https://heavenlyouthouse.com/products/really-cute-new-baby-card", "https://heavenlyouthouse.com/products/really-cute-new-baby-card")</f>
        <v>https://heavenlyouthouse.com/products/really-cute-new-baby-card</v>
      </c>
      <c r="C426" t="s">
        <v>976</v>
      </c>
      <c r="D426" t="s">
        <v>1246</v>
      </c>
      <c r="E426" s="3" t="str">
        <f>HYPERLINK("https://www.amazon.com/Dapofajo-Funny-Shower-Couple-Congrats/dp/B0BQDB563P/ref=sr_1_5?keywords=Really+Cute+New+Baby+Card&amp;qid=1695258688&amp;sr=8-5", "https://www.amazon.com/Dapofajo-Funny-Shower-Couple-Congrats/dp/B0BQDB563P/ref=sr_1_5?keywords=Really+Cute+New+Baby+Card&amp;qid=1695258688&amp;sr=8-5")</f>
        <v>https://www.amazon.com/Dapofajo-Funny-Shower-Couple-Congrats/dp/B0BQDB563P/ref=sr_1_5?keywords=Really+Cute+New+Baby+Card&amp;qid=1695258688&amp;sr=8-5</v>
      </c>
      <c r="F426" t="s">
        <v>1247</v>
      </c>
      <c r="G426" t="e">
        <f ca="1">IMAGE("https://heavenlyouthouse.com/cdn/shop/files/cute-baby-card_300x300.jpg?v=1692043930")</f>
        <v>#NAME?</v>
      </c>
      <c r="H426" t="e">
        <f ca="1">IMAGE("https://m.media-amazon.com/images/I/61sIWTQWfBL._AC_UL320_.jpg")</f>
        <v>#NAME?</v>
      </c>
      <c r="I426" t="s">
        <v>979</v>
      </c>
      <c r="J426">
        <v>5.88</v>
      </c>
      <c r="K426" s="2" t="s">
        <v>1248</v>
      </c>
      <c r="L426">
        <v>5</v>
      </c>
      <c r="M426">
        <v>6</v>
      </c>
      <c r="O426" t="s">
        <v>39</v>
      </c>
      <c r="P426" t="s">
        <v>39</v>
      </c>
      <c r="Q426" t="s">
        <v>980</v>
      </c>
    </row>
    <row r="427" spans="1:17" ht="15.75" x14ac:dyDescent="0.25">
      <c r="A427" s="3" t="str">
        <f>HYPERLINK("https://heavenlyouthouse.com/products/whippersnapper-mens-crew-socks", "https://heavenlyouthouse.com/products/whippersnapper-mens-crew-socks")</f>
        <v>https://heavenlyouthouse.com/products/whippersnapper-mens-crew-socks</v>
      </c>
      <c r="B427" s="3" t="str">
        <f>HYPERLINK("https://heavenlyouthouse.com/products/whippersnapper-mens-crew-socks", "https://heavenlyouthouse.com/products/whippersnapper-mens-crew-socks")</f>
        <v>https://heavenlyouthouse.com/products/whippersnapper-mens-crew-socks</v>
      </c>
      <c r="C427" t="s">
        <v>1130</v>
      </c>
      <c r="D427" t="s">
        <v>1249</v>
      </c>
      <c r="E427" s="3" t="str">
        <f>HYPERLINK("https://www.amazon.com/Hanes-Mens-X-Temp-Lightweight-White/dp/B07W2YDK3S/ref=sr_1_1?keywords=Whippersnapper+Mens+Crew+Socks&amp;qid=1695258826&amp;sr=8-1", "https://www.amazon.com/Hanes-Mens-X-Temp-Lightweight-White/dp/B07W2YDK3S/ref=sr_1_1?keywords=Whippersnapper+Mens+Crew+Socks&amp;qid=1695258826&amp;sr=8-1")</f>
        <v>https://www.amazon.com/Hanes-Mens-X-Temp-Lightweight-White/dp/B07W2YDK3S/ref=sr_1_1?keywords=Whippersnapper+Mens+Crew+Socks&amp;qid=1695258826&amp;sr=8-1</v>
      </c>
      <c r="F427" t="s">
        <v>1250</v>
      </c>
      <c r="G427" t="e">
        <f ca="1">IMAGE("https://heavenlyouthouse.com/cdn/shop/files/blue-q-cool-whippersnapper-men_s-socks_300x300.jpg?v=1689186599")</f>
        <v>#NAME?</v>
      </c>
      <c r="H427" t="e">
        <f ca="1">IMAGE("https://m.media-amazon.com/images/I/81pyWoE+EKL._AC_UL320_.jpg")</f>
        <v>#NAME?</v>
      </c>
      <c r="I427" t="s">
        <v>802</v>
      </c>
      <c r="J427">
        <v>17.98</v>
      </c>
      <c r="K427" s="2" t="s">
        <v>1248</v>
      </c>
      <c r="L427">
        <v>4.2</v>
      </c>
      <c r="M427">
        <v>1208</v>
      </c>
      <c r="O427" t="s">
        <v>39</v>
      </c>
      <c r="P427" t="s">
        <v>803</v>
      </c>
      <c r="Q427" t="s">
        <v>1133</v>
      </c>
    </row>
    <row r="428" spans="1:17" ht="15.75" x14ac:dyDescent="0.25">
      <c r="A428" s="3" t="str">
        <f>HYPERLINK("https://heavenlyouthouse.com/products/lavender-bar-soap", "https://heavenlyouthouse.com/products/lavender-bar-soap")</f>
        <v>https://heavenlyouthouse.com/products/lavender-bar-soap</v>
      </c>
      <c r="B428" s="3" t="str">
        <f>HYPERLINK("https://heavenlyouthouse.com/products/lavender-bar-soap", "https://heavenlyouthouse.com/products/lavender-bar-soap")</f>
        <v>https://heavenlyouthouse.com/products/lavender-bar-soap</v>
      </c>
      <c r="C428" t="s">
        <v>1251</v>
      </c>
      <c r="D428" t="s">
        <v>1252</v>
      </c>
      <c r="E428" s="3" t="str">
        <f>HYPERLINK("https://www.amazon.com/Wavertree-London-Lavender-Provence-Bars/dp/B07QC4PR6N/ref=sr_1_9?keywords=Thymes+Lavender+Bar+Soap&amp;qid=1695258766&amp;sr=8-9", "https://www.amazon.com/Wavertree-London-Lavender-Provence-Bars/dp/B07QC4PR6N/ref=sr_1_9?keywords=Thymes+Lavender+Bar+Soap&amp;qid=1695258766&amp;sr=8-9")</f>
        <v>https://www.amazon.com/Wavertree-London-Lavender-Provence-Bars/dp/B07QC4PR6N/ref=sr_1_9?keywords=Thymes+Lavender+Bar+Soap&amp;qid=1695258766&amp;sr=8-9</v>
      </c>
      <c r="F428" t="s">
        <v>1253</v>
      </c>
      <c r="G428" t="e">
        <f ca="1">IMAGE("https://heavenlyouthouse.com/cdn/shop/products/thymes-lavender-bar-soap.jpg?v=1628693498")</f>
        <v>#NAME?</v>
      </c>
      <c r="H428" t="e">
        <f ca="1">IMAGE("https://m.media-amazon.com/images/I/81N4r0TDR5L._AC_UL320_.jpg")</f>
        <v>#NAME?</v>
      </c>
      <c r="I428" t="s">
        <v>98</v>
      </c>
      <c r="J428">
        <v>16.95</v>
      </c>
      <c r="K428" s="2" t="s">
        <v>1254</v>
      </c>
      <c r="L428">
        <v>4.5999999999999996</v>
      </c>
      <c r="M428">
        <v>1525</v>
      </c>
      <c r="O428" t="s">
        <v>39</v>
      </c>
      <c r="P428" t="s">
        <v>39</v>
      </c>
      <c r="Q428" t="s">
        <v>1255</v>
      </c>
    </row>
    <row r="429" spans="1:17" ht="15.75" x14ac:dyDescent="0.25">
      <c r="A429" s="3" t="str">
        <f>HYPERLINK("https://heavenlyouthouse.com/products/lavender-body-lotion-1", "https://heavenlyouthouse.com/products/lavender-body-lotion-1")</f>
        <v>https://heavenlyouthouse.com/products/lavender-body-lotion-1</v>
      </c>
      <c r="B429" s="3" t="str">
        <f>HYPERLINK("https://heavenlyouthouse.com/products/lavender-body-lotion-1", "https://heavenlyouthouse.com/products/lavender-body-lotion-1")</f>
        <v>https://heavenlyouthouse.com/products/lavender-body-lotion-1</v>
      </c>
      <c r="C429" t="s">
        <v>1256</v>
      </c>
      <c r="D429" t="s">
        <v>926</v>
      </c>
      <c r="E429" s="3" t="str">
        <f>HYPERLINK("https://www.amazon.com/Thymes-Travel-Set-Beauty-Bag/dp/B08CVR11MS/ref=sr_1_3?keywords=Thymes+Lavender+Body+Lotion&amp;qid=1695258763&amp;sr=8-3", "https://www.amazon.com/Thymes-Travel-Set-Beauty-Bag/dp/B08CVR11MS/ref=sr_1_3?keywords=Thymes+Lavender+Body+Lotion&amp;qid=1695258763&amp;sr=8-3")</f>
        <v>https://www.amazon.com/Thymes-Travel-Set-Beauty-Bag/dp/B08CVR11MS/ref=sr_1_3?keywords=Thymes+Lavender+Body+Lotion&amp;qid=1695258763&amp;sr=8-3</v>
      </c>
      <c r="F429" t="s">
        <v>927</v>
      </c>
      <c r="G429" t="e">
        <f ca="1">IMAGE("https://heavenlyouthouse.com/cdn/shop/products/thymes-lavender-body-lotion_e8e915be-8de5-46da-8b4f-bb06a778fd96.png?v=1652277182")</f>
        <v>#NAME?</v>
      </c>
      <c r="H429" t="e">
        <f ca="1">IMAGE("https://m.media-amazon.com/images/I/71ZGXPxyJjL._AC_UL320_.jpg")</f>
        <v>#NAME?</v>
      </c>
      <c r="I429" t="s">
        <v>1179</v>
      </c>
      <c r="J429">
        <v>32</v>
      </c>
      <c r="K429" s="2" t="s">
        <v>1254</v>
      </c>
      <c r="L429">
        <v>4.5999999999999996</v>
      </c>
      <c r="M429">
        <v>91</v>
      </c>
      <c r="O429" t="s">
        <v>39</v>
      </c>
      <c r="P429" t="s">
        <v>39</v>
      </c>
      <c r="Q429" t="s">
        <v>1257</v>
      </c>
    </row>
    <row r="430" spans="1:17" ht="15.75" x14ac:dyDescent="0.25">
      <c r="A430" s="3" t="str">
        <f>HYPERLINK("https://heavenlyouthouse.com/products/thymes-goldleaf-gardenia-body-scrub", "https://heavenlyouthouse.com/products/thymes-goldleaf-gardenia-body-scrub")</f>
        <v>https://heavenlyouthouse.com/products/thymes-goldleaf-gardenia-body-scrub</v>
      </c>
      <c r="B430" s="3" t="str">
        <f>HYPERLINK("https://heavenlyouthouse.com/products/thymes-goldleaf-gardenia-body-scrub", "https://heavenlyouthouse.com/products/thymes-goldleaf-gardenia-body-scrub")</f>
        <v>https://heavenlyouthouse.com/products/thymes-goldleaf-gardenia-body-scrub</v>
      </c>
      <c r="C430" t="s">
        <v>1258</v>
      </c>
      <c r="D430" t="s">
        <v>635</v>
      </c>
      <c r="E430" s="3" t="str">
        <f>HYPERLINK("https://www.amazon.com/Thymes-Goldleaf-Gardenia-Perfumed-Moisturizing/dp/B06WGWNNV4/ref=sr_1_4?keywords=Thymes+Goldleaf+Gardenia+Body+Scrub&amp;qid=1695258745&amp;sr=8-4", "https://www.amazon.com/Thymes-Goldleaf-Gardenia-Perfumed-Moisturizing/dp/B06WGWNNV4/ref=sr_1_4?keywords=Thymes+Goldleaf+Gardenia+Body+Scrub&amp;qid=1695258745&amp;sr=8-4")</f>
        <v>https://www.amazon.com/Thymes-Goldleaf-Gardenia-Perfumed-Moisturizing/dp/B06WGWNNV4/ref=sr_1_4?keywords=Thymes+Goldleaf+Gardenia+Body+Scrub&amp;qid=1695258745&amp;sr=8-4</v>
      </c>
      <c r="F430" t="s">
        <v>636</v>
      </c>
      <c r="G430" t="e">
        <f ca="1">IMAGE("https://heavenlyouthouse.com/cdn/shop/products/thymes-goldleaf-gardenia-body-scrub.jpg?v=1631820701")</f>
        <v>#NAME?</v>
      </c>
      <c r="H430" t="e">
        <f ca="1">IMAGE("https://m.media-amazon.com/images/I/814cM3dVNjL._AC_UL320_.jpg")</f>
        <v>#NAME?</v>
      </c>
      <c r="I430" t="s">
        <v>1179</v>
      </c>
      <c r="J430">
        <v>32</v>
      </c>
      <c r="K430" s="2" t="s">
        <v>1254</v>
      </c>
      <c r="L430">
        <v>4.5999999999999996</v>
      </c>
      <c r="M430">
        <v>2417</v>
      </c>
      <c r="O430" t="s">
        <v>39</v>
      </c>
      <c r="P430" t="s">
        <v>39</v>
      </c>
      <c r="Q430" t="s">
        <v>1259</v>
      </c>
    </row>
    <row r="431" spans="1:17" ht="15.75" x14ac:dyDescent="0.25">
      <c r="A431" s="3" t="str">
        <f>HYPERLINK("https://heavenlyouthouse.com/products/thymes-eucalyptus-body-scrub", "https://heavenlyouthouse.com/products/thymes-eucalyptus-body-scrub")</f>
        <v>https://heavenlyouthouse.com/products/thymes-eucalyptus-body-scrub</v>
      </c>
      <c r="B431" s="3" t="str">
        <f>HYPERLINK("https://heavenlyouthouse.com/products/thymes-eucalyptus-body-scrub", "https://heavenlyouthouse.com/products/thymes-eucalyptus-body-scrub")</f>
        <v>https://heavenlyouthouse.com/products/thymes-eucalyptus-body-scrub</v>
      </c>
      <c r="C431" t="s">
        <v>1176</v>
      </c>
      <c r="D431" t="s">
        <v>627</v>
      </c>
      <c r="E431" s="3" t="str">
        <f>HYPERLINK("https://www.amazon.com/Thymes-Travel-Set-Beauty-Bag/dp/B08CVS6XFP/ref=sr_1_7?keywords=Thymes+Eucalyptus+Body+Scrub&amp;qid=1695258727&amp;sr=8-7", "https://www.amazon.com/Thymes-Travel-Set-Beauty-Bag/dp/B08CVS6XFP/ref=sr_1_7?keywords=Thymes+Eucalyptus+Body+Scrub&amp;qid=1695258727&amp;sr=8-7")</f>
        <v>https://www.amazon.com/Thymes-Travel-Set-Beauty-Bag/dp/B08CVS6XFP/ref=sr_1_7?keywords=Thymes+Eucalyptus+Body+Scrub&amp;qid=1695258727&amp;sr=8-7</v>
      </c>
      <c r="F431" t="s">
        <v>628</v>
      </c>
      <c r="G431" t="e">
        <f ca="1">IMAGE("https://heavenlyouthouse.com/cdn/shop/products/thymes-eucalyptus-body-scrub.jpg?v=1630620279")</f>
        <v>#NAME?</v>
      </c>
      <c r="H431" t="e">
        <f ca="1">IMAGE("https://m.media-amazon.com/images/I/71cfN7qjRdL._AC_UL320_.jpg")</f>
        <v>#NAME?</v>
      </c>
      <c r="I431" t="s">
        <v>1179</v>
      </c>
      <c r="J431">
        <v>32</v>
      </c>
      <c r="K431" s="2" t="s">
        <v>1254</v>
      </c>
      <c r="L431">
        <v>4.5999999999999996</v>
      </c>
      <c r="M431">
        <v>91</v>
      </c>
      <c r="O431" t="s">
        <v>39</v>
      </c>
      <c r="P431" t="s">
        <v>39</v>
      </c>
      <c r="Q431" t="s">
        <v>1180</v>
      </c>
    </row>
    <row r="432" spans="1:17" ht="15.75" x14ac:dyDescent="0.25">
      <c r="A432" s="3" t="str">
        <f>HYPERLINK("https://heavenlyouthouse.com/products/eucalyptus-body-lotion", "https://heavenlyouthouse.com/products/eucalyptus-body-lotion")</f>
        <v>https://heavenlyouthouse.com/products/eucalyptus-body-lotion</v>
      </c>
      <c r="B432" s="3" t="str">
        <f>HYPERLINK("https://heavenlyouthouse.com/products/eucalyptus-body-lotion", "https://heavenlyouthouse.com/products/eucalyptus-body-lotion")</f>
        <v>https://heavenlyouthouse.com/products/eucalyptus-body-lotion</v>
      </c>
      <c r="C432" t="s">
        <v>1260</v>
      </c>
      <c r="D432" t="s">
        <v>627</v>
      </c>
      <c r="E432" s="3" t="str">
        <f>HYPERLINK("https://www.amazon.com/Thymes-Travel-Set-Beauty-Bag/dp/B08CVS6XFP/ref=sr_1_8?keywords=Thymes+Eucalyptus+Body+Lotion&amp;qid=1695258717&amp;sr=8-8", "https://www.amazon.com/Thymes-Travel-Set-Beauty-Bag/dp/B08CVS6XFP/ref=sr_1_8?keywords=Thymes+Eucalyptus+Body+Lotion&amp;qid=1695258717&amp;sr=8-8")</f>
        <v>https://www.amazon.com/Thymes-Travel-Set-Beauty-Bag/dp/B08CVS6XFP/ref=sr_1_8?keywords=Thymes+Eucalyptus+Body+Lotion&amp;qid=1695258717&amp;sr=8-8</v>
      </c>
      <c r="F432" t="s">
        <v>628</v>
      </c>
      <c r="G432" t="e">
        <f ca="1">IMAGE("https://heavenlyouthouse.com/cdn/shop/products/thymes-eucalyptus-body-lotion1.jpg?v=1650914945")</f>
        <v>#NAME?</v>
      </c>
      <c r="H432" t="e">
        <f ca="1">IMAGE("https://m.media-amazon.com/images/I/71cfN7qjRdL._AC_UL320_.jpg")</f>
        <v>#NAME?</v>
      </c>
      <c r="I432" t="s">
        <v>1179</v>
      </c>
      <c r="J432">
        <v>32</v>
      </c>
      <c r="K432" s="2" t="s">
        <v>1254</v>
      </c>
      <c r="L432">
        <v>4.5999999999999996</v>
      </c>
      <c r="M432">
        <v>91</v>
      </c>
      <c r="O432" t="s">
        <v>39</v>
      </c>
      <c r="P432" t="s">
        <v>39</v>
      </c>
      <c r="Q432" t="s">
        <v>1261</v>
      </c>
    </row>
    <row r="433" spans="1:17" ht="15.75" x14ac:dyDescent="0.25">
      <c r="A433" s="3" t="str">
        <f>HYPERLINK("https://heavenlyouthouse.com/products/your-moment-card", "https://heavenlyouthouse.com/products/your-moment-card")</f>
        <v>https://heavenlyouthouse.com/products/your-moment-card</v>
      </c>
      <c r="B433" s="3" t="str">
        <f>HYPERLINK("https://heavenlyouthouse.com/products/your-moment-card", "https://heavenlyouthouse.com/products/your-moment-card")</f>
        <v>https://heavenlyouthouse.com/products/your-moment-card</v>
      </c>
      <c r="C433" t="s">
        <v>350</v>
      </c>
      <c r="D433" t="s">
        <v>1262</v>
      </c>
      <c r="E433" s="3" t="str">
        <f>HYPERLINK("https://www.amazon.com/American-Greetings-Congratulations-Card-Moment/dp/B09C6PDKK8/ref=sr_1_1?keywords=Your+Moment+Card&amp;qid=1695258833&amp;sr=8-1", "https://www.amazon.com/American-Greetings-Congratulations-Card-Moment/dp/B09C6PDKK8/ref=sr_1_1?keywords=Your+Moment+Card&amp;qid=1695258833&amp;sr=8-1")</f>
        <v>https://www.amazon.com/American-Greetings-Congratulations-Card-Moment/dp/B09C6PDKK8/ref=sr_1_1?keywords=Your+Moment+Card&amp;qid=1695258833&amp;sr=8-1</v>
      </c>
      <c r="F433" t="s">
        <v>1263</v>
      </c>
      <c r="G433" t="e">
        <f ca="1">IMAGE("https://heavenlyouthouse.com/cdn/shop/products/congrats.jpg?v=1600889342")</f>
        <v>#NAME?</v>
      </c>
      <c r="H433" t="e">
        <f ca="1">IMAGE("https://m.media-amazon.com/images/I/81jFgp9dInL._AC_UL320_.jpg")</f>
        <v>#NAME?</v>
      </c>
      <c r="I433" t="s">
        <v>105</v>
      </c>
      <c r="J433">
        <v>5.29</v>
      </c>
      <c r="K433" s="2" t="s">
        <v>1254</v>
      </c>
      <c r="L433">
        <v>4.5999999999999996</v>
      </c>
      <c r="M433">
        <v>56</v>
      </c>
      <c r="O433" t="s">
        <v>39</v>
      </c>
      <c r="P433" t="s">
        <v>39</v>
      </c>
      <c r="Q433" t="s">
        <v>354</v>
      </c>
    </row>
    <row r="434" spans="1:17" ht="15.75" x14ac:dyDescent="0.25">
      <c r="A434" s="3" t="str">
        <f>HYPERLINK("https://heavenlyouthouse.com/products/pumpkin-soap", "https://heavenlyouthouse.com/products/pumpkin-soap")</f>
        <v>https://heavenlyouthouse.com/products/pumpkin-soap</v>
      </c>
      <c r="B434" s="3" t="str">
        <f>HYPERLINK("https://heavenlyouthouse.com/products/pumpkin-soap", "https://heavenlyouthouse.com/products/pumpkin-soap")</f>
        <v>https://heavenlyouthouse.com/products/pumpkin-soap</v>
      </c>
      <c r="C434" t="s">
        <v>157</v>
      </c>
      <c r="D434" t="s">
        <v>1264</v>
      </c>
      <c r="E434" s="3" t="str">
        <f>HYPERLINK("https://www.amazon.com/Pumpkin-Spice-Natural-Aromatherapy-Herbal/dp/B00JBIKKDE/ref=sr_1_8?keywords=Pumpkin+Soap&amp;qid=1695258671&amp;sr=8-8", "https://www.amazon.com/Pumpkin-Spice-Natural-Aromatherapy-Herbal/dp/B00JBIKKDE/ref=sr_1_8?keywords=Pumpkin+Soap&amp;qid=1695258671&amp;sr=8-8")</f>
        <v>https://www.amazon.com/Pumpkin-Spice-Natural-Aromatherapy-Herbal/dp/B00JBIKKDE/ref=sr_1_8?keywords=Pumpkin+Soap&amp;qid=1695258671&amp;sr=8-8</v>
      </c>
      <c r="F434" t="s">
        <v>1265</v>
      </c>
      <c r="G434" t="e">
        <f ca="1">IMAGE("https://heavenlyouthouse.com/cdn/shop/products/Pumpkin_Bar-Soap_2048_2000x_6b1d5e1f-2b42-45d8-85e4-bc5e350eb2be.jpg?v=1586787951")</f>
        <v>#NAME?</v>
      </c>
      <c r="H434" t="e">
        <f ca="1">IMAGE("https://m.media-amazon.com/images/I/41mzBvA8l2L._AC_UL320_.jpg")</f>
        <v>#NAME?</v>
      </c>
      <c r="I434" t="s">
        <v>92</v>
      </c>
      <c r="J434">
        <v>7</v>
      </c>
      <c r="K434" s="2" t="s">
        <v>1266</v>
      </c>
      <c r="L434">
        <v>4.5999999999999996</v>
      </c>
      <c r="M434">
        <v>382</v>
      </c>
      <c r="O434" t="s">
        <v>39</v>
      </c>
      <c r="P434" t="s">
        <v>39</v>
      </c>
      <c r="Q434" t="s">
        <v>161</v>
      </c>
    </row>
    <row r="435" spans="1:17" ht="15.75" x14ac:dyDescent="0.25">
      <c r="A435" s="3" t="str">
        <f>HYPERLINK("https://heavenlyouthouse.com/products/spearmint-soap", "https://heavenlyouthouse.com/products/spearmint-soap")</f>
        <v>https://heavenlyouthouse.com/products/spearmint-soap</v>
      </c>
      <c r="B435" s="3" t="str">
        <f>HYPERLINK("https://heavenlyouthouse.com/products/spearmint-soap", "https://heavenlyouthouse.com/products/spearmint-soap")</f>
        <v>https://heavenlyouthouse.com/products/spearmint-soap</v>
      </c>
      <c r="C435" t="s">
        <v>138</v>
      </c>
      <c r="D435" t="s">
        <v>1267</v>
      </c>
      <c r="E435" s="3" t="str">
        <f>HYPERLINK("https://www.amazon.com/HERBOGANIC-Spearmint-Eucalyptus-Moisturizes-Refreshing/dp/B0BLT7C8RK/ref=sr_1_5?keywords=Spearmint+Soap&amp;qid=1695258707&amp;sr=8-5", "https://www.amazon.com/HERBOGANIC-Spearmint-Eucalyptus-Moisturizes-Refreshing/dp/B0BLT7C8RK/ref=sr_1_5?keywords=Spearmint+Soap&amp;qid=1695258707&amp;sr=8-5")</f>
        <v>https://www.amazon.com/HERBOGANIC-Spearmint-Eucalyptus-Moisturizes-Refreshing/dp/B0BLT7C8RK/ref=sr_1_5?keywords=Spearmint+Soap&amp;qid=1695258707&amp;sr=8-5</v>
      </c>
      <c r="F435" t="s">
        <v>1268</v>
      </c>
      <c r="G435" t="e">
        <f ca="1">IMAGE("https://heavenlyouthouse.com/cdn/shop/products/Spearmint_Bar-Soap_2048_2000x_e9b0fb8d-7255-4bf8-bb50-9da0b59a1544.jpg?v=1586802582")</f>
        <v>#NAME?</v>
      </c>
      <c r="H435" t="e">
        <f ca="1">IMAGE("https://m.media-amazon.com/images/I/51c8bIq1IyL._AC_UL320_.jpg")</f>
        <v>#NAME?</v>
      </c>
      <c r="I435" t="s">
        <v>92</v>
      </c>
      <c r="J435">
        <v>6.99</v>
      </c>
      <c r="K435" s="2" t="s">
        <v>1266</v>
      </c>
      <c r="L435">
        <v>4.2</v>
      </c>
      <c r="M435">
        <v>703</v>
      </c>
      <c r="O435" t="s">
        <v>39</v>
      </c>
      <c r="P435" t="s">
        <v>39</v>
      </c>
      <c r="Q435" t="s">
        <v>142</v>
      </c>
    </row>
    <row r="436" spans="1:17" ht="15.75" x14ac:dyDescent="0.25">
      <c r="A436" s="3" t="str">
        <f>HYPERLINK("https://heavenlyouthouse.com/products/to-my-husband-fathers-day-card", "https://heavenlyouthouse.com/products/to-my-husband-fathers-day-card")</f>
        <v>https://heavenlyouthouse.com/products/to-my-husband-fathers-day-card</v>
      </c>
      <c r="B436" s="3" t="str">
        <f>HYPERLINK("https://heavenlyouthouse.com/products/to-my-husband-fathers-day-card", "https://heavenlyouthouse.com/products/to-my-husband-fathers-day-card")</f>
        <v>https://heavenlyouthouse.com/products/to-my-husband-fathers-day-card</v>
      </c>
      <c r="C436" t="s">
        <v>893</v>
      </c>
      <c r="D436" t="s">
        <v>1269</v>
      </c>
      <c r="E436" s="3" t="str">
        <f>HYPERLINK("https://www.amazon.com/OJsensai-Fathers-Husband-Favorite-Boyfriend/dp/B09PMNMQFX/ref=sr_1_3?keywords=To+My+Husband+Father%27s+Day+Card&amp;qid=1695258791&amp;sr=8-3", "https://www.amazon.com/OJsensai-Fathers-Husband-Favorite-Boyfriend/dp/B09PMNMQFX/ref=sr_1_3?keywords=To+My+Husband+Father%27s+Day+Card&amp;qid=1695258791&amp;sr=8-3")</f>
        <v>https://www.amazon.com/OJsensai-Fathers-Husband-Favorite-Boyfriend/dp/B09PMNMQFX/ref=sr_1_3?keywords=To+My+Husband+Father%27s+Day+Card&amp;qid=1695258791&amp;sr=8-3</v>
      </c>
      <c r="F436" t="s">
        <v>1270</v>
      </c>
      <c r="G436" t="e">
        <f ca="1">IMAGE("https://heavenlyouthouse.com/cdn/shop/products/papyrustomyhusbandfather_sdaycard1_1.jpg?v=1621621174")</f>
        <v>#NAME?</v>
      </c>
      <c r="H436" t="e">
        <f ca="1">IMAGE("https://m.media-amazon.com/images/I/51pdNDEaBqL._AC_UL320_.jpg")</f>
        <v>#NAME?</v>
      </c>
      <c r="I436" t="s">
        <v>92</v>
      </c>
      <c r="J436">
        <v>6.99</v>
      </c>
      <c r="K436" s="2" t="s">
        <v>1266</v>
      </c>
      <c r="L436">
        <v>4.9000000000000004</v>
      </c>
      <c r="M436">
        <v>387</v>
      </c>
      <c r="O436" t="s">
        <v>39</v>
      </c>
      <c r="P436" t="s">
        <v>39</v>
      </c>
      <c r="Q436" t="s">
        <v>897</v>
      </c>
    </row>
    <row r="437" spans="1:17" ht="15.75" x14ac:dyDescent="0.25">
      <c r="A437" s="3" t="str">
        <f>HYPERLINK("https://heavenlyouthouse.com/products/kimono-rose-body-wash", "https://heavenlyouthouse.com/products/kimono-rose-body-wash")</f>
        <v>https://heavenlyouthouse.com/products/kimono-rose-body-wash</v>
      </c>
      <c r="B437" s="3" t="str">
        <f>HYPERLINK("https://heavenlyouthouse.com/products/kimono-rose-body-wash", "https://heavenlyouthouse.com/products/kimono-rose-body-wash")</f>
        <v>https://heavenlyouthouse.com/products/kimono-rose-body-wash</v>
      </c>
      <c r="C437" t="s">
        <v>1116</v>
      </c>
      <c r="D437" t="s">
        <v>1271</v>
      </c>
      <c r="E437" s="3" t="str">
        <f>HYPERLINK("https://www.amazon.com/Thymes-Kimono-Lotion-Moisturizing-Vanilla/dp/B0029F2HM8/ref=sr_1_4?keywords=Thymes+Kimono+Rose+Body+Wash&amp;qid=1695258755&amp;sr=8-4", "https://www.amazon.com/Thymes-Kimono-Lotion-Moisturizing-Vanilla/dp/B0029F2HM8/ref=sr_1_4?keywords=Thymes+Kimono+Rose+Body+Wash&amp;qid=1695258755&amp;sr=8-4")</f>
        <v>https://www.amazon.com/Thymes-Kimono-Lotion-Moisturizing-Vanilla/dp/B0029F2HM8/ref=sr_1_4?keywords=Thymes+Kimono+Rose+Body+Wash&amp;qid=1695258755&amp;sr=8-4</v>
      </c>
      <c r="F437" t="s">
        <v>1272</v>
      </c>
      <c r="G437" t="e">
        <f ca="1">IMAGE("https://heavenlyouthouse.com/cdn/shop/files/thymes-kimono-rose-body-wash.jpg?v=1687275425")</f>
        <v>#NAME?</v>
      </c>
      <c r="H437" t="e">
        <f ca="1">IMAGE("https://m.media-amazon.com/images/I/71wVmzFjivL._AC_UL320_.jpg")</f>
        <v>#NAME?</v>
      </c>
      <c r="I437" t="s">
        <v>835</v>
      </c>
      <c r="J437">
        <v>28</v>
      </c>
      <c r="K437" s="2" t="s">
        <v>1266</v>
      </c>
      <c r="L437">
        <v>4.5999999999999996</v>
      </c>
      <c r="M437">
        <v>2417</v>
      </c>
      <c r="O437" t="s">
        <v>39</v>
      </c>
      <c r="P437" t="s">
        <v>39</v>
      </c>
      <c r="Q437" t="s">
        <v>1117</v>
      </c>
    </row>
    <row r="438" spans="1:17" ht="15.75" x14ac:dyDescent="0.25">
      <c r="A438" s="3" t="str">
        <f>HYPERLINK("https://heavenlyouthouse.com/products/lavender-body-wash", "https://heavenlyouthouse.com/products/lavender-body-wash")</f>
        <v>https://heavenlyouthouse.com/products/lavender-body-wash</v>
      </c>
      <c r="B438" s="3" t="str">
        <f>HYPERLINK("https://heavenlyouthouse.com/products/lavender-body-wash", "https://heavenlyouthouse.com/products/lavender-body-wash")</f>
        <v>https://heavenlyouthouse.com/products/lavender-body-wash</v>
      </c>
      <c r="C438" t="s">
        <v>1114</v>
      </c>
      <c r="D438" t="s">
        <v>1273</v>
      </c>
      <c r="E438" s="3" t="str">
        <f>HYPERLINK("https://www.amazon.com/Thymes-Lavender-Lotion-270ml-9-25oz/dp/B01JMKLTP8/ref=sr_1_7?keywords=Thymes+Lavender+Body+Wash&amp;qid=1695258762&amp;sr=8-7", "https://www.amazon.com/Thymes-Lavender-Lotion-270ml-9-25oz/dp/B01JMKLTP8/ref=sr_1_7?keywords=Thymes+Lavender+Body+Wash&amp;qid=1695258762&amp;sr=8-7")</f>
        <v>https://www.amazon.com/Thymes-Lavender-Lotion-270ml-9-25oz/dp/B01JMKLTP8/ref=sr_1_7?keywords=Thymes+Lavender+Body+Wash&amp;qid=1695258762&amp;sr=8-7</v>
      </c>
      <c r="F438" t="s">
        <v>1274</v>
      </c>
      <c r="G438" t="e">
        <f ca="1">IMAGE("https://heavenlyouthouse.com/cdn/shop/products/thymes-lavender-body-wash.jpg?v=1652367040")</f>
        <v>#NAME?</v>
      </c>
      <c r="H438" t="e">
        <f ca="1">IMAGE("https://m.media-amazon.com/images/I/61-gs7XbeQL._AC_UL320_.jpg")</f>
        <v>#NAME?</v>
      </c>
      <c r="I438" t="s">
        <v>835</v>
      </c>
      <c r="J438">
        <v>28</v>
      </c>
      <c r="K438" s="2" t="s">
        <v>1266</v>
      </c>
      <c r="L438">
        <v>4.5999999999999996</v>
      </c>
      <c r="M438">
        <v>2417</v>
      </c>
      <c r="O438" t="s">
        <v>39</v>
      </c>
      <c r="P438" t="s">
        <v>39</v>
      </c>
      <c r="Q438" t="s">
        <v>1115</v>
      </c>
    </row>
    <row r="439" spans="1:17" ht="15.75" x14ac:dyDescent="0.25">
      <c r="A439" s="3" t="str">
        <f>HYPERLINK("https://heavenlyouthouse.com/products/goldleaf-gardenia-body-wash", "https://heavenlyouthouse.com/products/goldleaf-gardenia-body-wash")</f>
        <v>https://heavenlyouthouse.com/products/goldleaf-gardenia-body-wash</v>
      </c>
      <c r="B439" s="3" t="str">
        <f>HYPERLINK("https://heavenlyouthouse.com/products/goldleaf-gardenia-body-wash", "https://heavenlyouthouse.com/products/goldleaf-gardenia-body-wash")</f>
        <v>https://heavenlyouthouse.com/products/goldleaf-gardenia-body-wash</v>
      </c>
      <c r="C439" t="s">
        <v>1275</v>
      </c>
      <c r="D439" t="s">
        <v>718</v>
      </c>
      <c r="E439" s="3" t="str">
        <f>HYPERLINK("https://www.amazon.com/Thymes-Large-Hand-Wash-Goldleaf/dp/B0B75S3PRX/ref=sr_1_3?keywords=Thymes+Goldleaf+Gardenia+Body+Wash&amp;qid=1695258755&amp;sr=8-3", "https://www.amazon.com/Thymes-Large-Hand-Wash-Goldleaf/dp/B0B75S3PRX/ref=sr_1_3?keywords=Thymes+Goldleaf+Gardenia+Body+Wash&amp;qid=1695258755&amp;sr=8-3")</f>
        <v>https://www.amazon.com/Thymes-Large-Hand-Wash-Goldleaf/dp/B0B75S3PRX/ref=sr_1_3?keywords=Thymes+Goldleaf+Gardenia+Body+Wash&amp;qid=1695258755&amp;sr=8-3</v>
      </c>
      <c r="F439" t="s">
        <v>719</v>
      </c>
      <c r="G439" t="e">
        <f ca="1">IMAGE("https://heavenlyouthouse.com/cdn/shop/products/thymesgoldleafgardeniabodywash.jpg?v=1606423087")</f>
        <v>#NAME?</v>
      </c>
      <c r="H439" t="e">
        <f ca="1">IMAGE("https://m.media-amazon.com/images/I/515X2VGXpNL._AC_UL320_.jpg")</f>
        <v>#NAME?</v>
      </c>
      <c r="I439" t="s">
        <v>835</v>
      </c>
      <c r="J439">
        <v>28</v>
      </c>
      <c r="K439" s="2" t="s">
        <v>1266</v>
      </c>
      <c r="L439">
        <v>4.5999999999999996</v>
      </c>
      <c r="M439">
        <v>3441</v>
      </c>
      <c r="O439" t="s">
        <v>39</v>
      </c>
      <c r="P439" t="s">
        <v>39</v>
      </c>
      <c r="Q439" t="s">
        <v>1276</v>
      </c>
    </row>
    <row r="440" spans="1:17" ht="15.75" x14ac:dyDescent="0.25">
      <c r="A440" s="3" t="str">
        <f>HYPERLINK("https://heavenlyouthouse.com/products/kimono-rose-body-wash", "https://heavenlyouthouse.com/products/kimono-rose-body-wash")</f>
        <v>https://heavenlyouthouse.com/products/kimono-rose-body-wash</v>
      </c>
      <c r="B440" s="3" t="str">
        <f>HYPERLINK("https://heavenlyouthouse.com/products/kimono-rose-body-wash", "https://heavenlyouthouse.com/products/kimono-rose-body-wash")</f>
        <v>https://heavenlyouthouse.com/products/kimono-rose-body-wash</v>
      </c>
      <c r="C440" t="s">
        <v>1116</v>
      </c>
      <c r="D440" t="s">
        <v>1277</v>
      </c>
      <c r="E440" s="3" t="str">
        <f>HYPERLINK("https://www.amazon.com/Thymes-Body-Scrub-Kimono-Rose/dp/B09HL9R9FZ/ref=sr_1_6?keywords=Thymes+Kimono+Rose+Body+Wash&amp;qid=1695258755&amp;sr=8-6", "https://www.amazon.com/Thymes-Body-Scrub-Kimono-Rose/dp/B09HL9R9FZ/ref=sr_1_6?keywords=Thymes+Kimono+Rose+Body+Wash&amp;qid=1695258755&amp;sr=8-6")</f>
        <v>https://www.amazon.com/Thymes-Body-Scrub-Kimono-Rose/dp/B09HL9R9FZ/ref=sr_1_6?keywords=Thymes+Kimono+Rose+Body+Wash&amp;qid=1695258755&amp;sr=8-6</v>
      </c>
      <c r="F440" t="s">
        <v>1278</v>
      </c>
      <c r="G440" t="e">
        <f ca="1">IMAGE("https://heavenlyouthouse.com/cdn/shop/files/thymes-kimono-rose-body-wash.jpg?v=1687275425")</f>
        <v>#NAME?</v>
      </c>
      <c r="H440" t="e">
        <f ca="1">IMAGE("https://m.media-amazon.com/images/I/61gVpt2YpCL._AC_UL320_.jpg")</f>
        <v>#NAME?</v>
      </c>
      <c r="I440" t="s">
        <v>835</v>
      </c>
      <c r="J440">
        <v>28</v>
      </c>
      <c r="K440" s="2" t="s">
        <v>1266</v>
      </c>
      <c r="L440">
        <v>4.5999999999999996</v>
      </c>
      <c r="M440">
        <v>34</v>
      </c>
      <c r="O440" t="s">
        <v>39</v>
      </c>
      <c r="P440" t="s">
        <v>39</v>
      </c>
      <c r="Q440" t="s">
        <v>1117</v>
      </c>
    </row>
    <row r="441" spans="1:17" ht="15.75" x14ac:dyDescent="0.25">
      <c r="A441" s="3" t="str">
        <f>HYPERLINK("https://heavenlyouthouse.com/products/lavender-body-wash", "https://heavenlyouthouse.com/products/lavender-body-wash")</f>
        <v>https://heavenlyouthouse.com/products/lavender-body-wash</v>
      </c>
      <c r="B441" s="3" t="str">
        <f>HYPERLINK("https://heavenlyouthouse.com/products/lavender-body-wash", "https://heavenlyouthouse.com/products/lavender-body-wash")</f>
        <v>https://heavenlyouthouse.com/products/lavender-body-wash</v>
      </c>
      <c r="C441" t="s">
        <v>1114</v>
      </c>
      <c r="D441" t="s">
        <v>1279</v>
      </c>
      <c r="E441" s="3"/>
      <c r="F441" t="s">
        <v>1280</v>
      </c>
      <c r="G441" t="e">
        <f ca="1">IMAGE("https://heavenlyouthouse.com/cdn/shop/products/thymes-lavender-body-wash.jpg?v=1652367040")</f>
        <v>#NAME?</v>
      </c>
      <c r="H441" t="e">
        <f ca="1">IMAGE("https://m.media-amazon.com/images/I/61eu1mhSFBL._AC_UL320_.jpg")</f>
        <v>#NAME?</v>
      </c>
      <c r="I441" t="s">
        <v>835</v>
      </c>
      <c r="J441">
        <v>28</v>
      </c>
      <c r="K441" s="2" t="s">
        <v>1266</v>
      </c>
      <c r="L441">
        <v>4.5999999999999996</v>
      </c>
      <c r="M441">
        <v>34</v>
      </c>
      <c r="O441" t="s">
        <v>39</v>
      </c>
      <c r="P441" t="s">
        <v>39</v>
      </c>
      <c r="Q441" t="s">
        <v>1115</v>
      </c>
    </row>
    <row r="442" spans="1:17" ht="15.75" x14ac:dyDescent="0.25">
      <c r="A442" s="3" t="str">
        <f>HYPERLINK("https://heavenlyouthouse.com/products/eucalyptus-body-wash", "https://heavenlyouthouse.com/products/eucalyptus-body-wash")</f>
        <v>https://heavenlyouthouse.com/products/eucalyptus-body-wash</v>
      </c>
      <c r="B442" s="3" t="str">
        <f>HYPERLINK("https://heavenlyouthouse.com/products/eucalyptus-body-wash", "https://heavenlyouthouse.com/products/eucalyptus-body-wash")</f>
        <v>https://heavenlyouthouse.com/products/eucalyptus-body-wash</v>
      </c>
      <c r="C442" t="s">
        <v>832</v>
      </c>
      <c r="D442" t="s">
        <v>712</v>
      </c>
      <c r="E442" s="3" t="str">
        <f>HYPERLINK("https://www.amazon.com/Thymes-Eucalyptus-Lotion-Moisturizing-Rejuvenating/dp/B0029F2HO6/ref=sr_1_4?keywords=Thymes+Eucalyptus+Body+Wash&amp;qid=1695258723&amp;sr=8-4", "https://www.amazon.com/Thymes-Eucalyptus-Lotion-Moisturizing-Rejuvenating/dp/B0029F2HO6/ref=sr_1_4?keywords=Thymes+Eucalyptus+Body+Wash&amp;qid=1695258723&amp;sr=8-4")</f>
        <v>https://www.amazon.com/Thymes-Eucalyptus-Lotion-Moisturizing-Rejuvenating/dp/B0029F2HO6/ref=sr_1_4?keywords=Thymes+Eucalyptus+Body+Wash&amp;qid=1695258723&amp;sr=8-4</v>
      </c>
      <c r="F442" t="s">
        <v>713</v>
      </c>
      <c r="G442" t="e">
        <f ca="1">IMAGE("https://heavenlyouthouse.com/cdn/shop/products/thymes-eucalyptus-body-wash.jpg?v=1638555917")</f>
        <v>#NAME?</v>
      </c>
      <c r="H442" t="e">
        <f ca="1">IMAGE("https://m.media-amazon.com/images/I/61YpbCFiyNL._AC_UL320_.jpg")</f>
        <v>#NAME?</v>
      </c>
      <c r="I442" t="s">
        <v>835</v>
      </c>
      <c r="J442">
        <v>28</v>
      </c>
      <c r="K442" s="2" t="s">
        <v>1266</v>
      </c>
      <c r="L442">
        <v>4.5999999999999996</v>
      </c>
      <c r="M442">
        <v>2417</v>
      </c>
      <c r="O442" t="s">
        <v>39</v>
      </c>
      <c r="P442" t="s">
        <v>39</v>
      </c>
      <c r="Q442" t="s">
        <v>836</v>
      </c>
    </row>
    <row r="443" spans="1:17" ht="15.75" x14ac:dyDescent="0.25">
      <c r="A443" s="3" t="str">
        <f>HYPERLINK("https://heavenlyouthouse.com/products/thymes-olive-leaf-body-wash", "https://heavenlyouthouse.com/products/thymes-olive-leaf-body-wash")</f>
        <v>https://heavenlyouthouse.com/products/thymes-olive-leaf-body-wash</v>
      </c>
      <c r="B443" s="3" t="str">
        <f>HYPERLINK("https://heavenlyouthouse.com/products/thymes-olive-leaf-body-wash", "https://heavenlyouthouse.com/products/thymes-olive-leaf-body-wash")</f>
        <v>https://heavenlyouthouse.com/products/thymes-olive-leaf-body-wash</v>
      </c>
      <c r="C443" t="s">
        <v>1281</v>
      </c>
      <c r="D443" t="s">
        <v>727</v>
      </c>
      <c r="E443" s="3" t="str">
        <f>HYPERLINK("https://www.amazon.com/Thymes-Petite-Perfumed-Cr%C3%A8me-Parent/dp/B073Z3VMFX/ref=sr_1_3?keywords=Thymes+Olive+Leaf+Body+Wash&amp;qid=1695258780&amp;sr=8-3", "https://www.amazon.com/Thymes-Petite-Perfumed-Cr%C3%A8me-Parent/dp/B073Z3VMFX/ref=sr_1_3?keywords=Thymes+Olive+Leaf+Body+Wash&amp;qid=1695258780&amp;sr=8-3")</f>
        <v>https://www.amazon.com/Thymes-Petite-Perfumed-Cr%C3%A8me-Parent/dp/B073Z3VMFX/ref=sr_1_3?keywords=Thymes+Olive+Leaf+Body+Wash&amp;qid=1695258780&amp;sr=8-3</v>
      </c>
      <c r="F443" t="s">
        <v>728</v>
      </c>
      <c r="G443" t="e">
        <f ca="1">IMAGE("https://heavenlyouthouse.com/cdn/shop/files/thymes-olive-leaf-body-wash_300x300.jpg?v=1685115046")</f>
        <v>#NAME?</v>
      </c>
      <c r="H443" t="e">
        <f ca="1">IMAGE("https://m.media-amazon.com/images/I/71C0-WYNaSL._AC_UL320_.jpg")</f>
        <v>#NAME?</v>
      </c>
      <c r="I443" t="s">
        <v>835</v>
      </c>
      <c r="J443">
        <v>28</v>
      </c>
      <c r="K443" s="2" t="s">
        <v>1266</v>
      </c>
      <c r="L443">
        <v>4.5999999999999996</v>
      </c>
      <c r="M443">
        <v>2417</v>
      </c>
      <c r="O443" t="s">
        <v>39</v>
      </c>
      <c r="P443" t="s">
        <v>39</v>
      </c>
      <c r="Q443" t="s">
        <v>1282</v>
      </c>
    </row>
    <row r="444" spans="1:17" ht="15.75" x14ac:dyDescent="0.25">
      <c r="A444" s="3" t="str">
        <f>HYPERLINK("https://heavenlyouthouse.com/products/scent-free-body-lotion", "https://heavenlyouthouse.com/products/scent-free-body-lotion")</f>
        <v>https://heavenlyouthouse.com/products/scent-free-body-lotion</v>
      </c>
      <c r="B444" s="3" t="str">
        <f>HYPERLINK("https://heavenlyouthouse.com/products/scent-free-body-lotion", "https://heavenlyouthouse.com/products/scent-free-body-lotion")</f>
        <v>https://heavenlyouthouse.com/products/scent-free-body-lotion</v>
      </c>
      <c r="C444" t="s">
        <v>1283</v>
      </c>
      <c r="D444" t="s">
        <v>1284</v>
      </c>
      <c r="E444" s="3" t="str">
        <f>HYPERLINK("https://www.amazon.com/CeraVe-Moisturizing-Lotion-Hyaluronic-Fragrance/dp/B07RK4HST7/ref=sr_1_5?keywords=Scent+Free+Body+Lotion&amp;qid=1695258677&amp;sr=8-5", "https://www.amazon.com/CeraVe-Moisturizing-Lotion-Hyaluronic-Fragrance/dp/B07RK4HST7/ref=sr_1_5?keywords=Scent+Free+Body+Lotion&amp;qid=1695258677&amp;sr=8-5")</f>
        <v>https://www.amazon.com/CeraVe-Moisturizing-Lotion-Hyaluronic-Fragrance/dp/B07RK4HST7/ref=sr_1_5?keywords=Scent+Free+Body+Lotion&amp;qid=1695258677&amp;sr=8-5</v>
      </c>
      <c r="F444" t="s">
        <v>1285</v>
      </c>
      <c r="G444" t="e">
        <f ca="1">IMAGE("https://heavenlyouthouse.com/cdn/shop/products/Scent-Free_Body-Lotion_2048_2000x_12fe1f2b-c9b7-410b-bcaa-1736dd65bc07.jpg?v=1586911361")</f>
        <v>#NAME?</v>
      </c>
      <c r="H444" t="e">
        <f ca="1">IMAGE("https://m.media-amazon.com/images/I/71ibAdtlUjL._AC_UL320_.jpg")</f>
        <v>#NAME?</v>
      </c>
      <c r="I444" t="s">
        <v>399</v>
      </c>
      <c r="J444">
        <v>18.39</v>
      </c>
      <c r="K444" s="2" t="s">
        <v>1266</v>
      </c>
      <c r="L444">
        <v>4.8</v>
      </c>
      <c r="M444">
        <v>42327</v>
      </c>
      <c r="O444" t="s">
        <v>39</v>
      </c>
      <c r="P444" t="s">
        <v>39</v>
      </c>
      <c r="Q444" t="s">
        <v>1286</v>
      </c>
    </row>
    <row r="445" spans="1:17" ht="15.75" x14ac:dyDescent="0.25">
      <c r="A445" s="3" t="str">
        <f>HYPERLINK("https://heavenlyouthouse.com/products/eucalyptus-body-wash", "https://heavenlyouthouse.com/products/eucalyptus-body-wash")</f>
        <v>https://heavenlyouthouse.com/products/eucalyptus-body-wash</v>
      </c>
      <c r="B445" s="3" t="str">
        <f>HYPERLINK("https://heavenlyouthouse.com/products/eucalyptus-body-wash", "https://heavenlyouthouse.com/products/eucalyptus-body-wash")</f>
        <v>https://heavenlyouthouse.com/products/eucalyptus-body-wash</v>
      </c>
      <c r="C445" t="s">
        <v>832</v>
      </c>
      <c r="D445" t="s">
        <v>1287</v>
      </c>
      <c r="E445" s="3" t="str">
        <f>HYPERLINK("https://www.amazon.com/Dove-Invigorating-Eucalyptus-Refreshes-Invigorates/dp/B0BVC1FNLH/ref=sr_1_10?keywords=Thymes+Eucalyptus+Body+Wash&amp;qid=1695258723&amp;sr=8-10", "https://www.amazon.com/Dove-Invigorating-Eucalyptus-Refreshes-Invigorates/dp/B0BVC1FNLH/ref=sr_1_10?keywords=Thymes+Eucalyptus+Body+Wash&amp;qid=1695258723&amp;sr=8-10")</f>
        <v>https://www.amazon.com/Dove-Invigorating-Eucalyptus-Refreshes-Invigorates/dp/B0BVC1FNLH/ref=sr_1_10?keywords=Thymes+Eucalyptus+Body+Wash&amp;qid=1695258723&amp;sr=8-10</v>
      </c>
      <c r="F445" t="s">
        <v>1288</v>
      </c>
      <c r="G445" t="e">
        <f ca="1">IMAGE("https://heavenlyouthouse.com/cdn/shop/products/thymes-eucalyptus-body-wash.jpg?v=1638555917")</f>
        <v>#NAME?</v>
      </c>
      <c r="H445" t="e">
        <f ca="1">IMAGE("https://m.media-amazon.com/images/I/81qIChYvhXL._AC_UL320_.jpg")</f>
        <v>#NAME?</v>
      </c>
      <c r="I445" t="s">
        <v>835</v>
      </c>
      <c r="J445">
        <v>27.96</v>
      </c>
      <c r="K445" s="2" t="s">
        <v>1266</v>
      </c>
      <c r="L445">
        <v>4.5</v>
      </c>
      <c r="M445">
        <v>112</v>
      </c>
      <c r="O445" t="s">
        <v>39</v>
      </c>
      <c r="P445" t="s">
        <v>39</v>
      </c>
      <c r="Q445" t="s">
        <v>836</v>
      </c>
    </row>
    <row r="446" spans="1:17" ht="15.75" x14ac:dyDescent="0.25">
      <c r="A446" s="3" t="str">
        <f>HYPERLINK("https://heavenlyouthouse.com/products/vanilla-coconut-butter", "https://heavenlyouthouse.com/products/vanilla-coconut-butter")</f>
        <v>https://heavenlyouthouse.com/products/vanilla-coconut-butter</v>
      </c>
      <c r="B446" s="3" t="str">
        <f>HYPERLINK("https://heavenlyouthouse.com/products/vanilla-coconut-butter", "https://heavenlyouthouse.com/products/vanilla-coconut-butter")</f>
        <v>https://heavenlyouthouse.com/products/vanilla-coconut-butter</v>
      </c>
      <c r="C446" t="s">
        <v>309</v>
      </c>
      <c r="D446" t="s">
        <v>1289</v>
      </c>
      <c r="E446" s="3" t="str">
        <f>HYPERLINK("https://www.amazon.com/Soap-Glory-Smoothie-Star-Butter/dp/B0B2VJ7TX6/ref=sr_1_6?keywords=Vanilla+Coconut+Body+Butter&amp;qid=1695258804&amp;sr=8-6", "https://www.amazon.com/Soap-Glory-Smoothie-Star-Butter/dp/B0B2VJ7TX6/ref=sr_1_6?keywords=Vanilla+Coconut+Body+Butter&amp;qid=1695258804&amp;sr=8-6")</f>
        <v>https://www.amazon.com/Soap-Glory-Smoothie-Star-Butter/dp/B0B2VJ7TX6/ref=sr_1_6?keywords=Vanilla+Coconut+Body+Butter&amp;qid=1695258804&amp;sr=8-6</v>
      </c>
      <c r="F446" t="s">
        <v>1290</v>
      </c>
      <c r="G446" t="e">
        <f ca="1">IMAGE("https://heavenlyouthouse.com/cdn/shop/products/vanilla-coconut-body-butter_2000x_5ad751a5-f997-4412-b034-d7b35819d9d9.jpg?v=1588193267")</f>
        <v>#NAME?</v>
      </c>
      <c r="H446" t="e">
        <f ca="1">IMAGE("https://m.media-amazon.com/images/I/71HxYSuwQ4L._AC_UL320_.jpg")</f>
        <v>#NAME?</v>
      </c>
      <c r="I446" t="s">
        <v>233</v>
      </c>
      <c r="J446">
        <v>13.98</v>
      </c>
      <c r="K446" s="2" t="s">
        <v>1291</v>
      </c>
      <c r="L446">
        <v>4.0999999999999996</v>
      </c>
      <c r="M446">
        <v>105</v>
      </c>
      <c r="O446" t="s">
        <v>39</v>
      </c>
      <c r="P446" t="s">
        <v>39</v>
      </c>
      <c r="Q446" t="s">
        <v>313</v>
      </c>
    </row>
    <row r="447" spans="1:17" ht="15.75" x14ac:dyDescent="0.25">
      <c r="A447" s="3" t="str">
        <f>HYPERLINK("https://heavenlyouthouse.com/products/lavender-bubble-bath", "https://heavenlyouthouse.com/products/lavender-bubble-bath")</f>
        <v>https://heavenlyouthouse.com/products/lavender-bubble-bath</v>
      </c>
      <c r="B447" s="3" t="str">
        <f>HYPERLINK("https://heavenlyouthouse.com/products/lavender-bubble-bath", "https://heavenlyouthouse.com/products/lavender-bubble-bath")</f>
        <v>https://heavenlyouthouse.com/products/lavender-bubble-bath</v>
      </c>
      <c r="C447" t="s">
        <v>1208</v>
      </c>
      <c r="D447" t="s">
        <v>1292</v>
      </c>
      <c r="E447" s="3" t="str">
        <f>HYPERLINK("https://www.amazon.com/LOccitane-Lavender-Foaming-Bath-Refill/dp/B0771SWLPY/ref=sr_1_9?keywords=Thymes+Lavender+Bubble+Bath&amp;qid=1695258760&amp;sr=8-9", "https://www.amazon.com/LOccitane-Lavender-Foaming-Bath-Refill/dp/B0771SWLPY/ref=sr_1_9?keywords=Thymes+Lavender+Bubble+Bath&amp;qid=1695258760&amp;sr=8-9")</f>
        <v>https://www.amazon.com/LOccitane-Lavender-Foaming-Bath-Refill/dp/B0771SWLPY/ref=sr_1_9?keywords=Thymes+Lavender+Bubble+Bath&amp;qid=1695258760&amp;sr=8-9</v>
      </c>
      <c r="F447" t="s">
        <v>1293</v>
      </c>
      <c r="G447" t="e">
        <f ca="1">IMAGE("https://heavenlyouthouse.com/cdn/shop/products/thymeslavenderbubblebath.jpg?v=1608572028")</f>
        <v>#NAME?</v>
      </c>
      <c r="H447" t="e">
        <f ca="1">IMAGE("https://m.media-amazon.com/images/I/61mf1ePhINL._AC_UL320_.jpg")</f>
        <v>#NAME?</v>
      </c>
      <c r="I447" t="s">
        <v>1211</v>
      </c>
      <c r="J447">
        <v>34</v>
      </c>
      <c r="K447" s="2" t="s">
        <v>1291</v>
      </c>
      <c r="L447">
        <v>4.8</v>
      </c>
      <c r="M447">
        <v>204</v>
      </c>
      <c r="O447" t="s">
        <v>39</v>
      </c>
      <c r="P447" t="s">
        <v>39</v>
      </c>
      <c r="Q447" t="s">
        <v>1212</v>
      </c>
    </row>
    <row r="448" spans="1:17" ht="15.75" x14ac:dyDescent="0.25">
      <c r="A448" s="3" t="str">
        <f>HYPERLINK("https://heavenlyouthouse.com/products/thymes-simmered-cider-wax-melt", "https://heavenlyouthouse.com/products/thymes-simmered-cider-wax-melt")</f>
        <v>https://heavenlyouthouse.com/products/thymes-simmered-cider-wax-melt</v>
      </c>
      <c r="B448" s="3" t="str">
        <f>HYPERLINK("https://heavenlyouthouse.com/products/thymes-simmered-cider-wax-melt", "https://heavenlyouthouse.com/products/thymes-simmered-cider-wax-melt")</f>
        <v>https://heavenlyouthouse.com/products/thymes-simmered-cider-wax-melt</v>
      </c>
      <c r="C448" t="s">
        <v>1294</v>
      </c>
      <c r="D448" t="s">
        <v>1295</v>
      </c>
      <c r="E448" s="3" t="str">
        <f>HYPERLINK("https://www.amazon.com/Thymes-Fragrant-Simmered-Cider-Scented/dp/B01IAM1WVA/ref=sr_1_1?keywords=Thymes+Simmered+Cider+Wax+Melt&amp;qid=1695258788&amp;sr=8-1", "https://www.amazon.com/Thymes-Fragrant-Simmered-Cider-Scented/dp/B01IAM1WVA/ref=sr_1_1?keywords=Thymes+Simmered+Cider+Wax+Melt&amp;qid=1695258788&amp;sr=8-1")</f>
        <v>https://www.amazon.com/Thymes-Fragrant-Simmered-Cider-Scented/dp/B01IAM1WVA/ref=sr_1_1?keywords=Thymes+Simmered+Cider+Wax+Melt&amp;qid=1695258788&amp;sr=8-1</v>
      </c>
      <c r="F448" t="s">
        <v>1296</v>
      </c>
      <c r="G448" t="e">
        <f ca="1">IMAGE("https://heavenlyouthouse.com/cdn/shop/products/simmered-cider-wax-melt.jpg?v=1677107956")</f>
        <v>#NAME?</v>
      </c>
      <c r="H448" t="e">
        <f ca="1">IMAGE("https://m.media-amazon.com/images/I/514t3vAw1WL._AC_UL320_.jpg")</f>
        <v>#NAME?</v>
      </c>
      <c r="I448" t="s">
        <v>1297</v>
      </c>
      <c r="J448">
        <v>10</v>
      </c>
      <c r="K448" s="2" t="s">
        <v>1291</v>
      </c>
      <c r="L448">
        <v>4.4000000000000004</v>
      </c>
      <c r="M448">
        <v>884</v>
      </c>
      <c r="O448" t="s">
        <v>39</v>
      </c>
      <c r="P448" t="s">
        <v>955</v>
      </c>
      <c r="Q448" t="s">
        <v>1298</v>
      </c>
    </row>
    <row r="449" spans="1:17" ht="15.75" x14ac:dyDescent="0.25">
      <c r="A449" s="3" t="str">
        <f>HYPERLINK("https://heavenlyouthouse.com/products/poo-pourri-original-citrus-toilet-spray?variant=39334155321433", "https://heavenlyouthouse.com/products/poo-pourri-original-citrus-toilet-spray?variant=39334155321433")</f>
        <v>https://heavenlyouthouse.com/products/poo-pourri-original-citrus-toilet-spray?variant=39334155321433</v>
      </c>
      <c r="B449" s="3" t="str">
        <f>HYPERLINK("https://heavenlyouthouse.com/products/poo-pourri-original-citrus-toilet-spray", "https://heavenlyouthouse.com/products/poo-pourri-original-citrus-toilet-spray")</f>
        <v>https://heavenlyouthouse.com/products/poo-pourri-original-citrus-toilet-spray</v>
      </c>
      <c r="C449" t="s">
        <v>526</v>
      </c>
      <c r="D449" t="s">
        <v>1299</v>
      </c>
      <c r="E449" s="3" t="str">
        <f>HYPERLINK("https://www.amazon.com/Poo-Pourri-Before-You-Go-Toilet-Original-Citrus/dp/B0C9Z11NTK/ref=sr_1_3?keywords=Poo-Pourri+Original+Citrus+Toilet+Spray&amp;qid=1695258667&amp;sr=8-3", "https://www.amazon.com/Poo-Pourri-Before-You-Go-Toilet-Original-Citrus/dp/B0C9Z11NTK/ref=sr_1_3?keywords=Poo-Pourri+Original+Citrus+Toilet+Spray&amp;qid=1695258667&amp;sr=8-3")</f>
        <v>https://www.amazon.com/Poo-Pourri-Before-You-Go-Toilet-Original-Citrus/dp/B0C9Z11NTK/ref=sr_1_3?keywords=Poo-Pourri+Original+Citrus+Toilet+Spray&amp;qid=1695258667&amp;sr=8-3</v>
      </c>
      <c r="F449" t="s">
        <v>1300</v>
      </c>
      <c r="G449" t="e">
        <f ca="1">IMAGE("https://heavenlyouthouse.com/cdn/shop/products/Poo-pourrioriginalcitrustoiletbathroomspray1.jpg?v=1621615377")</f>
        <v>#NAME?</v>
      </c>
      <c r="H449" t="e">
        <f ca="1">IMAGE("https://m.media-amazon.com/images/I/51krvQ-D-LL._AC_UL320_.jpg")</f>
        <v>#NAME?</v>
      </c>
      <c r="I449" t="s">
        <v>362</v>
      </c>
      <c r="J449">
        <v>12.98</v>
      </c>
      <c r="K449" s="2" t="s">
        <v>1291</v>
      </c>
      <c r="L449">
        <v>5</v>
      </c>
      <c r="M449">
        <v>9</v>
      </c>
      <c r="O449" t="s">
        <v>136</v>
      </c>
      <c r="P449" t="s">
        <v>363</v>
      </c>
      <c r="Q449" t="s">
        <v>530</v>
      </c>
    </row>
    <row r="450" spans="1:17" ht="15.75" x14ac:dyDescent="0.25">
      <c r="A450" s="3" t="str">
        <f>HYPERLINK("https://heavenlyouthouse.com/products/kimono-rose-body-lotion", "https://heavenlyouthouse.com/products/kimono-rose-body-lotion")</f>
        <v>https://heavenlyouthouse.com/products/kimono-rose-body-lotion</v>
      </c>
      <c r="B450" s="3" t="str">
        <f>HYPERLINK("https://heavenlyouthouse.com/products/kimono-rose-body-lotion", "https://heavenlyouthouse.com/products/kimono-rose-body-lotion")</f>
        <v>https://heavenlyouthouse.com/products/kimono-rose-body-lotion</v>
      </c>
      <c r="C450" t="s">
        <v>1301</v>
      </c>
      <c r="D450" t="s">
        <v>633</v>
      </c>
      <c r="E450" s="3" t="str">
        <f>HYPERLINK("https://www.amazon.com/Thymes-Travel-Set-Beauty-Bag/dp/B08CVR64W7/ref=sr_1_3?keywords=Thymes+Kimono+Rose+Body+Lotion&amp;qid=1695258757&amp;sr=8-3", "https://www.amazon.com/Thymes-Travel-Set-Beauty-Bag/dp/B08CVR64W7/ref=sr_1_3?keywords=Thymes+Kimono+Rose+Body+Lotion&amp;qid=1695258757&amp;sr=8-3")</f>
        <v>https://www.amazon.com/Thymes-Travel-Set-Beauty-Bag/dp/B08CVR64W7/ref=sr_1_3?keywords=Thymes+Kimono+Rose+Body+Lotion&amp;qid=1695258757&amp;sr=8-3</v>
      </c>
      <c r="F450" t="s">
        <v>634</v>
      </c>
      <c r="G450" t="e">
        <f ca="1">IMAGE("https://heavenlyouthouse.com/cdn/shop/products/thymes-kimono-rose-body-lotion_103ffa33-d927-4c1c-a6c8-86492c96b160.png?v=1652277106")</f>
        <v>#NAME?</v>
      </c>
      <c r="H450" t="e">
        <f ca="1">IMAGE("https://m.media-amazon.com/images/I/71usZZkC9AL._AC_UL320_.jpg")</f>
        <v>#NAME?</v>
      </c>
      <c r="I450" t="s">
        <v>1233</v>
      </c>
      <c r="J450">
        <v>32</v>
      </c>
      <c r="K450" s="2" t="s">
        <v>1291</v>
      </c>
      <c r="L450">
        <v>4.5999999999999996</v>
      </c>
      <c r="M450">
        <v>91</v>
      </c>
      <c r="O450" t="s">
        <v>39</v>
      </c>
      <c r="P450" t="s">
        <v>1302</v>
      </c>
      <c r="Q450" t="s">
        <v>1303</v>
      </c>
    </row>
    <row r="451" spans="1:17" ht="15.75" x14ac:dyDescent="0.25">
      <c r="A451" s="3" t="str">
        <f>HYPERLINK("https://heavenlyouthouse.com/products/thymes-frasier-fir-pine-needle-candle", "https://heavenlyouthouse.com/products/thymes-frasier-fir-pine-needle-candle")</f>
        <v>https://heavenlyouthouse.com/products/thymes-frasier-fir-pine-needle-candle</v>
      </c>
      <c r="B451" s="3" t="str">
        <f>HYPERLINK("https://heavenlyouthouse.com/products/thymes-frasier-fir-pine-needle-candle", "https://heavenlyouthouse.com/products/thymes-frasier-fir-pine-needle-candle")</f>
        <v>https://heavenlyouthouse.com/products/thymes-frasier-fir-pine-needle-candle</v>
      </c>
      <c r="C451" t="s">
        <v>263</v>
      </c>
      <c r="D451" t="s">
        <v>441</v>
      </c>
      <c r="E451" s="3" t="str">
        <f>HYPERLINK("https://www.amazon.com/Thymes-Frasier-Fir-Candle-Set/dp/B0140PRD7I/ref=sr_1_7?keywords=Thymes+Frasier+Fir+Pine+Needle+Candle&amp;qid=1695258736&amp;sr=8-7", "https://www.amazon.com/Thymes-Frasier-Fir-Candle-Set/dp/B0140PRD7I/ref=sr_1_7?keywords=Thymes+Frasier+Fir+Pine+Needle+Candle&amp;qid=1695258736&amp;sr=8-7")</f>
        <v>https://www.amazon.com/Thymes-Frasier-Fir-Candle-Set/dp/B0140PRD7I/ref=sr_1_7?keywords=Thymes+Frasier+Fir+Pine+Needle+Candle&amp;qid=1695258736&amp;sr=8-7</v>
      </c>
      <c r="F451" t="s">
        <v>442</v>
      </c>
      <c r="G451" t="e">
        <f ca="1">IMAGE("https://heavenlyouthouse.com/cdn/shop/products/thymesfrasierfirpineneedlecandle6.5oz.jpg?v=1619632712")</f>
        <v>#NAME?</v>
      </c>
      <c r="H451" t="e">
        <f ca="1">IMAGE("https://m.media-amazon.com/images/I/71tOjhmJH0L._AC_UL320_.jpg")</f>
        <v>#NAME?</v>
      </c>
      <c r="I451" t="s">
        <v>264</v>
      </c>
      <c r="J451">
        <v>38</v>
      </c>
      <c r="K451" s="2" t="s">
        <v>1304</v>
      </c>
      <c r="L451">
        <v>4.7</v>
      </c>
      <c r="M451">
        <v>181</v>
      </c>
      <c r="O451" t="s">
        <v>39</v>
      </c>
      <c r="P451" t="s">
        <v>266</v>
      </c>
      <c r="Q451" t="s">
        <v>267</v>
      </c>
    </row>
    <row r="452" spans="1:17" ht="15.75" x14ac:dyDescent="0.25">
      <c r="A452" s="3" t="str">
        <f>HYPERLINK("https://heavenlyouthouse.com/products/thymes-simmered-cider-copper-cup-candle", "https://heavenlyouthouse.com/products/thymes-simmered-cider-copper-cup-candle")</f>
        <v>https://heavenlyouthouse.com/products/thymes-simmered-cider-copper-cup-candle</v>
      </c>
      <c r="B452" s="3" t="str">
        <f>HYPERLINK("https://heavenlyouthouse.com/products/thymes-simmered-cider-copper-cup-candle", "https://heavenlyouthouse.com/products/thymes-simmered-cider-copper-cup-candle")</f>
        <v>https://heavenlyouthouse.com/products/thymes-simmered-cider-copper-cup-candle</v>
      </c>
      <c r="C452" t="s">
        <v>701</v>
      </c>
      <c r="D452" t="s">
        <v>1305</v>
      </c>
      <c r="E452" s="3" t="str">
        <f>HYPERLINK("https://www.amazon.com/Thymes-Simmered-Candle-Reusable-Copper/dp/B01KIH52E8/ref=sr_1_1?keywords=Thymes+Simmered+Cider+Copper+Cup+Candle&amp;qid=1695258781&amp;sr=8-1", "https://www.amazon.com/Thymes-Simmered-Candle-Reusable-Copper/dp/B01KIH52E8/ref=sr_1_1?keywords=Thymes+Simmered+Cider+Copper+Cup+Candle&amp;qid=1695258781&amp;sr=8-1")</f>
        <v>https://www.amazon.com/Thymes-Simmered-Candle-Reusable-Copper/dp/B01KIH52E8/ref=sr_1_1?keywords=Thymes+Simmered+Cider+Copper+Cup+Candle&amp;qid=1695258781&amp;sr=8-1</v>
      </c>
      <c r="F452" t="s">
        <v>1306</v>
      </c>
      <c r="G452" t="e">
        <f ca="1">IMAGE("https://heavenlyouthouse.com/cdn/shop/products/simmered-cider-copper-mug-candle.jpg?v=1674146070")</f>
        <v>#NAME?</v>
      </c>
      <c r="H452" t="e">
        <f ca="1">IMAGE("https://m.media-amazon.com/images/I/61ngNkkTtrL._AC_UL320_.jpg")</f>
        <v>#NAME?</v>
      </c>
      <c r="I452" t="s">
        <v>264</v>
      </c>
      <c r="J452">
        <v>38</v>
      </c>
      <c r="K452" s="2" t="s">
        <v>1304</v>
      </c>
      <c r="L452">
        <v>4.5</v>
      </c>
      <c r="M452">
        <v>86</v>
      </c>
      <c r="O452" t="s">
        <v>39</v>
      </c>
      <c r="P452" t="s">
        <v>336</v>
      </c>
      <c r="Q452" t="s">
        <v>704</v>
      </c>
    </row>
    <row r="453" spans="1:17" ht="15.75" x14ac:dyDescent="0.25">
      <c r="A453" s="3" t="str">
        <f>HYPERLINK("https://heavenlyouthouse.com/products/proud-cock-creamy-shave-soap", "https://heavenlyouthouse.com/products/proud-cock-creamy-shave-soap")</f>
        <v>https://heavenlyouthouse.com/products/proud-cock-creamy-shave-soap</v>
      </c>
      <c r="B453" s="3" t="str">
        <f>HYPERLINK("https://heavenlyouthouse.com/products/proud-cock-creamy-shave-soap", "https://heavenlyouthouse.com/products/proud-cock-creamy-shave-soap")</f>
        <v>https://heavenlyouthouse.com/products/proud-cock-creamy-shave-soap</v>
      </c>
      <c r="C453" t="s">
        <v>1307</v>
      </c>
      <c r="D453" t="s">
        <v>1308</v>
      </c>
      <c r="E453" s="3" t="str">
        <f>HYPERLINK("https://www.amazon.com/Walton-Wood-Farm-Proud-Creamy/dp/B078KS23M9/ref=sr_1_1?keywords=Proud+Cock+Creamy+Shave+Soap&amp;qid=1695258646&amp;sr=8-1", "https://www.amazon.com/Walton-Wood-Farm-Proud-Creamy/dp/B078KS23M9/ref=sr_1_1?keywords=Proud+Cock+Creamy+Shave+Soap&amp;qid=1695258646&amp;sr=8-1")</f>
        <v>https://www.amazon.com/Walton-Wood-Farm-Proud-Creamy/dp/B078KS23M9/ref=sr_1_1?keywords=Proud+Cock+Creamy+Shave+Soap&amp;qid=1695258646&amp;sr=8-1</v>
      </c>
      <c r="F453" t="s">
        <v>1309</v>
      </c>
      <c r="G453" t="e">
        <f ca="1">IMAGE("https://heavenlyouthouse.com/cdn/shop/products/proudcockcreamyshavesoap.jpg?v=1608168378")</f>
        <v>#NAME?</v>
      </c>
      <c r="H453" t="e">
        <f ca="1">IMAGE("https://m.media-amazon.com/images/I/61kKT-cJlqL._AC_UL320_.jpg")</f>
        <v>#NAME?</v>
      </c>
      <c r="I453" t="s">
        <v>328</v>
      </c>
      <c r="J453">
        <v>24.13</v>
      </c>
      <c r="K453" s="2" t="s">
        <v>1304</v>
      </c>
      <c r="L453">
        <v>4.3</v>
      </c>
      <c r="M453">
        <v>62</v>
      </c>
      <c r="O453" t="s">
        <v>39</v>
      </c>
      <c r="P453" t="s">
        <v>39</v>
      </c>
      <c r="Q453" t="s">
        <v>1310</v>
      </c>
    </row>
    <row r="454" spans="1:17" ht="15.75" x14ac:dyDescent="0.25">
      <c r="A454" s="3" t="str">
        <f t="shared" ref="A454:B456" si="4">HYPERLINK("https://heavenlyouthouse.com/products/retirement-card", "https://heavenlyouthouse.com/products/retirement-card")</f>
        <v>https://heavenlyouthouse.com/products/retirement-card</v>
      </c>
      <c r="B454" s="3" t="str">
        <f t="shared" si="4"/>
        <v>https://heavenlyouthouse.com/products/retirement-card</v>
      </c>
      <c r="C454" t="s">
        <v>964</v>
      </c>
      <c r="D454" t="s">
        <v>1311</v>
      </c>
      <c r="E454" s="3" t="str">
        <f>HYPERLINK("https://www.amazon.com/Chenive-Retirement-Coworker-Friend-Retired/dp/B0C64LJ26J/ref=sr_1_10?keywords=Retirement+Card&amp;qid=1695258667&amp;sr=8-10", "https://www.amazon.com/Chenive-Retirement-Coworker-Friend-Retired/dp/B0C64LJ26J/ref=sr_1_10?keywords=Retirement+Card&amp;qid=1695258667&amp;sr=8-10")</f>
        <v>https://www.amazon.com/Chenive-Retirement-Coworker-Friend-Retired/dp/B0C64LJ26J/ref=sr_1_10?keywords=Retirement+Card&amp;qid=1695258667&amp;sr=8-10</v>
      </c>
      <c r="F454" t="s">
        <v>1312</v>
      </c>
      <c r="G454" t="e">
        <f ca="1">IMAGE("https://heavenlyouthouse.com/cdn/shop/files/retirement-card1_300x300.jpg?v=1692054658")</f>
        <v>#NAME?</v>
      </c>
      <c r="H454" t="e">
        <f ca="1">IMAGE("https://m.media-amazon.com/images/I/71pvaDI602L._AC_UL320_.jpg")</f>
        <v>#NAME?</v>
      </c>
      <c r="I454" t="s">
        <v>414</v>
      </c>
      <c r="J454">
        <v>5.99</v>
      </c>
      <c r="K454" s="2" t="s">
        <v>1304</v>
      </c>
      <c r="L454">
        <v>4.9000000000000004</v>
      </c>
      <c r="M454">
        <v>29</v>
      </c>
      <c r="O454" t="s">
        <v>39</v>
      </c>
      <c r="P454" t="s">
        <v>39</v>
      </c>
      <c r="Q454" t="s">
        <v>967</v>
      </c>
    </row>
    <row r="455" spans="1:17" ht="15.75" x14ac:dyDescent="0.25">
      <c r="A455" s="3" t="str">
        <f t="shared" si="4"/>
        <v>https://heavenlyouthouse.com/products/retirement-card</v>
      </c>
      <c r="B455" s="3" t="str">
        <f t="shared" si="4"/>
        <v>https://heavenlyouthouse.com/products/retirement-card</v>
      </c>
      <c r="C455" t="s">
        <v>964</v>
      </c>
      <c r="D455" t="s">
        <v>1313</v>
      </c>
      <c r="E455" s="3" t="str">
        <f>HYPERLINK("https://www.amazon.com/OJsensai-Retirement-Hilarious-Congratulation-Colleague/dp/B0CCHRV8RZ/ref=sr_1_7?keywords=Retirement+Card&amp;qid=1695258667&amp;sr=8-7", "https://www.amazon.com/OJsensai-Retirement-Hilarious-Congratulation-Colleague/dp/B0CCHRV8RZ/ref=sr_1_7?keywords=Retirement+Card&amp;qid=1695258667&amp;sr=8-7")</f>
        <v>https://www.amazon.com/OJsensai-Retirement-Hilarious-Congratulation-Colleague/dp/B0CCHRV8RZ/ref=sr_1_7?keywords=Retirement+Card&amp;qid=1695258667&amp;sr=8-7</v>
      </c>
      <c r="F455" t="s">
        <v>1314</v>
      </c>
      <c r="G455" t="e">
        <f ca="1">IMAGE("https://heavenlyouthouse.com/cdn/shop/files/retirement-card1_300x300.jpg?v=1692054658")</f>
        <v>#NAME?</v>
      </c>
      <c r="H455" t="e">
        <f ca="1">IMAGE("https://m.media-amazon.com/images/I/61oDLjGScqL._AC_UL320_.jpg")</f>
        <v>#NAME?</v>
      </c>
      <c r="I455" t="s">
        <v>414</v>
      </c>
      <c r="J455">
        <v>5.99</v>
      </c>
      <c r="K455" s="2" t="s">
        <v>1304</v>
      </c>
      <c r="L455">
        <v>5</v>
      </c>
      <c r="M455">
        <v>1</v>
      </c>
      <c r="O455" t="s">
        <v>39</v>
      </c>
      <c r="P455" t="s">
        <v>39</v>
      </c>
      <c r="Q455" t="s">
        <v>967</v>
      </c>
    </row>
    <row r="456" spans="1:17" ht="15.75" x14ac:dyDescent="0.25">
      <c r="A456" s="3" t="str">
        <f t="shared" si="4"/>
        <v>https://heavenlyouthouse.com/products/retirement-card</v>
      </c>
      <c r="B456" s="3" t="str">
        <f t="shared" si="4"/>
        <v>https://heavenlyouthouse.com/products/retirement-card</v>
      </c>
      <c r="C456" t="s">
        <v>964</v>
      </c>
      <c r="D456" t="s">
        <v>1315</v>
      </c>
      <c r="E456" s="3" t="str">
        <f>HYPERLINK("https://www.amazon.com/Retirement-Coworker-Colleague-Retiring-Fucking/dp/B0B281XR6T/ref=sr_1_8?keywords=Retirement+Card&amp;qid=1695258667&amp;sr=8-8", "https://www.amazon.com/Retirement-Coworker-Colleague-Retiring-Fucking/dp/B0B281XR6T/ref=sr_1_8?keywords=Retirement+Card&amp;qid=1695258667&amp;sr=8-8")</f>
        <v>https://www.amazon.com/Retirement-Coworker-Colleague-Retiring-Fucking/dp/B0B281XR6T/ref=sr_1_8?keywords=Retirement+Card&amp;qid=1695258667&amp;sr=8-8</v>
      </c>
      <c r="F456" t="s">
        <v>1316</v>
      </c>
      <c r="G456" t="e">
        <f ca="1">IMAGE("https://heavenlyouthouse.com/cdn/shop/files/retirement-card1_300x300.jpg?v=1692054658")</f>
        <v>#NAME?</v>
      </c>
      <c r="H456" t="e">
        <f ca="1">IMAGE("https://m.media-amazon.com/images/I/61b8wsJj6DL._AC_UL320_.jpg")</f>
        <v>#NAME?</v>
      </c>
      <c r="I456" t="s">
        <v>414</v>
      </c>
      <c r="J456">
        <v>5.99</v>
      </c>
      <c r="K456" s="2" t="s">
        <v>1304</v>
      </c>
      <c r="L456">
        <v>4.9000000000000004</v>
      </c>
      <c r="M456">
        <v>1059</v>
      </c>
      <c r="O456" t="s">
        <v>39</v>
      </c>
      <c r="P456" t="s">
        <v>39</v>
      </c>
      <c r="Q456" t="s">
        <v>967</v>
      </c>
    </row>
    <row r="457" spans="1:17" ht="15.75" x14ac:dyDescent="0.25">
      <c r="A457" s="3" t="str">
        <f>HYPERLINK("https://heavenlyouthouse.com/products/fresh-cut-basil-hand-lotion", "https://heavenlyouthouse.com/products/fresh-cut-basil-hand-lotion")</f>
        <v>https://heavenlyouthouse.com/products/fresh-cut-basil-hand-lotion</v>
      </c>
      <c r="B457" s="3" t="str">
        <f>HYPERLINK("https://heavenlyouthouse.com/products/fresh-cut-basil-hand-lotion", "https://heavenlyouthouse.com/products/fresh-cut-basil-hand-lotion")</f>
        <v>https://heavenlyouthouse.com/products/fresh-cut-basil-hand-lotion</v>
      </c>
      <c r="C457" t="s">
        <v>1317</v>
      </c>
      <c r="D457" t="s">
        <v>1318</v>
      </c>
      <c r="E457" s="3" t="str">
        <f>HYPERLINK("https://www.amazon.com/Thymes-Hand-Cream-Fresh-Cut-Basil/dp/B07Q2G3DJR/ref=sr_1_2?keywords=Thymes+Fresh-Cut+Basil+Hand+Lotion&amp;qid=1695258747&amp;sr=8-2", "https://www.amazon.com/Thymes-Hand-Cream-Fresh-Cut-Basil/dp/B07Q2G3DJR/ref=sr_1_2?keywords=Thymes+Fresh-Cut+Basil+Hand+Lotion&amp;qid=1695258747&amp;sr=8-2")</f>
        <v>https://www.amazon.com/Thymes-Hand-Cream-Fresh-Cut-Basil/dp/B07Q2G3DJR/ref=sr_1_2?keywords=Thymes+Fresh-Cut+Basil+Hand+Lotion&amp;qid=1695258747&amp;sr=8-2</v>
      </c>
      <c r="F457" t="s">
        <v>1319</v>
      </c>
      <c r="G457" t="e">
        <f ca="1">IMAGE("https://heavenlyouthouse.com/cdn/shop/products/thymesfresh-cutbasilhandlotion.jpg?v=1613073234")</f>
        <v>#NAME?</v>
      </c>
      <c r="H457" t="e">
        <f ca="1">IMAGE("https://m.media-amazon.com/images/I/61Jsyh--IBL._AC_UL320_.jpg")</f>
        <v>#NAME?</v>
      </c>
      <c r="I457" t="s">
        <v>86</v>
      </c>
      <c r="J457">
        <v>18</v>
      </c>
      <c r="K457" s="2" t="s">
        <v>1304</v>
      </c>
      <c r="L457">
        <v>4.8</v>
      </c>
      <c r="M457">
        <v>401</v>
      </c>
      <c r="O457" t="s">
        <v>39</v>
      </c>
      <c r="P457" t="s">
        <v>484</v>
      </c>
      <c r="Q457" t="s">
        <v>1320</v>
      </c>
    </row>
    <row r="458" spans="1:17" ht="15.75" x14ac:dyDescent="0.25">
      <c r="A458" s="3" t="str">
        <f>HYPERLINK("https://heavenlyouthouse.com/products/fresh-cut-basil-hand-wash", "https://heavenlyouthouse.com/products/fresh-cut-basil-hand-wash")</f>
        <v>https://heavenlyouthouse.com/products/fresh-cut-basil-hand-wash</v>
      </c>
      <c r="B458" s="3" t="str">
        <f>HYPERLINK("https://heavenlyouthouse.com/products/fresh-cut-basil-hand-wash", "https://heavenlyouthouse.com/products/fresh-cut-basil-hand-wash")</f>
        <v>https://heavenlyouthouse.com/products/fresh-cut-basil-hand-wash</v>
      </c>
      <c r="C458" t="s">
        <v>554</v>
      </c>
      <c r="D458" t="s">
        <v>1318</v>
      </c>
      <c r="E458" s="3" t="str">
        <f>HYPERLINK("https://www.amazon.com/Thymes-Hand-Cream-Fresh-Cut-Basil/dp/B07Q2G3DJR/ref=sr_1_2?keywords=Thymes+Fresh-Cut+Basil+Hand+Wash&amp;qid=1695258744&amp;sr=8-2", "https://www.amazon.com/Thymes-Hand-Cream-Fresh-Cut-Basil/dp/B07Q2G3DJR/ref=sr_1_2?keywords=Thymes+Fresh-Cut+Basil+Hand+Wash&amp;qid=1695258744&amp;sr=8-2")</f>
        <v>https://www.amazon.com/Thymes-Hand-Cream-Fresh-Cut-Basil/dp/B07Q2G3DJR/ref=sr_1_2?keywords=Thymes+Fresh-Cut+Basil+Hand+Wash&amp;qid=1695258744&amp;sr=8-2</v>
      </c>
      <c r="F458" t="s">
        <v>1319</v>
      </c>
      <c r="G458" t="e">
        <f ca="1">IMAGE("https://heavenlyouthouse.com/cdn/shop/products/thymesfresh-cutbasilhandwash.jpg?v=1613073126")</f>
        <v>#NAME?</v>
      </c>
      <c r="H458" t="e">
        <f ca="1">IMAGE("https://m.media-amazon.com/images/I/61Jsyh--IBL._AC_UL320_.jpg")</f>
        <v>#NAME?</v>
      </c>
      <c r="I458" t="s">
        <v>86</v>
      </c>
      <c r="J458">
        <v>18</v>
      </c>
      <c r="K458" s="2" t="s">
        <v>1304</v>
      </c>
      <c r="L458">
        <v>4.8</v>
      </c>
      <c r="M458">
        <v>401</v>
      </c>
      <c r="O458" t="s">
        <v>39</v>
      </c>
      <c r="P458" t="s">
        <v>39</v>
      </c>
      <c r="Q458" t="s">
        <v>557</v>
      </c>
    </row>
    <row r="459" spans="1:17" ht="15.75" x14ac:dyDescent="0.25">
      <c r="A459" s="3" t="str">
        <f>HYPERLINK("https://heavenlyouthouse.com/products/thymes-lemon-leaf-basil-hand-wash", "https://heavenlyouthouse.com/products/thymes-lemon-leaf-basil-hand-wash")</f>
        <v>https://heavenlyouthouse.com/products/thymes-lemon-leaf-basil-hand-wash</v>
      </c>
      <c r="B459" s="3" t="str">
        <f>HYPERLINK("https://heavenlyouthouse.com/products/thymes-lemon-leaf-basil-hand-wash", "https://heavenlyouthouse.com/products/thymes-lemon-leaf-basil-hand-wash")</f>
        <v>https://heavenlyouthouse.com/products/thymes-lemon-leaf-basil-hand-wash</v>
      </c>
      <c r="C459" t="s">
        <v>1321</v>
      </c>
      <c r="D459" t="s">
        <v>1322</v>
      </c>
      <c r="E459" s="3" t="str">
        <f>HYPERLINK("https://www.amazon.com/Thymes-Hand-Cream-Lemon-Leaf/dp/B084BRSNB1/ref=sr_1_4?keywords=Thymes+Lemon+Leaf+Hand+Wash&amp;qid=1695258768&amp;sr=8-4", "https://www.amazon.com/Thymes-Hand-Cream-Lemon-Leaf/dp/B084BRSNB1/ref=sr_1_4?keywords=Thymes+Lemon+Leaf+Hand+Wash&amp;qid=1695258768&amp;sr=8-4")</f>
        <v>https://www.amazon.com/Thymes-Hand-Cream-Lemon-Leaf/dp/B084BRSNB1/ref=sr_1_4?keywords=Thymes+Lemon+Leaf+Hand+Wash&amp;qid=1695258768&amp;sr=8-4</v>
      </c>
      <c r="F459" t="s">
        <v>1323</v>
      </c>
      <c r="G459" t="e">
        <f ca="1">IMAGE("https://heavenlyouthouse.com/cdn/shop/products/ThymesLemonLeafhandwash.jpg?v=1613092489")</f>
        <v>#NAME?</v>
      </c>
      <c r="H459" t="e">
        <f ca="1">IMAGE("https://m.media-amazon.com/images/I/61ox4eTft8L._AC_UL320_.jpg")</f>
        <v>#NAME?</v>
      </c>
      <c r="I459" t="s">
        <v>86</v>
      </c>
      <c r="J459">
        <v>18</v>
      </c>
      <c r="K459" s="2" t="s">
        <v>1304</v>
      </c>
      <c r="L459">
        <v>4.8</v>
      </c>
      <c r="M459">
        <v>401</v>
      </c>
      <c r="O459" t="s">
        <v>39</v>
      </c>
      <c r="P459" t="s">
        <v>39</v>
      </c>
      <c r="Q459" t="s">
        <v>1324</v>
      </c>
    </row>
    <row r="460" spans="1:17" ht="15.75" x14ac:dyDescent="0.25">
      <c r="A460" s="3" t="str">
        <f>HYPERLINK("https://heavenlyouthouse.com/products/thymes-mandarin-coriander-hand-lotion", "https://heavenlyouthouse.com/products/thymes-mandarin-coriander-hand-lotion")</f>
        <v>https://heavenlyouthouse.com/products/thymes-mandarin-coriander-hand-lotion</v>
      </c>
      <c r="B460" s="3" t="str">
        <f>HYPERLINK("https://heavenlyouthouse.com/products/thymes-mandarin-coriander-hand-lotion", "https://heavenlyouthouse.com/products/thymes-mandarin-coriander-hand-lotion")</f>
        <v>https://heavenlyouthouse.com/products/thymes-mandarin-coriander-hand-lotion</v>
      </c>
      <c r="C460" t="s">
        <v>1325</v>
      </c>
      <c r="D460" t="s">
        <v>1326</v>
      </c>
      <c r="E460" s="3" t="str">
        <f>HYPERLINK("https://www.amazon.com/Thymes-Mandarin-Coriander-Hard-Working-Ounces/dp/B004MAL13O/ref=sr_1_2?keywords=Thymes+Mandarin+Coriander+Hand+Lotion&amp;qid=1695258777&amp;sr=8-2", "https://www.amazon.com/Thymes-Mandarin-Coriander-Hard-Working-Ounces/dp/B004MAL13O/ref=sr_1_2?keywords=Thymes+Mandarin+Coriander+Hand+Lotion&amp;qid=1695258777&amp;sr=8-2")</f>
        <v>https://www.amazon.com/Thymes-Mandarin-Coriander-Hard-Working-Ounces/dp/B004MAL13O/ref=sr_1_2?keywords=Thymes+Mandarin+Coriander+Hand+Lotion&amp;qid=1695258777&amp;sr=8-2</v>
      </c>
      <c r="F460" t="s">
        <v>1327</v>
      </c>
      <c r="G460" t="e">
        <f ca="1">IMAGE("https://heavenlyouthouse.com/cdn/shop/products/ThymesMandarinCorianderhandlotion.jpg?v=1613148852")</f>
        <v>#NAME?</v>
      </c>
      <c r="H460" t="e">
        <f ca="1">IMAGE("https://m.media-amazon.com/images/I/611fAzrI3xL._AC_UL320_.jpg")</f>
        <v>#NAME?</v>
      </c>
      <c r="I460" t="s">
        <v>86</v>
      </c>
      <c r="J460">
        <v>18</v>
      </c>
      <c r="K460" s="2" t="s">
        <v>1304</v>
      </c>
      <c r="L460">
        <v>4.5999999999999996</v>
      </c>
      <c r="M460">
        <v>131</v>
      </c>
      <c r="O460" t="s">
        <v>39</v>
      </c>
      <c r="P460" t="s">
        <v>39</v>
      </c>
      <c r="Q460" t="s">
        <v>1328</v>
      </c>
    </row>
    <row r="461" spans="1:17" ht="15.75" x14ac:dyDescent="0.25">
      <c r="A461" s="3" t="str">
        <f>HYPERLINK("https://heavenlyouthouse.com/products/thymes-lemon-leaf-basil-hand-lotion", "https://heavenlyouthouse.com/products/thymes-lemon-leaf-basil-hand-lotion")</f>
        <v>https://heavenlyouthouse.com/products/thymes-lemon-leaf-basil-hand-lotion</v>
      </c>
      <c r="B461" s="3" t="str">
        <f>HYPERLINK("https://heavenlyouthouse.com/products/thymes-lemon-leaf-basil-hand-lotion", "https://heavenlyouthouse.com/products/thymes-lemon-leaf-basil-hand-lotion")</f>
        <v>https://heavenlyouthouse.com/products/thymes-lemon-leaf-basil-hand-lotion</v>
      </c>
      <c r="C461" t="s">
        <v>726</v>
      </c>
      <c r="D461" t="s">
        <v>1322</v>
      </c>
      <c r="E461" s="3" t="str">
        <f>HYPERLINK("https://www.amazon.com/Thymes-Hand-Cream-Lemon-Leaf/dp/B084BRSNB1/ref=sr_1_2?keywords=Thymes+Lemon+Leaf+Hand+Lotion&amp;qid=1695258774&amp;sr=8-2", "https://www.amazon.com/Thymes-Hand-Cream-Lemon-Leaf/dp/B084BRSNB1/ref=sr_1_2?keywords=Thymes+Lemon+Leaf+Hand+Lotion&amp;qid=1695258774&amp;sr=8-2")</f>
        <v>https://www.amazon.com/Thymes-Hand-Cream-Lemon-Leaf/dp/B084BRSNB1/ref=sr_1_2?keywords=Thymes+Lemon+Leaf+Hand+Lotion&amp;qid=1695258774&amp;sr=8-2</v>
      </c>
      <c r="F461" t="s">
        <v>1323</v>
      </c>
      <c r="G461" t="e">
        <f ca="1">IMAGE("https://heavenlyouthouse.com/cdn/shop/products/ThymesLemonLeafhandlotion.jpg?v=1613092448")</f>
        <v>#NAME?</v>
      </c>
      <c r="H461" t="e">
        <f ca="1">IMAGE("https://m.media-amazon.com/images/I/61ox4eTft8L._AC_UL320_.jpg")</f>
        <v>#NAME?</v>
      </c>
      <c r="I461" t="s">
        <v>86</v>
      </c>
      <c r="J461">
        <v>18</v>
      </c>
      <c r="K461" s="2" t="s">
        <v>1304</v>
      </c>
      <c r="L461">
        <v>4.8</v>
      </c>
      <c r="M461">
        <v>401</v>
      </c>
      <c r="O461" t="s">
        <v>39</v>
      </c>
      <c r="P461" t="s">
        <v>39</v>
      </c>
      <c r="Q461" t="s">
        <v>729</v>
      </c>
    </row>
    <row r="462" spans="1:17" ht="15.75" x14ac:dyDescent="0.25">
      <c r="A462" s="3" t="str">
        <f>HYPERLINK("https://heavenlyouthouse.com/products/thymes-washed-linen-hand-wash", "https://heavenlyouthouse.com/products/thymes-washed-linen-hand-wash")</f>
        <v>https://heavenlyouthouse.com/products/thymes-washed-linen-hand-wash</v>
      </c>
      <c r="B462" s="3" t="str">
        <f>HYPERLINK("https://heavenlyouthouse.com/products/thymes-washed-linen-hand-wash", "https://heavenlyouthouse.com/products/thymes-washed-linen-hand-wash")</f>
        <v>https://heavenlyouthouse.com/products/thymes-washed-linen-hand-wash</v>
      </c>
      <c r="C462" t="s">
        <v>720</v>
      </c>
      <c r="D462" t="s">
        <v>1329</v>
      </c>
      <c r="E462" s="3" t="str">
        <f>HYPERLINK("https://www.amazon.com/Thymes-Hand-Cream-Washed-Linen/dp/B07Q2F1STC/ref=sr_1_4?keywords=Thymes+Washed+Linen+Hand+Wash&amp;qid=1695258790&amp;sr=8-4", "https://www.amazon.com/Thymes-Hand-Cream-Washed-Linen/dp/B07Q2F1STC/ref=sr_1_4?keywords=Thymes+Washed+Linen+Hand+Wash&amp;qid=1695258790&amp;sr=8-4")</f>
        <v>https://www.amazon.com/Thymes-Hand-Cream-Washed-Linen/dp/B07Q2F1STC/ref=sr_1_4?keywords=Thymes+Washed+Linen+Hand+Wash&amp;qid=1695258790&amp;sr=8-4</v>
      </c>
      <c r="F462" t="s">
        <v>1330</v>
      </c>
      <c r="G462" t="e">
        <f ca="1">IMAGE("https://heavenlyouthouse.com/cdn/shop/products/ThymesWashedLinenhandwash.jpg?v=1613174268")</f>
        <v>#NAME?</v>
      </c>
      <c r="H462" t="e">
        <f ca="1">IMAGE("https://m.media-amazon.com/images/I/61g3OTKWoQL._AC_UL320_.jpg")</f>
        <v>#NAME?</v>
      </c>
      <c r="I462" t="s">
        <v>86</v>
      </c>
      <c r="J462">
        <v>18</v>
      </c>
      <c r="K462" s="2" t="s">
        <v>1304</v>
      </c>
      <c r="L462">
        <v>4.8</v>
      </c>
      <c r="M462">
        <v>401</v>
      </c>
      <c r="O462" t="s">
        <v>39</v>
      </c>
      <c r="P462" t="s">
        <v>39</v>
      </c>
      <c r="Q462" t="s">
        <v>723</v>
      </c>
    </row>
    <row r="463" spans="1:17" ht="15.75" x14ac:dyDescent="0.25">
      <c r="A463" s="3" t="str">
        <f>HYPERLINK("https://heavenlyouthouse.com/products/thymes-washed-linen-hand-lotion", "https://heavenlyouthouse.com/products/thymes-washed-linen-hand-lotion")</f>
        <v>https://heavenlyouthouse.com/products/thymes-washed-linen-hand-lotion</v>
      </c>
      <c r="B463" s="3" t="str">
        <f>HYPERLINK("https://heavenlyouthouse.com/products/thymes-washed-linen-hand-lotion", "https://heavenlyouthouse.com/products/thymes-washed-linen-hand-lotion")</f>
        <v>https://heavenlyouthouse.com/products/thymes-washed-linen-hand-lotion</v>
      </c>
      <c r="C463" t="s">
        <v>724</v>
      </c>
      <c r="D463" t="s">
        <v>1329</v>
      </c>
      <c r="E463" s="3" t="str">
        <f>HYPERLINK("https://www.amazon.com/Thymes-Hand-Cream-Washed-Linen/dp/B07Q2F1STC/ref=sr_1_6?keywords=Thymes+Washed+Linen+Hand+Lotion&amp;qid=1695258808&amp;sr=8-6", "https://www.amazon.com/Thymes-Hand-Cream-Washed-Linen/dp/B07Q2F1STC/ref=sr_1_6?keywords=Thymes+Washed+Linen+Hand+Lotion&amp;qid=1695258808&amp;sr=8-6")</f>
        <v>https://www.amazon.com/Thymes-Hand-Cream-Washed-Linen/dp/B07Q2F1STC/ref=sr_1_6?keywords=Thymes+Washed+Linen+Hand+Lotion&amp;qid=1695258808&amp;sr=8-6</v>
      </c>
      <c r="F463" t="s">
        <v>1330</v>
      </c>
      <c r="G463" t="e">
        <f ca="1">IMAGE("https://heavenlyouthouse.com/cdn/shop/products/ThymesWashedLinenhandlotion.jpg?v=1613174357")</f>
        <v>#NAME?</v>
      </c>
      <c r="H463" t="e">
        <f ca="1">IMAGE("https://m.media-amazon.com/images/I/61g3OTKWoQL._AC_UL320_.jpg")</f>
        <v>#NAME?</v>
      </c>
      <c r="I463" t="s">
        <v>86</v>
      </c>
      <c r="J463">
        <v>18</v>
      </c>
      <c r="K463" s="2" t="s">
        <v>1304</v>
      </c>
      <c r="L463">
        <v>4.8</v>
      </c>
      <c r="M463">
        <v>401</v>
      </c>
      <c r="O463" t="s">
        <v>39</v>
      </c>
      <c r="P463" t="s">
        <v>39</v>
      </c>
      <c r="Q463" t="s">
        <v>725</v>
      </c>
    </row>
    <row r="464" spans="1:17" ht="15.75" x14ac:dyDescent="0.25">
      <c r="A464" s="3" t="str">
        <f>HYPERLINK("https://heavenlyouthouse.com/products/thymes-frasier-fir-gilded-poured-candle-trio-set", "https://heavenlyouthouse.com/products/thymes-frasier-fir-gilded-poured-candle-trio-set")</f>
        <v>https://heavenlyouthouse.com/products/thymes-frasier-fir-gilded-poured-candle-trio-set</v>
      </c>
      <c r="B464" s="3" t="str">
        <f>HYPERLINK("https://heavenlyouthouse.com/products/thymes-frasier-fir-gilded-poured-candle-trio-set", "https://heavenlyouthouse.com/products/thymes-frasier-fir-gilded-poured-candle-trio-set")</f>
        <v>https://heavenlyouthouse.com/products/thymes-frasier-fir-gilded-poured-candle-trio-set</v>
      </c>
      <c r="C464" t="s">
        <v>1156</v>
      </c>
      <c r="D464" t="s">
        <v>210</v>
      </c>
      <c r="E464" s="3" t="str">
        <f>HYPERLINK("https://www.amazon.com/Thymes-Frasier-Poured-3-Wick-Candle/dp/B076DMLBFR/ref=sr_1_9?keywords=Thymes+Frasier+Fir+Gilded+Poured+Candle+Trio&amp;qid=1695258729&amp;sr=8-9", "https://www.amazon.com/Thymes-Frasier-Poured-3-Wick-Candle/dp/B076DMLBFR/ref=sr_1_9?keywords=Thymes+Frasier+Fir+Gilded+Poured+Candle+Trio&amp;qid=1695258729&amp;sr=8-9")</f>
        <v>https://www.amazon.com/Thymes-Frasier-Poured-3-Wick-Candle/dp/B076DMLBFR/ref=sr_1_9?keywords=Thymes+Frasier+Fir+Gilded+Poured+Candle+Trio&amp;qid=1695258729&amp;sr=8-9</v>
      </c>
      <c r="F464" t="s">
        <v>211</v>
      </c>
      <c r="G464" t="e">
        <f ca="1">IMAGE("https://heavenlyouthouse.com/cdn/shop/products/Thymes-Frasier-Fir-Gilded-ceramic-candle-trio-set.jpg?v=1660769749")</f>
        <v>#NAME?</v>
      </c>
      <c r="H464" t="e">
        <f ca="1">IMAGE("https://m.media-amazon.com/images/I/61Q5s0MJ6uL._AC_UL320_.jpg")</f>
        <v>#NAME?</v>
      </c>
      <c r="I464" t="s">
        <v>1157</v>
      </c>
      <c r="J464">
        <v>60</v>
      </c>
      <c r="K464" s="2" t="s">
        <v>1304</v>
      </c>
      <c r="L464">
        <v>4.5999999999999996</v>
      </c>
      <c r="M464">
        <v>61</v>
      </c>
      <c r="O464" t="s">
        <v>39</v>
      </c>
      <c r="P464" t="s">
        <v>39</v>
      </c>
      <c r="Q464" t="s">
        <v>1159</v>
      </c>
    </row>
    <row r="465" spans="1:17" ht="15.75" x14ac:dyDescent="0.25">
      <c r="A465" s="3" t="str">
        <f>HYPERLINK("https://heavenlyouthouse.com/products/rosemary-mint-body-lotion", "https://heavenlyouthouse.com/products/rosemary-mint-body-lotion")</f>
        <v>https://heavenlyouthouse.com/products/rosemary-mint-body-lotion</v>
      </c>
      <c r="B465" s="3" t="str">
        <f>HYPERLINK("https://heavenlyouthouse.com/products/rosemary-mint-body-lotion", "https://heavenlyouthouse.com/products/rosemary-mint-body-lotion")</f>
        <v>https://heavenlyouthouse.com/products/rosemary-mint-body-lotion</v>
      </c>
      <c r="C465" t="s">
        <v>664</v>
      </c>
      <c r="D465" t="s">
        <v>1331</v>
      </c>
      <c r="E465" s="3" t="str">
        <f>HYPERLINK("https://www.amazon.com/C-Bigelow-Village-Perfumer-Rosemary/dp/B08WFDDQ94/ref=sr_1_2?keywords=Rosemary+Mint+Body+Lotion&amp;qid=1695258667&amp;sr=8-2", "https://www.amazon.com/C-Bigelow-Village-Perfumer-Rosemary/dp/B08WFDDQ94/ref=sr_1_2?keywords=Rosemary+Mint+Body+Lotion&amp;qid=1695258667&amp;sr=8-2")</f>
        <v>https://www.amazon.com/C-Bigelow-Village-Perfumer-Rosemary/dp/B08WFDDQ94/ref=sr_1_2?keywords=Rosemary+Mint+Body+Lotion&amp;qid=1695258667&amp;sr=8-2</v>
      </c>
      <c r="F465" t="s">
        <v>1332</v>
      </c>
      <c r="G465" t="e">
        <f ca="1">IMAGE("https://heavenlyouthouse.com/cdn/shop/products/RosemaryMint-OatLotion.webp?v=1681505156")</f>
        <v>#NAME?</v>
      </c>
      <c r="H465" t="e">
        <f ca="1">IMAGE("https://m.media-amazon.com/images/I/71JjXr+nM0L._AC_UL320_.jpg")</f>
        <v>#NAME?</v>
      </c>
      <c r="I465" t="s">
        <v>399</v>
      </c>
      <c r="J465">
        <v>18</v>
      </c>
      <c r="K465" s="2" t="s">
        <v>1304</v>
      </c>
      <c r="L465">
        <v>4.5999999999999996</v>
      </c>
      <c r="M465">
        <v>426</v>
      </c>
      <c r="O465" t="s">
        <v>39</v>
      </c>
      <c r="P465" t="s">
        <v>39</v>
      </c>
      <c r="Q465" t="s">
        <v>667</v>
      </c>
    </row>
    <row r="466" spans="1:17" ht="15.75" x14ac:dyDescent="0.25">
      <c r="A466" s="3" t="str">
        <f>HYPERLINK("https://heavenlyouthouse.com/products/vanilla-coconut-lip-butter", "https://heavenlyouthouse.com/products/vanilla-coconut-lip-butter")</f>
        <v>https://heavenlyouthouse.com/products/vanilla-coconut-lip-butter</v>
      </c>
      <c r="B466" s="3" t="str">
        <f>HYPERLINK("https://heavenlyouthouse.com/products/vanilla-coconut-lip-butter", "https://heavenlyouthouse.com/products/vanilla-coconut-lip-butter")</f>
        <v>https://heavenlyouthouse.com/products/vanilla-coconut-lip-butter</v>
      </c>
      <c r="C466" t="s">
        <v>179</v>
      </c>
      <c r="D466" t="s">
        <v>1333</v>
      </c>
      <c r="E466" s="3" t="str">
        <f>HYPERLINK("https://www.amazon.com/Swanson-Vanilla-Coconut-Balm-Ounce/dp/B012OFHGSW/ref=sr_1_4?keywords=Vanilla+Coconut+Lip+Butter&amp;qid=1695258806&amp;sr=8-4", "https://www.amazon.com/Swanson-Vanilla-Coconut-Balm-Ounce/dp/B012OFHGSW/ref=sr_1_4?keywords=Vanilla+Coconut+Lip+Butter&amp;qid=1695258806&amp;sr=8-4")</f>
        <v>https://www.amazon.com/Swanson-Vanilla-Coconut-Balm-Ounce/dp/B012OFHGSW/ref=sr_1_4?keywords=Vanilla+Coconut+Lip+Butter&amp;qid=1695258806&amp;sr=8-4</v>
      </c>
      <c r="F466" t="s">
        <v>1334</v>
      </c>
      <c r="G466" t="e">
        <f ca="1">IMAGE("https://heavenlyouthouse.com/cdn/shop/products/vanilla_coconut_lip_butter_2000x_a349e62e-0577-4340-b194-e2f9012f9936.jpg?v=1587831837")</f>
        <v>#NAME?</v>
      </c>
      <c r="H466" t="e">
        <f ca="1">IMAGE("https://m.media-amazon.com/images/I/51SUYMC7ycL._AC_UL320_.jpg")</f>
        <v>#NAME?</v>
      </c>
      <c r="I466" t="s">
        <v>92</v>
      </c>
      <c r="J466">
        <v>6.8</v>
      </c>
      <c r="K466" s="2" t="s">
        <v>1304</v>
      </c>
      <c r="L466">
        <v>4.5999999999999996</v>
      </c>
      <c r="M466">
        <v>6</v>
      </c>
      <c r="O466" t="s">
        <v>39</v>
      </c>
      <c r="P466" t="s">
        <v>39</v>
      </c>
      <c r="Q466" t="s">
        <v>183</v>
      </c>
    </row>
    <row r="467" spans="1:17" ht="15.75" x14ac:dyDescent="0.25">
      <c r="A467" s="3" t="str">
        <f>HYPERLINK("https://heavenlyouthouse.com/products/frasier-fir-3-wick-green-glass-candle", "https://heavenlyouthouse.com/products/frasier-fir-3-wick-green-glass-candle")</f>
        <v>https://heavenlyouthouse.com/products/frasier-fir-3-wick-green-glass-candle</v>
      </c>
      <c r="B467" s="3" t="str">
        <f>HYPERLINK("https://heavenlyouthouse.com/products/frasier-fir-3-wick-green-glass-candle", "https://heavenlyouthouse.com/products/frasier-fir-3-wick-green-glass-candle")</f>
        <v>https://heavenlyouthouse.com/products/frasier-fir-3-wick-green-glass-candle</v>
      </c>
      <c r="C467" t="s">
        <v>1335</v>
      </c>
      <c r="D467" t="s">
        <v>109</v>
      </c>
      <c r="E467" s="3" t="str">
        <f>HYPERLINK("https://www.amazon.com/Thymes-Frasier-Wick-Ceramic-Candle/dp/B0140PRH56/ref=sr_1_5?keywords=Thymes+Frasier+Fir+3-Wick+Green+Glass+Candle&amp;qid=1695258716&amp;sr=8-5", "https://www.amazon.com/Thymes-Frasier-Wick-Ceramic-Candle/dp/B0140PRH56/ref=sr_1_5?keywords=Thymes+Frasier+Fir+3-Wick+Green+Glass+Candle&amp;qid=1695258716&amp;sr=8-5")</f>
        <v>https://www.amazon.com/Thymes-Frasier-Wick-Ceramic-Candle/dp/B0140PRH56/ref=sr_1_5?keywords=Thymes+Frasier+Fir+3-Wick+Green+Glass+Candle&amp;qid=1695258716&amp;sr=8-5</v>
      </c>
      <c r="F467" t="s">
        <v>110</v>
      </c>
      <c r="G467" t="e">
        <f ca="1">IMAGE("https://heavenlyouthouse.com/cdn/shop/products/frasier-fir-3-wick-candle-by-thymes53605_2.jpg?v=1606236113")</f>
        <v>#NAME?</v>
      </c>
      <c r="H467" t="e">
        <f ca="1">IMAGE("https://m.media-amazon.com/images/I/616N8+OCmhL._AC_UL320_.jpg")</f>
        <v>#NAME?</v>
      </c>
      <c r="I467" t="s">
        <v>1336</v>
      </c>
      <c r="J467">
        <v>68</v>
      </c>
      <c r="K467" s="2" t="s">
        <v>1337</v>
      </c>
      <c r="L467">
        <v>4.9000000000000004</v>
      </c>
      <c r="M467">
        <v>59</v>
      </c>
      <c r="O467" t="s">
        <v>39</v>
      </c>
      <c r="P467" t="s">
        <v>1338</v>
      </c>
      <c r="Q467" t="s">
        <v>1339</v>
      </c>
    </row>
    <row r="468" spans="1:17" ht="15.75" x14ac:dyDescent="0.25">
      <c r="A468" s="3" t="str">
        <f>HYPERLINK("https://heavenlyouthouse.com/products/frasier-fir-statement-silver-candle", "https://heavenlyouthouse.com/products/frasier-fir-statement-silver-candle")</f>
        <v>https://heavenlyouthouse.com/products/frasier-fir-statement-silver-candle</v>
      </c>
      <c r="B468" s="3" t="str">
        <f>HYPERLINK("https://heavenlyouthouse.com/products/frasier-fir-statement-silver-candle", "https://heavenlyouthouse.com/products/frasier-fir-statement-silver-candle")</f>
        <v>https://heavenlyouthouse.com/products/frasier-fir-statement-silver-candle</v>
      </c>
      <c r="C468" t="s">
        <v>647</v>
      </c>
      <c r="D468" t="s">
        <v>1340</v>
      </c>
      <c r="E468" s="3" t="str">
        <f>HYPERLINK("https://www.amazon.com/Thymes-Frasier-Limited-Statement-Poured/dp/B01KIH5ACM/ref=sr_1_3?keywords=Thymes+Frasier+Fir+Statement+Silver+Candle&amp;qid=1695258743&amp;sr=8-3", "https://www.amazon.com/Thymes-Frasier-Limited-Statement-Poured/dp/B01KIH5ACM/ref=sr_1_3?keywords=Thymes+Frasier+Fir+Statement+Silver+Candle&amp;qid=1695258743&amp;sr=8-3")</f>
        <v>https://www.amazon.com/Thymes-Frasier-Limited-Statement-Poured/dp/B01KIH5ACM/ref=sr_1_3?keywords=Thymes+Frasier+Fir+Statement+Silver+Candle&amp;qid=1695258743&amp;sr=8-3</v>
      </c>
      <c r="F468" t="s">
        <v>1341</v>
      </c>
      <c r="G468" t="e">
        <f ca="1">IMAGE("https://heavenlyouthouse.com/cdn/shop/products/thymesfrasierfirsmallstatementcandlesilver.jpg?v=1603994667")</f>
        <v>#NAME?</v>
      </c>
      <c r="H468" t="e">
        <f ca="1">IMAGE("https://m.media-amazon.com/images/I/71JjP3b2XTL._AC_UL320_.jpg")</f>
        <v>#NAME?</v>
      </c>
      <c r="I468" t="s">
        <v>168</v>
      </c>
      <c r="J468">
        <v>28</v>
      </c>
      <c r="K468" s="2" t="s">
        <v>1337</v>
      </c>
      <c r="L468">
        <v>4.5</v>
      </c>
      <c r="M468">
        <v>82</v>
      </c>
      <c r="O468" t="s">
        <v>39</v>
      </c>
      <c r="P468" t="s">
        <v>39</v>
      </c>
      <c r="Q468" t="s">
        <v>648</v>
      </c>
    </row>
    <row r="469" spans="1:17" ht="15.75" x14ac:dyDescent="0.25">
      <c r="A469" s="3" t="str">
        <f>HYPERLINK("https://heavenlyouthouse.com/products/frasier-fir-statement-pine-needle-candle", "https://heavenlyouthouse.com/products/frasier-fir-statement-pine-needle-candle")</f>
        <v>https://heavenlyouthouse.com/products/frasier-fir-statement-pine-needle-candle</v>
      </c>
      <c r="B469" s="3" t="str">
        <f>HYPERLINK("https://heavenlyouthouse.com/products/frasier-fir-statement-pine-needle-candle", "https://heavenlyouthouse.com/products/frasier-fir-statement-pine-needle-candle")</f>
        <v>https://heavenlyouthouse.com/products/frasier-fir-statement-pine-needle-candle</v>
      </c>
      <c r="C469" t="s">
        <v>167</v>
      </c>
      <c r="D469" t="s">
        <v>1340</v>
      </c>
      <c r="E469" s="3" t="str">
        <f>HYPERLINK("https://www.amazon.com/Thymes-Frasier-Limited-Statement-Poured/dp/B01KIH5ACM/ref=sr_1_4?keywords=Thymes+Frasier+Fir+Statement+Pine+Needle+Candle&amp;qid=1695258736&amp;sr=8-4", "https://www.amazon.com/Thymes-Frasier-Limited-Statement-Poured/dp/B01KIH5ACM/ref=sr_1_4?keywords=Thymes+Frasier+Fir+Statement+Pine+Needle+Candle&amp;qid=1695258736&amp;sr=8-4")</f>
        <v>https://www.amazon.com/Thymes-Frasier-Limited-Statement-Poured/dp/B01KIH5ACM/ref=sr_1_4?keywords=Thymes+Frasier+Fir+Statement+Pine+Needle+Candle&amp;qid=1695258736&amp;sr=8-4</v>
      </c>
      <c r="F469" t="s">
        <v>1341</v>
      </c>
      <c r="G469" t="e">
        <f ca="1">IMAGE("https://heavenlyouthouse.com/cdn/shop/products/thymesfrasierfirsmallstatementcandlesilverpineneedle.jpg?v=1603994848")</f>
        <v>#NAME?</v>
      </c>
      <c r="H469" t="e">
        <f ca="1">IMAGE("https://m.media-amazon.com/images/I/71JjP3b2XTL._AC_UL320_.jpg")</f>
        <v>#NAME?</v>
      </c>
      <c r="I469" t="s">
        <v>168</v>
      </c>
      <c r="J469">
        <v>28</v>
      </c>
      <c r="K469" s="2" t="s">
        <v>1337</v>
      </c>
      <c r="L469">
        <v>4.5</v>
      </c>
      <c r="M469">
        <v>82</v>
      </c>
      <c r="O469" t="s">
        <v>39</v>
      </c>
      <c r="P469" t="s">
        <v>170</v>
      </c>
      <c r="Q469" t="s">
        <v>171</v>
      </c>
    </row>
    <row r="470" spans="1:17" ht="15.75" x14ac:dyDescent="0.25">
      <c r="A470" s="3" t="str">
        <f>HYPERLINK("https://heavenlyouthouse.com/products/pumice-stone", "https://heavenlyouthouse.com/products/pumice-stone")</f>
        <v>https://heavenlyouthouse.com/products/pumice-stone</v>
      </c>
      <c r="B470" s="3" t="str">
        <f>HYPERLINK("https://heavenlyouthouse.com/products/pumice-stone", "https://heavenlyouthouse.com/products/pumice-stone")</f>
        <v>https://heavenlyouthouse.com/products/pumice-stone</v>
      </c>
      <c r="C470" t="s">
        <v>213</v>
      </c>
      <c r="D470" t="s">
        <v>1342</v>
      </c>
      <c r="E470" s="3" t="str">
        <f>HYPERLINK("https://www.amazon.com/Pumice-Stone-Callus-Remover-Scrubber/dp/B07R6JZRS1/ref=sr_1_6?keywords=Pumice+Stone&amp;qid=1695258677&amp;sr=8-6", "https://www.amazon.com/Pumice-Stone-Callus-Remover-Scrubber/dp/B07R6JZRS1/ref=sr_1_6?keywords=Pumice+Stone&amp;qid=1695258677&amp;sr=8-6")</f>
        <v>https://www.amazon.com/Pumice-Stone-Callus-Remover-Scrubber/dp/B07R6JZRS1/ref=sr_1_6?keywords=Pumice+Stone&amp;qid=1695258677&amp;sr=8-6</v>
      </c>
      <c r="F470" t="s">
        <v>1343</v>
      </c>
      <c r="G470" t="e">
        <f ca="1">IMAGE("https://heavenlyouthouse.com/cdn/shop/products/Pumice-Stone_2048_2000x_ede24df3-a286-42b7-ba0b-778cf1147f6b.jpg?v=1587064261")</f>
        <v>#NAME?</v>
      </c>
      <c r="H470" t="e">
        <f ca="1">IMAGE("https://m.media-amazon.com/images/I/71ys22mDI9L._AC_UL320_.jpg")</f>
        <v>#NAME?</v>
      </c>
      <c r="I470" t="s">
        <v>216</v>
      </c>
      <c r="J470">
        <v>8.49</v>
      </c>
      <c r="K470" s="2" t="s">
        <v>1337</v>
      </c>
      <c r="L470">
        <v>4.5</v>
      </c>
      <c r="M470">
        <v>60100</v>
      </c>
      <c r="O470" t="s">
        <v>39</v>
      </c>
      <c r="P470" t="s">
        <v>218</v>
      </c>
      <c r="Q470" t="s">
        <v>219</v>
      </c>
    </row>
    <row r="471" spans="1:17" ht="15.75" x14ac:dyDescent="0.25">
      <c r="A471" s="3" t="str">
        <f>HYPERLINK("https://heavenlyouthouse.com/products/eucalyptus-bar-soap", "https://heavenlyouthouse.com/products/eucalyptus-bar-soap")</f>
        <v>https://heavenlyouthouse.com/products/eucalyptus-bar-soap</v>
      </c>
      <c r="B471" s="3" t="str">
        <f>HYPERLINK("https://heavenlyouthouse.com/products/eucalyptus-bar-soap", "https://heavenlyouthouse.com/products/eucalyptus-bar-soap")</f>
        <v>https://heavenlyouthouse.com/products/eucalyptus-bar-soap</v>
      </c>
      <c r="C471" t="s">
        <v>431</v>
      </c>
      <c r="D471" t="s">
        <v>1344</v>
      </c>
      <c r="E471" s="3" t="str">
        <f>HYPERLINK("https://www.amazon.com/Thymes-Eucalyptus-Hydrating-Liquid-Soothing/dp/B002WJHL3Q/ref=sr_1_3?keywords=Thymes+Eucalyptus+Bar+Soap&amp;qid=1695258725&amp;sr=8-3", "https://www.amazon.com/Thymes-Eucalyptus-Hydrating-Liquid-Soothing/dp/B002WJHL3Q/ref=sr_1_3?keywords=Thymes+Eucalyptus+Bar+Soap&amp;qid=1695258725&amp;sr=8-3")</f>
        <v>https://www.amazon.com/Thymes-Eucalyptus-Hydrating-Liquid-Soothing/dp/B002WJHL3Q/ref=sr_1_3?keywords=Thymes+Eucalyptus+Bar+Soap&amp;qid=1695258725&amp;sr=8-3</v>
      </c>
      <c r="F471" t="s">
        <v>1345</v>
      </c>
      <c r="G471" t="e">
        <f ca="1">IMAGE("https://heavenlyouthouse.com/cdn/shop/products/thymes-eucalyptus-bar-soap.jpg?v=1628693255")</f>
        <v>#NAME?</v>
      </c>
      <c r="H471" t="e">
        <f ca="1">IMAGE("https://m.media-amazon.com/images/I/51qrovuTigL._AC_UL320_.jpg")</f>
        <v>#NAME?</v>
      </c>
      <c r="I471" t="s">
        <v>98</v>
      </c>
      <c r="J471">
        <v>16</v>
      </c>
      <c r="K471" s="2" t="s">
        <v>1346</v>
      </c>
      <c r="L471">
        <v>4.5999999999999996</v>
      </c>
      <c r="M471">
        <v>3441</v>
      </c>
      <c r="O471" t="s">
        <v>39</v>
      </c>
      <c r="P471" t="s">
        <v>39</v>
      </c>
      <c r="Q471" t="s">
        <v>434</v>
      </c>
    </row>
    <row r="472" spans="1:17" ht="15.75" x14ac:dyDescent="0.25">
      <c r="A472" s="3" t="str">
        <f>HYPERLINK("https://heavenlyouthouse.com/products/goldleaf-bar-soap", "https://heavenlyouthouse.com/products/goldleaf-bar-soap")</f>
        <v>https://heavenlyouthouse.com/products/goldleaf-bar-soap</v>
      </c>
      <c r="B472" s="3" t="str">
        <f>HYPERLINK("https://heavenlyouthouse.com/products/goldleaf-bar-soap", "https://heavenlyouthouse.com/products/goldleaf-bar-soap")</f>
        <v>https://heavenlyouthouse.com/products/goldleaf-bar-soap</v>
      </c>
      <c r="C472" t="s">
        <v>1347</v>
      </c>
      <c r="D472" t="s">
        <v>1348</v>
      </c>
      <c r="E472" s="3" t="str">
        <f>HYPERLINK("https://www.amazon.com/Thymes-Goldleaf-Hydrating-Liquid-Elegant/dp/B003718H1I/ref=sr_1_2?keywords=Thymes+Goldleaf+Bar+Soap&amp;qid=1695258742&amp;sr=8-2", "https://www.amazon.com/Thymes-Goldleaf-Hydrating-Liquid-Elegant/dp/B003718H1I/ref=sr_1_2?keywords=Thymes+Goldleaf+Bar+Soap&amp;qid=1695258742&amp;sr=8-2")</f>
        <v>https://www.amazon.com/Thymes-Goldleaf-Hydrating-Liquid-Elegant/dp/B003718H1I/ref=sr_1_2?keywords=Thymes+Goldleaf+Bar+Soap&amp;qid=1695258742&amp;sr=8-2</v>
      </c>
      <c r="F472" t="s">
        <v>1349</v>
      </c>
      <c r="G472" t="e">
        <f ca="1">IMAGE("https://heavenlyouthouse.com/cdn/shop/products/thymes-goldleaf-bar-soap.jpg?v=1628693656")</f>
        <v>#NAME?</v>
      </c>
      <c r="H472" t="e">
        <f ca="1">IMAGE("https://m.media-amazon.com/images/I/51+XE0ZcrJL._AC_UL320_.jpg")</f>
        <v>#NAME?</v>
      </c>
      <c r="I472" t="s">
        <v>98</v>
      </c>
      <c r="J472">
        <v>16</v>
      </c>
      <c r="K472" s="2" t="s">
        <v>1346</v>
      </c>
      <c r="L472">
        <v>4.5999999999999996</v>
      </c>
      <c r="M472">
        <v>3441</v>
      </c>
      <c r="O472" t="s">
        <v>39</v>
      </c>
      <c r="P472" t="s">
        <v>39</v>
      </c>
      <c r="Q472" t="s">
        <v>1350</v>
      </c>
    </row>
    <row r="473" spans="1:17" ht="15.75" x14ac:dyDescent="0.25">
      <c r="A473" s="3" t="str">
        <f>HYPERLINK("https://heavenlyouthouse.com/products/lavender-bar-soap", "https://heavenlyouthouse.com/products/lavender-bar-soap")</f>
        <v>https://heavenlyouthouse.com/products/lavender-bar-soap</v>
      </c>
      <c r="B473" s="3" t="str">
        <f>HYPERLINK("https://heavenlyouthouse.com/products/lavender-bar-soap", "https://heavenlyouthouse.com/products/lavender-bar-soap")</f>
        <v>https://heavenlyouthouse.com/products/lavender-bar-soap</v>
      </c>
      <c r="C473" t="s">
        <v>1251</v>
      </c>
      <c r="D473" t="s">
        <v>1351</v>
      </c>
      <c r="E473" s="3" t="str">
        <f>HYPERLINK("https://www.amazon.com/Thymes-Lavender-Hydrating-Liquid-Calming/dp/B002WJHL4A/ref=sr_1_2?keywords=Thymes+Lavender+Bar+Soap&amp;qid=1695258766&amp;sr=8-2", "https://www.amazon.com/Thymes-Lavender-Hydrating-Liquid-Calming/dp/B002WJHL4A/ref=sr_1_2?keywords=Thymes+Lavender+Bar+Soap&amp;qid=1695258766&amp;sr=8-2")</f>
        <v>https://www.amazon.com/Thymes-Lavender-Hydrating-Liquid-Calming/dp/B002WJHL4A/ref=sr_1_2?keywords=Thymes+Lavender+Bar+Soap&amp;qid=1695258766&amp;sr=8-2</v>
      </c>
      <c r="F473" t="s">
        <v>1352</v>
      </c>
      <c r="G473" t="e">
        <f ca="1">IMAGE("https://heavenlyouthouse.com/cdn/shop/products/thymes-lavender-bar-soap.jpg?v=1628693498")</f>
        <v>#NAME?</v>
      </c>
      <c r="H473" t="e">
        <f ca="1">IMAGE("https://m.media-amazon.com/images/I/51GiaCpIMgL._AC_UL320_.jpg")</f>
        <v>#NAME?</v>
      </c>
      <c r="I473" t="s">
        <v>98</v>
      </c>
      <c r="J473">
        <v>16</v>
      </c>
      <c r="K473" s="2" t="s">
        <v>1346</v>
      </c>
      <c r="L473">
        <v>4.5999999999999996</v>
      </c>
      <c r="M473">
        <v>3441</v>
      </c>
      <c r="O473" t="s">
        <v>39</v>
      </c>
      <c r="P473" t="s">
        <v>39</v>
      </c>
      <c r="Q473" t="s">
        <v>1255</v>
      </c>
    </row>
    <row r="474" spans="1:17" ht="15.75" x14ac:dyDescent="0.25">
      <c r="A474" s="3" t="str">
        <f>HYPERLINK("https://heavenlyouthouse.com/products/thymes-olive-leaf-bar-soap", "https://heavenlyouthouse.com/products/thymes-olive-leaf-bar-soap")</f>
        <v>https://heavenlyouthouse.com/products/thymes-olive-leaf-bar-soap</v>
      </c>
      <c r="B474" s="3" t="str">
        <f>HYPERLINK("https://heavenlyouthouse.com/products/thymes-olive-leaf-bar-soap", "https://heavenlyouthouse.com/products/thymes-olive-leaf-bar-soap")</f>
        <v>https://heavenlyouthouse.com/products/thymes-olive-leaf-bar-soap</v>
      </c>
      <c r="C474" t="s">
        <v>1353</v>
      </c>
      <c r="D474" t="s">
        <v>1354</v>
      </c>
      <c r="E474" s="3" t="str">
        <f>HYPERLINK("https://www.amazon.com/Thymes-Olive-Hydrating-Liquid-Natural/dp/B002WJHL54/ref=sr_1_2?keywords=Thymes+Olive+Leaf+Bar+Soap&amp;qid=1695258780&amp;sr=8-2", "https://www.amazon.com/Thymes-Olive-Hydrating-Liquid-Natural/dp/B002WJHL54/ref=sr_1_2?keywords=Thymes+Olive+Leaf+Bar+Soap&amp;qid=1695258780&amp;sr=8-2")</f>
        <v>https://www.amazon.com/Thymes-Olive-Hydrating-Liquid-Natural/dp/B002WJHL54/ref=sr_1_2?keywords=Thymes+Olive+Leaf+Bar+Soap&amp;qid=1695258780&amp;sr=8-2</v>
      </c>
      <c r="F474" t="s">
        <v>1355</v>
      </c>
      <c r="G474" t="e">
        <f ca="1">IMAGE("https://heavenlyouthouse.com/cdn/shop/products/Olive-Leaf-Luxurious-Bath-Soap-0540053000.jpg?v=1634852103")</f>
        <v>#NAME?</v>
      </c>
      <c r="H474" t="e">
        <f ca="1">IMAGE("https://m.media-amazon.com/images/I/6119Dw7kcOL._AC_UL320_.jpg")</f>
        <v>#NAME?</v>
      </c>
      <c r="I474" t="s">
        <v>98</v>
      </c>
      <c r="J474">
        <v>16</v>
      </c>
      <c r="K474" s="2" t="s">
        <v>1346</v>
      </c>
      <c r="L474">
        <v>4.5999999999999996</v>
      </c>
      <c r="M474">
        <v>3441</v>
      </c>
      <c r="O474" t="s">
        <v>39</v>
      </c>
      <c r="P474" t="s">
        <v>100</v>
      </c>
      <c r="Q474" t="s">
        <v>1356</v>
      </c>
    </row>
    <row r="475" spans="1:17" ht="15.75" x14ac:dyDescent="0.25">
      <c r="A475" s="3" t="str">
        <f>HYPERLINK("https://heavenlyouthouse.com/products/thymes-frasier-fir-car-diffuser-refill", "https://heavenlyouthouse.com/products/thymes-frasier-fir-car-diffuser-refill")</f>
        <v>https://heavenlyouthouse.com/products/thymes-frasier-fir-car-diffuser-refill</v>
      </c>
      <c r="B475" s="3" t="str">
        <f>HYPERLINK("https://heavenlyouthouse.com/products/thymes-frasier-fir-car-diffuser-refill", "https://heavenlyouthouse.com/products/thymes-frasier-fir-car-diffuser-refill")</f>
        <v>https://heavenlyouthouse.com/products/thymes-frasier-fir-car-diffuser-refill</v>
      </c>
      <c r="C475" t="s">
        <v>95</v>
      </c>
      <c r="D475" t="s">
        <v>1357</v>
      </c>
      <c r="E475" s="3" t="str">
        <f>HYPERLINK("https://www.amazon.com/Thymes-Diffuser-Oil-0-25-Frasier/dp/B08CVRZJQZ/ref=sr_1_5?keywords=Thymes+Frasier+Fir+Car+Diffuser+Refill&amp;qid=1695258724&amp;sr=8-5", "https://www.amazon.com/Thymes-Diffuser-Oil-0-25-Frasier/dp/B08CVRZJQZ/ref=sr_1_5?keywords=Thymes+Frasier+Fir+Car+Diffuser+Refill&amp;qid=1695258724&amp;sr=8-5")</f>
        <v>https://www.amazon.com/Thymes-Diffuser-Oil-0-25-Frasier/dp/B08CVRZJQZ/ref=sr_1_5?keywords=Thymes+Frasier+Fir+Car+Diffuser+Refill&amp;qid=1695258724&amp;sr=8-5</v>
      </c>
      <c r="F475" t="s">
        <v>1358</v>
      </c>
      <c r="G475" t="e">
        <f ca="1">IMAGE("https://heavenlyouthouse.com/cdn/shop/products/Thymes-frasier-fir-car-diffuser-refill.jpg?v=1662136027")</f>
        <v>#NAME?</v>
      </c>
      <c r="H475" t="e">
        <f ca="1">IMAGE("https://m.media-amazon.com/images/I/61rg4AuJDaL._AC_UL320_.jpg")</f>
        <v>#NAME?</v>
      </c>
      <c r="I475" t="s">
        <v>98</v>
      </c>
      <c r="J475">
        <v>16</v>
      </c>
      <c r="K475" s="2" t="s">
        <v>1346</v>
      </c>
      <c r="L475">
        <v>4.3</v>
      </c>
      <c r="M475">
        <v>36</v>
      </c>
      <c r="O475" t="s">
        <v>39</v>
      </c>
      <c r="P475" t="s">
        <v>100</v>
      </c>
      <c r="Q475" t="s">
        <v>101</v>
      </c>
    </row>
    <row r="476" spans="1:17" ht="15.75" x14ac:dyDescent="0.25">
      <c r="A476" s="3" t="str">
        <f>HYPERLINK("https://heavenlyouthouse.com/products/kimono-rose-bar-soap", "https://heavenlyouthouse.com/products/kimono-rose-bar-soap")</f>
        <v>https://heavenlyouthouse.com/products/kimono-rose-bar-soap</v>
      </c>
      <c r="B476" s="3" t="str">
        <f>HYPERLINK("https://heavenlyouthouse.com/products/kimono-rose-bar-soap", "https://heavenlyouthouse.com/products/kimono-rose-bar-soap")</f>
        <v>https://heavenlyouthouse.com/products/kimono-rose-bar-soap</v>
      </c>
      <c r="C476" t="s">
        <v>1359</v>
      </c>
      <c r="D476" t="s">
        <v>1360</v>
      </c>
      <c r="E476" s="3" t="str">
        <f>HYPERLINK("https://www.amazon.com/Thymes-Kimono-Hydrating-Liquid-Vanilla/dp/B0746Q1XL3/ref=sr_1_2?keywords=Thymes+Kimono+Rose+Bar+Soap&amp;qid=1695258752&amp;sr=8-2", "https://www.amazon.com/Thymes-Kimono-Hydrating-Liquid-Vanilla/dp/B0746Q1XL3/ref=sr_1_2?keywords=Thymes+Kimono+Rose+Bar+Soap&amp;qid=1695258752&amp;sr=8-2")</f>
        <v>https://www.amazon.com/Thymes-Kimono-Hydrating-Liquid-Vanilla/dp/B0746Q1XL3/ref=sr_1_2?keywords=Thymes+Kimono+Rose+Bar+Soap&amp;qid=1695258752&amp;sr=8-2</v>
      </c>
      <c r="F476" t="s">
        <v>1361</v>
      </c>
      <c r="G476" t="e">
        <f ca="1">IMAGE("https://heavenlyouthouse.com/cdn/shop/products/thymes-kimono-rose-bar-soap.jpg?v=1628693439")</f>
        <v>#NAME?</v>
      </c>
      <c r="H476" t="e">
        <f ca="1">IMAGE("https://m.media-amazon.com/images/I/61F3lPsq1QL._AC_UL320_.jpg")</f>
        <v>#NAME?</v>
      </c>
      <c r="I476" t="s">
        <v>98</v>
      </c>
      <c r="J476">
        <v>16</v>
      </c>
      <c r="K476" s="2" t="s">
        <v>1346</v>
      </c>
      <c r="L476">
        <v>4.5999999999999996</v>
      </c>
      <c r="M476">
        <v>3441</v>
      </c>
      <c r="O476" t="s">
        <v>39</v>
      </c>
      <c r="P476" t="s">
        <v>100</v>
      </c>
      <c r="Q476" t="s">
        <v>1362</v>
      </c>
    </row>
    <row r="477" spans="1:17" ht="15.75" x14ac:dyDescent="0.25">
      <c r="A477" s="3" t="str">
        <f>HYPERLINK("https://heavenlyouthouse.com/products/rose-gold-sparkle-ball-stud-earrings", "https://heavenlyouthouse.com/products/rose-gold-sparkle-ball-stud-earrings")</f>
        <v>https://heavenlyouthouse.com/products/rose-gold-sparkle-ball-stud-earrings</v>
      </c>
      <c r="B477" s="3" t="str">
        <f>HYPERLINK("https://heavenlyouthouse.com/products/rose-gold-sparkle-ball-stud-earrings", "https://heavenlyouthouse.com/products/rose-gold-sparkle-ball-stud-earrings")</f>
        <v>https://heavenlyouthouse.com/products/rose-gold-sparkle-ball-stud-earrings</v>
      </c>
      <c r="C477" t="s">
        <v>1363</v>
      </c>
      <c r="D477" t="s">
        <v>1364</v>
      </c>
      <c r="E477" s="3" t="str">
        <f>HYPERLINK("https://www.amazon.com/Ross-Simons-14kt-Rose-Gold-Earrings/dp/B07BB1TWDN/ref=sr_1_7?keywords=Rose+Gold+Sparkle+Ball+Stud+Earrings&amp;qid=1695258693&amp;sr=8-7", "https://www.amazon.com/Ross-Simons-14kt-Rose-Gold-Earrings/dp/B07BB1TWDN/ref=sr_1_7?keywords=Rose+Gold+Sparkle+Ball+Stud+Earrings&amp;qid=1695258693&amp;sr=8-7")</f>
        <v>https://www.amazon.com/Ross-Simons-14kt-Rose-Gold-Earrings/dp/B07BB1TWDN/ref=sr_1_7?keywords=Rose+Gold+Sparkle+Ball+Stud+Earrings&amp;qid=1695258693&amp;sr=8-7</v>
      </c>
      <c r="F477" t="s">
        <v>1365</v>
      </c>
      <c r="G477" t="e">
        <f ca="1">IMAGE("https://heavenlyouthouse.com/cdn/shop/products/SB-ES10ROS_1800x1800_abec9089-e5c1-404c-87dd-d015fd8440f6.jpg?v=1587482722")</f>
        <v>#NAME?</v>
      </c>
      <c r="H477" t="e">
        <f ca="1">IMAGE("https://m.media-amazon.com/images/I/41Wqs5WqNHS._AC_UL320_.jpg")</f>
        <v>#NAME?</v>
      </c>
      <c r="I477" t="s">
        <v>1366</v>
      </c>
      <c r="J477">
        <v>59</v>
      </c>
      <c r="K477" s="2" t="s">
        <v>1346</v>
      </c>
      <c r="L477">
        <v>4</v>
      </c>
      <c r="M477">
        <v>6</v>
      </c>
      <c r="O477" t="s">
        <v>39</v>
      </c>
      <c r="P477" t="s">
        <v>39</v>
      </c>
      <c r="Q477" t="s">
        <v>1367</v>
      </c>
    </row>
    <row r="478" spans="1:17" ht="15.75" x14ac:dyDescent="0.25">
      <c r="A478" s="3" t="str">
        <f>HYPERLINK("https://heavenlyouthouse.com/products/tool-man-fathers-day-card", "https://heavenlyouthouse.com/products/tool-man-fathers-day-card")</f>
        <v>https://heavenlyouthouse.com/products/tool-man-fathers-day-card</v>
      </c>
      <c r="B478" s="3" t="str">
        <f>HYPERLINK("https://heavenlyouthouse.com/products/tool-man-fathers-day-card", "https://heavenlyouthouse.com/products/tool-man-fathers-day-card")</f>
        <v>https://heavenlyouthouse.com/products/tool-man-fathers-day-card</v>
      </c>
      <c r="C478" t="s">
        <v>867</v>
      </c>
      <c r="D478" t="s">
        <v>1368</v>
      </c>
      <c r="E478" s="3" t="str">
        <f>HYPERLINK("https://www.amazon.com/GREETING-ART-Fathers-Greeting-Birthday/dp/B0BRRM317N/ref=sr_1_2?keywords=Tool+Man+Fathers+Day+Card&amp;qid=1695258801&amp;sr=8-2", "https://www.amazon.com/GREETING-ART-Fathers-Greeting-Birthday/dp/B0BRRM317N/ref=sr_1_2?keywords=Tool+Man+Fathers+Day+Card&amp;qid=1695258801&amp;sr=8-2")</f>
        <v>https://www.amazon.com/GREETING-ART-Fathers-Greeting-Birthday/dp/B0BRRM317N/ref=sr_1_2?keywords=Tool+Man+Fathers+Day+Card&amp;qid=1695258801&amp;sr=8-2</v>
      </c>
      <c r="F478" t="s">
        <v>1369</v>
      </c>
      <c r="G478" t="e">
        <f ca="1">IMAGE("https://heavenlyouthouse.com/cdn/shop/products/605030123271.jpg?v=1621620239")</f>
        <v>#NAME?</v>
      </c>
      <c r="H478" t="e">
        <f ca="1">IMAGE("https://m.media-amazon.com/images/I/71he-GfxjXL._AC_UL320_.jpg")</f>
        <v>#NAME?</v>
      </c>
      <c r="I478" t="s">
        <v>870</v>
      </c>
      <c r="J478">
        <v>7.99</v>
      </c>
      <c r="K478" s="2" t="s">
        <v>1346</v>
      </c>
      <c r="L478">
        <v>4.8</v>
      </c>
      <c r="M478">
        <v>91</v>
      </c>
      <c r="O478" t="s">
        <v>39</v>
      </c>
      <c r="P478" t="s">
        <v>39</v>
      </c>
      <c r="Q478" t="s">
        <v>872</v>
      </c>
    </row>
    <row r="479" spans="1:17" ht="15.75" x14ac:dyDescent="0.25">
      <c r="A479" s="3" t="str">
        <f>HYPERLINK("https://heavenlyouthouse.com/products/rosemary-mint-body-lotion", "https://heavenlyouthouse.com/products/rosemary-mint-body-lotion")</f>
        <v>https://heavenlyouthouse.com/products/rosemary-mint-body-lotion</v>
      </c>
      <c r="B479" s="3" t="str">
        <f>HYPERLINK("https://heavenlyouthouse.com/products/rosemary-mint-body-lotion", "https://heavenlyouthouse.com/products/rosemary-mint-body-lotion")</f>
        <v>https://heavenlyouthouse.com/products/rosemary-mint-body-lotion</v>
      </c>
      <c r="C479" t="s">
        <v>664</v>
      </c>
      <c r="D479" t="s">
        <v>1370</v>
      </c>
      <c r="E479" s="3" t="str">
        <f>HYPERLINK("https://www.amazon.com/Aveda-Rosemary-Mint-Lotion-Moisturizer/dp/B007XXMCG2/ref=sr_1_7?keywords=Rosemary+Mint+Body+Lotion&amp;qid=1695258667&amp;sr=8-7", "https://www.amazon.com/Aveda-Rosemary-Mint-Lotion-Moisturizer/dp/B007XXMCG2/ref=sr_1_7?keywords=Rosemary+Mint+Body+Lotion&amp;qid=1695258667&amp;sr=8-7")</f>
        <v>https://www.amazon.com/Aveda-Rosemary-Mint-Lotion-Moisturizer/dp/B007XXMCG2/ref=sr_1_7?keywords=Rosemary+Mint+Body+Lotion&amp;qid=1695258667&amp;sr=8-7</v>
      </c>
      <c r="F479" t="s">
        <v>1371</v>
      </c>
      <c r="G479" t="e">
        <f ca="1">IMAGE("https://heavenlyouthouse.com/cdn/shop/products/RosemaryMint-OatLotion.webp?v=1681505156")</f>
        <v>#NAME?</v>
      </c>
      <c r="H479" t="e">
        <f ca="1">IMAGE("https://m.media-amazon.com/images/I/41VVhBbNmfL._AC_UL320_.jpg")</f>
        <v>#NAME?</v>
      </c>
      <c r="I479" t="s">
        <v>399</v>
      </c>
      <c r="J479">
        <v>17.54</v>
      </c>
      <c r="K479" s="2" t="s">
        <v>1346</v>
      </c>
      <c r="L479">
        <v>4.5</v>
      </c>
      <c r="M479">
        <v>157</v>
      </c>
      <c r="O479" t="s">
        <v>39</v>
      </c>
      <c r="P479" t="s">
        <v>39</v>
      </c>
      <c r="Q479" t="s">
        <v>667</v>
      </c>
    </row>
    <row r="480" spans="1:17" ht="15.75" x14ac:dyDescent="0.25">
      <c r="A480" s="3" t="str">
        <f>HYPERLINK("https://heavenlyouthouse.com/products/thymes-olive-leaf-cologne-spray-pen", "https://heavenlyouthouse.com/products/thymes-olive-leaf-cologne-spray-pen")</f>
        <v>https://heavenlyouthouse.com/products/thymes-olive-leaf-cologne-spray-pen</v>
      </c>
      <c r="B480" s="3" t="str">
        <f>HYPERLINK("https://heavenlyouthouse.com/products/thymes-olive-leaf-cologne-spray-pen", "https://heavenlyouthouse.com/products/thymes-olive-leaf-cologne-spray-pen")</f>
        <v>https://heavenlyouthouse.com/products/thymes-olive-leaf-cologne-spray-pen</v>
      </c>
      <c r="C480" t="s">
        <v>1372</v>
      </c>
      <c r="D480" t="s">
        <v>1373</v>
      </c>
      <c r="E480" s="3" t="str">
        <f>HYPERLINK("https://www.amazon.com/Thymes-Olive-Leaf-Cologne-Spray/dp/B07LFQGT3N/ref=sr_1_1?keywords=Thymes+Olive+Leaf+Cologne+Spray+Pen&amp;qid=1695258779&amp;sr=8-1", "https://www.amazon.com/Thymes-Olive-Leaf-Cologne-Spray/dp/B07LFQGT3N/ref=sr_1_1?keywords=Thymes+Olive+Leaf+Cologne+Spray+Pen&amp;qid=1695258779&amp;sr=8-1")</f>
        <v>https://www.amazon.com/Thymes-Olive-Leaf-Cologne-Spray/dp/B07LFQGT3N/ref=sr_1_1?keywords=Thymes+Olive+Leaf+Cologne+Spray+Pen&amp;qid=1695258779&amp;sr=8-1</v>
      </c>
      <c r="F480" t="s">
        <v>1374</v>
      </c>
      <c r="G480" t="e">
        <f ca="1">IMAGE("https://heavenlyouthouse.com/cdn/shop/products/Olive-Leaf-Cologne-Spray-Pen.jpg?v=1633124663")</f>
        <v>#NAME?</v>
      </c>
      <c r="H480" t="e">
        <f ca="1">IMAGE("https://m.media-amazon.com/images/I/71Y9VLVXQwL._AC_UL320_.jpg")</f>
        <v>#NAME?</v>
      </c>
      <c r="I480" t="s">
        <v>286</v>
      </c>
      <c r="J480">
        <v>25</v>
      </c>
      <c r="K480" s="2" t="s">
        <v>1375</v>
      </c>
      <c r="L480">
        <v>4.5</v>
      </c>
      <c r="M480">
        <v>900</v>
      </c>
      <c r="O480" t="s">
        <v>39</v>
      </c>
      <c r="P480" t="s">
        <v>500</v>
      </c>
      <c r="Q480" t="s">
        <v>1376</v>
      </c>
    </row>
    <row r="481" spans="1:17" ht="15.75" x14ac:dyDescent="0.25">
      <c r="A481" s="3" t="str">
        <f>HYPERLINK("https://heavenlyouthouse.com/products/frasier-fir-home-fragrance-mist", "https://heavenlyouthouse.com/products/frasier-fir-home-fragrance-mist")</f>
        <v>https://heavenlyouthouse.com/products/frasier-fir-home-fragrance-mist</v>
      </c>
      <c r="B481" s="3" t="str">
        <f>HYPERLINK("https://heavenlyouthouse.com/products/frasier-fir-home-fragrance-mist", "https://heavenlyouthouse.com/products/frasier-fir-home-fragrance-mist")</f>
        <v>https://heavenlyouthouse.com/products/frasier-fir-home-fragrance-mist</v>
      </c>
      <c r="C481" t="s">
        <v>384</v>
      </c>
      <c r="D481" t="s">
        <v>1377</v>
      </c>
      <c r="E481" s="3" t="str">
        <f>HYPERLINK("https://www.amazon.com/Thymes-Frasier-Pine-Needle-Candle/dp/B07PZF7X3K/ref=sr_1_7?keywords=Thymes+Frasier+Fir+Home+Fragrance+Mist&amp;qid=1695258733&amp;sr=8-7", "https://www.amazon.com/Thymes-Frasier-Pine-Needle-Candle/dp/B07PZF7X3K/ref=sr_1_7?keywords=Thymes+Frasier+Fir+Home+Fragrance+Mist&amp;qid=1695258733&amp;sr=8-7")</f>
        <v>https://www.amazon.com/Thymes-Frasier-Pine-Needle-Candle/dp/B07PZF7X3K/ref=sr_1_7?keywords=Thymes+Frasier+Fir+Home+Fragrance+Mist&amp;qid=1695258733&amp;sr=8-7</v>
      </c>
      <c r="F481" t="s">
        <v>1378</v>
      </c>
      <c r="G481" t="e">
        <f ca="1">IMAGE("https://heavenlyouthouse.com/cdn/shop/products/ThymesFrasierFirHomeFragranceMist.jpg?v=1617817932")</f>
        <v>#NAME?</v>
      </c>
      <c r="H481" t="e">
        <f ca="1">IMAGE("https://m.media-amazon.com/images/I/61XeZ2YJ6SL._AC_UL320_.jpg")</f>
        <v>#NAME?</v>
      </c>
      <c r="I481" t="s">
        <v>385</v>
      </c>
      <c r="J481">
        <v>24</v>
      </c>
      <c r="K481" s="2" t="s">
        <v>1375</v>
      </c>
      <c r="L481">
        <v>4.4000000000000004</v>
      </c>
      <c r="M481">
        <v>29</v>
      </c>
      <c r="O481" t="s">
        <v>39</v>
      </c>
      <c r="P481" t="s">
        <v>39</v>
      </c>
      <c r="Q481" t="s">
        <v>387</v>
      </c>
    </row>
    <row r="482" spans="1:17" ht="15.75" x14ac:dyDescent="0.25">
      <c r="A482" s="3" t="str">
        <f>HYPERLINK("https://heavenlyouthouse.com/products/retirement-card", "https://heavenlyouthouse.com/products/retirement-card")</f>
        <v>https://heavenlyouthouse.com/products/retirement-card</v>
      </c>
      <c r="B482" s="3" t="str">
        <f>HYPERLINK("https://heavenlyouthouse.com/products/retirement-card", "https://heavenlyouthouse.com/products/retirement-card")</f>
        <v>https://heavenlyouthouse.com/products/retirement-card</v>
      </c>
      <c r="C482" t="s">
        <v>964</v>
      </c>
      <c r="D482" t="s">
        <v>1379</v>
      </c>
      <c r="E482" s="3" t="str">
        <f>HYPERLINK("https://www.amazon.com/Farewell-Retirement-Better-Office-Products/dp/B0B1496W1C/ref=sr_1_9?keywords=Retirement+Card&amp;qid=1695258667&amp;sr=8-9", "https://www.amazon.com/Farewell-Retirement-Better-Office-Products/dp/B0B1496W1C/ref=sr_1_9?keywords=Retirement+Card&amp;qid=1695258667&amp;sr=8-9")</f>
        <v>https://www.amazon.com/Farewell-Retirement-Better-Office-Products/dp/B0B1496W1C/ref=sr_1_9?keywords=Retirement+Card&amp;qid=1695258667&amp;sr=8-9</v>
      </c>
      <c r="F482" t="s">
        <v>1380</v>
      </c>
      <c r="G482" t="e">
        <f ca="1">IMAGE("https://heavenlyouthouse.com/cdn/shop/files/retirement-card1_300x300.jpg?v=1692054658")</f>
        <v>#NAME?</v>
      </c>
      <c r="H482" t="e">
        <f ca="1">IMAGE("https://m.media-amazon.com/images/I/71UYLV+41AL._AC_UL320_.jpg")</f>
        <v>#NAME?</v>
      </c>
      <c r="I482" t="s">
        <v>414</v>
      </c>
      <c r="J482">
        <v>5.75</v>
      </c>
      <c r="K482" s="2" t="s">
        <v>1375</v>
      </c>
      <c r="L482">
        <v>4.7</v>
      </c>
      <c r="M482">
        <v>210</v>
      </c>
      <c r="O482" t="s">
        <v>39</v>
      </c>
      <c r="P482" t="s">
        <v>39</v>
      </c>
      <c r="Q482" t="s">
        <v>967</v>
      </c>
    </row>
    <row r="483" spans="1:17" ht="15.75" x14ac:dyDescent="0.25">
      <c r="A483" s="3" t="str">
        <f t="shared" ref="A483:B485" si="5">HYPERLINK("https://heavenlyouthouse.com/products/you-did-it-graduation-card", "https://heavenlyouthouse.com/products/you-did-it-graduation-card")</f>
        <v>https://heavenlyouthouse.com/products/you-did-it-graduation-card</v>
      </c>
      <c r="B483" s="3" t="str">
        <f t="shared" si="5"/>
        <v>https://heavenlyouthouse.com/products/you-did-it-graduation-card</v>
      </c>
      <c r="C483" t="s">
        <v>851</v>
      </c>
      <c r="D483" t="s">
        <v>1381</v>
      </c>
      <c r="E483" s="3" t="str">
        <f>HYPERLINK("https://www.amazon.com/Funny-Graduation-Card-Envelope-Congratulatory/dp/B0BWW96VHS/ref=sr_1_10?keywords=You+Did+It+Graduation+Card&amp;qid=1695258832&amp;sr=8-10", "https://www.amazon.com/Funny-Graduation-Card-Envelope-Congratulatory/dp/B0BWW96VHS/ref=sr_1_10?keywords=You+Did+It+Graduation+Card&amp;qid=1695258832&amp;sr=8-10")</f>
        <v>https://www.amazon.com/Funny-Graduation-Card-Envelope-Congratulatory/dp/B0BWW96VHS/ref=sr_1_10?keywords=You+Did+It+Graduation+Card&amp;qid=1695258832&amp;sr=8-10</v>
      </c>
      <c r="F483" t="s">
        <v>1382</v>
      </c>
      <c r="G483" t="e">
        <f ca="1">IMAGE("https://heavenlyouthouse.com/cdn/shop/products/papyrus-graduation-card-airplane-flying-around-glo_1.jpg?v=1642617008")</f>
        <v>#NAME?</v>
      </c>
      <c r="H483" t="e">
        <f ca="1">IMAGE("https://m.media-amazon.com/images/I/71L0WKSR9XL._AC_UL320_.jpg")</f>
        <v>#NAME?</v>
      </c>
      <c r="I483" t="s">
        <v>454</v>
      </c>
      <c r="J483">
        <v>6.99</v>
      </c>
      <c r="K483" s="2" t="s">
        <v>1383</v>
      </c>
      <c r="L483">
        <v>4</v>
      </c>
      <c r="M483">
        <v>1</v>
      </c>
      <c r="O483" t="s">
        <v>39</v>
      </c>
      <c r="P483" t="s">
        <v>39</v>
      </c>
      <c r="Q483" t="s">
        <v>854</v>
      </c>
    </row>
    <row r="484" spans="1:17" ht="15.75" x14ac:dyDescent="0.25">
      <c r="A484" s="3" t="str">
        <f t="shared" si="5"/>
        <v>https://heavenlyouthouse.com/products/you-did-it-graduation-card</v>
      </c>
      <c r="B484" s="3" t="str">
        <f t="shared" si="5"/>
        <v>https://heavenlyouthouse.com/products/you-did-it-graduation-card</v>
      </c>
      <c r="C484" t="s">
        <v>851</v>
      </c>
      <c r="D484" t="s">
        <v>1384</v>
      </c>
      <c r="E484" s="3" t="str">
        <f>HYPERLINK("https://www.amazon.com/Hallmark-Pack-Graduation-Cards-Envelopes/dp/B09R1MKTGC/ref=sr_1_2?keywords=You+Did+It+Graduation+Card&amp;qid=1695258832&amp;sr=8-2", "https://www.amazon.com/Hallmark-Pack-Graduation-Cards-Envelopes/dp/B09R1MKTGC/ref=sr_1_2?keywords=You+Did+It+Graduation+Card&amp;qid=1695258832&amp;sr=8-2")</f>
        <v>https://www.amazon.com/Hallmark-Pack-Graduation-Cards-Envelopes/dp/B09R1MKTGC/ref=sr_1_2?keywords=You+Did+It+Graduation+Card&amp;qid=1695258832&amp;sr=8-2</v>
      </c>
      <c r="F484" t="s">
        <v>1385</v>
      </c>
      <c r="G484" t="e">
        <f ca="1">IMAGE("https://heavenlyouthouse.com/cdn/shop/products/papyrus-graduation-card-airplane-flying-around-glo_1.jpg?v=1642617008")</f>
        <v>#NAME?</v>
      </c>
      <c r="H484" t="e">
        <f ca="1">IMAGE("https://m.media-amazon.com/images/I/911R1bs0kXL._AC_UL320_.jpg")</f>
        <v>#NAME?</v>
      </c>
      <c r="I484" t="s">
        <v>454</v>
      </c>
      <c r="J484">
        <v>6.99</v>
      </c>
      <c r="K484" s="2" t="s">
        <v>1383</v>
      </c>
      <c r="L484">
        <v>4.9000000000000004</v>
      </c>
      <c r="M484">
        <v>518</v>
      </c>
      <c r="O484" t="s">
        <v>39</v>
      </c>
      <c r="P484" t="s">
        <v>39</v>
      </c>
      <c r="Q484" t="s">
        <v>854</v>
      </c>
    </row>
    <row r="485" spans="1:17" ht="15.75" x14ac:dyDescent="0.25">
      <c r="A485" s="3" t="str">
        <f t="shared" si="5"/>
        <v>https://heavenlyouthouse.com/products/you-did-it-graduation-card</v>
      </c>
      <c r="B485" s="3" t="str">
        <f t="shared" si="5"/>
        <v>https://heavenlyouthouse.com/products/you-did-it-graduation-card</v>
      </c>
      <c r="C485" t="s">
        <v>851</v>
      </c>
      <c r="D485" t="s">
        <v>1386</v>
      </c>
      <c r="E485" s="3" t="str">
        <f>HYPERLINK("https://www.amazon.com/original-graduation-envelope-Inspirational-empowering/dp/B08DRS6J8Z/ref=sr_1_8?keywords=You+Did+It+Graduation+Card&amp;qid=1695258832&amp;sr=8-8", "https://www.amazon.com/original-graduation-envelope-Inspirational-empowering/dp/B08DRS6J8Z/ref=sr_1_8?keywords=You+Did+It+Graduation+Card&amp;qid=1695258832&amp;sr=8-8")</f>
        <v>https://www.amazon.com/original-graduation-envelope-Inspirational-empowering/dp/B08DRS6J8Z/ref=sr_1_8?keywords=You+Did+It+Graduation+Card&amp;qid=1695258832&amp;sr=8-8</v>
      </c>
      <c r="F485" t="s">
        <v>1387</v>
      </c>
      <c r="G485" t="e">
        <f ca="1">IMAGE("https://heavenlyouthouse.com/cdn/shop/products/papyrus-graduation-card-airplane-flying-around-glo_1.jpg?v=1642617008")</f>
        <v>#NAME?</v>
      </c>
      <c r="H485" t="e">
        <f ca="1">IMAGE("https://m.media-amazon.com/images/I/51zghX-N2RL._AC_UL320_.jpg")</f>
        <v>#NAME?</v>
      </c>
      <c r="I485" t="s">
        <v>454</v>
      </c>
      <c r="J485">
        <v>6.99</v>
      </c>
      <c r="K485" s="2" t="s">
        <v>1383</v>
      </c>
      <c r="L485">
        <v>4.8</v>
      </c>
      <c r="M485">
        <v>359</v>
      </c>
      <c r="O485" t="s">
        <v>39</v>
      </c>
      <c r="P485" t="s">
        <v>39</v>
      </c>
      <c r="Q485" t="s">
        <v>854</v>
      </c>
    </row>
    <row r="486" spans="1:17" ht="15.75" x14ac:dyDescent="0.25">
      <c r="A486" s="3" t="str">
        <f>HYPERLINK("https://heavenlyouthouse.com/products/eucalyptus-bar-soap", "https://heavenlyouthouse.com/products/eucalyptus-bar-soap")</f>
        <v>https://heavenlyouthouse.com/products/eucalyptus-bar-soap</v>
      </c>
      <c r="B486" s="3" t="str">
        <f>HYPERLINK("https://heavenlyouthouse.com/products/eucalyptus-bar-soap", "https://heavenlyouthouse.com/products/eucalyptus-bar-soap")</f>
        <v>https://heavenlyouthouse.com/products/eucalyptus-bar-soap</v>
      </c>
      <c r="C486" t="s">
        <v>431</v>
      </c>
      <c r="D486" t="s">
        <v>376</v>
      </c>
      <c r="E486" s="3" t="str">
        <f>HYPERLINK("https://www.amazon.com/Bath-Body-Works-Eucalyptus-Spearmint/dp/B0B15ZH8N3/ref=sr_1_2?keywords=Thymes+Eucalyptus+Bar+Soap&amp;qid=1695258725&amp;sr=8-2", "https://www.amazon.com/Bath-Body-Works-Eucalyptus-Spearmint/dp/B0B15ZH8N3/ref=sr_1_2?keywords=Thymes+Eucalyptus+Bar+Soap&amp;qid=1695258725&amp;sr=8-2")</f>
        <v>https://www.amazon.com/Bath-Body-Works-Eucalyptus-Spearmint/dp/B0B15ZH8N3/ref=sr_1_2?keywords=Thymes+Eucalyptus+Bar+Soap&amp;qid=1695258725&amp;sr=8-2</v>
      </c>
      <c r="F486" t="s">
        <v>377</v>
      </c>
      <c r="G486" t="e">
        <f ca="1">IMAGE("https://heavenlyouthouse.com/cdn/shop/products/thymes-eucalyptus-bar-soap.jpg?v=1628693255")</f>
        <v>#NAME?</v>
      </c>
      <c r="H486" t="e">
        <f ca="1">IMAGE("https://m.media-amazon.com/images/I/61yFk6itNKL._AC_UL320_.jpg")</f>
        <v>#NAME?</v>
      </c>
      <c r="I486" t="s">
        <v>98</v>
      </c>
      <c r="J486">
        <v>15.56</v>
      </c>
      <c r="K486" s="2" t="s">
        <v>1383</v>
      </c>
      <c r="L486">
        <v>4.5999999999999996</v>
      </c>
      <c r="M486">
        <v>47</v>
      </c>
      <c r="O486" t="s">
        <v>39</v>
      </c>
      <c r="P486" t="s">
        <v>39</v>
      </c>
      <c r="Q486" t="s">
        <v>434</v>
      </c>
    </row>
    <row r="487" spans="1:17" ht="15.75" x14ac:dyDescent="0.25">
      <c r="A487" s="3" t="str">
        <f>HYPERLINK("https://heavenlyouthouse.com/products/thymes-frasier-fir-pine-needle-candle", "https://heavenlyouthouse.com/products/thymes-frasier-fir-pine-needle-candle")</f>
        <v>https://heavenlyouthouse.com/products/thymes-frasier-fir-pine-needle-candle</v>
      </c>
      <c r="B487" s="3" t="str">
        <f>HYPERLINK("https://heavenlyouthouse.com/products/thymes-frasier-fir-pine-needle-candle", "https://heavenlyouthouse.com/products/thymes-frasier-fir-pine-needle-candle")</f>
        <v>https://heavenlyouthouse.com/products/thymes-frasier-fir-pine-needle-candle</v>
      </c>
      <c r="C487" t="s">
        <v>263</v>
      </c>
      <c r="D487" t="s">
        <v>945</v>
      </c>
      <c r="E487" s="3" t="str">
        <f>HYPERLINK("https://www.amazon.com/Thymes-Silver-Needle-Frasier-Candle/dp/B0B9CG2F5Y/ref=sr_1_10?keywords=Thymes+Frasier+Fir+Pine+Needle+Candle&amp;qid=1695258736&amp;sr=8-10", "https://www.amazon.com/Thymes-Silver-Needle-Frasier-Candle/dp/B0B9CG2F5Y/ref=sr_1_10?keywords=Thymes+Frasier+Fir+Pine+Needle+Candle&amp;qid=1695258736&amp;sr=8-10")</f>
        <v>https://www.amazon.com/Thymes-Silver-Needle-Frasier-Candle/dp/B0B9CG2F5Y/ref=sr_1_10?keywords=Thymes+Frasier+Fir+Pine+Needle+Candle&amp;qid=1695258736&amp;sr=8-10</v>
      </c>
      <c r="F487" t="s">
        <v>946</v>
      </c>
      <c r="G487" t="e">
        <f ca="1">IMAGE("https://heavenlyouthouse.com/cdn/shop/products/thymesfrasierfirpineneedlecandle6.5oz.jpg?v=1619632712")</f>
        <v>#NAME?</v>
      </c>
      <c r="H487" t="e">
        <f ca="1">IMAGE("https://m.media-amazon.com/images/I/61QrKA8Z9cL._AC_UL320_.jpg")</f>
        <v>#NAME?</v>
      </c>
      <c r="I487" t="s">
        <v>264</v>
      </c>
      <c r="J487">
        <v>36</v>
      </c>
      <c r="K487" s="2" t="s">
        <v>1383</v>
      </c>
      <c r="L487">
        <v>5</v>
      </c>
      <c r="M487">
        <v>2</v>
      </c>
      <c r="O487" t="s">
        <v>39</v>
      </c>
      <c r="P487" t="s">
        <v>266</v>
      </c>
      <c r="Q487" t="s">
        <v>267</v>
      </c>
    </row>
    <row r="488" spans="1:17" ht="15.75" x14ac:dyDescent="0.25">
      <c r="A488" s="3" t="str">
        <f>HYPERLINK("https://heavenlyouthouse.com/products/eucalyptus-body-wash", "https://heavenlyouthouse.com/products/eucalyptus-body-wash")</f>
        <v>https://heavenlyouthouse.com/products/eucalyptus-body-wash</v>
      </c>
      <c r="B488" s="3" t="str">
        <f>HYPERLINK("https://heavenlyouthouse.com/products/eucalyptus-body-wash", "https://heavenlyouthouse.com/products/eucalyptus-body-wash")</f>
        <v>https://heavenlyouthouse.com/products/eucalyptus-body-wash</v>
      </c>
      <c r="C488" t="s">
        <v>832</v>
      </c>
      <c r="D488" t="s">
        <v>1388</v>
      </c>
      <c r="E488" s="3" t="str">
        <f>HYPERLINK("https://www.amazon.com/Thymes-Body-Serum-6-0-Eucalyptus/dp/B0B1FZC7X7/ref=sr_1_9?keywords=Thymes+Eucalyptus+Body+Wash&amp;qid=1695258723&amp;sr=8-9", "https://www.amazon.com/Thymes-Body-Serum-6-0-Eucalyptus/dp/B0B1FZC7X7/ref=sr_1_9?keywords=Thymes+Eucalyptus+Body+Wash&amp;qid=1695258723&amp;sr=8-9")</f>
        <v>https://www.amazon.com/Thymes-Body-Serum-6-0-Eucalyptus/dp/B0B1FZC7X7/ref=sr_1_9?keywords=Thymes+Eucalyptus+Body+Wash&amp;qid=1695258723&amp;sr=8-9</v>
      </c>
      <c r="F488" t="s">
        <v>1389</v>
      </c>
      <c r="G488" t="e">
        <f ca="1">IMAGE("https://heavenlyouthouse.com/cdn/shop/products/thymes-eucalyptus-body-wash.jpg?v=1638555917")</f>
        <v>#NAME?</v>
      </c>
      <c r="H488" t="e">
        <f ca="1">IMAGE("https://m.media-amazon.com/images/I/51OALyYm3eL._AC_UL320_.jpg")</f>
        <v>#NAME?</v>
      </c>
      <c r="I488" t="s">
        <v>835</v>
      </c>
      <c r="J488">
        <v>26</v>
      </c>
      <c r="K488" s="2" t="s">
        <v>1390</v>
      </c>
      <c r="L488">
        <v>4.4000000000000004</v>
      </c>
      <c r="M488">
        <v>36</v>
      </c>
      <c r="O488" t="s">
        <v>39</v>
      </c>
      <c r="P488" t="s">
        <v>39</v>
      </c>
      <c r="Q488" t="s">
        <v>836</v>
      </c>
    </row>
    <row r="489" spans="1:17" ht="15.75" x14ac:dyDescent="0.25">
      <c r="A489" s="3" t="str">
        <f>HYPERLINK("https://heavenlyouthouse.com/products/scent-free-body-butter", "https://heavenlyouthouse.com/products/scent-free-body-butter")</f>
        <v>https://heavenlyouthouse.com/products/scent-free-body-butter</v>
      </c>
      <c r="B489" s="3" t="str">
        <f>HYPERLINK("https://heavenlyouthouse.com/products/scent-free-body-butter", "https://heavenlyouthouse.com/products/scent-free-body-butter")</f>
        <v>https://heavenlyouthouse.com/products/scent-free-body-butter</v>
      </c>
      <c r="C489" t="s">
        <v>695</v>
      </c>
      <c r="D489" t="s">
        <v>1391</v>
      </c>
      <c r="E489" s="3" t="str">
        <f>HYPERLINK("https://www.amazon.com/Bliss-Body-Butter-Long-Lasting-Cruelty-Free/dp/B00D09EWHK/ref=sr_1_10?keywords=Scent+Free+Body+Butter&amp;qid=1695258680&amp;sr=8-10", "https://www.amazon.com/Bliss-Body-Butter-Long-Lasting-Cruelty-Free/dp/B00D09EWHK/ref=sr_1_10?keywords=Scent+Free+Body+Butter&amp;qid=1695258680&amp;sr=8-10")</f>
        <v>https://www.amazon.com/Bliss-Body-Butter-Long-Lasting-Cruelty-Free/dp/B00D09EWHK/ref=sr_1_10?keywords=Scent+Free+Body+Butter&amp;qid=1695258680&amp;sr=8-10</v>
      </c>
      <c r="F489" t="s">
        <v>1392</v>
      </c>
      <c r="G489" t="e">
        <f ca="1">IMAGE("https://heavenlyouthouse.com/cdn/shop/products/dry-skin-body-butter_2000x_a7842167-ad66-4fcf-9097-94fb6cdff081.jpg?v=1586787710")</f>
        <v>#NAME?</v>
      </c>
      <c r="H489" t="e">
        <f ca="1">IMAGE("https://m.media-amazon.com/images/I/61UtT24gnYL._AC_UL320_.jpg")</f>
        <v>#NAME?</v>
      </c>
      <c r="I489" t="s">
        <v>233</v>
      </c>
      <c r="J489">
        <v>13</v>
      </c>
      <c r="K489" s="2" t="s">
        <v>1390</v>
      </c>
      <c r="L489">
        <v>4.5999999999999996</v>
      </c>
      <c r="M489">
        <v>6479</v>
      </c>
      <c r="O489" t="s">
        <v>39</v>
      </c>
      <c r="P489" t="s">
        <v>39</v>
      </c>
      <c r="Q489" t="s">
        <v>698</v>
      </c>
    </row>
    <row r="490" spans="1:17" ht="15.75" x14ac:dyDescent="0.25">
      <c r="A490" s="3" t="str">
        <f>HYPERLINK("https://heavenlyouthouse.com/products/transformative-cleansing-oil", "https://heavenlyouthouse.com/products/transformative-cleansing-oil")</f>
        <v>https://heavenlyouthouse.com/products/transformative-cleansing-oil</v>
      </c>
      <c r="B490" s="3" t="str">
        <f>HYPERLINK("https://heavenlyouthouse.com/products/transformative-cleansing-oil", "https://heavenlyouthouse.com/products/transformative-cleansing-oil")</f>
        <v>https://heavenlyouthouse.com/products/transformative-cleansing-oil</v>
      </c>
      <c r="C490" t="s">
        <v>1024</v>
      </c>
      <c r="D490" t="s">
        <v>1393</v>
      </c>
      <c r="E490" s="3" t="str">
        <f>HYPERLINK("https://www.amazon.com/THEFACESHOP-Real-Blend-Deep-Cleansing/dp/B07DSRT17W/ref=sr_1_1?keywords=Transformative+Face+Cleansing+Oil&amp;qid=1695258847&amp;rdc=1&amp;sr=8-1", "https://www.amazon.com/THEFACESHOP-Real-Blend-Deep-Cleansing/dp/B07DSRT17W/ref=sr_1_1?keywords=Transformative+Face+Cleansing+Oil&amp;qid=1695258847&amp;rdc=1&amp;sr=8-1")</f>
        <v>https://www.amazon.com/THEFACESHOP-Real-Blend-Deep-Cleansing/dp/B07DSRT17W/ref=sr_1_1?keywords=Transformative+Face+Cleansing+Oil&amp;qid=1695258847&amp;rdc=1&amp;sr=8-1</v>
      </c>
      <c r="F490" t="s">
        <v>1394</v>
      </c>
      <c r="G490" t="e">
        <f ca="1">IMAGE("https://heavenlyouthouse.com/cdn/shop/files/CleansingOil-Large-1_5000x_03b4d51f-376f-4341-baed-c2507c0bcea5_300x300.webp?v=1689283043")</f>
        <v>#NAME?</v>
      </c>
      <c r="H490" t="e">
        <f ca="1">IMAGE("https://m.media-amazon.com/images/I/71k3uQ1uKiL._AC_UL320_.jpg")</f>
        <v>#NAME?</v>
      </c>
      <c r="I490" t="s">
        <v>1027</v>
      </c>
      <c r="J490">
        <v>30</v>
      </c>
      <c r="K490" s="2" t="s">
        <v>1390</v>
      </c>
      <c r="L490">
        <v>4.8</v>
      </c>
      <c r="M490">
        <v>11</v>
      </c>
      <c r="O490" t="s">
        <v>39</v>
      </c>
      <c r="P490" t="s">
        <v>39</v>
      </c>
      <c r="Q490" t="s">
        <v>1029</v>
      </c>
    </row>
    <row r="491" spans="1:17" ht="15.75" x14ac:dyDescent="0.25">
      <c r="A491" s="3" t="str">
        <f>HYPERLINK("https://heavenlyouthouse.com/products/thymes-lemon-leaf-fragrance-reed-diffuser", "https://heavenlyouthouse.com/products/thymes-lemon-leaf-fragrance-reed-diffuser")</f>
        <v>https://heavenlyouthouse.com/products/thymes-lemon-leaf-fragrance-reed-diffuser</v>
      </c>
      <c r="B491" s="3" t="str">
        <f>HYPERLINK("https://heavenlyouthouse.com/products/thymes-lemon-leaf-fragrance-reed-diffuser", "https://heavenlyouthouse.com/products/thymes-lemon-leaf-fragrance-reed-diffuser")</f>
        <v>https://heavenlyouthouse.com/products/thymes-lemon-leaf-fragrance-reed-diffuser</v>
      </c>
      <c r="C491" t="s">
        <v>1395</v>
      </c>
      <c r="D491" t="s">
        <v>1151</v>
      </c>
      <c r="E491" s="3" t="str">
        <f>HYPERLINK("https://www.amazon.com/Thymes-Petite-Reed-Diffuser-Lemon/dp/B084BRX7CV/ref=sr_1_2?keywords=Thymes+Lemon+Leaf+Fragrance+Reed+Diffuser&amp;qid=1695258769&amp;sr=8-2", "https://www.amazon.com/Thymes-Petite-Reed-Diffuser-Lemon/dp/B084BRX7CV/ref=sr_1_2?keywords=Thymes+Lemon+Leaf+Fragrance+Reed+Diffuser&amp;qid=1695258769&amp;sr=8-2")</f>
        <v>https://www.amazon.com/Thymes-Petite-Reed-Diffuser-Lemon/dp/B084BRX7CV/ref=sr_1_2?keywords=Thymes+Lemon+Leaf+Fragrance+Reed+Diffuser&amp;qid=1695258769&amp;sr=8-2</v>
      </c>
      <c r="F491" t="s">
        <v>1152</v>
      </c>
      <c r="G491" t="e">
        <f ca="1">IMAGE("https://heavenlyouthouse.com/cdn/shop/products/ThymesLemonLeaffragrancereeddiffuser.jpg?v=1613093345")</f>
        <v>#NAME?</v>
      </c>
      <c r="H491" t="e">
        <f ca="1">IMAGE("https://m.media-amazon.com/images/I/71hPW5ManPL._AC_UL320_.jpg")</f>
        <v>#NAME?</v>
      </c>
      <c r="I491" t="s">
        <v>1396</v>
      </c>
      <c r="J491">
        <v>46</v>
      </c>
      <c r="K491" s="2" t="s">
        <v>1390</v>
      </c>
      <c r="L491">
        <v>4.3</v>
      </c>
      <c r="M491">
        <v>185</v>
      </c>
      <c r="O491" t="s">
        <v>39</v>
      </c>
      <c r="P491" t="s">
        <v>39</v>
      </c>
      <c r="Q491" t="s">
        <v>1397</v>
      </c>
    </row>
    <row r="492" spans="1:17" ht="15.75" x14ac:dyDescent="0.25">
      <c r="A492" s="3" t="str">
        <f>HYPERLINK("https://heavenlyouthouse.com/products/fresh-cut-basil-fragrance-reed-diffuser", "https://heavenlyouthouse.com/products/fresh-cut-basil-fragrance-reed-diffuser")</f>
        <v>https://heavenlyouthouse.com/products/fresh-cut-basil-fragrance-reed-diffuser</v>
      </c>
      <c r="B492" s="3" t="str">
        <f>HYPERLINK("https://heavenlyouthouse.com/products/fresh-cut-basil-fragrance-reed-diffuser", "https://heavenlyouthouse.com/products/fresh-cut-basil-fragrance-reed-diffuser")</f>
        <v>https://heavenlyouthouse.com/products/fresh-cut-basil-fragrance-reed-diffuser</v>
      </c>
      <c r="C492" t="s">
        <v>1398</v>
      </c>
      <c r="D492" t="s">
        <v>435</v>
      </c>
      <c r="E492" s="3" t="str">
        <f>HYPERLINK("https://www.amazon.com/Thymes-Petite-Reed-Diffuser-Fresh-Cut/dp/B084C52SWG/ref=sr_1_2?keywords=Thymes+Fresh-Cut+Basil+Fragrance+Reed+Diffuser&amp;qid=1695258738&amp;sr=8-2", "https://www.amazon.com/Thymes-Petite-Reed-Diffuser-Fresh-Cut/dp/B084C52SWG/ref=sr_1_2?keywords=Thymes+Fresh-Cut+Basil+Fragrance+Reed+Diffuser&amp;qid=1695258738&amp;sr=8-2")</f>
        <v>https://www.amazon.com/Thymes-Petite-Reed-Diffuser-Fresh-Cut/dp/B084C52SWG/ref=sr_1_2?keywords=Thymes+Fresh-Cut+Basil+Fragrance+Reed+Diffuser&amp;qid=1695258738&amp;sr=8-2</v>
      </c>
      <c r="F492" t="s">
        <v>436</v>
      </c>
      <c r="G492" t="e">
        <f ca="1">IMAGE("https://heavenlyouthouse.com/cdn/shop/products/thymesfresh-cutbasilfragrancereeddiffuser.jpg?v=1613072872")</f>
        <v>#NAME?</v>
      </c>
      <c r="H492" t="e">
        <f ca="1">IMAGE("https://m.media-amazon.com/images/I/71-NgcdjcnL._AC_UL320_.jpg")</f>
        <v>#NAME?</v>
      </c>
      <c r="I492" t="s">
        <v>1396</v>
      </c>
      <c r="J492">
        <v>46</v>
      </c>
      <c r="K492" s="2" t="s">
        <v>1390</v>
      </c>
      <c r="L492">
        <v>4.3</v>
      </c>
      <c r="M492">
        <v>185</v>
      </c>
      <c r="O492" t="s">
        <v>39</v>
      </c>
      <c r="P492" t="s">
        <v>1399</v>
      </c>
      <c r="Q492" t="s">
        <v>1400</v>
      </c>
    </row>
    <row r="493" spans="1:17" ht="15.75" x14ac:dyDescent="0.25">
      <c r="A493" s="3" t="str">
        <f>HYPERLINK("https://heavenlyouthouse.com/products/thymes-lavender-body-scrub", "https://heavenlyouthouse.com/products/thymes-lavender-body-scrub")</f>
        <v>https://heavenlyouthouse.com/products/thymes-lavender-body-scrub</v>
      </c>
      <c r="B493" s="3" t="str">
        <f>HYPERLINK("https://heavenlyouthouse.com/products/thymes-lavender-body-scrub", "https://heavenlyouthouse.com/products/thymes-lavender-body-scrub")</f>
        <v>https://heavenlyouthouse.com/products/thymes-lavender-body-scrub</v>
      </c>
      <c r="C493" t="s">
        <v>1401</v>
      </c>
      <c r="D493" t="s">
        <v>1402</v>
      </c>
      <c r="E493" s="3" t="str">
        <f>HYPERLINK("https://www.amazon.com/Premium-Organic-Body-Scrub-Set/dp/B07JGHT6C1/ref=sr_1_2?keywords=Thymes+Lavender+Body+Scrub&amp;qid=1695258768&amp;sr=8-2", "https://www.amazon.com/Premium-Organic-Body-Scrub-Set/dp/B07JGHT6C1/ref=sr_1_2?keywords=Thymes+Lavender+Body+Scrub&amp;qid=1695258768&amp;sr=8-2")</f>
        <v>https://www.amazon.com/Premium-Organic-Body-Scrub-Set/dp/B07JGHT6C1/ref=sr_1_2?keywords=Thymes+Lavender+Body+Scrub&amp;qid=1695258768&amp;sr=8-2</v>
      </c>
      <c r="F493" t="s">
        <v>1403</v>
      </c>
      <c r="G493" t="e">
        <f ca="1">IMAGE("https://heavenlyouthouse.com/cdn/shop/products/thymes-lavender-body-scrub.jpg?v=1630622694")</f>
        <v>#NAME?</v>
      </c>
      <c r="H493" t="e">
        <f ca="1">IMAGE("https://m.media-amazon.com/images/I/71bu+NC3GZL._AC_UL320_.jpg")</f>
        <v>#NAME?</v>
      </c>
      <c r="I493" t="s">
        <v>1179</v>
      </c>
      <c r="J493">
        <v>28.95</v>
      </c>
      <c r="K493" s="2" t="s">
        <v>1390</v>
      </c>
      <c r="L493">
        <v>4.5999999999999996</v>
      </c>
      <c r="M493">
        <v>9948</v>
      </c>
      <c r="O493" t="s">
        <v>39</v>
      </c>
      <c r="P493" t="s">
        <v>39</v>
      </c>
      <c r="Q493" t="s">
        <v>1404</v>
      </c>
    </row>
    <row r="494" spans="1:17" ht="15.75" x14ac:dyDescent="0.25">
      <c r="A494" s="3" t="str">
        <f>HYPERLINK("https://heavenlyouthouse.com/products/thymes-lavender-body-scrub", "https://heavenlyouthouse.com/products/thymes-lavender-body-scrub")</f>
        <v>https://heavenlyouthouse.com/products/thymes-lavender-body-scrub</v>
      </c>
      <c r="B494" s="3" t="str">
        <f>HYPERLINK("https://heavenlyouthouse.com/products/thymes-lavender-body-scrub", "https://heavenlyouthouse.com/products/thymes-lavender-body-scrub")</f>
        <v>https://heavenlyouthouse.com/products/thymes-lavender-body-scrub</v>
      </c>
      <c r="C494" t="s">
        <v>1401</v>
      </c>
      <c r="D494" t="s">
        <v>1405</v>
      </c>
      <c r="E494" s="3" t="str">
        <f>HYPERLINK("https://www.amazon.com/Premium-Pink-Himalayan-Salt-Scrub/dp/B07NX1BJVP/ref=sr_1_10?keywords=Thymes+Lavender+Body+Scrub&amp;qid=1695258768&amp;sr=8-10", "https://www.amazon.com/Premium-Pink-Himalayan-Salt-Scrub/dp/B07NX1BJVP/ref=sr_1_10?keywords=Thymes+Lavender+Body+Scrub&amp;qid=1695258768&amp;sr=8-10")</f>
        <v>https://www.amazon.com/Premium-Pink-Himalayan-Salt-Scrub/dp/B07NX1BJVP/ref=sr_1_10?keywords=Thymes+Lavender+Body+Scrub&amp;qid=1695258768&amp;sr=8-10</v>
      </c>
      <c r="F494" t="s">
        <v>1406</v>
      </c>
      <c r="G494" t="e">
        <f ca="1">IMAGE("https://heavenlyouthouse.com/cdn/shop/products/thymes-lavender-body-scrub.jpg?v=1630622694")</f>
        <v>#NAME?</v>
      </c>
      <c r="H494" t="e">
        <f ca="1">IMAGE("https://m.media-amazon.com/images/I/718p4oSJCLL._AC_UL320_.jpg")</f>
        <v>#NAME?</v>
      </c>
      <c r="I494" t="s">
        <v>1179</v>
      </c>
      <c r="J494">
        <v>28.95</v>
      </c>
      <c r="K494" s="2" t="s">
        <v>1390</v>
      </c>
      <c r="L494">
        <v>4.7</v>
      </c>
      <c r="M494">
        <v>649</v>
      </c>
      <c r="O494" t="s">
        <v>39</v>
      </c>
      <c r="P494" t="s">
        <v>39</v>
      </c>
      <c r="Q494" t="s">
        <v>1404</v>
      </c>
    </row>
    <row r="495" spans="1:17" ht="15.75" x14ac:dyDescent="0.25">
      <c r="A495" s="3" t="str">
        <f>HYPERLINK("https://heavenlyouthouse.com/products/thymes-eucalyptus-body-scrub", "https://heavenlyouthouse.com/products/thymes-eucalyptus-body-scrub")</f>
        <v>https://heavenlyouthouse.com/products/thymes-eucalyptus-body-scrub</v>
      </c>
      <c r="B495" s="3" t="str">
        <f>HYPERLINK("https://heavenlyouthouse.com/products/thymes-eucalyptus-body-scrub", "https://heavenlyouthouse.com/products/thymes-eucalyptus-body-scrub")</f>
        <v>https://heavenlyouthouse.com/products/thymes-eucalyptus-body-scrub</v>
      </c>
      <c r="C495" t="s">
        <v>1176</v>
      </c>
      <c r="D495" t="s">
        <v>1407</v>
      </c>
      <c r="E495" s="3" t="str">
        <f>HYPERLINK("https://www.amazon.com/pureSCRUBS-EUCALYPTUS-Essential-Nutrients-Exfoliating/dp/B07JH2YG2N/ref=sr_1_8?keywords=Thymes+Eucalyptus+Body+Scrub&amp;qid=1695258727&amp;sr=8-8", "https://www.amazon.com/pureSCRUBS-EUCALYPTUS-Essential-Nutrients-Exfoliating/dp/B07JH2YG2N/ref=sr_1_8?keywords=Thymes+Eucalyptus+Body+Scrub&amp;qid=1695258727&amp;sr=8-8")</f>
        <v>https://www.amazon.com/pureSCRUBS-EUCALYPTUS-Essential-Nutrients-Exfoliating/dp/B07JH2YG2N/ref=sr_1_8?keywords=Thymes+Eucalyptus+Body+Scrub&amp;qid=1695258727&amp;sr=8-8</v>
      </c>
      <c r="F495" t="s">
        <v>1408</v>
      </c>
      <c r="G495" t="e">
        <f ca="1">IMAGE("https://heavenlyouthouse.com/cdn/shop/products/thymes-eucalyptus-body-scrub.jpg?v=1630620279")</f>
        <v>#NAME?</v>
      </c>
      <c r="H495" t="e">
        <f ca="1">IMAGE("https://m.media-amazon.com/images/I/71w4Q2MfopL._AC_UL320_.jpg")</f>
        <v>#NAME?</v>
      </c>
      <c r="I495" t="s">
        <v>1179</v>
      </c>
      <c r="J495">
        <v>28.95</v>
      </c>
      <c r="K495" s="2" t="s">
        <v>1390</v>
      </c>
      <c r="L495">
        <v>4.5999999999999996</v>
      </c>
      <c r="M495">
        <v>9948</v>
      </c>
      <c r="O495" t="s">
        <v>39</v>
      </c>
      <c r="P495" t="s">
        <v>39</v>
      </c>
      <c r="Q495" t="s">
        <v>1180</v>
      </c>
    </row>
    <row r="496" spans="1:17" ht="15.75" x14ac:dyDescent="0.25">
      <c r="A496" s="3" t="str">
        <f>HYPERLINK("https://heavenlyouthouse.com/products/the-fearless-octopus-book", "https://heavenlyouthouse.com/products/the-fearless-octopus-book")</f>
        <v>https://heavenlyouthouse.com/products/the-fearless-octopus-book</v>
      </c>
      <c r="B496" s="3" t="str">
        <f>HYPERLINK("https://heavenlyouthouse.com/products/the-fearless-octopus-book", "https://heavenlyouthouse.com/products/the-fearless-octopus-book")</f>
        <v>https://heavenlyouthouse.com/products/the-fearless-octopus-book</v>
      </c>
      <c r="C496" t="s">
        <v>1409</v>
      </c>
      <c r="D496" t="s">
        <v>1410</v>
      </c>
      <c r="E496" s="3" t="str">
        <f>HYPERLINK("https://www.amazon.com/Activity-Crinkle-Education-Toddlers-Teething/dp/B0838177ZX/ref=sr_1_4?keywords=The+Fearless+Octopus+Book&amp;qid=1695258708&amp;sr=8-4", "https://www.amazon.com/Activity-Crinkle-Education-Toddlers-Teething/dp/B0838177ZX/ref=sr_1_4?keywords=The+Fearless+Octopus+Book&amp;qid=1695258708&amp;sr=8-4")</f>
        <v>https://www.amazon.com/Activity-Crinkle-Education-Toddlers-Teething/dp/B0838177ZX/ref=sr_1_4?keywords=The+Fearless+Octopus+Book&amp;qid=1695258708&amp;sr=8-4</v>
      </c>
      <c r="F496" t="s">
        <v>1411</v>
      </c>
      <c r="G496" t="e">
        <f ca="1">IMAGE("https://heavenlyouthouse.com/cdn/shop/products/TheFearlessOctopus.jpg?v=1600353061")</f>
        <v>#NAME?</v>
      </c>
      <c r="H496" t="e">
        <f ca="1">IMAGE("https://m.media-amazon.com/images/I/81PLBXgfU+L._AC_UL320_.jpg")</f>
        <v>#NAME?</v>
      </c>
      <c r="I496" t="s">
        <v>802</v>
      </c>
      <c r="J496">
        <v>15.99</v>
      </c>
      <c r="K496" s="2" t="s">
        <v>1412</v>
      </c>
      <c r="L496">
        <v>4.8</v>
      </c>
      <c r="M496">
        <v>2679</v>
      </c>
      <c r="O496" t="s">
        <v>39</v>
      </c>
      <c r="P496" t="s">
        <v>39</v>
      </c>
      <c r="Q496" t="s">
        <v>1413</v>
      </c>
    </row>
    <row r="497" spans="1:17" ht="15.75" x14ac:dyDescent="0.25">
      <c r="A497" s="3" t="str">
        <f>HYPERLINK("https://heavenlyouthouse.com/products/thymes-lemon-leaf-all-purpose-cleaning-concentrate", "https://heavenlyouthouse.com/products/thymes-lemon-leaf-all-purpose-cleaning-concentrate")</f>
        <v>https://heavenlyouthouse.com/products/thymes-lemon-leaf-all-purpose-cleaning-concentrate</v>
      </c>
      <c r="B497" s="3" t="str">
        <f>HYPERLINK("https://heavenlyouthouse.com/products/thymes-lemon-leaf-all-purpose-cleaning-concentrate", "https://heavenlyouthouse.com/products/thymes-lemon-leaf-all-purpose-cleaning-concentrate")</f>
        <v>https://heavenlyouthouse.com/products/thymes-lemon-leaf-all-purpose-cleaning-concentrate</v>
      </c>
      <c r="C497" t="s">
        <v>1414</v>
      </c>
      <c r="D497" t="s">
        <v>1415</v>
      </c>
      <c r="E497" s="3" t="str">
        <f>HYPERLINK("https://www.amazon.com/Puracy-Concentrate-Lemongrass-Multipurpose-Streak-Free/dp/B08B7DX4ND/ref=sr_1_7?keywords=Thymes+Lemon+Leaf+All+Purpose+Cleaning+Concentrate&amp;qid=1695258806&amp;sr=8-7", "https://www.amazon.com/Puracy-Concentrate-Lemongrass-Multipurpose-Streak-Free/dp/B08B7DX4ND/ref=sr_1_7?keywords=Thymes+Lemon+Leaf+All+Purpose+Cleaning+Concentrate&amp;qid=1695258806&amp;sr=8-7")</f>
        <v>https://www.amazon.com/Puracy-Concentrate-Lemongrass-Multipurpose-Streak-Free/dp/B08B7DX4ND/ref=sr_1_7?keywords=Thymes+Lemon+Leaf+All+Purpose+Cleaning+Concentrate&amp;qid=1695258806&amp;sr=8-7</v>
      </c>
      <c r="F497" t="s">
        <v>1416</v>
      </c>
      <c r="G497" t="e">
        <f ca="1">IMAGE("https://heavenlyouthouse.com/cdn/shop/products/ThymesLemonLeafAllPurposeCleaningConcentrate.jpg?v=1613176561")</f>
        <v>#NAME?</v>
      </c>
      <c r="H497" t="e">
        <f ca="1">IMAGE("https://m.media-amazon.com/images/I/7140gA04bjL._AC_UL320_.jpg")</f>
        <v>#NAME?</v>
      </c>
      <c r="I497" t="s">
        <v>117</v>
      </c>
      <c r="J497">
        <v>19.989999999999998</v>
      </c>
      <c r="K497" s="2" t="s">
        <v>1412</v>
      </c>
      <c r="L497">
        <v>4.5999999999999996</v>
      </c>
      <c r="M497">
        <v>13272</v>
      </c>
      <c r="O497" t="s">
        <v>39</v>
      </c>
      <c r="P497" t="s">
        <v>39</v>
      </c>
      <c r="Q497" t="s">
        <v>1417</v>
      </c>
    </row>
    <row r="498" spans="1:17" ht="15.75" x14ac:dyDescent="0.25">
      <c r="A498" s="3" t="str">
        <f t="shared" ref="A498:B500" si="6">HYPERLINK("https://heavenlyouthouse.com/products/thymes-eucalyptus-body-serum", "https://heavenlyouthouse.com/products/thymes-eucalyptus-body-serum")</f>
        <v>https://heavenlyouthouse.com/products/thymes-eucalyptus-body-serum</v>
      </c>
      <c r="B498" s="3" t="str">
        <f t="shared" si="6"/>
        <v>https://heavenlyouthouse.com/products/thymes-eucalyptus-body-serum</v>
      </c>
      <c r="C498" t="s">
        <v>1235</v>
      </c>
      <c r="D498" t="s">
        <v>1418</v>
      </c>
      <c r="E498" s="3"/>
      <c r="F498" t="s">
        <v>1419</v>
      </c>
      <c r="G498" t="e">
        <f ca="1">IMAGE("https://heavenlyouthouse.com/cdn/shop/products/thymes-eucalyptus-body-serum.jpg?v=1646863572")</f>
        <v>#NAME?</v>
      </c>
      <c r="H498" t="e">
        <f ca="1">IMAGE("https://m.media-amazon.com/images/I/61hh7PspLgL._AC_UL320_.jpg")</f>
        <v>#NAME?</v>
      </c>
      <c r="I498" t="s">
        <v>500</v>
      </c>
      <c r="J498">
        <v>28</v>
      </c>
      <c r="K498" s="2" t="s">
        <v>1412</v>
      </c>
      <c r="L498">
        <v>4.5999999999999996</v>
      </c>
      <c r="M498">
        <v>2417</v>
      </c>
      <c r="O498" t="s">
        <v>39</v>
      </c>
      <c r="P498" t="s">
        <v>39</v>
      </c>
      <c r="Q498" t="s">
        <v>1236</v>
      </c>
    </row>
    <row r="499" spans="1:17" ht="15.75" x14ac:dyDescent="0.25">
      <c r="A499" s="3" t="str">
        <f t="shared" si="6"/>
        <v>https://heavenlyouthouse.com/products/thymes-eucalyptus-body-serum</v>
      </c>
      <c r="B499" s="3" t="str">
        <f t="shared" si="6"/>
        <v>https://heavenlyouthouse.com/products/thymes-eucalyptus-body-serum</v>
      </c>
      <c r="C499" t="s">
        <v>1235</v>
      </c>
      <c r="D499" t="s">
        <v>714</v>
      </c>
      <c r="E499" s="3" t="str">
        <f>HYPERLINK("https://www.amazon.com/Thymes-Body-Scrub-FL-Eucalyptus/dp/B09HL8RKVG/ref=sr_1_7?keywords=Thymes+Eucalyptus+Body+Serum&amp;qid=1695258722&amp;sr=8-7", "https://www.amazon.com/Thymes-Body-Scrub-FL-Eucalyptus/dp/B09HL8RKVG/ref=sr_1_7?keywords=Thymes+Eucalyptus+Body+Serum&amp;qid=1695258722&amp;sr=8-7")</f>
        <v>https://www.amazon.com/Thymes-Body-Scrub-FL-Eucalyptus/dp/B09HL8RKVG/ref=sr_1_7?keywords=Thymes+Eucalyptus+Body+Serum&amp;qid=1695258722&amp;sr=8-7</v>
      </c>
      <c r="F499" t="s">
        <v>715</v>
      </c>
      <c r="G499" t="e">
        <f ca="1">IMAGE("https://heavenlyouthouse.com/cdn/shop/products/thymes-eucalyptus-body-serum.jpg?v=1646863572")</f>
        <v>#NAME?</v>
      </c>
      <c r="H499" t="e">
        <f ca="1">IMAGE("https://m.media-amazon.com/images/I/614szqRXE4L._AC_UL320_.jpg")</f>
        <v>#NAME?</v>
      </c>
      <c r="I499" t="s">
        <v>500</v>
      </c>
      <c r="J499">
        <v>28</v>
      </c>
      <c r="K499" s="2" t="s">
        <v>1412</v>
      </c>
      <c r="L499">
        <v>4.5999999999999996</v>
      </c>
      <c r="M499">
        <v>34</v>
      </c>
      <c r="O499" t="s">
        <v>39</v>
      </c>
      <c r="P499" t="s">
        <v>39</v>
      </c>
      <c r="Q499" t="s">
        <v>1236</v>
      </c>
    </row>
    <row r="500" spans="1:17" ht="15.75" x14ac:dyDescent="0.25">
      <c r="A500" s="3" t="str">
        <f t="shared" si="6"/>
        <v>https://heavenlyouthouse.com/products/thymes-eucalyptus-body-serum</v>
      </c>
      <c r="B500" s="3" t="str">
        <f t="shared" si="6"/>
        <v>https://heavenlyouthouse.com/products/thymes-eucalyptus-body-serum</v>
      </c>
      <c r="C500" t="s">
        <v>1235</v>
      </c>
      <c r="D500" t="s">
        <v>1418</v>
      </c>
      <c r="E500" s="3" t="str">
        <f>HYPERLINK("https://www.amazon.com/Eucalyptus-White-Tea-Body-Lotion/dp/B07RPBMRWK/ref=sr_1_8?keywords=Thymes+Eucalyptus+Body+Serum&amp;qid=1695258722&amp;sr=8-8", "https://www.amazon.com/Eucalyptus-White-Tea-Body-Lotion/dp/B07RPBMRWK/ref=sr_1_8?keywords=Thymes+Eucalyptus+Body+Serum&amp;qid=1695258722&amp;sr=8-8")</f>
        <v>https://www.amazon.com/Eucalyptus-White-Tea-Body-Lotion/dp/B07RPBMRWK/ref=sr_1_8?keywords=Thymes+Eucalyptus+Body+Serum&amp;qid=1695258722&amp;sr=8-8</v>
      </c>
      <c r="F500" t="s">
        <v>1419</v>
      </c>
      <c r="G500" t="e">
        <f ca="1">IMAGE("https://heavenlyouthouse.com/cdn/shop/products/thymes-eucalyptus-body-serum.jpg?v=1646863572")</f>
        <v>#NAME?</v>
      </c>
      <c r="H500" t="e">
        <f ca="1">IMAGE("https://m.media-amazon.com/images/I/61hh7PspLgL._AC_UL320_.jpg")</f>
        <v>#NAME?</v>
      </c>
      <c r="I500" t="s">
        <v>500</v>
      </c>
      <c r="J500">
        <v>28</v>
      </c>
      <c r="K500" s="2" t="s">
        <v>1412</v>
      </c>
      <c r="L500">
        <v>4.5999999999999996</v>
      </c>
      <c r="M500">
        <v>2417</v>
      </c>
      <c r="O500" t="s">
        <v>39</v>
      </c>
      <c r="P500" t="s">
        <v>39</v>
      </c>
      <c r="Q500" t="s">
        <v>1236</v>
      </c>
    </row>
    <row r="501" spans="1:17" ht="15.75" x14ac:dyDescent="0.25">
      <c r="A501" s="3" t="str">
        <f>HYPERLINK("https://heavenlyouthouse.com/products/thymes-goldleaf-body-serum", "https://heavenlyouthouse.com/products/thymes-goldleaf-body-serum")</f>
        <v>https://heavenlyouthouse.com/products/thymes-goldleaf-body-serum</v>
      </c>
      <c r="B501" s="3" t="str">
        <f>HYPERLINK("https://heavenlyouthouse.com/products/thymes-goldleaf-body-serum", "https://heavenlyouthouse.com/products/thymes-goldleaf-body-serum")</f>
        <v>https://heavenlyouthouse.com/products/thymes-goldleaf-body-serum</v>
      </c>
      <c r="C501" t="s">
        <v>1420</v>
      </c>
      <c r="D501" t="s">
        <v>1421</v>
      </c>
      <c r="E501" s="3" t="str">
        <f>HYPERLINK("https://www.amazon.com/Thymes-Body-Scrub-FL-Goldleaf/dp/B09HLBHL17/ref=sr_1_5?keywords=Thymes+Goldleaf+Body+Serum&amp;qid=1695258751&amp;sr=8-5", "https://www.amazon.com/Thymes-Body-Scrub-FL-Goldleaf/dp/B09HLBHL17/ref=sr_1_5?keywords=Thymes+Goldleaf+Body+Serum&amp;qid=1695258751&amp;sr=8-5")</f>
        <v>https://www.amazon.com/Thymes-Body-Scrub-FL-Goldleaf/dp/B09HLBHL17/ref=sr_1_5?keywords=Thymes+Goldleaf+Body+Serum&amp;qid=1695258751&amp;sr=8-5</v>
      </c>
      <c r="F501" t="s">
        <v>1422</v>
      </c>
      <c r="G501" t="e">
        <f ca="1">IMAGE("https://heavenlyouthouse.com/cdn/shop/products/thymes-goldleaf-body-serum.jpg?v=1648150133")</f>
        <v>#NAME?</v>
      </c>
      <c r="H501" t="e">
        <f ca="1">IMAGE("https://m.media-amazon.com/images/I/61ytbjR7GdL._AC_UL320_.jpg")</f>
        <v>#NAME?</v>
      </c>
      <c r="I501" t="s">
        <v>500</v>
      </c>
      <c r="J501">
        <v>28</v>
      </c>
      <c r="K501" s="2" t="s">
        <v>1412</v>
      </c>
      <c r="L501">
        <v>4.5999999999999996</v>
      </c>
      <c r="M501">
        <v>34</v>
      </c>
      <c r="O501" t="s">
        <v>39</v>
      </c>
      <c r="P501" t="s">
        <v>39</v>
      </c>
      <c r="Q501" t="s">
        <v>1423</v>
      </c>
    </row>
    <row r="502" spans="1:17" ht="15.75" x14ac:dyDescent="0.25">
      <c r="A502" s="3" t="str">
        <f>HYPERLINK("https://heavenlyouthouse.com/products/thymes-lemon-leaf-aromatic-candle", "https://heavenlyouthouse.com/products/thymes-lemon-leaf-aromatic-candle")</f>
        <v>https://heavenlyouthouse.com/products/thymes-lemon-leaf-aromatic-candle</v>
      </c>
      <c r="B502" s="3" t="str">
        <f>HYPERLINK("https://heavenlyouthouse.com/products/thymes-lemon-leaf-aromatic-candle", "https://heavenlyouthouse.com/products/thymes-lemon-leaf-aromatic-candle")</f>
        <v>https://heavenlyouthouse.com/products/thymes-lemon-leaf-aromatic-candle</v>
      </c>
      <c r="C502" t="s">
        <v>1424</v>
      </c>
      <c r="D502" t="s">
        <v>1425</v>
      </c>
      <c r="E502" s="3" t="str">
        <f>HYPERLINK("https://www.amazon.com/Thymes-Aromatic-Candle-7-5-Goldleaf/dp/B08YGYP731/ref=sr_1_5?keywords=Thymes+Lemon+Leaf+Aromatic+Candle&amp;qid=1695258787&amp;sr=8-5", "https://www.amazon.com/Thymes-Aromatic-Candle-7-5-Goldleaf/dp/B08YGYP731/ref=sr_1_5?keywords=Thymes+Lemon+Leaf+Aromatic+Candle&amp;qid=1695258787&amp;sr=8-5")</f>
        <v>https://www.amazon.com/Thymes-Aromatic-Candle-7-5-Goldleaf/dp/B08YGYP731/ref=sr_1_5?keywords=Thymes+Lemon+Leaf+Aromatic+Candle&amp;qid=1695258787&amp;sr=8-5</v>
      </c>
      <c r="F502" t="s">
        <v>1426</v>
      </c>
      <c r="G502" t="e">
        <f ca="1">IMAGE("https://heavenlyouthouse.com/cdn/shop/products/ThymesLemonLeafpouredaromaticcandle.jpg?v=1613092061")</f>
        <v>#NAME?</v>
      </c>
      <c r="H502" t="e">
        <f ca="1">IMAGE("https://m.media-amazon.com/images/I/21FY9J6xOSL._AC_UL320_.jpg")</f>
        <v>#NAME?</v>
      </c>
      <c r="I502" t="s">
        <v>793</v>
      </c>
      <c r="J502">
        <v>32</v>
      </c>
      <c r="K502" s="2" t="s">
        <v>1412</v>
      </c>
      <c r="L502">
        <v>4.5</v>
      </c>
      <c r="M502">
        <v>197</v>
      </c>
      <c r="O502" t="s">
        <v>39</v>
      </c>
      <c r="P502" t="s">
        <v>39</v>
      </c>
      <c r="Q502" t="s">
        <v>1427</v>
      </c>
    </row>
    <row r="503" spans="1:17" ht="15.75" x14ac:dyDescent="0.25">
      <c r="A503" s="3" t="str">
        <f>HYPERLINK("https://heavenlyouthouse.com/products/thymes-lemon-leaf-aromatic-candle", "https://heavenlyouthouse.com/products/thymes-lemon-leaf-aromatic-candle")</f>
        <v>https://heavenlyouthouse.com/products/thymes-lemon-leaf-aromatic-candle</v>
      </c>
      <c r="B503" s="3" t="str">
        <f>HYPERLINK("https://heavenlyouthouse.com/products/thymes-lemon-leaf-aromatic-candle", "https://heavenlyouthouse.com/products/thymes-lemon-leaf-aromatic-candle")</f>
        <v>https://heavenlyouthouse.com/products/thymes-lemon-leaf-aromatic-candle</v>
      </c>
      <c r="C503" t="s">
        <v>1424</v>
      </c>
      <c r="D503" t="s">
        <v>1428</v>
      </c>
      <c r="E503" s="3" t="str">
        <f>HYPERLINK("https://www.amazon.com/Thymes-Candle-Oz-Lemon-Leaf/dp/B084BYBJBB/ref=sr_1_1?keywords=Thymes+Lemon+Leaf+Aromatic+Candle&amp;qid=1695258787&amp;sr=8-1", "https://www.amazon.com/Thymes-Candle-Oz-Lemon-Leaf/dp/B084BYBJBB/ref=sr_1_1?keywords=Thymes+Lemon+Leaf+Aromatic+Candle&amp;qid=1695258787&amp;sr=8-1")</f>
        <v>https://www.amazon.com/Thymes-Candle-Oz-Lemon-Leaf/dp/B084BYBJBB/ref=sr_1_1?keywords=Thymes+Lemon+Leaf+Aromatic+Candle&amp;qid=1695258787&amp;sr=8-1</v>
      </c>
      <c r="F503" t="s">
        <v>1429</v>
      </c>
      <c r="G503" t="e">
        <f ca="1">IMAGE("https://heavenlyouthouse.com/cdn/shop/products/ThymesLemonLeafpouredaromaticcandle.jpg?v=1613092061")</f>
        <v>#NAME?</v>
      </c>
      <c r="H503" t="e">
        <f ca="1">IMAGE("https://m.media-amazon.com/images/I/61z82JATZGL._AC_UL320_.jpg")</f>
        <v>#NAME?</v>
      </c>
      <c r="I503" t="s">
        <v>793</v>
      </c>
      <c r="J503">
        <v>32</v>
      </c>
      <c r="K503" s="2" t="s">
        <v>1412</v>
      </c>
      <c r="L503">
        <v>4.0999999999999996</v>
      </c>
      <c r="M503">
        <v>281</v>
      </c>
      <c r="O503" t="s">
        <v>39</v>
      </c>
      <c r="P503" t="s">
        <v>39</v>
      </c>
      <c r="Q503" t="s">
        <v>1427</v>
      </c>
    </row>
    <row r="504" spans="1:17" ht="15.75" x14ac:dyDescent="0.25">
      <c r="A504" s="3" t="str">
        <f>HYPERLINK("https://heavenlyouthouse.com/products/thymes-magnolia-willow-aromatic-candle", "https://heavenlyouthouse.com/products/thymes-magnolia-willow-aromatic-candle")</f>
        <v>https://heavenlyouthouse.com/products/thymes-magnolia-willow-aromatic-candle</v>
      </c>
      <c r="B504" s="3" t="str">
        <f>HYPERLINK("https://heavenlyouthouse.com/products/thymes-magnolia-willow-aromatic-candle", "https://heavenlyouthouse.com/products/thymes-magnolia-willow-aromatic-candle")</f>
        <v>https://heavenlyouthouse.com/products/thymes-magnolia-willow-aromatic-candle</v>
      </c>
      <c r="C504" t="s">
        <v>1430</v>
      </c>
      <c r="D504" t="s">
        <v>1431</v>
      </c>
      <c r="E504" s="3" t="str">
        <f>HYPERLINK("https://www.amazon.com/Thymes-Aromatic-Candle-Magnolia-Willow/dp/B0B4T77VNW/ref=sr_1_1?keywords=Thymes+Magnolia+Willow+Aromatic+Candle&amp;qid=1695258770&amp;sr=8-1", "https://www.amazon.com/Thymes-Aromatic-Candle-Magnolia-Willow/dp/B0B4T77VNW/ref=sr_1_1?keywords=Thymes+Magnolia+Willow+Aromatic+Candle&amp;qid=1695258770&amp;sr=8-1")</f>
        <v>https://www.amazon.com/Thymes-Aromatic-Candle-Magnolia-Willow/dp/B0B4T77VNW/ref=sr_1_1?keywords=Thymes+Magnolia+Willow+Aromatic+Candle&amp;qid=1695258770&amp;sr=8-1</v>
      </c>
      <c r="F504" t="s">
        <v>1432</v>
      </c>
      <c r="G504" t="e">
        <f ca="1">IMAGE("https://heavenlyouthouse.com/cdn/shop/files/Thymes-Magnolia-Willow-Aromatic-Candle_300x300.jpg?v=1683146798")</f>
        <v>#NAME?</v>
      </c>
      <c r="H504" t="e">
        <f ca="1">IMAGE("https://m.media-amazon.com/images/I/613l9kaUNEL._AC_UL320_.jpg")</f>
        <v>#NAME?</v>
      </c>
      <c r="I504" t="s">
        <v>793</v>
      </c>
      <c r="J504">
        <v>32</v>
      </c>
      <c r="K504" s="2" t="s">
        <v>1412</v>
      </c>
      <c r="L504">
        <v>4.0999999999999996</v>
      </c>
      <c r="M504">
        <v>281</v>
      </c>
      <c r="O504" t="s">
        <v>39</v>
      </c>
      <c r="P504" t="s">
        <v>1433</v>
      </c>
      <c r="Q504" t="s">
        <v>1434</v>
      </c>
    </row>
    <row r="505" spans="1:17" ht="15.75" x14ac:dyDescent="0.25">
      <c r="A505" s="3" t="str">
        <f>HYPERLINK("https://heavenlyouthouse.com/products/video-game-mens-crew-socks", "https://heavenlyouthouse.com/products/video-game-mens-crew-socks")</f>
        <v>https://heavenlyouthouse.com/products/video-game-mens-crew-socks</v>
      </c>
      <c r="B505" s="3" t="str">
        <f>HYPERLINK("https://heavenlyouthouse.com/products/video-game-mens-crew-socks", "https://heavenlyouthouse.com/products/video-game-mens-crew-socks")</f>
        <v>https://heavenlyouthouse.com/products/video-game-mens-crew-socks</v>
      </c>
      <c r="C505" t="s">
        <v>799</v>
      </c>
      <c r="D505" t="s">
        <v>1435</v>
      </c>
      <c r="E505" s="3" t="str">
        <f>HYPERLINK("https://www.amazon.com/Retro-Tetris-Blocks-Novelty-Trouser/dp/B07XTQ7QR7/ref=sr_1_5?keywords=Video+Game+Men%27s+Crew+Socks&amp;qid=1695258812&amp;sr=8-5", "https://www.amazon.com/Retro-Tetris-Blocks-Novelty-Trouser/dp/B07XTQ7QR7/ref=sr_1_5?keywords=Video+Game+Men%27s+Crew+Socks&amp;qid=1695258812&amp;sr=8-5")</f>
        <v>https://www.amazon.com/Retro-Tetris-Blocks-Novelty-Trouser/dp/B07XTQ7QR7/ref=sr_1_5?keywords=Video+Game+Men%27s+Crew+Socks&amp;qid=1695258812&amp;sr=8-5</v>
      </c>
      <c r="F505" t="s">
        <v>1436</v>
      </c>
      <c r="G505" t="e">
        <f ca="1">IMAGE("https://heavenlyouthouse.com/cdn/shop/files/blue-q-video-game-socks-men_s-socks_300x300.jpg?v=1691436647")</f>
        <v>#NAME?</v>
      </c>
      <c r="H505" t="e">
        <f ca="1">IMAGE("https://m.media-amazon.com/images/I/61zq2+R+eBL._AC_UL320_.jpg")</f>
        <v>#NAME?</v>
      </c>
      <c r="I505" t="s">
        <v>802</v>
      </c>
      <c r="J505">
        <v>15.95</v>
      </c>
      <c r="K505" s="2" t="s">
        <v>1412</v>
      </c>
      <c r="L505">
        <v>4.8</v>
      </c>
      <c r="M505">
        <v>13</v>
      </c>
      <c r="O505" t="s">
        <v>39</v>
      </c>
      <c r="P505" t="s">
        <v>803</v>
      </c>
      <c r="Q505" t="s">
        <v>804</v>
      </c>
    </row>
    <row r="506" spans="1:17" ht="15.75" x14ac:dyDescent="0.25">
      <c r="A506" s="3" t="str">
        <f>HYPERLINK("https://heavenlyouthouse.com/products/wherever-i-go-mothers-day-card", "https://heavenlyouthouse.com/products/wherever-i-go-mothers-day-card")</f>
        <v>https://heavenlyouthouse.com/products/wherever-i-go-mothers-day-card</v>
      </c>
      <c r="B506" s="3" t="str">
        <f>HYPERLINK("https://heavenlyouthouse.com/products/wherever-i-go-mothers-day-card", "https://heavenlyouthouse.com/products/wherever-i-go-mothers-day-card")</f>
        <v>https://heavenlyouthouse.com/products/wherever-i-go-mothers-day-card</v>
      </c>
      <c r="C506" t="s">
        <v>882</v>
      </c>
      <c r="D506" t="s">
        <v>1437</v>
      </c>
      <c r="E506" s="3" t="str">
        <f>HYPERLINK("https://www.amazon.com/American-Greetings-Loving-Mothers-Greeting/dp/B07RF4KDHM/ref=sr_1_3?keywords=Your+Love+Guides+Me+Mother%27s+Day+Card&amp;qid=1695258835&amp;sr=8-3", "https://www.amazon.com/American-Greetings-Loving-Mothers-Greeting/dp/B07RF4KDHM/ref=sr_1_3?keywords=Your+Love+Guides+Me+Mother%27s+Day+Card&amp;qid=1695258835&amp;sr=8-3")</f>
        <v>https://www.amazon.com/American-Greetings-Loving-Mothers-Greeting/dp/B07RF4KDHM/ref=sr_1_3?keywords=Your+Love+Guides+Me+Mother%27s+Day+Card&amp;qid=1695258835&amp;sr=8-3</v>
      </c>
      <c r="F506" t="s">
        <v>1438</v>
      </c>
      <c r="G506" t="e">
        <f ca="1">IMAGE("https://heavenlyouthouse.com/cdn/shop/products/605030156217papyruslongdistancemother_sdaycard.jpg?v=1619454979")</f>
        <v>#NAME?</v>
      </c>
      <c r="H506" t="e">
        <f ca="1">IMAGE("https://m.media-amazon.com/images/I/910ZWVngiLL._AC_UL320_.jpg")</f>
        <v>#NAME?</v>
      </c>
      <c r="I506" t="s">
        <v>239</v>
      </c>
      <c r="J506">
        <v>5.99</v>
      </c>
      <c r="K506" s="2" t="s">
        <v>1412</v>
      </c>
      <c r="L506">
        <v>4.4000000000000004</v>
      </c>
      <c r="M506">
        <v>42</v>
      </c>
      <c r="O506" t="s">
        <v>39</v>
      </c>
      <c r="P506" t="s">
        <v>39</v>
      </c>
      <c r="Q506" t="s">
        <v>885</v>
      </c>
    </row>
    <row r="507" spans="1:17" ht="15.75" x14ac:dyDescent="0.25">
      <c r="A507" s="3" t="str">
        <f>HYPERLINK("https://heavenlyouthouse.com/products/usb-rechargeable-led-beanie-black", "https://heavenlyouthouse.com/products/usb-rechargeable-led-beanie-black")</f>
        <v>https://heavenlyouthouse.com/products/usb-rechargeable-led-beanie-black</v>
      </c>
      <c r="B507" s="3" t="str">
        <f>HYPERLINK("https://heavenlyouthouse.com/products/usb-rechargeable-led-beanie-black", "https://heavenlyouthouse.com/products/usb-rechargeable-led-beanie-black")</f>
        <v>https://heavenlyouthouse.com/products/usb-rechargeable-led-beanie-black</v>
      </c>
      <c r="C507" t="s">
        <v>688</v>
      </c>
      <c r="D507" t="s">
        <v>1439</v>
      </c>
      <c r="E507" s="3" t="str">
        <f>HYPERLINK("https://www.amazon.com/Riuog-Rechargeable-Headlight-Lighted-Activities/dp/B0BLN93FD4/ref=sr_1_9?keywords=USB+Rechargeable+LED+Beanie+-+Black&amp;qid=1695258801&amp;sr=8-9", "https://www.amazon.com/Riuog-Rechargeable-Headlight-Lighted-Activities/dp/B0BLN93FD4/ref=sr_1_9?keywords=USB+Rechargeable+LED+Beanie+-+Black&amp;qid=1695258801&amp;sr=8-9")</f>
        <v>https://www.amazon.com/Riuog-Rechargeable-Headlight-Lighted-Activities/dp/B0BLN93FD4/ref=sr_1_9?keywords=USB+Rechargeable+LED+Beanie+-+Black&amp;qid=1695258801&amp;sr=8-9</v>
      </c>
      <c r="F507" t="s">
        <v>1440</v>
      </c>
      <c r="G507" t="e">
        <f ca="1">IMAGE("https://heavenlyouthouse.com/cdn/shop/products/nightscoutrechargeableLEDtoqueblack_951f8ad0-7b76-49f7-ab39-c5624789256a.jpg?v=1669042861")</f>
        <v>#NAME?</v>
      </c>
      <c r="H507" t="e">
        <f ca="1">IMAGE("https://m.media-amazon.com/images/I/71aZzc78TZL._AC_UL320_.jpg")</f>
        <v>#NAME?</v>
      </c>
      <c r="I507" t="s">
        <v>385</v>
      </c>
      <c r="J507">
        <v>22.99</v>
      </c>
      <c r="K507" s="2" t="s">
        <v>1441</v>
      </c>
      <c r="L507">
        <v>4.4000000000000004</v>
      </c>
      <c r="M507">
        <v>29</v>
      </c>
      <c r="O507" t="s">
        <v>39</v>
      </c>
      <c r="P507" t="s">
        <v>39</v>
      </c>
      <c r="Q507" t="s">
        <v>691</v>
      </c>
    </row>
    <row r="508" spans="1:17" ht="15.75" x14ac:dyDescent="0.25">
      <c r="A508" s="3" t="str">
        <f>HYPERLINK("https://heavenlyouthouse.com/products/thymes-frasier-fir-sink-set", "https://heavenlyouthouse.com/products/thymes-frasier-fir-sink-set")</f>
        <v>https://heavenlyouthouse.com/products/thymes-frasier-fir-sink-set</v>
      </c>
      <c r="B508" s="3" t="str">
        <f>HYPERLINK("https://heavenlyouthouse.com/products/thymes-frasier-fir-sink-set", "https://heavenlyouthouse.com/products/thymes-frasier-fir-sink-set")</f>
        <v>https://heavenlyouthouse.com/products/thymes-frasier-fir-sink-set</v>
      </c>
      <c r="C508" t="s">
        <v>1442</v>
      </c>
      <c r="D508" t="s">
        <v>1443</v>
      </c>
      <c r="E508" s="3" t="str">
        <f>HYPERLINK("https://www.amazon.com/Thymes-Frasier-White-Ceramic-Caddy/dp/B0097LUYJ0/ref=sr_1_1?keywords=Thymes+Frasier+Fir+Sink+Set&amp;qid=1695258734&amp;sr=8-1", "https://www.amazon.com/Thymes-Frasier-White-Ceramic-Caddy/dp/B0097LUYJ0/ref=sr_1_1?keywords=Thymes+Frasier+Fir+Sink+Set&amp;qid=1695258734&amp;sr=8-1")</f>
        <v>https://www.amazon.com/Thymes-Frasier-White-Ceramic-Caddy/dp/B0097LUYJ0/ref=sr_1_1?keywords=Thymes+Frasier+Fir+Sink+Set&amp;qid=1695258734&amp;sr=8-1</v>
      </c>
      <c r="F508" t="s">
        <v>1444</v>
      </c>
      <c r="G508" t="e">
        <f ca="1">IMAGE("https://heavenlyouthouse.com/cdn/shop/products/thymesfrasierfirsinksethandwashandlotion.jpg?v=1621291253")</f>
        <v>#NAME?</v>
      </c>
      <c r="H508" t="e">
        <f ca="1">IMAGE("https://m.media-amazon.com/images/I/71KnawVlMbL._AC_UL320_.jpg")</f>
        <v>#NAME?</v>
      </c>
      <c r="I508" t="s">
        <v>1445</v>
      </c>
      <c r="J508">
        <v>42</v>
      </c>
      <c r="K508" s="2" t="s">
        <v>1441</v>
      </c>
      <c r="L508">
        <v>4.5</v>
      </c>
      <c r="M508">
        <v>176</v>
      </c>
      <c r="O508" t="s">
        <v>39</v>
      </c>
      <c r="P508" t="s">
        <v>1446</v>
      </c>
      <c r="Q508" t="s">
        <v>1447</v>
      </c>
    </row>
    <row r="509" spans="1:17" ht="15.75" x14ac:dyDescent="0.25">
      <c r="A509" s="3" t="str">
        <f>HYPERLINK("https://heavenlyouthouse.com/products/poo-pourri-tropical-hibiscus-toilet-spray", "https://heavenlyouthouse.com/products/poo-pourri-tropical-hibiscus-toilet-spray")</f>
        <v>https://heavenlyouthouse.com/products/poo-pourri-tropical-hibiscus-toilet-spray</v>
      </c>
      <c r="B509" s="3" t="str">
        <f>HYPERLINK("https://heavenlyouthouse.com/products/poo-pourri-tropical-hibiscus-toilet-spray", "https://heavenlyouthouse.com/products/poo-pourri-tropical-hibiscus-toilet-spray")</f>
        <v>https://heavenlyouthouse.com/products/poo-pourri-tropical-hibiscus-toilet-spray</v>
      </c>
      <c r="C509" t="s">
        <v>359</v>
      </c>
      <c r="D509" t="s">
        <v>1448</v>
      </c>
      <c r="E509" s="3" t="str">
        <f>HYPERLINK("https://www.amazon.com/Poo-PourriPoo-Pourri-Before-You-go-Original-Tropical-Poo-Pourri/dp/B0B3F48H92/ref=sr_1_10?keywords=Poo-Pourri+Tropical+Hibiscus+Toilet+Spray&amp;qid=1695258646&amp;sr=8-10", "https://www.amazon.com/Poo-PourriPoo-Pourri-Before-You-go-Original-Tropical-Poo-Pourri/dp/B0B3F48H92/ref=sr_1_10?keywords=Poo-Pourri+Tropical+Hibiscus+Toilet+Spray&amp;qid=1695258646&amp;sr=8-10")</f>
        <v>https://www.amazon.com/Poo-PourriPoo-Pourri-Before-You-go-Original-Tropical-Poo-Pourri/dp/B0B3F48H92/ref=sr_1_10?keywords=Poo-Pourri+Tropical+Hibiscus+Toilet+Spray&amp;qid=1695258646&amp;sr=8-10</v>
      </c>
      <c r="F509" t="s">
        <v>1449</v>
      </c>
      <c r="G509" t="e">
        <f ca="1">IMAGE("https://heavenlyouthouse.com/cdn/shop/products/Poo-pourritripicalhibiscustoiletbathroomspray2.jpg?v=1621617341")</f>
        <v>#NAME?</v>
      </c>
      <c r="H509" t="e">
        <f ca="1">IMAGE("https://m.media-amazon.com/images/I/41KBIJt1e2L._AC_UL320_.jpg")</f>
        <v>#NAME?</v>
      </c>
      <c r="I509" t="s">
        <v>362</v>
      </c>
      <c r="J509">
        <v>11.74</v>
      </c>
      <c r="K509" s="2" t="s">
        <v>1441</v>
      </c>
      <c r="L509">
        <v>5</v>
      </c>
      <c r="M509">
        <v>6</v>
      </c>
      <c r="O509" t="s">
        <v>39</v>
      </c>
      <c r="P509" t="s">
        <v>363</v>
      </c>
      <c r="Q509" t="s">
        <v>364</v>
      </c>
    </row>
    <row r="510" spans="1:17" ht="15.75" x14ac:dyDescent="0.25">
      <c r="A510" s="3" t="str">
        <f>HYPERLINK("https://heavenlyouthouse.com/products/thymes-frasier-fir-fabric-softener", "https://heavenlyouthouse.com/products/thymes-frasier-fir-fabric-softener")</f>
        <v>https://heavenlyouthouse.com/products/thymes-frasier-fir-fabric-softener</v>
      </c>
      <c r="B510" s="3" t="str">
        <f>HYPERLINK("https://heavenlyouthouse.com/products/thymes-frasier-fir-fabric-softener", "https://heavenlyouthouse.com/products/thymes-frasier-fir-fabric-softener")</f>
        <v>https://heavenlyouthouse.com/products/thymes-frasier-fir-fabric-softener</v>
      </c>
      <c r="C510" t="s">
        <v>1450</v>
      </c>
      <c r="D510" t="s">
        <v>1451</v>
      </c>
      <c r="E510" s="3" t="str">
        <f>HYPERLINK("https://www.amazon.com/Thymes-Heritage-Fabric-Softener-Frasier/dp/B0B9PH3JV6/ref=sr_1_1?keywords=Thymes+Frasier+Fir+Fabric+Softener&amp;qid=1695258722&amp;sr=8-1", "https://www.amazon.com/Thymes-Heritage-Fabric-Softener-Frasier/dp/B0B9PH3JV6/ref=sr_1_1?keywords=Thymes+Frasier+Fir+Fabric+Softener&amp;qid=1695258722&amp;sr=8-1")</f>
        <v>https://www.amazon.com/Thymes-Heritage-Fabric-Softener-Frasier/dp/B0B9PH3JV6/ref=sr_1_1?keywords=Thymes+Frasier+Fir+Fabric+Softener&amp;qid=1695258722&amp;sr=8-1</v>
      </c>
      <c r="F510" t="s">
        <v>1452</v>
      </c>
      <c r="G510" t="e">
        <f ca="1">IMAGE("https://heavenlyouthouse.com/cdn/shop/products/thymes-frasier-fir-fabric-softener.jpg?v=1630013000")</f>
        <v>#NAME?</v>
      </c>
      <c r="H510" t="e">
        <f ca="1">IMAGE("https://m.media-amazon.com/images/I/61nX-LtJsrL._AC_UL320_.jpg")</f>
        <v>#NAME?</v>
      </c>
      <c r="I510" t="s">
        <v>1453</v>
      </c>
      <c r="J510">
        <v>18</v>
      </c>
      <c r="K510" s="2" t="s">
        <v>1454</v>
      </c>
      <c r="L510">
        <v>4.5</v>
      </c>
      <c r="M510">
        <v>4</v>
      </c>
      <c r="O510" t="s">
        <v>39</v>
      </c>
      <c r="P510" t="s">
        <v>39</v>
      </c>
      <c r="Q510" t="s">
        <v>1455</v>
      </c>
    </row>
    <row r="511" spans="1:17" ht="15.75" x14ac:dyDescent="0.25">
      <c r="A511" s="3" t="str">
        <f>HYPERLINK("https://heavenlyouthouse.com/products/youre-fucking-welcome-everybody-womens-crew-socks", "https://heavenlyouthouse.com/products/youre-fucking-welcome-everybody-womens-crew-socks")</f>
        <v>https://heavenlyouthouse.com/products/youre-fucking-welcome-everybody-womens-crew-socks</v>
      </c>
      <c r="B511" s="3" t="str">
        <f>HYPERLINK("https://heavenlyouthouse.com/products/youre-fucking-welcome-everybody-womens-crew-socks", "https://heavenlyouthouse.com/products/youre-fucking-welcome-everybody-womens-crew-socks")</f>
        <v>https://heavenlyouthouse.com/products/youre-fucking-welcome-everybody-womens-crew-socks</v>
      </c>
      <c r="C511" t="s">
        <v>1456</v>
      </c>
      <c r="D511" t="s">
        <v>1457</v>
      </c>
      <c r="E511" s="3" t="str">
        <f>HYPERLINK("https://www.amazon.com/Fucking-Welcome-Everybody-Blue-Womens/dp/B08C6D795V/ref=sr_1_1?keywords=You%27re+Fucking+Welcome%2C+Everybody+Women%27s+Crew+Socks&amp;qid=1695258837&amp;sr=8-1", "https://www.amazon.com/Fucking-Welcome-Everybody-Blue-Womens/dp/B08C6D795V/ref=sr_1_1?keywords=You%27re+Fucking+Welcome%2C+Everybody+Women%27s+Crew+Socks&amp;qid=1695258837&amp;sr=8-1")</f>
        <v>https://www.amazon.com/Fucking-Welcome-Everybody-Blue-Womens/dp/B08C6D795V/ref=sr_1_1?keywords=You%27re+Fucking+Welcome%2C+Everybody+Women%27s+Crew+Socks&amp;qid=1695258837&amp;sr=8-1</v>
      </c>
      <c r="F511" t="s">
        <v>1458</v>
      </c>
      <c r="G511" t="e">
        <f ca="1">IMAGE("https://heavenlyouthouse.com/cdn/shop/products/Blue-q-you_re-fucking-welcome-women_s-socks.jpg?v=1639001949")</f>
        <v>#NAME?</v>
      </c>
      <c r="H511" t="e">
        <f ca="1">IMAGE("https://m.media-amazon.com/images/I/91j0-mzhcGL._AC_UL320_.jpg")</f>
        <v>#NAME?</v>
      </c>
      <c r="I511" t="s">
        <v>439</v>
      </c>
      <c r="J511">
        <v>13.99</v>
      </c>
      <c r="K511" s="2" t="s">
        <v>1454</v>
      </c>
      <c r="L511">
        <v>4.9000000000000004</v>
      </c>
      <c r="M511">
        <v>169</v>
      </c>
      <c r="O511" t="s">
        <v>39</v>
      </c>
      <c r="P511" t="s">
        <v>1022</v>
      </c>
      <c r="Q511" t="s">
        <v>1459</v>
      </c>
    </row>
    <row r="512" spans="1:17" ht="15.75" x14ac:dyDescent="0.25">
      <c r="A512" s="3" t="str">
        <f>HYPERLINK("https://heavenlyouthouse.com/products/people-i-want-to-meet-dogs-womens-crew-socks", "https://heavenlyouthouse.com/products/people-i-want-to-meet-dogs-womens-crew-socks")</f>
        <v>https://heavenlyouthouse.com/products/people-i-want-to-meet-dogs-womens-crew-socks</v>
      </c>
      <c r="B512" s="3" t="str">
        <f>HYPERLINK("https://heavenlyouthouse.com/products/people-i-want-to-meet-dogs-womens-crew-socks", "https://heavenlyouthouse.com/products/people-i-want-to-meet-dogs-womens-crew-socks")</f>
        <v>https://heavenlyouthouse.com/products/people-i-want-to-meet-dogs-womens-crew-socks</v>
      </c>
      <c r="C512" t="s">
        <v>1460</v>
      </c>
      <c r="D512" t="s">
        <v>1461</v>
      </c>
      <c r="E512" s="3" t="str">
        <f>HYPERLINK("https://www.amazon.com/Blue-Womens-Novelty-Crew-Socks/dp/B01IFHTVY0/ref=sr_1_2?keywords=People+I+Want+To+Meet%3A+Dogs+Women%27s+Crew+Socks&amp;qid=1695258652&amp;sr=8-2", "https://www.amazon.com/Blue-Womens-Novelty-Crew-Socks/dp/B01IFHTVY0/ref=sr_1_2?keywords=People+I+Want+To+Meet%3A+Dogs+Women%27s+Crew+Socks&amp;qid=1695258652&amp;sr=8-2")</f>
        <v>https://www.amazon.com/Blue-Womens-Novelty-Crew-Socks/dp/B01IFHTVY0/ref=sr_1_2?keywords=People+I+Want+To+Meet%3A+Dogs+Women%27s+Crew+Socks&amp;qid=1695258652&amp;sr=8-2</v>
      </c>
      <c r="F512" t="s">
        <v>1462</v>
      </c>
      <c r="G512" t="e">
        <f ca="1">IMAGE("https://heavenlyouthouse.com/cdn/shop/products/Blue-q-people-i-want-to-meet-dogs-women_s-socks.jpg?v=1634934120")</f>
        <v>#NAME?</v>
      </c>
      <c r="H512" t="e">
        <f ca="1">IMAGE("https://m.media-amazon.com/images/I/81lgHjvAkDL._AC_UL320_.jpg")</f>
        <v>#NAME?</v>
      </c>
      <c r="I512" t="s">
        <v>439</v>
      </c>
      <c r="J512">
        <v>13.99</v>
      </c>
      <c r="K512" s="2" t="s">
        <v>1454</v>
      </c>
      <c r="L512">
        <v>4.8</v>
      </c>
      <c r="M512">
        <v>282</v>
      </c>
      <c r="O512" t="s">
        <v>39</v>
      </c>
      <c r="P512" t="s">
        <v>1022</v>
      </c>
      <c r="Q512" t="s">
        <v>1463</v>
      </c>
    </row>
    <row r="513" spans="1:17" ht="15.75" x14ac:dyDescent="0.25">
      <c r="A513" s="3" t="str">
        <f>HYPERLINK("https://heavenlyouthouse.com/products/watch-out-ill-fucking-hug-you-womens-crew-socks", "https://heavenlyouthouse.com/products/watch-out-ill-fucking-hug-you-womens-crew-socks")</f>
        <v>https://heavenlyouthouse.com/products/watch-out-ill-fucking-hug-you-womens-crew-socks</v>
      </c>
      <c r="B513" s="3" t="str">
        <f>HYPERLINK("https://heavenlyouthouse.com/products/watch-out-ill-fucking-hug-you-womens-crew-socks", "https://heavenlyouthouse.com/products/watch-out-ill-fucking-hug-you-womens-crew-socks")</f>
        <v>https://heavenlyouthouse.com/products/watch-out-ill-fucking-hug-you-womens-crew-socks</v>
      </c>
      <c r="C513" t="s">
        <v>1464</v>
      </c>
      <c r="D513" t="s">
        <v>1465</v>
      </c>
      <c r="E513" s="3" t="str">
        <f>HYPERLINK("https://www.amazon.com/Watch-Fucking-Blue-Womens-Funny/dp/B08C6DH66N/ref=sr_1_1?keywords=Watch+Out.+I%27ll+Fuckin%27+Hug+You+Women%27s+Crew+Socks&amp;qid=1695258817&amp;sr=8-1", "https://www.amazon.com/Watch-Fucking-Blue-Womens-Funny/dp/B08C6DH66N/ref=sr_1_1?keywords=Watch+Out.+I%27ll+Fuckin%27+Hug+You+Women%27s+Crew+Socks&amp;qid=1695258817&amp;sr=8-1")</f>
        <v>https://www.amazon.com/Watch-Fucking-Blue-Womens-Funny/dp/B08C6DH66N/ref=sr_1_1?keywords=Watch+Out.+I%27ll+Fuckin%27+Hug+You+Women%27s+Crew+Socks&amp;qid=1695258817&amp;sr=8-1</v>
      </c>
      <c r="F513" t="s">
        <v>1466</v>
      </c>
      <c r="G513" t="e">
        <f ca="1">IMAGE("https://heavenlyouthouse.com/cdn/shop/products/i_llfuckinghugyousocks.jpg?v=1609353842")</f>
        <v>#NAME?</v>
      </c>
      <c r="H513" t="e">
        <f ca="1">IMAGE("https://m.media-amazon.com/images/I/811ShM07vdL._AC_UL320_.jpg")</f>
        <v>#NAME?</v>
      </c>
      <c r="I513" t="s">
        <v>439</v>
      </c>
      <c r="J513">
        <v>13.99</v>
      </c>
      <c r="K513" s="2" t="s">
        <v>1454</v>
      </c>
      <c r="L513">
        <v>4.8</v>
      </c>
      <c r="M513">
        <v>203</v>
      </c>
      <c r="O513" t="s">
        <v>39</v>
      </c>
      <c r="P513" t="s">
        <v>1022</v>
      </c>
      <c r="Q513" t="s">
        <v>1467</v>
      </c>
    </row>
    <row r="514" spans="1:17" ht="15.75" x14ac:dyDescent="0.25">
      <c r="A514" s="3" t="str">
        <f>HYPERLINK("https://heavenlyouthouse.com/products/the-ocean-just-gets-me-womens-crew-socks", "https://heavenlyouthouse.com/products/the-ocean-just-gets-me-womens-crew-socks")</f>
        <v>https://heavenlyouthouse.com/products/the-ocean-just-gets-me-womens-crew-socks</v>
      </c>
      <c r="B514" s="3" t="str">
        <f>HYPERLINK("https://heavenlyouthouse.com/products/the-ocean-just-gets-me-womens-crew-socks", "https://heavenlyouthouse.com/products/the-ocean-just-gets-me-womens-crew-socks")</f>
        <v>https://heavenlyouthouse.com/products/the-ocean-just-gets-me-womens-crew-socks</v>
      </c>
      <c r="C514" t="s">
        <v>1468</v>
      </c>
      <c r="D514" t="s">
        <v>1469</v>
      </c>
      <c r="E514" s="3" t="str">
        <f>HYPERLINK("https://www.amazon.com/Ocean-Gets-Me-Crew-Socks/dp/B07T36KYMT/ref=sr_1_1?keywords=The+Ocean+Just+Gets+Me+Women%27s+Crew+Socks&amp;qid=1695258702&amp;sr=8-1", "https://www.amazon.com/Ocean-Gets-Me-Crew-Socks/dp/B07T36KYMT/ref=sr_1_1?keywords=The+Ocean+Just+Gets+Me+Women%27s+Crew+Socks&amp;qid=1695258702&amp;sr=8-1")</f>
        <v>https://www.amazon.com/Ocean-Gets-Me-Crew-Socks/dp/B07T36KYMT/ref=sr_1_1?keywords=The+Ocean+Just+Gets+Me+Women%27s+Crew+Socks&amp;qid=1695258702&amp;sr=8-1</v>
      </c>
      <c r="F514" t="s">
        <v>1470</v>
      </c>
      <c r="G514" t="e">
        <f ca="1">IMAGE("https://heavenlyouthouse.com/cdn/shop/products/125848922_xl.jpg?v=1588616444")</f>
        <v>#NAME?</v>
      </c>
      <c r="H514" t="e">
        <f ca="1">IMAGE("https://m.media-amazon.com/images/I/81lIxKj64PL._AC_UL320_.jpg")</f>
        <v>#NAME?</v>
      </c>
      <c r="I514" t="s">
        <v>439</v>
      </c>
      <c r="J514">
        <v>13.99</v>
      </c>
      <c r="K514" s="2" t="s">
        <v>1454</v>
      </c>
      <c r="L514">
        <v>4.8</v>
      </c>
      <c r="M514">
        <v>384</v>
      </c>
      <c r="O514" t="s">
        <v>136</v>
      </c>
      <c r="P514" t="s">
        <v>39</v>
      </c>
      <c r="Q514" t="s">
        <v>1471</v>
      </c>
    </row>
    <row r="515" spans="1:17" ht="15.75" x14ac:dyDescent="0.25">
      <c r="A515" s="3" t="str">
        <f>HYPERLINK("https://heavenlyouthouse.com/products/winters-a-b-tch-hand-rescue?variant=32318155849817", "https://heavenlyouthouse.com/products/winters-a-b-tch-hand-rescue?variant=32318155849817")</f>
        <v>https://heavenlyouthouse.com/products/winters-a-b-tch-hand-rescue?variant=32318155849817</v>
      </c>
      <c r="B515" s="3" t="str">
        <f>HYPERLINK("https://heavenlyouthouse.com/products/winters-a-b-tch-hand-rescue", "https://heavenlyouthouse.com/products/winters-a-b-tch-hand-rescue")</f>
        <v>https://heavenlyouthouse.com/products/winters-a-b-tch-hand-rescue</v>
      </c>
      <c r="C515" t="s">
        <v>1094</v>
      </c>
      <c r="D515" t="s">
        <v>671</v>
      </c>
      <c r="E515" s="3" t="str">
        <f>HYPERLINK("https://www.amazon.com/Walton-Wood-Farm-Vegan-Friendly-Paraben-Free/dp/B09FR6NHSZ/ref=sr_1_4?keywords=Winter%27s+A+B*tch+Hand+Rescue&amp;qid=1695258831&amp;sr=8-4", "https://www.amazon.com/Walton-Wood-Farm-Vegan-Friendly-Paraben-Free/dp/B09FR6NHSZ/ref=sr_1_4?keywords=Winter%27s+A+B*tch+Hand+Rescue&amp;qid=1695258831&amp;sr=8-4")</f>
        <v>https://www.amazon.com/Walton-Wood-Farm-Vegan-Friendly-Paraben-Free/dp/B09FR6NHSZ/ref=sr_1_4?keywords=Winter%27s+A+B*tch+Hand+Rescue&amp;qid=1695258831&amp;sr=8-4</v>
      </c>
      <c r="F515" t="s">
        <v>672</v>
      </c>
      <c r="G515" t="e">
        <f ca="1">IMAGE("https://heavenlyouthouse.com/cdn/shop/products/wintersabitchhandrescue.jpg?v=1608157065")</f>
        <v>#NAME?</v>
      </c>
      <c r="H515" t="e">
        <f ca="1">IMAGE("https://m.media-amazon.com/images/I/41URSoFOWIL._AC_UL320_.jpg")</f>
        <v>#NAME?</v>
      </c>
      <c r="I515" t="s">
        <v>439</v>
      </c>
      <c r="J515">
        <v>13.99</v>
      </c>
      <c r="K515" s="2" t="s">
        <v>1454</v>
      </c>
      <c r="L515">
        <v>4.2</v>
      </c>
      <c r="M515">
        <v>35</v>
      </c>
      <c r="O515" t="s">
        <v>136</v>
      </c>
      <c r="P515" t="s">
        <v>39</v>
      </c>
      <c r="Q515" t="s">
        <v>1097</v>
      </c>
    </row>
    <row r="516" spans="1:17" ht="15.75" x14ac:dyDescent="0.25">
      <c r="A516" s="3" t="str">
        <f>HYPERLINK("https://heavenlyouthouse.com/products/lavender-body-wash", "https://heavenlyouthouse.com/products/lavender-body-wash")</f>
        <v>https://heavenlyouthouse.com/products/lavender-body-wash</v>
      </c>
      <c r="B516" s="3" t="str">
        <f>HYPERLINK("https://heavenlyouthouse.com/products/lavender-body-wash", "https://heavenlyouthouse.com/products/lavender-body-wash")</f>
        <v>https://heavenlyouthouse.com/products/lavender-body-wash</v>
      </c>
      <c r="C516" t="s">
        <v>1114</v>
      </c>
      <c r="D516" t="s">
        <v>1472</v>
      </c>
      <c r="E516" s="3" t="str">
        <f>HYPERLINK("https://www.amazon.com/Dead-Sea-Collection-Lavender-Reviving/dp/B07T5DF1S5/ref=sr_1_10?keywords=Thymes+Lavender+Body+Wash&amp;qid=1695258762&amp;sr=8-10", "https://www.amazon.com/Dead-Sea-Collection-Lavender-Reviving/dp/B07T5DF1S5/ref=sr_1_10?keywords=Thymes+Lavender+Body+Wash&amp;qid=1695258762&amp;sr=8-10")</f>
        <v>https://www.amazon.com/Dead-Sea-Collection-Lavender-Reviving/dp/B07T5DF1S5/ref=sr_1_10?keywords=Thymes+Lavender+Body+Wash&amp;qid=1695258762&amp;sr=8-10</v>
      </c>
      <c r="F516" t="s">
        <v>1473</v>
      </c>
      <c r="G516" t="e">
        <f ca="1">IMAGE("https://heavenlyouthouse.com/cdn/shop/products/thymes-lavender-body-wash.jpg?v=1652367040")</f>
        <v>#NAME?</v>
      </c>
      <c r="H516" t="e">
        <f ca="1">IMAGE("https://m.media-amazon.com/images/I/81RV4Afm44L._AC_UL320_.jpg")</f>
        <v>#NAME?</v>
      </c>
      <c r="I516" t="s">
        <v>835</v>
      </c>
      <c r="J516">
        <v>24.9</v>
      </c>
      <c r="K516" s="2" t="s">
        <v>1454</v>
      </c>
      <c r="L516">
        <v>4.4000000000000004</v>
      </c>
      <c r="M516">
        <v>8240</v>
      </c>
      <c r="O516" t="s">
        <v>39</v>
      </c>
      <c r="P516" t="s">
        <v>39</v>
      </c>
      <c r="Q516" t="s">
        <v>1115</v>
      </c>
    </row>
    <row r="517" spans="1:17" ht="15.75" x14ac:dyDescent="0.25">
      <c r="A517" s="3" t="str">
        <f>HYPERLINK("https://heavenlyouthouse.com/products/lavender-body-lotion-1", "https://heavenlyouthouse.com/products/lavender-body-lotion-1")</f>
        <v>https://heavenlyouthouse.com/products/lavender-body-lotion-1</v>
      </c>
      <c r="B517" s="3" t="str">
        <f>HYPERLINK("https://heavenlyouthouse.com/products/lavender-body-lotion-1", "https://heavenlyouthouse.com/products/lavender-body-lotion-1")</f>
        <v>https://heavenlyouthouse.com/products/lavender-body-lotion-1</v>
      </c>
      <c r="C517" t="s">
        <v>1256</v>
      </c>
      <c r="D517" t="s">
        <v>1273</v>
      </c>
      <c r="E517" s="3" t="str">
        <f>HYPERLINK("https://www.amazon.com/Thymes-Lavender-Lotion-270ml-9-25oz/dp/B01JMKLTP8/ref=sr_1_1?keywords=Thymes+Lavender+Body+Lotion&amp;qid=1695258763&amp;sr=8-1", "https://www.amazon.com/Thymes-Lavender-Lotion-270ml-9-25oz/dp/B01JMKLTP8/ref=sr_1_1?keywords=Thymes+Lavender+Body+Lotion&amp;qid=1695258763&amp;sr=8-1")</f>
        <v>https://www.amazon.com/Thymes-Lavender-Lotion-270ml-9-25oz/dp/B01JMKLTP8/ref=sr_1_1?keywords=Thymes+Lavender+Body+Lotion&amp;qid=1695258763&amp;sr=8-1</v>
      </c>
      <c r="F517" t="s">
        <v>1274</v>
      </c>
      <c r="G517" t="e">
        <f ca="1">IMAGE("https://heavenlyouthouse.com/cdn/shop/products/thymes-lavender-body-lotion_e8e915be-8de5-46da-8b4f-bb06a778fd96.png?v=1652277182")</f>
        <v>#NAME?</v>
      </c>
      <c r="H517" t="e">
        <f ca="1">IMAGE("https://m.media-amazon.com/images/I/61-gs7XbeQL._AC_UL320_.jpg")</f>
        <v>#NAME?</v>
      </c>
      <c r="I517" t="s">
        <v>1179</v>
      </c>
      <c r="J517">
        <v>28</v>
      </c>
      <c r="K517" s="2" t="s">
        <v>1454</v>
      </c>
      <c r="L517">
        <v>4.5999999999999996</v>
      </c>
      <c r="M517">
        <v>2417</v>
      </c>
      <c r="O517" t="s">
        <v>39</v>
      </c>
      <c r="P517" t="s">
        <v>39</v>
      </c>
      <c r="Q517" t="s">
        <v>1257</v>
      </c>
    </row>
    <row r="518" spans="1:17" ht="15.75" x14ac:dyDescent="0.25">
      <c r="A518" s="3" t="str">
        <f>HYPERLINK("https://heavenlyouthouse.com/products/thymes-lavender-body-scrub", "https://heavenlyouthouse.com/products/thymes-lavender-body-scrub")</f>
        <v>https://heavenlyouthouse.com/products/thymes-lavender-body-scrub</v>
      </c>
      <c r="B518" s="3" t="str">
        <f>HYPERLINK("https://heavenlyouthouse.com/products/thymes-lavender-body-scrub", "https://heavenlyouthouse.com/products/thymes-lavender-body-scrub")</f>
        <v>https://heavenlyouthouse.com/products/thymes-lavender-body-scrub</v>
      </c>
      <c r="C518" t="s">
        <v>1401</v>
      </c>
      <c r="D518" t="s">
        <v>1273</v>
      </c>
      <c r="E518" s="3" t="str">
        <f>HYPERLINK("https://www.amazon.com/Thymes-Lavender-Lotion-270ml-9-25oz/dp/B01JMKLTP8/ref=sr_1_6?keywords=Thymes+Lavender+Body+Scrub&amp;qid=1695258768&amp;sr=8-6", "https://www.amazon.com/Thymes-Lavender-Lotion-270ml-9-25oz/dp/B01JMKLTP8/ref=sr_1_6?keywords=Thymes+Lavender+Body+Scrub&amp;qid=1695258768&amp;sr=8-6")</f>
        <v>https://www.amazon.com/Thymes-Lavender-Lotion-270ml-9-25oz/dp/B01JMKLTP8/ref=sr_1_6?keywords=Thymes+Lavender+Body+Scrub&amp;qid=1695258768&amp;sr=8-6</v>
      </c>
      <c r="F518" t="s">
        <v>1274</v>
      </c>
      <c r="G518" t="e">
        <f ca="1">IMAGE("https://heavenlyouthouse.com/cdn/shop/products/thymes-lavender-body-scrub.jpg?v=1630622694")</f>
        <v>#NAME?</v>
      </c>
      <c r="H518" t="e">
        <f ca="1">IMAGE("https://m.media-amazon.com/images/I/61-gs7XbeQL._AC_UL320_.jpg")</f>
        <v>#NAME?</v>
      </c>
      <c r="I518" t="s">
        <v>1179</v>
      </c>
      <c r="J518">
        <v>28</v>
      </c>
      <c r="K518" s="2" t="s">
        <v>1454</v>
      </c>
      <c r="L518">
        <v>4.5999999999999996</v>
      </c>
      <c r="M518">
        <v>2417</v>
      </c>
      <c r="O518" t="s">
        <v>39</v>
      </c>
      <c r="P518" t="s">
        <v>39</v>
      </c>
      <c r="Q518" t="s">
        <v>1404</v>
      </c>
    </row>
    <row r="519" spans="1:17" ht="15.75" x14ac:dyDescent="0.25">
      <c r="A519" s="3" t="str">
        <f>HYPERLINK("https://heavenlyouthouse.com/products/eucalyptus-body-lotion", "https://heavenlyouthouse.com/products/eucalyptus-body-lotion")</f>
        <v>https://heavenlyouthouse.com/products/eucalyptus-body-lotion</v>
      </c>
      <c r="B519" s="3" t="str">
        <f>HYPERLINK("https://heavenlyouthouse.com/products/eucalyptus-body-lotion", "https://heavenlyouthouse.com/products/eucalyptus-body-lotion")</f>
        <v>https://heavenlyouthouse.com/products/eucalyptus-body-lotion</v>
      </c>
      <c r="C519" t="s">
        <v>1260</v>
      </c>
      <c r="D519" t="s">
        <v>712</v>
      </c>
      <c r="E519" s="3" t="str">
        <f>HYPERLINK("https://www.amazon.com/Thymes-Eucalyptus-Lotion-Moisturizing-Rejuvenating/dp/B0029F2HO6/ref=sr_1_1?keywords=Thymes+Eucalyptus+Body+Lotion&amp;qid=1695258717&amp;sr=8-1", "https://www.amazon.com/Thymes-Eucalyptus-Lotion-Moisturizing-Rejuvenating/dp/B0029F2HO6/ref=sr_1_1?keywords=Thymes+Eucalyptus+Body+Lotion&amp;qid=1695258717&amp;sr=8-1")</f>
        <v>https://www.amazon.com/Thymes-Eucalyptus-Lotion-Moisturizing-Rejuvenating/dp/B0029F2HO6/ref=sr_1_1?keywords=Thymes+Eucalyptus+Body+Lotion&amp;qid=1695258717&amp;sr=8-1</v>
      </c>
      <c r="F519" t="s">
        <v>713</v>
      </c>
      <c r="G519" t="e">
        <f ca="1">IMAGE("https://heavenlyouthouse.com/cdn/shop/products/thymes-eucalyptus-body-lotion1.jpg?v=1650914945")</f>
        <v>#NAME?</v>
      </c>
      <c r="H519" t="e">
        <f ca="1">IMAGE("https://m.media-amazon.com/images/I/61YpbCFiyNL._AC_UL320_.jpg")</f>
        <v>#NAME?</v>
      </c>
      <c r="I519" t="s">
        <v>1179</v>
      </c>
      <c r="J519">
        <v>28</v>
      </c>
      <c r="K519" s="2" t="s">
        <v>1454</v>
      </c>
      <c r="L519">
        <v>4.5999999999999996</v>
      </c>
      <c r="M519">
        <v>2417</v>
      </c>
      <c r="O519" t="s">
        <v>39</v>
      </c>
      <c r="P519" t="s">
        <v>39</v>
      </c>
      <c r="Q519" t="s">
        <v>1261</v>
      </c>
    </row>
    <row r="520" spans="1:17" ht="15.75" x14ac:dyDescent="0.25">
      <c r="A520" s="3" t="str">
        <f>HYPERLINK("https://heavenlyouthouse.com/products/thymes-goldleaf-body-scrub", "https://heavenlyouthouse.com/products/thymes-goldleaf-body-scrub")</f>
        <v>https://heavenlyouthouse.com/products/thymes-goldleaf-body-scrub</v>
      </c>
      <c r="B520" s="3" t="str">
        <f>HYPERLINK("https://heavenlyouthouse.com/products/thymes-goldleaf-body-scrub", "https://heavenlyouthouse.com/products/thymes-goldleaf-body-scrub")</f>
        <v>https://heavenlyouthouse.com/products/thymes-goldleaf-body-scrub</v>
      </c>
      <c r="C520" t="s">
        <v>1474</v>
      </c>
      <c r="D520" t="s">
        <v>1421</v>
      </c>
      <c r="E520" s="3" t="str">
        <f>HYPERLINK("https://www.amazon.com/Thymes-Body-Scrub-FL-Goldleaf/dp/B09HLBHL17/ref=sr_1_1?keywords=Thymes+Goldleaf+Body+Scrub&amp;qid=1695258744&amp;sr=8-1", "https://www.amazon.com/Thymes-Body-Scrub-FL-Goldleaf/dp/B09HLBHL17/ref=sr_1_1?keywords=Thymes+Goldleaf+Body+Scrub&amp;qid=1695258744&amp;sr=8-1")</f>
        <v>https://www.amazon.com/Thymes-Body-Scrub-FL-Goldleaf/dp/B09HLBHL17/ref=sr_1_1?keywords=Thymes+Goldleaf+Body+Scrub&amp;qid=1695258744&amp;sr=8-1</v>
      </c>
      <c r="F520" t="s">
        <v>1422</v>
      </c>
      <c r="G520" t="e">
        <f ca="1">IMAGE("https://heavenlyouthouse.com/cdn/shop/products/thymes-goldleaf-body-scrub.jpg?v=1630623556")</f>
        <v>#NAME?</v>
      </c>
      <c r="H520" t="e">
        <f ca="1">IMAGE("https://m.media-amazon.com/images/I/61ytbjR7GdL._AC_UL320_.jpg")</f>
        <v>#NAME?</v>
      </c>
      <c r="I520" t="s">
        <v>1179</v>
      </c>
      <c r="J520">
        <v>28</v>
      </c>
      <c r="K520" s="2" t="s">
        <v>1454</v>
      </c>
      <c r="L520">
        <v>4.5999999999999996</v>
      </c>
      <c r="M520">
        <v>34</v>
      </c>
      <c r="O520" t="s">
        <v>39</v>
      </c>
      <c r="P520" t="s">
        <v>1475</v>
      </c>
      <c r="Q520" t="s">
        <v>1476</v>
      </c>
    </row>
    <row r="521" spans="1:17" ht="15.75" x14ac:dyDescent="0.25">
      <c r="A521" s="3" t="str">
        <f>HYPERLINK("https://heavenlyouthouse.com/products/thymes-kimono-rose-body-scrub", "https://heavenlyouthouse.com/products/thymes-kimono-rose-body-scrub")</f>
        <v>https://heavenlyouthouse.com/products/thymes-kimono-rose-body-scrub</v>
      </c>
      <c r="B521" s="3" t="str">
        <f>HYPERLINK("https://heavenlyouthouse.com/products/thymes-kimono-rose-body-scrub", "https://heavenlyouthouse.com/products/thymes-kimono-rose-body-scrub")</f>
        <v>https://heavenlyouthouse.com/products/thymes-kimono-rose-body-scrub</v>
      </c>
      <c r="C521" t="s">
        <v>1477</v>
      </c>
      <c r="D521" t="s">
        <v>1271</v>
      </c>
      <c r="E521" s="3" t="str">
        <f>HYPERLINK("https://www.amazon.com/Thymes-Kimono-Lotion-Moisturizing-Vanilla/dp/B0029F2HM8/ref=sr_1_3?keywords=Thymes+Kimono+Rose+Body+Scrub&amp;qid=1695258759&amp;sr=8-3", "https://www.amazon.com/Thymes-Kimono-Lotion-Moisturizing-Vanilla/dp/B0029F2HM8/ref=sr_1_3?keywords=Thymes+Kimono+Rose+Body+Scrub&amp;qid=1695258759&amp;sr=8-3")</f>
        <v>https://www.amazon.com/Thymes-Kimono-Lotion-Moisturizing-Vanilla/dp/B0029F2HM8/ref=sr_1_3?keywords=Thymes+Kimono+Rose+Body+Scrub&amp;qid=1695258759&amp;sr=8-3</v>
      </c>
      <c r="F521" t="s">
        <v>1272</v>
      </c>
      <c r="G521" t="e">
        <f ca="1">IMAGE("https://heavenlyouthouse.com/cdn/shop/products/thymes-kimono-rose-body-scrub.jpg?v=1630620575")</f>
        <v>#NAME?</v>
      </c>
      <c r="H521" t="e">
        <f ca="1">IMAGE("https://m.media-amazon.com/images/I/71wVmzFjivL._AC_UL320_.jpg")</f>
        <v>#NAME?</v>
      </c>
      <c r="I521" t="s">
        <v>1179</v>
      </c>
      <c r="J521">
        <v>28</v>
      </c>
      <c r="K521" s="2" t="s">
        <v>1454</v>
      </c>
      <c r="L521">
        <v>4.5999999999999996</v>
      </c>
      <c r="M521">
        <v>2417</v>
      </c>
      <c r="O521" t="s">
        <v>39</v>
      </c>
      <c r="P521" t="s">
        <v>39</v>
      </c>
      <c r="Q521" t="s">
        <v>1478</v>
      </c>
    </row>
    <row r="522" spans="1:17" ht="15.75" x14ac:dyDescent="0.25">
      <c r="A522" s="3" t="str">
        <f>HYPERLINK("https://heavenlyouthouse.com/products/thymes-kimono-rose-body-scrub", "https://heavenlyouthouse.com/products/thymes-kimono-rose-body-scrub")</f>
        <v>https://heavenlyouthouse.com/products/thymes-kimono-rose-body-scrub</v>
      </c>
      <c r="B522" s="3" t="str">
        <f>HYPERLINK("https://heavenlyouthouse.com/products/thymes-kimono-rose-body-scrub", "https://heavenlyouthouse.com/products/thymes-kimono-rose-body-scrub")</f>
        <v>https://heavenlyouthouse.com/products/thymes-kimono-rose-body-scrub</v>
      </c>
      <c r="C522" t="s">
        <v>1477</v>
      </c>
      <c r="D522" t="s">
        <v>1277</v>
      </c>
      <c r="E522" s="3" t="str">
        <f>HYPERLINK("https://www.amazon.com/Thymes-Body-Scrub-Kimono-Rose/dp/B09HL9R9FZ/ref=sr_1_1?keywords=Thymes+Kimono+Rose+Body+Scrub&amp;qid=1695258759&amp;sr=8-1", "https://www.amazon.com/Thymes-Body-Scrub-Kimono-Rose/dp/B09HL9R9FZ/ref=sr_1_1?keywords=Thymes+Kimono+Rose+Body+Scrub&amp;qid=1695258759&amp;sr=8-1")</f>
        <v>https://www.amazon.com/Thymes-Body-Scrub-Kimono-Rose/dp/B09HL9R9FZ/ref=sr_1_1?keywords=Thymes+Kimono+Rose+Body+Scrub&amp;qid=1695258759&amp;sr=8-1</v>
      </c>
      <c r="F522" t="s">
        <v>1278</v>
      </c>
      <c r="G522" t="e">
        <f ca="1">IMAGE("https://heavenlyouthouse.com/cdn/shop/products/thymes-kimono-rose-body-scrub.jpg?v=1630620575")</f>
        <v>#NAME?</v>
      </c>
      <c r="H522" t="e">
        <f ca="1">IMAGE("https://m.media-amazon.com/images/I/61gVpt2YpCL._AC_UL320_.jpg")</f>
        <v>#NAME?</v>
      </c>
      <c r="I522" t="s">
        <v>1179</v>
      </c>
      <c r="J522">
        <v>28</v>
      </c>
      <c r="K522" s="2" t="s">
        <v>1454</v>
      </c>
      <c r="L522">
        <v>4.5999999999999996</v>
      </c>
      <c r="M522">
        <v>34</v>
      </c>
      <c r="O522" t="s">
        <v>39</v>
      </c>
      <c r="P522" t="s">
        <v>39</v>
      </c>
      <c r="Q522" t="s">
        <v>1478</v>
      </c>
    </row>
    <row r="523" spans="1:17" ht="15.75" x14ac:dyDescent="0.25">
      <c r="A523" s="3" t="str">
        <f>HYPERLINK("https://heavenlyouthouse.com/products/thymes-lavender-body-scrub", "https://heavenlyouthouse.com/products/thymes-lavender-body-scrub")</f>
        <v>https://heavenlyouthouse.com/products/thymes-lavender-body-scrub</v>
      </c>
      <c r="B523" s="3" t="str">
        <f>HYPERLINK("https://heavenlyouthouse.com/products/thymes-lavender-body-scrub", "https://heavenlyouthouse.com/products/thymes-lavender-body-scrub")</f>
        <v>https://heavenlyouthouse.com/products/thymes-lavender-body-scrub</v>
      </c>
      <c r="C523" t="s">
        <v>1401</v>
      </c>
      <c r="D523" t="s">
        <v>1279</v>
      </c>
      <c r="E523" s="3" t="str">
        <f>HYPERLINK("https://www.amazon.com/Thymes-Body-Scrub-FL-Lavender/dp/B09HLBJ5K7/ref=sr_1_1?keywords=Thymes+Lavender+Body+Scrub&amp;qid=1695258768&amp;sr=8-1", "https://www.amazon.com/Thymes-Body-Scrub-FL-Lavender/dp/B09HLBJ5K7/ref=sr_1_1?keywords=Thymes+Lavender+Body+Scrub&amp;qid=1695258768&amp;sr=8-1")</f>
        <v>https://www.amazon.com/Thymes-Body-Scrub-FL-Lavender/dp/B09HLBJ5K7/ref=sr_1_1?keywords=Thymes+Lavender+Body+Scrub&amp;qid=1695258768&amp;sr=8-1</v>
      </c>
      <c r="F523" t="s">
        <v>1280</v>
      </c>
      <c r="G523" t="e">
        <f ca="1">IMAGE("https://heavenlyouthouse.com/cdn/shop/products/thymes-lavender-body-scrub.jpg?v=1630622694")</f>
        <v>#NAME?</v>
      </c>
      <c r="H523" t="e">
        <f ca="1">IMAGE("https://m.media-amazon.com/images/I/61eu1mhSFBL._AC_UL320_.jpg")</f>
        <v>#NAME?</v>
      </c>
      <c r="I523" t="s">
        <v>1179</v>
      </c>
      <c r="J523">
        <v>28</v>
      </c>
      <c r="K523" s="2" t="s">
        <v>1454</v>
      </c>
      <c r="L523">
        <v>4.5999999999999996</v>
      </c>
      <c r="M523">
        <v>34</v>
      </c>
      <c r="O523" t="s">
        <v>39</v>
      </c>
      <c r="P523" t="s">
        <v>39</v>
      </c>
      <c r="Q523" t="s">
        <v>1404</v>
      </c>
    </row>
    <row r="524" spans="1:17" ht="15.75" x14ac:dyDescent="0.25">
      <c r="A524" s="3" t="str">
        <f>HYPERLINK("https://heavenlyouthouse.com/products/eucalyptus-body-lotion", "https://heavenlyouthouse.com/products/eucalyptus-body-lotion")</f>
        <v>https://heavenlyouthouse.com/products/eucalyptus-body-lotion</v>
      </c>
      <c r="B524" s="3" t="str">
        <f>HYPERLINK("https://heavenlyouthouse.com/products/eucalyptus-body-lotion", "https://heavenlyouthouse.com/products/eucalyptus-body-lotion")</f>
        <v>https://heavenlyouthouse.com/products/eucalyptus-body-lotion</v>
      </c>
      <c r="C524" t="s">
        <v>1260</v>
      </c>
      <c r="D524" t="s">
        <v>714</v>
      </c>
      <c r="E524" s="3" t="str">
        <f>HYPERLINK("https://www.amazon.com/Thymes-Body-Scrub-FL-Eucalyptus/dp/B09HL8RKVG/ref=sr_1_5?keywords=Thymes+Eucalyptus+Body+Lotion&amp;qid=1695258717&amp;sr=8-5", "https://www.amazon.com/Thymes-Body-Scrub-FL-Eucalyptus/dp/B09HL8RKVG/ref=sr_1_5?keywords=Thymes+Eucalyptus+Body+Lotion&amp;qid=1695258717&amp;sr=8-5")</f>
        <v>https://www.amazon.com/Thymes-Body-Scrub-FL-Eucalyptus/dp/B09HL8RKVG/ref=sr_1_5?keywords=Thymes+Eucalyptus+Body+Lotion&amp;qid=1695258717&amp;sr=8-5</v>
      </c>
      <c r="F524" t="s">
        <v>715</v>
      </c>
      <c r="G524" t="e">
        <f ca="1">IMAGE("https://heavenlyouthouse.com/cdn/shop/products/thymes-eucalyptus-body-lotion1.jpg?v=1650914945")</f>
        <v>#NAME?</v>
      </c>
      <c r="H524" t="e">
        <f ca="1">IMAGE("https://m.media-amazon.com/images/I/614szqRXE4L._AC_UL320_.jpg")</f>
        <v>#NAME?</v>
      </c>
      <c r="I524" t="s">
        <v>1179</v>
      </c>
      <c r="J524">
        <v>28</v>
      </c>
      <c r="K524" s="2" t="s">
        <v>1454</v>
      </c>
      <c r="L524">
        <v>4.5999999999999996</v>
      </c>
      <c r="M524">
        <v>34</v>
      </c>
      <c r="O524" t="s">
        <v>39</v>
      </c>
      <c r="P524" t="s">
        <v>39</v>
      </c>
      <c r="Q524" t="s">
        <v>1261</v>
      </c>
    </row>
    <row r="525" spans="1:17" ht="15.75" x14ac:dyDescent="0.25">
      <c r="A525" s="3" t="str">
        <f>HYPERLINK("https://heavenlyouthouse.com/products/thymes-goldleaf-gardenia-body-scrub", "https://heavenlyouthouse.com/products/thymes-goldleaf-gardenia-body-scrub")</f>
        <v>https://heavenlyouthouse.com/products/thymes-goldleaf-gardenia-body-scrub</v>
      </c>
      <c r="B525" s="3" t="str">
        <f>HYPERLINK("https://heavenlyouthouse.com/products/thymes-goldleaf-gardenia-body-scrub", "https://heavenlyouthouse.com/products/thymes-goldleaf-gardenia-body-scrub")</f>
        <v>https://heavenlyouthouse.com/products/thymes-goldleaf-gardenia-body-scrub</v>
      </c>
      <c r="C525" t="s">
        <v>1258</v>
      </c>
      <c r="D525" t="s">
        <v>716</v>
      </c>
      <c r="E525" s="3" t="str">
        <f>HYPERLINK("https://www.amazon.com/Thymes-Body-Scrub-Goldleaf-Gardenia/dp/B09HLD6STB/ref=sr_1_1?keywords=Thymes+Goldleaf+Gardenia+Body+Scrub&amp;qid=1695258745&amp;sr=8-1", "https://www.amazon.com/Thymes-Body-Scrub-Goldleaf-Gardenia/dp/B09HLD6STB/ref=sr_1_1?keywords=Thymes+Goldleaf+Gardenia+Body+Scrub&amp;qid=1695258745&amp;sr=8-1")</f>
        <v>https://www.amazon.com/Thymes-Body-Scrub-Goldleaf-Gardenia/dp/B09HLD6STB/ref=sr_1_1?keywords=Thymes+Goldleaf+Gardenia+Body+Scrub&amp;qid=1695258745&amp;sr=8-1</v>
      </c>
      <c r="F525" t="s">
        <v>717</v>
      </c>
      <c r="G525" t="e">
        <f ca="1">IMAGE("https://heavenlyouthouse.com/cdn/shop/products/thymes-goldleaf-gardenia-body-scrub.jpg?v=1631820701")</f>
        <v>#NAME?</v>
      </c>
      <c r="H525" t="e">
        <f ca="1">IMAGE("https://m.media-amazon.com/images/I/61IxVU-jzLL._AC_UL320_.jpg")</f>
        <v>#NAME?</v>
      </c>
      <c r="I525" t="s">
        <v>1179</v>
      </c>
      <c r="J525">
        <v>28</v>
      </c>
      <c r="K525" s="2" t="s">
        <v>1454</v>
      </c>
      <c r="L525">
        <v>4.5999999999999996</v>
      </c>
      <c r="M525">
        <v>34</v>
      </c>
      <c r="O525" t="s">
        <v>39</v>
      </c>
      <c r="P525" t="s">
        <v>39</v>
      </c>
      <c r="Q525" t="s">
        <v>1259</v>
      </c>
    </row>
    <row r="526" spans="1:17" ht="15.75" x14ac:dyDescent="0.25">
      <c r="A526" s="3" t="str">
        <f>HYPERLINK("https://heavenlyouthouse.com/products/thymes-eucalyptus-body-scrub", "https://heavenlyouthouse.com/products/thymes-eucalyptus-body-scrub")</f>
        <v>https://heavenlyouthouse.com/products/thymes-eucalyptus-body-scrub</v>
      </c>
      <c r="B526" s="3" t="str">
        <f>HYPERLINK("https://heavenlyouthouse.com/products/thymes-eucalyptus-body-scrub", "https://heavenlyouthouse.com/products/thymes-eucalyptus-body-scrub")</f>
        <v>https://heavenlyouthouse.com/products/thymes-eucalyptus-body-scrub</v>
      </c>
      <c r="C526" t="s">
        <v>1176</v>
      </c>
      <c r="D526" t="s">
        <v>1418</v>
      </c>
      <c r="E526" s="3" t="str">
        <f>HYPERLINK("https://www.amazon.com/Eucalyptus-White-Tea-Body-Lotion/dp/B07RPBMRWK/ref=sr_1_5?keywords=Thymes+Eucalyptus+Body+Scrub&amp;qid=1695258727&amp;sr=8-5", "https://www.amazon.com/Eucalyptus-White-Tea-Body-Lotion/dp/B07RPBMRWK/ref=sr_1_5?keywords=Thymes+Eucalyptus+Body+Scrub&amp;qid=1695258727&amp;sr=8-5")</f>
        <v>https://www.amazon.com/Eucalyptus-White-Tea-Body-Lotion/dp/B07RPBMRWK/ref=sr_1_5?keywords=Thymes+Eucalyptus+Body+Scrub&amp;qid=1695258727&amp;sr=8-5</v>
      </c>
      <c r="F526" t="s">
        <v>1419</v>
      </c>
      <c r="G526" t="e">
        <f ca="1">IMAGE("https://heavenlyouthouse.com/cdn/shop/products/thymes-eucalyptus-body-scrub.jpg?v=1630620279")</f>
        <v>#NAME?</v>
      </c>
      <c r="H526" t="e">
        <f ca="1">IMAGE("https://m.media-amazon.com/images/I/61hh7PspLgL._AC_UL320_.jpg")</f>
        <v>#NAME?</v>
      </c>
      <c r="I526" t="s">
        <v>1179</v>
      </c>
      <c r="J526">
        <v>28</v>
      </c>
      <c r="K526" s="2" t="s">
        <v>1454</v>
      </c>
      <c r="L526">
        <v>4.5999999999999996</v>
      </c>
      <c r="M526">
        <v>2417</v>
      </c>
      <c r="O526" t="s">
        <v>39</v>
      </c>
      <c r="P526" t="s">
        <v>39</v>
      </c>
      <c r="Q526" t="s">
        <v>1180</v>
      </c>
    </row>
    <row r="527" spans="1:17" ht="15.75" x14ac:dyDescent="0.25">
      <c r="A527" s="3" t="str">
        <f>HYPERLINK("https://heavenlyouthouse.com/products/thymes-eucalyptus-body-scrub", "https://heavenlyouthouse.com/products/thymes-eucalyptus-body-scrub")</f>
        <v>https://heavenlyouthouse.com/products/thymes-eucalyptus-body-scrub</v>
      </c>
      <c r="B527" s="3" t="str">
        <f>HYPERLINK("https://heavenlyouthouse.com/products/thymes-eucalyptus-body-scrub", "https://heavenlyouthouse.com/products/thymes-eucalyptus-body-scrub")</f>
        <v>https://heavenlyouthouse.com/products/thymes-eucalyptus-body-scrub</v>
      </c>
      <c r="C527" t="s">
        <v>1176</v>
      </c>
      <c r="D527" t="s">
        <v>714</v>
      </c>
      <c r="E527" s="3" t="str">
        <f>HYPERLINK("https://www.amazon.com/Thymes-Body-Scrub-FL-Eucalyptus/dp/B09HL8RKVG/ref=sr_1_1?keywords=Thymes+Eucalyptus+Body+Scrub&amp;qid=1695258727&amp;sr=8-1", "https://www.amazon.com/Thymes-Body-Scrub-FL-Eucalyptus/dp/B09HL8RKVG/ref=sr_1_1?keywords=Thymes+Eucalyptus+Body+Scrub&amp;qid=1695258727&amp;sr=8-1")</f>
        <v>https://www.amazon.com/Thymes-Body-Scrub-FL-Eucalyptus/dp/B09HL8RKVG/ref=sr_1_1?keywords=Thymes+Eucalyptus+Body+Scrub&amp;qid=1695258727&amp;sr=8-1</v>
      </c>
      <c r="F527" t="s">
        <v>715</v>
      </c>
      <c r="G527" t="e">
        <f ca="1">IMAGE("https://heavenlyouthouse.com/cdn/shop/products/thymes-eucalyptus-body-scrub.jpg?v=1630620279")</f>
        <v>#NAME?</v>
      </c>
      <c r="H527" t="e">
        <f ca="1">IMAGE("https://m.media-amazon.com/images/I/614szqRXE4L._AC_UL320_.jpg")</f>
        <v>#NAME?</v>
      </c>
      <c r="I527" t="s">
        <v>1179</v>
      </c>
      <c r="J527">
        <v>28</v>
      </c>
      <c r="K527" s="2" t="s">
        <v>1454</v>
      </c>
      <c r="L527">
        <v>4.5999999999999996</v>
      </c>
      <c r="M527">
        <v>34</v>
      </c>
      <c r="O527" t="s">
        <v>39</v>
      </c>
      <c r="P527" t="s">
        <v>39</v>
      </c>
      <c r="Q527" t="s">
        <v>1180</v>
      </c>
    </row>
    <row r="528" spans="1:17" ht="15.75" x14ac:dyDescent="0.25">
      <c r="A528" s="3" t="str">
        <f>HYPERLINK("https://heavenlyouthouse.com/products/pumice-stone", "https://heavenlyouthouse.com/products/pumice-stone")</f>
        <v>https://heavenlyouthouse.com/products/pumice-stone</v>
      </c>
      <c r="B528" s="3" t="str">
        <f>HYPERLINK("https://heavenlyouthouse.com/products/pumice-stone", "https://heavenlyouthouse.com/products/pumice-stone")</f>
        <v>https://heavenlyouthouse.com/products/pumice-stone</v>
      </c>
      <c r="C528" t="s">
        <v>213</v>
      </c>
      <c r="D528" t="s">
        <v>1479</v>
      </c>
      <c r="E528" s="3" t="str">
        <f>HYPERLINK("https://www.amazon.com/Cleaning-Cleaner-Remover-Kitchen-Household/dp/B07Q3NYBG1/ref=sr_1_2?keywords=Pumice+Stone&amp;qid=1695258677&amp;sr=8-2", "https://www.amazon.com/Cleaning-Cleaner-Remover-Kitchen-Household/dp/B07Q3NYBG1/ref=sr_1_2?keywords=Pumice+Stone&amp;qid=1695258677&amp;sr=8-2")</f>
        <v>https://www.amazon.com/Cleaning-Cleaner-Remover-Kitchen-Household/dp/B07Q3NYBG1/ref=sr_1_2?keywords=Pumice+Stone&amp;qid=1695258677&amp;sr=8-2</v>
      </c>
      <c r="F528" t="s">
        <v>1480</v>
      </c>
      <c r="G528" t="e">
        <f ca="1">IMAGE("https://heavenlyouthouse.com/cdn/shop/products/Pumice-Stone_2048_2000x_ede24df3-a286-42b7-ba0b-778cf1147f6b.jpg?v=1587064261")</f>
        <v>#NAME?</v>
      </c>
      <c r="H528" t="e">
        <f ca="1">IMAGE("https://m.media-amazon.com/images/I/41zXzK-hipL._AC_UL320_.jpg")</f>
        <v>#NAME?</v>
      </c>
      <c r="I528" t="s">
        <v>216</v>
      </c>
      <c r="J528">
        <v>7.77</v>
      </c>
      <c r="K528" s="2" t="s">
        <v>1454</v>
      </c>
      <c r="L528">
        <v>4.5</v>
      </c>
      <c r="M528">
        <v>6530</v>
      </c>
      <c r="O528" t="s">
        <v>39</v>
      </c>
      <c r="P528" t="s">
        <v>218</v>
      </c>
      <c r="Q528" t="s">
        <v>219</v>
      </c>
    </row>
    <row r="529" spans="1:17" ht="15.75" x14ac:dyDescent="0.25">
      <c r="A529" s="3" t="str">
        <f>HYPERLINK("https://heavenlyouthouse.com/products/thymes-frasier-fir-car-diffuser-kit", "https://heavenlyouthouse.com/products/thymes-frasier-fir-car-diffuser-kit")</f>
        <v>https://heavenlyouthouse.com/products/thymes-frasier-fir-car-diffuser-kit</v>
      </c>
      <c r="B529" s="3" t="str">
        <f>HYPERLINK("https://heavenlyouthouse.com/products/thymes-frasier-fir-car-diffuser-kit", "https://heavenlyouthouse.com/products/thymes-frasier-fir-car-diffuser-kit")</f>
        <v>https://heavenlyouthouse.com/products/thymes-frasier-fir-car-diffuser-kit</v>
      </c>
      <c r="C529" t="s">
        <v>206</v>
      </c>
      <c r="D529" t="s">
        <v>1481</v>
      </c>
      <c r="E529" s="3" t="str">
        <f>HYPERLINK("https://www.amazon.com/Thymes-Frasier-Fir-Diffuser-Refills/dp/B0BDSKWH1D/ref=sr_1_1?keywords=Thymes+Frasier+Fir+Car+Diffuser+Kit&amp;qid=1695258720&amp;sr=8-1", "https://www.amazon.com/Thymes-Frasier-Fir-Diffuser-Refills/dp/B0BDSKWH1D/ref=sr_1_1?keywords=Thymes+Frasier+Fir+Car+Diffuser+Kit&amp;qid=1695258720&amp;sr=8-1")</f>
        <v>https://www.amazon.com/Thymes-Frasier-Fir-Diffuser-Refills/dp/B0BDSKWH1D/ref=sr_1_1?keywords=Thymes+Frasier+Fir+Car+Diffuser+Kit&amp;qid=1695258720&amp;sr=8-1</v>
      </c>
      <c r="F529" t="s">
        <v>1482</v>
      </c>
      <c r="G529" t="e">
        <f ca="1">IMAGE("https://heavenlyouthouse.com/cdn/shop/products/Thymes-frasier-fir-car-diffuser-kit.jpg?v=1662135825")</f>
        <v>#NAME?</v>
      </c>
      <c r="H529" t="e">
        <f ca="1">IMAGE("https://m.media-amazon.com/images/I/71cPVYBaORL._AC_UL320_.jpg")</f>
        <v>#NAME?</v>
      </c>
      <c r="I529" t="s">
        <v>207</v>
      </c>
      <c r="J529">
        <v>24</v>
      </c>
      <c r="K529" s="2" t="s">
        <v>1454</v>
      </c>
      <c r="L529">
        <v>4.3</v>
      </c>
      <c r="M529">
        <v>46</v>
      </c>
      <c r="O529" t="s">
        <v>39</v>
      </c>
      <c r="P529" t="s">
        <v>39</v>
      </c>
      <c r="Q529" t="s">
        <v>209</v>
      </c>
    </row>
    <row r="530" spans="1:17" ht="15.75" x14ac:dyDescent="0.25">
      <c r="A530" s="3" t="str">
        <f>HYPERLINK("https://heavenlyouthouse.com/products/you-did-it-graduation-card", "https://heavenlyouthouse.com/products/you-did-it-graduation-card")</f>
        <v>https://heavenlyouthouse.com/products/you-did-it-graduation-card</v>
      </c>
      <c r="B530" s="3" t="str">
        <f>HYPERLINK("https://heavenlyouthouse.com/products/you-did-it-graduation-card", "https://heavenlyouthouse.com/products/you-did-it-graduation-card")</f>
        <v>https://heavenlyouthouse.com/products/you-did-it-graduation-card</v>
      </c>
      <c r="C530" t="s">
        <v>851</v>
      </c>
      <c r="D530" t="s">
        <v>1483</v>
      </c>
      <c r="E530" s="3" t="str">
        <f>HYPERLINK("https://www.amazon.com/WaaHome-Graduation-Confetti-Congrats-Greeting/dp/B0C458MLJ2/ref=sr_1_5?keywords=You+Did+It+Graduation+Card&amp;qid=1695258832&amp;sr=8-5", "https://www.amazon.com/WaaHome-Graduation-Confetti-Congrats-Greeting/dp/B0C458MLJ2/ref=sr_1_5?keywords=You+Did+It+Graduation+Card&amp;qid=1695258832&amp;sr=8-5")</f>
        <v>https://www.amazon.com/WaaHome-Graduation-Confetti-Congrats-Greeting/dp/B0C458MLJ2/ref=sr_1_5?keywords=You+Did+It+Graduation+Card&amp;qid=1695258832&amp;sr=8-5</v>
      </c>
      <c r="F530" t="s">
        <v>1484</v>
      </c>
      <c r="G530" t="e">
        <f ca="1">IMAGE("https://heavenlyouthouse.com/cdn/shop/products/papyrus-graduation-card-airplane-flying-around-glo_1.jpg?v=1642617008")</f>
        <v>#NAME?</v>
      </c>
      <c r="H530" t="e">
        <f ca="1">IMAGE("https://m.media-amazon.com/images/I/71CjRln5WzL._AC_UL320_.jpg")</f>
        <v>#NAME?</v>
      </c>
      <c r="I530" t="s">
        <v>454</v>
      </c>
      <c r="J530">
        <v>6.59</v>
      </c>
      <c r="K530" s="2" t="s">
        <v>1454</v>
      </c>
      <c r="L530">
        <v>4.5</v>
      </c>
      <c r="M530">
        <v>2</v>
      </c>
      <c r="O530" t="s">
        <v>39</v>
      </c>
      <c r="P530" t="s">
        <v>39</v>
      </c>
      <c r="Q530" t="s">
        <v>854</v>
      </c>
    </row>
    <row r="531" spans="1:17" ht="15.75" x14ac:dyDescent="0.25">
      <c r="A531" s="3" t="str">
        <f>HYPERLINK("https://heavenlyouthouse.com/products/thymes-frasier-fir-pine-needle-candle", "https://heavenlyouthouse.com/products/thymes-frasier-fir-pine-needle-candle")</f>
        <v>https://heavenlyouthouse.com/products/thymes-frasier-fir-pine-needle-candle</v>
      </c>
      <c r="B531" s="3" t="str">
        <f>HYPERLINK("https://heavenlyouthouse.com/products/thymes-frasier-fir-pine-needle-candle", "https://heavenlyouthouse.com/products/thymes-frasier-fir-pine-needle-candle")</f>
        <v>https://heavenlyouthouse.com/products/thymes-frasier-fir-pine-needle-candle</v>
      </c>
      <c r="C531" t="s">
        <v>263</v>
      </c>
      <c r="D531" t="s">
        <v>550</v>
      </c>
      <c r="E531" s="3" t="str">
        <f>HYPERLINK("https://www.amazon.com/Thymes-Frasier-Needle-Decorative-50-Hour/dp/B00YPP2LBM/ref=sr_1_1?keywords=Thymes+Frasier+Fir+Pine+Needle+Candle&amp;qid=1695258736&amp;sr=8-1", "https://www.amazon.com/Thymes-Frasier-Needle-Decorative-50-Hour/dp/B00YPP2LBM/ref=sr_1_1?keywords=Thymes+Frasier+Fir+Pine+Needle+Candle&amp;qid=1695258736&amp;sr=8-1")</f>
        <v>https://www.amazon.com/Thymes-Frasier-Needle-Decorative-50-Hour/dp/B00YPP2LBM/ref=sr_1_1?keywords=Thymes+Frasier+Fir+Pine+Needle+Candle&amp;qid=1695258736&amp;sr=8-1</v>
      </c>
      <c r="F531" t="s">
        <v>551</v>
      </c>
      <c r="G531" t="e">
        <f ca="1">IMAGE("https://heavenlyouthouse.com/cdn/shop/products/thymesfrasierfirpineneedlecandle6.5oz.jpg?v=1619632712")</f>
        <v>#NAME?</v>
      </c>
      <c r="H531" t="e">
        <f ca="1">IMAGE("https://m.media-amazon.com/images/I/61rj1n74esL._AC_UL320_.jpg")</f>
        <v>#NAME?</v>
      </c>
      <c r="I531" t="s">
        <v>264</v>
      </c>
      <c r="J531">
        <v>34</v>
      </c>
      <c r="K531" s="2" t="s">
        <v>1485</v>
      </c>
      <c r="L531">
        <v>4.7</v>
      </c>
      <c r="M531">
        <v>3739</v>
      </c>
      <c r="O531" t="s">
        <v>39</v>
      </c>
      <c r="P531" t="s">
        <v>266</v>
      </c>
      <c r="Q531" t="s">
        <v>267</v>
      </c>
    </row>
    <row r="532" spans="1:17" ht="15.75" x14ac:dyDescent="0.25">
      <c r="A532" s="3" t="str">
        <f>HYPERLINK("https://heavenlyouthouse.com/products/thymes-frasier-wool-dryer-balls-fragrance-oil-set", "https://heavenlyouthouse.com/products/thymes-frasier-wool-dryer-balls-fragrance-oil-set")</f>
        <v>https://heavenlyouthouse.com/products/thymes-frasier-wool-dryer-balls-fragrance-oil-set</v>
      </c>
      <c r="B532" s="3" t="str">
        <f>HYPERLINK("https://heavenlyouthouse.com/products/thymes-frasier-wool-dryer-balls-fragrance-oil-set", "https://heavenlyouthouse.com/products/thymes-frasier-wool-dryer-balls-fragrance-oil-set")</f>
        <v>https://heavenlyouthouse.com/products/thymes-frasier-wool-dryer-balls-fragrance-oil-set</v>
      </c>
      <c r="C532" t="s">
        <v>1486</v>
      </c>
      <c r="D532" t="s">
        <v>1487</v>
      </c>
      <c r="E532" s="3" t="str">
        <f>HYPERLINK("https://www.amazon.com/Thymes-Dryer-Balls-Laundry-Fragrance/dp/B09HL7NQ95/ref=sr_1_1?keywords=Thymes+Frasier+Wool+Dryer+Balls&amp;qid=1695258746&amp;sr=8-1", "https://www.amazon.com/Thymes-Dryer-Balls-Laundry-Fragrance/dp/B09HL7NQ95/ref=sr_1_1?keywords=Thymes+Frasier+Wool+Dryer+Balls&amp;qid=1695258746&amp;sr=8-1")</f>
        <v>https://www.amazon.com/Thymes-Dryer-Balls-Laundry-Fragrance/dp/B09HL7NQ95/ref=sr_1_1?keywords=Thymes+Frasier+Wool+Dryer+Balls&amp;qid=1695258746&amp;sr=8-1</v>
      </c>
      <c r="F532" t="s">
        <v>1488</v>
      </c>
      <c r="G532" t="e">
        <f ca="1">IMAGE("https://heavenlyouthouse.com/cdn/shop/products/thymes-frasier-fir-dryer-balls-and-fragrance-oil-set.jpg?v=1630013318")</f>
        <v>#NAME?</v>
      </c>
      <c r="H532" t="e">
        <f ca="1">IMAGE("https://m.media-amazon.com/images/I/71oK4P68SBL._AC_UL320_.jpg")</f>
        <v>#NAME?</v>
      </c>
      <c r="I532" t="s">
        <v>264</v>
      </c>
      <c r="J532">
        <v>34</v>
      </c>
      <c r="K532" s="2" t="s">
        <v>1485</v>
      </c>
      <c r="L532">
        <v>4.2</v>
      </c>
      <c r="M532">
        <v>49</v>
      </c>
      <c r="O532" t="s">
        <v>39</v>
      </c>
      <c r="P532" t="s">
        <v>39</v>
      </c>
      <c r="Q532" t="s">
        <v>1489</v>
      </c>
    </row>
    <row r="533" spans="1:17" ht="15.75" x14ac:dyDescent="0.25">
      <c r="A533" s="3" t="str">
        <f>HYPERLINK("https://heavenlyouthouse.com/products/thymes-frasier-fir-heritage-molded-green-glass-poured-candle", "https://heavenlyouthouse.com/products/thymes-frasier-fir-heritage-molded-green-glass-poured-candle")</f>
        <v>https://heavenlyouthouse.com/products/thymes-frasier-fir-heritage-molded-green-glass-poured-candle</v>
      </c>
      <c r="B533" s="3" t="str">
        <f>HYPERLINK("https://heavenlyouthouse.com/products/thymes-frasier-fir-heritage-molded-green-glass-poured-candle", "https://heavenlyouthouse.com/products/thymes-frasier-fir-heritage-molded-green-glass-poured-candle")</f>
        <v>https://heavenlyouthouse.com/products/thymes-frasier-fir-heritage-molded-green-glass-poured-candle</v>
      </c>
      <c r="C533" t="s">
        <v>699</v>
      </c>
      <c r="D533" t="s">
        <v>1490</v>
      </c>
      <c r="E533" s="3" t="str">
        <f>HYPERLINK("https://www.amazon.com/Thymes-Frasier-Needle-Candle-50-Hour/dp/B00YPP2IY2/ref=sr_1_1?keywords=Thymes+Frasier+Fir+Heritage+Molded+Green+Glass+Candle&amp;qid=1695258729&amp;sr=8-1", "https://www.amazon.com/Thymes-Frasier-Needle-Candle-50-Hour/dp/B00YPP2IY2/ref=sr_1_1?keywords=Thymes+Frasier+Fir+Heritage+Molded+Green+Glass+Candle&amp;qid=1695258729&amp;sr=8-1")</f>
        <v>https://www.amazon.com/Thymes-Frasier-Needle-Candle-50-Hour/dp/B00YPP2IY2/ref=sr_1_1?keywords=Thymes+Frasier+Fir+Heritage+Molded+Green+Glass+Candle&amp;qid=1695258729&amp;sr=8-1</v>
      </c>
      <c r="F533" t="s">
        <v>1491</v>
      </c>
      <c r="G533" t="e">
        <f ca="1">IMAGE("https://heavenlyouthouse.com/cdn/shop/products/thymes-frasier-fir-heritage-molded-green-glass-candle.jpg?v=1624372737")</f>
        <v>#NAME?</v>
      </c>
      <c r="H533" t="e">
        <f ca="1">IMAGE("https://m.media-amazon.com/images/I/71BnsE4smrL._AC_UL320_.jpg")</f>
        <v>#NAME?</v>
      </c>
      <c r="I533" t="s">
        <v>264</v>
      </c>
      <c r="J533">
        <v>34</v>
      </c>
      <c r="K533" s="2" t="s">
        <v>1485</v>
      </c>
      <c r="L533">
        <v>4.7</v>
      </c>
      <c r="M533">
        <v>322</v>
      </c>
      <c r="O533" t="s">
        <v>39</v>
      </c>
      <c r="P533" t="s">
        <v>39</v>
      </c>
      <c r="Q533" t="s">
        <v>700</v>
      </c>
    </row>
    <row r="534" spans="1:17" ht="15.75" x14ac:dyDescent="0.25">
      <c r="A534" s="3" t="str">
        <f>HYPERLINK("https://heavenlyouthouse.com/products/frasier-fir-wax-melt", "https://heavenlyouthouse.com/products/frasier-fir-wax-melt")</f>
        <v>https://heavenlyouthouse.com/products/frasier-fir-wax-melt</v>
      </c>
      <c r="B534" s="3" t="str">
        <f>HYPERLINK("https://heavenlyouthouse.com/products/frasier-fir-wax-melt", "https://heavenlyouthouse.com/products/frasier-fir-wax-melt")</f>
        <v>https://heavenlyouthouse.com/products/frasier-fir-wax-melt</v>
      </c>
      <c r="C534" t="s">
        <v>1492</v>
      </c>
      <c r="D534" t="s">
        <v>1493</v>
      </c>
      <c r="E534" s="3" t="str">
        <f>HYPERLINK("https://www.amazon.com/Thymes-Fragrant-Frasier-Scented-Ounce/dp/B0140PRIF0/ref=sr_1_1?keywords=Thymes+Frasier+Fir+Wax+Melt&amp;qid=1695258754&amp;sr=8-1", "https://www.amazon.com/Thymes-Fragrant-Frasier-Scented-Ounce/dp/B0140PRIF0/ref=sr_1_1?keywords=Thymes+Frasier+Fir+Wax+Melt&amp;qid=1695258754&amp;sr=8-1")</f>
        <v>https://www.amazon.com/Thymes-Fragrant-Frasier-Scented-Ounce/dp/B0140PRIF0/ref=sr_1_1?keywords=Thymes+Frasier+Fir+Wax+Melt&amp;qid=1695258754&amp;sr=8-1</v>
      </c>
      <c r="F534" t="s">
        <v>1494</v>
      </c>
      <c r="G534" t="e">
        <f ca="1">IMAGE("https://heavenlyouthouse.com/cdn/shop/products/thymesfrasierfirwaxmelt.jpg?v=1613059751")</f>
        <v>#NAME?</v>
      </c>
      <c r="H534" t="e">
        <f ca="1">IMAGE("https://m.media-amazon.com/images/I/718pB5FZupL._AC_UL320_.jpg")</f>
        <v>#NAME?</v>
      </c>
      <c r="I534" t="s">
        <v>955</v>
      </c>
      <c r="J534">
        <v>10</v>
      </c>
      <c r="K534" s="2" t="s">
        <v>1485</v>
      </c>
      <c r="L534">
        <v>4.4000000000000004</v>
      </c>
      <c r="M534">
        <v>884</v>
      </c>
      <c r="O534" t="s">
        <v>39</v>
      </c>
      <c r="P534" t="s">
        <v>1495</v>
      </c>
      <c r="Q534" t="s">
        <v>1496</v>
      </c>
    </row>
    <row r="535" spans="1:17" ht="15.75" x14ac:dyDescent="0.25">
      <c r="A535" s="3" t="str">
        <f>HYPERLINK("https://heavenlyouthouse.com/products/thymes-frasier-fir-pine-needle-reed-diffuser", "https://heavenlyouthouse.com/products/thymes-frasier-fir-pine-needle-reed-diffuser")</f>
        <v>https://heavenlyouthouse.com/products/thymes-frasier-fir-pine-needle-reed-diffuser</v>
      </c>
      <c r="B535" s="3" t="str">
        <f>HYPERLINK("https://heavenlyouthouse.com/products/thymes-frasier-fir-pine-needle-reed-diffuser", "https://heavenlyouthouse.com/products/thymes-frasier-fir-pine-needle-reed-diffuser")</f>
        <v>https://heavenlyouthouse.com/products/thymes-frasier-fir-pine-needle-reed-diffuser</v>
      </c>
      <c r="C535" t="s">
        <v>654</v>
      </c>
      <c r="D535" t="s">
        <v>227</v>
      </c>
      <c r="E535" s="3" t="str">
        <f>HYPERLINK("https://www.amazon.com/Thymes-Frasier-Diffuser-Needle-Design/dp/B01KIH4X4S/ref=sr_1_2?keywords=Thymes+Frasier+Fir+Pine+Needle+Reed+Diffuser&amp;qid=1695258733&amp;sr=8-2", "https://www.amazon.com/Thymes-Frasier-Diffuser-Needle-Design/dp/B01KIH4X4S/ref=sr_1_2?keywords=Thymes+Frasier+Fir+Pine+Needle+Reed+Diffuser&amp;qid=1695258733&amp;sr=8-2")</f>
        <v>https://www.amazon.com/Thymes-Frasier-Diffuser-Needle-Design/dp/B01KIH4X4S/ref=sr_1_2?keywords=Thymes+Frasier+Fir+Pine+Needle+Reed+Diffuser&amp;qid=1695258733&amp;sr=8-2</v>
      </c>
      <c r="F535" t="s">
        <v>228</v>
      </c>
      <c r="G535" t="e">
        <f ca="1">IMAGE("https://heavenlyouthouse.com/cdn/shop/products/thymesfrasierfirpineneedledesignreeddiffuser.jpg?v=1619197867")</f>
        <v>#NAME?</v>
      </c>
      <c r="H535" t="e">
        <f ca="1">IMAGE("https://m.media-amazon.com/images/I/71MVWVg7C-L._AC_UL320_.jpg")</f>
        <v>#NAME?</v>
      </c>
      <c r="I535" t="s">
        <v>655</v>
      </c>
      <c r="J535">
        <v>56</v>
      </c>
      <c r="K535" s="2" t="s">
        <v>1485</v>
      </c>
      <c r="L535">
        <v>4.7</v>
      </c>
      <c r="M535">
        <v>597</v>
      </c>
      <c r="O535" t="s">
        <v>39</v>
      </c>
      <c r="P535" t="s">
        <v>39</v>
      </c>
      <c r="Q535" t="s">
        <v>657</v>
      </c>
    </row>
    <row r="536" spans="1:17" ht="15.75" x14ac:dyDescent="0.25">
      <c r="A536" s="3" t="str">
        <f>HYPERLINK("https://heavenlyouthouse.com/products/thymes-frasier-fir-pine-needle-reed-diffuser", "https://heavenlyouthouse.com/products/thymes-frasier-fir-pine-needle-reed-diffuser")</f>
        <v>https://heavenlyouthouse.com/products/thymes-frasier-fir-pine-needle-reed-diffuser</v>
      </c>
      <c r="B536" s="3" t="str">
        <f>HYPERLINK("https://heavenlyouthouse.com/products/thymes-frasier-fir-pine-needle-reed-diffuser", "https://heavenlyouthouse.com/products/thymes-frasier-fir-pine-needle-reed-diffuser")</f>
        <v>https://heavenlyouthouse.com/products/thymes-frasier-fir-pine-needle-reed-diffuser</v>
      </c>
      <c r="C536" t="s">
        <v>654</v>
      </c>
      <c r="D536" t="s">
        <v>223</v>
      </c>
      <c r="E536" s="3" t="str">
        <f>HYPERLINK("https://www.amazon.com/Thymes-Needle-Frasier-Luminary-Candle/dp/B0B9CDSR3K/ref=sr_1_6?keywords=Thymes+Frasier+Fir+Pine+Needle+Reed+Diffuser&amp;qid=1695258733&amp;sr=8-6", "https://www.amazon.com/Thymes-Needle-Frasier-Luminary-Candle/dp/B0B9CDSR3K/ref=sr_1_6?keywords=Thymes+Frasier+Fir+Pine+Needle+Reed+Diffuser&amp;qid=1695258733&amp;sr=8-6")</f>
        <v>https://www.amazon.com/Thymes-Needle-Frasier-Luminary-Candle/dp/B0B9CDSR3K/ref=sr_1_6?keywords=Thymes+Frasier+Fir+Pine+Needle+Reed+Diffuser&amp;qid=1695258733&amp;sr=8-6</v>
      </c>
      <c r="F536" t="s">
        <v>224</v>
      </c>
      <c r="G536" t="e">
        <f ca="1">IMAGE("https://heavenlyouthouse.com/cdn/shop/products/thymesfrasierfirpineneedledesignreeddiffuser.jpg?v=1619197867")</f>
        <v>#NAME?</v>
      </c>
      <c r="H536" t="e">
        <f ca="1">IMAGE("https://m.media-amazon.com/images/I/71YqOVLEPjL._AC_UL320_.jpg")</f>
        <v>#NAME?</v>
      </c>
      <c r="I536" t="s">
        <v>655</v>
      </c>
      <c r="J536">
        <v>56</v>
      </c>
      <c r="K536" s="2" t="s">
        <v>1485</v>
      </c>
      <c r="L536">
        <v>5</v>
      </c>
      <c r="M536">
        <v>1</v>
      </c>
      <c r="O536" t="s">
        <v>39</v>
      </c>
      <c r="P536" t="s">
        <v>39</v>
      </c>
      <c r="Q536" t="s">
        <v>657</v>
      </c>
    </row>
    <row r="537" spans="1:17" ht="15.75" x14ac:dyDescent="0.25">
      <c r="A537" s="3" t="str">
        <f>HYPERLINK("https://heavenlyouthouse.com/products/frasier-fir-petite-pine-needle-reed-diffuser", "https://heavenlyouthouse.com/products/frasier-fir-petite-pine-needle-reed-diffuser")</f>
        <v>https://heavenlyouthouse.com/products/frasier-fir-petite-pine-needle-reed-diffuser</v>
      </c>
      <c r="B537" s="3" t="str">
        <f>HYPERLINK("https://heavenlyouthouse.com/products/frasier-fir-petite-pine-needle-reed-diffuser", "https://heavenlyouthouse.com/products/frasier-fir-petite-pine-needle-reed-diffuser")</f>
        <v>https://heavenlyouthouse.com/products/frasier-fir-petite-pine-needle-reed-diffuser</v>
      </c>
      <c r="C537" t="s">
        <v>1497</v>
      </c>
      <c r="D537" t="s">
        <v>155</v>
      </c>
      <c r="E537" s="3" t="str">
        <f>HYPERLINK("https://www.amazon.com/Thymes-Frasier-Petite-Reed-Diffuser/dp/B074KL8KPP/ref=sr_1_2?keywords=Thymes+Frasier+Fir+Petite+Pine+Needle+Reed+Diffuser&amp;qid=1695258737&amp;sr=8-2", "https://www.amazon.com/Thymes-Frasier-Petite-Reed-Diffuser/dp/B074KL8KPP/ref=sr_1_2?keywords=Thymes+Frasier+Fir+Petite+Pine+Needle+Reed+Diffuser&amp;qid=1695258737&amp;sr=8-2")</f>
        <v>https://www.amazon.com/Thymes-Frasier-Petite-Reed-Diffuser/dp/B074KL8KPP/ref=sr_1_2?keywords=Thymes+Frasier+Fir+Petite+Pine+Needle+Reed+Diffuser&amp;qid=1695258737&amp;sr=8-2</v>
      </c>
      <c r="F537" t="s">
        <v>156</v>
      </c>
      <c r="G537" t="e">
        <f ca="1">IMAGE("https://heavenlyouthouse.com/cdn/shop/products/thymesfrasierfirpetitereeddiffuser.jpg?v=1603996118")</f>
        <v>#NAME?</v>
      </c>
      <c r="H537" t="e">
        <f ca="1">IMAGE("https://m.media-amazon.com/images/I/71vTZnnZvCL._AC_UL320_.jpg")</f>
        <v>#NAME?</v>
      </c>
      <c r="I537" t="s">
        <v>1204</v>
      </c>
      <c r="J537">
        <v>46</v>
      </c>
      <c r="K537" s="2" t="s">
        <v>1485</v>
      </c>
      <c r="L537">
        <v>4.7</v>
      </c>
      <c r="M537">
        <v>479</v>
      </c>
      <c r="O537" t="s">
        <v>39</v>
      </c>
      <c r="P537" t="s">
        <v>1498</v>
      </c>
      <c r="Q537" t="s">
        <v>1499</v>
      </c>
    </row>
    <row r="538" spans="1:17" ht="15.75" x14ac:dyDescent="0.25">
      <c r="A538" s="3" t="str">
        <f>HYPERLINK("https://heavenlyouthouse.com/products/thymes-goldleaf-petite-reed-diffuser", "https://heavenlyouthouse.com/products/thymes-goldleaf-petite-reed-diffuser")</f>
        <v>https://heavenlyouthouse.com/products/thymes-goldleaf-petite-reed-diffuser</v>
      </c>
      <c r="B538" s="3" t="str">
        <f>HYPERLINK("https://heavenlyouthouse.com/products/thymes-goldleaf-petite-reed-diffuser", "https://heavenlyouthouse.com/products/thymes-goldleaf-petite-reed-diffuser")</f>
        <v>https://heavenlyouthouse.com/products/thymes-goldleaf-petite-reed-diffuser</v>
      </c>
      <c r="C538" t="s">
        <v>1500</v>
      </c>
      <c r="D538" t="s">
        <v>150</v>
      </c>
      <c r="E538" s="3" t="str">
        <f>HYPERLINK("https://www.amazon.com/Frasier-Diffuser-Petite-Needle-Design/dp/B07PX41PHQ/ref=sr_1_4?keywords=Thymes+Goldleaf+Petite+Reed+Diffuser&amp;qid=1695258755&amp;sr=8-4", "https://www.amazon.com/Frasier-Diffuser-Petite-Needle-Design/dp/B07PX41PHQ/ref=sr_1_4?keywords=Thymes+Goldleaf+Petite+Reed+Diffuser&amp;qid=1695258755&amp;sr=8-4")</f>
        <v>https://www.amazon.com/Frasier-Diffuser-Petite-Needle-Design/dp/B07PX41PHQ/ref=sr_1_4?keywords=Thymes+Goldleaf+Petite+Reed+Diffuser&amp;qid=1695258755&amp;sr=8-4</v>
      </c>
      <c r="F538" t="s">
        <v>151</v>
      </c>
      <c r="G538" t="e">
        <f ca="1">IMAGE("https://heavenlyouthouse.com/cdn/shop/products/thymes-goldleaf-reed-diffuser.jpg?v=1645481674")</f>
        <v>#NAME?</v>
      </c>
      <c r="H538" t="e">
        <f ca="1">IMAGE("https://m.media-amazon.com/images/I/81b2I297VgL._AC_UL320_.jpg")</f>
        <v>#NAME?</v>
      </c>
      <c r="I538" t="s">
        <v>1204</v>
      </c>
      <c r="J538">
        <v>46</v>
      </c>
      <c r="K538" s="2" t="s">
        <v>1485</v>
      </c>
      <c r="L538">
        <v>4.7</v>
      </c>
      <c r="M538">
        <v>283</v>
      </c>
      <c r="O538" t="s">
        <v>39</v>
      </c>
      <c r="P538" t="s">
        <v>39</v>
      </c>
      <c r="Q538" t="s">
        <v>1501</v>
      </c>
    </row>
    <row r="539" spans="1:17" ht="15.75" x14ac:dyDescent="0.25">
      <c r="A539" s="3" t="str">
        <f>HYPERLINK("https://heavenlyouthouse.com/products/thymes-eucalyptus-petite-reed-diffuser", "https://heavenlyouthouse.com/products/thymes-eucalyptus-petite-reed-diffuser")</f>
        <v>https://heavenlyouthouse.com/products/thymes-eucalyptus-petite-reed-diffuser</v>
      </c>
      <c r="B539" s="3" t="str">
        <f>HYPERLINK("https://heavenlyouthouse.com/products/thymes-eucalyptus-petite-reed-diffuser", "https://heavenlyouthouse.com/products/thymes-eucalyptus-petite-reed-diffuser")</f>
        <v>https://heavenlyouthouse.com/products/thymes-eucalyptus-petite-reed-diffuser</v>
      </c>
      <c r="C539" t="s">
        <v>1502</v>
      </c>
      <c r="D539" t="s">
        <v>1503</v>
      </c>
      <c r="E539" s="3" t="str">
        <f>HYPERLINK("https://www.amazon.com/Thymes-Petite-Reed-Diffuser-Highland/dp/B0B997QP43/ref=sr_1_3?keywords=Thymes+Eucalyptus+Petite+Reed+Diffuser&amp;qid=1695258718&amp;sr=8-3", "https://www.amazon.com/Thymes-Petite-Reed-Diffuser-Highland/dp/B0B997QP43/ref=sr_1_3?keywords=Thymes+Eucalyptus+Petite+Reed+Diffuser&amp;qid=1695258718&amp;sr=8-3")</f>
        <v>https://www.amazon.com/Thymes-Petite-Reed-Diffuser-Highland/dp/B0B997QP43/ref=sr_1_3?keywords=Thymes+Eucalyptus+Petite+Reed+Diffuser&amp;qid=1695258718&amp;sr=8-3</v>
      </c>
      <c r="F539" t="s">
        <v>1504</v>
      </c>
      <c r="G539" t="e">
        <f ca="1">IMAGE("https://heavenlyouthouse.com/cdn/shop/products/thymes-eucalyptus-reed-diffuser.jpg?v=1634851373")</f>
        <v>#NAME?</v>
      </c>
      <c r="H539" t="e">
        <f ca="1">IMAGE("https://m.media-amazon.com/images/I/71o1EUSYuYL._AC_UL320_.jpg")</f>
        <v>#NAME?</v>
      </c>
      <c r="I539" t="s">
        <v>1204</v>
      </c>
      <c r="J539">
        <v>46</v>
      </c>
      <c r="K539" s="2" t="s">
        <v>1485</v>
      </c>
      <c r="L539">
        <v>4.7</v>
      </c>
      <c r="M539">
        <v>597</v>
      </c>
      <c r="O539" t="s">
        <v>39</v>
      </c>
      <c r="P539" t="s">
        <v>1498</v>
      </c>
      <c r="Q539" t="s">
        <v>1505</v>
      </c>
    </row>
    <row r="540" spans="1:17" ht="15.75" x14ac:dyDescent="0.25">
      <c r="A540" s="3" t="str">
        <f>HYPERLINK("https://heavenlyouthouse.com/products/frasier-fir-petite-pine-needle-reed-diffuser", "https://heavenlyouthouse.com/products/frasier-fir-petite-pine-needle-reed-diffuser")</f>
        <v>https://heavenlyouthouse.com/products/frasier-fir-petite-pine-needle-reed-diffuser</v>
      </c>
      <c r="B540" s="3" t="str">
        <f>HYPERLINK("https://heavenlyouthouse.com/products/frasier-fir-petite-pine-needle-reed-diffuser", "https://heavenlyouthouse.com/products/frasier-fir-petite-pine-needle-reed-diffuser")</f>
        <v>https://heavenlyouthouse.com/products/frasier-fir-petite-pine-needle-reed-diffuser</v>
      </c>
      <c r="C540" t="s">
        <v>1497</v>
      </c>
      <c r="D540" t="s">
        <v>150</v>
      </c>
      <c r="E540" s="3" t="str">
        <f>HYPERLINK("https://www.amazon.com/Frasier-Diffuser-Petite-Needle-Design/dp/B07PX41PHQ/ref=sr_1_1?keywords=Thymes+Frasier+Fir+Petite+Pine+Needle+Reed+Diffuser&amp;qid=1695258737&amp;sr=8-1", "https://www.amazon.com/Frasier-Diffuser-Petite-Needle-Design/dp/B07PX41PHQ/ref=sr_1_1?keywords=Thymes+Frasier+Fir+Petite+Pine+Needle+Reed+Diffuser&amp;qid=1695258737&amp;sr=8-1")</f>
        <v>https://www.amazon.com/Frasier-Diffuser-Petite-Needle-Design/dp/B07PX41PHQ/ref=sr_1_1?keywords=Thymes+Frasier+Fir+Petite+Pine+Needle+Reed+Diffuser&amp;qid=1695258737&amp;sr=8-1</v>
      </c>
      <c r="F540" t="s">
        <v>151</v>
      </c>
      <c r="G540" t="e">
        <f ca="1">IMAGE("https://heavenlyouthouse.com/cdn/shop/products/thymesfrasierfirpetitereeddiffuser.jpg?v=1603996118")</f>
        <v>#NAME?</v>
      </c>
      <c r="H540" t="e">
        <f ca="1">IMAGE("https://m.media-amazon.com/images/I/81b2I297VgL._AC_UL320_.jpg")</f>
        <v>#NAME?</v>
      </c>
      <c r="I540" t="s">
        <v>1204</v>
      </c>
      <c r="J540">
        <v>46</v>
      </c>
      <c r="K540" s="2" t="s">
        <v>1485</v>
      </c>
      <c r="L540">
        <v>4.7</v>
      </c>
      <c r="M540">
        <v>283</v>
      </c>
      <c r="O540" t="s">
        <v>39</v>
      </c>
      <c r="P540" t="s">
        <v>1498</v>
      </c>
      <c r="Q540" t="s">
        <v>1499</v>
      </c>
    </row>
    <row r="541" spans="1:17" ht="15.75" x14ac:dyDescent="0.25">
      <c r="A541" s="3" t="str">
        <f>HYPERLINK("https://heavenlyouthouse.com/products/thymes-kimono-rose-petite-reed-diffuser", "https://heavenlyouthouse.com/products/thymes-kimono-rose-petite-reed-diffuser")</f>
        <v>https://heavenlyouthouse.com/products/thymes-kimono-rose-petite-reed-diffuser</v>
      </c>
      <c r="B541" s="3" t="str">
        <f>HYPERLINK("https://heavenlyouthouse.com/products/thymes-kimono-rose-petite-reed-diffuser", "https://heavenlyouthouse.com/products/thymes-kimono-rose-petite-reed-diffuser")</f>
        <v>https://heavenlyouthouse.com/products/thymes-kimono-rose-petite-reed-diffuser</v>
      </c>
      <c r="C541" t="s">
        <v>1506</v>
      </c>
      <c r="D541" t="s">
        <v>1507</v>
      </c>
      <c r="E541" s="3" t="str">
        <f>HYPERLINK("https://www.amazon.com/Thymes-Petite-Diffuser-Kimono-Rose/dp/B09HLD55TP/ref=sr_1_1?keywords=Thymes+Kimono+Rose+Petite+Reed+Diffuser&amp;qid=1695258758&amp;sr=8-1", "https://www.amazon.com/Thymes-Petite-Diffuser-Kimono-Rose/dp/B09HLD55TP/ref=sr_1_1?keywords=Thymes+Kimono+Rose+Petite+Reed+Diffuser&amp;qid=1695258758&amp;sr=8-1")</f>
        <v>https://www.amazon.com/Thymes-Petite-Diffuser-Kimono-Rose/dp/B09HLD55TP/ref=sr_1_1?keywords=Thymes+Kimono+Rose+Petite+Reed+Diffuser&amp;qid=1695258758&amp;sr=8-1</v>
      </c>
      <c r="F541" t="s">
        <v>1508</v>
      </c>
      <c r="G541" t="e">
        <f ca="1">IMAGE("https://heavenlyouthouse.com/cdn/shop/products/thymes-kimono-rose-reed-diffuser.jpg?v=1635206627")</f>
        <v>#NAME?</v>
      </c>
      <c r="H541" t="e">
        <f ca="1">IMAGE("https://m.media-amazon.com/images/I/611tI8h6y2L._AC_UL320_.jpg")</f>
        <v>#NAME?</v>
      </c>
      <c r="I541" t="s">
        <v>1204</v>
      </c>
      <c r="J541">
        <v>46</v>
      </c>
      <c r="K541" s="2" t="s">
        <v>1485</v>
      </c>
      <c r="L541">
        <v>4.3</v>
      </c>
      <c r="M541">
        <v>185</v>
      </c>
      <c r="O541" t="s">
        <v>39</v>
      </c>
      <c r="P541" t="s">
        <v>39</v>
      </c>
      <c r="Q541" t="s">
        <v>1509</v>
      </c>
    </row>
    <row r="542" spans="1:17" ht="15.75" x14ac:dyDescent="0.25">
      <c r="A542" s="3" t="str">
        <f>HYPERLINK("https://heavenlyouthouse.com/products/thymes-eucalyptus-petite-reed-diffuser", "https://heavenlyouthouse.com/products/thymes-eucalyptus-petite-reed-diffuser")</f>
        <v>https://heavenlyouthouse.com/products/thymes-eucalyptus-petite-reed-diffuser</v>
      </c>
      <c r="B542" s="3" t="str">
        <f>HYPERLINK("https://heavenlyouthouse.com/products/thymes-eucalyptus-petite-reed-diffuser", "https://heavenlyouthouse.com/products/thymes-eucalyptus-petite-reed-diffuser")</f>
        <v>https://heavenlyouthouse.com/products/thymes-eucalyptus-petite-reed-diffuser</v>
      </c>
      <c r="C542" t="s">
        <v>1502</v>
      </c>
      <c r="D542" t="s">
        <v>150</v>
      </c>
      <c r="E542" s="3" t="str">
        <f>HYPERLINK("https://www.amazon.com/Frasier-Diffuser-Petite-Needle-Design/dp/B07PX41PHQ/ref=sr_1_5?keywords=Thymes+Eucalyptus+Petite+Reed+Diffuser&amp;qid=1695258718&amp;sr=8-5", "https://www.amazon.com/Frasier-Diffuser-Petite-Needle-Design/dp/B07PX41PHQ/ref=sr_1_5?keywords=Thymes+Eucalyptus+Petite+Reed+Diffuser&amp;qid=1695258718&amp;sr=8-5")</f>
        <v>https://www.amazon.com/Frasier-Diffuser-Petite-Needle-Design/dp/B07PX41PHQ/ref=sr_1_5?keywords=Thymes+Eucalyptus+Petite+Reed+Diffuser&amp;qid=1695258718&amp;sr=8-5</v>
      </c>
      <c r="F542" t="s">
        <v>151</v>
      </c>
      <c r="G542" t="e">
        <f ca="1">IMAGE("https://heavenlyouthouse.com/cdn/shop/products/thymes-eucalyptus-reed-diffuser.jpg?v=1634851373")</f>
        <v>#NAME?</v>
      </c>
      <c r="H542" t="e">
        <f ca="1">IMAGE("https://m.media-amazon.com/images/I/81b2I297VgL._AC_UL320_.jpg")</f>
        <v>#NAME?</v>
      </c>
      <c r="I542" t="s">
        <v>1204</v>
      </c>
      <c r="J542">
        <v>46</v>
      </c>
      <c r="K542" s="2" t="s">
        <v>1485</v>
      </c>
      <c r="L542">
        <v>4.7</v>
      </c>
      <c r="M542">
        <v>283</v>
      </c>
      <c r="O542" t="s">
        <v>39</v>
      </c>
      <c r="P542" t="s">
        <v>1498</v>
      </c>
      <c r="Q542" t="s">
        <v>1505</v>
      </c>
    </row>
    <row r="543" spans="1:17" ht="15.75" x14ac:dyDescent="0.25">
      <c r="A543" s="3" t="str">
        <f>HYPERLINK("https://heavenlyouthouse.com/products/thymes-kimono-rose-petite-reed-diffuser", "https://heavenlyouthouse.com/products/thymes-kimono-rose-petite-reed-diffuser")</f>
        <v>https://heavenlyouthouse.com/products/thymes-kimono-rose-petite-reed-diffuser</v>
      </c>
      <c r="B543" s="3" t="str">
        <f>HYPERLINK("https://heavenlyouthouse.com/products/thymes-kimono-rose-petite-reed-diffuser", "https://heavenlyouthouse.com/products/thymes-kimono-rose-petite-reed-diffuser")</f>
        <v>https://heavenlyouthouse.com/products/thymes-kimono-rose-petite-reed-diffuser</v>
      </c>
      <c r="C543" t="s">
        <v>1506</v>
      </c>
      <c r="D543" t="s">
        <v>1510</v>
      </c>
      <c r="E543" s="3" t="str">
        <f>HYPERLINK("https://www.amazon.com/Thymes-Simmered-Cider-Diffuser-Petite/dp/B074KLPGCP/ref=sr_1_3?keywords=Thymes+Kimono+Rose+Petite+Reed+Diffuser&amp;qid=1695258758&amp;sr=8-3", "https://www.amazon.com/Thymes-Simmered-Cider-Diffuser-Petite/dp/B074KLPGCP/ref=sr_1_3?keywords=Thymes+Kimono+Rose+Petite+Reed+Diffuser&amp;qid=1695258758&amp;sr=8-3")</f>
        <v>https://www.amazon.com/Thymes-Simmered-Cider-Diffuser-Petite/dp/B074KLPGCP/ref=sr_1_3?keywords=Thymes+Kimono+Rose+Petite+Reed+Diffuser&amp;qid=1695258758&amp;sr=8-3</v>
      </c>
      <c r="F543" t="s">
        <v>1511</v>
      </c>
      <c r="G543" t="e">
        <f ca="1">IMAGE("https://heavenlyouthouse.com/cdn/shop/products/thymes-kimono-rose-reed-diffuser.jpg?v=1635206627")</f>
        <v>#NAME?</v>
      </c>
      <c r="H543" t="e">
        <f ca="1">IMAGE("https://m.media-amazon.com/images/I/61ifJaaEa2L._AC_UL320_.jpg")</f>
        <v>#NAME?</v>
      </c>
      <c r="I543" t="s">
        <v>1204</v>
      </c>
      <c r="J543">
        <v>46</v>
      </c>
      <c r="K543" s="2" t="s">
        <v>1485</v>
      </c>
      <c r="L543">
        <v>4.3</v>
      </c>
      <c r="M543">
        <v>26</v>
      </c>
      <c r="O543" t="s">
        <v>39</v>
      </c>
      <c r="P543" t="s">
        <v>39</v>
      </c>
      <c r="Q543" t="s">
        <v>1509</v>
      </c>
    </row>
    <row r="544" spans="1:17" ht="15.75" x14ac:dyDescent="0.25">
      <c r="A544" s="3" t="str">
        <f>HYPERLINK("https://heavenlyouthouse.com/products/thymes-eucalyptus-petite-reed-diffuser", "https://heavenlyouthouse.com/products/thymes-eucalyptus-petite-reed-diffuser")</f>
        <v>https://heavenlyouthouse.com/products/thymes-eucalyptus-petite-reed-diffuser</v>
      </c>
      <c r="B544" s="3" t="str">
        <f>HYPERLINK("https://heavenlyouthouse.com/products/thymes-eucalyptus-petite-reed-diffuser", "https://heavenlyouthouse.com/products/thymes-eucalyptus-petite-reed-diffuser")</f>
        <v>https://heavenlyouthouse.com/products/thymes-eucalyptus-petite-reed-diffuser</v>
      </c>
      <c r="C544" t="s">
        <v>1502</v>
      </c>
      <c r="D544" t="s">
        <v>1512</v>
      </c>
      <c r="E544" s="3" t="str">
        <f>HYPERLINK("https://www.amazon.com/Thymes-Petite-Diffuser-Eucalyptus-Fl/dp/B09HLBV1ZP/ref=sr_1_1?keywords=Thymes+Eucalyptus+Petite+Reed+Diffuser&amp;qid=1695258718&amp;sr=8-1", "https://www.amazon.com/Thymes-Petite-Diffuser-Eucalyptus-Fl/dp/B09HLBV1ZP/ref=sr_1_1?keywords=Thymes+Eucalyptus+Petite+Reed+Diffuser&amp;qid=1695258718&amp;sr=8-1")</f>
        <v>https://www.amazon.com/Thymes-Petite-Diffuser-Eucalyptus-Fl/dp/B09HLBV1ZP/ref=sr_1_1?keywords=Thymes+Eucalyptus+Petite+Reed+Diffuser&amp;qid=1695258718&amp;sr=8-1</v>
      </c>
      <c r="F544" t="s">
        <v>1513</v>
      </c>
      <c r="G544" t="e">
        <f ca="1">IMAGE("https://heavenlyouthouse.com/cdn/shop/products/thymes-eucalyptus-reed-diffuser.jpg?v=1634851373")</f>
        <v>#NAME?</v>
      </c>
      <c r="H544" t="e">
        <f ca="1">IMAGE("https://m.media-amazon.com/images/I/61QDy9SVs0L._AC_UL320_.jpg")</f>
        <v>#NAME?</v>
      </c>
      <c r="I544" t="s">
        <v>1204</v>
      </c>
      <c r="J544">
        <v>46</v>
      </c>
      <c r="K544" s="2" t="s">
        <v>1485</v>
      </c>
      <c r="L544">
        <v>4.3</v>
      </c>
      <c r="M544">
        <v>185</v>
      </c>
      <c r="O544" t="s">
        <v>39</v>
      </c>
      <c r="P544" t="s">
        <v>1498</v>
      </c>
      <c r="Q544" t="s">
        <v>1505</v>
      </c>
    </row>
    <row r="545" spans="1:17" ht="15.75" x14ac:dyDescent="0.25">
      <c r="A545" s="3" t="str">
        <f>HYPERLINK("https://heavenlyouthouse.com/products/thymes-goldleaf-petite-reed-diffuser", "https://heavenlyouthouse.com/products/thymes-goldleaf-petite-reed-diffuser")</f>
        <v>https://heavenlyouthouse.com/products/thymes-goldleaf-petite-reed-diffuser</v>
      </c>
      <c r="B545" s="3" t="str">
        <f>HYPERLINK("https://heavenlyouthouse.com/products/thymes-goldleaf-petite-reed-diffuser", "https://heavenlyouthouse.com/products/thymes-goldleaf-petite-reed-diffuser")</f>
        <v>https://heavenlyouthouse.com/products/thymes-goldleaf-petite-reed-diffuser</v>
      </c>
      <c r="C545" t="s">
        <v>1500</v>
      </c>
      <c r="D545" t="s">
        <v>1514</v>
      </c>
      <c r="E545" s="3" t="str">
        <f>HYPERLINK("https://www.amazon.com/Thymes-Petite-Diffuser-Goldleaf-Fl/dp/B09HLCDZ2M/ref=sr_1_1?keywords=Thymes+Goldleaf+Petite+Reed+Diffuser&amp;qid=1695258755&amp;sr=8-1", "https://www.amazon.com/Thymes-Petite-Diffuser-Goldleaf-Fl/dp/B09HLCDZ2M/ref=sr_1_1?keywords=Thymes+Goldleaf+Petite+Reed+Diffuser&amp;qid=1695258755&amp;sr=8-1")</f>
        <v>https://www.amazon.com/Thymes-Petite-Diffuser-Goldleaf-Fl/dp/B09HLCDZ2M/ref=sr_1_1?keywords=Thymes+Goldleaf+Petite+Reed+Diffuser&amp;qid=1695258755&amp;sr=8-1</v>
      </c>
      <c r="F545" t="s">
        <v>1515</v>
      </c>
      <c r="G545" t="e">
        <f ca="1">IMAGE("https://heavenlyouthouse.com/cdn/shop/products/thymes-goldleaf-reed-diffuser.jpg?v=1645481674")</f>
        <v>#NAME?</v>
      </c>
      <c r="H545" t="e">
        <f ca="1">IMAGE("https://m.media-amazon.com/images/I/61pfVBC7VBL._AC_UL320_.jpg")</f>
        <v>#NAME?</v>
      </c>
      <c r="I545" t="s">
        <v>1204</v>
      </c>
      <c r="J545">
        <v>46</v>
      </c>
      <c r="K545" s="2" t="s">
        <v>1485</v>
      </c>
      <c r="L545">
        <v>4.3</v>
      </c>
      <c r="M545">
        <v>185</v>
      </c>
      <c r="O545" t="s">
        <v>39</v>
      </c>
      <c r="P545" t="s">
        <v>39</v>
      </c>
      <c r="Q545" t="s">
        <v>1501</v>
      </c>
    </row>
    <row r="546" spans="1:17" ht="15.75" x14ac:dyDescent="0.25">
      <c r="A546" s="3" t="str">
        <f>HYPERLINK("https://heavenlyouthouse.com/products/thymes-lavender-petite-reed-diffuser", "https://heavenlyouthouse.com/products/thymes-lavender-petite-reed-diffuser")</f>
        <v>https://heavenlyouthouse.com/products/thymes-lavender-petite-reed-diffuser</v>
      </c>
      <c r="B546" s="3" t="str">
        <f>HYPERLINK("https://heavenlyouthouse.com/products/thymes-lavender-petite-reed-diffuser", "https://heavenlyouthouse.com/products/thymes-lavender-petite-reed-diffuser")</f>
        <v>https://heavenlyouthouse.com/products/thymes-lavender-petite-reed-diffuser</v>
      </c>
      <c r="C546" t="s">
        <v>1516</v>
      </c>
      <c r="D546" t="s">
        <v>155</v>
      </c>
      <c r="E546" s="3" t="str">
        <f>HYPERLINK("https://www.amazon.com/Thymes-Frasier-Petite-Reed-Diffuser/dp/B074KL8KPP/ref=sr_1_3?keywords=Thymes+Lavender+Petite+Reed+Diffuser&amp;qid=1695258768&amp;sr=8-3", "https://www.amazon.com/Thymes-Frasier-Petite-Reed-Diffuser/dp/B074KL8KPP/ref=sr_1_3?keywords=Thymes+Lavender+Petite+Reed+Diffuser&amp;qid=1695258768&amp;sr=8-3")</f>
        <v>https://www.amazon.com/Thymes-Frasier-Petite-Reed-Diffuser/dp/B074KL8KPP/ref=sr_1_3?keywords=Thymes+Lavender+Petite+Reed+Diffuser&amp;qid=1695258768&amp;sr=8-3</v>
      </c>
      <c r="F546" t="s">
        <v>156</v>
      </c>
      <c r="G546" t="e">
        <f ca="1">IMAGE("https://heavenlyouthouse.com/cdn/shop/products/thymes-lavender-petite-reed-diffuser.jpg?v=1635207104")</f>
        <v>#NAME?</v>
      </c>
      <c r="H546" t="e">
        <f ca="1">IMAGE("https://m.media-amazon.com/images/I/71vTZnnZvCL._AC_UL320_.jpg")</f>
        <v>#NAME?</v>
      </c>
      <c r="I546" t="s">
        <v>1204</v>
      </c>
      <c r="J546">
        <v>46</v>
      </c>
      <c r="K546" s="2" t="s">
        <v>1485</v>
      </c>
      <c r="L546">
        <v>4.7</v>
      </c>
      <c r="M546">
        <v>479</v>
      </c>
      <c r="O546" t="s">
        <v>39</v>
      </c>
      <c r="P546" t="s">
        <v>39</v>
      </c>
      <c r="Q546" t="s">
        <v>1517</v>
      </c>
    </row>
    <row r="547" spans="1:17" ht="15.75" x14ac:dyDescent="0.25">
      <c r="A547" s="3" t="str">
        <f>HYPERLINK("https://heavenlyouthouse.com/products/thymes-lavender-petite-reed-diffuser", "https://heavenlyouthouse.com/products/thymes-lavender-petite-reed-diffuser")</f>
        <v>https://heavenlyouthouse.com/products/thymes-lavender-petite-reed-diffuser</v>
      </c>
      <c r="B547" s="3" t="str">
        <f>HYPERLINK("https://heavenlyouthouse.com/products/thymes-lavender-petite-reed-diffuser", "https://heavenlyouthouse.com/products/thymes-lavender-petite-reed-diffuser")</f>
        <v>https://heavenlyouthouse.com/products/thymes-lavender-petite-reed-diffuser</v>
      </c>
      <c r="C547" t="s">
        <v>1516</v>
      </c>
      <c r="D547" t="s">
        <v>150</v>
      </c>
      <c r="E547" s="3" t="str">
        <f>HYPERLINK("https://www.amazon.com/Frasier-Diffuser-Petite-Needle-Design/dp/B07PX41PHQ/ref=sr_1_6?keywords=Thymes+Lavender+Petite+Reed+Diffuser&amp;qid=1695258768&amp;sr=8-6", "https://www.amazon.com/Frasier-Diffuser-Petite-Needle-Design/dp/B07PX41PHQ/ref=sr_1_6?keywords=Thymes+Lavender+Petite+Reed+Diffuser&amp;qid=1695258768&amp;sr=8-6")</f>
        <v>https://www.amazon.com/Frasier-Diffuser-Petite-Needle-Design/dp/B07PX41PHQ/ref=sr_1_6?keywords=Thymes+Lavender+Petite+Reed+Diffuser&amp;qid=1695258768&amp;sr=8-6</v>
      </c>
      <c r="F547" t="s">
        <v>151</v>
      </c>
      <c r="G547" t="e">
        <f ca="1">IMAGE("https://heavenlyouthouse.com/cdn/shop/products/thymes-lavender-petite-reed-diffuser.jpg?v=1635207104")</f>
        <v>#NAME?</v>
      </c>
      <c r="H547" t="e">
        <f ca="1">IMAGE("https://m.media-amazon.com/images/I/81b2I297VgL._AC_UL320_.jpg")</f>
        <v>#NAME?</v>
      </c>
      <c r="I547" t="s">
        <v>1204</v>
      </c>
      <c r="J547">
        <v>46</v>
      </c>
      <c r="K547" s="2" t="s">
        <v>1485</v>
      </c>
      <c r="L547">
        <v>4.7</v>
      </c>
      <c r="M547">
        <v>283</v>
      </c>
      <c r="O547" t="s">
        <v>39</v>
      </c>
      <c r="P547" t="s">
        <v>39</v>
      </c>
      <c r="Q547" t="s">
        <v>1517</v>
      </c>
    </row>
    <row r="548" spans="1:17" ht="15.75" x14ac:dyDescent="0.25">
      <c r="A548" s="3" t="str">
        <f>HYPERLINK("https://heavenlyouthouse.com/products/thymes-goldleaf-petite-reed-diffuser", "https://heavenlyouthouse.com/products/thymes-goldleaf-petite-reed-diffuser")</f>
        <v>https://heavenlyouthouse.com/products/thymes-goldleaf-petite-reed-diffuser</v>
      </c>
      <c r="B548" s="3" t="str">
        <f>HYPERLINK("https://heavenlyouthouse.com/products/thymes-goldleaf-petite-reed-diffuser", "https://heavenlyouthouse.com/products/thymes-goldleaf-petite-reed-diffuser")</f>
        <v>https://heavenlyouthouse.com/products/thymes-goldleaf-petite-reed-diffuser</v>
      </c>
      <c r="C548" t="s">
        <v>1500</v>
      </c>
      <c r="D548" t="s">
        <v>155</v>
      </c>
      <c r="E548" s="3" t="str">
        <f>HYPERLINK("https://www.amazon.com/Thymes-Frasier-Petite-Reed-Diffuser/dp/B074KL8KPP/ref=sr_1_3?keywords=Thymes+Goldleaf+Petite+Reed+Diffuser&amp;qid=1695258755&amp;sr=8-3", "https://www.amazon.com/Thymes-Frasier-Petite-Reed-Diffuser/dp/B074KL8KPP/ref=sr_1_3?keywords=Thymes+Goldleaf+Petite+Reed+Diffuser&amp;qid=1695258755&amp;sr=8-3")</f>
        <v>https://www.amazon.com/Thymes-Frasier-Petite-Reed-Diffuser/dp/B074KL8KPP/ref=sr_1_3?keywords=Thymes+Goldleaf+Petite+Reed+Diffuser&amp;qid=1695258755&amp;sr=8-3</v>
      </c>
      <c r="F548" t="s">
        <v>156</v>
      </c>
      <c r="G548" t="e">
        <f ca="1">IMAGE("https://heavenlyouthouse.com/cdn/shop/products/thymes-goldleaf-reed-diffuser.jpg?v=1645481674")</f>
        <v>#NAME?</v>
      </c>
      <c r="H548" t="e">
        <f ca="1">IMAGE("https://m.media-amazon.com/images/I/71vTZnnZvCL._AC_UL320_.jpg")</f>
        <v>#NAME?</v>
      </c>
      <c r="I548" t="s">
        <v>1204</v>
      </c>
      <c r="J548">
        <v>46</v>
      </c>
      <c r="K548" s="2" t="s">
        <v>1485</v>
      </c>
      <c r="L548">
        <v>4.7</v>
      </c>
      <c r="M548">
        <v>479</v>
      </c>
      <c r="O548" t="s">
        <v>39</v>
      </c>
      <c r="P548" t="s">
        <v>39</v>
      </c>
      <c r="Q548" t="s">
        <v>1501</v>
      </c>
    </row>
    <row r="549" spans="1:17" ht="15.75" x14ac:dyDescent="0.25">
      <c r="A549" s="3" t="str">
        <f>HYPERLINK("https://heavenlyouthouse.com/products/thymes-frasier-fir-gift-set", "https://heavenlyouthouse.com/products/thymes-frasier-fir-gift-set")</f>
        <v>https://heavenlyouthouse.com/products/thymes-frasier-fir-gift-set</v>
      </c>
      <c r="B549" s="3" t="str">
        <f>HYPERLINK("https://heavenlyouthouse.com/products/thymes-frasier-fir-gift-set", "https://heavenlyouthouse.com/products/thymes-frasier-fir-gift-set")</f>
        <v>https://heavenlyouthouse.com/products/thymes-frasier-fir-gift-set</v>
      </c>
      <c r="C549" t="s">
        <v>1148</v>
      </c>
      <c r="D549" t="s">
        <v>304</v>
      </c>
      <c r="E549" s="3" t="str">
        <f>HYPERLINK("https://www.amazon.com/Thymes-Frasier-Cream-Travel-Candle/dp/B09HLB6J6X/ref=sr_1_1?keywords=Thymes+Frasier+Fir+Gift+Set&amp;qid=1695258724&amp;sr=8-1", "https://www.amazon.com/Thymes-Frasier-Cream-Travel-Candle/dp/B09HLB6J6X/ref=sr_1_1?keywords=Thymes+Frasier+Fir+Gift+Set&amp;qid=1695258724&amp;sr=8-1")</f>
        <v>https://www.amazon.com/Thymes-Frasier-Cream-Travel-Candle/dp/B09HLB6J6X/ref=sr_1_1?keywords=Thymes+Frasier+Fir+Gift+Set&amp;qid=1695258724&amp;sr=8-1</v>
      </c>
      <c r="F549" t="s">
        <v>305</v>
      </c>
      <c r="G549" t="e">
        <f ca="1">IMAGE("https://heavenlyouthouse.com/cdn/shop/products/Frasier-Fir-Gift-Set.jpg?v=1630017599")</f>
        <v>#NAME?</v>
      </c>
      <c r="H549" t="e">
        <f ca="1">IMAGE("https://m.media-amazon.com/images/I/71VpqyOQMCL._AC_UL320_.jpg")</f>
        <v>#NAME?</v>
      </c>
      <c r="I549" t="s">
        <v>829</v>
      </c>
      <c r="J549">
        <v>36</v>
      </c>
      <c r="K549" s="2" t="s">
        <v>1485</v>
      </c>
      <c r="L549">
        <v>5</v>
      </c>
      <c r="M549">
        <v>2</v>
      </c>
      <c r="O549" t="s">
        <v>39</v>
      </c>
      <c r="P549" t="s">
        <v>39</v>
      </c>
      <c r="Q549" t="s">
        <v>1149</v>
      </c>
    </row>
    <row r="550" spans="1:17" ht="15.75" x14ac:dyDescent="0.25">
      <c r="A550" s="3" t="str">
        <f>HYPERLINK("https://heavenlyouthouse.com/products/thymes-mandarin-coriander-hand-lotion", "https://heavenlyouthouse.com/products/thymes-mandarin-coriander-hand-lotion")</f>
        <v>https://heavenlyouthouse.com/products/thymes-mandarin-coriander-hand-lotion</v>
      </c>
      <c r="B550" s="3" t="str">
        <f>HYPERLINK("https://heavenlyouthouse.com/products/thymes-mandarin-coriander-hand-lotion", "https://heavenlyouthouse.com/products/thymes-mandarin-coriander-hand-lotion")</f>
        <v>https://heavenlyouthouse.com/products/thymes-mandarin-coriander-hand-lotion</v>
      </c>
      <c r="C550" t="s">
        <v>1325</v>
      </c>
      <c r="D550" t="s">
        <v>1518</v>
      </c>
      <c r="E550" s="3" t="str">
        <f>HYPERLINK("https://www.amazon.com/Thymes-Hand-Wash-Mandarin-Coriander/dp/B084C24Z33/ref=sr_1_3?keywords=Thymes+Mandarin+Coriander+Hand+Lotion&amp;qid=1695258777&amp;sr=8-3", "https://www.amazon.com/Thymes-Hand-Wash-Mandarin-Coriander/dp/B084C24Z33/ref=sr_1_3?keywords=Thymes+Mandarin+Coriander+Hand+Lotion&amp;qid=1695258777&amp;sr=8-3")</f>
        <v>https://www.amazon.com/Thymes-Hand-Wash-Mandarin-Coriander/dp/B084C24Z33/ref=sr_1_3?keywords=Thymes+Mandarin+Coriander+Hand+Lotion&amp;qid=1695258777&amp;sr=8-3</v>
      </c>
      <c r="F550" t="s">
        <v>1519</v>
      </c>
      <c r="G550" t="e">
        <f ca="1">IMAGE("https://heavenlyouthouse.com/cdn/shop/products/ThymesMandarinCorianderhandlotion.jpg?v=1613148852")</f>
        <v>#NAME?</v>
      </c>
      <c r="H550" t="e">
        <f ca="1">IMAGE("https://m.media-amazon.com/images/I/61tE6tRHL6L._AC_UL320_.jpg")</f>
        <v>#NAME?</v>
      </c>
      <c r="I550" t="s">
        <v>86</v>
      </c>
      <c r="J550">
        <v>16</v>
      </c>
      <c r="K550" s="2" t="s">
        <v>1520</v>
      </c>
      <c r="L550">
        <v>4.5999999999999996</v>
      </c>
      <c r="M550">
        <v>3441</v>
      </c>
      <c r="O550" t="s">
        <v>39</v>
      </c>
      <c r="P550" t="s">
        <v>39</v>
      </c>
      <c r="Q550" t="s">
        <v>1328</v>
      </c>
    </row>
    <row r="551" spans="1:17" ht="15.75" x14ac:dyDescent="0.25">
      <c r="A551" s="3" t="str">
        <f>HYPERLINK("https://heavenlyouthouse.com/products/lavender-hand-wash", "https://heavenlyouthouse.com/products/lavender-hand-wash")</f>
        <v>https://heavenlyouthouse.com/products/lavender-hand-wash</v>
      </c>
      <c r="B551" s="3" t="str">
        <f>HYPERLINK("https://heavenlyouthouse.com/products/lavender-hand-wash", "https://heavenlyouthouse.com/products/lavender-hand-wash")</f>
        <v>https://heavenlyouthouse.com/products/lavender-hand-wash</v>
      </c>
      <c r="C551" t="s">
        <v>540</v>
      </c>
      <c r="D551" t="s">
        <v>1351</v>
      </c>
      <c r="E551" s="3" t="str">
        <f>HYPERLINK("https://www.amazon.com/Thymes-Lavender-Hydrating-Liquid-Calming/dp/B002WJHL4A/ref=sr_1_1?keywords=Thymes+Lavender+Hand+Wash&amp;qid=1695258763&amp;sr=8-1", "https://www.amazon.com/Thymes-Lavender-Hydrating-Liquid-Calming/dp/B002WJHL4A/ref=sr_1_1?keywords=Thymes+Lavender+Hand+Wash&amp;qid=1695258763&amp;sr=8-1")</f>
        <v>https://www.amazon.com/Thymes-Lavender-Hydrating-Liquid-Calming/dp/B002WJHL4A/ref=sr_1_1?keywords=Thymes+Lavender+Hand+Wash&amp;qid=1695258763&amp;sr=8-1</v>
      </c>
      <c r="F551" t="s">
        <v>1352</v>
      </c>
      <c r="G551" t="e">
        <f ca="1">IMAGE("https://heavenlyouthouse.com/cdn/shop/products/thymes-lavender-hand-wash.jpg?v=1673017797")</f>
        <v>#NAME?</v>
      </c>
      <c r="H551" t="e">
        <f ca="1">IMAGE("https://m.media-amazon.com/images/I/51GiaCpIMgL._AC_UL320_.jpg")</f>
        <v>#NAME?</v>
      </c>
      <c r="I551" t="s">
        <v>86</v>
      </c>
      <c r="J551">
        <v>16</v>
      </c>
      <c r="K551" s="2" t="s">
        <v>1520</v>
      </c>
      <c r="L551">
        <v>4.5999999999999996</v>
      </c>
      <c r="M551">
        <v>3441</v>
      </c>
      <c r="O551" t="s">
        <v>39</v>
      </c>
      <c r="P551" t="s">
        <v>39</v>
      </c>
      <c r="Q551" t="s">
        <v>543</v>
      </c>
    </row>
    <row r="552" spans="1:17" ht="15.75" x14ac:dyDescent="0.25">
      <c r="A552" s="3" t="str">
        <f>HYPERLINK("https://heavenlyouthouse.com/products/thymes-olive-leaf-hand-lotion", "https://heavenlyouthouse.com/products/thymes-olive-leaf-hand-lotion")</f>
        <v>https://heavenlyouthouse.com/products/thymes-olive-leaf-hand-lotion</v>
      </c>
      <c r="B552" s="3" t="str">
        <f>HYPERLINK("https://heavenlyouthouse.com/products/thymes-olive-leaf-hand-lotion", "https://heavenlyouthouse.com/products/thymes-olive-leaf-hand-lotion")</f>
        <v>https://heavenlyouthouse.com/products/thymes-olive-leaf-hand-lotion</v>
      </c>
      <c r="C552" t="s">
        <v>546</v>
      </c>
      <c r="D552" t="s">
        <v>1521</v>
      </c>
      <c r="E552" s="3" t="str">
        <f>HYPERLINK("https://www.amazon.com/Thymes-Lotion-Moisturizing-Butter-Vitamin/dp/B002WJHK4Q/ref=sr_1_1?keywords=Thymes+Olive+Leaf+Hand+Lotion&amp;qid=1695258785&amp;sr=8-1", "https://www.amazon.com/Thymes-Lotion-Moisturizing-Butter-Vitamin/dp/B002WJHK4Q/ref=sr_1_1?keywords=Thymes+Olive+Leaf+Hand+Lotion&amp;qid=1695258785&amp;sr=8-1")</f>
        <v>https://www.amazon.com/Thymes-Lotion-Moisturizing-Butter-Vitamin/dp/B002WJHK4Q/ref=sr_1_1?keywords=Thymes+Olive+Leaf+Hand+Lotion&amp;qid=1695258785&amp;sr=8-1</v>
      </c>
      <c r="F552" t="s">
        <v>1522</v>
      </c>
      <c r="G552" t="e">
        <f ca="1">IMAGE("https://heavenlyouthouse.com/cdn/shop/products/Olive-Leaf-Hand-Lotion.jpg?v=1633124000")</f>
        <v>#NAME?</v>
      </c>
      <c r="H552" t="e">
        <f ca="1">IMAGE("https://m.media-amazon.com/images/I/51NCWtW6ObL._AC_UL320_.jpg")</f>
        <v>#NAME?</v>
      </c>
      <c r="I552" t="s">
        <v>86</v>
      </c>
      <c r="J552">
        <v>16</v>
      </c>
      <c r="K552" s="2" t="s">
        <v>1520</v>
      </c>
      <c r="L552">
        <v>4.5999999999999996</v>
      </c>
      <c r="M552">
        <v>2575</v>
      </c>
      <c r="O552" t="s">
        <v>39</v>
      </c>
      <c r="P552" t="s">
        <v>39</v>
      </c>
      <c r="Q552" t="s">
        <v>549</v>
      </c>
    </row>
    <row r="553" spans="1:17" ht="15.75" x14ac:dyDescent="0.25">
      <c r="A553" s="3" t="str">
        <f>HYPERLINK("https://heavenlyouthouse.com/products/thymes-olive-leaf-hand-wash", "https://heavenlyouthouse.com/products/thymes-olive-leaf-hand-wash")</f>
        <v>https://heavenlyouthouse.com/products/thymes-olive-leaf-hand-wash</v>
      </c>
      <c r="B553" s="3" t="str">
        <f>HYPERLINK("https://heavenlyouthouse.com/products/thymes-olive-leaf-hand-wash", "https://heavenlyouthouse.com/products/thymes-olive-leaf-hand-wash")</f>
        <v>https://heavenlyouthouse.com/products/thymes-olive-leaf-hand-wash</v>
      </c>
      <c r="C553" t="s">
        <v>876</v>
      </c>
      <c r="D553" t="s">
        <v>1521</v>
      </c>
      <c r="E553" s="3" t="str">
        <f>HYPERLINK("https://www.amazon.com/Thymes-Lotion-Moisturizing-Butter-Vitamin/dp/B002WJHK4Q/ref=sr_1_2?keywords=Thymes+Olive+Leaf+Hand+Wash&amp;qid=1695258785&amp;sr=8-2", "https://www.amazon.com/Thymes-Lotion-Moisturizing-Butter-Vitamin/dp/B002WJHK4Q/ref=sr_1_2?keywords=Thymes+Olive+Leaf+Hand+Wash&amp;qid=1695258785&amp;sr=8-2")</f>
        <v>https://www.amazon.com/Thymes-Lotion-Moisturizing-Butter-Vitamin/dp/B002WJHK4Q/ref=sr_1_2?keywords=Thymes+Olive+Leaf+Hand+Wash&amp;qid=1695258785&amp;sr=8-2</v>
      </c>
      <c r="F553" t="s">
        <v>1522</v>
      </c>
      <c r="G553" t="e">
        <f ca="1">IMAGE("https://heavenlyouthouse.com/cdn/shop/products/Olive-Leaf-Hand-Wash.jpg?v=1633123893")</f>
        <v>#NAME?</v>
      </c>
      <c r="H553" t="e">
        <f ca="1">IMAGE("https://m.media-amazon.com/images/I/51NCWtW6ObL._AC_UL320_.jpg")</f>
        <v>#NAME?</v>
      </c>
      <c r="I553" t="s">
        <v>86</v>
      </c>
      <c r="J553">
        <v>16</v>
      </c>
      <c r="K553" s="2" t="s">
        <v>1520</v>
      </c>
      <c r="L553">
        <v>4.5999999999999996</v>
      </c>
      <c r="M553">
        <v>2575</v>
      </c>
      <c r="O553" t="s">
        <v>39</v>
      </c>
      <c r="P553" t="s">
        <v>39</v>
      </c>
      <c r="Q553" t="s">
        <v>879</v>
      </c>
    </row>
    <row r="554" spans="1:17" ht="15.75" x14ac:dyDescent="0.25">
      <c r="A554" s="3" t="str">
        <f>HYPERLINK("https://heavenlyouthouse.com/products/thymes-olive-leaf-hand-wash", "https://heavenlyouthouse.com/products/thymes-olive-leaf-hand-wash")</f>
        <v>https://heavenlyouthouse.com/products/thymes-olive-leaf-hand-wash</v>
      </c>
      <c r="B554" s="3" t="str">
        <f>HYPERLINK("https://heavenlyouthouse.com/products/thymes-olive-leaf-hand-wash", "https://heavenlyouthouse.com/products/thymes-olive-leaf-hand-wash")</f>
        <v>https://heavenlyouthouse.com/products/thymes-olive-leaf-hand-wash</v>
      </c>
      <c r="C554" t="s">
        <v>876</v>
      </c>
      <c r="D554" t="s">
        <v>1354</v>
      </c>
      <c r="E554" s="3" t="str">
        <f>HYPERLINK("https://www.amazon.com/Thymes-Olive-Hydrating-Liquid-Natural/dp/B002WJHL54/ref=sr_1_1?keywords=Thymes+Olive+Leaf+Hand+Wash&amp;qid=1695258785&amp;sr=8-1", "https://www.amazon.com/Thymes-Olive-Hydrating-Liquid-Natural/dp/B002WJHL54/ref=sr_1_1?keywords=Thymes+Olive+Leaf+Hand+Wash&amp;qid=1695258785&amp;sr=8-1")</f>
        <v>https://www.amazon.com/Thymes-Olive-Hydrating-Liquid-Natural/dp/B002WJHL54/ref=sr_1_1?keywords=Thymes+Olive+Leaf+Hand+Wash&amp;qid=1695258785&amp;sr=8-1</v>
      </c>
      <c r="F554" t="s">
        <v>1355</v>
      </c>
      <c r="G554" t="e">
        <f ca="1">IMAGE("https://heavenlyouthouse.com/cdn/shop/products/Olive-Leaf-Hand-Wash.jpg?v=1633123893")</f>
        <v>#NAME?</v>
      </c>
      <c r="H554" t="e">
        <f ca="1">IMAGE("https://m.media-amazon.com/images/I/6119Dw7kcOL._AC_UL320_.jpg")</f>
        <v>#NAME?</v>
      </c>
      <c r="I554" t="s">
        <v>86</v>
      </c>
      <c r="J554">
        <v>16</v>
      </c>
      <c r="K554" s="2" t="s">
        <v>1520</v>
      </c>
      <c r="L554">
        <v>4.5999999999999996</v>
      </c>
      <c r="M554">
        <v>3441</v>
      </c>
      <c r="O554" t="s">
        <v>39</v>
      </c>
      <c r="P554" t="s">
        <v>39</v>
      </c>
      <c r="Q554" t="s">
        <v>879</v>
      </c>
    </row>
    <row r="555" spans="1:17" ht="15.75" x14ac:dyDescent="0.25">
      <c r="A555" s="3" t="str">
        <f>HYPERLINK("https://heavenlyouthouse.com/products/goldleaf-hand-lotion", "https://heavenlyouthouse.com/products/goldleaf-hand-lotion")</f>
        <v>https://heavenlyouthouse.com/products/goldleaf-hand-lotion</v>
      </c>
      <c r="B555" s="3" t="str">
        <f>HYPERLINK("https://heavenlyouthouse.com/products/goldleaf-hand-lotion", "https://heavenlyouthouse.com/products/goldleaf-hand-lotion")</f>
        <v>https://heavenlyouthouse.com/products/goldleaf-hand-lotion</v>
      </c>
      <c r="C555" t="s">
        <v>483</v>
      </c>
      <c r="D555" t="s">
        <v>1523</v>
      </c>
      <c r="E555" s="3" t="str">
        <f>HYPERLINK("https://www.amazon.com/Thymes-Hand-Lotion-Washed-Linen/dp/B084BRZ787/ref=sr_1_8?keywords=Thymes+Goldleaf+Hand+Lotion&amp;qid=1695258754&amp;sr=8-8", "https://www.amazon.com/Thymes-Hand-Lotion-Washed-Linen/dp/B084BRZ787/ref=sr_1_8?keywords=Thymes+Goldleaf+Hand+Lotion&amp;qid=1695258754&amp;sr=8-8")</f>
        <v>https://www.amazon.com/Thymes-Hand-Lotion-Washed-Linen/dp/B084BRZ787/ref=sr_1_8?keywords=Thymes+Goldleaf+Hand+Lotion&amp;qid=1695258754&amp;sr=8-8</v>
      </c>
      <c r="F555" t="s">
        <v>1524</v>
      </c>
      <c r="G555" t="e">
        <f ca="1">IMAGE("https://heavenlyouthouse.com/cdn/shop/products/thymes-goldleaf-perfumed-hand-lotion_dd6a35dd-31ad-4f2b-818b-b81ebf314b0f.png?v=1652276946")</f>
        <v>#NAME?</v>
      </c>
      <c r="H555" t="e">
        <f ca="1">IMAGE("https://m.media-amazon.com/images/I/61z-c6U-5TL._AC_UL320_.jpg")</f>
        <v>#NAME?</v>
      </c>
      <c r="I555" t="s">
        <v>86</v>
      </c>
      <c r="J555">
        <v>16</v>
      </c>
      <c r="K555" s="2" t="s">
        <v>1520</v>
      </c>
      <c r="L555">
        <v>4.5999999999999996</v>
      </c>
      <c r="M555">
        <v>235</v>
      </c>
      <c r="O555" t="s">
        <v>39</v>
      </c>
      <c r="P555" t="s">
        <v>484</v>
      </c>
      <c r="Q555" t="s">
        <v>485</v>
      </c>
    </row>
    <row r="556" spans="1:17" ht="15.75" x14ac:dyDescent="0.25">
      <c r="A556" s="3" t="str">
        <f>HYPERLINK("https://heavenlyouthouse.com/products/goldleaf-gardenia-hand-wash", "https://heavenlyouthouse.com/products/goldleaf-gardenia-hand-wash")</f>
        <v>https://heavenlyouthouse.com/products/goldleaf-gardenia-hand-wash</v>
      </c>
      <c r="B556" s="3" t="str">
        <f>HYPERLINK("https://heavenlyouthouse.com/products/goldleaf-gardenia-hand-wash", "https://heavenlyouthouse.com/products/goldleaf-gardenia-hand-wash")</f>
        <v>https://heavenlyouthouse.com/products/goldleaf-gardenia-hand-wash</v>
      </c>
      <c r="C556" t="s">
        <v>475</v>
      </c>
      <c r="D556" t="s">
        <v>1525</v>
      </c>
      <c r="E556" s="3" t="str">
        <f>HYPERLINK("https://www.amazon.com/Thymes-Goldleaf-Gardenia-Moisturizing-Vitamin/dp/B06WGWNKWC/ref=sr_1_3?keywords=Thymes+Goldleaf+Gardenia+Hand+Wash&amp;qid=1695258751&amp;sr=8-3", "https://www.amazon.com/Thymes-Goldleaf-Gardenia-Moisturizing-Vitamin/dp/B06WGWNKWC/ref=sr_1_3?keywords=Thymes+Goldleaf+Gardenia+Hand+Wash&amp;qid=1695258751&amp;sr=8-3")</f>
        <v>https://www.amazon.com/Thymes-Goldleaf-Gardenia-Moisturizing-Vitamin/dp/B06WGWNKWC/ref=sr_1_3?keywords=Thymes+Goldleaf+Gardenia+Hand+Wash&amp;qid=1695258751&amp;sr=8-3</v>
      </c>
      <c r="F556" t="s">
        <v>1526</v>
      </c>
      <c r="G556" t="e">
        <f ca="1">IMAGE("https://heavenlyouthouse.com/cdn/shop/files/thymes-goldleaf-gardenia-hand-wash.jpg?v=1685637533")</f>
        <v>#NAME?</v>
      </c>
      <c r="H556" t="e">
        <f ca="1">IMAGE("https://m.media-amazon.com/images/I/51qdn+MPnBL._AC_UL320_.jpg")</f>
        <v>#NAME?</v>
      </c>
      <c r="I556" t="s">
        <v>86</v>
      </c>
      <c r="J556">
        <v>16</v>
      </c>
      <c r="K556" s="2" t="s">
        <v>1520</v>
      </c>
      <c r="L556">
        <v>4.5999999999999996</v>
      </c>
      <c r="M556">
        <v>2575</v>
      </c>
      <c r="O556" t="s">
        <v>39</v>
      </c>
      <c r="P556" t="s">
        <v>39</v>
      </c>
      <c r="Q556" t="s">
        <v>478</v>
      </c>
    </row>
    <row r="557" spans="1:17" ht="15.75" x14ac:dyDescent="0.25">
      <c r="A557" s="3" t="str">
        <f>HYPERLINK("https://heavenlyouthouse.com/products/thymes-olive-leaf-hand-lotion", "https://heavenlyouthouse.com/products/thymes-olive-leaf-hand-lotion")</f>
        <v>https://heavenlyouthouse.com/products/thymes-olive-leaf-hand-lotion</v>
      </c>
      <c r="B557" s="3" t="str">
        <f>HYPERLINK("https://heavenlyouthouse.com/products/thymes-olive-leaf-hand-lotion", "https://heavenlyouthouse.com/products/thymes-olive-leaf-hand-lotion")</f>
        <v>https://heavenlyouthouse.com/products/thymes-olive-leaf-hand-lotion</v>
      </c>
      <c r="C557" t="s">
        <v>546</v>
      </c>
      <c r="D557" t="s">
        <v>1354</v>
      </c>
      <c r="E557" s="3" t="str">
        <f>HYPERLINK("https://www.amazon.com/Thymes-Olive-Hydrating-Liquid-Natural/dp/B002WJHL54/ref=sr_1_4?keywords=Thymes+Olive+Leaf+Hand+Lotion&amp;qid=1695258785&amp;sr=8-4", "https://www.amazon.com/Thymes-Olive-Hydrating-Liquid-Natural/dp/B002WJHL54/ref=sr_1_4?keywords=Thymes+Olive+Leaf+Hand+Lotion&amp;qid=1695258785&amp;sr=8-4")</f>
        <v>https://www.amazon.com/Thymes-Olive-Hydrating-Liquid-Natural/dp/B002WJHL54/ref=sr_1_4?keywords=Thymes+Olive+Leaf+Hand+Lotion&amp;qid=1695258785&amp;sr=8-4</v>
      </c>
      <c r="F557" t="s">
        <v>1355</v>
      </c>
      <c r="G557" t="e">
        <f ca="1">IMAGE("https://heavenlyouthouse.com/cdn/shop/products/Olive-Leaf-Hand-Lotion.jpg?v=1633124000")</f>
        <v>#NAME?</v>
      </c>
      <c r="H557" t="e">
        <f ca="1">IMAGE("https://m.media-amazon.com/images/I/6119Dw7kcOL._AC_UL320_.jpg")</f>
        <v>#NAME?</v>
      </c>
      <c r="I557" t="s">
        <v>86</v>
      </c>
      <c r="J557">
        <v>16</v>
      </c>
      <c r="K557" s="2" t="s">
        <v>1520</v>
      </c>
      <c r="L557">
        <v>4.5999999999999996</v>
      </c>
      <c r="M557">
        <v>3441</v>
      </c>
      <c r="O557" t="s">
        <v>39</v>
      </c>
      <c r="P557" t="s">
        <v>39</v>
      </c>
      <c r="Q557" t="s">
        <v>549</v>
      </c>
    </row>
    <row r="558" spans="1:17" ht="15.75" x14ac:dyDescent="0.25">
      <c r="A558" s="3" t="str">
        <f>HYPERLINK("https://heavenlyouthouse.com/products/thymes-mandarin-coriander-hand-lotion", "https://heavenlyouthouse.com/products/thymes-mandarin-coriander-hand-lotion")</f>
        <v>https://heavenlyouthouse.com/products/thymes-mandarin-coriander-hand-lotion</v>
      </c>
      <c r="B558" s="3" t="str">
        <f>HYPERLINK("https://heavenlyouthouse.com/products/thymes-mandarin-coriander-hand-lotion", "https://heavenlyouthouse.com/products/thymes-mandarin-coriander-hand-lotion")</f>
        <v>https://heavenlyouthouse.com/products/thymes-mandarin-coriander-hand-lotion</v>
      </c>
      <c r="C558" t="s">
        <v>1325</v>
      </c>
      <c r="D558" t="s">
        <v>1527</v>
      </c>
      <c r="E558" s="3" t="str">
        <f>HYPERLINK("https://www.amazon.com/Thymes-Hand-Lotion-Mandarin-Coriander/dp/B084BVKTZ8/ref=sr_1_1?keywords=Thymes+Mandarin+Coriander+Hand+Lotion&amp;qid=1695258777&amp;sr=8-1", "https://www.amazon.com/Thymes-Hand-Lotion-Mandarin-Coriander/dp/B084BVKTZ8/ref=sr_1_1?keywords=Thymes+Mandarin+Coriander+Hand+Lotion&amp;qid=1695258777&amp;sr=8-1")</f>
        <v>https://www.amazon.com/Thymes-Hand-Lotion-Mandarin-Coriander/dp/B084BVKTZ8/ref=sr_1_1?keywords=Thymes+Mandarin+Coriander+Hand+Lotion&amp;qid=1695258777&amp;sr=8-1</v>
      </c>
      <c r="F558" t="s">
        <v>1528</v>
      </c>
      <c r="G558" t="e">
        <f ca="1">IMAGE("https://heavenlyouthouse.com/cdn/shop/products/ThymesMandarinCorianderhandlotion.jpg?v=1613148852")</f>
        <v>#NAME?</v>
      </c>
      <c r="H558" t="e">
        <f ca="1">IMAGE("https://m.media-amazon.com/images/I/61arH0j-G9L._AC_UL320_.jpg")</f>
        <v>#NAME?</v>
      </c>
      <c r="I558" t="s">
        <v>86</v>
      </c>
      <c r="J558">
        <v>16</v>
      </c>
      <c r="K558" s="2" t="s">
        <v>1520</v>
      </c>
      <c r="L558">
        <v>4.5999999999999996</v>
      </c>
      <c r="M558">
        <v>235</v>
      </c>
      <c r="O558" t="s">
        <v>39</v>
      </c>
      <c r="P558" t="s">
        <v>39</v>
      </c>
      <c r="Q558" t="s">
        <v>1328</v>
      </c>
    </row>
    <row r="559" spans="1:17" ht="15.75" x14ac:dyDescent="0.25">
      <c r="A559" s="3" t="str">
        <f>HYPERLINK("https://heavenlyouthouse.com/products/goldleaf-hand-lotion", "https://heavenlyouthouse.com/products/goldleaf-hand-lotion")</f>
        <v>https://heavenlyouthouse.com/products/goldleaf-hand-lotion</v>
      </c>
      <c r="B559" s="3" t="str">
        <f>HYPERLINK("https://heavenlyouthouse.com/products/goldleaf-hand-lotion", "https://heavenlyouthouse.com/products/goldleaf-hand-lotion")</f>
        <v>https://heavenlyouthouse.com/products/goldleaf-hand-lotion</v>
      </c>
      <c r="C559" t="s">
        <v>483</v>
      </c>
      <c r="D559" t="s">
        <v>1348</v>
      </c>
      <c r="E559" s="3" t="str">
        <f>HYPERLINK("https://www.amazon.com/Thymes-Goldleaf-Hydrating-Liquid-Elegant/dp/B003718H1I/ref=sr_1_7?keywords=Thymes+Goldleaf+Hand+Lotion&amp;qid=1695258754&amp;sr=8-7", "https://www.amazon.com/Thymes-Goldleaf-Hydrating-Liquid-Elegant/dp/B003718H1I/ref=sr_1_7?keywords=Thymes+Goldleaf+Hand+Lotion&amp;qid=1695258754&amp;sr=8-7")</f>
        <v>https://www.amazon.com/Thymes-Goldleaf-Hydrating-Liquid-Elegant/dp/B003718H1I/ref=sr_1_7?keywords=Thymes+Goldleaf+Hand+Lotion&amp;qid=1695258754&amp;sr=8-7</v>
      </c>
      <c r="F559" t="s">
        <v>1349</v>
      </c>
      <c r="G559" t="e">
        <f ca="1">IMAGE("https://heavenlyouthouse.com/cdn/shop/products/thymes-goldleaf-perfumed-hand-lotion_dd6a35dd-31ad-4f2b-818b-b81ebf314b0f.png?v=1652276946")</f>
        <v>#NAME?</v>
      </c>
      <c r="H559" t="e">
        <f ca="1">IMAGE("https://m.media-amazon.com/images/I/51+XE0ZcrJL._AC_UL320_.jpg")</f>
        <v>#NAME?</v>
      </c>
      <c r="I559" t="s">
        <v>86</v>
      </c>
      <c r="J559">
        <v>16</v>
      </c>
      <c r="K559" s="2" t="s">
        <v>1520</v>
      </c>
      <c r="L559">
        <v>4.5999999999999996</v>
      </c>
      <c r="M559">
        <v>3441</v>
      </c>
      <c r="O559" t="s">
        <v>39</v>
      </c>
      <c r="P559" t="s">
        <v>484</v>
      </c>
      <c r="Q559" t="s">
        <v>485</v>
      </c>
    </row>
    <row r="560" spans="1:17" ht="15.75" x14ac:dyDescent="0.25">
      <c r="A560" s="3" t="str">
        <f>HYPERLINK("https://heavenlyouthouse.com/products/goldleaf-hand-lotion", "https://heavenlyouthouse.com/products/goldleaf-hand-lotion")</f>
        <v>https://heavenlyouthouse.com/products/goldleaf-hand-lotion</v>
      </c>
      <c r="B560" s="3" t="str">
        <f>HYPERLINK("https://heavenlyouthouse.com/products/goldleaf-hand-lotion", "https://heavenlyouthouse.com/products/goldleaf-hand-lotion")</f>
        <v>https://heavenlyouthouse.com/products/goldleaf-hand-lotion</v>
      </c>
      <c r="C560" t="s">
        <v>483</v>
      </c>
      <c r="D560" t="s">
        <v>1529</v>
      </c>
      <c r="E560" s="3" t="str">
        <f>HYPERLINK("https://www.amazon.com/Thymes-Goldleaf-Moisturizing-Vitamin-Elegant/dp/B07415CBKY/ref=sr_1_1?keywords=Thymes+Goldleaf+Hand+Lotion&amp;qid=1695258754&amp;sr=8-1", "https://www.amazon.com/Thymes-Goldleaf-Moisturizing-Vitamin-Elegant/dp/B07415CBKY/ref=sr_1_1?keywords=Thymes+Goldleaf+Hand+Lotion&amp;qid=1695258754&amp;sr=8-1")</f>
        <v>https://www.amazon.com/Thymes-Goldleaf-Moisturizing-Vitamin-Elegant/dp/B07415CBKY/ref=sr_1_1?keywords=Thymes+Goldleaf+Hand+Lotion&amp;qid=1695258754&amp;sr=8-1</v>
      </c>
      <c r="F560" t="s">
        <v>1530</v>
      </c>
      <c r="G560" t="e">
        <f ca="1">IMAGE("https://heavenlyouthouse.com/cdn/shop/products/thymes-goldleaf-perfumed-hand-lotion_dd6a35dd-31ad-4f2b-818b-b81ebf314b0f.png?v=1652276946")</f>
        <v>#NAME?</v>
      </c>
      <c r="H560" t="e">
        <f ca="1">IMAGE("https://m.media-amazon.com/images/I/51SUfEQv9GL._AC_UL320_.jpg")</f>
        <v>#NAME?</v>
      </c>
      <c r="I560" t="s">
        <v>86</v>
      </c>
      <c r="J560">
        <v>16</v>
      </c>
      <c r="K560" s="2" t="s">
        <v>1520</v>
      </c>
      <c r="L560">
        <v>4.5999999999999996</v>
      </c>
      <c r="M560">
        <v>2575</v>
      </c>
      <c r="O560" t="s">
        <v>39</v>
      </c>
      <c r="P560" t="s">
        <v>484</v>
      </c>
      <c r="Q560" t="s">
        <v>485</v>
      </c>
    </row>
    <row r="561" spans="1:17" ht="15.75" x14ac:dyDescent="0.25">
      <c r="A561" s="3" t="str">
        <f>HYPERLINK("https://heavenlyouthouse.com/products/thymes-lemon-leaf-basil-hand-lotion", "https://heavenlyouthouse.com/products/thymes-lemon-leaf-basil-hand-lotion")</f>
        <v>https://heavenlyouthouse.com/products/thymes-lemon-leaf-basil-hand-lotion</v>
      </c>
      <c r="B561" s="3" t="str">
        <f>HYPERLINK("https://heavenlyouthouse.com/products/thymes-lemon-leaf-basil-hand-lotion", "https://heavenlyouthouse.com/products/thymes-lemon-leaf-basil-hand-lotion")</f>
        <v>https://heavenlyouthouse.com/products/thymes-lemon-leaf-basil-hand-lotion</v>
      </c>
      <c r="C561" t="s">
        <v>726</v>
      </c>
      <c r="D561" t="s">
        <v>1531</v>
      </c>
      <c r="E561" s="3" t="str">
        <f>HYPERLINK("https://www.amazon.com/Thymes-Hand-Lotion-Lemon-Leaf/dp/B084BTV8FY/ref=sr_1_1?keywords=Thymes+Lemon+Leaf+Hand+Lotion&amp;qid=1695258774&amp;sr=8-1", "https://www.amazon.com/Thymes-Hand-Lotion-Lemon-Leaf/dp/B084BTV8FY/ref=sr_1_1?keywords=Thymes+Lemon+Leaf+Hand+Lotion&amp;qid=1695258774&amp;sr=8-1")</f>
        <v>https://www.amazon.com/Thymes-Hand-Lotion-Lemon-Leaf/dp/B084BTV8FY/ref=sr_1_1?keywords=Thymes+Lemon+Leaf+Hand+Lotion&amp;qid=1695258774&amp;sr=8-1</v>
      </c>
      <c r="F561" t="s">
        <v>1532</v>
      </c>
      <c r="G561" t="e">
        <f ca="1">IMAGE("https://heavenlyouthouse.com/cdn/shop/products/ThymesLemonLeafhandlotion.jpg?v=1613092448")</f>
        <v>#NAME?</v>
      </c>
      <c r="H561" t="e">
        <f ca="1">IMAGE("https://m.media-amazon.com/images/I/61jBKHR91aL._AC_UL320_.jpg")</f>
        <v>#NAME?</v>
      </c>
      <c r="I561" t="s">
        <v>86</v>
      </c>
      <c r="J561">
        <v>16</v>
      </c>
      <c r="K561" s="2" t="s">
        <v>1520</v>
      </c>
      <c r="L561">
        <v>4.5999999999999996</v>
      </c>
      <c r="M561">
        <v>235</v>
      </c>
      <c r="O561" t="s">
        <v>39</v>
      </c>
      <c r="P561" t="s">
        <v>39</v>
      </c>
      <c r="Q561" t="s">
        <v>729</v>
      </c>
    </row>
    <row r="562" spans="1:17" ht="15.75" x14ac:dyDescent="0.25">
      <c r="A562" s="3" t="str">
        <f>HYPERLINK("https://heavenlyouthouse.com/products/kimono-rose-hand-wash", "https://heavenlyouthouse.com/products/kimono-rose-hand-wash")</f>
        <v>https://heavenlyouthouse.com/products/kimono-rose-hand-wash</v>
      </c>
      <c r="B562" s="3" t="str">
        <f>HYPERLINK("https://heavenlyouthouse.com/products/kimono-rose-hand-wash", "https://heavenlyouthouse.com/products/kimono-rose-hand-wash")</f>
        <v>https://heavenlyouthouse.com/products/kimono-rose-hand-wash</v>
      </c>
      <c r="C562" t="s">
        <v>544</v>
      </c>
      <c r="D562" t="s">
        <v>1360</v>
      </c>
      <c r="E562" s="3" t="str">
        <f>HYPERLINK("https://www.amazon.com/Thymes-Kimono-Hydrating-Liquid-Vanilla/dp/B0746Q1XL3/ref=sr_1_1?keywords=Thymes+Kimono+Rose+Hand+Wash&amp;qid=1695258755&amp;sr=8-1", "https://www.amazon.com/Thymes-Kimono-Hydrating-Liquid-Vanilla/dp/B0746Q1XL3/ref=sr_1_1?keywords=Thymes+Kimono+Rose+Hand+Wash&amp;qid=1695258755&amp;sr=8-1")</f>
        <v>https://www.amazon.com/Thymes-Kimono-Hydrating-Liquid-Vanilla/dp/B0746Q1XL3/ref=sr_1_1?keywords=Thymes+Kimono+Rose+Hand+Wash&amp;qid=1695258755&amp;sr=8-1</v>
      </c>
      <c r="F562" t="s">
        <v>1361</v>
      </c>
      <c r="G562" t="e">
        <f ca="1">IMAGE("https://heavenlyouthouse.com/cdn/shop/products/handwash_18174433-5a85-4ea6-ac07-76353b67db0d.jpg?v=1588107247")</f>
        <v>#NAME?</v>
      </c>
      <c r="H562" t="e">
        <f ca="1">IMAGE("https://m.media-amazon.com/images/I/61F3lPsq1QL._AC_UL320_.jpg")</f>
        <v>#NAME?</v>
      </c>
      <c r="I562" t="s">
        <v>86</v>
      </c>
      <c r="J562">
        <v>16</v>
      </c>
      <c r="K562" s="2" t="s">
        <v>1520</v>
      </c>
      <c r="L562">
        <v>4.5999999999999996</v>
      </c>
      <c r="M562">
        <v>3441</v>
      </c>
      <c r="O562" t="s">
        <v>39</v>
      </c>
      <c r="P562" t="s">
        <v>39</v>
      </c>
      <c r="Q562" t="s">
        <v>545</v>
      </c>
    </row>
    <row r="563" spans="1:17" ht="15.75" x14ac:dyDescent="0.25">
      <c r="A563" s="3" t="str">
        <f>HYPERLINK("https://heavenlyouthouse.com/products/kimono-rose-hand-wash", "https://heavenlyouthouse.com/products/kimono-rose-hand-wash")</f>
        <v>https://heavenlyouthouse.com/products/kimono-rose-hand-wash</v>
      </c>
      <c r="B563" s="3" t="str">
        <f>HYPERLINK("https://heavenlyouthouse.com/products/kimono-rose-hand-wash", "https://heavenlyouthouse.com/products/kimono-rose-hand-wash")</f>
        <v>https://heavenlyouthouse.com/products/kimono-rose-hand-wash</v>
      </c>
      <c r="C563" t="s">
        <v>544</v>
      </c>
      <c r="D563" t="s">
        <v>1533</v>
      </c>
      <c r="E563" s="3" t="str">
        <f>HYPERLINK("https://www.amazon.com/Thymes-Kimono-Moisturizing-Vitamin-Vanilla/dp/B002WJHL18/ref=sr_1_2?keywords=Thymes+Kimono+Rose+Hand+Wash&amp;qid=1695258755&amp;sr=8-2", "https://www.amazon.com/Thymes-Kimono-Moisturizing-Vitamin-Vanilla/dp/B002WJHL18/ref=sr_1_2?keywords=Thymes+Kimono+Rose+Hand+Wash&amp;qid=1695258755&amp;sr=8-2")</f>
        <v>https://www.amazon.com/Thymes-Kimono-Moisturizing-Vitamin-Vanilla/dp/B002WJHL18/ref=sr_1_2?keywords=Thymes+Kimono+Rose+Hand+Wash&amp;qid=1695258755&amp;sr=8-2</v>
      </c>
      <c r="F563" t="s">
        <v>1534</v>
      </c>
      <c r="G563" t="e">
        <f ca="1">IMAGE("https://heavenlyouthouse.com/cdn/shop/products/handwash_18174433-5a85-4ea6-ac07-76353b67db0d.jpg?v=1588107247")</f>
        <v>#NAME?</v>
      </c>
      <c r="H563" t="e">
        <f ca="1">IMAGE("https://m.media-amazon.com/images/I/51UY1KoU9dL._AC_UL320_.jpg")</f>
        <v>#NAME?</v>
      </c>
      <c r="I563" t="s">
        <v>86</v>
      </c>
      <c r="J563">
        <v>16</v>
      </c>
      <c r="K563" s="2" t="s">
        <v>1520</v>
      </c>
      <c r="L563">
        <v>4.5999999999999996</v>
      </c>
      <c r="M563">
        <v>2575</v>
      </c>
      <c r="O563" t="s">
        <v>39</v>
      </c>
      <c r="P563" t="s">
        <v>39</v>
      </c>
      <c r="Q563" t="s">
        <v>545</v>
      </c>
    </row>
    <row r="564" spans="1:17" ht="15.75" x14ac:dyDescent="0.25">
      <c r="A564" s="3" t="str">
        <f>HYPERLINK("https://heavenlyouthouse.com/products/thymes-lemon-leaf-basil-hand-lotion", "https://heavenlyouthouse.com/products/thymes-lemon-leaf-basil-hand-lotion")</f>
        <v>https://heavenlyouthouse.com/products/thymes-lemon-leaf-basil-hand-lotion</v>
      </c>
      <c r="B564" s="3" t="str">
        <f>HYPERLINK("https://heavenlyouthouse.com/products/thymes-lemon-leaf-basil-hand-lotion", "https://heavenlyouthouse.com/products/thymes-lemon-leaf-basil-hand-lotion")</f>
        <v>https://heavenlyouthouse.com/products/thymes-lemon-leaf-basil-hand-lotion</v>
      </c>
      <c r="C564" t="s">
        <v>726</v>
      </c>
      <c r="D564" t="s">
        <v>1535</v>
      </c>
      <c r="E564" s="3" t="str">
        <f>HYPERLINK("https://www.amazon.com/Thymes-Hand-Wash-Lemon-Leaf/dp/B084BWQP7C/ref=sr_1_3?keywords=Thymes+Lemon+Leaf+Hand+Lotion&amp;qid=1695258774&amp;sr=8-3", "https://www.amazon.com/Thymes-Hand-Wash-Lemon-Leaf/dp/B084BWQP7C/ref=sr_1_3?keywords=Thymes+Lemon+Leaf+Hand+Lotion&amp;qid=1695258774&amp;sr=8-3")</f>
        <v>https://www.amazon.com/Thymes-Hand-Wash-Lemon-Leaf/dp/B084BWQP7C/ref=sr_1_3?keywords=Thymes+Lemon+Leaf+Hand+Lotion&amp;qid=1695258774&amp;sr=8-3</v>
      </c>
      <c r="F564" t="s">
        <v>1536</v>
      </c>
      <c r="G564" t="e">
        <f ca="1">IMAGE("https://heavenlyouthouse.com/cdn/shop/products/ThymesLemonLeafhandlotion.jpg?v=1613092448")</f>
        <v>#NAME?</v>
      </c>
      <c r="H564" t="e">
        <f ca="1">IMAGE("https://m.media-amazon.com/images/I/61fhTHfe20L._AC_UL320_.jpg")</f>
        <v>#NAME?</v>
      </c>
      <c r="I564" t="s">
        <v>86</v>
      </c>
      <c r="J564">
        <v>16</v>
      </c>
      <c r="K564" s="2" t="s">
        <v>1520</v>
      </c>
      <c r="L564">
        <v>4.5999999999999996</v>
      </c>
      <c r="M564">
        <v>3441</v>
      </c>
      <c r="O564" t="s">
        <v>39</v>
      </c>
      <c r="P564" t="s">
        <v>39</v>
      </c>
      <c r="Q564" t="s">
        <v>729</v>
      </c>
    </row>
    <row r="565" spans="1:17" ht="15.75" x14ac:dyDescent="0.25">
      <c r="A565" s="3" t="str">
        <f>HYPERLINK("https://heavenlyouthouse.com/products/thymes-washed-linen-hand-lotion", "https://heavenlyouthouse.com/products/thymes-washed-linen-hand-lotion")</f>
        <v>https://heavenlyouthouse.com/products/thymes-washed-linen-hand-lotion</v>
      </c>
      <c r="B565" s="3" t="str">
        <f>HYPERLINK("https://heavenlyouthouse.com/products/thymes-washed-linen-hand-lotion", "https://heavenlyouthouse.com/products/thymes-washed-linen-hand-lotion")</f>
        <v>https://heavenlyouthouse.com/products/thymes-washed-linen-hand-lotion</v>
      </c>
      <c r="C565" t="s">
        <v>724</v>
      </c>
      <c r="D565" t="s">
        <v>1523</v>
      </c>
      <c r="E565" s="3"/>
      <c r="F565" t="s">
        <v>1524</v>
      </c>
      <c r="G565" t="e">
        <f ca="1">IMAGE("https://heavenlyouthouse.com/cdn/shop/products/ThymesWashedLinenhandlotion.jpg?v=1613174357")</f>
        <v>#NAME?</v>
      </c>
      <c r="H565" t="e">
        <f ca="1">IMAGE("https://m.media-amazon.com/images/I/61z-c6U-5TL._AC_UL320_.jpg")</f>
        <v>#NAME?</v>
      </c>
      <c r="I565" t="s">
        <v>86</v>
      </c>
      <c r="J565">
        <v>16</v>
      </c>
      <c r="K565" s="2" t="s">
        <v>1520</v>
      </c>
      <c r="L565">
        <v>4.5999999999999996</v>
      </c>
      <c r="M565">
        <v>235</v>
      </c>
      <c r="O565" t="s">
        <v>39</v>
      </c>
      <c r="P565" t="s">
        <v>39</v>
      </c>
      <c r="Q565" t="s">
        <v>725</v>
      </c>
    </row>
    <row r="566" spans="1:17" ht="15.75" x14ac:dyDescent="0.25">
      <c r="A566" s="3" t="str">
        <f>HYPERLINK("https://heavenlyouthouse.com/products/thymes-washed-linen-hand-lotion", "https://heavenlyouthouse.com/products/thymes-washed-linen-hand-lotion")</f>
        <v>https://heavenlyouthouse.com/products/thymes-washed-linen-hand-lotion</v>
      </c>
      <c r="B566" s="3" t="str">
        <f>HYPERLINK("https://heavenlyouthouse.com/products/thymes-washed-linen-hand-lotion", "https://heavenlyouthouse.com/products/thymes-washed-linen-hand-lotion")</f>
        <v>https://heavenlyouthouse.com/products/thymes-washed-linen-hand-lotion</v>
      </c>
      <c r="C566" t="s">
        <v>724</v>
      </c>
      <c r="D566" t="s">
        <v>1523</v>
      </c>
      <c r="E566" s="3" t="str">
        <f>HYPERLINK("https://www.amazon.com/Thymes-Hand-Lotion-Washed-Linen/dp/B084BRZ787/ref=sr_1_5?keywords=Thymes+Washed+Linen+Hand+Lotion&amp;qid=1695258808&amp;sr=8-5", "https://www.amazon.com/Thymes-Hand-Lotion-Washed-Linen/dp/B084BRZ787/ref=sr_1_5?keywords=Thymes+Washed+Linen+Hand+Lotion&amp;qid=1695258808&amp;sr=8-5")</f>
        <v>https://www.amazon.com/Thymes-Hand-Lotion-Washed-Linen/dp/B084BRZ787/ref=sr_1_5?keywords=Thymes+Washed+Linen+Hand+Lotion&amp;qid=1695258808&amp;sr=8-5</v>
      </c>
      <c r="F566" t="s">
        <v>1524</v>
      </c>
      <c r="G566" t="e">
        <f ca="1">IMAGE("https://heavenlyouthouse.com/cdn/shop/products/ThymesWashedLinenhandlotion.jpg?v=1613174357")</f>
        <v>#NAME?</v>
      </c>
      <c r="H566" t="e">
        <f ca="1">IMAGE("https://m.media-amazon.com/images/I/61z-c6U-5TL._AC_UL320_.jpg")</f>
        <v>#NAME?</v>
      </c>
      <c r="I566" t="s">
        <v>86</v>
      </c>
      <c r="J566">
        <v>16</v>
      </c>
      <c r="K566" s="2" t="s">
        <v>1520</v>
      </c>
      <c r="L566">
        <v>4.5999999999999996</v>
      </c>
      <c r="M566">
        <v>235</v>
      </c>
      <c r="O566" t="s">
        <v>39</v>
      </c>
      <c r="P566" t="s">
        <v>39</v>
      </c>
      <c r="Q566" t="s">
        <v>725</v>
      </c>
    </row>
    <row r="567" spans="1:17" ht="15.75" x14ac:dyDescent="0.25">
      <c r="A567" s="3" t="str">
        <f>HYPERLINK("https://heavenlyouthouse.com/products/lavender-hand-wash", "https://heavenlyouthouse.com/products/lavender-hand-wash")</f>
        <v>https://heavenlyouthouse.com/products/lavender-hand-wash</v>
      </c>
      <c r="B567" s="3" t="str">
        <f>HYPERLINK("https://heavenlyouthouse.com/products/lavender-hand-wash", "https://heavenlyouthouse.com/products/lavender-hand-wash")</f>
        <v>https://heavenlyouthouse.com/products/lavender-hand-wash</v>
      </c>
      <c r="C567" t="s">
        <v>540</v>
      </c>
      <c r="D567" t="s">
        <v>1537</v>
      </c>
      <c r="E567" s="3" t="str">
        <f>HYPERLINK("https://www.amazon.com/Thymes-Lavender-Hand-Lotion-Pump/dp/B002WJHL1I/ref=sr_1_4?keywords=Thymes+Lavender+Hand+Wash&amp;qid=1695258763&amp;sr=8-4", "https://www.amazon.com/Thymes-Lavender-Hand-Lotion-Pump/dp/B002WJHL1I/ref=sr_1_4?keywords=Thymes+Lavender+Hand+Wash&amp;qid=1695258763&amp;sr=8-4")</f>
        <v>https://www.amazon.com/Thymes-Lavender-Hand-Lotion-Pump/dp/B002WJHL1I/ref=sr_1_4?keywords=Thymes+Lavender+Hand+Wash&amp;qid=1695258763&amp;sr=8-4</v>
      </c>
      <c r="F567" t="s">
        <v>1538</v>
      </c>
      <c r="G567" t="e">
        <f ca="1">IMAGE("https://heavenlyouthouse.com/cdn/shop/products/thymes-lavender-hand-wash.jpg?v=1673017797")</f>
        <v>#NAME?</v>
      </c>
      <c r="H567" t="e">
        <f ca="1">IMAGE("https://m.media-amazon.com/images/I/51fRQBdaO1L._AC_UL320_.jpg")</f>
        <v>#NAME?</v>
      </c>
      <c r="I567" t="s">
        <v>86</v>
      </c>
      <c r="J567">
        <v>16</v>
      </c>
      <c r="K567" s="2" t="s">
        <v>1520</v>
      </c>
      <c r="L567">
        <v>4.5999999999999996</v>
      </c>
      <c r="M567">
        <v>2575</v>
      </c>
      <c r="O567" t="s">
        <v>39</v>
      </c>
      <c r="P567" t="s">
        <v>39</v>
      </c>
      <c r="Q567" t="s">
        <v>543</v>
      </c>
    </row>
    <row r="568" spans="1:17" ht="15.75" x14ac:dyDescent="0.25">
      <c r="A568" s="3" t="str">
        <f>HYPERLINK("https://heavenlyouthouse.com/products/thymes-olive-leaf-hand-lotion", "https://heavenlyouthouse.com/products/thymes-olive-leaf-hand-lotion")</f>
        <v>https://heavenlyouthouse.com/products/thymes-olive-leaf-hand-lotion</v>
      </c>
      <c r="B568" s="3" t="str">
        <f>HYPERLINK("https://heavenlyouthouse.com/products/thymes-olive-leaf-hand-lotion", "https://heavenlyouthouse.com/products/thymes-olive-leaf-hand-lotion")</f>
        <v>https://heavenlyouthouse.com/products/thymes-olive-leaf-hand-lotion</v>
      </c>
      <c r="C568" t="s">
        <v>546</v>
      </c>
      <c r="D568" t="s">
        <v>1531</v>
      </c>
      <c r="E568" s="3" t="str">
        <f>HYPERLINK("https://www.amazon.com/Thymes-Hand-Lotion-Lemon-Leaf/dp/B084BTV8FY/ref=sr_1_6?keywords=Thymes+Olive+Leaf+Hand+Lotion&amp;qid=1695258785&amp;sr=8-6", "https://www.amazon.com/Thymes-Hand-Lotion-Lemon-Leaf/dp/B084BTV8FY/ref=sr_1_6?keywords=Thymes+Olive+Leaf+Hand+Lotion&amp;qid=1695258785&amp;sr=8-6")</f>
        <v>https://www.amazon.com/Thymes-Hand-Lotion-Lemon-Leaf/dp/B084BTV8FY/ref=sr_1_6?keywords=Thymes+Olive+Leaf+Hand+Lotion&amp;qid=1695258785&amp;sr=8-6</v>
      </c>
      <c r="F568" t="s">
        <v>1532</v>
      </c>
      <c r="G568" t="e">
        <f ca="1">IMAGE("https://heavenlyouthouse.com/cdn/shop/products/Olive-Leaf-Hand-Lotion.jpg?v=1633124000")</f>
        <v>#NAME?</v>
      </c>
      <c r="H568" t="e">
        <f ca="1">IMAGE("https://m.media-amazon.com/images/I/61jBKHR91aL._AC_UL320_.jpg")</f>
        <v>#NAME?</v>
      </c>
      <c r="I568" t="s">
        <v>86</v>
      </c>
      <c r="J568">
        <v>16</v>
      </c>
      <c r="K568" s="2" t="s">
        <v>1520</v>
      </c>
      <c r="L568">
        <v>4.5999999999999996</v>
      </c>
      <c r="M568">
        <v>235</v>
      </c>
      <c r="O568" t="s">
        <v>39</v>
      </c>
      <c r="P568" t="s">
        <v>39</v>
      </c>
      <c r="Q568" t="s">
        <v>549</v>
      </c>
    </row>
    <row r="569" spans="1:17" ht="15.75" x14ac:dyDescent="0.25">
      <c r="A569" s="3" t="str">
        <f>HYPERLINK("https://heavenlyouthouse.com/products/thymes-lemon-leaf-basil-hand-wash", "https://heavenlyouthouse.com/products/thymes-lemon-leaf-basil-hand-wash")</f>
        <v>https://heavenlyouthouse.com/products/thymes-lemon-leaf-basil-hand-wash</v>
      </c>
      <c r="B569" s="3" t="str">
        <f>HYPERLINK("https://heavenlyouthouse.com/products/thymes-lemon-leaf-basil-hand-wash", "https://heavenlyouthouse.com/products/thymes-lemon-leaf-basil-hand-wash")</f>
        <v>https://heavenlyouthouse.com/products/thymes-lemon-leaf-basil-hand-wash</v>
      </c>
      <c r="C569" t="s">
        <v>1321</v>
      </c>
      <c r="D569" t="s">
        <v>1531</v>
      </c>
      <c r="E569" s="3" t="str">
        <f>HYPERLINK("https://www.amazon.com/Thymes-Hand-Lotion-Lemon-Leaf/dp/B084BTV8FY/ref=sr_1_6?keywords=Thymes+Lemon+Leaf+Hand+Wash&amp;qid=1695258768&amp;sr=8-6", "https://www.amazon.com/Thymes-Hand-Lotion-Lemon-Leaf/dp/B084BTV8FY/ref=sr_1_6?keywords=Thymes+Lemon+Leaf+Hand+Wash&amp;qid=1695258768&amp;sr=8-6")</f>
        <v>https://www.amazon.com/Thymes-Hand-Lotion-Lemon-Leaf/dp/B084BTV8FY/ref=sr_1_6?keywords=Thymes+Lemon+Leaf+Hand+Wash&amp;qid=1695258768&amp;sr=8-6</v>
      </c>
      <c r="F569" t="s">
        <v>1532</v>
      </c>
      <c r="G569" t="e">
        <f ca="1">IMAGE("https://heavenlyouthouse.com/cdn/shop/products/ThymesLemonLeafhandwash.jpg?v=1613092489")</f>
        <v>#NAME?</v>
      </c>
      <c r="H569" t="e">
        <f ca="1">IMAGE("https://m.media-amazon.com/images/I/61jBKHR91aL._AC_UL320_.jpg")</f>
        <v>#NAME?</v>
      </c>
      <c r="I569" t="s">
        <v>86</v>
      </c>
      <c r="J569">
        <v>16</v>
      </c>
      <c r="K569" s="2" t="s">
        <v>1520</v>
      </c>
      <c r="L569">
        <v>4.5999999999999996</v>
      </c>
      <c r="M569">
        <v>235</v>
      </c>
      <c r="O569" t="s">
        <v>39</v>
      </c>
      <c r="P569" t="s">
        <v>39</v>
      </c>
      <c r="Q569" t="s">
        <v>1324</v>
      </c>
    </row>
    <row r="570" spans="1:17" ht="15.75" x14ac:dyDescent="0.25">
      <c r="A570" s="3" t="str">
        <f>HYPERLINK("https://heavenlyouthouse.com/products/thymes-lemon-leaf-basil-hand-wash", "https://heavenlyouthouse.com/products/thymes-lemon-leaf-basil-hand-wash")</f>
        <v>https://heavenlyouthouse.com/products/thymes-lemon-leaf-basil-hand-wash</v>
      </c>
      <c r="B570" s="3" t="str">
        <f>HYPERLINK("https://heavenlyouthouse.com/products/thymes-lemon-leaf-basil-hand-wash", "https://heavenlyouthouse.com/products/thymes-lemon-leaf-basil-hand-wash")</f>
        <v>https://heavenlyouthouse.com/products/thymes-lemon-leaf-basil-hand-wash</v>
      </c>
      <c r="C570" t="s">
        <v>1321</v>
      </c>
      <c r="D570" t="s">
        <v>1535</v>
      </c>
      <c r="E570" s="3" t="str">
        <f>HYPERLINK("https://www.amazon.com/Thymes-Hand-Wash-Lemon-Leaf/dp/B084BWQP7C/ref=sr_1_1?keywords=Thymes+Lemon+Leaf+Hand+Wash&amp;qid=1695258768&amp;sr=8-1", "https://www.amazon.com/Thymes-Hand-Wash-Lemon-Leaf/dp/B084BWQP7C/ref=sr_1_1?keywords=Thymes+Lemon+Leaf+Hand+Wash&amp;qid=1695258768&amp;sr=8-1")</f>
        <v>https://www.amazon.com/Thymes-Hand-Wash-Lemon-Leaf/dp/B084BWQP7C/ref=sr_1_1?keywords=Thymes+Lemon+Leaf+Hand+Wash&amp;qid=1695258768&amp;sr=8-1</v>
      </c>
      <c r="F570" t="s">
        <v>1536</v>
      </c>
      <c r="G570" t="e">
        <f ca="1">IMAGE("https://heavenlyouthouse.com/cdn/shop/products/ThymesLemonLeafhandwash.jpg?v=1613092489")</f>
        <v>#NAME?</v>
      </c>
      <c r="H570" t="e">
        <f ca="1">IMAGE("https://m.media-amazon.com/images/I/61fhTHfe20L._AC_UL320_.jpg")</f>
        <v>#NAME?</v>
      </c>
      <c r="I570" t="s">
        <v>86</v>
      </c>
      <c r="J570">
        <v>16</v>
      </c>
      <c r="K570" s="2" t="s">
        <v>1520</v>
      </c>
      <c r="L570">
        <v>4.5999999999999996</v>
      </c>
      <c r="M570">
        <v>3441</v>
      </c>
      <c r="O570" t="s">
        <v>39</v>
      </c>
      <c r="P570" t="s">
        <v>39</v>
      </c>
      <c r="Q570" t="s">
        <v>1324</v>
      </c>
    </row>
    <row r="571" spans="1:17" ht="15.75" x14ac:dyDescent="0.25">
      <c r="A571" s="3" t="str">
        <f>HYPERLINK("https://heavenlyouthouse.com/products/thymes-washed-linen-hand-wash", "https://heavenlyouthouse.com/products/thymes-washed-linen-hand-wash")</f>
        <v>https://heavenlyouthouse.com/products/thymes-washed-linen-hand-wash</v>
      </c>
      <c r="B571" s="3" t="str">
        <f>HYPERLINK("https://heavenlyouthouse.com/products/thymes-washed-linen-hand-wash", "https://heavenlyouthouse.com/products/thymes-washed-linen-hand-wash")</f>
        <v>https://heavenlyouthouse.com/products/thymes-washed-linen-hand-wash</v>
      </c>
      <c r="C571" t="s">
        <v>720</v>
      </c>
      <c r="D571" t="s">
        <v>1523</v>
      </c>
      <c r="E571" s="3" t="str">
        <f>HYPERLINK("https://www.amazon.com/Thymes-Hand-Lotion-Washed-Linen/dp/B084BRZ787/ref=sr_1_2?keywords=Thymes+Washed+Linen+Hand+Wash&amp;qid=1695258790&amp;sr=8-2", "https://www.amazon.com/Thymes-Hand-Lotion-Washed-Linen/dp/B084BRZ787/ref=sr_1_2?keywords=Thymes+Washed+Linen+Hand+Wash&amp;qid=1695258790&amp;sr=8-2")</f>
        <v>https://www.amazon.com/Thymes-Hand-Lotion-Washed-Linen/dp/B084BRZ787/ref=sr_1_2?keywords=Thymes+Washed+Linen+Hand+Wash&amp;qid=1695258790&amp;sr=8-2</v>
      </c>
      <c r="F571" t="s">
        <v>1524</v>
      </c>
      <c r="G571" t="e">
        <f ca="1">IMAGE("https://heavenlyouthouse.com/cdn/shop/products/ThymesWashedLinenhandwash.jpg?v=1613174268")</f>
        <v>#NAME?</v>
      </c>
      <c r="H571" t="e">
        <f ca="1">IMAGE("https://m.media-amazon.com/images/I/61z-c6U-5TL._AC_UL320_.jpg")</f>
        <v>#NAME?</v>
      </c>
      <c r="I571" t="s">
        <v>86</v>
      </c>
      <c r="J571">
        <v>16</v>
      </c>
      <c r="K571" s="2" t="s">
        <v>1520</v>
      </c>
      <c r="L571">
        <v>4.5999999999999996</v>
      </c>
      <c r="M571">
        <v>235</v>
      </c>
      <c r="O571" t="s">
        <v>39</v>
      </c>
      <c r="P571" t="s">
        <v>39</v>
      </c>
      <c r="Q571" t="s">
        <v>723</v>
      </c>
    </row>
    <row r="572" spans="1:17" ht="15.75" x14ac:dyDescent="0.25">
      <c r="A572" s="3" t="str">
        <f>HYPERLINK("https://heavenlyouthouse.com/products/kimono-rose-hand-lotion", "https://heavenlyouthouse.com/products/kimono-rose-hand-lotion")</f>
        <v>https://heavenlyouthouse.com/products/kimono-rose-hand-lotion</v>
      </c>
      <c r="B572" s="3" t="str">
        <f>HYPERLINK("https://heavenlyouthouse.com/products/kimono-rose-hand-lotion", "https://heavenlyouthouse.com/products/kimono-rose-hand-lotion")</f>
        <v>https://heavenlyouthouse.com/products/kimono-rose-hand-lotion</v>
      </c>
      <c r="C572" t="s">
        <v>538</v>
      </c>
      <c r="D572" t="s">
        <v>1360</v>
      </c>
      <c r="E572" s="3" t="str">
        <f>HYPERLINK("https://www.amazon.com/Thymes-Kimono-Hydrating-Liquid-Vanilla/dp/B0746Q1XL3/ref=sr_1_10?keywords=Thymes+Kimono+Rose+Hand+Lotion&amp;qid=1695258762&amp;sr=8-10", "https://www.amazon.com/Thymes-Kimono-Hydrating-Liquid-Vanilla/dp/B0746Q1XL3/ref=sr_1_10?keywords=Thymes+Kimono+Rose+Hand+Lotion&amp;qid=1695258762&amp;sr=8-10")</f>
        <v>https://www.amazon.com/Thymes-Kimono-Hydrating-Liquid-Vanilla/dp/B0746Q1XL3/ref=sr_1_10?keywords=Thymes+Kimono+Rose+Hand+Lotion&amp;qid=1695258762&amp;sr=8-10</v>
      </c>
      <c r="F572" t="s">
        <v>1361</v>
      </c>
      <c r="G572" t="e">
        <f ca="1">IMAGE("https://heavenlyouthouse.com/cdn/shop/files/thymes-kimono-rose-HAND-LOTION_300x300.jpg?v=1682980281")</f>
        <v>#NAME?</v>
      </c>
      <c r="H572" t="e">
        <f ca="1">IMAGE("https://m.media-amazon.com/images/I/61F3lPsq1QL._AC_UL320_.jpg")</f>
        <v>#NAME?</v>
      </c>
      <c r="I572" t="s">
        <v>86</v>
      </c>
      <c r="J572">
        <v>16</v>
      </c>
      <c r="K572" s="2" t="s">
        <v>1520</v>
      </c>
      <c r="L572">
        <v>4.5999999999999996</v>
      </c>
      <c r="M572">
        <v>3441</v>
      </c>
      <c r="O572" t="s">
        <v>39</v>
      </c>
      <c r="P572" t="s">
        <v>39</v>
      </c>
      <c r="Q572" t="s">
        <v>539</v>
      </c>
    </row>
    <row r="573" spans="1:17" ht="15.75" x14ac:dyDescent="0.25">
      <c r="A573" s="3" t="str">
        <f>HYPERLINK("https://heavenlyouthouse.com/products/thymes-lemon-leaf-basil-hand-lotion", "https://heavenlyouthouse.com/products/thymes-lemon-leaf-basil-hand-lotion")</f>
        <v>https://heavenlyouthouse.com/products/thymes-lemon-leaf-basil-hand-lotion</v>
      </c>
      <c r="B573" s="3" t="str">
        <f>HYPERLINK("https://heavenlyouthouse.com/products/thymes-lemon-leaf-basil-hand-lotion", "https://heavenlyouthouse.com/products/thymes-lemon-leaf-basil-hand-lotion")</f>
        <v>https://heavenlyouthouse.com/products/thymes-lemon-leaf-basil-hand-lotion</v>
      </c>
      <c r="C573" t="s">
        <v>726</v>
      </c>
      <c r="D573" t="s">
        <v>1521</v>
      </c>
      <c r="E573" s="3" t="str">
        <f>HYPERLINK("https://www.amazon.com/Thymes-Lotion-Moisturizing-Butter-Vitamin/dp/B002WJHK4Q/ref=sr_1_4?keywords=Thymes+Lemon+Leaf+Hand+Lotion&amp;qid=1695258774&amp;sr=8-4", "https://www.amazon.com/Thymes-Lotion-Moisturizing-Butter-Vitamin/dp/B002WJHK4Q/ref=sr_1_4?keywords=Thymes+Lemon+Leaf+Hand+Lotion&amp;qid=1695258774&amp;sr=8-4")</f>
        <v>https://www.amazon.com/Thymes-Lotion-Moisturizing-Butter-Vitamin/dp/B002WJHK4Q/ref=sr_1_4?keywords=Thymes+Lemon+Leaf+Hand+Lotion&amp;qid=1695258774&amp;sr=8-4</v>
      </c>
      <c r="F573" t="s">
        <v>1522</v>
      </c>
      <c r="G573" t="e">
        <f ca="1">IMAGE("https://heavenlyouthouse.com/cdn/shop/products/ThymesLemonLeafhandlotion.jpg?v=1613092448")</f>
        <v>#NAME?</v>
      </c>
      <c r="H573" t="e">
        <f ca="1">IMAGE("https://m.media-amazon.com/images/I/51NCWtW6ObL._AC_UL320_.jpg")</f>
        <v>#NAME?</v>
      </c>
      <c r="I573" t="s">
        <v>86</v>
      </c>
      <c r="J573">
        <v>16</v>
      </c>
      <c r="K573" s="2" t="s">
        <v>1520</v>
      </c>
      <c r="L573">
        <v>4.5999999999999996</v>
      </c>
      <c r="M573">
        <v>2575</v>
      </c>
      <c r="O573" t="s">
        <v>39</v>
      </c>
      <c r="P573" t="s">
        <v>39</v>
      </c>
      <c r="Q573" t="s">
        <v>729</v>
      </c>
    </row>
    <row r="574" spans="1:17" ht="15.75" x14ac:dyDescent="0.25">
      <c r="A574" s="3" t="str">
        <f>HYPERLINK("https://heavenlyouthouse.com/products/kimono-rose-hand-lotion", "https://heavenlyouthouse.com/products/kimono-rose-hand-lotion")</f>
        <v>https://heavenlyouthouse.com/products/kimono-rose-hand-lotion</v>
      </c>
      <c r="B574" s="3" t="str">
        <f>HYPERLINK("https://heavenlyouthouse.com/products/kimono-rose-hand-lotion", "https://heavenlyouthouse.com/products/kimono-rose-hand-lotion")</f>
        <v>https://heavenlyouthouse.com/products/kimono-rose-hand-lotion</v>
      </c>
      <c r="C574" t="s">
        <v>538</v>
      </c>
      <c r="D574" t="s">
        <v>1533</v>
      </c>
      <c r="E574" s="3" t="str">
        <f>HYPERLINK("https://www.amazon.com/Thymes-Kimono-Moisturizing-Vitamin-Vanilla/dp/B002WJHL18/ref=sr_1_5?keywords=Thymes+Kimono+Rose+Hand+Lotion&amp;qid=1695258762&amp;sr=8-5", "https://www.amazon.com/Thymes-Kimono-Moisturizing-Vitamin-Vanilla/dp/B002WJHL18/ref=sr_1_5?keywords=Thymes+Kimono+Rose+Hand+Lotion&amp;qid=1695258762&amp;sr=8-5")</f>
        <v>https://www.amazon.com/Thymes-Kimono-Moisturizing-Vitamin-Vanilla/dp/B002WJHL18/ref=sr_1_5?keywords=Thymes+Kimono+Rose+Hand+Lotion&amp;qid=1695258762&amp;sr=8-5</v>
      </c>
      <c r="F574" t="s">
        <v>1534</v>
      </c>
      <c r="G574" t="e">
        <f ca="1">IMAGE("https://heavenlyouthouse.com/cdn/shop/files/thymes-kimono-rose-HAND-LOTION_300x300.jpg?v=1682980281")</f>
        <v>#NAME?</v>
      </c>
      <c r="H574" t="e">
        <f ca="1">IMAGE("https://m.media-amazon.com/images/I/51UY1KoU9dL._AC_UL320_.jpg")</f>
        <v>#NAME?</v>
      </c>
      <c r="I574" t="s">
        <v>86</v>
      </c>
      <c r="J574">
        <v>16</v>
      </c>
      <c r="K574" s="2" t="s">
        <v>1520</v>
      </c>
      <c r="L574">
        <v>4.5999999999999996</v>
      </c>
      <c r="M574">
        <v>2575</v>
      </c>
      <c r="O574" t="s">
        <v>39</v>
      </c>
      <c r="P574" t="s">
        <v>39</v>
      </c>
      <c r="Q574" t="s">
        <v>539</v>
      </c>
    </row>
    <row r="575" spans="1:17" ht="15.75" x14ac:dyDescent="0.25">
      <c r="A575" s="3" t="str">
        <f>HYPERLINK("https://heavenlyouthouse.com/products/goldleaf-gardenia-hand-lotion", "https://heavenlyouthouse.com/products/goldleaf-gardenia-hand-lotion")</f>
        <v>https://heavenlyouthouse.com/products/goldleaf-gardenia-hand-lotion</v>
      </c>
      <c r="B575" s="3" t="str">
        <f>HYPERLINK("https://heavenlyouthouse.com/products/goldleaf-gardenia-hand-lotion", "https://heavenlyouthouse.com/products/goldleaf-gardenia-hand-lotion")</f>
        <v>https://heavenlyouthouse.com/products/goldleaf-gardenia-hand-lotion</v>
      </c>
      <c r="C575" t="s">
        <v>486</v>
      </c>
      <c r="D575" t="s">
        <v>1525</v>
      </c>
      <c r="E575" s="3" t="str">
        <f>HYPERLINK("https://www.amazon.com/Thymes-Goldleaf-Gardenia-Moisturizing-Vitamin/dp/B06WGWNKWC/ref=sr_1_5?keywords=Thymes+Goldleaf+Gardenia+Hand+Lotion&amp;qid=1695258756&amp;sr=8-5", "https://www.amazon.com/Thymes-Goldleaf-Gardenia-Moisturizing-Vitamin/dp/B06WGWNKWC/ref=sr_1_5?keywords=Thymes+Goldleaf+Gardenia+Hand+Lotion&amp;qid=1695258756&amp;sr=8-5")</f>
        <v>https://www.amazon.com/Thymes-Goldleaf-Gardenia-Moisturizing-Vitamin/dp/B06WGWNKWC/ref=sr_1_5?keywords=Thymes+Goldleaf+Gardenia+Hand+Lotion&amp;qid=1695258756&amp;sr=8-5</v>
      </c>
      <c r="F575" t="s">
        <v>1526</v>
      </c>
      <c r="G575" t="e">
        <f ca="1">IMAGE("https://heavenlyouthouse.com/cdn/shop/products/thymes-goldleaf-gardenia-hand-lotion.jpg?v=1655330888")</f>
        <v>#NAME?</v>
      </c>
      <c r="H575" t="e">
        <f ca="1">IMAGE("https://m.media-amazon.com/images/I/51qdn+MPnBL._AC_UL320_.jpg")</f>
        <v>#NAME?</v>
      </c>
      <c r="I575" t="s">
        <v>86</v>
      </c>
      <c r="J575">
        <v>16</v>
      </c>
      <c r="K575" s="2" t="s">
        <v>1520</v>
      </c>
      <c r="L575">
        <v>4.5999999999999996</v>
      </c>
      <c r="M575">
        <v>2575</v>
      </c>
      <c r="O575" t="s">
        <v>39</v>
      </c>
      <c r="P575" t="s">
        <v>484</v>
      </c>
      <c r="Q575" t="s">
        <v>487</v>
      </c>
    </row>
    <row r="576" spans="1:17" ht="15.75" x14ac:dyDescent="0.25">
      <c r="A576" s="3" t="str">
        <f>HYPERLINK("https://heavenlyouthouse.com/products/fresh-cut-basil-hand-wash", "https://heavenlyouthouse.com/products/fresh-cut-basil-hand-wash")</f>
        <v>https://heavenlyouthouse.com/products/fresh-cut-basil-hand-wash</v>
      </c>
      <c r="B576" s="3" t="str">
        <f>HYPERLINK("https://heavenlyouthouse.com/products/fresh-cut-basil-hand-wash", "https://heavenlyouthouse.com/products/fresh-cut-basil-hand-wash")</f>
        <v>https://heavenlyouthouse.com/products/fresh-cut-basil-hand-wash</v>
      </c>
      <c r="C576" t="s">
        <v>554</v>
      </c>
      <c r="D576" t="s">
        <v>1539</v>
      </c>
      <c r="E576" s="3" t="str">
        <f>HYPERLINK("https://www.amazon.com/Thymes-Hand-Lotion-Fresh-Cut-Basil/dp/B084BVDY2S/ref=sr_1_3?keywords=Thymes+Fresh-Cut+Basil+Hand+Wash&amp;qid=1695258744&amp;sr=8-3", "https://www.amazon.com/Thymes-Hand-Lotion-Fresh-Cut-Basil/dp/B084BVDY2S/ref=sr_1_3?keywords=Thymes+Fresh-Cut+Basil+Hand+Wash&amp;qid=1695258744&amp;sr=8-3")</f>
        <v>https://www.amazon.com/Thymes-Hand-Lotion-Fresh-Cut-Basil/dp/B084BVDY2S/ref=sr_1_3?keywords=Thymes+Fresh-Cut+Basil+Hand+Wash&amp;qid=1695258744&amp;sr=8-3</v>
      </c>
      <c r="F576" t="s">
        <v>1540</v>
      </c>
      <c r="G576" t="e">
        <f ca="1">IMAGE("https://heavenlyouthouse.com/cdn/shop/products/thymesfresh-cutbasilhandwash.jpg?v=1613073126")</f>
        <v>#NAME?</v>
      </c>
      <c r="H576" t="e">
        <f ca="1">IMAGE("https://m.media-amazon.com/images/I/61B86oocrRL._AC_UL320_.jpg")</f>
        <v>#NAME?</v>
      </c>
      <c r="I576" t="s">
        <v>86</v>
      </c>
      <c r="J576">
        <v>16</v>
      </c>
      <c r="K576" s="2" t="s">
        <v>1520</v>
      </c>
      <c r="L576">
        <v>4.5999999999999996</v>
      </c>
      <c r="M576">
        <v>235</v>
      </c>
      <c r="O576" t="s">
        <v>39</v>
      </c>
      <c r="P576" t="s">
        <v>39</v>
      </c>
      <c r="Q576" t="s">
        <v>557</v>
      </c>
    </row>
    <row r="577" spans="1:17" ht="15.75" x14ac:dyDescent="0.25">
      <c r="A577" s="3" t="str">
        <f>HYPERLINK("https://heavenlyouthouse.com/products/frasier-fir-aroma-diffuser-oil", "https://heavenlyouthouse.com/products/frasier-fir-aroma-diffuser-oil")</f>
        <v>https://heavenlyouthouse.com/products/frasier-fir-aroma-diffuser-oil</v>
      </c>
      <c r="B577" s="3" t="str">
        <f>HYPERLINK("https://heavenlyouthouse.com/products/frasier-fir-aroma-diffuser-oil", "https://heavenlyouthouse.com/products/frasier-fir-aroma-diffuser-oil")</f>
        <v>https://heavenlyouthouse.com/products/frasier-fir-aroma-diffuser-oil</v>
      </c>
      <c r="C577" t="s">
        <v>226</v>
      </c>
      <c r="D577" t="s">
        <v>1357</v>
      </c>
      <c r="E577" s="3" t="str">
        <f>HYPERLINK("https://www.amazon.com/Thymes-Diffuser-Oil-0-25-Frasier/dp/B08CVRZJQZ/ref=sr_1_1?keywords=Thymes+Frasier+Fir+Aroma+Diffuser+Oil&amp;qid=1695258721&amp;sr=8-1", "https://www.amazon.com/Thymes-Diffuser-Oil-0-25-Frasier/dp/B08CVRZJQZ/ref=sr_1_1?keywords=Thymes+Frasier+Fir+Aroma+Diffuser+Oil&amp;qid=1695258721&amp;sr=8-1")</f>
        <v>https://www.amazon.com/Thymes-Diffuser-Oil-0-25-Frasier/dp/B08CVRZJQZ/ref=sr_1_1?keywords=Thymes+Frasier+Fir+Aroma+Diffuser+Oil&amp;qid=1695258721&amp;sr=8-1</v>
      </c>
      <c r="F577" t="s">
        <v>1358</v>
      </c>
      <c r="G577" t="e">
        <f ca="1">IMAGE("https://heavenlyouthouse.com/cdn/shop/products/thymesfrasierfirdiffuseroil.jpg?v=1604088755")</f>
        <v>#NAME?</v>
      </c>
      <c r="H577" t="e">
        <f ca="1">IMAGE("https://m.media-amazon.com/images/I/61rg4AuJDaL._AC_UL320_.jpg")</f>
        <v>#NAME?</v>
      </c>
      <c r="I577" t="s">
        <v>86</v>
      </c>
      <c r="J577">
        <v>16</v>
      </c>
      <c r="K577" s="2" t="s">
        <v>1520</v>
      </c>
      <c r="L577">
        <v>4.3</v>
      </c>
      <c r="M577">
        <v>36</v>
      </c>
      <c r="O577" t="s">
        <v>39</v>
      </c>
      <c r="P577" t="s">
        <v>39</v>
      </c>
      <c r="Q577" t="s">
        <v>229</v>
      </c>
    </row>
    <row r="578" spans="1:17" ht="15.75" x14ac:dyDescent="0.25">
      <c r="A578" s="3" t="str">
        <f>HYPERLINK("https://heavenlyouthouse.com/products/eucalyptus-hand-lotion?variant=31706511114329", "https://heavenlyouthouse.com/products/eucalyptus-hand-lotion?variant=31706511114329")</f>
        <v>https://heavenlyouthouse.com/products/eucalyptus-hand-lotion?variant=31706511114329</v>
      </c>
      <c r="B578" s="3" t="str">
        <f>HYPERLINK("https://heavenlyouthouse.com/products/eucalyptus-hand-lotion", "https://heavenlyouthouse.com/products/eucalyptus-hand-lotion")</f>
        <v>https://heavenlyouthouse.com/products/eucalyptus-hand-lotion</v>
      </c>
      <c r="C578" t="s">
        <v>552</v>
      </c>
      <c r="D578" t="s">
        <v>1344</v>
      </c>
      <c r="E578" s="3" t="str">
        <f>HYPERLINK("https://www.amazon.com/Thymes-Eucalyptus-Hydrating-Liquid-Soothing/dp/B002WJHL3Q/ref=sr_1_7?keywords=Thymes+Eucalyptus+Hand+Lotion&amp;qid=1695258716&amp;sr=8-7", "https://www.amazon.com/Thymes-Eucalyptus-Hydrating-Liquid-Soothing/dp/B002WJHL3Q/ref=sr_1_7?keywords=Thymes+Eucalyptus+Hand+Lotion&amp;qid=1695258716&amp;sr=8-7")</f>
        <v>https://www.amazon.com/Thymes-Eucalyptus-Hydrating-Liquid-Soothing/dp/B002WJHL3Q/ref=sr_1_7?keywords=Thymes+Eucalyptus+Hand+Lotion&amp;qid=1695258716&amp;sr=8-7</v>
      </c>
      <c r="F578" t="s">
        <v>1345</v>
      </c>
      <c r="G578" t="e">
        <f ca="1">IMAGE("https://heavenlyouthouse.com/cdn/shop/products/thymes-eucalyptus-hand-lotion_e875e475-4a24-4858-9caa-3b33b83cdd22.png?v=1652276792")</f>
        <v>#NAME?</v>
      </c>
      <c r="H578" t="e">
        <f ca="1">IMAGE("https://m.media-amazon.com/images/I/51qrovuTigL._AC_UL320_.jpg")</f>
        <v>#NAME?</v>
      </c>
      <c r="I578" t="s">
        <v>86</v>
      </c>
      <c r="J578">
        <v>16</v>
      </c>
      <c r="K578" s="2" t="s">
        <v>1520</v>
      </c>
      <c r="L578">
        <v>4.5999999999999996</v>
      </c>
      <c r="M578">
        <v>3441</v>
      </c>
      <c r="O578" t="s">
        <v>136</v>
      </c>
      <c r="P578" t="s">
        <v>39</v>
      </c>
      <c r="Q578" t="s">
        <v>553</v>
      </c>
    </row>
    <row r="579" spans="1:17" ht="15.75" x14ac:dyDescent="0.25">
      <c r="A579" s="3" t="str">
        <f>HYPERLINK("https://heavenlyouthouse.com/products/frasier-fir-votive-candle", "https://heavenlyouthouse.com/products/frasier-fir-votive-candle")</f>
        <v>https://heavenlyouthouse.com/products/frasier-fir-votive-candle</v>
      </c>
      <c r="B579" s="3" t="str">
        <f>HYPERLINK("https://heavenlyouthouse.com/products/frasier-fir-votive-candle", "https://heavenlyouthouse.com/products/frasier-fir-votive-candle")</f>
        <v>https://heavenlyouthouse.com/products/frasier-fir-votive-candle</v>
      </c>
      <c r="C579" t="s">
        <v>83</v>
      </c>
      <c r="D579" t="s">
        <v>1541</v>
      </c>
      <c r="E579" s="3" t="str">
        <f>HYPERLINK("https://www.amazon.com/Thymes-Frasier-Needle-Votive-Candle/dp/B07Q2GWCCQ/ref=sr_1_1?keywords=Thymes+Frasier+Fir+Pine+Needle+Votive+Candle&amp;qid=1695258742&amp;sr=8-1", "https://www.amazon.com/Thymes-Frasier-Needle-Votive-Candle/dp/B07Q2GWCCQ/ref=sr_1_1?keywords=Thymes+Frasier+Fir+Pine+Needle+Votive+Candle&amp;qid=1695258742&amp;sr=8-1")</f>
        <v>https://www.amazon.com/Thymes-Frasier-Needle-Votive-Candle/dp/B07Q2GWCCQ/ref=sr_1_1?keywords=Thymes+Frasier+Fir+Pine+Needle+Votive+Candle&amp;qid=1695258742&amp;sr=8-1</v>
      </c>
      <c r="F579" t="s">
        <v>1542</v>
      </c>
      <c r="G579" t="e">
        <f ca="1">IMAGE("https://heavenlyouthouse.com/cdn/shop/products/thymesfrasierfirvotivecandle.jpg?v=1603995950")</f>
        <v>#NAME?</v>
      </c>
      <c r="H579" t="e">
        <f ca="1">IMAGE("https://m.media-amazon.com/images/I/71ARhUHeOKL._AC_UL320_.jpg")</f>
        <v>#NAME?</v>
      </c>
      <c r="I579" t="s">
        <v>86</v>
      </c>
      <c r="J579">
        <v>16</v>
      </c>
      <c r="K579" s="2" t="s">
        <v>1520</v>
      </c>
      <c r="L579">
        <v>4.0999999999999996</v>
      </c>
      <c r="M579">
        <v>5</v>
      </c>
      <c r="O579" t="s">
        <v>39</v>
      </c>
      <c r="P579" t="s">
        <v>39</v>
      </c>
      <c r="Q579" t="s">
        <v>88</v>
      </c>
    </row>
    <row r="580" spans="1:17" ht="15.75" x14ac:dyDescent="0.25">
      <c r="A580" s="3" t="str">
        <f>HYPERLINK("https://heavenlyouthouse.com/products/frasier-fir-votive-candle", "https://heavenlyouthouse.com/products/frasier-fir-votive-candle")</f>
        <v>https://heavenlyouthouse.com/products/frasier-fir-votive-candle</v>
      </c>
      <c r="B580" s="3" t="str">
        <f>HYPERLINK("https://heavenlyouthouse.com/products/frasier-fir-votive-candle", "https://heavenlyouthouse.com/products/frasier-fir-votive-candle")</f>
        <v>https://heavenlyouthouse.com/products/frasier-fir-votive-candle</v>
      </c>
      <c r="C580" t="s">
        <v>83</v>
      </c>
      <c r="D580" t="s">
        <v>1543</v>
      </c>
      <c r="E580" s="3" t="str">
        <f>HYPERLINK("https://www.amazon.com/Thymes-Frasier-Gilded-Votive-Candle/dp/B07RP34MZ3/ref=sr_1_8?keywords=Thymes+Frasier+Fir+Pine+Needle+Votive+Candle&amp;qid=1695258742&amp;sr=8-8", "https://www.amazon.com/Thymes-Frasier-Gilded-Votive-Candle/dp/B07RP34MZ3/ref=sr_1_8?keywords=Thymes+Frasier+Fir+Pine+Needle+Votive+Candle&amp;qid=1695258742&amp;sr=8-8")</f>
        <v>https://www.amazon.com/Thymes-Frasier-Gilded-Votive-Candle/dp/B07RP34MZ3/ref=sr_1_8?keywords=Thymes+Frasier+Fir+Pine+Needle+Votive+Candle&amp;qid=1695258742&amp;sr=8-8</v>
      </c>
      <c r="F580" t="s">
        <v>1544</v>
      </c>
      <c r="G580" t="e">
        <f ca="1">IMAGE("https://heavenlyouthouse.com/cdn/shop/products/thymesfrasierfirvotivecandle.jpg?v=1603995950")</f>
        <v>#NAME?</v>
      </c>
      <c r="H580" t="e">
        <f ca="1">IMAGE("https://m.media-amazon.com/images/I/61wRsqjGlkL._AC_UL320_.jpg")</f>
        <v>#NAME?</v>
      </c>
      <c r="I580" t="s">
        <v>86</v>
      </c>
      <c r="J580">
        <v>16</v>
      </c>
      <c r="K580" s="2" t="s">
        <v>1520</v>
      </c>
      <c r="L580">
        <v>4.5</v>
      </c>
      <c r="M580">
        <v>70</v>
      </c>
      <c r="O580" t="s">
        <v>39</v>
      </c>
      <c r="P580" t="s">
        <v>39</v>
      </c>
      <c r="Q580" t="s">
        <v>88</v>
      </c>
    </row>
    <row r="581" spans="1:17" ht="15.75" x14ac:dyDescent="0.25">
      <c r="A581" s="3" t="str">
        <f>HYPERLINK("https://heavenlyouthouse.com/products/fresh-cut-basil-hand-lotion", "https://heavenlyouthouse.com/products/fresh-cut-basil-hand-lotion")</f>
        <v>https://heavenlyouthouse.com/products/fresh-cut-basil-hand-lotion</v>
      </c>
      <c r="B581" s="3" t="str">
        <f>HYPERLINK("https://heavenlyouthouse.com/products/fresh-cut-basil-hand-lotion", "https://heavenlyouthouse.com/products/fresh-cut-basil-hand-lotion")</f>
        <v>https://heavenlyouthouse.com/products/fresh-cut-basil-hand-lotion</v>
      </c>
      <c r="C581" t="s">
        <v>1317</v>
      </c>
      <c r="D581" t="s">
        <v>1545</v>
      </c>
      <c r="E581" s="3" t="str">
        <f>HYPERLINK("https://www.amazon.com/Thymes-Hand-Wash-Fresh-Cut-Basil/dp/B084BZCCBB/ref=sr_1_3?keywords=Thymes+Fresh-Cut+Basil+Hand+Lotion&amp;qid=1695258747&amp;sr=8-3", "https://www.amazon.com/Thymes-Hand-Wash-Fresh-Cut-Basil/dp/B084BZCCBB/ref=sr_1_3?keywords=Thymes+Fresh-Cut+Basil+Hand+Lotion&amp;qid=1695258747&amp;sr=8-3")</f>
        <v>https://www.amazon.com/Thymes-Hand-Wash-Fresh-Cut-Basil/dp/B084BZCCBB/ref=sr_1_3?keywords=Thymes+Fresh-Cut+Basil+Hand+Lotion&amp;qid=1695258747&amp;sr=8-3</v>
      </c>
      <c r="F581" t="s">
        <v>1546</v>
      </c>
      <c r="G581" t="e">
        <f ca="1">IMAGE("https://heavenlyouthouse.com/cdn/shop/products/thymesfresh-cutbasilhandlotion.jpg?v=1613073234")</f>
        <v>#NAME?</v>
      </c>
      <c r="H581" t="e">
        <f ca="1">IMAGE("https://m.media-amazon.com/images/I/61ulP0FU9RL._AC_UL320_.jpg")</f>
        <v>#NAME?</v>
      </c>
      <c r="I581" t="s">
        <v>86</v>
      </c>
      <c r="J581">
        <v>16</v>
      </c>
      <c r="K581" s="2" t="s">
        <v>1520</v>
      </c>
      <c r="L581">
        <v>4.5999999999999996</v>
      </c>
      <c r="M581">
        <v>3441</v>
      </c>
      <c r="O581" t="s">
        <v>39</v>
      </c>
      <c r="P581" t="s">
        <v>484</v>
      </c>
      <c r="Q581" t="s">
        <v>1320</v>
      </c>
    </row>
    <row r="582" spans="1:17" ht="15.75" x14ac:dyDescent="0.25">
      <c r="A582" s="3" t="str">
        <f>HYPERLINK("https://heavenlyouthouse.com/products/frasier-fir-all-purpose-cleaner", "https://heavenlyouthouse.com/products/frasier-fir-all-purpose-cleaner")</f>
        <v>https://heavenlyouthouse.com/products/frasier-fir-all-purpose-cleaner</v>
      </c>
      <c r="B582" s="3" t="str">
        <f>HYPERLINK("https://heavenlyouthouse.com/products/frasier-fir-all-purpose-cleaner", "https://heavenlyouthouse.com/products/frasier-fir-all-purpose-cleaner")</f>
        <v>https://heavenlyouthouse.com/products/frasier-fir-all-purpose-cleaner</v>
      </c>
      <c r="C582" t="s">
        <v>1547</v>
      </c>
      <c r="D582" t="s">
        <v>1548</v>
      </c>
      <c r="E582" s="3" t="str">
        <f>HYPERLINK("https://www.amazon.com/Thymes-Frasier-All-Purpose-Cleaner-Bottle/dp/B00ZGRL3CG/ref=sr_1_1?keywords=Thymes+Frasier+Fir+All+Purpose+Cleaner+475mL&amp;qid=1695258726&amp;sr=8-1", "https://www.amazon.com/Thymes-Frasier-All-Purpose-Cleaner-Bottle/dp/B00ZGRL3CG/ref=sr_1_1?keywords=Thymes+Frasier+Fir+All+Purpose+Cleaner+475mL&amp;qid=1695258726&amp;sr=8-1")</f>
        <v>https://www.amazon.com/Thymes-Frasier-All-Purpose-Cleaner-Bottle/dp/B00ZGRL3CG/ref=sr_1_1?keywords=Thymes+Frasier+Fir+All+Purpose+Cleaner+475mL&amp;qid=1695258726&amp;sr=8-1</v>
      </c>
      <c r="F582" t="s">
        <v>1549</v>
      </c>
      <c r="G582" t="e">
        <f ca="1">IMAGE("https://heavenlyouthouse.com/cdn/shop/products/thymesfrasierfirallpurposecleaner.jpg?v=1603993524")</f>
        <v>#NAME?</v>
      </c>
      <c r="H582" t="e">
        <f ca="1">IMAGE("https://m.media-amazon.com/images/I/61yVsUfWiEL._AC_UL320_.jpg")</f>
        <v>#NAME?</v>
      </c>
      <c r="I582" t="s">
        <v>86</v>
      </c>
      <c r="J582">
        <v>16</v>
      </c>
      <c r="K582" s="2" t="s">
        <v>1520</v>
      </c>
      <c r="L582">
        <v>4.7</v>
      </c>
      <c r="M582">
        <v>1426</v>
      </c>
      <c r="O582" t="s">
        <v>39</v>
      </c>
      <c r="P582" t="s">
        <v>39</v>
      </c>
      <c r="Q582" t="s">
        <v>1550</v>
      </c>
    </row>
    <row r="583" spans="1:17" ht="15.75" x14ac:dyDescent="0.25">
      <c r="A583" s="3" t="str">
        <f>HYPERLINK("https://heavenlyouthouse.com/products/goldleaf-hand-wash", "https://heavenlyouthouse.com/products/goldleaf-hand-wash")</f>
        <v>https://heavenlyouthouse.com/products/goldleaf-hand-wash</v>
      </c>
      <c r="B583" s="3" t="str">
        <f>HYPERLINK("https://heavenlyouthouse.com/products/goldleaf-hand-wash", "https://heavenlyouthouse.com/products/goldleaf-hand-wash")</f>
        <v>https://heavenlyouthouse.com/products/goldleaf-hand-wash</v>
      </c>
      <c r="C583" t="s">
        <v>479</v>
      </c>
      <c r="D583" t="s">
        <v>1523</v>
      </c>
      <c r="E583" s="3" t="str">
        <f>HYPERLINK("https://www.amazon.com/Thymes-Hand-Lotion-Washed-Linen/dp/B084BRZ787/ref=sr_1_7?keywords=Thymes+Goldleaf+Hand+Wash&amp;qid=1695258748&amp;sr=8-7", "https://www.amazon.com/Thymes-Hand-Lotion-Washed-Linen/dp/B084BRZ787/ref=sr_1_7?keywords=Thymes+Goldleaf+Hand+Wash&amp;qid=1695258748&amp;sr=8-7")</f>
        <v>https://www.amazon.com/Thymes-Hand-Lotion-Washed-Linen/dp/B084BRZ787/ref=sr_1_7?keywords=Thymes+Goldleaf+Hand+Wash&amp;qid=1695258748&amp;sr=8-7</v>
      </c>
      <c r="F583" t="s">
        <v>1524</v>
      </c>
      <c r="G583" t="e">
        <f ca="1">IMAGE("https://heavenlyouthouse.com/cdn/shop/products/thymes-goldleaf-hand-wash_790c7a89-90bf-4dfd-9a28-50e8cdfd1678.png?v=1652276960")</f>
        <v>#NAME?</v>
      </c>
      <c r="H583" t="e">
        <f ca="1">IMAGE("https://m.media-amazon.com/images/I/61z-c6U-5TL._AC_UL320_.jpg")</f>
        <v>#NAME?</v>
      </c>
      <c r="I583" t="s">
        <v>86</v>
      </c>
      <c r="J583">
        <v>16</v>
      </c>
      <c r="K583" s="2" t="s">
        <v>1520</v>
      </c>
      <c r="L583">
        <v>4.5999999999999996</v>
      </c>
      <c r="M583">
        <v>235</v>
      </c>
      <c r="O583" t="s">
        <v>39</v>
      </c>
      <c r="P583" t="s">
        <v>39</v>
      </c>
      <c r="Q583" t="s">
        <v>482</v>
      </c>
    </row>
    <row r="584" spans="1:17" ht="15.75" x14ac:dyDescent="0.25">
      <c r="A584" s="3" t="str">
        <f>HYPERLINK("https://heavenlyouthouse.com/products/fresh-cut-basil-hand-lotion", "https://heavenlyouthouse.com/products/fresh-cut-basil-hand-lotion")</f>
        <v>https://heavenlyouthouse.com/products/fresh-cut-basil-hand-lotion</v>
      </c>
      <c r="B584" s="3" t="str">
        <f>HYPERLINK("https://heavenlyouthouse.com/products/fresh-cut-basil-hand-lotion", "https://heavenlyouthouse.com/products/fresh-cut-basil-hand-lotion")</f>
        <v>https://heavenlyouthouse.com/products/fresh-cut-basil-hand-lotion</v>
      </c>
      <c r="C584" t="s">
        <v>1317</v>
      </c>
      <c r="D584" t="s">
        <v>1539</v>
      </c>
      <c r="E584" s="3" t="str">
        <f>HYPERLINK("https://www.amazon.com/Thymes-Hand-Lotion-Fresh-Cut-Basil/dp/B084BVDY2S/ref=sr_1_1?keywords=Thymes+Fresh-Cut+Basil+Hand+Lotion&amp;qid=1695258747&amp;sr=8-1", "https://www.amazon.com/Thymes-Hand-Lotion-Fresh-Cut-Basil/dp/B084BVDY2S/ref=sr_1_1?keywords=Thymes+Fresh-Cut+Basil+Hand+Lotion&amp;qid=1695258747&amp;sr=8-1")</f>
        <v>https://www.amazon.com/Thymes-Hand-Lotion-Fresh-Cut-Basil/dp/B084BVDY2S/ref=sr_1_1?keywords=Thymes+Fresh-Cut+Basil+Hand+Lotion&amp;qid=1695258747&amp;sr=8-1</v>
      </c>
      <c r="F584" t="s">
        <v>1540</v>
      </c>
      <c r="G584" t="e">
        <f ca="1">IMAGE("https://heavenlyouthouse.com/cdn/shop/products/thymesfresh-cutbasilhandlotion.jpg?v=1613073234")</f>
        <v>#NAME?</v>
      </c>
      <c r="H584" t="e">
        <f ca="1">IMAGE("https://m.media-amazon.com/images/I/61B86oocrRL._AC_UL320_.jpg")</f>
        <v>#NAME?</v>
      </c>
      <c r="I584" t="s">
        <v>86</v>
      </c>
      <c r="J584">
        <v>16</v>
      </c>
      <c r="K584" s="2" t="s">
        <v>1520</v>
      </c>
      <c r="L584">
        <v>4.5999999999999996</v>
      </c>
      <c r="M584">
        <v>235</v>
      </c>
      <c r="O584" t="s">
        <v>39</v>
      </c>
      <c r="P584" t="s">
        <v>484</v>
      </c>
      <c r="Q584" t="s">
        <v>1320</v>
      </c>
    </row>
    <row r="585" spans="1:17" ht="15.75" x14ac:dyDescent="0.25">
      <c r="A585" s="3" t="str">
        <f>HYPERLINK("https://heavenlyouthouse.com/products/eucalyptus-hand-lotion?variant=31706511114329", "https://heavenlyouthouse.com/products/eucalyptus-hand-lotion?variant=31706511114329")</f>
        <v>https://heavenlyouthouse.com/products/eucalyptus-hand-lotion?variant=31706511114329</v>
      </c>
      <c r="B585" s="3" t="str">
        <f>HYPERLINK("https://heavenlyouthouse.com/products/eucalyptus-hand-lotion", "https://heavenlyouthouse.com/products/eucalyptus-hand-lotion")</f>
        <v>https://heavenlyouthouse.com/products/eucalyptus-hand-lotion</v>
      </c>
      <c r="C585" t="s">
        <v>552</v>
      </c>
      <c r="D585" t="s">
        <v>1551</v>
      </c>
      <c r="E585" s="3" t="str">
        <f>HYPERLINK("https://www.amazon.com/Thymes-Frasier-Hydrating-Lotion-Bottle/dp/B0140PRCU6/ref=sr_1_10?keywords=Thymes+Eucalyptus+Hand+Lotion&amp;qid=1695258716&amp;sr=8-10", "https://www.amazon.com/Thymes-Frasier-Hydrating-Lotion-Bottle/dp/B0140PRCU6/ref=sr_1_10?keywords=Thymes+Eucalyptus+Hand+Lotion&amp;qid=1695258716&amp;sr=8-10")</f>
        <v>https://www.amazon.com/Thymes-Frasier-Hydrating-Lotion-Bottle/dp/B0140PRCU6/ref=sr_1_10?keywords=Thymes+Eucalyptus+Hand+Lotion&amp;qid=1695258716&amp;sr=8-10</v>
      </c>
      <c r="F585" t="s">
        <v>1552</v>
      </c>
      <c r="G585" t="e">
        <f ca="1">IMAGE("https://heavenlyouthouse.com/cdn/shop/products/thymes-eucalyptus-hand-lotion_e875e475-4a24-4858-9caa-3b33b83cdd22.png?v=1652276792")</f>
        <v>#NAME?</v>
      </c>
      <c r="H585" t="e">
        <f ca="1">IMAGE("https://m.media-amazon.com/images/I/51RXXKxjNYL._AC_UL320_.jpg")</f>
        <v>#NAME?</v>
      </c>
      <c r="I585" t="s">
        <v>86</v>
      </c>
      <c r="J585">
        <v>16</v>
      </c>
      <c r="K585" s="2" t="s">
        <v>1520</v>
      </c>
      <c r="L585">
        <v>4.5</v>
      </c>
      <c r="M585">
        <v>333</v>
      </c>
      <c r="O585" t="s">
        <v>136</v>
      </c>
      <c r="P585" t="s">
        <v>39</v>
      </c>
      <c r="Q585" t="s">
        <v>553</v>
      </c>
    </row>
    <row r="586" spans="1:17" ht="15.75" x14ac:dyDescent="0.25">
      <c r="A586" s="3" t="str">
        <f>HYPERLINK("https://heavenlyouthouse.com/products/frasier-fir-votive-candle", "https://heavenlyouthouse.com/products/frasier-fir-votive-candle")</f>
        <v>https://heavenlyouthouse.com/products/frasier-fir-votive-candle</v>
      </c>
      <c r="B586" s="3" t="str">
        <f>HYPERLINK("https://heavenlyouthouse.com/products/frasier-fir-votive-candle", "https://heavenlyouthouse.com/products/frasier-fir-votive-candle")</f>
        <v>https://heavenlyouthouse.com/products/frasier-fir-votive-candle</v>
      </c>
      <c r="C586" t="s">
        <v>83</v>
      </c>
      <c r="D586" t="s">
        <v>1553</v>
      </c>
      <c r="E586" s="3" t="str">
        <f>HYPERLINK("https://www.amazon.com/Thymes-Fragrant-Frasier-Votive-15-Hour/dp/B00YPP2UGI/ref=sr_1_2?keywords=Thymes+Frasier+Fir+Pine+Needle+Votive+Candle&amp;qid=1695258742&amp;sr=8-2", "https://www.amazon.com/Thymes-Fragrant-Frasier-Votive-15-Hour/dp/B00YPP2UGI/ref=sr_1_2?keywords=Thymes+Frasier+Fir+Pine+Needle+Votive+Candle&amp;qid=1695258742&amp;sr=8-2")</f>
        <v>https://www.amazon.com/Thymes-Fragrant-Frasier-Votive-15-Hour/dp/B00YPP2UGI/ref=sr_1_2?keywords=Thymes+Frasier+Fir+Pine+Needle+Votive+Candle&amp;qid=1695258742&amp;sr=8-2</v>
      </c>
      <c r="F586" t="s">
        <v>1554</v>
      </c>
      <c r="G586" t="e">
        <f ca="1">IMAGE("https://heavenlyouthouse.com/cdn/shop/products/thymesfrasierfirvotivecandle.jpg?v=1603995950")</f>
        <v>#NAME?</v>
      </c>
      <c r="H586" t="e">
        <f ca="1">IMAGE("https://m.media-amazon.com/images/I/614aXIOl78L._AC_UL320_.jpg")</f>
        <v>#NAME?</v>
      </c>
      <c r="I586" t="s">
        <v>86</v>
      </c>
      <c r="J586">
        <v>16</v>
      </c>
      <c r="K586" s="2" t="s">
        <v>1520</v>
      </c>
      <c r="L586">
        <v>4.5</v>
      </c>
      <c r="M586">
        <v>994</v>
      </c>
      <c r="O586" t="s">
        <v>39</v>
      </c>
      <c r="P586" t="s">
        <v>39</v>
      </c>
      <c r="Q586" t="s">
        <v>88</v>
      </c>
    </row>
    <row r="587" spans="1:17" ht="15.75" x14ac:dyDescent="0.25">
      <c r="A587" s="3" t="str">
        <f>HYPERLINK("https://heavenlyouthouse.com/products/eucalyptus-hand-lotion?variant=31706511114329", "https://heavenlyouthouse.com/products/eucalyptus-hand-lotion?variant=31706511114329")</f>
        <v>https://heavenlyouthouse.com/products/eucalyptus-hand-lotion?variant=31706511114329</v>
      </c>
      <c r="B587" s="3" t="str">
        <f>HYPERLINK("https://heavenlyouthouse.com/products/eucalyptus-hand-lotion", "https://heavenlyouthouse.com/products/eucalyptus-hand-lotion")</f>
        <v>https://heavenlyouthouse.com/products/eucalyptus-hand-lotion</v>
      </c>
      <c r="C587" t="s">
        <v>552</v>
      </c>
      <c r="D587" t="s">
        <v>1521</v>
      </c>
      <c r="E587" s="3" t="str">
        <f>HYPERLINK("https://www.amazon.com/Thymes-Lotion-Moisturizing-Butter-Vitamin/dp/B002WJHK4Q/ref=sr_1_6?keywords=Thymes+Eucalyptus+Hand+Lotion&amp;qid=1695258716&amp;sr=8-6", "https://www.amazon.com/Thymes-Lotion-Moisturizing-Butter-Vitamin/dp/B002WJHK4Q/ref=sr_1_6?keywords=Thymes+Eucalyptus+Hand+Lotion&amp;qid=1695258716&amp;sr=8-6")</f>
        <v>https://www.amazon.com/Thymes-Lotion-Moisturizing-Butter-Vitamin/dp/B002WJHK4Q/ref=sr_1_6?keywords=Thymes+Eucalyptus+Hand+Lotion&amp;qid=1695258716&amp;sr=8-6</v>
      </c>
      <c r="F587" t="s">
        <v>1522</v>
      </c>
      <c r="G587" t="e">
        <f ca="1">IMAGE("https://heavenlyouthouse.com/cdn/shop/products/thymes-eucalyptus-hand-lotion_e875e475-4a24-4858-9caa-3b33b83cdd22.png?v=1652276792")</f>
        <v>#NAME?</v>
      </c>
      <c r="H587" t="e">
        <f ca="1">IMAGE("https://m.media-amazon.com/images/I/51NCWtW6ObL._AC_UL320_.jpg")</f>
        <v>#NAME?</v>
      </c>
      <c r="I587" t="s">
        <v>86</v>
      </c>
      <c r="J587">
        <v>16</v>
      </c>
      <c r="K587" s="2" t="s">
        <v>1520</v>
      </c>
      <c r="L587">
        <v>4.5999999999999996</v>
      </c>
      <c r="M587">
        <v>2575</v>
      </c>
      <c r="O587" t="s">
        <v>136</v>
      </c>
      <c r="P587" t="s">
        <v>39</v>
      </c>
      <c r="Q587" t="s">
        <v>553</v>
      </c>
    </row>
    <row r="588" spans="1:17" ht="15.75" x14ac:dyDescent="0.25">
      <c r="A588" s="3" t="str">
        <f>HYPERLINK("https://heavenlyouthouse.com/products/goldleaf-hand-wash", "https://heavenlyouthouse.com/products/goldleaf-hand-wash")</f>
        <v>https://heavenlyouthouse.com/products/goldleaf-hand-wash</v>
      </c>
      <c r="B588" s="3" t="str">
        <f>HYPERLINK("https://heavenlyouthouse.com/products/goldleaf-hand-wash", "https://heavenlyouthouse.com/products/goldleaf-hand-wash")</f>
        <v>https://heavenlyouthouse.com/products/goldleaf-hand-wash</v>
      </c>
      <c r="C588" t="s">
        <v>479</v>
      </c>
      <c r="D588" t="s">
        <v>1529</v>
      </c>
      <c r="E588" s="3" t="str">
        <f>HYPERLINK("https://www.amazon.com/Thymes-Goldleaf-Moisturizing-Vitamin-Elegant/dp/B07415CBKY/ref=sr_1_2?keywords=Thymes+Goldleaf+Hand+Wash&amp;qid=1695258748&amp;sr=8-2", "https://www.amazon.com/Thymes-Goldleaf-Moisturizing-Vitamin-Elegant/dp/B07415CBKY/ref=sr_1_2?keywords=Thymes+Goldleaf+Hand+Wash&amp;qid=1695258748&amp;sr=8-2")</f>
        <v>https://www.amazon.com/Thymes-Goldleaf-Moisturizing-Vitamin-Elegant/dp/B07415CBKY/ref=sr_1_2?keywords=Thymes+Goldleaf+Hand+Wash&amp;qid=1695258748&amp;sr=8-2</v>
      </c>
      <c r="F588" t="s">
        <v>1530</v>
      </c>
      <c r="G588" t="e">
        <f ca="1">IMAGE("https://heavenlyouthouse.com/cdn/shop/products/thymes-goldleaf-hand-wash_790c7a89-90bf-4dfd-9a28-50e8cdfd1678.png?v=1652276960")</f>
        <v>#NAME?</v>
      </c>
      <c r="H588" t="e">
        <f ca="1">IMAGE("https://m.media-amazon.com/images/I/51SUfEQv9GL._AC_UL320_.jpg")</f>
        <v>#NAME?</v>
      </c>
      <c r="I588" t="s">
        <v>86</v>
      </c>
      <c r="J588">
        <v>16</v>
      </c>
      <c r="K588" s="2" t="s">
        <v>1520</v>
      </c>
      <c r="L588">
        <v>4.5999999999999996</v>
      </c>
      <c r="M588">
        <v>2575</v>
      </c>
      <c r="O588" t="s">
        <v>39</v>
      </c>
      <c r="P588" t="s">
        <v>39</v>
      </c>
      <c r="Q588" t="s">
        <v>482</v>
      </c>
    </row>
    <row r="589" spans="1:17" ht="15.75" x14ac:dyDescent="0.25">
      <c r="A589" s="3" t="str">
        <f t="shared" ref="A589:B591" si="7">HYPERLINK("https://heavenlyouthouse.com/products/frasier-fir-petite-hand-lotion", "https://heavenlyouthouse.com/products/frasier-fir-petite-hand-lotion")</f>
        <v>https://heavenlyouthouse.com/products/frasier-fir-petite-hand-lotion</v>
      </c>
      <c r="B589" s="3" t="str">
        <f t="shared" si="7"/>
        <v>https://heavenlyouthouse.com/products/frasier-fir-petite-hand-lotion</v>
      </c>
      <c r="C589" t="s">
        <v>708</v>
      </c>
      <c r="D589" t="s">
        <v>1555</v>
      </c>
      <c r="E589" s="3" t="str">
        <f>HYPERLINK("https://www.amazon.com/Thymes-Frasier-Moisturizing-Fluid-Bottle/dp/B0140PRD4Q/ref=sr_1_8?keywords=Thymes+Frasier+Fir+Hand+Lotion&amp;qid=1695258732&amp;sr=8-8", "https://www.amazon.com/Thymes-Frasier-Moisturizing-Fluid-Bottle/dp/B0140PRD4Q/ref=sr_1_8?keywords=Thymes+Frasier+Fir+Hand+Lotion&amp;qid=1695258732&amp;sr=8-8")</f>
        <v>https://www.amazon.com/Thymes-Frasier-Moisturizing-Fluid-Bottle/dp/B0140PRD4Q/ref=sr_1_8?keywords=Thymes+Frasier+Fir+Hand+Lotion&amp;qid=1695258732&amp;sr=8-8</v>
      </c>
      <c r="F589" t="s">
        <v>1556</v>
      </c>
      <c r="G589" t="e">
        <f ca="1">IMAGE("https://heavenlyouthouse.com/cdn/shop/products/ThymesFrasierFirHandLotion.jpg?v=1612375466")</f>
        <v>#NAME?</v>
      </c>
      <c r="H589" t="e">
        <f ca="1">IMAGE("https://m.media-amazon.com/images/I/612t4yCN6JL._AC_UL320_.jpg")</f>
        <v>#NAME?</v>
      </c>
      <c r="I589" t="s">
        <v>86</v>
      </c>
      <c r="J589">
        <v>16</v>
      </c>
      <c r="K589" s="2" t="s">
        <v>1520</v>
      </c>
      <c r="L589">
        <v>4.5999999999999996</v>
      </c>
      <c r="M589">
        <v>3441</v>
      </c>
      <c r="O589" t="s">
        <v>39</v>
      </c>
      <c r="P589" t="s">
        <v>39</v>
      </c>
      <c r="Q589" t="s">
        <v>711</v>
      </c>
    </row>
    <row r="590" spans="1:17" ht="15.75" x14ac:dyDescent="0.25">
      <c r="A590" s="3" t="str">
        <f t="shared" si="7"/>
        <v>https://heavenlyouthouse.com/products/frasier-fir-petite-hand-lotion</v>
      </c>
      <c r="B590" s="3" t="str">
        <f t="shared" si="7"/>
        <v>https://heavenlyouthouse.com/products/frasier-fir-petite-hand-lotion</v>
      </c>
      <c r="C590" t="s">
        <v>708</v>
      </c>
      <c r="D590" t="s">
        <v>1551</v>
      </c>
      <c r="E590" s="3" t="str">
        <f>HYPERLINK("https://www.amazon.com/Thymes-Frasier-Hydrating-Lotion-Bottle/dp/B0140PRCU6/ref=sr_1_5?keywords=Thymes+Frasier+Fir+Hand+Lotion&amp;qid=1695258732&amp;sr=8-5", "https://www.amazon.com/Thymes-Frasier-Hydrating-Lotion-Bottle/dp/B0140PRCU6/ref=sr_1_5?keywords=Thymes+Frasier+Fir+Hand+Lotion&amp;qid=1695258732&amp;sr=8-5")</f>
        <v>https://www.amazon.com/Thymes-Frasier-Hydrating-Lotion-Bottle/dp/B0140PRCU6/ref=sr_1_5?keywords=Thymes+Frasier+Fir+Hand+Lotion&amp;qid=1695258732&amp;sr=8-5</v>
      </c>
      <c r="F590" t="s">
        <v>1552</v>
      </c>
      <c r="G590" t="e">
        <f ca="1">IMAGE("https://heavenlyouthouse.com/cdn/shop/products/ThymesFrasierFirHandLotion.jpg?v=1612375466")</f>
        <v>#NAME?</v>
      </c>
      <c r="H590" t="e">
        <f ca="1">IMAGE("https://m.media-amazon.com/images/I/51RXXKxjNYL._AC_UL320_.jpg")</f>
        <v>#NAME?</v>
      </c>
      <c r="I590" t="s">
        <v>86</v>
      </c>
      <c r="J590">
        <v>16</v>
      </c>
      <c r="K590" s="2" t="s">
        <v>1520</v>
      </c>
      <c r="L590">
        <v>4.5</v>
      </c>
      <c r="M590">
        <v>333</v>
      </c>
      <c r="O590" t="s">
        <v>39</v>
      </c>
      <c r="P590" t="s">
        <v>39</v>
      </c>
      <c r="Q590" t="s">
        <v>711</v>
      </c>
    </row>
    <row r="591" spans="1:17" ht="15.75" x14ac:dyDescent="0.25">
      <c r="A591" s="3" t="str">
        <f t="shared" si="7"/>
        <v>https://heavenlyouthouse.com/products/frasier-fir-petite-hand-lotion</v>
      </c>
      <c r="B591" s="3" t="str">
        <f t="shared" si="7"/>
        <v>https://heavenlyouthouse.com/products/frasier-fir-petite-hand-lotion</v>
      </c>
      <c r="C591" t="s">
        <v>708</v>
      </c>
      <c r="D591" t="s">
        <v>1551</v>
      </c>
      <c r="E591" s="3"/>
      <c r="F591" t="s">
        <v>1552</v>
      </c>
      <c r="G591" t="e">
        <f ca="1">IMAGE("https://heavenlyouthouse.com/cdn/shop/products/ThymesFrasierFirHandLotion.jpg?v=1612375466")</f>
        <v>#NAME?</v>
      </c>
      <c r="H591" t="e">
        <f ca="1">IMAGE("https://m.media-amazon.com/images/I/51RXXKxjNYL._AC_UL320_.jpg")</f>
        <v>#NAME?</v>
      </c>
      <c r="I591" t="s">
        <v>86</v>
      </c>
      <c r="J591">
        <v>16</v>
      </c>
      <c r="K591" s="2" t="s">
        <v>1520</v>
      </c>
      <c r="L591">
        <v>4.5</v>
      </c>
      <c r="M591">
        <v>333</v>
      </c>
      <c r="O591" t="s">
        <v>39</v>
      </c>
      <c r="P591" t="s">
        <v>39</v>
      </c>
      <c r="Q591" t="s">
        <v>711</v>
      </c>
    </row>
    <row r="592" spans="1:17" ht="15.75" x14ac:dyDescent="0.25">
      <c r="A592" s="3" t="str">
        <f>HYPERLINK("https://heavenlyouthouse.com/products/eucalyptus-hand-wash", "https://heavenlyouthouse.com/products/eucalyptus-hand-wash")</f>
        <v>https://heavenlyouthouse.com/products/eucalyptus-hand-wash</v>
      </c>
      <c r="B592" s="3" t="str">
        <f>HYPERLINK("https://heavenlyouthouse.com/products/eucalyptus-hand-wash", "https://heavenlyouthouse.com/products/eucalyptus-hand-wash")</f>
        <v>https://heavenlyouthouse.com/products/eucalyptus-hand-wash</v>
      </c>
      <c r="C592" t="s">
        <v>1042</v>
      </c>
      <c r="D592" t="s">
        <v>1344</v>
      </c>
      <c r="E592" s="3" t="str">
        <f>HYPERLINK("https://www.amazon.com/Thymes-Eucalyptus-Hydrating-Liquid-Soothing/dp/B002WJHL3Q/ref=sr_1_1?keywords=Thymes+Eucalyptus+Hand+Wash&amp;qid=1695258722&amp;sr=8-1", "https://www.amazon.com/Thymes-Eucalyptus-Hydrating-Liquid-Soothing/dp/B002WJHL3Q/ref=sr_1_1?keywords=Thymes+Eucalyptus+Hand+Wash&amp;qid=1695258722&amp;sr=8-1")</f>
        <v>https://www.amazon.com/Thymes-Eucalyptus-Hydrating-Liquid-Soothing/dp/B002WJHL3Q/ref=sr_1_1?keywords=Thymes+Eucalyptus+Hand+Wash&amp;qid=1695258722&amp;sr=8-1</v>
      </c>
      <c r="F592" t="s">
        <v>1345</v>
      </c>
      <c r="G592" t="e">
        <f ca="1">IMAGE("https://heavenlyouthouse.com/cdn/shop/products/thymes-eucalyptus-hand-wash_e930a19f-ee15-49e9-9caf-87b16b1cff84.png?v=1652276810")</f>
        <v>#NAME?</v>
      </c>
      <c r="H592" t="e">
        <f ca="1">IMAGE("https://m.media-amazon.com/images/I/51qrovuTigL._AC_UL320_.jpg")</f>
        <v>#NAME?</v>
      </c>
      <c r="I592" t="s">
        <v>86</v>
      </c>
      <c r="J592">
        <v>16</v>
      </c>
      <c r="K592" s="2" t="s">
        <v>1520</v>
      </c>
      <c r="L592">
        <v>4.5999999999999996</v>
      </c>
      <c r="M592">
        <v>3441</v>
      </c>
      <c r="O592" t="s">
        <v>39</v>
      </c>
      <c r="P592" t="s">
        <v>1045</v>
      </c>
      <c r="Q592" t="s">
        <v>1046</v>
      </c>
    </row>
    <row r="593" spans="1:17" ht="15.75" x14ac:dyDescent="0.25">
      <c r="A593" s="3" t="str">
        <f>HYPERLINK("https://heavenlyouthouse.com/products/goldleaf-hand-wash", "https://heavenlyouthouse.com/products/goldleaf-hand-wash")</f>
        <v>https://heavenlyouthouse.com/products/goldleaf-hand-wash</v>
      </c>
      <c r="B593" s="3" t="str">
        <f>HYPERLINK("https://heavenlyouthouse.com/products/goldleaf-hand-wash", "https://heavenlyouthouse.com/products/goldleaf-hand-wash")</f>
        <v>https://heavenlyouthouse.com/products/goldleaf-hand-wash</v>
      </c>
      <c r="C593" t="s">
        <v>479</v>
      </c>
      <c r="D593" t="s">
        <v>1348</v>
      </c>
      <c r="E593" s="3" t="str">
        <f>HYPERLINK("https://www.amazon.com/Thymes-Goldleaf-Hydrating-Liquid-Elegant/dp/B003718H1I/ref=sr_1_1?keywords=Thymes+Goldleaf+Hand+Wash&amp;qid=1695258748&amp;sr=8-1", "https://www.amazon.com/Thymes-Goldleaf-Hydrating-Liquid-Elegant/dp/B003718H1I/ref=sr_1_1?keywords=Thymes+Goldleaf+Hand+Wash&amp;qid=1695258748&amp;sr=8-1")</f>
        <v>https://www.amazon.com/Thymes-Goldleaf-Hydrating-Liquid-Elegant/dp/B003718H1I/ref=sr_1_1?keywords=Thymes+Goldleaf+Hand+Wash&amp;qid=1695258748&amp;sr=8-1</v>
      </c>
      <c r="F593" t="s">
        <v>1349</v>
      </c>
      <c r="G593" t="e">
        <f ca="1">IMAGE("https://heavenlyouthouse.com/cdn/shop/products/thymes-goldleaf-hand-wash_790c7a89-90bf-4dfd-9a28-50e8cdfd1678.png?v=1652276960")</f>
        <v>#NAME?</v>
      </c>
      <c r="H593" t="e">
        <f ca="1">IMAGE("https://m.media-amazon.com/images/I/51+XE0ZcrJL._AC_UL320_.jpg")</f>
        <v>#NAME?</v>
      </c>
      <c r="I593" t="s">
        <v>86</v>
      </c>
      <c r="J593">
        <v>16</v>
      </c>
      <c r="K593" s="2" t="s">
        <v>1520</v>
      </c>
      <c r="L593">
        <v>4.5999999999999996</v>
      </c>
      <c r="M593">
        <v>3441</v>
      </c>
      <c r="O593" t="s">
        <v>39</v>
      </c>
      <c r="P593" t="s">
        <v>39</v>
      </c>
      <c r="Q593" t="s">
        <v>482</v>
      </c>
    </row>
    <row r="594" spans="1:17" ht="15.75" x14ac:dyDescent="0.25">
      <c r="A594" s="3" t="str">
        <f>HYPERLINK("https://heavenlyouthouse.com/products/eucalyptus-aromatic-candle", "https://heavenlyouthouse.com/products/eucalyptus-aromatic-candle")</f>
        <v>https://heavenlyouthouse.com/products/eucalyptus-aromatic-candle</v>
      </c>
      <c r="B594" s="3" t="str">
        <f>HYPERLINK("https://heavenlyouthouse.com/products/eucalyptus-aromatic-candle", "https://heavenlyouthouse.com/products/eucalyptus-aromatic-candle")</f>
        <v>https://heavenlyouthouse.com/products/eucalyptus-aromatic-candle</v>
      </c>
      <c r="C594" t="s">
        <v>1557</v>
      </c>
      <c r="D594" t="s">
        <v>1558</v>
      </c>
      <c r="E594" s="3" t="str">
        <f>HYPERLINK("https://www.amazon.com/Thymes-Aromatic-Candle-Lavender-Honey/dp/B0B1G86C3F/ref=sr_1_5?keywords=Thymes+Eucalyptus+Aromatic+Candle&amp;qid=1695258740&amp;sr=8-5", "https://www.amazon.com/Thymes-Aromatic-Candle-Lavender-Honey/dp/B0B1G86C3F/ref=sr_1_5?keywords=Thymes+Eucalyptus+Aromatic+Candle&amp;qid=1695258740&amp;sr=8-5")</f>
        <v>https://www.amazon.com/Thymes-Aromatic-Candle-Lavender-Honey/dp/B0B1G86C3F/ref=sr_1_5?keywords=Thymes+Eucalyptus+Aromatic+Candle&amp;qid=1695258740&amp;sr=8-5</v>
      </c>
      <c r="F594" t="s">
        <v>1559</v>
      </c>
      <c r="G594" t="e">
        <f ca="1">IMAGE("https://heavenlyouthouse.com/cdn/shop/products/ThymesEucalyptusaromaticcandle.jpg?v=1612199678")</f>
        <v>#NAME?</v>
      </c>
      <c r="H594" t="e">
        <f ca="1">IMAGE("https://m.media-amazon.com/images/I/61hvdu5eeOL._AC_UL320_.jpg")</f>
        <v>#NAME?</v>
      </c>
      <c r="I594" t="s">
        <v>1560</v>
      </c>
      <c r="J594">
        <v>32</v>
      </c>
      <c r="K594" s="2" t="s">
        <v>1520</v>
      </c>
      <c r="L594">
        <v>3.9</v>
      </c>
      <c r="M594">
        <v>3</v>
      </c>
      <c r="O594" t="s">
        <v>39</v>
      </c>
      <c r="P594" t="s">
        <v>39</v>
      </c>
      <c r="Q594" t="s">
        <v>1561</v>
      </c>
    </row>
    <row r="595" spans="1:17" ht="15.75" x14ac:dyDescent="0.25">
      <c r="A595" s="3" t="str">
        <f>HYPERLINK("https://heavenlyouthouse.com/products/eucalyptus-aromatic-candle", "https://heavenlyouthouse.com/products/eucalyptus-aromatic-candle")</f>
        <v>https://heavenlyouthouse.com/products/eucalyptus-aromatic-candle</v>
      </c>
      <c r="B595" s="3" t="str">
        <f>HYPERLINK("https://heavenlyouthouse.com/products/eucalyptus-aromatic-candle", "https://heavenlyouthouse.com/products/eucalyptus-aromatic-candle")</f>
        <v>https://heavenlyouthouse.com/products/eucalyptus-aromatic-candle</v>
      </c>
      <c r="C595" t="s">
        <v>1557</v>
      </c>
      <c r="D595" t="s">
        <v>1562</v>
      </c>
      <c r="E595" s="3" t="str">
        <f>HYPERLINK("https://www.amazon.com/Thymes-Aromatic-Candle-7-5-Eucalyptus/dp/B08XQZNKW6/ref=sr_1_1?keywords=Thymes+Eucalyptus+Aromatic+Candle&amp;qid=1695258740&amp;sr=8-1", "https://www.amazon.com/Thymes-Aromatic-Candle-7-5-Eucalyptus/dp/B08XQZNKW6/ref=sr_1_1?keywords=Thymes+Eucalyptus+Aromatic+Candle&amp;qid=1695258740&amp;sr=8-1")</f>
        <v>https://www.amazon.com/Thymes-Aromatic-Candle-7-5-Eucalyptus/dp/B08XQZNKW6/ref=sr_1_1?keywords=Thymes+Eucalyptus+Aromatic+Candle&amp;qid=1695258740&amp;sr=8-1</v>
      </c>
      <c r="F595" t="s">
        <v>1563</v>
      </c>
      <c r="G595" t="e">
        <f ca="1">IMAGE("https://heavenlyouthouse.com/cdn/shop/products/ThymesEucalyptusaromaticcandle.jpg?v=1612199678")</f>
        <v>#NAME?</v>
      </c>
      <c r="H595" t="e">
        <f ca="1">IMAGE("https://m.media-amazon.com/images/I/61X9RCDZYGL._AC_UL320_.jpg")</f>
        <v>#NAME?</v>
      </c>
      <c r="I595" t="s">
        <v>1560</v>
      </c>
      <c r="J595">
        <v>32</v>
      </c>
      <c r="K595" s="2" t="s">
        <v>1520</v>
      </c>
      <c r="L595">
        <v>4.5</v>
      </c>
      <c r="M595">
        <v>197</v>
      </c>
      <c r="O595" t="s">
        <v>39</v>
      </c>
      <c r="P595" t="s">
        <v>39</v>
      </c>
      <c r="Q595" t="s">
        <v>1561</v>
      </c>
    </row>
    <row r="596" spans="1:17" ht="15.75" x14ac:dyDescent="0.25">
      <c r="A596" s="3" t="str">
        <f>HYPERLINK("https://heavenlyouthouse.com/products/thymes-goldleaf-gardenia-aromatic-candle", "https://heavenlyouthouse.com/products/thymes-goldleaf-gardenia-aromatic-candle")</f>
        <v>https://heavenlyouthouse.com/products/thymes-goldleaf-gardenia-aromatic-candle</v>
      </c>
      <c r="B596" s="3" t="str">
        <f>HYPERLINK("https://heavenlyouthouse.com/products/thymes-goldleaf-gardenia-aromatic-candle", "https://heavenlyouthouse.com/products/thymes-goldleaf-gardenia-aromatic-candle")</f>
        <v>https://heavenlyouthouse.com/products/thymes-goldleaf-gardenia-aromatic-candle</v>
      </c>
      <c r="C596" t="s">
        <v>1564</v>
      </c>
      <c r="D596" t="s">
        <v>923</v>
      </c>
      <c r="E596" s="3" t="str">
        <f>HYPERLINK("https://www.amazon.com/Thymes-Aromatic-Candle-Goldleaf-Gardenia/dp/B08XR1T8K4/ref=sr_1_1?keywords=Thymes+Goldleaf+Gardenia+Aromatic+Candle&amp;qid=1695258776&amp;sr=8-1", "https://www.amazon.com/Thymes-Aromatic-Candle-Goldleaf-Gardenia/dp/B08XR1T8K4/ref=sr_1_1?keywords=Thymes+Goldleaf+Gardenia+Aromatic+Candle&amp;qid=1695258776&amp;sr=8-1")</f>
        <v>https://www.amazon.com/Thymes-Aromatic-Candle-Goldleaf-Gardenia/dp/B08XR1T8K4/ref=sr_1_1?keywords=Thymes+Goldleaf+Gardenia+Aromatic+Candle&amp;qid=1695258776&amp;sr=8-1</v>
      </c>
      <c r="F596" t="s">
        <v>924</v>
      </c>
      <c r="G596" t="e">
        <f ca="1">IMAGE("https://heavenlyouthouse.com/cdn/shop/products/Thymes-Goldleaf-Gardenia-Candle-212g-7.5oz.jpg?v=1638213837")</f>
        <v>#NAME?</v>
      </c>
      <c r="H596" t="e">
        <f ca="1">IMAGE("https://m.media-amazon.com/images/I/314FwElzbhL._AC_UL320_.jpg")</f>
        <v>#NAME?</v>
      </c>
      <c r="I596" t="s">
        <v>1560</v>
      </c>
      <c r="J596">
        <v>32</v>
      </c>
      <c r="K596" s="2" t="s">
        <v>1520</v>
      </c>
      <c r="L596">
        <v>4.5</v>
      </c>
      <c r="M596">
        <v>197</v>
      </c>
      <c r="O596" t="s">
        <v>39</v>
      </c>
      <c r="P596" t="s">
        <v>1565</v>
      </c>
      <c r="Q596" t="s">
        <v>1566</v>
      </c>
    </row>
    <row r="597" spans="1:17" ht="15.75" x14ac:dyDescent="0.25">
      <c r="A597" s="3" t="str">
        <f>HYPERLINK("https://heavenlyouthouse.com/products/goldleaf-aromatic-candle", "https://heavenlyouthouse.com/products/goldleaf-aromatic-candle")</f>
        <v>https://heavenlyouthouse.com/products/goldleaf-aromatic-candle</v>
      </c>
      <c r="B597" s="3" t="str">
        <f>HYPERLINK("https://heavenlyouthouse.com/products/goldleaf-aromatic-candle", "https://heavenlyouthouse.com/products/goldleaf-aromatic-candle")</f>
        <v>https://heavenlyouthouse.com/products/goldleaf-aromatic-candle</v>
      </c>
      <c r="C597" t="s">
        <v>1567</v>
      </c>
      <c r="D597" t="s">
        <v>1558</v>
      </c>
      <c r="E597" s="3" t="str">
        <f>HYPERLINK("https://www.amazon.com/Thymes-Aromatic-Candle-Lavender-Honey/dp/B0B1G86C3F/ref=sr_1_9?keywords=Thymes+Goldleaf+Aromatic+Candle&amp;qid=1695258744&amp;sr=8-9", "https://www.amazon.com/Thymes-Aromatic-Candle-Lavender-Honey/dp/B0B1G86C3F/ref=sr_1_9?keywords=Thymes+Goldleaf+Aromatic+Candle&amp;qid=1695258744&amp;sr=8-9")</f>
        <v>https://www.amazon.com/Thymes-Aromatic-Candle-Lavender-Honey/dp/B0B1G86C3F/ref=sr_1_9?keywords=Thymes+Goldleaf+Aromatic+Candle&amp;qid=1695258744&amp;sr=8-9</v>
      </c>
      <c r="F597" t="s">
        <v>1559</v>
      </c>
      <c r="G597" t="e">
        <f ca="1">IMAGE("https://heavenlyouthouse.com/cdn/shop/products/thymesgoldleafpouredcandle.jpg?v=1612199035")</f>
        <v>#NAME?</v>
      </c>
      <c r="H597" t="e">
        <f ca="1">IMAGE("https://m.media-amazon.com/images/I/61hvdu5eeOL._AC_UL320_.jpg")</f>
        <v>#NAME?</v>
      </c>
      <c r="I597" t="s">
        <v>1560</v>
      </c>
      <c r="J597">
        <v>32</v>
      </c>
      <c r="K597" s="2" t="s">
        <v>1520</v>
      </c>
      <c r="L597">
        <v>3.9</v>
      </c>
      <c r="M597">
        <v>3</v>
      </c>
      <c r="O597" t="s">
        <v>39</v>
      </c>
      <c r="P597" t="s">
        <v>39</v>
      </c>
      <c r="Q597" t="s">
        <v>1568</v>
      </c>
    </row>
    <row r="598" spans="1:17" ht="15.75" x14ac:dyDescent="0.25">
      <c r="A598" s="3" t="str">
        <f>HYPERLINK("https://heavenlyouthouse.com/products/goldleaf-body-creme", "https://heavenlyouthouse.com/products/goldleaf-body-creme")</f>
        <v>https://heavenlyouthouse.com/products/goldleaf-body-creme</v>
      </c>
      <c r="B598" s="3" t="str">
        <f>HYPERLINK("https://heavenlyouthouse.com/products/goldleaf-body-creme", "https://heavenlyouthouse.com/products/goldleaf-body-creme")</f>
        <v>https://heavenlyouthouse.com/products/goldleaf-body-creme</v>
      </c>
      <c r="C598" t="s">
        <v>1569</v>
      </c>
      <c r="D598" t="s">
        <v>637</v>
      </c>
      <c r="E598" s="3" t="str">
        <f>HYPERLINK("https://www.amazon.com/Thymes-Goldleaf-Perfumed-Deeply-Moisturizing/dp/B06XSNHQ5G/ref=sr_1_1?keywords=Thymes+Goldleaf+Body+Creme&amp;qid=1695258742&amp;sr=8-1", "https://www.amazon.com/Thymes-Goldleaf-Perfumed-Deeply-Moisturizing/dp/B06XSNHQ5G/ref=sr_1_1?keywords=Thymes+Goldleaf+Body+Creme&amp;qid=1695258742&amp;sr=8-1")</f>
        <v>https://www.amazon.com/Thymes-Goldleaf-Perfumed-Deeply-Moisturizing/dp/B06XSNHQ5G/ref=sr_1_1?keywords=Thymes+Goldleaf+Body+Creme&amp;qid=1695258742&amp;sr=8-1</v>
      </c>
      <c r="F598" t="s">
        <v>638</v>
      </c>
      <c r="G598" t="e">
        <f ca="1">IMAGE("https://heavenlyouthouse.com/cdn/shop/products/thymes-goldleaf-perfumed-body-creme_d5740798-8f74-4408-9174-68dc266ec4fa.png?v=1652276989")</f>
        <v>#NAME?</v>
      </c>
      <c r="H598" t="e">
        <f ca="1">IMAGE("https://m.media-amazon.com/images/I/81VAtWtQAiL._AC_UL320_.jpg")</f>
        <v>#NAME?</v>
      </c>
      <c r="I598" t="s">
        <v>1560</v>
      </c>
      <c r="J598">
        <v>32</v>
      </c>
      <c r="K598" s="2" t="s">
        <v>1520</v>
      </c>
      <c r="L598">
        <v>4.5999999999999996</v>
      </c>
      <c r="M598">
        <v>2417</v>
      </c>
      <c r="O598" t="s">
        <v>39</v>
      </c>
      <c r="P598" t="s">
        <v>39</v>
      </c>
      <c r="Q598" t="s">
        <v>1570</v>
      </c>
    </row>
    <row r="599" spans="1:17" ht="15.75" x14ac:dyDescent="0.25">
      <c r="A599" s="3" t="str">
        <f>HYPERLINK("https://heavenlyouthouse.com/products/goldleaf-body-creme", "https://heavenlyouthouse.com/products/goldleaf-body-creme")</f>
        <v>https://heavenlyouthouse.com/products/goldleaf-body-creme</v>
      </c>
      <c r="B599" s="3" t="str">
        <f>HYPERLINK("https://heavenlyouthouse.com/products/goldleaf-body-creme", "https://heavenlyouthouse.com/products/goldleaf-body-creme")</f>
        <v>https://heavenlyouthouse.com/products/goldleaf-body-creme</v>
      </c>
      <c r="C599" t="s">
        <v>1569</v>
      </c>
      <c r="D599" t="s">
        <v>631</v>
      </c>
      <c r="E599" s="3" t="str">
        <f>HYPERLINK("https://www.amazon.com/Thymes-Goldleaf-Travel-Set-Beauty/dp/B09HL8YZNG/ref=sr_1_3?keywords=Thymes+Goldleaf+Body+Creme&amp;qid=1695258742&amp;sr=8-3", "https://www.amazon.com/Thymes-Goldleaf-Travel-Set-Beauty/dp/B09HL8YZNG/ref=sr_1_3?keywords=Thymes+Goldleaf+Body+Creme&amp;qid=1695258742&amp;sr=8-3")</f>
        <v>https://www.amazon.com/Thymes-Goldleaf-Travel-Set-Beauty/dp/B09HL8YZNG/ref=sr_1_3?keywords=Thymes+Goldleaf+Body+Creme&amp;qid=1695258742&amp;sr=8-3</v>
      </c>
      <c r="F599" t="s">
        <v>632</v>
      </c>
      <c r="G599" t="e">
        <f ca="1">IMAGE("https://heavenlyouthouse.com/cdn/shop/products/thymes-goldleaf-perfumed-body-creme_d5740798-8f74-4408-9174-68dc266ec4fa.png?v=1652276989")</f>
        <v>#NAME?</v>
      </c>
      <c r="H599" t="e">
        <f ca="1">IMAGE("https://m.media-amazon.com/images/I/711Psd6sNIL._AC_UL320_.jpg")</f>
        <v>#NAME?</v>
      </c>
      <c r="I599" t="s">
        <v>1560</v>
      </c>
      <c r="J599">
        <v>32</v>
      </c>
      <c r="K599" s="2" t="s">
        <v>1520</v>
      </c>
      <c r="L599">
        <v>4.5999999999999996</v>
      </c>
      <c r="M599">
        <v>91</v>
      </c>
      <c r="O599" t="s">
        <v>39</v>
      </c>
      <c r="P599" t="s">
        <v>39</v>
      </c>
      <c r="Q599" t="s">
        <v>1570</v>
      </c>
    </row>
    <row r="600" spans="1:17" ht="15.75" x14ac:dyDescent="0.25">
      <c r="A600" s="3" t="str">
        <f>HYPERLINK("https://heavenlyouthouse.com/products/thymes-lavender-aromatic-candle", "https://heavenlyouthouse.com/products/thymes-lavender-aromatic-candle")</f>
        <v>https://heavenlyouthouse.com/products/thymes-lavender-aromatic-candle</v>
      </c>
      <c r="B600" s="3" t="str">
        <f>HYPERLINK("https://heavenlyouthouse.com/products/thymes-lavender-aromatic-candle", "https://heavenlyouthouse.com/products/thymes-lavender-aromatic-candle")</f>
        <v>https://heavenlyouthouse.com/products/thymes-lavender-aromatic-candle</v>
      </c>
      <c r="C600" t="s">
        <v>1571</v>
      </c>
      <c r="D600" t="s">
        <v>1572</v>
      </c>
      <c r="E600" s="3" t="str">
        <f>HYPERLINK("https://www.amazon.com/Votivo-Aromatic-Candle-Germain-Lavender/dp/B07D8XDJCN/ref=sr_1_7?keywords=Thymes+Lavender+Aromatic+Candle&amp;qid=1695258758&amp;sr=8-7", "https://www.amazon.com/Votivo-Aromatic-Candle-Germain-Lavender/dp/B07D8XDJCN/ref=sr_1_7?keywords=Thymes+Lavender+Aromatic+Candle&amp;qid=1695258758&amp;sr=8-7")</f>
        <v>https://www.amazon.com/Votivo-Aromatic-Candle-Germain-Lavender/dp/B07D8XDJCN/ref=sr_1_7?keywords=Thymes+Lavender+Aromatic+Candle&amp;qid=1695258758&amp;sr=8-7</v>
      </c>
      <c r="F600" t="s">
        <v>1573</v>
      </c>
      <c r="G600" t="e">
        <f ca="1">IMAGE("https://heavenlyouthouse.com/cdn/shop/products/thymeslavenderaromaticcandle.jpg?v=1615498995")</f>
        <v>#NAME?</v>
      </c>
      <c r="H600" t="e">
        <f ca="1">IMAGE("https://m.media-amazon.com/images/I/51d+afcIcBL._AC_UL320_.jpg")</f>
        <v>#NAME?</v>
      </c>
      <c r="I600" t="s">
        <v>1560</v>
      </c>
      <c r="J600">
        <v>32</v>
      </c>
      <c r="K600" s="2" t="s">
        <v>1520</v>
      </c>
      <c r="L600">
        <v>4.5999999999999996</v>
      </c>
      <c r="M600">
        <v>1669</v>
      </c>
      <c r="O600" t="s">
        <v>39</v>
      </c>
      <c r="P600" t="s">
        <v>1565</v>
      </c>
      <c r="Q600" t="s">
        <v>1574</v>
      </c>
    </row>
    <row r="601" spans="1:17" ht="15.75" x14ac:dyDescent="0.25">
      <c r="A601" s="3" t="str">
        <f>HYPERLINK("https://heavenlyouthouse.com/products/thymes-mandarin-coriander-aromatic-candle", "https://heavenlyouthouse.com/products/thymes-mandarin-coriander-aromatic-candle")</f>
        <v>https://heavenlyouthouse.com/products/thymes-mandarin-coriander-aromatic-candle</v>
      </c>
      <c r="B601" s="3" t="str">
        <f>HYPERLINK("https://heavenlyouthouse.com/products/thymes-mandarin-coriander-aromatic-candle", "https://heavenlyouthouse.com/products/thymes-mandarin-coriander-aromatic-candle")</f>
        <v>https://heavenlyouthouse.com/products/thymes-mandarin-coriander-aromatic-candle</v>
      </c>
      <c r="C601" t="s">
        <v>1575</v>
      </c>
      <c r="D601" t="s">
        <v>1576</v>
      </c>
      <c r="E601" s="3" t="str">
        <f>HYPERLINK("https://www.amazon.com/Thymes-Mandarin-Coriander-Poured-Candle/dp/B07P8BQCB7/ref=sr_1_1?keywords=Thymes+Mandarin+Coriander+Aromatic+Candle&amp;qid=1695258786&amp;sr=8-1", "https://www.amazon.com/Thymes-Mandarin-Coriander-Poured-Candle/dp/B07P8BQCB7/ref=sr_1_1?keywords=Thymes+Mandarin+Coriander+Aromatic+Candle&amp;qid=1695258786&amp;sr=8-1")</f>
        <v>https://www.amazon.com/Thymes-Mandarin-Coriander-Poured-Candle/dp/B07P8BQCB7/ref=sr_1_1?keywords=Thymes+Mandarin+Coriander+Aromatic+Candle&amp;qid=1695258786&amp;sr=8-1</v>
      </c>
      <c r="F601" t="s">
        <v>1577</v>
      </c>
      <c r="G601" t="e">
        <f ca="1">IMAGE("https://heavenlyouthouse.com/cdn/shop/products/ThymesMandarinCorianderpouredaromaticcandle.jpg?v=1613148487")</f>
        <v>#NAME?</v>
      </c>
      <c r="H601" t="e">
        <f ca="1">IMAGE("https://m.media-amazon.com/images/I/614aAmTb3XL._AC_UL320_.jpg")</f>
        <v>#NAME?</v>
      </c>
      <c r="I601" t="s">
        <v>1560</v>
      </c>
      <c r="J601">
        <v>32</v>
      </c>
      <c r="K601" s="2" t="s">
        <v>1520</v>
      </c>
      <c r="L601">
        <v>4.0999999999999996</v>
      </c>
      <c r="M601">
        <v>281</v>
      </c>
      <c r="O601" t="s">
        <v>39</v>
      </c>
      <c r="P601" t="s">
        <v>39</v>
      </c>
      <c r="Q601" t="s">
        <v>1578</v>
      </c>
    </row>
    <row r="602" spans="1:17" ht="15.75" x14ac:dyDescent="0.25">
      <c r="A602" s="3" t="str">
        <f>HYPERLINK("https://heavenlyouthouse.com/products/goldleaf-aromatic-candle", "https://heavenlyouthouse.com/products/goldleaf-aromatic-candle")</f>
        <v>https://heavenlyouthouse.com/products/goldleaf-aromatic-candle</v>
      </c>
      <c r="B602" s="3" t="str">
        <f>HYPERLINK("https://heavenlyouthouse.com/products/goldleaf-aromatic-candle", "https://heavenlyouthouse.com/products/goldleaf-aromatic-candle")</f>
        <v>https://heavenlyouthouse.com/products/goldleaf-aromatic-candle</v>
      </c>
      <c r="C602" t="s">
        <v>1567</v>
      </c>
      <c r="D602" t="s">
        <v>923</v>
      </c>
      <c r="E602" s="3" t="str">
        <f>HYPERLINK("https://www.amazon.com/Thymes-Aromatic-Candle-Goldleaf-Gardenia/dp/B08XR1T8K4/ref=sr_1_1?keywords=Thymes+Goldleaf+Aromatic+Candle&amp;qid=1695258744&amp;sr=8-1", "https://www.amazon.com/Thymes-Aromatic-Candle-Goldleaf-Gardenia/dp/B08XR1T8K4/ref=sr_1_1?keywords=Thymes+Goldleaf+Aromatic+Candle&amp;qid=1695258744&amp;sr=8-1")</f>
        <v>https://www.amazon.com/Thymes-Aromatic-Candle-Goldleaf-Gardenia/dp/B08XR1T8K4/ref=sr_1_1?keywords=Thymes+Goldleaf+Aromatic+Candle&amp;qid=1695258744&amp;sr=8-1</v>
      </c>
      <c r="F602" t="s">
        <v>924</v>
      </c>
      <c r="G602" t="e">
        <f ca="1">IMAGE("https://heavenlyouthouse.com/cdn/shop/products/thymesgoldleafpouredcandle.jpg?v=1612199035")</f>
        <v>#NAME?</v>
      </c>
      <c r="H602" t="e">
        <f ca="1">IMAGE("https://m.media-amazon.com/images/I/314FwElzbhL._AC_UL320_.jpg")</f>
        <v>#NAME?</v>
      </c>
      <c r="I602" t="s">
        <v>1560</v>
      </c>
      <c r="J602">
        <v>32</v>
      </c>
      <c r="K602" s="2" t="s">
        <v>1520</v>
      </c>
      <c r="L602">
        <v>4.5</v>
      </c>
      <c r="M602">
        <v>197</v>
      </c>
      <c r="O602" t="s">
        <v>39</v>
      </c>
      <c r="P602" t="s">
        <v>39</v>
      </c>
      <c r="Q602" t="s">
        <v>1568</v>
      </c>
    </row>
    <row r="603" spans="1:17" ht="15.75" x14ac:dyDescent="0.25">
      <c r="A603" s="3" t="str">
        <f>HYPERLINK("https://heavenlyouthouse.com/products/thymes-lavender-aromatic-candle", "https://heavenlyouthouse.com/products/thymes-lavender-aromatic-candle")</f>
        <v>https://heavenlyouthouse.com/products/thymes-lavender-aromatic-candle</v>
      </c>
      <c r="B603" s="3" t="str">
        <f>HYPERLINK("https://heavenlyouthouse.com/products/thymes-lavender-aromatic-candle", "https://heavenlyouthouse.com/products/thymes-lavender-aromatic-candle")</f>
        <v>https://heavenlyouthouse.com/products/thymes-lavender-aromatic-candle</v>
      </c>
      <c r="C603" t="s">
        <v>1571</v>
      </c>
      <c r="D603" t="s">
        <v>1558</v>
      </c>
      <c r="E603" s="3" t="str">
        <f>HYPERLINK("https://www.amazon.com/Thymes-Aromatic-Candle-Lavender-Honey/dp/B0B1G86C3F/ref=sr_1_2?keywords=Thymes+Lavender+Aromatic+Candle&amp;qid=1695258758&amp;sr=8-2", "https://www.amazon.com/Thymes-Aromatic-Candle-Lavender-Honey/dp/B0B1G86C3F/ref=sr_1_2?keywords=Thymes+Lavender+Aromatic+Candle&amp;qid=1695258758&amp;sr=8-2")</f>
        <v>https://www.amazon.com/Thymes-Aromatic-Candle-Lavender-Honey/dp/B0B1G86C3F/ref=sr_1_2?keywords=Thymes+Lavender+Aromatic+Candle&amp;qid=1695258758&amp;sr=8-2</v>
      </c>
      <c r="F603" t="s">
        <v>1559</v>
      </c>
      <c r="G603" t="e">
        <f ca="1">IMAGE("https://heavenlyouthouse.com/cdn/shop/products/thymeslavenderaromaticcandle.jpg?v=1615498995")</f>
        <v>#NAME?</v>
      </c>
      <c r="H603" t="e">
        <f ca="1">IMAGE("https://m.media-amazon.com/images/I/61hvdu5eeOL._AC_UL320_.jpg")</f>
        <v>#NAME?</v>
      </c>
      <c r="I603" t="s">
        <v>1560</v>
      </c>
      <c r="J603">
        <v>32</v>
      </c>
      <c r="K603" s="2" t="s">
        <v>1520</v>
      </c>
      <c r="L603">
        <v>3.9</v>
      </c>
      <c r="M603">
        <v>3</v>
      </c>
      <c r="O603" t="s">
        <v>39</v>
      </c>
      <c r="P603" t="s">
        <v>1565</v>
      </c>
      <c r="Q603" t="s">
        <v>1574</v>
      </c>
    </row>
    <row r="604" spans="1:17" ht="15.75" x14ac:dyDescent="0.25">
      <c r="A604" s="3" t="str">
        <f>HYPERLINK("https://heavenlyouthouse.com/products/thymes-lavender-aromatic-candle", "https://heavenlyouthouse.com/products/thymes-lavender-aromatic-candle")</f>
        <v>https://heavenlyouthouse.com/products/thymes-lavender-aromatic-candle</v>
      </c>
      <c r="B604" s="3" t="str">
        <f>HYPERLINK("https://heavenlyouthouse.com/products/thymes-lavender-aromatic-candle", "https://heavenlyouthouse.com/products/thymes-lavender-aromatic-candle")</f>
        <v>https://heavenlyouthouse.com/products/thymes-lavender-aromatic-candle</v>
      </c>
      <c r="C604" t="s">
        <v>1571</v>
      </c>
      <c r="D604" t="s">
        <v>929</v>
      </c>
      <c r="E604" s="3" t="str">
        <f>HYPERLINK("https://www.amazon.com/Thymes-Aromatic-Candle-7-5-Lavender/dp/B08XR156SJ/ref=sr_1_1?keywords=Thymes+Lavender+Aromatic+Candle&amp;qid=1695258758&amp;sr=8-1", "https://www.amazon.com/Thymes-Aromatic-Candle-7-5-Lavender/dp/B08XR156SJ/ref=sr_1_1?keywords=Thymes+Lavender+Aromatic+Candle&amp;qid=1695258758&amp;sr=8-1")</f>
        <v>https://www.amazon.com/Thymes-Aromatic-Candle-7-5-Lavender/dp/B08XR156SJ/ref=sr_1_1?keywords=Thymes+Lavender+Aromatic+Candle&amp;qid=1695258758&amp;sr=8-1</v>
      </c>
      <c r="F604" t="s">
        <v>930</v>
      </c>
      <c r="G604" t="e">
        <f ca="1">IMAGE("https://heavenlyouthouse.com/cdn/shop/products/thymeslavenderaromaticcandle.jpg?v=1615498995")</f>
        <v>#NAME?</v>
      </c>
      <c r="H604" t="e">
        <f ca="1">IMAGE("https://m.media-amazon.com/images/I/51a-LNETaML._AC_UL320_.jpg")</f>
        <v>#NAME?</v>
      </c>
      <c r="I604" t="s">
        <v>1560</v>
      </c>
      <c r="J604">
        <v>32</v>
      </c>
      <c r="K604" s="2" t="s">
        <v>1520</v>
      </c>
      <c r="L604">
        <v>4.5</v>
      </c>
      <c r="M604">
        <v>197</v>
      </c>
      <c r="O604" t="s">
        <v>39</v>
      </c>
      <c r="P604" t="s">
        <v>1565</v>
      </c>
      <c r="Q604" t="s">
        <v>1574</v>
      </c>
    </row>
    <row r="605" spans="1:17" ht="15.75" x14ac:dyDescent="0.25">
      <c r="A605" s="3" t="str">
        <f>HYPERLINK("https://heavenlyouthouse.com/products/goldleaf-gardenia-body-creme", "https://heavenlyouthouse.com/products/goldleaf-gardenia-body-creme")</f>
        <v>https://heavenlyouthouse.com/products/goldleaf-gardenia-body-creme</v>
      </c>
      <c r="B605" s="3" t="str">
        <f>HYPERLINK("https://heavenlyouthouse.com/products/goldleaf-gardenia-body-creme", "https://heavenlyouthouse.com/products/goldleaf-gardenia-body-creme")</f>
        <v>https://heavenlyouthouse.com/products/goldleaf-gardenia-body-creme</v>
      </c>
      <c r="C605" t="s">
        <v>1579</v>
      </c>
      <c r="D605" t="s">
        <v>635</v>
      </c>
      <c r="E605" s="3" t="str">
        <f>HYPERLINK("https://www.amazon.com/Thymes-Goldleaf-Gardenia-Perfumed-Moisturizing/dp/B06WGWNNV4/ref=sr_1_5?keywords=Thymes+Goldleaf+Gardenia+Body+Creme&amp;qid=1695258749&amp;sr=8-5", "https://www.amazon.com/Thymes-Goldleaf-Gardenia-Perfumed-Moisturizing/dp/B06WGWNNV4/ref=sr_1_5?keywords=Thymes+Goldleaf+Gardenia+Body+Creme&amp;qid=1695258749&amp;sr=8-5")</f>
        <v>https://www.amazon.com/Thymes-Goldleaf-Gardenia-Perfumed-Moisturizing/dp/B06WGWNNV4/ref=sr_1_5?keywords=Thymes+Goldleaf+Gardenia+Body+Creme&amp;qid=1695258749&amp;sr=8-5</v>
      </c>
      <c r="F605" t="s">
        <v>636</v>
      </c>
      <c r="G605" t="e">
        <f ca="1">IMAGE("https://heavenlyouthouse.com/cdn/shop/files/thymes-goldleaf-gardenia-body-cream-1.jpg?v=1693600504")</f>
        <v>#NAME?</v>
      </c>
      <c r="H605" t="e">
        <f ca="1">IMAGE("https://m.media-amazon.com/images/I/814cM3dVNjL._AC_UL320_.jpg")</f>
        <v>#NAME?</v>
      </c>
      <c r="I605" t="s">
        <v>1560</v>
      </c>
      <c r="J605">
        <v>32</v>
      </c>
      <c r="K605" s="2" t="s">
        <v>1520</v>
      </c>
      <c r="L605">
        <v>4.5999999999999996</v>
      </c>
      <c r="M605">
        <v>2417</v>
      </c>
      <c r="O605" t="s">
        <v>39</v>
      </c>
      <c r="P605" t="s">
        <v>39</v>
      </c>
      <c r="Q605" t="s">
        <v>1580</v>
      </c>
    </row>
    <row r="606" spans="1:17" ht="15.75" x14ac:dyDescent="0.25">
      <c r="A606" s="3" t="str">
        <f>HYPERLINK("https://heavenlyouthouse.com/products/thymes-kimono-rose-aromatic-candle", "https://heavenlyouthouse.com/products/thymes-kimono-rose-aromatic-candle")</f>
        <v>https://heavenlyouthouse.com/products/thymes-kimono-rose-aromatic-candle</v>
      </c>
      <c r="B606" s="3" t="str">
        <f>HYPERLINK("https://heavenlyouthouse.com/products/thymes-kimono-rose-aromatic-candle", "https://heavenlyouthouse.com/products/thymes-kimono-rose-aromatic-candle")</f>
        <v>https://heavenlyouthouse.com/products/thymes-kimono-rose-aromatic-candle</v>
      </c>
      <c r="C606" t="s">
        <v>1581</v>
      </c>
      <c r="D606" t="s">
        <v>1582</v>
      </c>
      <c r="E606" s="3" t="str">
        <f>HYPERLINK("https://www.amazon.com/Thymes-Aromatic-Candle-Kimono-Rose/dp/B08XR2QK12/ref=sr_1_1?keywords=Thymes+Kimono+Rose+Aromatic+Candle&amp;qid=1695258751&amp;sr=8-1", "https://www.amazon.com/Thymes-Aromatic-Candle-Kimono-Rose/dp/B08XR2QK12/ref=sr_1_1?keywords=Thymes+Kimono+Rose+Aromatic+Candle&amp;qid=1695258751&amp;sr=8-1")</f>
        <v>https://www.amazon.com/Thymes-Aromatic-Candle-Kimono-Rose/dp/B08XR2QK12/ref=sr_1_1?keywords=Thymes+Kimono+Rose+Aromatic+Candle&amp;qid=1695258751&amp;sr=8-1</v>
      </c>
      <c r="F606" t="s">
        <v>1583</v>
      </c>
      <c r="G606" t="e">
        <f ca="1">IMAGE("https://heavenlyouthouse.com/cdn/shop/products/thymeskimonorosearomaticcandle.jpg?v=1615499256")</f>
        <v>#NAME?</v>
      </c>
      <c r="H606" t="e">
        <f ca="1">IMAGE("https://m.media-amazon.com/images/I/31cRfKF+y7L._AC_UL320_.jpg")</f>
        <v>#NAME?</v>
      </c>
      <c r="I606" t="s">
        <v>1560</v>
      </c>
      <c r="J606">
        <v>32</v>
      </c>
      <c r="K606" s="2" t="s">
        <v>1520</v>
      </c>
      <c r="L606">
        <v>4.5</v>
      </c>
      <c r="M606">
        <v>197</v>
      </c>
      <c r="O606" t="s">
        <v>39</v>
      </c>
      <c r="P606" t="s">
        <v>39</v>
      </c>
      <c r="Q606" t="s">
        <v>1584</v>
      </c>
    </row>
    <row r="607" spans="1:17" ht="15.75" x14ac:dyDescent="0.25">
      <c r="A607" s="3" t="str">
        <f>HYPERLINK("https://heavenlyouthouse.com/products/thymes-frasier-fir-gilded-ceramic-medium-candle", "https://heavenlyouthouse.com/products/thymes-frasier-fir-gilded-ceramic-medium-candle")</f>
        <v>https://heavenlyouthouse.com/products/thymes-frasier-fir-gilded-ceramic-medium-candle</v>
      </c>
      <c r="B607" s="3" t="str">
        <f>HYPERLINK("https://heavenlyouthouse.com/products/thymes-frasier-fir-gilded-ceramic-medium-candle", "https://heavenlyouthouse.com/products/thymes-frasier-fir-gilded-ceramic-medium-candle")</f>
        <v>https://heavenlyouthouse.com/products/thymes-frasier-fir-gilded-ceramic-medium-candle</v>
      </c>
      <c r="C607" t="s">
        <v>958</v>
      </c>
      <c r="D607" t="s">
        <v>322</v>
      </c>
      <c r="E607" s="3" t="str">
        <f>HYPERLINK("https://www.amazon.com/Thymes-Frasier-Ceramic-Poured-Candle/dp/B07CSC49XB/ref=sr_1_1?keywords=Thymes+Frasier+Fir+Gilded+Ceramic+Medium+Candle&amp;qid=1695258728&amp;sr=8-1", "https://www.amazon.com/Thymes-Frasier-Ceramic-Poured-Candle/dp/B07CSC49XB/ref=sr_1_1?keywords=Thymes+Frasier+Fir+Gilded+Ceramic+Medium+Candle&amp;qid=1695258728&amp;sr=8-1")</f>
        <v>https://www.amazon.com/Thymes-Frasier-Ceramic-Poured-Candle/dp/B07CSC49XB/ref=sr_1_1?keywords=Thymes+Frasier+Fir+Gilded+Ceramic+Medium+Candle&amp;qid=1695258728&amp;sr=8-1</v>
      </c>
      <c r="F607" t="s">
        <v>323</v>
      </c>
      <c r="G607" t="e">
        <f ca="1">IMAGE("https://heavenlyouthouse.com/cdn/shop/products/thymes-frasier-gilded-ceramic-candle-medium.jpg?v=1630015584")</f>
        <v>#NAME?</v>
      </c>
      <c r="H607" t="e">
        <f ca="1">IMAGE("https://m.media-amazon.com/images/I/71XPAmV+lSL._AC_UL320_.jpg")</f>
        <v>#NAME?</v>
      </c>
      <c r="I607" t="s">
        <v>959</v>
      </c>
      <c r="J607">
        <v>48</v>
      </c>
      <c r="K607" s="2" t="s">
        <v>1520</v>
      </c>
      <c r="L607">
        <v>4.7</v>
      </c>
      <c r="M607">
        <v>218</v>
      </c>
      <c r="O607" t="s">
        <v>39</v>
      </c>
      <c r="P607" t="s">
        <v>960</v>
      </c>
      <c r="Q607" t="s">
        <v>961</v>
      </c>
    </row>
    <row r="608" spans="1:17" ht="15.75" x14ac:dyDescent="0.25">
      <c r="A608" s="3" t="str">
        <f>HYPERLINK("https://heavenlyouthouse.com/products/super-dad-fathers-day-card", "https://heavenlyouthouse.com/products/super-dad-fathers-day-card")</f>
        <v>https://heavenlyouthouse.com/products/super-dad-fathers-day-card</v>
      </c>
      <c r="B608" s="3" t="str">
        <f>HYPERLINK("https://heavenlyouthouse.com/products/super-dad-fathers-day-card", "https://heavenlyouthouse.com/products/super-dad-fathers-day-card")</f>
        <v>https://heavenlyouthouse.com/products/super-dad-fathers-day-card</v>
      </c>
      <c r="C608" t="s">
        <v>886</v>
      </c>
      <c r="D608" t="s">
        <v>1585</v>
      </c>
      <c r="E608" s="3" t="str">
        <f>HYPERLINK("https://www.amazon.com/WLWLGLUCK-Fathers-Envelope-Greeting-Daughter/dp/B0BZNXVP2W/ref=sr_1_2?keywords=Super+Dad+Father%27s+Day+Card&amp;qid=1695258705&amp;sr=8-2", "https://www.amazon.com/WLWLGLUCK-Fathers-Envelope-Greeting-Daughter/dp/B0BZNXVP2W/ref=sr_1_2?keywords=Super+Dad+Father%27s+Day+Card&amp;qid=1695258705&amp;sr=8-2")</f>
        <v>https://www.amazon.com/WLWLGLUCK-Fathers-Envelope-Greeting-Daughter/dp/B0BZNXVP2W/ref=sr_1_2?keywords=Super+Dad+Father%27s+Day+Card&amp;qid=1695258705&amp;sr=8-2</v>
      </c>
      <c r="F608" t="s">
        <v>1586</v>
      </c>
      <c r="G608" t="e">
        <f ca="1">IMAGE("https://heavenlyouthouse.com/cdn/shop/products/super-dad-father_s-day-card2.jpg?v=1642611898")</f>
        <v>#NAME?</v>
      </c>
      <c r="H608" t="e">
        <f ca="1">IMAGE("https://m.media-amazon.com/images/I/61j6B--ZxVL._AC_UL320_.jpg")</f>
        <v>#NAME?</v>
      </c>
      <c r="I608" t="s">
        <v>889</v>
      </c>
      <c r="J608">
        <v>7.99</v>
      </c>
      <c r="K608" s="2" t="s">
        <v>1520</v>
      </c>
      <c r="L608">
        <v>4.8</v>
      </c>
      <c r="M608">
        <v>108</v>
      </c>
      <c r="O608" t="s">
        <v>39</v>
      </c>
      <c r="P608" t="s">
        <v>891</v>
      </c>
      <c r="Q608" t="s">
        <v>892</v>
      </c>
    </row>
    <row r="609" spans="1:17" ht="15.75" x14ac:dyDescent="0.25">
      <c r="A609" s="3" t="str">
        <f>HYPERLINK("https://heavenlyouthouse.com/products/super-dad-fathers-day-card", "https://heavenlyouthouse.com/products/super-dad-fathers-day-card")</f>
        <v>https://heavenlyouthouse.com/products/super-dad-fathers-day-card</v>
      </c>
      <c r="B609" s="3" t="str">
        <f>HYPERLINK("https://heavenlyouthouse.com/products/super-dad-fathers-day-card", "https://heavenlyouthouse.com/products/super-dad-fathers-day-card")</f>
        <v>https://heavenlyouthouse.com/products/super-dad-fathers-day-card</v>
      </c>
      <c r="C609" t="s">
        <v>886</v>
      </c>
      <c r="D609" t="s">
        <v>1587</v>
      </c>
      <c r="E609" s="3" t="str">
        <f>HYPERLINK("https://www.amazon.com/Sharonlily-Handcrafted-Greeting-Grandfather-Occasion/dp/B0C5HVFGPP/ref=sr_1_5?keywords=Super+Dad+Father%27s+Day+Card&amp;qid=1695258705&amp;sr=8-5", "https://www.amazon.com/Sharonlily-Handcrafted-Greeting-Grandfather-Occasion/dp/B0C5HVFGPP/ref=sr_1_5?keywords=Super+Dad+Father%27s+Day+Card&amp;qid=1695258705&amp;sr=8-5")</f>
        <v>https://www.amazon.com/Sharonlily-Handcrafted-Greeting-Grandfather-Occasion/dp/B0C5HVFGPP/ref=sr_1_5?keywords=Super+Dad+Father%27s+Day+Card&amp;qid=1695258705&amp;sr=8-5</v>
      </c>
      <c r="F609" t="s">
        <v>1588</v>
      </c>
      <c r="G609" t="e">
        <f ca="1">IMAGE("https://heavenlyouthouse.com/cdn/shop/products/super-dad-father_s-day-card2.jpg?v=1642611898")</f>
        <v>#NAME?</v>
      </c>
      <c r="H609" t="e">
        <f ca="1">IMAGE("https://m.media-amazon.com/images/I/513ms6vB1uL._AC_UL320_.jpg")</f>
        <v>#NAME?</v>
      </c>
      <c r="I609" t="s">
        <v>889</v>
      </c>
      <c r="J609">
        <v>7.99</v>
      </c>
      <c r="K609" s="2" t="s">
        <v>1520</v>
      </c>
      <c r="L609">
        <v>4.8</v>
      </c>
      <c r="M609">
        <v>262</v>
      </c>
      <c r="O609" t="s">
        <v>39</v>
      </c>
      <c r="P609" t="s">
        <v>891</v>
      </c>
      <c r="Q609" t="s">
        <v>892</v>
      </c>
    </row>
    <row r="610" spans="1:17" ht="15.75" x14ac:dyDescent="0.25">
      <c r="A610" s="3" t="str">
        <f>HYPERLINK("https://heavenlyouthouse.com/products/thymes-frasier-fir-pine-needle-candle-set", "https://heavenlyouthouse.com/products/thymes-frasier-fir-pine-needle-candle-set")</f>
        <v>https://heavenlyouthouse.com/products/thymes-frasier-fir-pine-needle-candle-set</v>
      </c>
      <c r="B610" s="3" t="str">
        <f>HYPERLINK("https://heavenlyouthouse.com/products/thymes-frasier-fir-pine-needle-candle-set", "https://heavenlyouthouse.com/products/thymes-frasier-fir-pine-needle-candle-set")</f>
        <v>https://heavenlyouthouse.com/products/thymes-frasier-fir-pine-needle-candle-set</v>
      </c>
      <c r="C610" t="s">
        <v>335</v>
      </c>
      <c r="D610" t="s">
        <v>441</v>
      </c>
      <c r="E610" s="3" t="str">
        <f>HYPERLINK("https://www.amazon.com/Thymes-Frasier-Fir-Candle-Set/dp/B0140PRD7I/ref=sr_1_7?keywords=Thymes+Frasier+Fir+Pine+Needle+Candle+Set&amp;qid=1695258733&amp;sr=8-7", "https://www.amazon.com/Thymes-Frasier-Fir-Candle-Set/dp/B0140PRD7I/ref=sr_1_7?keywords=Thymes+Frasier+Fir+Pine+Needle+Candle+Set&amp;qid=1695258733&amp;sr=8-7")</f>
        <v>https://www.amazon.com/Thymes-Frasier-Fir-Candle-Set/dp/B0140PRD7I/ref=sr_1_7?keywords=Thymes+Frasier+Fir+Pine+Needle+Candle+Set&amp;qid=1695258733&amp;sr=8-7</v>
      </c>
      <c r="F610" t="s">
        <v>442</v>
      </c>
      <c r="G610" t="e">
        <f ca="1">IMAGE("https://heavenlyouthouse.com/cdn/shop/products/thymes-frasier-fir-pine-needle-candle-set.jpg?v=1661983035")</f>
        <v>#NAME?</v>
      </c>
      <c r="H610" t="e">
        <f ca="1">IMAGE("https://m.media-amazon.com/images/I/71tOjhmJH0L._AC_UL320_.jpg")</f>
        <v>#NAME?</v>
      </c>
      <c r="I610" t="s">
        <v>336</v>
      </c>
      <c r="J610">
        <v>38</v>
      </c>
      <c r="K610" s="2" t="s">
        <v>1520</v>
      </c>
      <c r="L610">
        <v>4.7</v>
      </c>
      <c r="M610">
        <v>181</v>
      </c>
      <c r="O610" t="s">
        <v>39</v>
      </c>
      <c r="P610" t="s">
        <v>39</v>
      </c>
      <c r="Q610" t="s">
        <v>338</v>
      </c>
    </row>
    <row r="611" spans="1:17" ht="15.75" x14ac:dyDescent="0.25">
      <c r="A611" s="3" t="str">
        <f>HYPERLINK("https://heavenlyouthouse.com/products/eucalyptus-hand-creme", "https://heavenlyouthouse.com/products/eucalyptus-hand-creme")</f>
        <v>https://heavenlyouthouse.com/products/eucalyptus-hand-creme</v>
      </c>
      <c r="B611" s="3" t="str">
        <f>HYPERLINK("https://heavenlyouthouse.com/products/eucalyptus-hand-creme", "https://heavenlyouthouse.com/products/eucalyptus-hand-creme")</f>
        <v>https://heavenlyouthouse.com/products/eucalyptus-hand-creme</v>
      </c>
      <c r="C611" t="s">
        <v>865</v>
      </c>
      <c r="D611" t="s">
        <v>1043</v>
      </c>
      <c r="E611" s="3" t="str">
        <f>HYPERLINK("https://www.amazon.com/Thymes-Eucalyptus-Cr%C3%A8me-Deeply-Moisturizing/dp/B002WJHK1E/ref=sr_1_1?keywords=thymes+eucalyptus+hand+cream&amp;qid=1695258718&amp;sr=8-1", "https://www.amazon.com/Thymes-Eucalyptus-Cr%C3%A8me-Deeply-Moisturizing/dp/B002WJHK1E/ref=sr_1_1?keywords=thymes+eucalyptus+hand+cream&amp;qid=1695258718&amp;sr=8-1")</f>
        <v>https://www.amazon.com/Thymes-Eucalyptus-Cr%C3%A8me-Deeply-Moisturizing/dp/B002WJHK1E/ref=sr_1_1?keywords=thymes+eucalyptus+hand+cream&amp;qid=1695258718&amp;sr=8-1</v>
      </c>
      <c r="F611" t="s">
        <v>1044</v>
      </c>
      <c r="G611" t="e">
        <f ca="1">IMAGE("https://heavenlyouthouse.com/cdn/shop/products/hancreme.jpg?v=1588104623")</f>
        <v>#NAME?</v>
      </c>
      <c r="H611" t="e">
        <f ca="1">IMAGE("https://m.media-amazon.com/images/I/71ZB7ausgxL._AC_UL320_.jpg")</f>
        <v>#NAME?</v>
      </c>
      <c r="I611" t="s">
        <v>385</v>
      </c>
      <c r="J611">
        <v>22</v>
      </c>
      <c r="K611" s="2" t="s">
        <v>1520</v>
      </c>
      <c r="L611">
        <v>4.7</v>
      </c>
      <c r="M611">
        <v>1203</v>
      </c>
      <c r="O611" t="s">
        <v>39</v>
      </c>
      <c r="P611" t="s">
        <v>39</v>
      </c>
      <c r="Q611" t="s">
        <v>866</v>
      </c>
    </row>
    <row r="612" spans="1:17" ht="15.75" x14ac:dyDescent="0.25">
      <c r="A612" s="3" t="str">
        <f>HYPERLINK("https://heavenlyouthouse.com/products/goldleaf-hand-creme", "https://heavenlyouthouse.com/products/goldleaf-hand-creme")</f>
        <v>https://heavenlyouthouse.com/products/goldleaf-hand-creme</v>
      </c>
      <c r="B612" s="3" t="str">
        <f>HYPERLINK("https://heavenlyouthouse.com/products/goldleaf-hand-creme", "https://heavenlyouthouse.com/products/goldleaf-hand-creme")</f>
        <v>https://heavenlyouthouse.com/products/goldleaf-hand-creme</v>
      </c>
      <c r="C612" t="s">
        <v>816</v>
      </c>
      <c r="D612" t="s">
        <v>1036</v>
      </c>
      <c r="E612" s="3" t="str">
        <f>HYPERLINK("https://www.amazon.com/Thymes-Goldleaf-Deeply-Moisturizing-Scented/dp/B0746R81PK/ref=sr_1_1?keywords=thymes+goldleaf+hand+cream&amp;qid=1695258754&amp;sr=8-1", "https://www.amazon.com/Thymes-Goldleaf-Deeply-Moisturizing-Scented/dp/B0746R81PK/ref=sr_1_1?keywords=thymes+goldleaf+hand+cream&amp;qid=1695258754&amp;sr=8-1")</f>
        <v>https://www.amazon.com/Thymes-Goldleaf-Deeply-Moisturizing-Scented/dp/B0746R81PK/ref=sr_1_1?keywords=thymes+goldleaf+hand+cream&amp;qid=1695258754&amp;sr=8-1</v>
      </c>
      <c r="F612" t="s">
        <v>1037</v>
      </c>
      <c r="G612" t="e">
        <f ca="1">IMAGE("https://heavenlyouthouse.com/cdn/shop/products/handcream90ml.jpg?v=1587764262")</f>
        <v>#NAME?</v>
      </c>
      <c r="H612" t="e">
        <f ca="1">IMAGE("https://m.media-amazon.com/images/I/71t373FUcPL._AC_UL320_.jpg")</f>
        <v>#NAME?</v>
      </c>
      <c r="I612" t="s">
        <v>385</v>
      </c>
      <c r="J612">
        <v>22</v>
      </c>
      <c r="K612" s="2" t="s">
        <v>1520</v>
      </c>
      <c r="L612">
        <v>4.7</v>
      </c>
      <c r="M612">
        <v>1203</v>
      </c>
      <c r="O612" t="s">
        <v>39</v>
      </c>
      <c r="P612" t="s">
        <v>818</v>
      </c>
      <c r="Q612" t="s">
        <v>819</v>
      </c>
    </row>
    <row r="613" spans="1:17" ht="15.75" x14ac:dyDescent="0.25">
      <c r="A613" s="3" t="str">
        <f>HYPERLINK("https://heavenlyouthouse.com/products/lavender-hand-creme", "https://heavenlyouthouse.com/products/lavender-hand-creme")</f>
        <v>https://heavenlyouthouse.com/products/lavender-hand-creme</v>
      </c>
      <c r="B613" s="3" t="str">
        <f>HYPERLINK("https://heavenlyouthouse.com/products/lavender-hand-creme", "https://heavenlyouthouse.com/products/lavender-hand-creme")</f>
        <v>https://heavenlyouthouse.com/products/lavender-hand-creme</v>
      </c>
      <c r="C613" t="s">
        <v>860</v>
      </c>
      <c r="D613" t="s">
        <v>1040</v>
      </c>
      <c r="E613" s="3" t="str">
        <f>HYPERLINK("https://www.amazon.com/Thymes-Lavender-Deeply-Moisturizing-Relaxing/dp/B002WJHK1O/ref=sr_1_2?keywords=thymes+lavender+hand+cream&amp;qid=1695258760&amp;sr=8-2", "https://www.amazon.com/Thymes-Lavender-Deeply-Moisturizing-Relaxing/dp/B002WJHK1O/ref=sr_1_2?keywords=thymes+lavender+hand+cream&amp;qid=1695258760&amp;sr=8-2")</f>
        <v>https://www.amazon.com/Thymes-Lavender-Deeply-Moisturizing-Relaxing/dp/B002WJHK1O/ref=sr_1_2?keywords=thymes+lavender+hand+cream&amp;qid=1695258760&amp;sr=8-2</v>
      </c>
      <c r="F613" t="s">
        <v>1041</v>
      </c>
      <c r="G613" t="e">
        <f ca="1">IMAGE("https://heavenlyouthouse.com/cdn/shop/products/thymeslavenderhandcreme.jpg?v=1609951743")</f>
        <v>#NAME?</v>
      </c>
      <c r="H613" t="e">
        <f ca="1">IMAGE("https://m.media-amazon.com/images/I/713rciqIiAL._AC_UL320_.jpg")</f>
        <v>#NAME?</v>
      </c>
      <c r="I613" t="s">
        <v>385</v>
      </c>
      <c r="J613">
        <v>22</v>
      </c>
      <c r="K613" s="2" t="s">
        <v>1520</v>
      </c>
      <c r="L613">
        <v>4.7</v>
      </c>
      <c r="M613">
        <v>1203</v>
      </c>
      <c r="O613" t="s">
        <v>39</v>
      </c>
      <c r="P613" t="s">
        <v>39</v>
      </c>
      <c r="Q613" t="s">
        <v>861</v>
      </c>
    </row>
    <row r="614" spans="1:17" ht="15.75" x14ac:dyDescent="0.25">
      <c r="A614" s="3" t="str">
        <f>HYPERLINK("https://heavenlyouthouse.com/products/goldleaf-gardenia-hand-creme", "https://heavenlyouthouse.com/products/goldleaf-gardenia-hand-creme")</f>
        <v>https://heavenlyouthouse.com/products/goldleaf-gardenia-hand-creme</v>
      </c>
      <c r="B614" s="3" t="str">
        <f>HYPERLINK("https://heavenlyouthouse.com/products/goldleaf-gardenia-hand-creme", "https://heavenlyouthouse.com/products/goldleaf-gardenia-hand-creme")</f>
        <v>https://heavenlyouthouse.com/products/goldleaf-gardenia-hand-creme</v>
      </c>
      <c r="C614" t="s">
        <v>820</v>
      </c>
      <c r="D614" t="s">
        <v>1049</v>
      </c>
      <c r="E614" s="3" t="str">
        <f>HYPERLINK("https://www.amazon.com/Thymes-Goldleaf-Gardenia-Deeply-Moisturizing/dp/B06WVM6PX7/ref=sr_1_1?keywords=thymes+goldleaf+gardenia+hand+cream&amp;qid=1695258746&amp;sr=8-1", "https://www.amazon.com/Thymes-Goldleaf-Gardenia-Deeply-Moisturizing/dp/B06WVM6PX7/ref=sr_1_1?keywords=thymes+goldleaf+gardenia+hand+cream&amp;qid=1695258746&amp;sr=8-1")</f>
        <v>https://www.amazon.com/Thymes-Goldleaf-Gardenia-Deeply-Moisturizing/dp/B06WVM6PX7/ref=sr_1_1?keywords=thymes+goldleaf+gardenia+hand+cream&amp;qid=1695258746&amp;sr=8-1</v>
      </c>
      <c r="F614" t="s">
        <v>1050</v>
      </c>
      <c r="G614" t="e">
        <f ca="1">IMAGE("https://heavenlyouthouse.com/cdn/shop/products/thymesgoldleafgardeniahandcreme90ml.jpg?v=1609953411")</f>
        <v>#NAME?</v>
      </c>
      <c r="H614" t="e">
        <f ca="1">IMAGE("https://m.media-amazon.com/images/I/71Kd7nUkZBL._AC_UL320_.jpg")</f>
        <v>#NAME?</v>
      </c>
      <c r="I614" t="s">
        <v>385</v>
      </c>
      <c r="J614">
        <v>22</v>
      </c>
      <c r="K614" s="2" t="s">
        <v>1520</v>
      </c>
      <c r="L614">
        <v>4.7</v>
      </c>
      <c r="M614">
        <v>1203</v>
      </c>
      <c r="O614" t="s">
        <v>39</v>
      </c>
      <c r="P614" t="s">
        <v>39</v>
      </c>
      <c r="Q614" t="s">
        <v>821</v>
      </c>
    </row>
    <row r="615" spans="1:17" ht="15.75" x14ac:dyDescent="0.25">
      <c r="A615" s="3" t="str">
        <f>HYPERLINK("https://heavenlyouthouse.com/products/lavender-home-fragrance-mist", "https://heavenlyouthouse.com/products/lavender-home-fragrance-mist")</f>
        <v>https://heavenlyouthouse.com/products/lavender-home-fragrance-mist</v>
      </c>
      <c r="B615" s="3" t="str">
        <f>HYPERLINK("https://heavenlyouthouse.com/products/lavender-home-fragrance-mist", "https://heavenlyouthouse.com/products/lavender-home-fragrance-mist")</f>
        <v>https://heavenlyouthouse.com/products/lavender-home-fragrance-mist</v>
      </c>
      <c r="C615" t="s">
        <v>928</v>
      </c>
      <c r="D615" t="s">
        <v>1589</v>
      </c>
      <c r="E615" s="3" t="str">
        <f>HYPERLINK("https://www.amazon.com/Thymes-Lavender-Home-Fragrance-Mist/dp/B0035YV2HS/ref=sr_1_1?keywords=Thymes+Lavender+Home+Fragrance+Mist&amp;qid=1695258762&amp;sr=8-1", "https://www.amazon.com/Thymes-Lavender-Home-Fragrance-Mist/dp/B0035YV2HS/ref=sr_1_1?keywords=Thymes+Lavender+Home+Fragrance+Mist&amp;qid=1695258762&amp;sr=8-1")</f>
        <v>https://www.amazon.com/Thymes-Lavender-Home-Fragrance-Mist/dp/B0035YV2HS/ref=sr_1_1?keywords=Thymes+Lavender+Home+Fragrance+Mist&amp;qid=1695258762&amp;sr=8-1</v>
      </c>
      <c r="F615" t="s">
        <v>1590</v>
      </c>
      <c r="G615" t="e">
        <f ca="1">IMAGE("https://heavenlyouthouse.com/cdn/shop/products/thymeslavenderhomefragrancemist.jpg?v=1606419352")</f>
        <v>#NAME?</v>
      </c>
      <c r="H615" t="e">
        <f ca="1">IMAGE("https://m.media-amazon.com/images/I/31FcB3NSTXL._AC_UL320_.jpg")</f>
        <v>#NAME?</v>
      </c>
      <c r="I615" t="s">
        <v>385</v>
      </c>
      <c r="J615">
        <v>22</v>
      </c>
      <c r="K615" s="2" t="s">
        <v>1520</v>
      </c>
      <c r="L615">
        <v>4.5999999999999996</v>
      </c>
      <c r="M615">
        <v>2497</v>
      </c>
      <c r="O615" t="s">
        <v>39</v>
      </c>
      <c r="P615" t="s">
        <v>39</v>
      </c>
      <c r="Q615" t="s">
        <v>931</v>
      </c>
    </row>
    <row r="616" spans="1:17" ht="15.75" x14ac:dyDescent="0.25">
      <c r="A616" s="3" t="str">
        <f>HYPERLINK("https://heavenlyouthouse.com/products/thymes-goldleaf-gardenia-home-fragrance-mist", "https://heavenlyouthouse.com/products/thymes-goldleaf-gardenia-home-fragrance-mist")</f>
        <v>https://heavenlyouthouse.com/products/thymes-goldleaf-gardenia-home-fragrance-mist</v>
      </c>
      <c r="B616" s="3" t="str">
        <f>HYPERLINK("https://heavenlyouthouse.com/products/thymes-goldleaf-gardenia-home-fragrance-mist", "https://heavenlyouthouse.com/products/thymes-goldleaf-gardenia-home-fragrance-mist")</f>
        <v>https://heavenlyouthouse.com/products/thymes-goldleaf-gardenia-home-fragrance-mist</v>
      </c>
      <c r="C616" t="s">
        <v>922</v>
      </c>
      <c r="D616" t="s">
        <v>1591</v>
      </c>
      <c r="E616" s="3" t="str">
        <f>HYPERLINK("https://www.amazon.com/Thymes-Goldleaf-Gardenia-Fragrance-Scented/dp/B013GZLXT2/ref=sr_1_1?keywords=Thymes+Goldleaf+Gardenia+Home+Fragrance+Mist&amp;qid=1695258752&amp;sr=8-1", "https://www.amazon.com/Thymes-Goldleaf-Gardenia-Fragrance-Scented/dp/B013GZLXT2/ref=sr_1_1?keywords=Thymes+Goldleaf+Gardenia+Home+Fragrance+Mist&amp;qid=1695258752&amp;sr=8-1")</f>
        <v>https://www.amazon.com/Thymes-Goldleaf-Gardenia-Fragrance-Scented/dp/B013GZLXT2/ref=sr_1_1?keywords=Thymes+Goldleaf+Gardenia+Home+Fragrance+Mist&amp;qid=1695258752&amp;sr=8-1</v>
      </c>
      <c r="F616" t="s">
        <v>1592</v>
      </c>
      <c r="G616" t="e">
        <f ca="1">IMAGE("https://heavenlyouthouse.com/cdn/shop/products/thymesgoldleafgardeniahomefragrancemist.jpg?v=1613748131")</f>
        <v>#NAME?</v>
      </c>
      <c r="H616" t="e">
        <f ca="1">IMAGE("https://m.media-amazon.com/images/I/81EVUZOu9XL._AC_UL320_.jpg")</f>
        <v>#NAME?</v>
      </c>
      <c r="I616" t="s">
        <v>385</v>
      </c>
      <c r="J616">
        <v>22</v>
      </c>
      <c r="K616" s="2" t="s">
        <v>1520</v>
      </c>
      <c r="L616">
        <v>4.5</v>
      </c>
      <c r="M616">
        <v>278</v>
      </c>
      <c r="O616" t="s">
        <v>39</v>
      </c>
      <c r="P616" t="s">
        <v>39</v>
      </c>
      <c r="Q616" t="s">
        <v>925</v>
      </c>
    </row>
    <row r="617" spans="1:17" ht="15.75" x14ac:dyDescent="0.25">
      <c r="A617" s="3" t="str">
        <f>HYPERLINK("https://heavenlyouthouse.com/products/kimono-rose-home-fragrance-mist", "https://heavenlyouthouse.com/products/kimono-rose-home-fragrance-mist")</f>
        <v>https://heavenlyouthouse.com/products/kimono-rose-home-fragrance-mist</v>
      </c>
      <c r="B617" s="3" t="str">
        <f>HYPERLINK("https://heavenlyouthouse.com/products/kimono-rose-home-fragrance-mist", "https://heavenlyouthouse.com/products/kimono-rose-home-fragrance-mist")</f>
        <v>https://heavenlyouthouse.com/products/kimono-rose-home-fragrance-mist</v>
      </c>
      <c r="C617" t="s">
        <v>1593</v>
      </c>
      <c r="D617" t="s">
        <v>1594</v>
      </c>
      <c r="E617" s="3" t="str">
        <f>HYPERLINK("https://www.amazon.com/Thymes-Kimono-Fragrance-Vanilla-Scented/dp/B074V4798L/ref=sr_1_1?keywords=Thymes+Kimono+Rose+Home+Fragrance+Mist&amp;qid=1695258758&amp;sr=8-1", "https://www.amazon.com/Thymes-Kimono-Fragrance-Vanilla-Scented/dp/B074V4798L/ref=sr_1_1?keywords=Thymes+Kimono+Rose+Home+Fragrance+Mist&amp;qid=1695258758&amp;sr=8-1")</f>
        <v>https://www.amazon.com/Thymes-Kimono-Fragrance-Vanilla-Scented/dp/B074V4798L/ref=sr_1_1?keywords=Thymes+Kimono+Rose+Home+Fragrance+Mist&amp;qid=1695258758&amp;sr=8-1</v>
      </c>
      <c r="F617" t="s">
        <v>1595</v>
      </c>
      <c r="G617" t="e">
        <f ca="1">IMAGE("https://heavenlyouthouse.com/cdn/shop/products/homemist_417c1c1b-ad93-4f62-99d9-3a6fc013407f.jpg?v=1588107350")</f>
        <v>#NAME?</v>
      </c>
      <c r="H617" t="e">
        <f ca="1">IMAGE("https://m.media-amazon.com/images/I/61LfZL30Q8L._AC_UL320_.jpg")</f>
        <v>#NAME?</v>
      </c>
      <c r="I617" t="s">
        <v>385</v>
      </c>
      <c r="J617">
        <v>22</v>
      </c>
      <c r="K617" s="2" t="s">
        <v>1520</v>
      </c>
      <c r="L617">
        <v>4.5999999999999996</v>
      </c>
      <c r="M617">
        <v>2497</v>
      </c>
      <c r="O617" t="s">
        <v>39</v>
      </c>
      <c r="P617" t="s">
        <v>39</v>
      </c>
      <c r="Q617" t="s">
        <v>1596</v>
      </c>
    </row>
    <row r="618" spans="1:17" ht="15.75" x14ac:dyDescent="0.25">
      <c r="A618" s="3" t="str">
        <f>HYPERLINK("https://heavenlyouthouse.com/products/goldleaf-home-fragrance-mist", "https://heavenlyouthouse.com/products/goldleaf-home-fragrance-mist")</f>
        <v>https://heavenlyouthouse.com/products/goldleaf-home-fragrance-mist</v>
      </c>
      <c r="B618" s="3" t="str">
        <f>HYPERLINK("https://heavenlyouthouse.com/products/goldleaf-home-fragrance-mist", "https://heavenlyouthouse.com/products/goldleaf-home-fragrance-mist")</f>
        <v>https://heavenlyouthouse.com/products/goldleaf-home-fragrance-mist</v>
      </c>
      <c r="C618" t="s">
        <v>1597</v>
      </c>
      <c r="D618" t="s">
        <v>1598</v>
      </c>
      <c r="E618" s="3" t="str">
        <f>HYPERLINK("https://www.amazon.com/Thymes-Goldleaf-Fragrance-Elegant-Scented/dp/B074134LYW/ref=sr_1_1?keywords=Thymes+Goldleaf+Home+Fragrance+Mist&amp;qid=1695258765&amp;sr=8-1", "https://www.amazon.com/Thymes-Goldleaf-Fragrance-Elegant-Scented/dp/B074134LYW/ref=sr_1_1?keywords=Thymes+Goldleaf+Home+Fragrance+Mist&amp;qid=1695258765&amp;sr=8-1")</f>
        <v>https://www.amazon.com/Thymes-Goldleaf-Fragrance-Elegant-Scented/dp/B074134LYW/ref=sr_1_1?keywords=Thymes+Goldleaf+Home+Fragrance+Mist&amp;qid=1695258765&amp;sr=8-1</v>
      </c>
      <c r="F618" t="s">
        <v>1599</v>
      </c>
      <c r="G618" t="e">
        <f ca="1">IMAGE("https://heavenlyouthouse.com/cdn/shop/products/homemist.jpg?v=1587763252")</f>
        <v>#NAME?</v>
      </c>
      <c r="H618" t="e">
        <f ca="1">IMAGE("https://m.media-amazon.com/images/I/611LRQmhULL._AC_UL320_.jpg")</f>
        <v>#NAME?</v>
      </c>
      <c r="I618" t="s">
        <v>385</v>
      </c>
      <c r="J618">
        <v>22</v>
      </c>
      <c r="K618" s="2" t="s">
        <v>1520</v>
      </c>
      <c r="L618">
        <v>4.5999999999999996</v>
      </c>
      <c r="M618">
        <v>2497</v>
      </c>
      <c r="O618" t="s">
        <v>39</v>
      </c>
      <c r="P618" t="s">
        <v>39</v>
      </c>
      <c r="Q618" t="s">
        <v>1600</v>
      </c>
    </row>
    <row r="619" spans="1:17" ht="15.75" x14ac:dyDescent="0.25">
      <c r="A619" s="3" t="str">
        <f>HYPERLINK("https://heavenlyouthouse.com/products/thymes-lemon-leaf-home-fragrance-mist", "https://heavenlyouthouse.com/products/thymes-lemon-leaf-home-fragrance-mist")</f>
        <v>https://heavenlyouthouse.com/products/thymes-lemon-leaf-home-fragrance-mist</v>
      </c>
      <c r="B619" s="3" t="str">
        <f>HYPERLINK("https://heavenlyouthouse.com/products/thymes-lemon-leaf-home-fragrance-mist", "https://heavenlyouthouse.com/products/thymes-lemon-leaf-home-fragrance-mist")</f>
        <v>https://heavenlyouthouse.com/products/thymes-lemon-leaf-home-fragrance-mist</v>
      </c>
      <c r="C619" t="s">
        <v>1601</v>
      </c>
      <c r="D619" t="s">
        <v>1602</v>
      </c>
      <c r="E619" s="3" t="str">
        <f>HYPERLINK("https://www.amazon.com/Thymes-Fragrance-Mist-Lemon-Leaf/dp/B084BN2BKG/ref=sr_1_3?keywords=Thymes+Lemon+Leaf+Home+Fragrance+Mist&amp;qid=1695258767&amp;sr=8-3", "https://www.amazon.com/Thymes-Fragrance-Mist-Lemon-Leaf/dp/B084BN2BKG/ref=sr_1_3?keywords=Thymes+Lemon+Leaf+Home+Fragrance+Mist&amp;qid=1695258767&amp;sr=8-3")</f>
        <v>https://www.amazon.com/Thymes-Fragrance-Mist-Lemon-Leaf/dp/B084BN2BKG/ref=sr_1_3?keywords=Thymes+Lemon+Leaf+Home+Fragrance+Mist&amp;qid=1695258767&amp;sr=8-3</v>
      </c>
      <c r="F619" t="s">
        <v>1603</v>
      </c>
      <c r="G619" t="e">
        <f ca="1">IMAGE("https://heavenlyouthouse.com/cdn/shop/products/ThymesLemonLeafHomeFragranceMist.jpg?v=1613092617")</f>
        <v>#NAME?</v>
      </c>
      <c r="H619" t="e">
        <f ca="1">IMAGE("https://m.media-amazon.com/images/I/61i1SLwYJ+L._AC_UL320_.jpg")</f>
        <v>#NAME?</v>
      </c>
      <c r="I619" t="s">
        <v>385</v>
      </c>
      <c r="J619">
        <v>22</v>
      </c>
      <c r="K619" s="2" t="s">
        <v>1520</v>
      </c>
      <c r="L619">
        <v>4.5999999999999996</v>
      </c>
      <c r="M619">
        <v>2497</v>
      </c>
      <c r="O619" t="s">
        <v>39</v>
      </c>
      <c r="P619" t="s">
        <v>39</v>
      </c>
      <c r="Q619" t="s">
        <v>1604</v>
      </c>
    </row>
    <row r="620" spans="1:17" ht="15.75" x14ac:dyDescent="0.25">
      <c r="A620" s="3" t="str">
        <f>HYPERLINK("https://heavenlyouthouse.com/products/frasier-fir-bar-soap-and-dish-set", "https://heavenlyouthouse.com/products/frasier-fir-bar-soap-and-dish-set")</f>
        <v>https://heavenlyouthouse.com/products/frasier-fir-bar-soap-and-dish-set</v>
      </c>
      <c r="B620" s="3" t="str">
        <f>HYPERLINK("https://heavenlyouthouse.com/products/frasier-fir-bar-soap-and-dish-set", "https://heavenlyouthouse.com/products/frasier-fir-bar-soap-and-dish-set")</f>
        <v>https://heavenlyouthouse.com/products/frasier-fir-bar-soap-and-dish-set</v>
      </c>
      <c r="C620" t="s">
        <v>1605</v>
      </c>
      <c r="D620" t="s">
        <v>1606</v>
      </c>
      <c r="E620" s="3" t="str">
        <f>HYPERLINK("https://www.amazon.com/Thymes-Frasier-Triple-Milled-Ounces/dp/B01KIH4UGY/ref=sr_1_1?keywords=Thymes+Frasier+Fir+Bar+Soap+And+Dish+Set&amp;qid=1695258734&amp;sr=8-1", "https://www.amazon.com/Thymes-Frasier-Triple-Milled-Ounces/dp/B01KIH4UGY/ref=sr_1_1?keywords=Thymes+Frasier+Fir+Bar+Soap+And+Dish+Set&amp;qid=1695258734&amp;sr=8-1")</f>
        <v>https://www.amazon.com/Thymes-Frasier-Triple-Milled-Ounces/dp/B01KIH4UGY/ref=sr_1_1?keywords=Thymes+Frasier+Fir+Bar+Soap+And+Dish+Set&amp;qid=1695258734&amp;sr=8-1</v>
      </c>
      <c r="F620" t="s">
        <v>1607</v>
      </c>
      <c r="G620" t="e">
        <f ca="1">IMAGE("https://heavenlyouthouse.com/cdn/shop/products/fasierfirbarsoapanddishset.jpg?v=1607642185")</f>
        <v>#NAME?</v>
      </c>
      <c r="H620" t="e">
        <f ca="1">IMAGE("https://m.media-amazon.com/images/I/51CbWcVGciL._AC_UL320_.jpg")</f>
        <v>#NAME?</v>
      </c>
      <c r="I620" t="s">
        <v>385</v>
      </c>
      <c r="J620">
        <v>22</v>
      </c>
      <c r="K620" s="2" t="s">
        <v>1520</v>
      </c>
      <c r="L620">
        <v>4.8</v>
      </c>
      <c r="M620">
        <v>42</v>
      </c>
      <c r="O620" t="s">
        <v>39</v>
      </c>
      <c r="P620" t="s">
        <v>39</v>
      </c>
      <c r="Q620" t="s">
        <v>1608</v>
      </c>
    </row>
    <row r="621" spans="1:17" ht="15.75" x14ac:dyDescent="0.25">
      <c r="A621" s="3" t="str">
        <f>HYPERLINK("https://heavenlyouthouse.com/products/frasier-fir-home-fragrance-mist", "https://heavenlyouthouse.com/products/frasier-fir-home-fragrance-mist")</f>
        <v>https://heavenlyouthouse.com/products/frasier-fir-home-fragrance-mist</v>
      </c>
      <c r="B621" s="3" t="str">
        <f>HYPERLINK("https://heavenlyouthouse.com/products/frasier-fir-home-fragrance-mist", "https://heavenlyouthouse.com/products/frasier-fir-home-fragrance-mist")</f>
        <v>https://heavenlyouthouse.com/products/frasier-fir-home-fragrance-mist</v>
      </c>
      <c r="C621" t="s">
        <v>384</v>
      </c>
      <c r="D621" t="s">
        <v>1609</v>
      </c>
      <c r="E621" s="3" t="str">
        <f>HYPERLINK("https://www.amazon.com/Thymes-Frasier-Fragrance-Ounce-Bottle/dp/B0140PRCX8/ref=sr_1_1?keywords=Thymes+Frasier+Fir+Home+Fragrance+Mist&amp;qid=1695258733&amp;sr=8-1", "https://www.amazon.com/Thymes-Frasier-Fragrance-Ounce-Bottle/dp/B0140PRCX8/ref=sr_1_1?keywords=Thymes+Frasier+Fir+Home+Fragrance+Mist&amp;qid=1695258733&amp;sr=8-1")</f>
        <v>https://www.amazon.com/Thymes-Frasier-Fragrance-Ounce-Bottle/dp/B0140PRCX8/ref=sr_1_1?keywords=Thymes+Frasier+Fir+Home+Fragrance+Mist&amp;qid=1695258733&amp;sr=8-1</v>
      </c>
      <c r="F621" t="s">
        <v>1610</v>
      </c>
      <c r="G621" t="e">
        <f ca="1">IMAGE("https://heavenlyouthouse.com/cdn/shop/products/ThymesFrasierFirHomeFragranceMist.jpg?v=1617817932")</f>
        <v>#NAME?</v>
      </c>
      <c r="H621" t="e">
        <f ca="1">IMAGE("https://m.media-amazon.com/images/I/61O4W22d7cL._AC_UL320_.jpg")</f>
        <v>#NAME?</v>
      </c>
      <c r="I621" t="s">
        <v>385</v>
      </c>
      <c r="J621">
        <v>22</v>
      </c>
      <c r="K621" s="2" t="s">
        <v>1520</v>
      </c>
      <c r="L621">
        <v>4.5999999999999996</v>
      </c>
      <c r="M621">
        <v>1886</v>
      </c>
      <c r="O621" t="s">
        <v>39</v>
      </c>
      <c r="P621" t="s">
        <v>39</v>
      </c>
      <c r="Q621" t="s">
        <v>387</v>
      </c>
    </row>
    <row r="622" spans="1:17" ht="15.75" x14ac:dyDescent="0.25">
      <c r="A622" s="3" t="str">
        <f>HYPERLINK("https://heavenlyouthouse.com/products/frasier-fir-aroma-refresher-oil", "https://heavenlyouthouse.com/products/frasier-fir-aroma-refresher-oil")</f>
        <v>https://heavenlyouthouse.com/products/frasier-fir-aroma-refresher-oil</v>
      </c>
      <c r="B622" s="3" t="str">
        <f>HYPERLINK("https://heavenlyouthouse.com/products/frasier-fir-aroma-refresher-oil", "https://heavenlyouthouse.com/products/frasier-fir-aroma-refresher-oil")</f>
        <v>https://heavenlyouthouse.com/products/frasier-fir-aroma-refresher-oil</v>
      </c>
      <c r="C622" t="s">
        <v>1611</v>
      </c>
      <c r="D622" t="s">
        <v>1612</v>
      </c>
      <c r="E622" s="3"/>
      <c r="F622" t="s">
        <v>1613</v>
      </c>
      <c r="G622" t="e">
        <f ca="1">IMAGE("https://heavenlyouthouse.com/cdn/shop/products/frasierfirrefresheroil.jpg?v=1603998314")</f>
        <v>#NAME?</v>
      </c>
      <c r="H622" t="e">
        <f ca="1">IMAGE("https://m.media-amazon.com/images/I/51DaHG21SzL._AC_UL320_.jpg")</f>
        <v>#NAME?</v>
      </c>
      <c r="I622" t="s">
        <v>385</v>
      </c>
      <c r="J622">
        <v>22</v>
      </c>
      <c r="K622" s="2" t="s">
        <v>1520</v>
      </c>
      <c r="L622">
        <v>4.7</v>
      </c>
      <c r="M622">
        <v>1489</v>
      </c>
      <c r="O622" t="s">
        <v>39</v>
      </c>
      <c r="P622" t="s">
        <v>39</v>
      </c>
      <c r="Q622" t="s">
        <v>1614</v>
      </c>
    </row>
    <row r="623" spans="1:17" ht="15.75" x14ac:dyDescent="0.25">
      <c r="A623" s="3" t="str">
        <f>HYPERLINK("https://heavenlyouthouse.com/products/thymes-olive-leaf-home-fragrance-mist", "https://heavenlyouthouse.com/products/thymes-olive-leaf-home-fragrance-mist")</f>
        <v>https://heavenlyouthouse.com/products/thymes-olive-leaf-home-fragrance-mist</v>
      </c>
      <c r="B623" s="3" t="str">
        <f>HYPERLINK("https://heavenlyouthouse.com/products/thymes-olive-leaf-home-fragrance-mist", "https://heavenlyouthouse.com/products/thymes-olive-leaf-home-fragrance-mist")</f>
        <v>https://heavenlyouthouse.com/products/thymes-olive-leaf-home-fragrance-mist</v>
      </c>
      <c r="C623" t="s">
        <v>934</v>
      </c>
      <c r="D623" t="s">
        <v>1615</v>
      </c>
      <c r="E623" s="3" t="str">
        <f>HYPERLINK("https://www.amazon.com/Thymes-Olive-Fragrance-Fresh-Scented/dp/B0746QZVJK/ref=sr_1_1?keywords=Thymes+Olive+Leaf+Home+Fragrance+Mist&amp;qid=1695258784&amp;sr=8-1", "https://www.amazon.com/Thymes-Olive-Fragrance-Fresh-Scented/dp/B0746QZVJK/ref=sr_1_1?keywords=Thymes+Olive+Leaf+Home+Fragrance+Mist&amp;qid=1695258784&amp;sr=8-1")</f>
        <v>https://www.amazon.com/Thymes-Olive-Fragrance-Fresh-Scented/dp/B0746QZVJK/ref=sr_1_1?keywords=Thymes+Olive+Leaf+Home+Fragrance+Mist&amp;qid=1695258784&amp;sr=8-1</v>
      </c>
      <c r="F623" t="s">
        <v>1616</v>
      </c>
      <c r="G623" t="e">
        <f ca="1">IMAGE("https://heavenlyouthouse.com/cdn/shop/products/Olive-Leaf-Home-Fragrance-Mist.jpg?v=1633125346")</f>
        <v>#NAME?</v>
      </c>
      <c r="H623" t="e">
        <f ca="1">IMAGE("https://m.media-amazon.com/images/I/618proEoDHL._AC_UL320_.jpg")</f>
        <v>#NAME?</v>
      </c>
      <c r="I623" t="s">
        <v>385</v>
      </c>
      <c r="J623">
        <v>22</v>
      </c>
      <c r="K623" s="2" t="s">
        <v>1520</v>
      </c>
      <c r="L623">
        <v>4.5999999999999996</v>
      </c>
      <c r="M623">
        <v>2497</v>
      </c>
      <c r="O623" t="s">
        <v>39</v>
      </c>
      <c r="P623" t="s">
        <v>39</v>
      </c>
      <c r="Q623" t="s">
        <v>937</v>
      </c>
    </row>
    <row r="624" spans="1:17" ht="15.75" x14ac:dyDescent="0.25">
      <c r="A624" s="3" t="str">
        <f>HYPERLINK("https://heavenlyouthouse.com/products/thymes-olive-leaf-hand-cream", "https://heavenlyouthouse.com/products/thymes-olive-leaf-hand-cream")</f>
        <v>https://heavenlyouthouse.com/products/thymes-olive-leaf-hand-cream</v>
      </c>
      <c r="B624" s="3" t="str">
        <f>HYPERLINK("https://heavenlyouthouse.com/products/thymes-olive-leaf-hand-cream", "https://heavenlyouthouse.com/products/thymes-olive-leaf-hand-cream")</f>
        <v>https://heavenlyouthouse.com/products/thymes-olive-leaf-hand-cream</v>
      </c>
      <c r="C624" t="s">
        <v>862</v>
      </c>
      <c r="D624" t="s">
        <v>1047</v>
      </c>
      <c r="E624" s="3" t="str">
        <f>HYPERLINK("https://www.amazon.com/Thymes-Olive-Deeply-Moisturizing-Natural/dp/B0746R1Z7V/ref=sr_1_1?keywords=Thymes+Olive+Leaf+Hand+Cream&amp;qid=1695258780&amp;sr=8-1", "https://www.amazon.com/Thymes-Olive-Deeply-Moisturizing-Natural/dp/B0746R1Z7V/ref=sr_1_1?keywords=Thymes+Olive+Leaf+Hand+Cream&amp;qid=1695258780&amp;sr=8-1")</f>
        <v>https://www.amazon.com/Thymes-Olive-Deeply-Moisturizing-Natural/dp/B0746R1Z7V/ref=sr_1_1?keywords=Thymes+Olive+Leaf+Hand+Cream&amp;qid=1695258780&amp;sr=8-1</v>
      </c>
      <c r="F624" t="s">
        <v>1048</v>
      </c>
      <c r="G624" t="e">
        <f ca="1">IMAGE("https://heavenlyouthouse.com/cdn/shop/products/Olive-Leaf-Hand-Creme.jpg?v=1633124430")</f>
        <v>#NAME?</v>
      </c>
      <c r="H624" t="e">
        <f ca="1">IMAGE("https://m.media-amazon.com/images/I/714yJRv0zZL._AC_UL320_.jpg")</f>
        <v>#NAME?</v>
      </c>
      <c r="I624" t="s">
        <v>385</v>
      </c>
      <c r="J624">
        <v>22</v>
      </c>
      <c r="K624" s="2" t="s">
        <v>1520</v>
      </c>
      <c r="L624">
        <v>4.7</v>
      </c>
      <c r="M624">
        <v>1203</v>
      </c>
      <c r="O624" t="s">
        <v>39</v>
      </c>
      <c r="P624" t="s">
        <v>863</v>
      </c>
      <c r="Q624" t="s">
        <v>864</v>
      </c>
    </row>
    <row r="625" spans="1:17" ht="15.75" x14ac:dyDescent="0.25">
      <c r="A625" s="3" t="str">
        <f>HYPERLINK("https://heavenlyouthouse.com/products/kimono-rose-hand-creme", "https://heavenlyouthouse.com/products/kimono-rose-hand-creme")</f>
        <v>https://heavenlyouthouse.com/products/kimono-rose-hand-creme</v>
      </c>
      <c r="B625" s="3" t="str">
        <f>HYPERLINK("https://heavenlyouthouse.com/products/kimono-rose-hand-creme", "https://heavenlyouthouse.com/products/kimono-rose-hand-creme")</f>
        <v>https://heavenlyouthouse.com/products/kimono-rose-hand-creme</v>
      </c>
      <c r="C625" t="s">
        <v>858</v>
      </c>
      <c r="D625" t="s">
        <v>1034</v>
      </c>
      <c r="E625" s="3" t="str">
        <f>HYPERLINK("https://www.amazon.com/Thymes-Kimono-Moisturizing-Vanilla-Scented/dp/B002WJHL04/ref=sr_1_1?keywords=thymes+kimono+rose+hand+cream&amp;qid=1695258788&amp;sr=8-1", "https://www.amazon.com/Thymes-Kimono-Moisturizing-Vanilla-Scented/dp/B002WJHL04/ref=sr_1_1?keywords=thymes+kimono+rose+hand+cream&amp;qid=1695258788&amp;sr=8-1")</f>
        <v>https://www.amazon.com/Thymes-Kimono-Moisturizing-Vanilla-Scented/dp/B002WJHL04/ref=sr_1_1?keywords=thymes+kimono+rose+hand+cream&amp;qid=1695258788&amp;sr=8-1</v>
      </c>
      <c r="F625" t="s">
        <v>1035</v>
      </c>
      <c r="G625" t="e">
        <f ca="1">IMAGE("https://heavenlyouthouse.com/cdn/shop/products/handcreme90ml.jpg?v=1588107056")</f>
        <v>#NAME?</v>
      </c>
      <c r="H625" t="e">
        <f ca="1">IMAGE("https://m.media-amazon.com/images/I/71HzY2jHJLL._AC_UL320_.jpg")</f>
        <v>#NAME?</v>
      </c>
      <c r="I625" t="s">
        <v>385</v>
      </c>
      <c r="J625">
        <v>22</v>
      </c>
      <c r="K625" s="2" t="s">
        <v>1520</v>
      </c>
      <c r="L625">
        <v>4.7</v>
      </c>
      <c r="M625">
        <v>1203</v>
      </c>
      <c r="O625" t="s">
        <v>39</v>
      </c>
      <c r="P625" t="s">
        <v>39</v>
      </c>
      <c r="Q625" t="s">
        <v>859</v>
      </c>
    </row>
    <row r="626" spans="1:17" ht="15.75" x14ac:dyDescent="0.25">
      <c r="A626" s="3" t="str">
        <f>HYPERLINK("https://heavenlyouthouse.com/products/thymes-mandarin-coriander-home-fragrance-mist", "https://heavenlyouthouse.com/products/thymes-mandarin-coriander-home-fragrance-mist")</f>
        <v>https://heavenlyouthouse.com/products/thymes-mandarin-coriander-home-fragrance-mist</v>
      </c>
      <c r="B626" s="3" t="str">
        <f>HYPERLINK("https://heavenlyouthouse.com/products/thymes-mandarin-coriander-home-fragrance-mist", "https://heavenlyouthouse.com/products/thymes-mandarin-coriander-home-fragrance-mist")</f>
        <v>https://heavenlyouthouse.com/products/thymes-mandarin-coriander-home-fragrance-mist</v>
      </c>
      <c r="C626" t="s">
        <v>1617</v>
      </c>
      <c r="D626" t="s">
        <v>1618</v>
      </c>
      <c r="E626" s="3" t="str">
        <f>HYPERLINK("https://www.amazon.com/Thymes-637666028262-Fragrance-Mandarin-Coriander/dp/B0007Z3NA2/ref=sr_1_1?keywords=Thymes+Mandarin+Coriander+Home+Fragrance+Mist&amp;qid=1695258793&amp;sr=8-1", "https://www.amazon.com/Thymes-637666028262-Fragrance-Mandarin-Coriander/dp/B0007Z3NA2/ref=sr_1_1?keywords=Thymes+Mandarin+Coriander+Home+Fragrance+Mist&amp;qid=1695258793&amp;sr=8-1")</f>
        <v>https://www.amazon.com/Thymes-637666028262-Fragrance-Mandarin-Coriander/dp/B0007Z3NA2/ref=sr_1_1?keywords=Thymes+Mandarin+Coriander+Home+Fragrance+Mist&amp;qid=1695258793&amp;sr=8-1</v>
      </c>
      <c r="F626" t="s">
        <v>1619</v>
      </c>
      <c r="G626" t="e">
        <f ca="1">IMAGE("https://heavenlyouthouse.com/cdn/shop/products/ThymesMandarinCorianderhomefragrancemist.jpg?v=1613149071")</f>
        <v>#NAME?</v>
      </c>
      <c r="H626" t="e">
        <f ca="1">IMAGE("https://m.media-amazon.com/images/I/51lkvDMoSgL._AC_UL320_.jpg")</f>
        <v>#NAME?</v>
      </c>
      <c r="I626" t="s">
        <v>385</v>
      </c>
      <c r="J626">
        <v>22</v>
      </c>
      <c r="K626" s="2" t="s">
        <v>1520</v>
      </c>
      <c r="L626">
        <v>4.5999999999999996</v>
      </c>
      <c r="M626">
        <v>201</v>
      </c>
      <c r="O626" t="s">
        <v>39</v>
      </c>
      <c r="P626" t="s">
        <v>39</v>
      </c>
      <c r="Q626" t="s">
        <v>1620</v>
      </c>
    </row>
    <row r="627" spans="1:17" ht="15.75" x14ac:dyDescent="0.25">
      <c r="A627" s="3" t="str">
        <f>HYPERLINK("https://heavenlyouthouse.com/products/eucalyptus-home-fragrance-mist", "https://heavenlyouthouse.com/products/eucalyptus-home-fragrance-mist")</f>
        <v>https://heavenlyouthouse.com/products/eucalyptus-home-fragrance-mist</v>
      </c>
      <c r="B627" s="3" t="str">
        <f>HYPERLINK("https://heavenlyouthouse.com/products/eucalyptus-home-fragrance-mist", "https://heavenlyouthouse.com/products/eucalyptus-home-fragrance-mist")</f>
        <v>https://heavenlyouthouse.com/products/eucalyptus-home-fragrance-mist</v>
      </c>
      <c r="C627" t="s">
        <v>1621</v>
      </c>
      <c r="D627" t="s">
        <v>1622</v>
      </c>
      <c r="E627" s="3" t="str">
        <f>HYPERLINK("https://www.amazon.com/Thymes-Eucalyptus-Collection-Spray-Ounce/dp/B0746QW19Y/ref=sr_1_1?keywords=Thymes+Eucalyptus+Home+Fragrance+Mist&amp;qid=1695258723&amp;sr=8-1", "https://www.amazon.com/Thymes-Eucalyptus-Collection-Spray-Ounce/dp/B0746QW19Y/ref=sr_1_1?keywords=Thymes+Eucalyptus+Home+Fragrance+Mist&amp;qid=1695258723&amp;sr=8-1")</f>
        <v>https://www.amazon.com/Thymes-Eucalyptus-Collection-Spray-Ounce/dp/B0746QW19Y/ref=sr_1_1?keywords=Thymes+Eucalyptus+Home+Fragrance+Mist&amp;qid=1695258723&amp;sr=8-1</v>
      </c>
      <c r="F627" t="s">
        <v>1623</v>
      </c>
      <c r="G627" t="e">
        <f ca="1">IMAGE("https://heavenlyouthouse.com/cdn/shop/products/main_full_2.jpg?v=1588105050")</f>
        <v>#NAME?</v>
      </c>
      <c r="H627" t="e">
        <f ca="1">IMAGE("https://m.media-amazon.com/images/I/81IGdiGhkoL._AC_UL320_.jpg")</f>
        <v>#NAME?</v>
      </c>
      <c r="I627" t="s">
        <v>385</v>
      </c>
      <c r="J627">
        <v>22</v>
      </c>
      <c r="K627" s="2" t="s">
        <v>1520</v>
      </c>
      <c r="L627">
        <v>4.5999999999999996</v>
      </c>
      <c r="M627">
        <v>2497</v>
      </c>
      <c r="O627" t="s">
        <v>39</v>
      </c>
      <c r="P627" t="s">
        <v>39</v>
      </c>
      <c r="Q627" t="s">
        <v>1624</v>
      </c>
    </row>
    <row r="628" spans="1:17" ht="15.75" x14ac:dyDescent="0.25">
      <c r="A628" s="3" t="str">
        <f>HYPERLINK("https://heavenlyouthouse.com/products/serenity-bath-salts-jar", "https://heavenlyouthouse.com/products/serenity-bath-salts-jar")</f>
        <v>https://heavenlyouthouse.com/products/serenity-bath-salts-jar</v>
      </c>
      <c r="B628" s="3" t="str">
        <f>HYPERLINK("https://heavenlyouthouse.com/products/serenity-bath-salts-jar", "https://heavenlyouthouse.com/products/serenity-bath-salts-jar")</f>
        <v>https://heavenlyouthouse.com/products/serenity-bath-salts-jar</v>
      </c>
      <c r="C628" t="s">
        <v>1625</v>
      </c>
      <c r="D628" t="s">
        <v>1626</v>
      </c>
      <c r="E628" s="3" t="str">
        <f>HYPERLINK("https://www.amazon.com/Himalayan-Jasmine-Salts-Glass-Bamboo/dp/B09Z2QK6VR/ref=sr_1_10?keywords=Serenity+Bath+Salts+Jar&amp;qid=1695258681&amp;sr=8-10", "https://www.amazon.com/Himalayan-Jasmine-Salts-Glass-Bamboo/dp/B09Z2QK6VR/ref=sr_1_10?keywords=Serenity+Bath+Salts+Jar&amp;qid=1695258681&amp;sr=8-10")</f>
        <v>https://www.amazon.com/Himalayan-Jasmine-Salts-Glass-Bamboo/dp/B09Z2QK6VR/ref=sr_1_10?keywords=Serenity+Bath+Salts+Jar&amp;qid=1695258681&amp;sr=8-10</v>
      </c>
      <c r="F628" t="s">
        <v>1627</v>
      </c>
      <c r="G628" t="e">
        <f ca="1">IMAGE("https://heavenlyouthouse.com/cdn/shop/products/Serenity_Large-Wellness-Salts_2048_2000x_9e053bd0-51d6-4b9c-b442-c3ddceb29a77.jpg?v=1589466762")</f>
        <v>#NAME?</v>
      </c>
      <c r="H628" t="e">
        <f ca="1">IMAGE("https://m.media-amazon.com/images/I/71Yd5frmAkL._AC_UL320_.jpg")</f>
        <v>#NAME?</v>
      </c>
      <c r="I628" t="s">
        <v>756</v>
      </c>
      <c r="J628">
        <v>18.989999999999998</v>
      </c>
      <c r="K628" s="2" t="s">
        <v>1520</v>
      </c>
      <c r="L628">
        <v>5</v>
      </c>
      <c r="M628">
        <v>1</v>
      </c>
      <c r="O628" t="s">
        <v>39</v>
      </c>
      <c r="P628" t="s">
        <v>39</v>
      </c>
      <c r="Q628" t="s">
        <v>1628</v>
      </c>
    </row>
    <row r="629" spans="1:17" ht="15.75" x14ac:dyDescent="0.25">
      <c r="A629" s="3" t="str">
        <f>HYPERLINK("https://heavenlyouthouse.com/products/kimono-rose-body-lotion", "https://heavenlyouthouse.com/products/kimono-rose-body-lotion")</f>
        <v>https://heavenlyouthouse.com/products/kimono-rose-body-lotion</v>
      </c>
      <c r="B629" s="3" t="str">
        <f>HYPERLINK("https://heavenlyouthouse.com/products/kimono-rose-body-lotion", "https://heavenlyouthouse.com/products/kimono-rose-body-lotion")</f>
        <v>https://heavenlyouthouse.com/products/kimono-rose-body-lotion</v>
      </c>
      <c r="C629" t="s">
        <v>1301</v>
      </c>
      <c r="D629" t="s">
        <v>1271</v>
      </c>
      <c r="E629" s="3" t="str">
        <f>HYPERLINK("https://www.amazon.com/Thymes-Kimono-Lotion-Moisturizing-Vanilla/dp/B0029F2HM8/ref=sr_1_1?keywords=Thymes+Kimono+Rose+Body+Lotion&amp;qid=1695258757&amp;sr=8-1", "https://www.amazon.com/Thymes-Kimono-Lotion-Moisturizing-Vanilla/dp/B0029F2HM8/ref=sr_1_1?keywords=Thymes+Kimono+Rose+Body+Lotion&amp;qid=1695258757&amp;sr=8-1")</f>
        <v>https://www.amazon.com/Thymes-Kimono-Lotion-Moisturizing-Vanilla/dp/B0029F2HM8/ref=sr_1_1?keywords=Thymes+Kimono+Rose+Body+Lotion&amp;qid=1695258757&amp;sr=8-1</v>
      </c>
      <c r="F629" t="s">
        <v>1272</v>
      </c>
      <c r="G629" t="e">
        <f ca="1">IMAGE("https://heavenlyouthouse.com/cdn/shop/products/thymes-kimono-rose-body-lotion_103ffa33-d927-4c1c-a6c8-86492c96b160.png?v=1652277106")</f>
        <v>#NAME?</v>
      </c>
      <c r="H629" t="e">
        <f ca="1">IMAGE("https://m.media-amazon.com/images/I/71wVmzFjivL._AC_UL320_.jpg")</f>
        <v>#NAME?</v>
      </c>
      <c r="I629" t="s">
        <v>1233</v>
      </c>
      <c r="J629">
        <v>28</v>
      </c>
      <c r="K629" s="2" t="s">
        <v>1520</v>
      </c>
      <c r="L629">
        <v>4.5999999999999996</v>
      </c>
      <c r="M629">
        <v>2417</v>
      </c>
      <c r="O629" t="s">
        <v>39</v>
      </c>
      <c r="P629" t="s">
        <v>1302</v>
      </c>
      <c r="Q629" t="s">
        <v>1303</v>
      </c>
    </row>
    <row r="630" spans="1:17" ht="15.75" x14ac:dyDescent="0.25">
      <c r="A630" s="3" t="str">
        <f>HYPERLINK("https://heavenlyouthouse.com/products/kimono-rose-body-lotion", "https://heavenlyouthouse.com/products/kimono-rose-body-lotion")</f>
        <v>https://heavenlyouthouse.com/products/kimono-rose-body-lotion</v>
      </c>
      <c r="B630" s="3" t="str">
        <f>HYPERLINK("https://heavenlyouthouse.com/products/kimono-rose-body-lotion", "https://heavenlyouthouse.com/products/kimono-rose-body-lotion")</f>
        <v>https://heavenlyouthouse.com/products/kimono-rose-body-lotion</v>
      </c>
      <c r="C630" t="s">
        <v>1301</v>
      </c>
      <c r="D630" t="s">
        <v>1277</v>
      </c>
      <c r="E630" s="3" t="str">
        <f>HYPERLINK("https://www.amazon.com/Thymes-Body-Scrub-Kimono-Rose/dp/B09HL9R9FZ/ref=sr_1_9?keywords=Thymes+Kimono+Rose+Body+Lotion&amp;qid=1695258757&amp;sr=8-9", "https://www.amazon.com/Thymes-Body-Scrub-Kimono-Rose/dp/B09HL9R9FZ/ref=sr_1_9?keywords=Thymes+Kimono+Rose+Body+Lotion&amp;qid=1695258757&amp;sr=8-9")</f>
        <v>https://www.amazon.com/Thymes-Body-Scrub-Kimono-Rose/dp/B09HL9R9FZ/ref=sr_1_9?keywords=Thymes+Kimono+Rose+Body+Lotion&amp;qid=1695258757&amp;sr=8-9</v>
      </c>
      <c r="F630" t="s">
        <v>1278</v>
      </c>
      <c r="G630" t="e">
        <f ca="1">IMAGE("https://heavenlyouthouse.com/cdn/shop/products/thymes-kimono-rose-body-lotion_103ffa33-d927-4c1c-a6c8-86492c96b160.png?v=1652277106")</f>
        <v>#NAME?</v>
      </c>
      <c r="H630" t="e">
        <f ca="1">IMAGE("https://m.media-amazon.com/images/I/61gVpt2YpCL._AC_UL320_.jpg")</f>
        <v>#NAME?</v>
      </c>
      <c r="I630" t="s">
        <v>1233</v>
      </c>
      <c r="J630">
        <v>28</v>
      </c>
      <c r="K630" s="2" t="s">
        <v>1520</v>
      </c>
      <c r="L630">
        <v>4.5999999999999996</v>
      </c>
      <c r="M630">
        <v>34</v>
      </c>
      <c r="O630" t="s">
        <v>39</v>
      </c>
      <c r="P630" t="s">
        <v>1302</v>
      </c>
      <c r="Q630" t="s">
        <v>1303</v>
      </c>
    </row>
    <row r="631" spans="1:17" ht="15.75" x14ac:dyDescent="0.25">
      <c r="A631" s="3" t="str">
        <f>HYPERLINK("https://heavenlyouthouse.com/products/thymes-olive-leaf-body-lotion", "https://heavenlyouthouse.com/products/thymes-olive-leaf-body-lotion")</f>
        <v>https://heavenlyouthouse.com/products/thymes-olive-leaf-body-lotion</v>
      </c>
      <c r="B631" s="3" t="str">
        <f>HYPERLINK("https://heavenlyouthouse.com/products/thymes-olive-leaf-body-lotion", "https://heavenlyouthouse.com/products/thymes-olive-leaf-body-lotion")</f>
        <v>https://heavenlyouthouse.com/products/thymes-olive-leaf-body-lotion</v>
      </c>
      <c r="C631" t="s">
        <v>1232</v>
      </c>
      <c r="D631" t="s">
        <v>727</v>
      </c>
      <c r="E631" s="3" t="str">
        <f>HYPERLINK("https://www.amazon.com/Thymes-Petite-Perfumed-Cr%C3%A8me-Parent/dp/B073Z3VMFX/ref=sr_1_1?keywords=Thymes+Olive+Leaf+Body+Lotion&amp;qid=1695258779&amp;sr=8-1", "https://www.amazon.com/Thymes-Petite-Perfumed-Cr%C3%A8me-Parent/dp/B073Z3VMFX/ref=sr_1_1?keywords=Thymes+Olive+Leaf+Body+Lotion&amp;qid=1695258779&amp;sr=8-1")</f>
        <v>https://www.amazon.com/Thymes-Petite-Perfumed-Cr%C3%A8me-Parent/dp/B073Z3VMFX/ref=sr_1_1?keywords=Thymes+Olive+Leaf+Body+Lotion&amp;qid=1695258779&amp;sr=8-1</v>
      </c>
      <c r="F631" t="s">
        <v>728</v>
      </c>
      <c r="G631" t="e">
        <f ca="1">IMAGE("https://heavenlyouthouse.com/cdn/shop/files/thymes-olive-leaf-body-lotion_300x300.jpg?v=1687382312")</f>
        <v>#NAME?</v>
      </c>
      <c r="H631" t="e">
        <f ca="1">IMAGE("https://m.media-amazon.com/images/I/71C0-WYNaSL._AC_UL320_.jpg")</f>
        <v>#NAME?</v>
      </c>
      <c r="I631" t="s">
        <v>1233</v>
      </c>
      <c r="J631">
        <v>28</v>
      </c>
      <c r="K631" s="2" t="s">
        <v>1520</v>
      </c>
      <c r="L631">
        <v>4.5999999999999996</v>
      </c>
      <c r="M631">
        <v>2417</v>
      </c>
      <c r="O631" t="s">
        <v>39</v>
      </c>
      <c r="P631" t="s">
        <v>39</v>
      </c>
      <c r="Q631" t="s">
        <v>1234</v>
      </c>
    </row>
    <row r="632" spans="1:17" ht="15.75" x14ac:dyDescent="0.25">
      <c r="A632" s="3" t="str">
        <f>HYPERLINK("https://heavenlyouthouse.com/products/vanilla-coconut-body-lotion", "https://heavenlyouthouse.com/products/vanilla-coconut-body-lotion")</f>
        <v>https://heavenlyouthouse.com/products/vanilla-coconut-body-lotion</v>
      </c>
      <c r="B632" s="3" t="str">
        <f>HYPERLINK("https://heavenlyouthouse.com/products/vanilla-coconut-body-lotion", "https://heavenlyouthouse.com/products/vanilla-coconut-body-lotion")</f>
        <v>https://heavenlyouthouse.com/products/vanilla-coconut-body-lotion</v>
      </c>
      <c r="C632" t="s">
        <v>396</v>
      </c>
      <c r="D632" t="s">
        <v>1629</v>
      </c>
      <c r="E632" s="3" t="str">
        <f>HYPERLINK("https://www.amazon.com/Natures-Answer-Essential-Coconut-16-Ounce/dp/B072JVW271/ref=sr_1_8?keywords=Vanilla+Coconut+Body+Lotion&amp;qid=1695258813&amp;sr=8-8", "https://www.amazon.com/Natures-Answer-Essential-Coconut-16-Ounce/dp/B072JVW271/ref=sr_1_8?keywords=Vanilla+Coconut+Body+Lotion&amp;qid=1695258813&amp;sr=8-8")</f>
        <v>https://www.amazon.com/Natures-Answer-Essential-Coconut-16-Ounce/dp/B072JVW271/ref=sr_1_8?keywords=Vanilla+Coconut+Body+Lotion&amp;qid=1695258813&amp;sr=8-8</v>
      </c>
      <c r="F632" t="s">
        <v>1630</v>
      </c>
      <c r="G632" t="e">
        <f ca="1">IMAGE("https://heavenlyouthouse.com/cdn/shop/products/Vanilla-Coconut_Body-Lotion_2048_2000x_f9dbe99f-03d5-4b01-984d-3ca76d1c9785.jpg?v=1586911459")</f>
        <v>#NAME?</v>
      </c>
      <c r="H632" t="e">
        <f ca="1">IMAGE("https://m.media-amazon.com/images/I/512vNOJukiL._AC_UL320_.jpg")</f>
        <v>#NAME?</v>
      </c>
      <c r="I632" t="s">
        <v>399</v>
      </c>
      <c r="J632">
        <v>15.89</v>
      </c>
      <c r="K632" s="2" t="s">
        <v>1520</v>
      </c>
      <c r="L632">
        <v>4.2</v>
      </c>
      <c r="M632">
        <v>74</v>
      </c>
      <c r="O632" t="s">
        <v>39</v>
      </c>
      <c r="P632" t="s">
        <v>39</v>
      </c>
      <c r="Q632" t="s">
        <v>400</v>
      </c>
    </row>
    <row r="633" spans="1:17" ht="15.75" x14ac:dyDescent="0.25">
      <c r="A633" s="3" t="str">
        <f>HYPERLINK("https://heavenlyouthouse.com/products/thymes-washed-linen-wool-dryer-balls-laundry-fragrance-oil-set", "https://heavenlyouthouse.com/products/thymes-washed-linen-wool-dryer-balls-laundry-fragrance-oil-set")</f>
        <v>https://heavenlyouthouse.com/products/thymes-washed-linen-wool-dryer-balls-laundry-fragrance-oil-set</v>
      </c>
      <c r="B633" s="3" t="str">
        <f>HYPERLINK("https://heavenlyouthouse.com/products/thymes-washed-linen-wool-dryer-balls-laundry-fragrance-oil-set", "https://heavenlyouthouse.com/products/thymes-washed-linen-wool-dryer-balls-laundry-fragrance-oil-set")</f>
        <v>https://heavenlyouthouse.com/products/thymes-washed-linen-wool-dryer-balls-laundry-fragrance-oil-set</v>
      </c>
      <c r="C633" t="s">
        <v>1631</v>
      </c>
      <c r="D633" t="s">
        <v>605</v>
      </c>
      <c r="E633" s="3" t="str">
        <f>HYPERLINK("https://www.amazon.com/Thymes-Wool-Dryer-Fragrance-Laundry/dp/B0B75XKBXS/ref=sr_1_1?keywords=Thymes+Washed+Linen+Wool+Dryer+Balls&amp;qid=1695258790&amp;sr=8-1", "https://www.amazon.com/Thymes-Wool-Dryer-Fragrance-Laundry/dp/B0B75XKBXS/ref=sr_1_1?keywords=Thymes+Washed+Linen+Wool+Dryer+Balls&amp;qid=1695258790&amp;sr=8-1")</f>
        <v>https://www.amazon.com/Thymes-Wool-Dryer-Fragrance-Laundry/dp/B0B75XKBXS/ref=sr_1_1?keywords=Thymes+Washed+Linen+Wool+Dryer+Balls&amp;qid=1695258790&amp;sr=8-1</v>
      </c>
      <c r="F633" t="s">
        <v>606</v>
      </c>
      <c r="G633" t="e">
        <f ca="1">IMAGE("https://heavenlyouthouse.com/cdn/shop/products/thymes-washed-linen-fragrance-laundry-oil-dryer-balls-set.jpg?v=1662131423")</f>
        <v>#NAME?</v>
      </c>
      <c r="H633" t="e">
        <f ca="1">IMAGE("https://m.media-amazon.com/images/I/716Pb-9owwL._AC_UL320_.jpg")</f>
        <v>#NAME?</v>
      </c>
      <c r="I633" t="s">
        <v>1632</v>
      </c>
      <c r="J633">
        <v>34</v>
      </c>
      <c r="K633" s="2" t="s">
        <v>1520</v>
      </c>
      <c r="L633">
        <v>4.2</v>
      </c>
      <c r="M633">
        <v>49</v>
      </c>
      <c r="O633" t="s">
        <v>39</v>
      </c>
      <c r="P633" t="s">
        <v>39</v>
      </c>
      <c r="Q633" t="s">
        <v>1633</v>
      </c>
    </row>
    <row r="634" spans="1:17" ht="15.75" x14ac:dyDescent="0.25">
      <c r="A634" s="3" t="str">
        <f>HYPERLINK("https://heavenlyouthouse.com/products/thymes-eucalyptus-hand-wash-refill?variant=40119157129305", "https://heavenlyouthouse.com/products/thymes-eucalyptus-hand-wash-refill?variant=40119157129305")</f>
        <v>https://heavenlyouthouse.com/products/thymes-eucalyptus-hand-wash-refill?variant=40119157129305</v>
      </c>
      <c r="B634" s="3" t="str">
        <f>HYPERLINK("https://heavenlyouthouse.com/products/thymes-eucalyptus-hand-wash-refill", "https://heavenlyouthouse.com/products/thymes-eucalyptus-hand-wash-refill")</f>
        <v>https://heavenlyouthouse.com/products/thymes-eucalyptus-hand-wash-refill</v>
      </c>
      <c r="C634" t="s">
        <v>1634</v>
      </c>
      <c r="D634" t="s">
        <v>1635</v>
      </c>
      <c r="E634" s="3" t="str">
        <f>HYPERLINK("https://www.amazon.com/Thymes-Hand-Wash-Refill-Eucalyptus/dp/B0B75V5C7Q/ref=sr_1_1?keywords=Thymes+Eucalyptus+Hand+Wash+Refill&amp;qid=1695258720&amp;sr=8-1", "https://www.amazon.com/Thymes-Hand-Wash-Refill-Eucalyptus/dp/B0B75V5C7Q/ref=sr_1_1?keywords=Thymes+Eucalyptus+Hand+Wash+Refill&amp;qid=1695258720&amp;sr=8-1")</f>
        <v>https://www.amazon.com/Thymes-Hand-Wash-Refill-Eucalyptus/dp/B0B75V5C7Q/ref=sr_1_1?keywords=Thymes+Eucalyptus+Hand+Wash+Refill&amp;qid=1695258720&amp;sr=8-1</v>
      </c>
      <c r="F634" t="s">
        <v>1636</v>
      </c>
      <c r="G634" t="e">
        <f ca="1">IMAGE("https://heavenlyouthouse.com/cdn/shop/products/thymes-eucalyptus-large-hand-wash-refill.jpg?v=1658981480")</f>
        <v>#NAME?</v>
      </c>
      <c r="H634" t="e">
        <f ca="1">IMAGE("https://m.media-amazon.com/images/I/61RIFxu3HgL._AC_UL320_.jpg")</f>
        <v>#NAME?</v>
      </c>
      <c r="I634" t="s">
        <v>1632</v>
      </c>
      <c r="J634">
        <v>34</v>
      </c>
      <c r="K634" s="2" t="s">
        <v>1520</v>
      </c>
      <c r="L634">
        <v>4.5999999999999996</v>
      </c>
      <c r="M634">
        <v>3441</v>
      </c>
      <c r="O634" t="s">
        <v>136</v>
      </c>
      <c r="P634" t="s">
        <v>39</v>
      </c>
      <c r="Q634" t="s">
        <v>1637</v>
      </c>
    </row>
    <row r="635" spans="1:17" ht="15.75" x14ac:dyDescent="0.25">
      <c r="A635" s="3" t="str">
        <f>HYPERLINK("https://heavenlyouthouse.com/products/thymes-frasier-fir-hand-wash-refill", "https://heavenlyouthouse.com/products/thymes-frasier-fir-hand-wash-refill")</f>
        <v>https://heavenlyouthouse.com/products/thymes-frasier-fir-hand-wash-refill</v>
      </c>
      <c r="B635" s="3" t="str">
        <f>HYPERLINK("https://heavenlyouthouse.com/products/thymes-frasier-fir-hand-wash-refill", "https://heavenlyouthouse.com/products/thymes-frasier-fir-hand-wash-refill")</f>
        <v>https://heavenlyouthouse.com/products/thymes-frasier-fir-hand-wash-refill</v>
      </c>
      <c r="C635" t="s">
        <v>1638</v>
      </c>
      <c r="D635" t="s">
        <v>613</v>
      </c>
      <c r="E635" s="3" t="str">
        <f>HYPERLINK("https://www.amazon.com/Frasier-Fir-Hand-Wash-Refill/dp/B07Q2GVV9J/ref=sr_1_1?keywords=Thymes+Frasier+Fir+Hand+Wash+Refill&amp;qid=1695258729&amp;sr=8-1", "https://www.amazon.com/Frasier-Fir-Hand-Wash-Refill/dp/B07Q2GVV9J/ref=sr_1_1?keywords=Thymes+Frasier+Fir+Hand+Wash+Refill&amp;qid=1695258729&amp;sr=8-1")</f>
        <v>https://www.amazon.com/Frasier-Fir-Hand-Wash-Refill/dp/B07Q2GVV9J/ref=sr_1_1?keywords=Thymes+Frasier+Fir+Hand+Wash+Refill&amp;qid=1695258729&amp;sr=8-1</v>
      </c>
      <c r="F635" t="s">
        <v>614</v>
      </c>
      <c r="G635" t="e">
        <f ca="1">IMAGE("https://heavenlyouthouse.com/cdn/shop/products/thymesfrasierfirhandwashrefill.jpg?v=1620682309")</f>
        <v>#NAME?</v>
      </c>
      <c r="H635" t="e">
        <f ca="1">IMAGE("https://m.media-amazon.com/images/I/61P+I7RToYL._AC_UL320_.jpg")</f>
        <v>#NAME?</v>
      </c>
      <c r="I635" t="s">
        <v>1632</v>
      </c>
      <c r="J635">
        <v>34</v>
      </c>
      <c r="K635" s="2" t="s">
        <v>1520</v>
      </c>
      <c r="L635">
        <v>4.5999999999999996</v>
      </c>
      <c r="M635">
        <v>3441</v>
      </c>
      <c r="O635" t="s">
        <v>39</v>
      </c>
      <c r="P635" t="s">
        <v>39</v>
      </c>
      <c r="Q635" t="s">
        <v>1639</v>
      </c>
    </row>
    <row r="636" spans="1:17" ht="15.75" x14ac:dyDescent="0.25">
      <c r="A636" s="3" t="str">
        <f>HYPERLINK("https://heavenlyouthouse.com/products/goldleaf-gardenia-foaming-bath-salts-envelope", "https://heavenlyouthouse.com/products/goldleaf-gardenia-foaming-bath-salts-envelope")</f>
        <v>https://heavenlyouthouse.com/products/goldleaf-gardenia-foaming-bath-salts-envelope</v>
      </c>
      <c r="B636" s="3" t="str">
        <f>HYPERLINK("https://heavenlyouthouse.com/products/goldleaf-gardenia-foaming-bath-salts-envelope", "https://heavenlyouthouse.com/products/goldleaf-gardenia-foaming-bath-salts-envelope")</f>
        <v>https://heavenlyouthouse.com/products/goldleaf-gardenia-foaming-bath-salts-envelope</v>
      </c>
      <c r="C636" t="s">
        <v>1640</v>
      </c>
      <c r="D636" t="s">
        <v>1641</v>
      </c>
      <c r="E636" s="3" t="str">
        <f>HYPERLINK("https://www.amazon.com/Thymes-Goldleaf-Gardenia-Soothing-Combination/dp/B06X974M9R/ref=sr_1_1?keywords=Thymes+Goldleaf+Gardenia+Foaming+Bath+Salts+Envelope&amp;qid=1695258762&amp;sr=8-1", "https://www.amazon.com/Thymes-Goldleaf-Gardenia-Soothing-Combination/dp/B06X974M9R/ref=sr_1_1?keywords=Thymes+Goldleaf+Gardenia+Foaming+Bath+Salts+Envelope&amp;qid=1695258762&amp;sr=8-1")</f>
        <v>https://www.amazon.com/Thymes-Goldleaf-Gardenia-Soothing-Combination/dp/B06X974M9R/ref=sr_1_1?keywords=Thymes+Goldleaf+Gardenia+Foaming+Bath+Salts+Envelope&amp;qid=1695258762&amp;sr=8-1</v>
      </c>
      <c r="F636" t="s">
        <v>1642</v>
      </c>
      <c r="G636" t="e">
        <f ca="1">IMAGE("https://heavenlyouthouse.com/cdn/shop/products/thymesgoldleafgardeniafoamingbathsalts.jpg?v=1606408630")</f>
        <v>#NAME?</v>
      </c>
      <c r="H636" t="e">
        <f ca="1">IMAGE("https://m.media-amazon.com/images/I/91yhsfF+y4L._AC_UL320_.jpg")</f>
        <v>#NAME?</v>
      </c>
      <c r="I636" t="s">
        <v>92</v>
      </c>
      <c r="J636">
        <v>6</v>
      </c>
      <c r="K636" s="2" t="s">
        <v>1643</v>
      </c>
      <c r="L636">
        <v>4.5999999999999996</v>
      </c>
      <c r="M636">
        <v>60</v>
      </c>
      <c r="O636" t="s">
        <v>39</v>
      </c>
      <c r="P636" t="s">
        <v>39</v>
      </c>
      <c r="Q636" t="s">
        <v>1644</v>
      </c>
    </row>
    <row r="637" spans="1:17" ht="15.75" x14ac:dyDescent="0.25">
      <c r="A637" s="3" t="str">
        <f>HYPERLINK("https://heavenlyouthouse.com/products/lavender-bath-salts-envelope", "https://heavenlyouthouse.com/products/lavender-bath-salts-envelope")</f>
        <v>https://heavenlyouthouse.com/products/lavender-bath-salts-envelope</v>
      </c>
      <c r="B637" s="3" t="str">
        <f>HYPERLINK("https://heavenlyouthouse.com/products/lavender-bath-salts-envelope", "https://heavenlyouthouse.com/products/lavender-bath-salts-envelope")</f>
        <v>https://heavenlyouthouse.com/products/lavender-bath-salts-envelope</v>
      </c>
      <c r="C637" t="s">
        <v>1645</v>
      </c>
      <c r="D637" t="s">
        <v>1646</v>
      </c>
      <c r="E637" s="3" t="str">
        <f>HYPERLINK("https://www.amazon.com/Thymes-Lavender-Soothing-Combination-Relaxing/dp/B000FBK4LO/ref=sr_1_1?keywords=Thymes+Lavender+Bath+Salts+Envelope&amp;qid=1695258758&amp;sr=8-1", "https://www.amazon.com/Thymes-Lavender-Soothing-Combination-Relaxing/dp/B000FBK4LO/ref=sr_1_1?keywords=Thymes+Lavender+Bath+Salts+Envelope&amp;qid=1695258758&amp;sr=8-1")</f>
        <v>https://www.amazon.com/Thymes-Lavender-Soothing-Combination-Relaxing/dp/B000FBK4LO/ref=sr_1_1?keywords=Thymes+Lavender+Bath+Salts+Envelope&amp;qid=1695258758&amp;sr=8-1</v>
      </c>
      <c r="F637" t="s">
        <v>1647</v>
      </c>
      <c r="G637" t="e">
        <f ca="1">IMAGE("https://heavenlyouthouse.com/cdn/shop/products/thymeslavenderbathsaltsenvelope.jpg?v=1608589609")</f>
        <v>#NAME?</v>
      </c>
      <c r="H637" t="e">
        <f ca="1">IMAGE("https://m.media-amazon.com/images/I/61eKuiXgTTL._AC_UL320_.jpg")</f>
        <v>#NAME?</v>
      </c>
      <c r="I637" t="s">
        <v>92</v>
      </c>
      <c r="J637">
        <v>6</v>
      </c>
      <c r="K637" s="2" t="s">
        <v>1643</v>
      </c>
      <c r="L637">
        <v>4.5999999999999996</v>
      </c>
      <c r="M637">
        <v>152</v>
      </c>
      <c r="O637" t="s">
        <v>39</v>
      </c>
      <c r="P637" t="s">
        <v>39</v>
      </c>
      <c r="Q637" t="s">
        <v>1648</v>
      </c>
    </row>
    <row r="638" spans="1:17" ht="15.75" x14ac:dyDescent="0.25">
      <c r="A638" s="3" t="str">
        <f>HYPERLINK("https://heavenlyouthouse.com/products/thymes-olive-leaf-bath-salts-envelope", "https://heavenlyouthouse.com/products/thymes-olive-leaf-bath-salts-envelope")</f>
        <v>https://heavenlyouthouse.com/products/thymes-olive-leaf-bath-salts-envelope</v>
      </c>
      <c r="B638" s="3" t="str">
        <f>HYPERLINK("https://heavenlyouthouse.com/products/thymes-olive-leaf-bath-salts-envelope", "https://heavenlyouthouse.com/products/thymes-olive-leaf-bath-salts-envelope")</f>
        <v>https://heavenlyouthouse.com/products/thymes-olive-leaf-bath-salts-envelope</v>
      </c>
      <c r="C638" t="s">
        <v>1649</v>
      </c>
      <c r="D638" t="s">
        <v>1650</v>
      </c>
      <c r="E638" s="3" t="str">
        <f>HYPERLINK("https://www.amazon.com/Thymes-Olive-Soothing-Combination-Relaxing/dp/B00152JSTG/ref=sr_1_1?keywords=Thymes+Olive+Leaf+Bath+Salts+Envelope&amp;qid=1695258778&amp;sr=8-1", "https://www.amazon.com/Thymes-Olive-Soothing-Combination-Relaxing/dp/B00152JSTG/ref=sr_1_1?keywords=Thymes+Olive+Leaf+Bath+Salts+Envelope&amp;qid=1695258778&amp;sr=8-1")</f>
        <v>https://www.amazon.com/Thymes-Olive-Soothing-Combination-Relaxing/dp/B00152JSTG/ref=sr_1_1?keywords=Thymes+Olive+Leaf+Bath+Salts+Envelope&amp;qid=1695258778&amp;sr=8-1</v>
      </c>
      <c r="F638" t="s">
        <v>1651</v>
      </c>
      <c r="G638" t="e">
        <f ca="1">IMAGE("https://heavenlyouthouse.com/cdn/shop/products/Olive-Leaf-Bath-Salts.jpg?v=1633124318")</f>
        <v>#NAME?</v>
      </c>
      <c r="H638" t="e">
        <f ca="1">IMAGE("https://m.media-amazon.com/images/I/61-YTz4X10L._AC_UL320_.jpg")</f>
        <v>#NAME?</v>
      </c>
      <c r="I638" t="s">
        <v>92</v>
      </c>
      <c r="J638">
        <v>6</v>
      </c>
      <c r="K638" s="2" t="s">
        <v>1643</v>
      </c>
      <c r="L638">
        <v>4.5999999999999996</v>
      </c>
      <c r="M638">
        <v>58</v>
      </c>
      <c r="O638" t="s">
        <v>39</v>
      </c>
      <c r="P638" t="s">
        <v>39</v>
      </c>
      <c r="Q638" t="s">
        <v>1652</v>
      </c>
    </row>
    <row r="639" spans="1:17" ht="15.75" x14ac:dyDescent="0.25">
      <c r="A639" s="3" t="str">
        <f>HYPERLINK("https://heavenlyouthouse.com/products/frasier-fir-decorative-sachet", "https://heavenlyouthouse.com/products/frasier-fir-decorative-sachet")</f>
        <v>https://heavenlyouthouse.com/products/frasier-fir-decorative-sachet</v>
      </c>
      <c r="B639" s="3" t="str">
        <f>HYPERLINK("https://heavenlyouthouse.com/products/frasier-fir-decorative-sachet", "https://heavenlyouthouse.com/products/frasier-fir-decorative-sachet")</f>
        <v>https://heavenlyouthouse.com/products/frasier-fir-decorative-sachet</v>
      </c>
      <c r="C639" t="s">
        <v>1653</v>
      </c>
      <c r="D639" t="s">
        <v>1654</v>
      </c>
      <c r="E639" s="3" t="str">
        <f>HYPERLINK("https://www.amazon.com/Thymes-Decorative-Sachet-Frasier-Fir/dp/B08CVTR8T7/ref=sr_1_1?keywords=Thymes+Frasier+Fir+Decorative+Sachet&amp;qid=1695258728&amp;sr=8-1", "https://www.amazon.com/Thymes-Decorative-Sachet-Frasier-Fir/dp/B08CVTR8T7/ref=sr_1_1?keywords=Thymes+Frasier+Fir+Decorative+Sachet&amp;qid=1695258728&amp;sr=8-1")</f>
        <v>https://www.amazon.com/Thymes-Decorative-Sachet-Frasier-Fir/dp/B08CVTR8T7/ref=sr_1_1?keywords=Thymes+Frasier+Fir+Decorative+Sachet&amp;qid=1695258728&amp;sr=8-1</v>
      </c>
      <c r="F639" t="s">
        <v>1655</v>
      </c>
      <c r="G639" t="e">
        <f ca="1">IMAGE("https://heavenlyouthouse.com/cdn/shop/products/thymesfrasierfirdecorativesachet.jpg?v=1603996596")</f>
        <v>#NAME?</v>
      </c>
      <c r="H639" t="e">
        <f ca="1">IMAGE("https://m.media-amazon.com/images/I/71YAekskp8L._AC_UL320_.jpg")</f>
        <v>#NAME?</v>
      </c>
      <c r="I639" t="s">
        <v>92</v>
      </c>
      <c r="J639">
        <v>6</v>
      </c>
      <c r="K639" s="2" t="s">
        <v>1643</v>
      </c>
      <c r="L639">
        <v>3.9</v>
      </c>
      <c r="M639">
        <v>214</v>
      </c>
      <c r="O639" t="s">
        <v>39</v>
      </c>
      <c r="P639" t="s">
        <v>39</v>
      </c>
      <c r="Q639" t="s">
        <v>1656</v>
      </c>
    </row>
    <row r="640" spans="1:17" ht="15.75" x14ac:dyDescent="0.25">
      <c r="A640" s="3" t="str">
        <f>HYPERLINK("https://heavenlyouthouse.com/products/spotless-stain-remover-soap", "https://heavenlyouthouse.com/products/spotless-stain-remover-soap")</f>
        <v>https://heavenlyouthouse.com/products/spotless-stain-remover-soap</v>
      </c>
      <c r="B640" s="3" t="str">
        <f>HYPERLINK("https://heavenlyouthouse.com/products/spotless-stain-remover-soap", "https://heavenlyouthouse.com/products/spotless-stain-remover-soap")</f>
        <v>https://heavenlyouthouse.com/products/spotless-stain-remover-soap</v>
      </c>
      <c r="C640" t="s">
        <v>195</v>
      </c>
      <c r="D640" t="s">
        <v>1657</v>
      </c>
      <c r="E640" s="3" t="str">
        <f>HYPERLINK("https://www.amazon.com/Underwear-Cleaning-Remover-Clothes-Clothing/dp/B0BV6CZ34H/ref=sr_1_7?keywords=Spotless+Stain+Remover+Soap&amp;qid=1695258690&amp;sr=8-7", "https://www.amazon.com/Underwear-Cleaning-Remover-Clothes-Clothing/dp/B0BV6CZ34H/ref=sr_1_7?keywords=Spotless+Stain+Remover+Soap&amp;qid=1695258690&amp;sr=8-7")</f>
        <v>https://www.amazon.com/Underwear-Cleaning-Remover-Clothes-Clothing/dp/B0BV6CZ34H/ref=sr_1_7?keywords=Spotless+Stain+Remover+Soap&amp;qid=1695258690&amp;sr=8-7</v>
      </c>
      <c r="F640" t="s">
        <v>1658</v>
      </c>
      <c r="G640" t="e">
        <f ca="1">IMAGE("https://heavenlyouthouse.com/cdn/shop/products/Spotless-Stain-Remover_Bar-Soap_2048_2000x_48b45b5c-ad2d-465e-a102-14922b0c661d.jpg?v=1586803390")</f>
        <v>#NAME?</v>
      </c>
      <c r="H640" t="e">
        <f ca="1">IMAGE("https://m.media-amazon.com/images/I/716eiowFpFL._AC_UL320_.jpg")</f>
        <v>#NAME?</v>
      </c>
      <c r="I640" t="s">
        <v>92</v>
      </c>
      <c r="J640">
        <v>5.99</v>
      </c>
      <c r="K640" s="2" t="s">
        <v>1643</v>
      </c>
      <c r="L640">
        <v>3.2</v>
      </c>
      <c r="M640">
        <v>17</v>
      </c>
      <c r="O640" t="s">
        <v>39</v>
      </c>
      <c r="P640" t="s">
        <v>24</v>
      </c>
      <c r="Q640" t="s">
        <v>199</v>
      </c>
    </row>
    <row r="641" spans="1:17" ht="15.75" x14ac:dyDescent="0.25">
      <c r="A641" s="3" t="str">
        <f>HYPERLINK("https://heavenlyouthouse.com/products/thymes-frasier-fir-bar-soap", "https://heavenlyouthouse.com/products/thymes-frasier-fir-bar-soap")</f>
        <v>https://heavenlyouthouse.com/products/thymes-frasier-fir-bar-soap</v>
      </c>
      <c r="B641" s="3" t="str">
        <f>HYPERLINK("https://heavenlyouthouse.com/products/thymes-frasier-fir-bar-soap", "https://heavenlyouthouse.com/products/thymes-frasier-fir-bar-soap")</f>
        <v>https://heavenlyouthouse.com/products/thymes-frasier-fir-bar-soap</v>
      </c>
      <c r="C641" t="s">
        <v>303</v>
      </c>
      <c r="D641" t="s">
        <v>1659</v>
      </c>
      <c r="E641" s="3" t="str">
        <f>HYPERLINK("https://www.amazon.com/Thymes-Frasier-Triple-Milled-Ounces/dp/B0140PRD0U/ref=sr_1_1?keywords=Thymes+Frasier+Fir+Triple-Milled+Bar+Soap&amp;qid=1695258742&amp;sr=8-1", "https://www.amazon.com/Thymes-Frasier-Triple-Milled-Ounces/dp/B0140PRD0U/ref=sr_1_1?keywords=Thymes+Frasier+Fir+Triple-Milled+Bar+Soap&amp;qid=1695258742&amp;sr=8-1")</f>
        <v>https://www.amazon.com/Thymes-Frasier-Triple-Milled-Ounces/dp/B0140PRD0U/ref=sr_1_1?keywords=Thymes+Frasier+Fir+Triple-Milled+Bar+Soap&amp;qid=1695258742&amp;sr=8-1</v>
      </c>
      <c r="F641" t="s">
        <v>1660</v>
      </c>
      <c r="G641" t="e">
        <f ca="1">IMAGE("https://heavenlyouthouse.com/cdn/shop/products/thymes-frasier-fir-bar-soap.jpg?v=1630015044")</f>
        <v>#NAME?</v>
      </c>
      <c r="H641" t="e">
        <f ca="1">IMAGE("https://m.media-amazon.com/images/I/71Y2VJnEVAL._AC_UL320_.jpg")</f>
        <v>#NAME?</v>
      </c>
      <c r="I641" t="s">
        <v>306</v>
      </c>
      <c r="J641">
        <v>12</v>
      </c>
      <c r="K641" s="2" t="s">
        <v>1643</v>
      </c>
      <c r="L641">
        <v>4.7</v>
      </c>
      <c r="M641">
        <v>610</v>
      </c>
      <c r="O641" t="s">
        <v>39</v>
      </c>
      <c r="P641" t="s">
        <v>307</v>
      </c>
      <c r="Q641" t="s">
        <v>308</v>
      </c>
    </row>
    <row r="642" spans="1:17" ht="15.75" x14ac:dyDescent="0.25">
      <c r="A642" s="3" t="str">
        <f>HYPERLINK("https://heavenlyouthouse.com/products/to-my-husband-fathers-day-card", "https://heavenlyouthouse.com/products/to-my-husband-fathers-day-card")</f>
        <v>https://heavenlyouthouse.com/products/to-my-husband-fathers-day-card</v>
      </c>
      <c r="B642" s="3" t="str">
        <f>HYPERLINK("https://heavenlyouthouse.com/products/to-my-husband-fathers-day-card", "https://heavenlyouthouse.com/products/to-my-husband-fathers-day-card")</f>
        <v>https://heavenlyouthouse.com/products/to-my-husband-fathers-day-card</v>
      </c>
      <c r="C642" t="s">
        <v>893</v>
      </c>
      <c r="D642" t="s">
        <v>1661</v>
      </c>
      <c r="E642" s="3" t="str">
        <f>HYPERLINK("https://www.amazon.com/Nchigedy-Fathers-Husband-Naughty-Favorite/dp/B0C1V1LRKK/ref=sr_1_7?keywords=To+My+Husband+Father%27s+Day+Card&amp;qid=1695258791&amp;sr=8-7", "https://www.amazon.com/Nchigedy-Fathers-Husband-Naughty-Favorite/dp/B0C1V1LRKK/ref=sr_1_7?keywords=To+My+Husband+Father%27s+Day+Card&amp;qid=1695258791&amp;sr=8-7")</f>
        <v>https://www.amazon.com/Nchigedy-Fathers-Husband-Naughty-Favorite/dp/B0C1V1LRKK/ref=sr_1_7?keywords=To+My+Husband+Father%27s+Day+Card&amp;qid=1695258791&amp;sr=8-7</v>
      </c>
      <c r="F642" t="s">
        <v>1662</v>
      </c>
      <c r="G642" t="e">
        <f ca="1">IMAGE("https://heavenlyouthouse.com/cdn/shop/products/papyrustomyhusbandfather_sdaycard1_1.jpg?v=1621621174")</f>
        <v>#NAME?</v>
      </c>
      <c r="H642" t="e">
        <f ca="1">IMAGE("https://m.media-amazon.com/images/I/61nOxvRqrkL._AC_UL320_.jpg")</f>
        <v>#NAME?</v>
      </c>
      <c r="I642" t="s">
        <v>92</v>
      </c>
      <c r="J642">
        <v>5.98</v>
      </c>
      <c r="K642" s="2" t="s">
        <v>1643</v>
      </c>
      <c r="L642">
        <v>4.9000000000000004</v>
      </c>
      <c r="M642">
        <v>31</v>
      </c>
      <c r="O642" t="s">
        <v>39</v>
      </c>
      <c r="P642" t="s">
        <v>39</v>
      </c>
      <c r="Q642" t="s">
        <v>897</v>
      </c>
    </row>
    <row r="643" spans="1:17" ht="15.75" x14ac:dyDescent="0.25">
      <c r="A643" s="3" t="str">
        <f>HYPERLINK("https://heavenlyouthouse.com/products/to-my-husband-fathers-day-card", "https://heavenlyouthouse.com/products/to-my-husband-fathers-day-card")</f>
        <v>https://heavenlyouthouse.com/products/to-my-husband-fathers-day-card</v>
      </c>
      <c r="B643" s="3" t="str">
        <f>HYPERLINK("https://heavenlyouthouse.com/products/to-my-husband-fathers-day-card", "https://heavenlyouthouse.com/products/to-my-husband-fathers-day-card")</f>
        <v>https://heavenlyouthouse.com/products/to-my-husband-fathers-day-card</v>
      </c>
      <c r="C643" t="s">
        <v>893</v>
      </c>
      <c r="D643" t="s">
        <v>1663</v>
      </c>
      <c r="E643" s="3" t="str">
        <f>HYPERLINK("https://www.amazon.com/Fathers-Funny-Husband-Happy-Favorite/dp/B09WD9GZJF/ref=sr_1_2?keywords=To+My+Husband+Father%27s+Day+Card&amp;qid=1695258791&amp;sr=8-2", "https://www.amazon.com/Fathers-Funny-Husband-Happy-Favorite/dp/B09WD9GZJF/ref=sr_1_2?keywords=To+My+Husband+Father%27s+Day+Card&amp;qid=1695258791&amp;sr=8-2")</f>
        <v>https://www.amazon.com/Fathers-Funny-Husband-Happy-Favorite/dp/B09WD9GZJF/ref=sr_1_2?keywords=To+My+Husband+Father%27s+Day+Card&amp;qid=1695258791&amp;sr=8-2</v>
      </c>
      <c r="F643" t="s">
        <v>1664</v>
      </c>
      <c r="G643" t="e">
        <f ca="1">IMAGE("https://heavenlyouthouse.com/cdn/shop/products/papyrustomyhusbandfather_sdaycard1_1.jpg?v=1621621174")</f>
        <v>#NAME?</v>
      </c>
      <c r="H643" t="e">
        <f ca="1">IMAGE("https://m.media-amazon.com/images/I/611Obpz9DAL._AC_UL320_.jpg")</f>
        <v>#NAME?</v>
      </c>
      <c r="I643" t="s">
        <v>92</v>
      </c>
      <c r="J643">
        <v>5.98</v>
      </c>
      <c r="K643" s="2" t="s">
        <v>1643</v>
      </c>
      <c r="L643">
        <v>4.8</v>
      </c>
      <c r="M643">
        <v>29</v>
      </c>
      <c r="O643" t="s">
        <v>39</v>
      </c>
      <c r="P643" t="s">
        <v>39</v>
      </c>
      <c r="Q643" t="s">
        <v>897</v>
      </c>
    </row>
    <row r="644" spans="1:17" ht="15.75" x14ac:dyDescent="0.25">
      <c r="A644" s="3" t="str">
        <f>HYPERLINK("https://heavenlyouthouse.com/products/whiskey-mens-crew-socks", "https://heavenlyouthouse.com/products/whiskey-mens-crew-socks")</f>
        <v>https://heavenlyouthouse.com/products/whiskey-mens-crew-socks</v>
      </c>
      <c r="B644" s="3" t="str">
        <f>HYPERLINK("https://heavenlyouthouse.com/products/whiskey-mens-crew-socks", "https://heavenlyouthouse.com/products/whiskey-mens-crew-socks")</f>
        <v>https://heavenlyouthouse.com/products/whiskey-mens-crew-socks</v>
      </c>
      <c r="C644" t="s">
        <v>1665</v>
      </c>
      <c r="D644" t="s">
        <v>1666</v>
      </c>
      <c r="E644" s="3" t="str">
        <f>HYPERLINK("https://www.amazon.com/Sippin-Whiskey-Wonderland-Mens-Socks/dp/B0988688LJ/ref=sr_1_7?keywords=Whiskey+Mens+Crew+Socks&amp;qid=1695258823&amp;sr=8-7", "https://www.amazon.com/Sippin-Whiskey-Wonderland-Mens-Socks/dp/B0988688LJ/ref=sr_1_7?keywords=Whiskey+Mens+Crew+Socks&amp;qid=1695258823&amp;sr=8-7")</f>
        <v>https://www.amazon.com/Sippin-Whiskey-Wonderland-Mens-Socks/dp/B0988688LJ/ref=sr_1_7?keywords=Whiskey+Mens+Crew+Socks&amp;qid=1695258823&amp;sr=8-7</v>
      </c>
      <c r="F644" t="s">
        <v>1667</v>
      </c>
      <c r="G644" t="e">
        <f ca="1">IMAGE("https://heavenlyouthouse.com/cdn/shop/files/blue-q-cool-whiskey-men_s-socks_300x300.jpg?v=1689179660")</f>
        <v>#NAME?</v>
      </c>
      <c r="H644" t="e">
        <f ca="1">IMAGE("https://m.media-amazon.com/images/I/91-61IifNdS._AC_UL320_.jpg")</f>
        <v>#NAME?</v>
      </c>
      <c r="I644" t="s">
        <v>802</v>
      </c>
      <c r="J644">
        <v>15</v>
      </c>
      <c r="K644" s="2" t="s">
        <v>1643</v>
      </c>
      <c r="L644">
        <v>4</v>
      </c>
      <c r="M644">
        <v>1</v>
      </c>
      <c r="O644" t="s">
        <v>39</v>
      </c>
      <c r="P644" t="s">
        <v>803</v>
      </c>
      <c r="Q644" t="s">
        <v>1668</v>
      </c>
    </row>
    <row r="645" spans="1:17" ht="15.75" x14ac:dyDescent="0.25">
      <c r="A645" s="3" t="str">
        <f>HYPERLINK("https://heavenlyouthouse.com/products/the-hiccupy-dragon-book", "https://heavenlyouthouse.com/products/the-hiccupy-dragon-book")</f>
        <v>https://heavenlyouthouse.com/products/the-hiccupy-dragon-book</v>
      </c>
      <c r="B645" s="3" t="str">
        <f>HYPERLINK("https://heavenlyouthouse.com/products/the-hiccupy-dragon-book", "https://heavenlyouthouse.com/products/the-hiccupy-dragon-book")</f>
        <v>https://heavenlyouthouse.com/products/the-hiccupy-dragon-book</v>
      </c>
      <c r="C645" t="s">
        <v>1669</v>
      </c>
      <c r="D645" t="s">
        <v>1670</v>
      </c>
      <c r="E645" s="3" t="str">
        <f>HYPERLINK("https://www.amazon.com/The-Hiccuppy-Dragon-Illustrated-Book/dp/B07VYL7PGB/ref=sr_1_1?keywords=The+Hiccupy+Dragon+Book&amp;qid=1695258709&amp;sr=8-1", "https://www.amazon.com/The-Hiccuppy-Dragon-Illustrated-Book/dp/B07VYL7PGB/ref=sr_1_1?keywords=The+Hiccupy+Dragon+Book&amp;qid=1695258709&amp;sr=8-1")</f>
        <v>https://www.amazon.com/The-Hiccuppy-Dragon-Illustrated-Book/dp/B07VYL7PGB/ref=sr_1_1?keywords=The+Hiccupy+Dragon+Book&amp;qid=1695258709&amp;sr=8-1</v>
      </c>
      <c r="F645" t="s">
        <v>1671</v>
      </c>
      <c r="G645" t="e">
        <f ca="1">IMAGE("https://heavenlyouthouse.com/cdn/shop/products/BK4HD.jpg?v=1603474731")</f>
        <v>#NAME?</v>
      </c>
      <c r="H645" t="e">
        <f ca="1">IMAGE("https://m.media-amazon.com/images/I/61mqqX4PlLL._AC_UY218_.jpg")</f>
        <v>#NAME?</v>
      </c>
      <c r="I645" t="s">
        <v>802</v>
      </c>
      <c r="J645">
        <v>15</v>
      </c>
      <c r="K645" s="2" t="s">
        <v>1643</v>
      </c>
      <c r="L645">
        <v>4.7</v>
      </c>
      <c r="M645">
        <v>107</v>
      </c>
      <c r="O645" t="s">
        <v>136</v>
      </c>
      <c r="P645" t="s">
        <v>803</v>
      </c>
      <c r="Q645" t="s">
        <v>1672</v>
      </c>
    </row>
    <row r="646" spans="1:17" ht="15.75" x14ac:dyDescent="0.25">
      <c r="A646" s="3" t="str">
        <f>HYPERLINK("https://heavenlyouthouse.com/products/the-very-brave-lion-book", "https://heavenlyouthouse.com/products/the-very-brave-lion-book")</f>
        <v>https://heavenlyouthouse.com/products/the-very-brave-lion-book</v>
      </c>
      <c r="B646" s="3" t="str">
        <f>HYPERLINK("https://heavenlyouthouse.com/products/the-very-brave-lion-book", "https://heavenlyouthouse.com/products/the-very-brave-lion-book")</f>
        <v>https://heavenlyouthouse.com/products/the-very-brave-lion-book</v>
      </c>
      <c r="C646" t="s">
        <v>1673</v>
      </c>
      <c r="D646" t="s">
        <v>1674</v>
      </c>
      <c r="E646" s="3" t="str">
        <f>HYPERLINK("https://www.amazon.com/Jellycat-Board-Book-Brave-inches/dp/B01N10VCD9/ref=sr_1_1?keywords=The+Very+Brave+Lion+Book&amp;qid=1695258705&amp;sr=8-1", "https://www.amazon.com/Jellycat-Board-Book-Brave-inches/dp/B01N10VCD9/ref=sr_1_1?keywords=The+Very+Brave+Lion+Book&amp;qid=1695258705&amp;sr=8-1")</f>
        <v>https://www.amazon.com/Jellycat-Board-Book-Brave-inches/dp/B01N10VCD9/ref=sr_1_1?keywords=The+Very+Brave+Lion+Book&amp;qid=1695258705&amp;sr=8-1</v>
      </c>
      <c r="F646" t="s">
        <v>1675</v>
      </c>
      <c r="G646" t="e">
        <f ca="1">IMAGE("https://heavenlyouthouse.com/cdn/shop/products/TheVeryBraveLion.jpg?v=1600298321")</f>
        <v>#NAME?</v>
      </c>
      <c r="H646" t="e">
        <f ca="1">IMAGE("https://m.media-amazon.com/images/I/61r+AAeCCSL._AC_UY218_.jpg")</f>
        <v>#NAME?</v>
      </c>
      <c r="I646" t="s">
        <v>802</v>
      </c>
      <c r="J646">
        <v>15</v>
      </c>
      <c r="K646" s="2" t="s">
        <v>1643</v>
      </c>
      <c r="L646">
        <v>4.9000000000000004</v>
      </c>
      <c r="M646">
        <v>364</v>
      </c>
      <c r="O646" t="s">
        <v>39</v>
      </c>
      <c r="P646" t="s">
        <v>39</v>
      </c>
      <c r="Q646" t="s">
        <v>1676</v>
      </c>
    </row>
    <row r="647" spans="1:17" ht="15.75" x14ac:dyDescent="0.25">
      <c r="A647" s="3" t="str">
        <f>HYPERLINK("https://heavenlyouthouse.com/products/thymes-mandarin-coriander-hard-working-hand-cream", "https://heavenlyouthouse.com/products/thymes-mandarin-coriander-hard-working-hand-cream")</f>
        <v>https://heavenlyouthouse.com/products/thymes-mandarin-coriander-hard-working-hand-cream</v>
      </c>
      <c r="B647" s="3" t="str">
        <f>HYPERLINK("https://heavenlyouthouse.com/products/thymes-mandarin-coriander-hard-working-hand-cream", "https://heavenlyouthouse.com/products/thymes-mandarin-coriander-hard-working-hand-cream")</f>
        <v>https://heavenlyouthouse.com/products/thymes-mandarin-coriander-hard-working-hand-cream</v>
      </c>
      <c r="C647" t="s">
        <v>1677</v>
      </c>
      <c r="D647" t="s">
        <v>905</v>
      </c>
      <c r="E647" s="3" t="str">
        <f>HYPERLINK("https://www.amazon.com/Thymes-Hard-Working-Hand-Cream-Magnolia/dp/B0B1G56QBJ/ref=sr_1_6?keywords=Thymes+Mandarin+Coriander+Hard-Working+Hand+Cream&amp;qid=1695258777&amp;sr=8-6", "https://www.amazon.com/Thymes-Hard-Working-Hand-Cream-Magnolia/dp/B0B1G56QBJ/ref=sr_1_6?keywords=Thymes+Mandarin+Coriander+Hard-Working+Hand+Cream&amp;qid=1695258777&amp;sr=8-6")</f>
        <v>https://www.amazon.com/Thymes-Hard-Working-Hand-Cream-Magnolia/dp/B0B1G56QBJ/ref=sr_1_6?keywords=Thymes+Mandarin+Coriander+Hard-Working+Hand+Cream&amp;qid=1695258777&amp;sr=8-6</v>
      </c>
      <c r="F647" t="s">
        <v>906</v>
      </c>
      <c r="G647" t="e">
        <f ca="1">IMAGE("https://heavenlyouthouse.com/cdn/shop/products/ThymesMandarinCorianderhandcream.jpg?v=1613149181")</f>
        <v>#NAME?</v>
      </c>
      <c r="H647" t="e">
        <f ca="1">IMAGE("https://m.media-amazon.com/images/I/51E3NBvhU3L._AC_UL320_.jpg")</f>
        <v>#NAME?</v>
      </c>
      <c r="I647" t="s">
        <v>907</v>
      </c>
      <c r="J647">
        <v>18</v>
      </c>
      <c r="K647" s="2" t="s">
        <v>1643</v>
      </c>
      <c r="L647">
        <v>4.3</v>
      </c>
      <c r="M647">
        <v>8</v>
      </c>
      <c r="O647" t="s">
        <v>39</v>
      </c>
      <c r="P647" t="s">
        <v>39</v>
      </c>
      <c r="Q647" t="s">
        <v>1678</v>
      </c>
    </row>
    <row r="648" spans="1:17" ht="15.75" x14ac:dyDescent="0.25">
      <c r="A648" s="3" t="str">
        <f>HYPERLINK("https://heavenlyouthouse.com/products/thymes-mandarin-coriander-hard-working-hand-cream", "https://heavenlyouthouse.com/products/thymes-mandarin-coriander-hard-working-hand-cream")</f>
        <v>https://heavenlyouthouse.com/products/thymes-mandarin-coriander-hard-working-hand-cream</v>
      </c>
      <c r="B648" s="3" t="str">
        <f>HYPERLINK("https://heavenlyouthouse.com/products/thymes-mandarin-coriander-hard-working-hand-cream", "https://heavenlyouthouse.com/products/thymes-mandarin-coriander-hard-working-hand-cream")</f>
        <v>https://heavenlyouthouse.com/products/thymes-mandarin-coriander-hard-working-hand-cream</v>
      </c>
      <c r="C648" t="s">
        <v>1677</v>
      </c>
      <c r="D648" t="s">
        <v>1326</v>
      </c>
      <c r="E648" s="3" t="str">
        <f>HYPERLINK("https://www.amazon.com/Thymes-Mandarin-Coriander-Hard-Working-Ounces/dp/B004MAL13O/ref=sr_1_5?keywords=Thymes+Mandarin+Coriander+Hard-Working+Hand+Cream&amp;qid=1695258777&amp;sr=8-5", "https://www.amazon.com/Thymes-Mandarin-Coriander-Hard-Working-Ounces/dp/B004MAL13O/ref=sr_1_5?keywords=Thymes+Mandarin+Coriander+Hard-Working+Hand+Cream&amp;qid=1695258777&amp;sr=8-5")</f>
        <v>https://www.amazon.com/Thymes-Mandarin-Coriander-Hard-Working-Ounces/dp/B004MAL13O/ref=sr_1_5?keywords=Thymes+Mandarin+Coriander+Hard-Working+Hand+Cream&amp;qid=1695258777&amp;sr=8-5</v>
      </c>
      <c r="F648" t="s">
        <v>1327</v>
      </c>
      <c r="G648" t="e">
        <f ca="1">IMAGE("https://heavenlyouthouse.com/cdn/shop/products/ThymesMandarinCorianderhandcream.jpg?v=1613149181")</f>
        <v>#NAME?</v>
      </c>
      <c r="H648" t="e">
        <f ca="1">IMAGE("https://m.media-amazon.com/images/I/611fAzrI3xL._AC_UL320_.jpg")</f>
        <v>#NAME?</v>
      </c>
      <c r="I648" t="s">
        <v>907</v>
      </c>
      <c r="J648">
        <v>18</v>
      </c>
      <c r="K648" s="2" t="s">
        <v>1643</v>
      </c>
      <c r="L648">
        <v>4.5999999999999996</v>
      </c>
      <c r="M648">
        <v>131</v>
      </c>
      <c r="O648" t="s">
        <v>39</v>
      </c>
      <c r="P648" t="s">
        <v>39</v>
      </c>
      <c r="Q648" t="s">
        <v>1678</v>
      </c>
    </row>
    <row r="649" spans="1:17" ht="15.75" x14ac:dyDescent="0.25">
      <c r="A649" s="3" t="str">
        <f>HYPERLINK("https://heavenlyouthouse.com/products/lemon-leaf-hand-cream", "https://heavenlyouthouse.com/products/lemon-leaf-hand-cream")</f>
        <v>https://heavenlyouthouse.com/products/lemon-leaf-hand-cream</v>
      </c>
      <c r="B649" s="3" t="str">
        <f>HYPERLINK("https://heavenlyouthouse.com/products/lemon-leaf-hand-cream", "https://heavenlyouthouse.com/products/lemon-leaf-hand-cream")</f>
        <v>https://heavenlyouthouse.com/products/lemon-leaf-hand-cream</v>
      </c>
      <c r="C649" t="s">
        <v>1679</v>
      </c>
      <c r="D649" t="s">
        <v>905</v>
      </c>
      <c r="E649" s="3" t="str">
        <f>HYPERLINK("https://www.amazon.com/Thymes-Hard-Working-Hand-Cream-Magnolia/dp/B0B1G56QBJ/ref=sr_1_2?keywords=Thymes+Lemon+Leaf+Hard-Working+Hand+Cream&amp;qid=1695258768&amp;sr=8-2", "https://www.amazon.com/Thymes-Hard-Working-Hand-Cream-Magnolia/dp/B0B1G56QBJ/ref=sr_1_2?keywords=Thymes+Lemon+Leaf+Hard-Working+Hand+Cream&amp;qid=1695258768&amp;sr=8-2")</f>
        <v>https://www.amazon.com/Thymes-Hard-Working-Hand-Cream-Magnolia/dp/B0B1G56QBJ/ref=sr_1_2?keywords=Thymes+Lemon+Leaf+Hard-Working+Hand+Cream&amp;qid=1695258768&amp;sr=8-2</v>
      </c>
      <c r="F649" t="s">
        <v>906</v>
      </c>
      <c r="G649" t="e">
        <f ca="1">IMAGE("https://heavenlyouthouse.com/cdn/shop/products/ThymesLemonLeafHandCream.jpg?v=1613088979")</f>
        <v>#NAME?</v>
      </c>
      <c r="H649" t="e">
        <f ca="1">IMAGE("https://m.media-amazon.com/images/I/51E3NBvhU3L._AC_UL320_.jpg")</f>
        <v>#NAME?</v>
      </c>
      <c r="I649" t="s">
        <v>907</v>
      </c>
      <c r="J649">
        <v>18</v>
      </c>
      <c r="K649" s="2" t="s">
        <v>1643</v>
      </c>
      <c r="L649">
        <v>4.3</v>
      </c>
      <c r="M649">
        <v>8</v>
      </c>
      <c r="O649" t="s">
        <v>39</v>
      </c>
      <c r="P649" t="s">
        <v>39</v>
      </c>
      <c r="Q649" t="s">
        <v>1680</v>
      </c>
    </row>
    <row r="650" spans="1:17" ht="15.75" x14ac:dyDescent="0.25">
      <c r="A650" s="3" t="str">
        <f>HYPERLINK("https://heavenlyouthouse.com/products/lemon-leaf-hand-cream", "https://heavenlyouthouse.com/products/lemon-leaf-hand-cream")</f>
        <v>https://heavenlyouthouse.com/products/lemon-leaf-hand-cream</v>
      </c>
      <c r="B650" s="3" t="str">
        <f>HYPERLINK("https://heavenlyouthouse.com/products/lemon-leaf-hand-cream", "https://heavenlyouthouse.com/products/lemon-leaf-hand-cream")</f>
        <v>https://heavenlyouthouse.com/products/lemon-leaf-hand-cream</v>
      </c>
      <c r="C650" t="s">
        <v>1679</v>
      </c>
      <c r="D650" t="s">
        <v>1322</v>
      </c>
      <c r="E650" s="3" t="str">
        <f>HYPERLINK("https://www.amazon.com/Thymes-Hand-Cream-Lemon-Leaf/dp/B084BRSNB1/ref=sr_1_3?keywords=Thymes+Lemon+Leaf+Hard-Working+Hand+Cream&amp;qid=1695258768&amp;sr=8-3", "https://www.amazon.com/Thymes-Hand-Cream-Lemon-Leaf/dp/B084BRSNB1/ref=sr_1_3?keywords=Thymes+Lemon+Leaf+Hard-Working+Hand+Cream&amp;qid=1695258768&amp;sr=8-3")</f>
        <v>https://www.amazon.com/Thymes-Hand-Cream-Lemon-Leaf/dp/B084BRSNB1/ref=sr_1_3?keywords=Thymes+Lemon+Leaf+Hard-Working+Hand+Cream&amp;qid=1695258768&amp;sr=8-3</v>
      </c>
      <c r="F650" t="s">
        <v>1323</v>
      </c>
      <c r="G650" t="e">
        <f ca="1">IMAGE("https://heavenlyouthouse.com/cdn/shop/products/ThymesLemonLeafHandCream.jpg?v=1613088979")</f>
        <v>#NAME?</v>
      </c>
      <c r="H650" t="e">
        <f ca="1">IMAGE("https://m.media-amazon.com/images/I/61ox4eTft8L._AC_UL320_.jpg")</f>
        <v>#NAME?</v>
      </c>
      <c r="I650" t="s">
        <v>907</v>
      </c>
      <c r="J650">
        <v>18</v>
      </c>
      <c r="K650" s="2" t="s">
        <v>1643</v>
      </c>
      <c r="L650">
        <v>4.8</v>
      </c>
      <c r="M650">
        <v>401</v>
      </c>
      <c r="O650" t="s">
        <v>39</v>
      </c>
      <c r="P650" t="s">
        <v>39</v>
      </c>
      <c r="Q650" t="s">
        <v>1680</v>
      </c>
    </row>
    <row r="651" spans="1:17" ht="15.75" x14ac:dyDescent="0.25">
      <c r="A651" s="3" t="str">
        <f>HYPERLINK("https://heavenlyouthouse.com/products/thymes-washed-linen-hard-working-hand-cream", "https://heavenlyouthouse.com/products/thymes-washed-linen-hard-working-hand-cream")</f>
        <v>https://heavenlyouthouse.com/products/thymes-washed-linen-hard-working-hand-cream</v>
      </c>
      <c r="B651" s="3" t="str">
        <f>HYPERLINK("https://heavenlyouthouse.com/products/thymes-washed-linen-hard-working-hand-cream", "https://heavenlyouthouse.com/products/thymes-washed-linen-hard-working-hand-cream")</f>
        <v>https://heavenlyouthouse.com/products/thymes-washed-linen-hard-working-hand-cream</v>
      </c>
      <c r="C651" t="s">
        <v>1681</v>
      </c>
      <c r="D651" t="s">
        <v>905</v>
      </c>
      <c r="E651" s="3" t="str">
        <f>HYPERLINK("https://www.amazon.com/Thymes-Hard-Working-Hand-Cream-Magnolia/dp/B0B1G56QBJ/ref=sr_1_2?keywords=Thymes+Washed+Linen+Hard-Working+Hand+Cream&amp;qid=1695258787&amp;sr=8-2", "https://www.amazon.com/Thymes-Hard-Working-Hand-Cream-Magnolia/dp/B0B1G56QBJ/ref=sr_1_2?keywords=Thymes+Washed+Linen+Hard-Working+Hand+Cream&amp;qid=1695258787&amp;sr=8-2")</f>
        <v>https://www.amazon.com/Thymes-Hard-Working-Hand-Cream-Magnolia/dp/B0B1G56QBJ/ref=sr_1_2?keywords=Thymes+Washed+Linen+Hard-Working+Hand+Cream&amp;qid=1695258787&amp;sr=8-2</v>
      </c>
      <c r="F651" t="s">
        <v>906</v>
      </c>
      <c r="G651" t="e">
        <f ca="1">IMAGE("https://heavenlyouthouse.com/cdn/shop/products/ThymesWashedLinenhandcream.jpg?v=1613174926")</f>
        <v>#NAME?</v>
      </c>
      <c r="H651" t="e">
        <f ca="1">IMAGE("https://m.media-amazon.com/images/I/51E3NBvhU3L._AC_UL320_.jpg")</f>
        <v>#NAME?</v>
      </c>
      <c r="I651" t="s">
        <v>907</v>
      </c>
      <c r="J651">
        <v>18</v>
      </c>
      <c r="K651" s="2" t="s">
        <v>1643</v>
      </c>
      <c r="L651">
        <v>4.3</v>
      </c>
      <c r="M651">
        <v>8</v>
      </c>
      <c r="O651" t="s">
        <v>39</v>
      </c>
      <c r="P651" t="s">
        <v>39</v>
      </c>
      <c r="Q651" t="s">
        <v>1682</v>
      </c>
    </row>
    <row r="652" spans="1:17" ht="15.75" x14ac:dyDescent="0.25">
      <c r="A652" s="3" t="str">
        <f>HYPERLINK("https://heavenlyouthouse.com/products/fresh-cut-basil-hand-cream", "https://heavenlyouthouse.com/products/fresh-cut-basil-hand-cream")</f>
        <v>https://heavenlyouthouse.com/products/fresh-cut-basil-hand-cream</v>
      </c>
      <c r="B652" s="3" t="str">
        <f>HYPERLINK("https://heavenlyouthouse.com/products/fresh-cut-basil-hand-cream", "https://heavenlyouthouse.com/products/fresh-cut-basil-hand-cream")</f>
        <v>https://heavenlyouthouse.com/products/fresh-cut-basil-hand-cream</v>
      </c>
      <c r="C652" t="s">
        <v>1683</v>
      </c>
      <c r="D652" t="s">
        <v>1318</v>
      </c>
      <c r="E652" s="3" t="str">
        <f>HYPERLINK("https://www.amazon.com/Thymes-Hand-Cream-Fresh-Cut-Basil/dp/B07Q2G3DJR/ref=sr_1_1?keywords=Thymes+Fresh-Cut+Basil+Hard-Working+Hand+Cream&amp;qid=1695258745&amp;sr=8-1", "https://www.amazon.com/Thymes-Hand-Cream-Fresh-Cut-Basil/dp/B07Q2G3DJR/ref=sr_1_1?keywords=Thymes+Fresh-Cut+Basil+Hard-Working+Hand+Cream&amp;qid=1695258745&amp;sr=8-1")</f>
        <v>https://www.amazon.com/Thymes-Hand-Cream-Fresh-Cut-Basil/dp/B07Q2G3DJR/ref=sr_1_1?keywords=Thymes+Fresh-Cut+Basil+Hard-Working+Hand+Cream&amp;qid=1695258745&amp;sr=8-1</v>
      </c>
      <c r="F652" t="s">
        <v>1319</v>
      </c>
      <c r="G652" t="e">
        <f ca="1">IMAGE("https://heavenlyouthouse.com/cdn/shop/products/thymesfresh-cutbasilhandcream.jpg?v=1613075091")</f>
        <v>#NAME?</v>
      </c>
      <c r="H652" t="e">
        <f ca="1">IMAGE("https://m.media-amazon.com/images/I/61Jsyh--IBL._AC_UL320_.jpg")</f>
        <v>#NAME?</v>
      </c>
      <c r="I652" t="s">
        <v>907</v>
      </c>
      <c r="J652">
        <v>18</v>
      </c>
      <c r="K652" s="2" t="s">
        <v>1643</v>
      </c>
      <c r="L652">
        <v>4.8</v>
      </c>
      <c r="M652">
        <v>401</v>
      </c>
      <c r="O652" t="s">
        <v>39</v>
      </c>
      <c r="P652" t="s">
        <v>39</v>
      </c>
      <c r="Q652" t="s">
        <v>1684</v>
      </c>
    </row>
    <row r="653" spans="1:17" ht="15.75" x14ac:dyDescent="0.25">
      <c r="A653" s="3" t="str">
        <f>HYPERLINK("https://heavenlyouthouse.com/products/thymes-washed-linen-hard-working-hand-cream", "https://heavenlyouthouse.com/products/thymes-washed-linen-hard-working-hand-cream")</f>
        <v>https://heavenlyouthouse.com/products/thymes-washed-linen-hard-working-hand-cream</v>
      </c>
      <c r="B653" s="3" t="str">
        <f>HYPERLINK("https://heavenlyouthouse.com/products/thymes-washed-linen-hard-working-hand-cream", "https://heavenlyouthouse.com/products/thymes-washed-linen-hard-working-hand-cream")</f>
        <v>https://heavenlyouthouse.com/products/thymes-washed-linen-hard-working-hand-cream</v>
      </c>
      <c r="C653" t="s">
        <v>1681</v>
      </c>
      <c r="D653" t="s">
        <v>1329</v>
      </c>
      <c r="E653" s="3" t="str">
        <f>HYPERLINK("https://www.amazon.com/Thymes-Hand-Cream-Washed-Linen/dp/B07Q2F1STC/ref=sr_1_1?keywords=Thymes+Washed+Linen+Hard-Working+Hand+Cream&amp;qid=1695258787&amp;sr=8-1", "https://www.amazon.com/Thymes-Hand-Cream-Washed-Linen/dp/B07Q2F1STC/ref=sr_1_1?keywords=Thymes+Washed+Linen+Hard-Working+Hand+Cream&amp;qid=1695258787&amp;sr=8-1")</f>
        <v>https://www.amazon.com/Thymes-Hand-Cream-Washed-Linen/dp/B07Q2F1STC/ref=sr_1_1?keywords=Thymes+Washed+Linen+Hard-Working+Hand+Cream&amp;qid=1695258787&amp;sr=8-1</v>
      </c>
      <c r="F653" t="s">
        <v>1330</v>
      </c>
      <c r="G653" t="e">
        <f ca="1">IMAGE("https://heavenlyouthouse.com/cdn/shop/products/ThymesWashedLinenhandcream.jpg?v=1613174926")</f>
        <v>#NAME?</v>
      </c>
      <c r="H653" t="e">
        <f ca="1">IMAGE("https://m.media-amazon.com/images/I/61g3OTKWoQL._AC_UL320_.jpg")</f>
        <v>#NAME?</v>
      </c>
      <c r="I653" t="s">
        <v>907</v>
      </c>
      <c r="J653">
        <v>18</v>
      </c>
      <c r="K653" s="2" t="s">
        <v>1643</v>
      </c>
      <c r="L653">
        <v>4.8</v>
      </c>
      <c r="M653">
        <v>401</v>
      </c>
      <c r="O653" t="s">
        <v>39</v>
      </c>
      <c r="P653" t="s">
        <v>39</v>
      </c>
      <c r="Q653" t="s">
        <v>1682</v>
      </c>
    </row>
    <row r="654" spans="1:17" ht="15.75" x14ac:dyDescent="0.25">
      <c r="A654" s="3" t="str">
        <f>HYPERLINK("https://heavenlyouthouse.com/products/pretty-decent-boyfriend-mens-crew-socks", "https://heavenlyouthouse.com/products/pretty-decent-boyfriend-mens-crew-socks")</f>
        <v>https://heavenlyouthouse.com/products/pretty-decent-boyfriend-mens-crew-socks</v>
      </c>
      <c r="B654" s="3" t="str">
        <f>HYPERLINK("https://heavenlyouthouse.com/products/pretty-decent-boyfriend-mens-crew-socks", "https://heavenlyouthouse.com/products/pretty-decent-boyfriend-mens-crew-socks")</f>
        <v>https://heavenlyouthouse.com/products/pretty-decent-boyfriend-mens-crew-socks</v>
      </c>
      <c r="C654" t="s">
        <v>1685</v>
      </c>
      <c r="D654" t="s">
        <v>1686</v>
      </c>
      <c r="E654" s="3" t="str">
        <f>HYPERLINK("https://www.amazon.com/Blue-Socks-Pretty-Decent-Boyfriend/dp/B07MD1MPK7/ref=sr_1_1?keywords=Pretty+Decent+Boyfriend+Mens+Crew+Socks&amp;qid=1695258656&amp;sr=8-1", "https://www.amazon.com/Blue-Socks-Pretty-Decent-Boyfriend/dp/B07MD1MPK7/ref=sr_1_1?keywords=Pretty+Decent+Boyfriend+Mens+Crew+Socks&amp;qid=1695258656&amp;sr=8-1")</f>
        <v>https://www.amazon.com/Blue-Socks-Pretty-Decent-Boyfriend/dp/B07MD1MPK7/ref=sr_1_1?keywords=Pretty+Decent+Boyfriend+Mens+Crew+Socks&amp;qid=1695258656&amp;sr=8-1</v>
      </c>
      <c r="F654" t="s">
        <v>1687</v>
      </c>
      <c r="G654" t="e">
        <f ca="1">IMAGE("https://heavenlyouthouse.com/cdn/shop/products/125848774_xl.jpg?v=1588370620")</f>
        <v>#NAME?</v>
      </c>
      <c r="H654" t="e">
        <f ca="1">IMAGE("https://m.media-amazon.com/images/I/61EFIO0VBnL._AC_UL320_.jpg")</f>
        <v>#NAME?</v>
      </c>
      <c r="I654" t="s">
        <v>802</v>
      </c>
      <c r="J654">
        <v>14.99</v>
      </c>
      <c r="K654" s="2" t="s">
        <v>1643</v>
      </c>
      <c r="L654">
        <v>4.9000000000000004</v>
      </c>
      <c r="M654">
        <v>370</v>
      </c>
      <c r="O654" t="s">
        <v>39</v>
      </c>
      <c r="P654" t="s">
        <v>803</v>
      </c>
      <c r="Q654" t="s">
        <v>1688</v>
      </c>
    </row>
    <row r="655" spans="1:17" ht="15.75" x14ac:dyDescent="0.25">
      <c r="A655" s="3" t="str">
        <f>HYPERLINK("https://heavenlyouthouse.com/products/whiskey-mens-crew-socks", "https://heavenlyouthouse.com/products/whiskey-mens-crew-socks")</f>
        <v>https://heavenlyouthouse.com/products/whiskey-mens-crew-socks</v>
      </c>
      <c r="B655" s="3" t="str">
        <f>HYPERLINK("https://heavenlyouthouse.com/products/whiskey-mens-crew-socks", "https://heavenlyouthouse.com/products/whiskey-mens-crew-socks")</f>
        <v>https://heavenlyouthouse.com/products/whiskey-mens-crew-socks</v>
      </c>
      <c r="C655" t="s">
        <v>1665</v>
      </c>
      <c r="D655" t="s">
        <v>1689</v>
      </c>
      <c r="E655" s="3" t="str">
        <f>HYPERLINK("https://www.amazon.com/Whiskey-Related-Message-1-Pair-Novelty/dp/B07VKG499J/ref=sr_1_3?keywords=Whiskey+Mens+Crew+Socks&amp;qid=1695258823&amp;sr=8-3", "https://www.amazon.com/Whiskey-Related-Message-1-Pair-Novelty/dp/B07VKG499J/ref=sr_1_3?keywords=Whiskey+Mens+Crew+Socks&amp;qid=1695258823&amp;sr=8-3")</f>
        <v>https://www.amazon.com/Whiskey-Related-Message-1-Pair-Novelty/dp/B07VKG499J/ref=sr_1_3?keywords=Whiskey+Mens+Crew+Socks&amp;qid=1695258823&amp;sr=8-3</v>
      </c>
      <c r="F655" t="s">
        <v>1690</v>
      </c>
      <c r="G655" t="e">
        <f ca="1">IMAGE("https://heavenlyouthouse.com/cdn/shop/files/blue-q-cool-whiskey-men_s-socks_300x300.jpg?v=1689179660")</f>
        <v>#NAME?</v>
      </c>
      <c r="H655" t="e">
        <f ca="1">IMAGE("https://m.media-amazon.com/images/I/61XF6SwrEYL._AC_UL320_.jpg")</f>
        <v>#NAME?</v>
      </c>
      <c r="I655" t="s">
        <v>802</v>
      </c>
      <c r="J655">
        <v>14.99</v>
      </c>
      <c r="K655" s="2" t="s">
        <v>1643</v>
      </c>
      <c r="L655">
        <v>4.2</v>
      </c>
      <c r="M655">
        <v>20</v>
      </c>
      <c r="O655" t="s">
        <v>39</v>
      </c>
      <c r="P655" t="s">
        <v>803</v>
      </c>
      <c r="Q655" t="s">
        <v>1668</v>
      </c>
    </row>
    <row r="656" spans="1:17" ht="15.75" x14ac:dyDescent="0.25">
      <c r="A656" s="3" t="str">
        <f>HYPERLINK("https://heavenlyouthouse.com/products/whiskey-mens-crew-socks", "https://heavenlyouthouse.com/products/whiskey-mens-crew-socks")</f>
        <v>https://heavenlyouthouse.com/products/whiskey-mens-crew-socks</v>
      </c>
      <c r="B656" s="3" t="str">
        <f>HYPERLINK("https://heavenlyouthouse.com/products/whiskey-mens-crew-socks", "https://heavenlyouthouse.com/products/whiskey-mens-crew-socks")</f>
        <v>https://heavenlyouthouse.com/products/whiskey-mens-crew-socks</v>
      </c>
      <c r="C656" t="s">
        <v>1665</v>
      </c>
      <c r="D656" t="s">
        <v>1691</v>
      </c>
      <c r="E656" s="3" t="str">
        <f>HYPERLINK("https://www.amazon.com/Whiskey-Socks-Blue-Funny-Socks/dp/B08C679Z38/ref=sr_1_2?keywords=Whiskey+Mens+Crew+Socks&amp;qid=1695258823&amp;sr=8-2", "https://www.amazon.com/Whiskey-Socks-Blue-Funny-Socks/dp/B08C679Z38/ref=sr_1_2?keywords=Whiskey+Mens+Crew+Socks&amp;qid=1695258823&amp;sr=8-2")</f>
        <v>https://www.amazon.com/Whiskey-Socks-Blue-Funny-Socks/dp/B08C679Z38/ref=sr_1_2?keywords=Whiskey+Mens+Crew+Socks&amp;qid=1695258823&amp;sr=8-2</v>
      </c>
      <c r="F656" t="s">
        <v>1692</v>
      </c>
      <c r="G656" t="e">
        <f ca="1">IMAGE("https://heavenlyouthouse.com/cdn/shop/files/blue-q-cool-whiskey-men_s-socks_300x300.jpg?v=1689179660")</f>
        <v>#NAME?</v>
      </c>
      <c r="H656" t="e">
        <f ca="1">IMAGE("https://m.media-amazon.com/images/I/91y6rmbIqiL._AC_UL320_.jpg")</f>
        <v>#NAME?</v>
      </c>
      <c r="I656" t="s">
        <v>802</v>
      </c>
      <c r="J656">
        <v>14.99</v>
      </c>
      <c r="K656" s="2" t="s">
        <v>1643</v>
      </c>
      <c r="L656">
        <v>4.9000000000000004</v>
      </c>
      <c r="M656">
        <v>75</v>
      </c>
      <c r="O656" t="s">
        <v>39</v>
      </c>
      <c r="P656" t="s">
        <v>803</v>
      </c>
      <c r="Q656" t="s">
        <v>1668</v>
      </c>
    </row>
    <row r="657" spans="1:17" ht="15.75" x14ac:dyDescent="0.25">
      <c r="A657" s="3" t="str">
        <f>HYPERLINK("https://heavenlyouthouse.com/products/selective-hearing-specialist-mens-crew-socks", "https://heavenlyouthouse.com/products/selective-hearing-specialist-mens-crew-socks")</f>
        <v>https://heavenlyouthouse.com/products/selective-hearing-specialist-mens-crew-socks</v>
      </c>
      <c r="B657" s="3" t="str">
        <f>HYPERLINK("https://heavenlyouthouse.com/products/selective-hearing-specialist-mens-crew-socks", "https://heavenlyouthouse.com/products/selective-hearing-specialist-mens-crew-socks")</f>
        <v>https://heavenlyouthouse.com/products/selective-hearing-specialist-mens-crew-socks</v>
      </c>
      <c r="C657" t="s">
        <v>1693</v>
      </c>
      <c r="D657" t="s">
        <v>1694</v>
      </c>
      <c r="E657" s="3" t="str">
        <f>HYPERLINK("https://www.amazon.com/Blue-Socks-Selective-Hearing-Specialist/dp/B079C5JBXY/ref=sr_1_1?keywords=Selective+Hearing+Specialist+Men%27s+Crew+Socks&amp;qid=1695258677&amp;sr=8-1", "https://www.amazon.com/Blue-Socks-Selective-Hearing-Specialist/dp/B079C5JBXY/ref=sr_1_1?keywords=Selective+Hearing+Specialist+Men%27s+Crew+Socks&amp;qid=1695258677&amp;sr=8-1")</f>
        <v>https://www.amazon.com/Blue-Socks-Selective-Hearing-Specialist/dp/B079C5JBXY/ref=sr_1_1?keywords=Selective+Hearing+Specialist+Men%27s+Crew+Socks&amp;qid=1695258677&amp;sr=8-1</v>
      </c>
      <c r="F657" t="s">
        <v>1695</v>
      </c>
      <c r="G657" t="e">
        <f ca="1">IMAGE("https://heavenlyouthouse.com/cdn/shop/products/125848472_xl.jpg?v=1588372715")</f>
        <v>#NAME?</v>
      </c>
      <c r="H657" t="e">
        <f ca="1">IMAGE("https://m.media-amazon.com/images/I/71ImyDstvSL._AC_UL320_.jpg")</f>
        <v>#NAME?</v>
      </c>
      <c r="I657" t="s">
        <v>802</v>
      </c>
      <c r="J657">
        <v>14.99</v>
      </c>
      <c r="K657" s="2" t="s">
        <v>1643</v>
      </c>
      <c r="L657">
        <v>4.8</v>
      </c>
      <c r="M657">
        <v>75</v>
      </c>
      <c r="O657" t="s">
        <v>39</v>
      </c>
      <c r="P657" t="s">
        <v>803</v>
      </c>
      <c r="Q657" t="s">
        <v>1696</v>
      </c>
    </row>
    <row r="658" spans="1:17" ht="15.75" x14ac:dyDescent="0.25">
      <c r="A658" s="3" t="str">
        <f>HYPERLINK("https://heavenlyouthouse.com/products/eucalyptus-body-wash", "https://heavenlyouthouse.com/products/eucalyptus-body-wash")</f>
        <v>https://heavenlyouthouse.com/products/eucalyptus-body-wash</v>
      </c>
      <c r="B658" s="3" t="str">
        <f>HYPERLINK("https://heavenlyouthouse.com/products/eucalyptus-body-wash", "https://heavenlyouthouse.com/products/eucalyptus-body-wash")</f>
        <v>https://heavenlyouthouse.com/products/eucalyptus-body-wash</v>
      </c>
      <c r="C658" t="s">
        <v>832</v>
      </c>
      <c r="D658" t="s">
        <v>1697</v>
      </c>
      <c r="E658" s="3" t="str">
        <f>HYPERLINK("https://www.amazon.com/Eucalyptus-White-Tea-Body-Wash/dp/B07RQ6W2G2/ref=sr_1_1?keywords=Thymes+Eucalyptus+Body+Wash&amp;qid=1695258723&amp;sr=8-1", "https://www.amazon.com/Eucalyptus-White-Tea-Body-Wash/dp/B07RQ6W2G2/ref=sr_1_1?keywords=Thymes+Eucalyptus+Body+Wash&amp;qid=1695258723&amp;sr=8-1")</f>
        <v>https://www.amazon.com/Eucalyptus-White-Tea-Body-Wash/dp/B07RQ6W2G2/ref=sr_1_1?keywords=Thymes+Eucalyptus+Body+Wash&amp;qid=1695258723&amp;sr=8-1</v>
      </c>
      <c r="F658" t="s">
        <v>1698</v>
      </c>
      <c r="G658" t="e">
        <f ca="1">IMAGE("https://heavenlyouthouse.com/cdn/shop/products/thymes-eucalyptus-body-wash.jpg?v=1638555917")</f>
        <v>#NAME?</v>
      </c>
      <c r="H658" t="e">
        <f ca="1">IMAGE("https://m.media-amazon.com/images/I/51t8vYq0CxL._AC_UL320_.jpg")</f>
        <v>#NAME?</v>
      </c>
      <c r="I658" t="s">
        <v>835</v>
      </c>
      <c r="J658">
        <v>24</v>
      </c>
      <c r="K658" s="2" t="s">
        <v>1643</v>
      </c>
      <c r="L658">
        <v>4.5999999999999996</v>
      </c>
      <c r="M658">
        <v>1742</v>
      </c>
      <c r="O658" t="s">
        <v>39</v>
      </c>
      <c r="P658" t="s">
        <v>39</v>
      </c>
      <c r="Q658" t="s">
        <v>836</v>
      </c>
    </row>
    <row r="659" spans="1:17" ht="15.75" x14ac:dyDescent="0.25">
      <c r="A659" s="3" t="str">
        <f>HYPERLINK("https://heavenlyouthouse.com/products/goldleaf-gardenia-body-wash", "https://heavenlyouthouse.com/products/goldleaf-gardenia-body-wash")</f>
        <v>https://heavenlyouthouse.com/products/goldleaf-gardenia-body-wash</v>
      </c>
      <c r="B659" s="3" t="str">
        <f>HYPERLINK("https://heavenlyouthouse.com/products/goldleaf-gardenia-body-wash", "https://heavenlyouthouse.com/products/goldleaf-gardenia-body-wash")</f>
        <v>https://heavenlyouthouse.com/products/goldleaf-gardenia-body-wash</v>
      </c>
      <c r="C659" t="s">
        <v>1275</v>
      </c>
      <c r="D659" t="s">
        <v>880</v>
      </c>
      <c r="E659" s="3" t="str">
        <f>HYPERLINK("https://www.amazon.com/Thymes-Goldleaf-Gardenia-Perfumed-Luxury/dp/B06W5DQWGQ/ref=sr_1_1?keywords=Thymes+Goldleaf+Gardenia+Body+Wash&amp;qid=1695258755&amp;sr=8-1", "https://www.amazon.com/Thymes-Goldleaf-Gardenia-Perfumed-Luxury/dp/B06W5DQWGQ/ref=sr_1_1?keywords=Thymes+Goldleaf+Gardenia+Body+Wash&amp;qid=1695258755&amp;sr=8-1")</f>
        <v>https://www.amazon.com/Thymes-Goldleaf-Gardenia-Perfumed-Luxury/dp/B06W5DQWGQ/ref=sr_1_1?keywords=Thymes+Goldleaf+Gardenia+Body+Wash&amp;qid=1695258755&amp;sr=8-1</v>
      </c>
      <c r="F659" t="s">
        <v>881</v>
      </c>
      <c r="G659" t="e">
        <f ca="1">IMAGE("https://heavenlyouthouse.com/cdn/shop/products/thymesgoldleafgardeniabodywash.jpg?v=1606423087")</f>
        <v>#NAME?</v>
      </c>
      <c r="H659" t="e">
        <f ca="1">IMAGE("https://m.media-amazon.com/images/I/51TT9TA52ML._AC_UL320_.jpg")</f>
        <v>#NAME?</v>
      </c>
      <c r="I659" t="s">
        <v>835</v>
      </c>
      <c r="J659">
        <v>24</v>
      </c>
      <c r="K659" s="2" t="s">
        <v>1643</v>
      </c>
      <c r="L659">
        <v>4.5999999999999996</v>
      </c>
      <c r="M659">
        <v>1742</v>
      </c>
      <c r="O659" t="s">
        <v>39</v>
      </c>
      <c r="P659" t="s">
        <v>39</v>
      </c>
      <c r="Q659" t="s">
        <v>1276</v>
      </c>
    </row>
    <row r="660" spans="1:17" ht="15.75" x14ac:dyDescent="0.25">
      <c r="A660" s="3" t="str">
        <f>HYPERLINK("https://heavenlyouthouse.com/products/lavender-body-wash", "https://heavenlyouthouse.com/products/lavender-body-wash")</f>
        <v>https://heavenlyouthouse.com/products/lavender-body-wash</v>
      </c>
      <c r="B660" s="3" t="str">
        <f>HYPERLINK("https://heavenlyouthouse.com/products/lavender-body-wash", "https://heavenlyouthouse.com/products/lavender-body-wash")</f>
        <v>https://heavenlyouthouse.com/products/lavender-body-wash</v>
      </c>
      <c r="C660" t="s">
        <v>1114</v>
      </c>
      <c r="D660" t="s">
        <v>1699</v>
      </c>
      <c r="E660" s="3"/>
      <c r="F660" t="s">
        <v>1700</v>
      </c>
      <c r="G660" t="e">
        <f ca="1">IMAGE("https://heavenlyouthouse.com/cdn/shop/products/thymes-lavender-body-wash.jpg?v=1652367040")</f>
        <v>#NAME?</v>
      </c>
      <c r="H660" t="e">
        <f ca="1">IMAGE("https://m.media-amazon.com/images/I/61WI9VrsewL._AC_UL320_.jpg")</f>
        <v>#NAME?</v>
      </c>
      <c r="I660" t="s">
        <v>835</v>
      </c>
      <c r="J660">
        <v>24</v>
      </c>
      <c r="K660" s="2" t="s">
        <v>1643</v>
      </c>
      <c r="L660">
        <v>4.5999999999999996</v>
      </c>
      <c r="M660">
        <v>1742</v>
      </c>
      <c r="O660" t="s">
        <v>39</v>
      </c>
      <c r="P660" t="s">
        <v>39</v>
      </c>
      <c r="Q660" t="s">
        <v>1115</v>
      </c>
    </row>
    <row r="661" spans="1:17" ht="15.75" x14ac:dyDescent="0.25">
      <c r="A661" s="3" t="str">
        <f>HYPERLINK("https://heavenlyouthouse.com/products/lavender-body-wash", "https://heavenlyouthouse.com/products/lavender-body-wash")</f>
        <v>https://heavenlyouthouse.com/products/lavender-body-wash</v>
      </c>
      <c r="B661" s="3" t="str">
        <f>HYPERLINK("https://heavenlyouthouse.com/products/lavender-body-wash", "https://heavenlyouthouse.com/products/lavender-body-wash")</f>
        <v>https://heavenlyouthouse.com/products/lavender-body-wash</v>
      </c>
      <c r="C661" t="s">
        <v>1114</v>
      </c>
      <c r="D661" t="s">
        <v>1699</v>
      </c>
      <c r="E661" s="3" t="str">
        <f>HYPERLINK("https://www.amazon.com/Thymes-Lavender-Hydrating-Calming-Cleanse/dp/B001LF4DCY/ref=sr_1_5?keywords=Thymes+Lavender+Body+Wash&amp;qid=1695258762&amp;sr=8-5", "https://www.amazon.com/Thymes-Lavender-Hydrating-Calming-Cleanse/dp/B001LF4DCY/ref=sr_1_5?keywords=Thymes+Lavender+Body+Wash&amp;qid=1695258762&amp;sr=8-5")</f>
        <v>https://www.amazon.com/Thymes-Lavender-Hydrating-Calming-Cleanse/dp/B001LF4DCY/ref=sr_1_5?keywords=Thymes+Lavender+Body+Wash&amp;qid=1695258762&amp;sr=8-5</v>
      </c>
      <c r="F661" t="s">
        <v>1700</v>
      </c>
      <c r="G661" t="e">
        <f ca="1">IMAGE("https://heavenlyouthouse.com/cdn/shop/products/thymes-lavender-body-wash.jpg?v=1652367040")</f>
        <v>#NAME?</v>
      </c>
      <c r="H661" t="e">
        <f ca="1">IMAGE("https://m.media-amazon.com/images/I/61WI9VrsewL._AC_UL320_.jpg")</f>
        <v>#NAME?</v>
      </c>
      <c r="I661" t="s">
        <v>835</v>
      </c>
      <c r="J661">
        <v>24</v>
      </c>
      <c r="K661" s="2" t="s">
        <v>1643</v>
      </c>
      <c r="L661">
        <v>4.5999999999999996</v>
      </c>
      <c r="M661">
        <v>1742</v>
      </c>
      <c r="O661" t="s">
        <v>39</v>
      </c>
      <c r="P661" t="s">
        <v>39</v>
      </c>
      <c r="Q661" t="s">
        <v>1115</v>
      </c>
    </row>
    <row r="662" spans="1:17" ht="15.75" x14ac:dyDescent="0.25">
      <c r="A662" s="3" t="str">
        <f>HYPERLINK("https://heavenlyouthouse.com/products/goldleaf-body-wash", "https://heavenlyouthouse.com/products/goldleaf-body-wash")</f>
        <v>https://heavenlyouthouse.com/products/goldleaf-body-wash</v>
      </c>
      <c r="B662" s="3" t="str">
        <f>HYPERLINK("https://heavenlyouthouse.com/products/goldleaf-body-wash", "https://heavenlyouthouse.com/products/goldleaf-body-wash")</f>
        <v>https://heavenlyouthouse.com/products/goldleaf-body-wash</v>
      </c>
      <c r="C662" t="s">
        <v>1112</v>
      </c>
      <c r="D662" t="s">
        <v>1701</v>
      </c>
      <c r="E662" s="3" t="str">
        <f>HYPERLINK("https://www.amazon.com/Thymes-Goldleaf-Perfumed-270ml-9-25oz/dp/B0746RY96D/ref=sr_1_1?keywords=Thymes+Goldleaf+Body+Wash&amp;qid=1695258751&amp;sr=8-1", "https://www.amazon.com/Thymes-Goldleaf-Perfumed-270ml-9-25oz/dp/B0746RY96D/ref=sr_1_1?keywords=Thymes+Goldleaf+Body+Wash&amp;qid=1695258751&amp;sr=8-1")</f>
        <v>https://www.amazon.com/Thymes-Goldleaf-Perfumed-270ml-9-25oz/dp/B0746RY96D/ref=sr_1_1?keywords=Thymes+Goldleaf+Body+Wash&amp;qid=1695258751&amp;sr=8-1</v>
      </c>
      <c r="F662" t="s">
        <v>1702</v>
      </c>
      <c r="G662" t="e">
        <f ca="1">IMAGE("https://heavenlyouthouse.com/cdn/shop/products/thymes-goldleaf-perfumed-body-wash_c77d8ae5-0456-44d3-9c0f-fdae5ab83836.png?v=1652277031")</f>
        <v>#NAME?</v>
      </c>
      <c r="H662" t="e">
        <f ca="1">IMAGE("https://m.media-amazon.com/images/I/51EdV+O6YmL._AC_UL320_.jpg")</f>
        <v>#NAME?</v>
      </c>
      <c r="I662" t="s">
        <v>835</v>
      </c>
      <c r="J662">
        <v>24</v>
      </c>
      <c r="K662" s="2" t="s">
        <v>1643</v>
      </c>
      <c r="L662">
        <v>4.5999999999999996</v>
      </c>
      <c r="M662">
        <v>1742</v>
      </c>
      <c r="O662" t="s">
        <v>39</v>
      </c>
      <c r="P662" t="s">
        <v>39</v>
      </c>
      <c r="Q662" t="s">
        <v>1113</v>
      </c>
    </row>
    <row r="663" spans="1:17" ht="15.75" x14ac:dyDescent="0.25">
      <c r="A663" s="3" t="str">
        <f>HYPERLINK("https://heavenlyouthouse.com/products/thymes-olive-leaf-body-wash", "https://heavenlyouthouse.com/products/thymes-olive-leaf-body-wash")</f>
        <v>https://heavenlyouthouse.com/products/thymes-olive-leaf-body-wash</v>
      </c>
      <c r="B663" s="3" t="str">
        <f>HYPERLINK("https://heavenlyouthouse.com/products/thymes-olive-leaf-body-wash", "https://heavenlyouthouse.com/products/thymes-olive-leaf-body-wash")</f>
        <v>https://heavenlyouthouse.com/products/thymes-olive-leaf-body-wash</v>
      </c>
      <c r="C663" t="s">
        <v>1281</v>
      </c>
      <c r="D663" t="s">
        <v>877</v>
      </c>
      <c r="E663" s="3" t="str">
        <f>HYPERLINK("https://www.amazon.com/Thymes-Olive-Hydrating-Shower-Natural/dp/B0746QSJMS/ref=sr_1_1?keywords=Thymes+Olive+Leaf+Body+Wash&amp;qid=1695258780&amp;sr=8-1", "https://www.amazon.com/Thymes-Olive-Hydrating-Shower-Natural/dp/B0746QSJMS/ref=sr_1_1?keywords=Thymes+Olive+Leaf+Body+Wash&amp;qid=1695258780&amp;sr=8-1")</f>
        <v>https://www.amazon.com/Thymes-Olive-Hydrating-Shower-Natural/dp/B0746QSJMS/ref=sr_1_1?keywords=Thymes+Olive+Leaf+Body+Wash&amp;qid=1695258780&amp;sr=8-1</v>
      </c>
      <c r="F663" t="s">
        <v>878</v>
      </c>
      <c r="G663" t="e">
        <f ca="1">IMAGE("https://heavenlyouthouse.com/cdn/shop/files/thymes-olive-leaf-body-wash_300x300.jpg?v=1685115046")</f>
        <v>#NAME?</v>
      </c>
      <c r="H663" t="e">
        <f ca="1">IMAGE("https://m.media-amazon.com/images/I/61yiEFkgymL._AC_UL320_.jpg")</f>
        <v>#NAME?</v>
      </c>
      <c r="I663" t="s">
        <v>835</v>
      </c>
      <c r="J663">
        <v>24</v>
      </c>
      <c r="K663" s="2" t="s">
        <v>1643</v>
      </c>
      <c r="L663">
        <v>4.5999999999999996</v>
      </c>
      <c r="M663">
        <v>1742</v>
      </c>
      <c r="O663" t="s">
        <v>39</v>
      </c>
      <c r="P663" t="s">
        <v>39</v>
      </c>
      <c r="Q663" t="s">
        <v>1282</v>
      </c>
    </row>
    <row r="664" spans="1:17" ht="15.75" x14ac:dyDescent="0.25">
      <c r="A664" s="3" t="str">
        <f>HYPERLINK("https://heavenlyouthouse.com/products/kimono-rose-body-wash", "https://heavenlyouthouse.com/products/kimono-rose-body-wash")</f>
        <v>https://heavenlyouthouse.com/products/kimono-rose-body-wash</v>
      </c>
      <c r="B664" s="3" t="str">
        <f>HYPERLINK("https://heavenlyouthouse.com/products/kimono-rose-body-wash", "https://heavenlyouthouse.com/products/kimono-rose-body-wash")</f>
        <v>https://heavenlyouthouse.com/products/kimono-rose-body-wash</v>
      </c>
      <c r="C664" t="s">
        <v>1116</v>
      </c>
      <c r="D664" t="s">
        <v>874</v>
      </c>
      <c r="E664" s="3" t="str">
        <f>HYPERLINK("https://www.amazon.com/Thymes-Kimono-Hydrating-Shower-Vanilla/dp/B0746QFMH8/ref=sr_1_1?keywords=Thymes+Kimono+Rose+Body+Wash&amp;qid=1695258755&amp;sr=8-1", "https://www.amazon.com/Thymes-Kimono-Hydrating-Shower-Vanilla/dp/B0746QFMH8/ref=sr_1_1?keywords=Thymes+Kimono+Rose+Body+Wash&amp;qid=1695258755&amp;sr=8-1")</f>
        <v>https://www.amazon.com/Thymes-Kimono-Hydrating-Shower-Vanilla/dp/B0746QFMH8/ref=sr_1_1?keywords=Thymes+Kimono+Rose+Body+Wash&amp;qid=1695258755&amp;sr=8-1</v>
      </c>
      <c r="F664" t="s">
        <v>875</v>
      </c>
      <c r="G664" t="e">
        <f ca="1">IMAGE("https://heavenlyouthouse.com/cdn/shop/files/thymes-kimono-rose-body-wash.jpg?v=1687275425")</f>
        <v>#NAME?</v>
      </c>
      <c r="H664" t="e">
        <f ca="1">IMAGE("https://m.media-amazon.com/images/I/61IPNqc5GTL._AC_UL320_.jpg")</f>
        <v>#NAME?</v>
      </c>
      <c r="I664" t="s">
        <v>835</v>
      </c>
      <c r="J664">
        <v>24</v>
      </c>
      <c r="K664" s="2" t="s">
        <v>1643</v>
      </c>
      <c r="L664">
        <v>4.5999999999999996</v>
      </c>
      <c r="M664">
        <v>1742</v>
      </c>
      <c r="O664" t="s">
        <v>39</v>
      </c>
      <c r="P664" t="s">
        <v>39</v>
      </c>
      <c r="Q664" t="s">
        <v>1117</v>
      </c>
    </row>
    <row r="665" spans="1:17" ht="15.75" x14ac:dyDescent="0.25">
      <c r="A665" s="3" t="str">
        <f>HYPERLINK("https://heavenlyouthouse.com/products/frasier-fir-3-wick-green-glass-candle", "https://heavenlyouthouse.com/products/frasier-fir-3-wick-green-glass-candle")</f>
        <v>https://heavenlyouthouse.com/products/frasier-fir-3-wick-green-glass-candle</v>
      </c>
      <c r="B665" s="3" t="str">
        <f>HYPERLINK("https://heavenlyouthouse.com/products/frasier-fir-3-wick-green-glass-candle", "https://heavenlyouthouse.com/products/frasier-fir-3-wick-green-glass-candle")</f>
        <v>https://heavenlyouthouse.com/products/frasier-fir-3-wick-green-glass-candle</v>
      </c>
      <c r="C665" t="s">
        <v>1335</v>
      </c>
      <c r="D665" t="s">
        <v>326</v>
      </c>
      <c r="E665" s="3" t="str">
        <f>HYPERLINK("https://www.amazon.com/Thymes-Heritage-3-Wick-Candle-Fragrance/dp/B001LF4DVU/ref=sr_1_1?keywords=Thymes+Frasier+Fir+3-Wick+Green+Glass+Candle&amp;qid=1695258716&amp;sr=8-1", "https://www.amazon.com/Thymes-Heritage-3-Wick-Candle-Fragrance/dp/B001LF4DVU/ref=sr_1_1?keywords=Thymes+Frasier+Fir+3-Wick+Green+Glass+Candle&amp;qid=1695258716&amp;sr=8-1")</f>
        <v>https://www.amazon.com/Thymes-Heritage-3-Wick-Candle-Fragrance/dp/B001LF4DVU/ref=sr_1_1?keywords=Thymes+Frasier+Fir+3-Wick+Green+Glass+Candle&amp;qid=1695258716&amp;sr=8-1</v>
      </c>
      <c r="F665" t="s">
        <v>327</v>
      </c>
      <c r="G665" t="e">
        <f ca="1">IMAGE("https://heavenlyouthouse.com/cdn/shop/products/frasier-fir-3-wick-candle-by-thymes53605_2.jpg?v=1606236113")</f>
        <v>#NAME?</v>
      </c>
      <c r="H665" t="e">
        <f ca="1">IMAGE("https://m.media-amazon.com/images/I/717qxzPH-0L._AC_UL320_.jpg")</f>
        <v>#NAME?</v>
      </c>
      <c r="I665" t="s">
        <v>1336</v>
      </c>
      <c r="J665">
        <v>60</v>
      </c>
      <c r="K665" s="2" t="s">
        <v>1643</v>
      </c>
      <c r="L665">
        <v>4.5999999999999996</v>
      </c>
      <c r="M665">
        <v>355</v>
      </c>
      <c r="O665" t="s">
        <v>39</v>
      </c>
      <c r="P665" t="s">
        <v>1338</v>
      </c>
      <c r="Q665" t="s">
        <v>1339</v>
      </c>
    </row>
    <row r="666" spans="1:17" ht="15.75" x14ac:dyDescent="0.25">
      <c r="A666" s="3" t="str">
        <f>HYPERLINK("https://heavenlyouthouse.com/products/serenity-bubble-bath", "https://heavenlyouthouse.com/products/serenity-bubble-bath")</f>
        <v>https://heavenlyouthouse.com/products/serenity-bubble-bath</v>
      </c>
      <c r="B666" s="3" t="str">
        <f>HYPERLINK("https://heavenlyouthouse.com/products/serenity-bubble-bath", "https://heavenlyouthouse.com/products/serenity-bubble-bath")</f>
        <v>https://heavenlyouthouse.com/products/serenity-bubble-bath</v>
      </c>
      <c r="C666" t="s">
        <v>404</v>
      </c>
      <c r="D666" t="s">
        <v>1703</v>
      </c>
      <c r="E666" s="3" t="str">
        <f>HYPERLINK("https://www.amazon.com/Eo-Bubble-Bath-French-Lavender/dp/B00APAEG00/ref=sr_1_1?keywords=Serenity+Bubble+Bath&amp;qid=1695258688&amp;sr=8-1", "https://www.amazon.com/Eo-Bubble-Bath-French-Lavender/dp/B00APAEG00/ref=sr_1_1?keywords=Serenity+Bubble+Bath&amp;qid=1695258688&amp;sr=8-1")</f>
        <v>https://www.amazon.com/Eo-Bubble-Bath-French-Lavender/dp/B00APAEG00/ref=sr_1_1?keywords=Serenity+Bubble+Bath&amp;qid=1695258688&amp;sr=8-1</v>
      </c>
      <c r="F666" t="s">
        <v>1704</v>
      </c>
      <c r="G666" t="e">
        <f ca="1">IMAGE("https://heavenlyouthouse.com/cdn/shop/products/Serenity_Bubble-Bath_2048_2000x_5a105ad7-68d8-4390-b59a-da7f09afb3a1.jpg?v=1588955176")</f>
        <v>#NAME?</v>
      </c>
      <c r="H666" t="e">
        <f ca="1">IMAGE("https://m.media-amazon.com/images/I/61TLp7T7p5L._AC_UL320_.jpg")</f>
        <v>#NAME?</v>
      </c>
      <c r="I666" t="s">
        <v>233</v>
      </c>
      <c r="J666">
        <v>12</v>
      </c>
      <c r="K666" s="2" t="s">
        <v>1643</v>
      </c>
      <c r="L666">
        <v>4.7</v>
      </c>
      <c r="M666">
        <v>71</v>
      </c>
      <c r="O666" t="s">
        <v>39</v>
      </c>
      <c r="P666" t="s">
        <v>39</v>
      </c>
      <c r="Q666" t="s">
        <v>408</v>
      </c>
    </row>
    <row r="667" spans="1:17" ht="15.75" x14ac:dyDescent="0.25">
      <c r="A667" s="3" t="str">
        <f>HYPERLINK("https://heavenlyouthouse.com/products/thymes-lavender-body-scrub", "https://heavenlyouthouse.com/products/thymes-lavender-body-scrub")</f>
        <v>https://heavenlyouthouse.com/products/thymes-lavender-body-scrub</v>
      </c>
      <c r="B667" s="3" t="str">
        <f>HYPERLINK("https://heavenlyouthouse.com/products/thymes-lavender-body-scrub", "https://heavenlyouthouse.com/products/thymes-lavender-body-scrub")</f>
        <v>https://heavenlyouthouse.com/products/thymes-lavender-body-scrub</v>
      </c>
      <c r="C667" t="s">
        <v>1401</v>
      </c>
      <c r="D667" t="s">
        <v>1705</v>
      </c>
      <c r="E667" s="3" t="str">
        <f>HYPERLINK("https://www.amazon.com/Botanics-Exfoliating-Lavender-Moisturizing-Fragrances/dp/B08539CGKS/ref=sr_1_3?keywords=Thymes+Lavender+Body+Scrub&amp;qid=1695258768&amp;sr=8-3", "https://www.amazon.com/Botanics-Exfoliating-Lavender-Moisturizing-Fragrances/dp/B08539CGKS/ref=sr_1_3?keywords=Thymes+Lavender+Body+Scrub&amp;qid=1695258768&amp;sr=8-3")</f>
        <v>https://www.amazon.com/Botanics-Exfoliating-Lavender-Moisturizing-Fragrances/dp/B08539CGKS/ref=sr_1_3?keywords=Thymes+Lavender+Body+Scrub&amp;qid=1695258768&amp;sr=8-3</v>
      </c>
      <c r="F667" t="s">
        <v>1706</v>
      </c>
      <c r="G667" t="e">
        <f ca="1">IMAGE("https://heavenlyouthouse.com/cdn/shop/products/thymes-lavender-body-scrub.jpg?v=1630622694")</f>
        <v>#NAME?</v>
      </c>
      <c r="H667" t="e">
        <f ca="1">IMAGE("https://m.media-amazon.com/images/I/61A8VB8X13L._AC_UL320_.jpg")</f>
        <v>#NAME?</v>
      </c>
      <c r="I667" t="s">
        <v>1179</v>
      </c>
      <c r="J667">
        <v>26.95</v>
      </c>
      <c r="K667" s="2" t="s">
        <v>1643</v>
      </c>
      <c r="L667">
        <v>4.4000000000000004</v>
      </c>
      <c r="M667">
        <v>3017</v>
      </c>
      <c r="O667" t="s">
        <v>39</v>
      </c>
      <c r="P667" t="s">
        <v>39</v>
      </c>
      <c r="Q667" t="s">
        <v>1404</v>
      </c>
    </row>
    <row r="668" spans="1:17" ht="15.75" x14ac:dyDescent="0.25">
      <c r="A668" s="3" t="str">
        <f>HYPERLINK("https://heavenlyouthouse.com/products/thymes-eucalyptus-body-scrub", "https://heavenlyouthouse.com/products/thymes-eucalyptus-body-scrub")</f>
        <v>https://heavenlyouthouse.com/products/thymes-eucalyptus-body-scrub</v>
      </c>
      <c r="B668" s="3" t="str">
        <f>HYPERLINK("https://heavenlyouthouse.com/products/thymes-eucalyptus-body-scrub", "https://heavenlyouthouse.com/products/thymes-eucalyptus-body-scrub")</f>
        <v>https://heavenlyouthouse.com/products/thymes-eucalyptus-body-scrub</v>
      </c>
      <c r="C668" t="s">
        <v>1176</v>
      </c>
      <c r="D668" t="s">
        <v>1707</v>
      </c>
      <c r="E668" s="3" t="str">
        <f>HYPERLINK("https://www.amazon.com/Botanics-Scrub-Matcha-Green-Eucalyptus/dp/B09L8PDRH2/ref=sr_1_9?keywords=Thymes+Eucalyptus+Body+Scrub&amp;qid=1695258727&amp;sr=8-9", "https://www.amazon.com/Botanics-Scrub-Matcha-Green-Eucalyptus/dp/B09L8PDRH2/ref=sr_1_9?keywords=Thymes+Eucalyptus+Body+Scrub&amp;qid=1695258727&amp;sr=8-9")</f>
        <v>https://www.amazon.com/Botanics-Scrub-Matcha-Green-Eucalyptus/dp/B09L8PDRH2/ref=sr_1_9?keywords=Thymes+Eucalyptus+Body+Scrub&amp;qid=1695258727&amp;sr=8-9</v>
      </c>
      <c r="F668" t="s">
        <v>1708</v>
      </c>
      <c r="G668" t="e">
        <f ca="1">IMAGE("https://heavenlyouthouse.com/cdn/shop/products/thymes-eucalyptus-body-scrub.jpg?v=1630620279")</f>
        <v>#NAME?</v>
      </c>
      <c r="H668" t="e">
        <f ca="1">IMAGE("https://m.media-amazon.com/images/I/71fCf6Uv8JL._AC_UL320_.jpg")</f>
        <v>#NAME?</v>
      </c>
      <c r="I668" t="s">
        <v>1179</v>
      </c>
      <c r="J668">
        <v>26.95</v>
      </c>
      <c r="K668" s="2" t="s">
        <v>1643</v>
      </c>
      <c r="L668">
        <v>4.4000000000000004</v>
      </c>
      <c r="M668">
        <v>3017</v>
      </c>
      <c r="O668" t="s">
        <v>39</v>
      </c>
      <c r="P668" t="s">
        <v>39</v>
      </c>
      <c r="Q668" t="s">
        <v>1180</v>
      </c>
    </row>
    <row r="669" spans="1:17" ht="15.75" x14ac:dyDescent="0.25">
      <c r="A669" s="3" t="str">
        <f>HYPERLINK("https://heavenlyouthouse.com/products/vanilla-coconut-butter", "https://heavenlyouthouse.com/products/vanilla-coconut-butter")</f>
        <v>https://heavenlyouthouse.com/products/vanilla-coconut-butter</v>
      </c>
      <c r="B669" s="3" t="str">
        <f>HYPERLINK("https://heavenlyouthouse.com/products/vanilla-coconut-butter", "https://heavenlyouthouse.com/products/vanilla-coconut-butter")</f>
        <v>https://heavenlyouthouse.com/products/vanilla-coconut-butter</v>
      </c>
      <c r="C669" t="s">
        <v>309</v>
      </c>
      <c r="D669" t="s">
        <v>1709</v>
      </c>
      <c r="E669" s="3" t="str">
        <f>HYPERLINK("https://www.amazon.com/Soap-Glory-Smoothie-Moisturizing-Lotion/dp/B0B98ZMFJN/ref=sr_1_4?keywords=Vanilla+Coconut+Body+Butter&amp;qid=1695258804&amp;sr=8-4", "https://www.amazon.com/Soap-Glory-Smoothie-Moisturizing-Lotion/dp/B0B98ZMFJN/ref=sr_1_4?keywords=Vanilla+Coconut+Body+Butter&amp;qid=1695258804&amp;sr=8-4")</f>
        <v>https://www.amazon.com/Soap-Glory-Smoothie-Moisturizing-Lotion/dp/B0B98ZMFJN/ref=sr_1_4?keywords=Vanilla+Coconut+Body+Butter&amp;qid=1695258804&amp;sr=8-4</v>
      </c>
      <c r="F669" t="s">
        <v>1710</v>
      </c>
      <c r="G669" t="e">
        <f ca="1">IMAGE("https://heavenlyouthouse.com/cdn/shop/products/vanilla-coconut-body-butter_2000x_5ad751a5-f997-4412-b034-d7b35819d9d9.jpg?v=1588193267")</f>
        <v>#NAME?</v>
      </c>
      <c r="H669" t="e">
        <f ca="1">IMAGE("https://m.media-amazon.com/images/I/41Oi1ZR6j1L._AC_UL320_.jpg")</f>
        <v>#NAME?</v>
      </c>
      <c r="I669" t="s">
        <v>233</v>
      </c>
      <c r="J669">
        <v>11.98</v>
      </c>
      <c r="K669" s="2" t="s">
        <v>1643</v>
      </c>
      <c r="L669">
        <v>4.5999999999999996</v>
      </c>
      <c r="M669">
        <v>96</v>
      </c>
      <c r="O669" t="s">
        <v>39</v>
      </c>
      <c r="P669" t="s">
        <v>39</v>
      </c>
      <c r="Q669" t="s">
        <v>313</v>
      </c>
    </row>
    <row r="670" spans="1:17" ht="15.75" x14ac:dyDescent="0.25">
      <c r="A670" s="3" t="str">
        <f>HYPERLINK("https://heavenlyouthouse.com/products/to-my-husband-fathers-day-card", "https://heavenlyouthouse.com/products/to-my-husband-fathers-day-card")</f>
        <v>https://heavenlyouthouse.com/products/to-my-husband-fathers-day-card</v>
      </c>
      <c r="B670" s="3" t="str">
        <f>HYPERLINK("https://heavenlyouthouse.com/products/to-my-husband-fathers-day-card", "https://heavenlyouthouse.com/products/to-my-husband-fathers-day-card")</f>
        <v>https://heavenlyouthouse.com/products/to-my-husband-fathers-day-card</v>
      </c>
      <c r="C670" t="s">
        <v>893</v>
      </c>
      <c r="D670" t="s">
        <v>1711</v>
      </c>
      <c r="E670" s="3" t="str">
        <f>HYPERLINK("https://www.amazon.com/Happy-Fathers-Card-King-Heart/dp/B0B7BYRNRX/ref=sr_1_5?keywords=To+My+Husband+Father%27s+Day+Card&amp;qid=1695258791&amp;sr=8-5", "https://www.amazon.com/Happy-Fathers-Card-King-Heart/dp/B0B7BYRNRX/ref=sr_1_5?keywords=To+My+Husband+Father%27s+Day+Card&amp;qid=1695258791&amp;sr=8-5")</f>
        <v>https://www.amazon.com/Happy-Fathers-Card-King-Heart/dp/B0B7BYRNRX/ref=sr_1_5?keywords=To+My+Husband+Father%27s+Day+Card&amp;qid=1695258791&amp;sr=8-5</v>
      </c>
      <c r="F670" t="s">
        <v>1712</v>
      </c>
      <c r="G670" t="e">
        <f ca="1">IMAGE("https://heavenlyouthouse.com/cdn/shop/products/papyrustomyhusbandfather_sdaycard1_1.jpg?v=1621621174")</f>
        <v>#NAME?</v>
      </c>
      <c r="H670" t="e">
        <f ca="1">IMAGE("https://m.media-amazon.com/images/I/71LJ0L1aOzL._AC_UL320_.jpg")</f>
        <v>#NAME?</v>
      </c>
      <c r="I670" t="s">
        <v>92</v>
      </c>
      <c r="J670">
        <v>5.95</v>
      </c>
      <c r="K670" s="2" t="s">
        <v>1643</v>
      </c>
      <c r="L670">
        <v>5</v>
      </c>
      <c r="M670">
        <v>3</v>
      </c>
      <c r="O670" t="s">
        <v>39</v>
      </c>
      <c r="P670" t="s">
        <v>39</v>
      </c>
      <c r="Q670" t="s">
        <v>897</v>
      </c>
    </row>
    <row r="671" spans="1:17" ht="15.75" x14ac:dyDescent="0.25">
      <c r="A671" s="3" t="str">
        <f>HYPERLINK("https://heavenlyouthouse.com/products/frasier-fir-wax-melt", "https://heavenlyouthouse.com/products/frasier-fir-wax-melt")</f>
        <v>https://heavenlyouthouse.com/products/frasier-fir-wax-melt</v>
      </c>
      <c r="B671" s="3" t="str">
        <f>HYPERLINK("https://heavenlyouthouse.com/products/frasier-fir-wax-melt", "https://heavenlyouthouse.com/products/frasier-fir-wax-melt")</f>
        <v>https://heavenlyouthouse.com/products/frasier-fir-wax-melt</v>
      </c>
      <c r="C671" t="s">
        <v>1492</v>
      </c>
      <c r="D671" t="s">
        <v>1713</v>
      </c>
      <c r="E671" s="3" t="str">
        <f>HYPERLINK("https://www.amazon.com/Frasier-Fir-WoodWick-Hourglass-Melt/dp/B06XXP2QM9/ref=sr_1_6?keywords=Thymes+Frasier+Fir+Wax+Melt&amp;qid=1695258754&amp;sr=8-6", "https://www.amazon.com/Frasier-Fir-WoodWick-Hourglass-Melt/dp/B06XXP2QM9/ref=sr_1_6?keywords=Thymes+Frasier+Fir+Wax+Melt&amp;qid=1695258754&amp;sr=8-6")</f>
        <v>https://www.amazon.com/Frasier-Fir-WoodWick-Hourglass-Melt/dp/B06XXP2QM9/ref=sr_1_6?keywords=Thymes+Frasier+Fir+Wax+Melt&amp;qid=1695258754&amp;sr=8-6</v>
      </c>
      <c r="F671" t="s">
        <v>1714</v>
      </c>
      <c r="G671" t="e">
        <f ca="1">IMAGE("https://heavenlyouthouse.com/cdn/shop/products/thymesfrasierfirwaxmelt.jpg?v=1613059751")</f>
        <v>#NAME?</v>
      </c>
      <c r="H671" t="e">
        <f ca="1">IMAGE("https://m.media-amazon.com/images/I/61ZNoV1czJL._AC_UL320_.jpg")</f>
        <v>#NAME?</v>
      </c>
      <c r="I671" t="s">
        <v>955</v>
      </c>
      <c r="J671">
        <v>9.69</v>
      </c>
      <c r="K671" s="2" t="s">
        <v>1643</v>
      </c>
      <c r="L671">
        <v>4.3</v>
      </c>
      <c r="M671">
        <v>716</v>
      </c>
      <c r="O671" t="s">
        <v>39</v>
      </c>
      <c r="P671" t="s">
        <v>1495</v>
      </c>
      <c r="Q671" t="s">
        <v>1496</v>
      </c>
    </row>
    <row r="672" spans="1:17" ht="15.75" x14ac:dyDescent="0.25">
      <c r="A672" s="3" t="str">
        <f>HYPERLINK("https://heavenlyouthouse.com/products/thymes-eucalyptus-and-lavender-pura-smart-home-diffuser-kit", "https://heavenlyouthouse.com/products/thymes-eucalyptus-and-lavender-pura-smart-home-diffuser-kit")</f>
        <v>https://heavenlyouthouse.com/products/thymes-eucalyptus-and-lavender-pura-smart-home-diffuser-kit</v>
      </c>
      <c r="B672" s="3" t="str">
        <f>HYPERLINK("https://heavenlyouthouse.com/products/thymes-eucalyptus-and-lavender-pura-smart-home-diffuser-kit", "https://heavenlyouthouse.com/products/thymes-eucalyptus-and-lavender-pura-smart-home-diffuser-kit")</f>
        <v>https://heavenlyouthouse.com/products/thymes-eucalyptus-and-lavender-pura-smart-home-diffuser-kit</v>
      </c>
      <c r="C672" t="s">
        <v>1715</v>
      </c>
      <c r="D672" t="s">
        <v>115</v>
      </c>
      <c r="E672" s="3" t="str">
        <f>HYPERLINK("https://www.amazon.com/Thymes-Pura-Smart-Plug-Diffuser/dp/B0C1D8Y98T/ref=sr_1_1?keywords=Thymes+Eucalyptus+and+Lavender+Pura+Smart+Home+Diffuser+Kit&amp;qid=1695258717&amp;sr=8-1", "https://www.amazon.com/Thymes-Pura-Smart-Plug-Diffuser/dp/B0C1D8Y98T/ref=sr_1_1?keywords=Thymes+Eucalyptus+and+Lavender+Pura+Smart+Home+Diffuser+Kit&amp;qid=1695258717&amp;sr=8-1")</f>
        <v>https://www.amazon.com/Thymes-Pura-Smart-Plug-Diffuser/dp/B0C1D8Y98T/ref=sr_1_1?keywords=Thymes+Eucalyptus+and+Lavender+Pura+Smart+Home+Diffuser+Kit&amp;qid=1695258717&amp;sr=8-1</v>
      </c>
      <c r="F672" t="s">
        <v>116</v>
      </c>
      <c r="G672" t="e">
        <f ca="1">IMAGE("https://heavenlyouthouse.com/cdn/shop/products/Thymes-eucalyptus-lavender-pura-smart-home-diffuser-set.jpg?v=1651704451")</f>
        <v>#NAME?</v>
      </c>
      <c r="H672" t="e">
        <f ca="1">IMAGE("https://m.media-amazon.com/images/I/51d8plCpmAL._AC_UL320_.jpg")</f>
        <v>#NAME?</v>
      </c>
      <c r="I672" t="s">
        <v>1716</v>
      </c>
      <c r="J672">
        <v>86</v>
      </c>
      <c r="K672" s="2" t="s">
        <v>1643</v>
      </c>
      <c r="L672">
        <v>3.9</v>
      </c>
      <c r="M672">
        <v>77</v>
      </c>
      <c r="O672" t="s">
        <v>39</v>
      </c>
      <c r="P672" t="s">
        <v>1717</v>
      </c>
      <c r="Q672" t="s">
        <v>1718</v>
      </c>
    </row>
    <row r="673" spans="1:17" ht="15.75" x14ac:dyDescent="0.25">
      <c r="A673" s="3" t="str">
        <f>HYPERLINK("https://heavenlyouthouse.com/products/thymes-frasier-fir-pura-smart-home-diffuser-kit", "https://heavenlyouthouse.com/products/thymes-frasier-fir-pura-smart-home-diffuser-kit")</f>
        <v>https://heavenlyouthouse.com/products/thymes-frasier-fir-pura-smart-home-diffuser-kit</v>
      </c>
      <c r="B673" s="3" t="str">
        <f>HYPERLINK("https://heavenlyouthouse.com/products/thymes-frasier-fir-pura-smart-home-diffuser-kit", "https://heavenlyouthouse.com/products/thymes-frasier-fir-pura-smart-home-diffuser-kit")</f>
        <v>https://heavenlyouthouse.com/products/thymes-frasier-fir-pura-smart-home-diffuser-kit</v>
      </c>
      <c r="C673" t="s">
        <v>1719</v>
      </c>
      <c r="D673" t="s">
        <v>96</v>
      </c>
      <c r="E673" s="3" t="str">
        <f>HYPERLINK("https://www.amazon.com/Thymes-Pura-Smart-Plug-Diffuser/dp/B09HL8DMHN/ref=sr_1_1?keywords=Thymes+Frasier+Fir+Pura+Smart+Home+Diffuser+Kit&amp;qid=1695258740&amp;sr=8-1", "https://www.amazon.com/Thymes-Pura-Smart-Plug-Diffuser/dp/B09HL8DMHN/ref=sr_1_1?keywords=Thymes+Frasier+Fir+Pura+Smart+Home+Diffuser+Kit&amp;qid=1695258740&amp;sr=8-1")</f>
        <v>https://www.amazon.com/Thymes-Pura-Smart-Plug-Diffuser/dp/B09HL8DMHN/ref=sr_1_1?keywords=Thymes+Frasier+Fir+Pura+Smart+Home+Diffuser+Kit&amp;qid=1695258740&amp;sr=8-1</v>
      </c>
      <c r="F673" t="s">
        <v>97</v>
      </c>
      <c r="G673" t="e">
        <f ca="1">IMAGE("https://heavenlyouthouse.com/cdn/shop/products/Thymes-Frasier-Fir-pura-smart-home-diffuser-set.jpg?v=1632434530")</f>
        <v>#NAME?</v>
      </c>
      <c r="H673" t="e">
        <f ca="1">IMAGE("https://m.media-amazon.com/images/I/61mgsWdFRWL._AC_UL320_.jpg")</f>
        <v>#NAME?</v>
      </c>
      <c r="I673" t="s">
        <v>1716</v>
      </c>
      <c r="J673">
        <v>86</v>
      </c>
      <c r="K673" s="2" t="s">
        <v>1643</v>
      </c>
      <c r="L673">
        <v>3.9</v>
      </c>
      <c r="M673">
        <v>77</v>
      </c>
      <c r="O673" t="s">
        <v>39</v>
      </c>
      <c r="P673" t="s">
        <v>39</v>
      </c>
      <c r="Q673" t="s">
        <v>1720</v>
      </c>
    </row>
    <row r="674" spans="1:17" ht="15.75" x14ac:dyDescent="0.25">
      <c r="A674" s="3" t="str">
        <f>HYPERLINK("https://heavenlyouthouse.com/products/thymes-lemon-leaf-reed-diffuser-refill", "https://heavenlyouthouse.com/products/thymes-lemon-leaf-reed-diffuser-refill")</f>
        <v>https://heavenlyouthouse.com/products/thymes-lemon-leaf-reed-diffuser-refill</v>
      </c>
      <c r="B674" s="3" t="str">
        <f>HYPERLINK("https://heavenlyouthouse.com/products/thymes-lemon-leaf-reed-diffuser-refill", "https://heavenlyouthouse.com/products/thymes-lemon-leaf-reed-diffuser-refill")</f>
        <v>https://heavenlyouthouse.com/products/thymes-lemon-leaf-reed-diffuser-refill</v>
      </c>
      <c r="C674" t="s">
        <v>1150</v>
      </c>
      <c r="D674" t="s">
        <v>1721</v>
      </c>
      <c r="E674" s="3" t="str">
        <f>HYPERLINK("https://www.amazon.com/Thymes-Reed-Diffuser-Oil-Lemon/dp/B0B4T5R39T/ref=sr_1_2?keywords=Thymes+Lemon+Leaf+Reed+Diffuser+Refill&amp;qid=1695258779&amp;sr=8-2", "https://www.amazon.com/Thymes-Reed-Diffuser-Oil-Lemon/dp/B0B4T5R39T/ref=sr_1_2?keywords=Thymes+Lemon+Leaf+Reed+Diffuser+Refill&amp;qid=1695258779&amp;sr=8-2")</f>
        <v>https://www.amazon.com/Thymes-Reed-Diffuser-Oil-Lemon/dp/B0B4T5R39T/ref=sr_1_2?keywords=Thymes+Lemon+Leaf+Reed+Diffuser+Refill&amp;qid=1695258779&amp;sr=8-2</v>
      </c>
      <c r="F674" t="s">
        <v>1722</v>
      </c>
      <c r="G674" t="e">
        <f ca="1">IMAGE("https://heavenlyouthouse.com/cdn/shop/products/thymes-lemon-leaf-reed-diffuser-refill.jpg?v=1657727070")</f>
        <v>#NAME?</v>
      </c>
      <c r="H674" t="e">
        <f ca="1">IMAGE("https://m.media-amazon.com/images/I/51IpiNUqzjL._AC_UL320_.jpg")</f>
        <v>#NAME?</v>
      </c>
      <c r="I674" t="s">
        <v>829</v>
      </c>
      <c r="J674">
        <v>35</v>
      </c>
      <c r="K674" s="2" t="s">
        <v>1643</v>
      </c>
      <c r="L674">
        <v>3.7</v>
      </c>
      <c r="M674">
        <v>12</v>
      </c>
      <c r="O674" t="s">
        <v>39</v>
      </c>
      <c r="P674" t="s">
        <v>39</v>
      </c>
      <c r="Q674" t="s">
        <v>1153</v>
      </c>
    </row>
    <row r="675" spans="1:17" ht="15.75" x14ac:dyDescent="0.25">
      <c r="A675" s="3" t="str">
        <f>HYPERLINK("https://heavenlyouthouse.com/products/thymes-mandarin-coriander-reed-diffuser-refill", "https://heavenlyouthouse.com/products/thymes-mandarin-coriander-reed-diffuser-refill")</f>
        <v>https://heavenlyouthouse.com/products/thymes-mandarin-coriander-reed-diffuser-refill</v>
      </c>
      <c r="B675" s="3" t="str">
        <f>HYPERLINK("https://heavenlyouthouse.com/products/thymes-mandarin-coriander-reed-diffuser-refill", "https://heavenlyouthouse.com/products/thymes-mandarin-coriander-reed-diffuser-refill")</f>
        <v>https://heavenlyouthouse.com/products/thymes-mandarin-coriander-reed-diffuser-refill</v>
      </c>
      <c r="C675" t="s">
        <v>1141</v>
      </c>
      <c r="D675" t="s">
        <v>1723</v>
      </c>
      <c r="E675" s="3" t="str">
        <f>HYPERLINK("https://www.amazon.com/Thymes-Reed-Diffuser-Oil-Coriander/dp/B0B4T8DVK2/ref=sr_1_1?keywords=Thymes+Mandarin+Coriander+Reed+Diffuser+Refill&amp;qid=1695258793&amp;sr=8-1", "https://www.amazon.com/Thymes-Reed-Diffuser-Oil-Coriander/dp/B0B4T8DVK2/ref=sr_1_1?keywords=Thymes+Mandarin+Coriander+Reed+Diffuser+Refill&amp;qid=1695258793&amp;sr=8-1")</f>
        <v>https://www.amazon.com/Thymes-Reed-Diffuser-Oil-Coriander/dp/B0B4T8DVK2/ref=sr_1_1?keywords=Thymes+Mandarin+Coriander+Reed+Diffuser+Refill&amp;qid=1695258793&amp;sr=8-1</v>
      </c>
      <c r="F675" t="s">
        <v>1724</v>
      </c>
      <c r="G675" t="e">
        <f ca="1">IMAGE("https://heavenlyouthouse.com/cdn/shop/products/thymes-mandarin-coriander-reed-diffuser-refill.jpg?v=1657727707")</f>
        <v>#NAME?</v>
      </c>
      <c r="H675" t="e">
        <f ca="1">IMAGE("https://m.media-amazon.com/images/I/516yX4MdidL._AC_UL320_.jpg")</f>
        <v>#NAME?</v>
      </c>
      <c r="I675" t="s">
        <v>829</v>
      </c>
      <c r="J675">
        <v>35</v>
      </c>
      <c r="K675" s="2" t="s">
        <v>1643</v>
      </c>
      <c r="L675">
        <v>3.5</v>
      </c>
      <c r="M675">
        <v>6</v>
      </c>
      <c r="O675" t="s">
        <v>39</v>
      </c>
      <c r="P675" t="s">
        <v>39</v>
      </c>
      <c r="Q675" t="s">
        <v>1145</v>
      </c>
    </row>
    <row r="676" spans="1:17" ht="15.75" x14ac:dyDescent="0.25">
      <c r="A676" s="3" t="str">
        <f>HYPERLINK("https://heavenlyouthouse.com/products/lavender-reed-diffuser-refill", "https://heavenlyouthouse.com/products/lavender-reed-diffuser-refill")</f>
        <v>https://heavenlyouthouse.com/products/lavender-reed-diffuser-refill</v>
      </c>
      <c r="B676" s="3" t="str">
        <f>HYPERLINK("https://heavenlyouthouse.com/products/lavender-reed-diffuser-refill", "https://heavenlyouthouse.com/products/lavender-reed-diffuser-refill")</f>
        <v>https://heavenlyouthouse.com/products/lavender-reed-diffuser-refill</v>
      </c>
      <c r="C676" t="s">
        <v>1188</v>
      </c>
      <c r="D676" t="s">
        <v>1725</v>
      </c>
      <c r="E676" s="3" t="str">
        <f>HYPERLINK("https://www.amazon.com/NEST-Fragrances-Diffuser-Refill-Lavender/dp/B085HZPKYJ/ref=sr_1_4?keywords=Thymes+Lavender+Reed+Diffuser+Refill&amp;qid=1695258763&amp;sr=8-4", "https://www.amazon.com/NEST-Fragrances-Diffuser-Refill-Lavender/dp/B085HZPKYJ/ref=sr_1_4?keywords=Thymes+Lavender+Reed+Diffuser+Refill&amp;qid=1695258763&amp;sr=8-4")</f>
        <v>https://www.amazon.com/NEST-Fragrances-Diffuser-Refill-Lavender/dp/B085HZPKYJ/ref=sr_1_4?keywords=Thymes+Lavender+Reed+Diffuser+Refill&amp;qid=1695258763&amp;sr=8-4</v>
      </c>
      <c r="F676" t="s">
        <v>1726</v>
      </c>
      <c r="G676" t="e">
        <f ca="1">IMAGE("https://heavenlyouthouse.com/cdn/shop/products/thymeslavenderreeddiffuserrefill.jpg?v=1606419251")</f>
        <v>#NAME?</v>
      </c>
      <c r="H676" t="e">
        <f ca="1">IMAGE("https://m.media-amazon.com/images/I/61svZlh82KS._AC_UL320_.jpg")</f>
        <v>#NAME?</v>
      </c>
      <c r="I676" t="s">
        <v>829</v>
      </c>
      <c r="J676">
        <v>35</v>
      </c>
      <c r="K676" s="2" t="s">
        <v>1643</v>
      </c>
      <c r="L676">
        <v>4.4000000000000004</v>
      </c>
      <c r="M676">
        <v>6297</v>
      </c>
      <c r="O676" t="s">
        <v>39</v>
      </c>
      <c r="P676" t="s">
        <v>39</v>
      </c>
      <c r="Q676" t="s">
        <v>1191</v>
      </c>
    </row>
    <row r="677" spans="1:17" ht="15.75" x14ac:dyDescent="0.25">
      <c r="A677" s="3" t="str">
        <f>HYPERLINK("https://heavenlyouthouse.com/products/lavender-reed-diffuser-refill", "https://heavenlyouthouse.com/products/lavender-reed-diffuser-refill")</f>
        <v>https://heavenlyouthouse.com/products/lavender-reed-diffuser-refill</v>
      </c>
      <c r="B677" s="3" t="str">
        <f>HYPERLINK("https://heavenlyouthouse.com/products/lavender-reed-diffuser-refill", "https://heavenlyouthouse.com/products/lavender-reed-diffuser-refill")</f>
        <v>https://heavenlyouthouse.com/products/lavender-reed-diffuser-refill</v>
      </c>
      <c r="C677" t="s">
        <v>1188</v>
      </c>
      <c r="D677" t="s">
        <v>1727</v>
      </c>
      <c r="E677" s="3" t="str">
        <f>HYPERLINK("https://www.amazon.com/Thymes-Lavender-Aromatic-Diffuser-Calming/dp/B00T8CKQPK/ref=sr_1_2?keywords=Thymes+Lavender+Reed+Diffuser+Refill&amp;qid=1695258763&amp;sr=8-2", "https://www.amazon.com/Thymes-Lavender-Aromatic-Diffuser-Calming/dp/B00T8CKQPK/ref=sr_1_2?keywords=Thymes+Lavender+Reed+Diffuser+Refill&amp;qid=1695258763&amp;sr=8-2")</f>
        <v>https://www.amazon.com/Thymes-Lavender-Aromatic-Diffuser-Calming/dp/B00T8CKQPK/ref=sr_1_2?keywords=Thymes+Lavender+Reed+Diffuser+Refill&amp;qid=1695258763&amp;sr=8-2</v>
      </c>
      <c r="F677" t="s">
        <v>1728</v>
      </c>
      <c r="G677" t="e">
        <f ca="1">IMAGE("https://heavenlyouthouse.com/cdn/shop/products/thymeslavenderreeddiffuserrefill.jpg?v=1606419251")</f>
        <v>#NAME?</v>
      </c>
      <c r="H677" t="e">
        <f ca="1">IMAGE("https://m.media-amazon.com/images/I/51aS1c5PFvL._AC_UL320_.jpg")</f>
        <v>#NAME?</v>
      </c>
      <c r="I677" t="s">
        <v>829</v>
      </c>
      <c r="J677">
        <v>35</v>
      </c>
      <c r="K677" s="2" t="s">
        <v>1643</v>
      </c>
      <c r="L677">
        <v>4.0999999999999996</v>
      </c>
      <c r="M677">
        <v>120</v>
      </c>
      <c r="O677" t="s">
        <v>39</v>
      </c>
      <c r="P677" t="s">
        <v>39</v>
      </c>
      <c r="Q677" t="s">
        <v>1191</v>
      </c>
    </row>
    <row r="678" spans="1:17" ht="15.75" x14ac:dyDescent="0.25">
      <c r="A678" s="3" t="str">
        <f>HYPERLINK("https://heavenlyouthouse.com/products/thymes-frasier-fir-reed-diffuser-refill", "https://heavenlyouthouse.com/products/thymes-frasier-fir-reed-diffuser-refill")</f>
        <v>https://heavenlyouthouse.com/products/thymes-frasier-fir-reed-diffuser-refill</v>
      </c>
      <c r="B678" s="3" t="str">
        <f>HYPERLINK("https://heavenlyouthouse.com/products/thymes-frasier-fir-reed-diffuser-refill", "https://heavenlyouthouse.com/products/thymes-frasier-fir-reed-diffuser-refill")</f>
        <v>https://heavenlyouthouse.com/products/thymes-frasier-fir-reed-diffuser-refill</v>
      </c>
      <c r="C678" t="s">
        <v>1146</v>
      </c>
      <c r="D678" t="s">
        <v>252</v>
      </c>
      <c r="E678" s="3" t="str">
        <f>HYPERLINK("https://www.amazon.com/Thymes-Frasier-Diffuser-Refill-Ounces/dp/B001AH8CL6/ref=sr_1_1?keywords=Thymes+Frasier+Fir+Reed+Diffuser+Refill&amp;qid=1695258739&amp;sr=8-1", "https://www.amazon.com/Thymes-Frasier-Diffuser-Refill-Ounces/dp/B001AH8CL6/ref=sr_1_1?keywords=Thymes+Frasier+Fir+Reed+Diffuser+Refill&amp;qid=1695258739&amp;sr=8-1")</f>
        <v>https://www.amazon.com/Thymes-Frasier-Diffuser-Refill-Ounces/dp/B001AH8CL6/ref=sr_1_1?keywords=Thymes+Frasier+Fir+Reed+Diffuser+Refill&amp;qid=1695258739&amp;sr=8-1</v>
      </c>
      <c r="F678" t="s">
        <v>253</v>
      </c>
      <c r="G678" t="e">
        <f ca="1">IMAGE("https://heavenlyouthouse.com/cdn/shop/products/thymesfrasierfirreeddiffuserrefill.jpg?v=1603998608")</f>
        <v>#NAME?</v>
      </c>
      <c r="H678" t="e">
        <f ca="1">IMAGE("https://m.media-amazon.com/images/I/51MG8nOHQnL._AC_UL320_.jpg")</f>
        <v>#NAME?</v>
      </c>
      <c r="I678" t="s">
        <v>829</v>
      </c>
      <c r="J678">
        <v>35</v>
      </c>
      <c r="K678" s="2" t="s">
        <v>1643</v>
      </c>
      <c r="L678">
        <v>4.7</v>
      </c>
      <c r="M678">
        <v>2687</v>
      </c>
      <c r="O678" t="s">
        <v>39</v>
      </c>
      <c r="P678" t="s">
        <v>39</v>
      </c>
      <c r="Q678" t="s">
        <v>1147</v>
      </c>
    </row>
    <row r="679" spans="1:17" ht="15.75" x14ac:dyDescent="0.25">
      <c r="A679" s="3" t="str">
        <f>HYPERLINK("https://heavenlyouthouse.com/products/eucalyptus-reed-diffuser-refill", "https://heavenlyouthouse.com/products/eucalyptus-reed-diffuser-refill")</f>
        <v>https://heavenlyouthouse.com/products/eucalyptus-reed-diffuser-refill</v>
      </c>
      <c r="B679" s="3" t="str">
        <f>HYPERLINK("https://heavenlyouthouse.com/products/eucalyptus-reed-diffuser-refill", "https://heavenlyouthouse.com/products/eucalyptus-reed-diffuser-refill")</f>
        <v>https://heavenlyouthouse.com/products/eucalyptus-reed-diffuser-refill</v>
      </c>
      <c r="C679" t="s">
        <v>1184</v>
      </c>
      <c r="D679" t="s">
        <v>1729</v>
      </c>
      <c r="E679" s="3" t="str">
        <f>HYPERLINK("https://www.amazon.com/Thymes-Eucalyptus-Aromatic-Diffuser-Relaxing/dp/B06WVJ2CNH/ref=sr_1_1?keywords=Thymes+Eucalyptus+Reed+Diffuser+Refill&amp;qid=1695258717&amp;sr=8-1", "https://www.amazon.com/Thymes-Eucalyptus-Aromatic-Diffuser-Relaxing/dp/B06WVJ2CNH/ref=sr_1_1?keywords=Thymes+Eucalyptus+Reed+Diffuser+Refill&amp;qid=1695258717&amp;sr=8-1")</f>
        <v>https://www.amazon.com/Thymes-Eucalyptus-Aromatic-Diffuser-Relaxing/dp/B06WVJ2CNH/ref=sr_1_1?keywords=Thymes+Eucalyptus+Reed+Diffuser+Refill&amp;qid=1695258717&amp;sr=8-1</v>
      </c>
      <c r="F679" t="s">
        <v>1730</v>
      </c>
      <c r="G679" t="e">
        <f ca="1">IMAGE("https://heavenlyouthouse.com/cdn/shop/products/ThymesEucalyptusreeddiffuseroilrefill.jpg?v=1616434961")</f>
        <v>#NAME?</v>
      </c>
      <c r="H679" t="e">
        <f ca="1">IMAGE("https://m.media-amazon.com/images/I/51L6q3IxhpL._AC_UL320_.jpg")</f>
        <v>#NAME?</v>
      </c>
      <c r="I679" t="s">
        <v>829</v>
      </c>
      <c r="J679">
        <v>35</v>
      </c>
      <c r="K679" s="2" t="s">
        <v>1643</v>
      </c>
      <c r="L679">
        <v>4</v>
      </c>
      <c r="M679">
        <v>211</v>
      </c>
      <c r="O679" t="s">
        <v>39</v>
      </c>
      <c r="P679" t="s">
        <v>39</v>
      </c>
      <c r="Q679" t="s">
        <v>1187</v>
      </c>
    </row>
    <row r="680" spans="1:17" ht="15.75" x14ac:dyDescent="0.25">
      <c r="A680" s="3" t="str">
        <f>HYPERLINK("https://heavenlyouthouse.com/products/goldleaf-gardenia-reed-diffuser-refill", "https://heavenlyouthouse.com/products/goldleaf-gardenia-reed-diffuser-refill")</f>
        <v>https://heavenlyouthouse.com/products/goldleaf-gardenia-reed-diffuser-refill</v>
      </c>
      <c r="B680" s="3" t="str">
        <f>HYPERLINK("https://heavenlyouthouse.com/products/goldleaf-gardenia-reed-diffuser-refill", "https://heavenlyouthouse.com/products/goldleaf-gardenia-reed-diffuser-refill")</f>
        <v>https://heavenlyouthouse.com/products/goldleaf-gardenia-reed-diffuser-refill</v>
      </c>
      <c r="C680" t="s">
        <v>1731</v>
      </c>
      <c r="D680" t="s">
        <v>1732</v>
      </c>
      <c r="E680" s="3" t="str">
        <f>HYPERLINK("https://www.amazon.com/Thymes-Goldleaf-Gardenia-Aromatic-Diffuser/dp/B06XSR5SRH/ref=sr_1_1?keywords=Thymes+Goldleaf+Gardenia+Reed+Diffuser+Refill&amp;qid=1695258758&amp;sr=8-1", "https://www.amazon.com/Thymes-Goldleaf-Gardenia-Aromatic-Diffuser/dp/B06XSR5SRH/ref=sr_1_1?keywords=Thymes+Goldleaf+Gardenia+Reed+Diffuser+Refill&amp;qid=1695258758&amp;sr=8-1")</f>
        <v>https://www.amazon.com/Thymes-Goldleaf-Gardenia-Aromatic-Diffuser/dp/B06XSR5SRH/ref=sr_1_1?keywords=Thymes+Goldleaf+Gardenia+Reed+Diffuser+Refill&amp;qid=1695258758&amp;sr=8-1</v>
      </c>
      <c r="F680" t="s">
        <v>1733</v>
      </c>
      <c r="G680" t="e">
        <f ca="1">IMAGE("https://heavenlyouthouse.com/cdn/shop/products/thymesgoldleafgardeniareeddiffuserrefill.jpg?v=1606408304")</f>
        <v>#NAME?</v>
      </c>
      <c r="H680" t="e">
        <f ca="1">IMAGE("https://m.media-amazon.com/images/I/51VytHBv6ML._AC_UL320_.jpg")</f>
        <v>#NAME?</v>
      </c>
      <c r="I680" t="s">
        <v>829</v>
      </c>
      <c r="J680">
        <v>35</v>
      </c>
      <c r="K680" s="2" t="s">
        <v>1643</v>
      </c>
      <c r="L680">
        <v>3.9</v>
      </c>
      <c r="M680">
        <v>58</v>
      </c>
      <c r="O680" t="s">
        <v>39</v>
      </c>
      <c r="P680" t="s">
        <v>39</v>
      </c>
      <c r="Q680" t="s">
        <v>1734</v>
      </c>
    </row>
    <row r="681" spans="1:17" ht="15.75" x14ac:dyDescent="0.25">
      <c r="A681" s="3" t="str">
        <f>HYPERLINK("https://heavenlyouthouse.com/products/thymes-washed-linen-reed-diffuser-refill", "https://heavenlyouthouse.com/products/thymes-washed-linen-reed-diffuser-refill")</f>
        <v>https://heavenlyouthouse.com/products/thymes-washed-linen-reed-diffuser-refill</v>
      </c>
      <c r="B681" s="3" t="str">
        <f>HYPERLINK("https://heavenlyouthouse.com/products/thymes-washed-linen-reed-diffuser-refill", "https://heavenlyouthouse.com/products/thymes-washed-linen-reed-diffuser-refill")</f>
        <v>https://heavenlyouthouse.com/products/thymes-washed-linen-reed-diffuser-refill</v>
      </c>
      <c r="C681" t="s">
        <v>1154</v>
      </c>
      <c r="D681" t="s">
        <v>62</v>
      </c>
      <c r="E681" s="3" t="str">
        <f>HYPERLINK("https://www.amazon.com/Thymes-Reed-Diffuser-Oil-Washed/dp/B0B4T69TRV/ref=sr_1_1?keywords=Thymes+Washed+Linen+Reed+Diffuser+Refill&amp;qid=1695258797&amp;sr=8-1", "https://www.amazon.com/Thymes-Reed-Diffuser-Oil-Washed/dp/B0B4T69TRV/ref=sr_1_1?keywords=Thymes+Washed+Linen+Reed+Diffuser+Refill&amp;qid=1695258797&amp;sr=8-1")</f>
        <v>https://www.amazon.com/Thymes-Reed-Diffuser-Oil-Washed/dp/B0B4T69TRV/ref=sr_1_1?keywords=Thymes+Washed+Linen+Reed+Diffuser+Refill&amp;qid=1695258797&amp;sr=8-1</v>
      </c>
      <c r="F681" t="s">
        <v>63</v>
      </c>
      <c r="G681" t="e">
        <f ca="1">IMAGE("https://heavenlyouthouse.com/cdn/shop/products/thymes-washed-linen-reed-diffuser-refill.jpg?v=1657729554")</f>
        <v>#NAME?</v>
      </c>
      <c r="H681" t="e">
        <f ca="1">IMAGE("https://m.media-amazon.com/images/I/51aTDHq0wkL._AC_UL320_.jpg")</f>
        <v>#NAME?</v>
      </c>
      <c r="I681" t="s">
        <v>829</v>
      </c>
      <c r="J681">
        <v>35</v>
      </c>
      <c r="K681" s="2" t="s">
        <v>1643</v>
      </c>
      <c r="L681">
        <v>3.7</v>
      </c>
      <c r="M681">
        <v>6</v>
      </c>
      <c r="O681" t="s">
        <v>39</v>
      </c>
      <c r="P681" t="s">
        <v>39</v>
      </c>
      <c r="Q681" t="s">
        <v>1155</v>
      </c>
    </row>
    <row r="682" spans="1:17" ht="15.75" x14ac:dyDescent="0.25">
      <c r="A682" s="3" t="str">
        <f>HYPERLINK("https://heavenlyouthouse.com/products/goldleaf-reed-diffuser-refill", "https://heavenlyouthouse.com/products/goldleaf-reed-diffuser-refill")</f>
        <v>https://heavenlyouthouse.com/products/goldleaf-reed-diffuser-refill</v>
      </c>
      <c r="B682" s="3" t="str">
        <f>HYPERLINK("https://heavenlyouthouse.com/products/goldleaf-reed-diffuser-refill", "https://heavenlyouthouse.com/products/goldleaf-reed-diffuser-refill")</f>
        <v>https://heavenlyouthouse.com/products/goldleaf-reed-diffuser-refill</v>
      </c>
      <c r="C682" t="s">
        <v>1735</v>
      </c>
      <c r="D682" t="s">
        <v>1736</v>
      </c>
      <c r="E682" s="3" t="str">
        <f>HYPERLINK("https://www.amazon.com/Thymes-Goldleaf-Aromatic-Diffuser-Refill/dp/B00T8EEYO2/ref=sr_1_1?keywords=Thymes+Goldleaf+Reed+Diffuser+Refill&amp;qid=1695258750&amp;sr=8-1", "https://www.amazon.com/Thymes-Goldleaf-Aromatic-Diffuser-Refill/dp/B00T8EEYO2/ref=sr_1_1?keywords=Thymes+Goldleaf+Reed+Diffuser+Refill&amp;qid=1695258750&amp;sr=8-1")</f>
        <v>https://www.amazon.com/Thymes-Goldleaf-Aromatic-Diffuser-Refill/dp/B00T8EEYO2/ref=sr_1_1?keywords=Thymes+Goldleaf+Reed+Diffuser+Refill&amp;qid=1695258750&amp;sr=8-1</v>
      </c>
      <c r="F682" t="s">
        <v>1737</v>
      </c>
      <c r="G682" t="e">
        <f ca="1">IMAGE("https://heavenlyouthouse.com/cdn/shop/products/diffuserrefill.jpg?v=1587763117")</f>
        <v>#NAME?</v>
      </c>
      <c r="H682" t="e">
        <f ca="1">IMAGE("https://m.media-amazon.com/images/I/519R2KC2tdL._AC_UL320_.jpg")</f>
        <v>#NAME?</v>
      </c>
      <c r="I682" t="s">
        <v>829</v>
      </c>
      <c r="J682">
        <v>35</v>
      </c>
      <c r="K682" s="2" t="s">
        <v>1643</v>
      </c>
      <c r="L682">
        <v>4.4000000000000004</v>
      </c>
      <c r="M682">
        <v>202</v>
      </c>
      <c r="O682" t="s">
        <v>39</v>
      </c>
      <c r="P682" t="s">
        <v>39</v>
      </c>
      <c r="Q682" t="s">
        <v>1738</v>
      </c>
    </row>
    <row r="683" spans="1:17" ht="15.75" x14ac:dyDescent="0.25">
      <c r="A683" s="3" t="str">
        <f>HYPERLINK("https://heavenlyouthouse.com/products/thymes-goldleaf-body-serum", "https://heavenlyouthouse.com/products/thymes-goldleaf-body-serum")</f>
        <v>https://heavenlyouthouse.com/products/thymes-goldleaf-body-serum</v>
      </c>
      <c r="B683" s="3" t="str">
        <f>HYPERLINK("https://heavenlyouthouse.com/products/thymes-goldleaf-body-serum", "https://heavenlyouthouse.com/products/thymes-goldleaf-body-serum")</f>
        <v>https://heavenlyouthouse.com/products/thymes-goldleaf-body-serum</v>
      </c>
      <c r="C683" t="s">
        <v>1420</v>
      </c>
      <c r="D683" t="s">
        <v>1739</v>
      </c>
      <c r="E683" s="3" t="str">
        <f>HYPERLINK("https://www.amazon.com/Thymes-Body-Serum-6-0-Goldleaf/dp/B0B1G36TKV/ref=sr_1_1?keywords=Thymes+Goldleaf+Body+Serum&amp;qid=1695258751&amp;sr=8-1", "https://www.amazon.com/Thymes-Body-Serum-6-0-Goldleaf/dp/B0B1G36TKV/ref=sr_1_1?keywords=Thymes+Goldleaf+Body+Serum&amp;qid=1695258751&amp;sr=8-1")</f>
        <v>https://www.amazon.com/Thymes-Body-Serum-6-0-Goldleaf/dp/B0B1G36TKV/ref=sr_1_1?keywords=Thymes+Goldleaf+Body+Serum&amp;qid=1695258751&amp;sr=8-1</v>
      </c>
      <c r="F683" t="s">
        <v>1740</v>
      </c>
      <c r="G683" t="e">
        <f ca="1">IMAGE("https://heavenlyouthouse.com/cdn/shop/products/thymes-goldleaf-body-serum.jpg?v=1648150133")</f>
        <v>#NAME?</v>
      </c>
      <c r="H683" t="e">
        <f ca="1">IMAGE("https://m.media-amazon.com/images/I/51Im5PtbP0L._AC_UL320_.jpg")</f>
        <v>#NAME?</v>
      </c>
      <c r="I683" t="s">
        <v>500</v>
      </c>
      <c r="J683">
        <v>26</v>
      </c>
      <c r="K683" s="2" t="s">
        <v>1741</v>
      </c>
      <c r="L683">
        <v>4.4000000000000004</v>
      </c>
      <c r="M683">
        <v>36</v>
      </c>
      <c r="O683" t="s">
        <v>39</v>
      </c>
      <c r="P683" t="s">
        <v>39</v>
      </c>
      <c r="Q683" t="s">
        <v>1423</v>
      </c>
    </row>
    <row r="684" spans="1:17" ht="15.75" x14ac:dyDescent="0.25">
      <c r="A684" s="3" t="str">
        <f>HYPERLINK("https://heavenlyouthouse.com/products/thymes-eucalyptus-body-serum", "https://heavenlyouthouse.com/products/thymes-eucalyptus-body-serum")</f>
        <v>https://heavenlyouthouse.com/products/thymes-eucalyptus-body-serum</v>
      </c>
      <c r="B684" s="3" t="str">
        <f>HYPERLINK("https://heavenlyouthouse.com/products/thymes-eucalyptus-body-serum", "https://heavenlyouthouse.com/products/thymes-eucalyptus-body-serum")</f>
        <v>https://heavenlyouthouse.com/products/thymes-eucalyptus-body-serum</v>
      </c>
      <c r="C684" t="s">
        <v>1235</v>
      </c>
      <c r="D684" t="s">
        <v>1388</v>
      </c>
      <c r="E684" s="3"/>
      <c r="F684" t="s">
        <v>1389</v>
      </c>
      <c r="G684" t="e">
        <f ca="1">IMAGE("https://heavenlyouthouse.com/cdn/shop/products/thymes-eucalyptus-body-serum.jpg?v=1646863572")</f>
        <v>#NAME?</v>
      </c>
      <c r="H684" t="e">
        <f ca="1">IMAGE("https://m.media-amazon.com/images/I/51OALyYm3eL._AC_UL320_.jpg")</f>
        <v>#NAME?</v>
      </c>
      <c r="I684" t="s">
        <v>500</v>
      </c>
      <c r="J684">
        <v>26</v>
      </c>
      <c r="K684" s="2" t="s">
        <v>1741</v>
      </c>
      <c r="L684">
        <v>4.4000000000000004</v>
      </c>
      <c r="M684">
        <v>36</v>
      </c>
      <c r="O684" t="s">
        <v>39</v>
      </c>
      <c r="P684" t="s">
        <v>39</v>
      </c>
      <c r="Q684" t="s">
        <v>1236</v>
      </c>
    </row>
    <row r="685" spans="1:17" ht="15.75" x14ac:dyDescent="0.25">
      <c r="A685" s="3" t="str">
        <f>HYPERLINK("https://heavenlyouthouse.com/products/thymes-eucalyptus-body-serum", "https://heavenlyouthouse.com/products/thymes-eucalyptus-body-serum")</f>
        <v>https://heavenlyouthouse.com/products/thymes-eucalyptus-body-serum</v>
      </c>
      <c r="B685" s="3" t="str">
        <f>HYPERLINK("https://heavenlyouthouse.com/products/thymes-eucalyptus-body-serum", "https://heavenlyouthouse.com/products/thymes-eucalyptus-body-serum")</f>
        <v>https://heavenlyouthouse.com/products/thymes-eucalyptus-body-serum</v>
      </c>
      <c r="C685" t="s">
        <v>1235</v>
      </c>
      <c r="D685" t="s">
        <v>1388</v>
      </c>
      <c r="E685" s="3" t="str">
        <f>HYPERLINK("https://www.amazon.com/Thymes-Body-Serum-6-0-Eucalyptus/dp/B0B1FZC7X7/ref=sr_1_5?keywords=Thymes+Eucalyptus+Body+Serum&amp;qid=1695258722&amp;sr=8-5", "https://www.amazon.com/Thymes-Body-Serum-6-0-Eucalyptus/dp/B0B1FZC7X7/ref=sr_1_5?keywords=Thymes+Eucalyptus+Body+Serum&amp;qid=1695258722&amp;sr=8-5")</f>
        <v>https://www.amazon.com/Thymes-Body-Serum-6-0-Eucalyptus/dp/B0B1FZC7X7/ref=sr_1_5?keywords=Thymes+Eucalyptus+Body+Serum&amp;qid=1695258722&amp;sr=8-5</v>
      </c>
      <c r="F685" t="s">
        <v>1389</v>
      </c>
      <c r="G685" t="e">
        <f ca="1">IMAGE("https://heavenlyouthouse.com/cdn/shop/products/thymes-eucalyptus-body-serum.jpg?v=1646863572")</f>
        <v>#NAME?</v>
      </c>
      <c r="H685" t="e">
        <f ca="1">IMAGE("https://m.media-amazon.com/images/I/51OALyYm3eL._AC_UL320_.jpg")</f>
        <v>#NAME?</v>
      </c>
      <c r="I685" t="s">
        <v>500</v>
      </c>
      <c r="J685">
        <v>26</v>
      </c>
      <c r="K685" s="2" t="s">
        <v>1741</v>
      </c>
      <c r="L685">
        <v>4.4000000000000004</v>
      </c>
      <c r="M685">
        <v>36</v>
      </c>
      <c r="O685" t="s">
        <v>39</v>
      </c>
      <c r="P685" t="s">
        <v>39</v>
      </c>
      <c r="Q685" t="s">
        <v>1236</v>
      </c>
    </row>
    <row r="686" spans="1:17" ht="15.75" x14ac:dyDescent="0.25">
      <c r="A686" s="3" t="str">
        <f t="shared" ref="A686:B688" si="8">HYPERLINK("https://heavenlyouthouse.com/products/frasier-fir-petite-green-reed-diffuser", "https://heavenlyouthouse.com/products/frasier-fir-petite-green-reed-diffuser")</f>
        <v>https://heavenlyouthouse.com/products/frasier-fir-petite-green-reed-diffuser</v>
      </c>
      <c r="B686" s="3" t="str">
        <f t="shared" si="8"/>
        <v>https://heavenlyouthouse.com/products/frasier-fir-petite-green-reed-diffuser</v>
      </c>
      <c r="C686" t="s">
        <v>1742</v>
      </c>
      <c r="D686" t="s">
        <v>150</v>
      </c>
      <c r="E686" s="3" t="str">
        <f>HYPERLINK("https://www.amazon.com/Frasier-Diffuser-Petite-Needle-Design/dp/B07PX41PHQ/ref=sr_1_5?keywords=Thymes+Frasier+Fir+Petite+Green+Reed+Diffuser&amp;qid=1695258739&amp;sr=8-5", "https://www.amazon.com/Frasier-Diffuser-Petite-Needle-Design/dp/B07PX41PHQ/ref=sr_1_5?keywords=Thymes+Frasier+Fir+Petite+Green+Reed+Diffuser&amp;qid=1695258739&amp;sr=8-5")</f>
        <v>https://www.amazon.com/Frasier-Diffuser-Petite-Needle-Design/dp/B07PX41PHQ/ref=sr_1_5?keywords=Thymes+Frasier+Fir+Petite+Green+Reed+Diffuser&amp;qid=1695258739&amp;sr=8-5</v>
      </c>
      <c r="F686" t="s">
        <v>151</v>
      </c>
      <c r="G686" t="e">
        <f ca="1">IMAGE("https://heavenlyouthouse.com/cdn/shop/products/thymesfrasierfirgreenpetitereeddiffuser.jpg?v=1606749350")</f>
        <v>#NAME?</v>
      </c>
      <c r="H686" t="e">
        <f ca="1">IMAGE("https://m.media-amazon.com/images/I/81b2I297VgL._AC_UL320_.jpg")</f>
        <v>#NAME?</v>
      </c>
      <c r="I686" t="s">
        <v>1743</v>
      </c>
      <c r="J686">
        <v>46</v>
      </c>
      <c r="K686" s="2" t="s">
        <v>1741</v>
      </c>
      <c r="L686">
        <v>4.7</v>
      </c>
      <c r="M686">
        <v>283</v>
      </c>
      <c r="O686" t="s">
        <v>39</v>
      </c>
      <c r="P686" t="s">
        <v>39</v>
      </c>
      <c r="Q686" t="s">
        <v>1744</v>
      </c>
    </row>
    <row r="687" spans="1:17" ht="15.75" x14ac:dyDescent="0.25">
      <c r="A687" s="3" t="str">
        <f t="shared" si="8"/>
        <v>https://heavenlyouthouse.com/products/frasier-fir-petite-green-reed-diffuser</v>
      </c>
      <c r="B687" s="3" t="str">
        <f t="shared" si="8"/>
        <v>https://heavenlyouthouse.com/products/frasier-fir-petite-green-reed-diffuser</v>
      </c>
      <c r="C687" t="s">
        <v>1742</v>
      </c>
      <c r="D687" t="s">
        <v>155</v>
      </c>
      <c r="E687" s="3" t="str">
        <f>HYPERLINK("https://www.amazon.com/Thymes-Frasier-Petite-Reed-Diffuser/dp/B074KL8KPP/ref=sr_1_2?keywords=Thymes+Frasier+Fir+Petite+Green+Reed+Diffuser&amp;qid=1695258739&amp;sr=8-2", "https://www.amazon.com/Thymes-Frasier-Petite-Reed-Diffuser/dp/B074KL8KPP/ref=sr_1_2?keywords=Thymes+Frasier+Fir+Petite+Green+Reed+Diffuser&amp;qid=1695258739&amp;sr=8-2")</f>
        <v>https://www.amazon.com/Thymes-Frasier-Petite-Reed-Diffuser/dp/B074KL8KPP/ref=sr_1_2?keywords=Thymes+Frasier+Fir+Petite+Green+Reed+Diffuser&amp;qid=1695258739&amp;sr=8-2</v>
      </c>
      <c r="F687" t="s">
        <v>156</v>
      </c>
      <c r="G687" t="e">
        <f ca="1">IMAGE("https://heavenlyouthouse.com/cdn/shop/products/thymesfrasierfirgreenpetitereeddiffuser.jpg?v=1606749350")</f>
        <v>#NAME?</v>
      </c>
      <c r="H687" t="e">
        <f ca="1">IMAGE("https://m.media-amazon.com/images/I/71vTZnnZvCL._AC_UL320_.jpg")</f>
        <v>#NAME?</v>
      </c>
      <c r="I687" t="s">
        <v>1743</v>
      </c>
      <c r="J687">
        <v>46</v>
      </c>
      <c r="K687" s="2" t="s">
        <v>1741</v>
      </c>
      <c r="L687">
        <v>4.7</v>
      </c>
      <c r="M687">
        <v>479</v>
      </c>
      <c r="O687" t="s">
        <v>39</v>
      </c>
      <c r="P687" t="s">
        <v>39</v>
      </c>
      <c r="Q687" t="s">
        <v>1744</v>
      </c>
    </row>
    <row r="688" spans="1:17" ht="15.75" x14ac:dyDescent="0.25">
      <c r="A688" s="3" t="str">
        <f t="shared" si="8"/>
        <v>https://heavenlyouthouse.com/products/frasier-fir-petite-green-reed-diffuser</v>
      </c>
      <c r="B688" s="3" t="str">
        <f t="shared" si="8"/>
        <v>https://heavenlyouthouse.com/products/frasier-fir-petite-green-reed-diffuser</v>
      </c>
      <c r="C688" t="s">
        <v>1742</v>
      </c>
      <c r="D688" t="s">
        <v>155</v>
      </c>
      <c r="E688" s="3"/>
      <c r="F688" t="s">
        <v>156</v>
      </c>
      <c r="G688" t="e">
        <f ca="1">IMAGE("https://heavenlyouthouse.com/cdn/shop/products/thymesfrasierfirgreenpetitereeddiffuser.jpg?v=1606749350")</f>
        <v>#NAME?</v>
      </c>
      <c r="H688" t="e">
        <f ca="1">IMAGE("https://m.media-amazon.com/images/I/71vTZnnZvCL._AC_UL320_.jpg")</f>
        <v>#NAME?</v>
      </c>
      <c r="I688" t="s">
        <v>1743</v>
      </c>
      <c r="J688">
        <v>46</v>
      </c>
      <c r="K688" s="2" t="s">
        <v>1741</v>
      </c>
      <c r="L688">
        <v>4.7</v>
      </c>
      <c r="M688">
        <v>479</v>
      </c>
      <c r="O688" t="s">
        <v>39</v>
      </c>
      <c r="P688" t="s">
        <v>39</v>
      </c>
      <c r="Q688" t="s">
        <v>1744</v>
      </c>
    </row>
    <row r="689" spans="1:17" ht="15.75" x14ac:dyDescent="0.25">
      <c r="A689" s="3" t="str">
        <f>HYPERLINK("https://heavenlyouthouse.com/products/welcome-to-my-cooking-show-oven-mitt", "https://heavenlyouthouse.com/products/welcome-to-my-cooking-show-oven-mitt")</f>
        <v>https://heavenlyouthouse.com/products/welcome-to-my-cooking-show-oven-mitt</v>
      </c>
      <c r="B689" s="3" t="str">
        <f>HYPERLINK("https://heavenlyouthouse.com/products/welcome-to-my-cooking-show-oven-mitt", "https://heavenlyouthouse.com/products/welcome-to-my-cooking-show-oven-mitt")</f>
        <v>https://heavenlyouthouse.com/products/welcome-to-my-cooking-show-oven-mitt</v>
      </c>
      <c r="C689" t="s">
        <v>1745</v>
      </c>
      <c r="D689" t="s">
        <v>1746</v>
      </c>
      <c r="E689" s="3" t="str">
        <f>HYPERLINK("https://www.amazon.com/Blue-Welcome-Super-Insulated-Quilting-Natural-fiitting/dp/B0C827QY7W/ref=sr_1_1?keywords=Welcome+To+My+Cooking+Show%21+Oven+Mitt&amp;qid=1695258826&amp;sr=8-1", "https://www.amazon.com/Blue-Welcome-Super-Insulated-Quilting-Natural-fiitting/dp/B0C827QY7W/ref=sr_1_1?keywords=Welcome+To+My+Cooking+Show%21+Oven+Mitt&amp;qid=1695258826&amp;sr=8-1")</f>
        <v>https://www.amazon.com/Blue-Welcome-Super-Insulated-Quilting-Natural-fiitting/dp/B0C827QY7W/ref=sr_1_1?keywords=Welcome+To+My+Cooking+Show%21+Oven+Mitt&amp;qid=1695258826&amp;sr=8-1</v>
      </c>
      <c r="F689" t="s">
        <v>1747</v>
      </c>
      <c r="G689" t="e">
        <f ca="1">IMAGE("https://heavenlyouthouse.com/cdn/shop/files/blue-q-cooking-show-oven-mitt_300x300.jpg?v=1689188647")</f>
        <v>#NAME?</v>
      </c>
      <c r="H689" t="e">
        <f ca="1">IMAGE("https://m.media-amazon.com/images/I/91rOGBdKuXL._AC_UL320_.jpg")</f>
        <v>#NAME?</v>
      </c>
      <c r="I689" t="s">
        <v>1453</v>
      </c>
      <c r="J689">
        <v>16.989999999999998</v>
      </c>
      <c r="K689" s="2" t="s">
        <v>1741</v>
      </c>
      <c r="L689">
        <v>4.8</v>
      </c>
      <c r="M689">
        <v>1674</v>
      </c>
      <c r="O689" t="s">
        <v>39</v>
      </c>
      <c r="P689" t="s">
        <v>1748</v>
      </c>
      <c r="Q689" t="s">
        <v>1749</v>
      </c>
    </row>
    <row r="690" spans="1:17" ht="15.75" x14ac:dyDescent="0.25">
      <c r="A690" s="3" t="str">
        <f>HYPERLINK("https://heavenlyouthouse.com/products/goldleaf-bar-soap", "https://heavenlyouthouse.com/products/goldleaf-bar-soap")</f>
        <v>https://heavenlyouthouse.com/products/goldleaf-bar-soap</v>
      </c>
      <c r="B690" s="3" t="str">
        <f>HYPERLINK("https://heavenlyouthouse.com/products/goldleaf-bar-soap", "https://heavenlyouthouse.com/products/goldleaf-bar-soap")</f>
        <v>https://heavenlyouthouse.com/products/goldleaf-bar-soap</v>
      </c>
      <c r="C690" t="s">
        <v>1347</v>
      </c>
      <c r="D690" t="s">
        <v>1750</v>
      </c>
      <c r="E690" s="3" t="str">
        <f>HYPERLINK("https://www.amazon.com/Thymes-Goldleaf-Luxurious-Soap-7oz/dp/B073ZX12FX/ref=sr_1_1?keywords=Thymes+Goldleaf+Bar+Soap&amp;qid=1695258742&amp;sr=8-1", "https://www.amazon.com/Thymes-Goldleaf-Luxurious-Soap-7oz/dp/B073ZX12FX/ref=sr_1_1?keywords=Thymes+Goldleaf+Bar+Soap&amp;qid=1695258742&amp;sr=8-1")</f>
        <v>https://www.amazon.com/Thymes-Goldleaf-Luxurious-Soap-7oz/dp/B073ZX12FX/ref=sr_1_1?keywords=Thymes+Goldleaf+Bar+Soap&amp;qid=1695258742&amp;sr=8-1</v>
      </c>
      <c r="F690" t="s">
        <v>1751</v>
      </c>
      <c r="G690" t="e">
        <f ca="1">IMAGE("https://heavenlyouthouse.com/cdn/shop/products/thymes-goldleaf-bar-soap.jpg?v=1628693656")</f>
        <v>#NAME?</v>
      </c>
      <c r="H690" t="e">
        <f ca="1">IMAGE("https://m.media-amazon.com/images/I/715wHN4PwgL._AC_UL320_.jpg")</f>
        <v>#NAME?</v>
      </c>
      <c r="I690" t="s">
        <v>98</v>
      </c>
      <c r="J690">
        <v>14</v>
      </c>
      <c r="K690" s="2" t="s">
        <v>1741</v>
      </c>
      <c r="L690">
        <v>4.5999999999999996</v>
      </c>
      <c r="M690">
        <v>765</v>
      </c>
      <c r="O690" t="s">
        <v>39</v>
      </c>
      <c r="P690" t="s">
        <v>39</v>
      </c>
      <c r="Q690" t="s">
        <v>1350</v>
      </c>
    </row>
    <row r="691" spans="1:17" ht="15.75" x14ac:dyDescent="0.25">
      <c r="A691" s="3" t="str">
        <f>HYPERLINK("https://heavenlyouthouse.com/products/goldleaf-gardenia-bar-soap", "https://heavenlyouthouse.com/products/goldleaf-gardenia-bar-soap")</f>
        <v>https://heavenlyouthouse.com/products/goldleaf-gardenia-bar-soap</v>
      </c>
      <c r="B691" s="3" t="str">
        <f>HYPERLINK("https://heavenlyouthouse.com/products/goldleaf-gardenia-bar-soap", "https://heavenlyouthouse.com/products/goldleaf-gardenia-bar-soap")</f>
        <v>https://heavenlyouthouse.com/products/goldleaf-gardenia-bar-soap</v>
      </c>
      <c r="C691" t="s">
        <v>1752</v>
      </c>
      <c r="D691" t="s">
        <v>1753</v>
      </c>
      <c r="E691" s="3" t="str">
        <f>HYPERLINK("https://www.amazon.com/Thymes-Goldleaf-Luxurious-Naturally-Conditioning/dp/B06X96LG1F/ref=sr_1_1?keywords=Thymes+Goldleaf+Gardenia+Bar+Soap&amp;qid=1695258762&amp;sr=8-1", "https://www.amazon.com/Thymes-Goldleaf-Luxurious-Naturally-Conditioning/dp/B06X96LG1F/ref=sr_1_1?keywords=Thymes+Goldleaf+Gardenia+Bar+Soap&amp;qid=1695258762&amp;sr=8-1")</f>
        <v>https://www.amazon.com/Thymes-Goldleaf-Luxurious-Naturally-Conditioning/dp/B06X96LG1F/ref=sr_1_1?keywords=Thymes+Goldleaf+Gardenia+Bar+Soap&amp;qid=1695258762&amp;sr=8-1</v>
      </c>
      <c r="F691" t="s">
        <v>1754</v>
      </c>
      <c r="G691" t="e">
        <f ca="1">IMAGE("https://heavenlyouthouse.com/cdn/shop/products/thymes-goldleaf-gardenia-bar-soap.jpg?v=1628693588")</f>
        <v>#NAME?</v>
      </c>
      <c r="H691" t="e">
        <f ca="1">IMAGE("https://m.media-amazon.com/images/I/812+GwoyDeL._AC_UL320_.jpg")</f>
        <v>#NAME?</v>
      </c>
      <c r="I691" t="s">
        <v>98</v>
      </c>
      <c r="J691">
        <v>14</v>
      </c>
      <c r="K691" s="2" t="s">
        <v>1741</v>
      </c>
      <c r="L691">
        <v>4.5999999999999996</v>
      </c>
      <c r="M691">
        <v>765</v>
      </c>
      <c r="O691" t="s">
        <v>39</v>
      </c>
      <c r="P691" t="s">
        <v>39</v>
      </c>
      <c r="Q691" t="s">
        <v>1755</v>
      </c>
    </row>
    <row r="692" spans="1:17" ht="15.75" x14ac:dyDescent="0.25">
      <c r="A692" s="3" t="str">
        <f>HYPERLINK("https://heavenlyouthouse.com/products/thymes-olive-leaf-bar-soap", "https://heavenlyouthouse.com/products/thymes-olive-leaf-bar-soap")</f>
        <v>https://heavenlyouthouse.com/products/thymes-olive-leaf-bar-soap</v>
      </c>
      <c r="B692" s="3" t="str">
        <f>HYPERLINK("https://heavenlyouthouse.com/products/thymes-olive-leaf-bar-soap", "https://heavenlyouthouse.com/products/thymes-olive-leaf-bar-soap")</f>
        <v>https://heavenlyouthouse.com/products/thymes-olive-leaf-bar-soap</v>
      </c>
      <c r="C692" t="s">
        <v>1353</v>
      </c>
      <c r="D692" t="s">
        <v>1756</v>
      </c>
      <c r="E692" s="3" t="str">
        <f>HYPERLINK("https://www.amazon.com/Thymes-Luxurious-Naturally-Conditioning-Moisturizing/dp/B0746QDC9G/ref=sr_1_1?keywords=Thymes+Olive+Leaf+Bar+Soap&amp;qid=1695258780&amp;sr=8-1", "https://www.amazon.com/Thymes-Luxurious-Naturally-Conditioning-Moisturizing/dp/B0746QDC9G/ref=sr_1_1?keywords=Thymes+Olive+Leaf+Bar+Soap&amp;qid=1695258780&amp;sr=8-1")</f>
        <v>https://www.amazon.com/Thymes-Luxurious-Naturally-Conditioning-Moisturizing/dp/B0746QDC9G/ref=sr_1_1?keywords=Thymes+Olive+Leaf+Bar+Soap&amp;qid=1695258780&amp;sr=8-1</v>
      </c>
      <c r="F692" t="s">
        <v>1757</v>
      </c>
      <c r="G692" t="e">
        <f ca="1">IMAGE("https://heavenlyouthouse.com/cdn/shop/products/Olive-Leaf-Luxurious-Bath-Soap-0540053000.jpg?v=1634852103")</f>
        <v>#NAME?</v>
      </c>
      <c r="H692" t="e">
        <f ca="1">IMAGE("https://m.media-amazon.com/images/I/81VGiQs-PAL._AC_UL320_.jpg")</f>
        <v>#NAME?</v>
      </c>
      <c r="I692" t="s">
        <v>98</v>
      </c>
      <c r="J692">
        <v>14</v>
      </c>
      <c r="K692" s="2" t="s">
        <v>1741</v>
      </c>
      <c r="L692">
        <v>4.5999999999999996</v>
      </c>
      <c r="M692">
        <v>765</v>
      </c>
      <c r="O692" t="s">
        <v>39</v>
      </c>
      <c r="P692" t="s">
        <v>100</v>
      </c>
      <c r="Q692" t="s">
        <v>1356</v>
      </c>
    </row>
    <row r="693" spans="1:17" ht="15.75" x14ac:dyDescent="0.25">
      <c r="A693" s="3" t="str">
        <f>HYPERLINK("https://heavenlyouthouse.com/products/eucalyptus-bar-soap", "https://heavenlyouthouse.com/products/eucalyptus-bar-soap")</f>
        <v>https://heavenlyouthouse.com/products/eucalyptus-bar-soap</v>
      </c>
      <c r="B693" s="3" t="str">
        <f>HYPERLINK("https://heavenlyouthouse.com/products/eucalyptus-bar-soap", "https://heavenlyouthouse.com/products/eucalyptus-bar-soap")</f>
        <v>https://heavenlyouthouse.com/products/eucalyptus-bar-soap</v>
      </c>
      <c r="C693" t="s">
        <v>431</v>
      </c>
      <c r="D693" t="s">
        <v>1758</v>
      </c>
      <c r="E693" s="3" t="str">
        <f>HYPERLINK("https://www.amazon.com/Thymes-Eucalyptus-Bar-Soap-Oz/dp/B0B92W9F4Y/ref=sr_1_1?keywords=Thymes+Eucalyptus+Bar+Soap&amp;qid=1695258725&amp;sr=8-1", "https://www.amazon.com/Thymes-Eucalyptus-Bar-Soap-Oz/dp/B0B92W9F4Y/ref=sr_1_1?keywords=Thymes+Eucalyptus+Bar+Soap&amp;qid=1695258725&amp;sr=8-1")</f>
        <v>https://www.amazon.com/Thymes-Eucalyptus-Bar-Soap-Oz/dp/B0B92W9F4Y/ref=sr_1_1?keywords=Thymes+Eucalyptus+Bar+Soap&amp;qid=1695258725&amp;sr=8-1</v>
      </c>
      <c r="F693" t="s">
        <v>1759</v>
      </c>
      <c r="G693" t="e">
        <f ca="1">IMAGE("https://heavenlyouthouse.com/cdn/shop/products/thymes-eucalyptus-bar-soap.jpg?v=1628693255")</f>
        <v>#NAME?</v>
      </c>
      <c r="H693" t="e">
        <f ca="1">IMAGE("https://m.media-amazon.com/images/I/71tqz8YqXPL._AC_UL320_.jpg")</f>
        <v>#NAME?</v>
      </c>
      <c r="I693" t="s">
        <v>98</v>
      </c>
      <c r="J693">
        <v>14</v>
      </c>
      <c r="K693" s="2" t="s">
        <v>1741</v>
      </c>
      <c r="L693">
        <v>4.5999999999999996</v>
      </c>
      <c r="M693">
        <v>765</v>
      </c>
      <c r="O693" t="s">
        <v>39</v>
      </c>
      <c r="P693" t="s">
        <v>39</v>
      </c>
      <c r="Q693" t="s">
        <v>434</v>
      </c>
    </row>
    <row r="694" spans="1:17" ht="15.75" x14ac:dyDescent="0.25">
      <c r="A694" s="3" t="str">
        <f>HYPERLINK("https://heavenlyouthouse.com/products/kimono-rose-bar-soap", "https://heavenlyouthouse.com/products/kimono-rose-bar-soap")</f>
        <v>https://heavenlyouthouse.com/products/kimono-rose-bar-soap</v>
      </c>
      <c r="B694" s="3" t="str">
        <f>HYPERLINK("https://heavenlyouthouse.com/products/kimono-rose-bar-soap", "https://heavenlyouthouse.com/products/kimono-rose-bar-soap")</f>
        <v>https://heavenlyouthouse.com/products/kimono-rose-bar-soap</v>
      </c>
      <c r="C694" t="s">
        <v>1359</v>
      </c>
      <c r="D694" t="s">
        <v>1760</v>
      </c>
      <c r="E694" s="3" t="str">
        <f>HYPERLINK("https://www.amazon.com/Thymes-Luxurious-Hydrating-Vanilla-Scented/dp/B0761X1QFF/ref=sr_1_1?keywords=Thymes+Kimono+Rose+Bar+Soap&amp;qid=1695258752&amp;sr=8-1", "https://www.amazon.com/Thymes-Luxurious-Hydrating-Vanilla-Scented/dp/B0761X1QFF/ref=sr_1_1?keywords=Thymes+Kimono+Rose+Bar+Soap&amp;qid=1695258752&amp;sr=8-1")</f>
        <v>https://www.amazon.com/Thymes-Luxurious-Hydrating-Vanilla-Scented/dp/B0761X1QFF/ref=sr_1_1?keywords=Thymes+Kimono+Rose+Bar+Soap&amp;qid=1695258752&amp;sr=8-1</v>
      </c>
      <c r="F694" t="s">
        <v>1761</v>
      </c>
      <c r="G694" t="e">
        <f ca="1">IMAGE("https://heavenlyouthouse.com/cdn/shop/products/thymes-kimono-rose-bar-soap.jpg?v=1628693439")</f>
        <v>#NAME?</v>
      </c>
      <c r="H694" t="e">
        <f ca="1">IMAGE("https://m.media-amazon.com/images/I/81XVPMctpnL._AC_UL320_.jpg")</f>
        <v>#NAME?</v>
      </c>
      <c r="I694" t="s">
        <v>98</v>
      </c>
      <c r="J694">
        <v>14</v>
      </c>
      <c r="K694" s="2" t="s">
        <v>1741</v>
      </c>
      <c r="L694">
        <v>4.5999999999999996</v>
      </c>
      <c r="M694">
        <v>765</v>
      </c>
      <c r="O694" t="s">
        <v>39</v>
      </c>
      <c r="P694" t="s">
        <v>100</v>
      </c>
      <c r="Q694" t="s">
        <v>1362</v>
      </c>
    </row>
    <row r="695" spans="1:17" ht="15.75" x14ac:dyDescent="0.25">
      <c r="A695" s="3" t="str">
        <f>HYPERLINK("https://heavenlyouthouse.com/products/super-dad-fathers-day-card", "https://heavenlyouthouse.com/products/super-dad-fathers-day-card")</f>
        <v>https://heavenlyouthouse.com/products/super-dad-fathers-day-card</v>
      </c>
      <c r="B695" s="3" t="str">
        <f>HYPERLINK("https://heavenlyouthouse.com/products/super-dad-fathers-day-card", "https://heavenlyouthouse.com/products/super-dad-fathers-day-card")</f>
        <v>https://heavenlyouthouse.com/products/super-dad-fathers-day-card</v>
      </c>
      <c r="C695" t="s">
        <v>886</v>
      </c>
      <c r="D695" t="s">
        <v>1762</v>
      </c>
      <c r="E695" s="3" t="str">
        <f>HYPERLINK("https://www.amazon.com/Hallmark-Signature-Fathers-Card-Superman/dp/B06XYWVBDF/ref=sr_1_6?keywords=Super+Dad+Father%27s+Day+Card&amp;qid=1695258705&amp;sr=8-6", "https://www.amazon.com/Hallmark-Signature-Fathers-Card-Superman/dp/B06XYWVBDF/ref=sr_1_6?keywords=Super+Dad+Father%27s+Day+Card&amp;qid=1695258705&amp;sr=8-6")</f>
        <v>https://www.amazon.com/Hallmark-Signature-Fathers-Card-Superman/dp/B06XYWVBDF/ref=sr_1_6?keywords=Super+Dad+Father%27s+Day+Card&amp;qid=1695258705&amp;sr=8-6</v>
      </c>
      <c r="F695" t="s">
        <v>1763</v>
      </c>
      <c r="G695" t="e">
        <f ca="1">IMAGE("https://heavenlyouthouse.com/cdn/shop/products/super-dad-father_s-day-card2.jpg?v=1642611898")</f>
        <v>#NAME?</v>
      </c>
      <c r="H695" t="e">
        <f ca="1">IMAGE("https://m.media-amazon.com/images/I/91Mhgu4R9AL._AC_UL320_.jpg")</f>
        <v>#NAME?</v>
      </c>
      <c r="I695" t="s">
        <v>889</v>
      </c>
      <c r="J695">
        <v>7.75</v>
      </c>
      <c r="K695" s="2" t="s">
        <v>1741</v>
      </c>
      <c r="L695">
        <v>4.9000000000000004</v>
      </c>
      <c r="M695">
        <v>1422</v>
      </c>
      <c r="O695" t="s">
        <v>39</v>
      </c>
      <c r="P695" t="s">
        <v>891</v>
      </c>
      <c r="Q695" t="s">
        <v>892</v>
      </c>
    </row>
    <row r="696" spans="1:17" ht="15.75" x14ac:dyDescent="0.25">
      <c r="A696" s="3" t="str">
        <f>HYPERLINK("https://heavenlyouthouse.com/products/tool-man-fathers-day-card", "https://heavenlyouthouse.com/products/tool-man-fathers-day-card")</f>
        <v>https://heavenlyouthouse.com/products/tool-man-fathers-day-card</v>
      </c>
      <c r="B696" s="3" t="str">
        <f>HYPERLINK("https://heavenlyouthouse.com/products/tool-man-fathers-day-card", "https://heavenlyouthouse.com/products/tool-man-fathers-day-card")</f>
        <v>https://heavenlyouthouse.com/products/tool-man-fathers-day-card</v>
      </c>
      <c r="C696" t="s">
        <v>867</v>
      </c>
      <c r="D696" t="s">
        <v>1764</v>
      </c>
      <c r="E696" s="3" t="str">
        <f>HYPERLINK("https://www.amazon.com/CJ-Level-Traditional-Humorous-Kids-This-illustrated/dp/B0C1YRGK7Q/ref=sr_1_3?keywords=Tool+Man+Fathers+Day+Card&amp;qid=1695258801&amp;sr=8-3", "https://www.amazon.com/CJ-Level-Traditional-Humorous-Kids-This-illustrated/dp/B0C1YRGK7Q/ref=sr_1_3?keywords=Tool+Man+Fathers+Day+Card&amp;qid=1695258801&amp;sr=8-3")</f>
        <v>https://www.amazon.com/CJ-Level-Traditional-Humorous-Kids-This-illustrated/dp/B0C1YRGK7Q/ref=sr_1_3?keywords=Tool+Man+Fathers+Day+Card&amp;qid=1695258801&amp;sr=8-3</v>
      </c>
      <c r="F696" t="s">
        <v>1765</v>
      </c>
      <c r="G696" t="e">
        <f ca="1">IMAGE("https://heavenlyouthouse.com/cdn/shop/products/605030123271.jpg?v=1621620239")</f>
        <v>#NAME?</v>
      </c>
      <c r="H696" t="e">
        <f ca="1">IMAGE("https://m.media-amazon.com/images/I/61x4weQQ2JL._AC_UL320_.jpg")</f>
        <v>#NAME?</v>
      </c>
      <c r="I696" t="s">
        <v>870</v>
      </c>
      <c r="J696">
        <v>6.99</v>
      </c>
      <c r="K696" s="2" t="s">
        <v>1741</v>
      </c>
      <c r="L696">
        <v>4.8</v>
      </c>
      <c r="M696">
        <v>18</v>
      </c>
      <c r="O696" t="s">
        <v>39</v>
      </c>
      <c r="P696" t="s">
        <v>39</v>
      </c>
      <c r="Q696" t="s">
        <v>872</v>
      </c>
    </row>
    <row r="697" spans="1:17" ht="15.75" x14ac:dyDescent="0.25">
      <c r="A697" s="3" t="str">
        <f>HYPERLINK("https://heavenlyouthouse.com/products/thymes-goldleaf-gardenia-petite-reed-diffuser", "https://heavenlyouthouse.com/products/thymes-goldleaf-gardenia-petite-reed-diffuser")</f>
        <v>https://heavenlyouthouse.com/products/thymes-goldleaf-gardenia-petite-reed-diffuser</v>
      </c>
      <c r="B697" s="3" t="str">
        <f>HYPERLINK("https://heavenlyouthouse.com/products/thymes-goldleaf-gardenia-petite-reed-diffuser", "https://heavenlyouthouse.com/products/thymes-goldleaf-gardenia-petite-reed-diffuser")</f>
        <v>https://heavenlyouthouse.com/products/thymes-goldleaf-gardenia-petite-reed-diffuser</v>
      </c>
      <c r="C697" t="s">
        <v>1766</v>
      </c>
      <c r="D697" t="s">
        <v>1767</v>
      </c>
      <c r="E697" s="3" t="str">
        <f>HYPERLINK("https://www.amazon.com/Thymes-Petite-Diffuser-Goldleaf-Gardenia/dp/B09HL8S3SK/ref=sr_1_1?keywords=Thymes+Goldleaf+Gardenia+Petite+Reed+Diffuser&amp;qid=1695258748&amp;sr=8-1", "https://www.amazon.com/Thymes-Petite-Diffuser-Goldleaf-Gardenia/dp/B09HL8S3SK/ref=sr_1_1?keywords=Thymes+Goldleaf+Gardenia+Petite+Reed+Diffuser&amp;qid=1695258748&amp;sr=8-1")</f>
        <v>https://www.amazon.com/Thymes-Petite-Diffuser-Goldleaf-Gardenia/dp/B09HL8S3SK/ref=sr_1_1?keywords=Thymes+Goldleaf+Gardenia+Petite+Reed+Diffuser&amp;qid=1695258748&amp;sr=8-1</v>
      </c>
      <c r="F697" t="s">
        <v>1768</v>
      </c>
      <c r="G697" t="e">
        <f ca="1">IMAGE("https://heavenlyouthouse.com/cdn/shop/files/thymes-goldleaf-gardenia-reed-diffuser_300x300.jpg?v=1682744197")</f>
        <v>#NAME?</v>
      </c>
      <c r="H697" t="e">
        <f ca="1">IMAGE("https://m.media-amazon.com/images/I/6170UPXZdlL._AC_UL320_.jpg")</f>
        <v>#NAME?</v>
      </c>
      <c r="I697" t="s">
        <v>1204</v>
      </c>
      <c r="J697">
        <v>44</v>
      </c>
      <c r="K697" s="2" t="s">
        <v>1769</v>
      </c>
      <c r="L697">
        <v>4.3</v>
      </c>
      <c r="M697">
        <v>185</v>
      </c>
      <c r="O697" t="s">
        <v>39</v>
      </c>
      <c r="P697" t="s">
        <v>39</v>
      </c>
      <c r="Q697" t="s">
        <v>1770</v>
      </c>
    </row>
    <row r="698" spans="1:17" ht="15.75" x14ac:dyDescent="0.25">
      <c r="A698" s="3" t="str">
        <f>HYPERLINK("https://heavenlyouthouse.com/products/thymes-frasier-fir-gilded-gold-pine-needle-candle", "https://heavenlyouthouse.com/products/thymes-frasier-fir-gilded-gold-pine-needle-candle")</f>
        <v>https://heavenlyouthouse.com/products/thymes-frasier-fir-gilded-gold-pine-needle-candle</v>
      </c>
      <c r="B698" s="3" t="str">
        <f>HYPERLINK("https://heavenlyouthouse.com/products/thymes-frasier-fir-gilded-gold-pine-needle-candle", "https://heavenlyouthouse.com/products/thymes-frasier-fir-gilded-gold-pine-needle-candle")</f>
        <v>https://heavenlyouthouse.com/products/thymes-frasier-fir-gilded-gold-pine-needle-candle</v>
      </c>
      <c r="C698" t="s">
        <v>972</v>
      </c>
      <c r="D698" t="s">
        <v>441</v>
      </c>
      <c r="E698" s="3" t="str">
        <f>HYPERLINK("https://www.amazon.com/Thymes-Frasier-Fir-Candle-Set/dp/B0140PRD7I/ref=sr_1_6?keywords=Thymes+Frasier+Fir+Gilded+Gold+Pine+Needle+Candle&amp;qid=1695258732&amp;sr=8-6", "https://www.amazon.com/Thymes-Frasier-Fir-Candle-Set/dp/B0140PRD7I/ref=sr_1_6?keywords=Thymes+Frasier+Fir+Gilded+Gold+Pine+Needle+Candle&amp;qid=1695258732&amp;sr=8-6")</f>
        <v>https://www.amazon.com/Thymes-Frasier-Fir-Candle-Set/dp/B0140PRD7I/ref=sr_1_6?keywords=Thymes+Frasier+Fir+Gilded+Gold+Pine+Needle+Candle&amp;qid=1695258732&amp;sr=8-6</v>
      </c>
      <c r="F698" t="s">
        <v>442</v>
      </c>
      <c r="G698" t="e">
        <f ca="1">IMAGE("https://heavenlyouthouse.com/cdn/shop/files/thymes-frasier-fir-gilded-pine-needle-gold-candle_300x300.jpg?v=1692209396")</f>
        <v>#NAME?</v>
      </c>
      <c r="H698" t="e">
        <f ca="1">IMAGE("https://m.media-amazon.com/images/I/71tOjhmJH0L._AC_UL320_.jpg")</f>
        <v>#NAME?</v>
      </c>
      <c r="I698" t="s">
        <v>973</v>
      </c>
      <c r="J698">
        <v>38</v>
      </c>
      <c r="K698" s="2" t="s">
        <v>1769</v>
      </c>
      <c r="L698">
        <v>4.7</v>
      </c>
      <c r="M698">
        <v>181</v>
      </c>
      <c r="O698" t="s">
        <v>39</v>
      </c>
      <c r="P698" t="s">
        <v>974</v>
      </c>
      <c r="Q698" t="s">
        <v>975</v>
      </c>
    </row>
    <row r="699" spans="1:17" ht="15.75" x14ac:dyDescent="0.25">
      <c r="A699" s="3" t="str">
        <f>HYPERLINK("https://heavenlyouthouse.com/products/thymes-frasier-fir-petite-gold-reed-diffuser", "https://heavenlyouthouse.com/products/thymes-frasier-fir-petite-gold-reed-diffuser")</f>
        <v>https://heavenlyouthouse.com/products/thymes-frasier-fir-petite-gold-reed-diffuser</v>
      </c>
      <c r="B699" s="3" t="str">
        <f>HYPERLINK("https://heavenlyouthouse.com/products/thymes-frasier-fir-petite-gold-reed-diffuser", "https://heavenlyouthouse.com/products/thymes-frasier-fir-petite-gold-reed-diffuser")</f>
        <v>https://heavenlyouthouse.com/products/thymes-frasier-fir-petite-gold-reed-diffuser</v>
      </c>
      <c r="C699" t="s">
        <v>1771</v>
      </c>
      <c r="D699" t="s">
        <v>1772</v>
      </c>
      <c r="E699" s="3" t="str">
        <f>HYPERLINK("https://www.amazon.com/Thymes-Frasier-FIR-Fragrance-Diffuser/dp/B07KB9S388/ref=sr_1_1?keywords=Thymes+Frasier+Fir+Petite+Gold+Reed+Diffuser&amp;qid=1695258740&amp;sr=8-1", "https://www.amazon.com/Thymes-Frasier-FIR-Fragrance-Diffuser/dp/B07KB9S388/ref=sr_1_1?keywords=Thymes+Frasier+Fir+Petite+Gold+Reed+Diffuser&amp;qid=1695258740&amp;sr=8-1")</f>
        <v>https://www.amazon.com/Thymes-Frasier-FIR-Fragrance-Diffuser/dp/B07KB9S388/ref=sr_1_1?keywords=Thymes+Frasier+Fir+Petite+Gold+Reed+Diffuser&amp;qid=1695258740&amp;sr=8-1</v>
      </c>
      <c r="F699" t="s">
        <v>1773</v>
      </c>
      <c r="G699" t="e">
        <f ca="1">IMAGE("https://heavenlyouthouse.com/cdn/shop/products/Frasier-Fir-petite-gold-diffuser.jpg?v=1660770143")</f>
        <v>#NAME?</v>
      </c>
      <c r="H699" t="e">
        <f ca="1">IMAGE("https://m.media-amazon.com/images/I/71rNnXIE00L._AC_UL320_.jpg")</f>
        <v>#NAME?</v>
      </c>
      <c r="I699" t="s">
        <v>959</v>
      </c>
      <c r="J699">
        <v>46</v>
      </c>
      <c r="K699" s="2" t="s">
        <v>1769</v>
      </c>
      <c r="L699">
        <v>4.7</v>
      </c>
      <c r="M699">
        <v>88</v>
      </c>
      <c r="O699" t="s">
        <v>39</v>
      </c>
      <c r="P699" t="s">
        <v>39</v>
      </c>
      <c r="Q699" t="s">
        <v>1774</v>
      </c>
    </row>
    <row r="700" spans="1:17" ht="15.75" x14ac:dyDescent="0.25">
      <c r="A700" s="3" t="str">
        <f>HYPERLINK("https://heavenlyouthouse.com/products/thymes-frasier-fir-petite-gold-reed-diffuser", "https://heavenlyouthouse.com/products/thymes-frasier-fir-petite-gold-reed-diffuser")</f>
        <v>https://heavenlyouthouse.com/products/thymes-frasier-fir-petite-gold-reed-diffuser</v>
      </c>
      <c r="B700" s="3" t="str">
        <f>HYPERLINK("https://heavenlyouthouse.com/products/thymes-frasier-fir-petite-gold-reed-diffuser", "https://heavenlyouthouse.com/products/thymes-frasier-fir-petite-gold-reed-diffuser")</f>
        <v>https://heavenlyouthouse.com/products/thymes-frasier-fir-petite-gold-reed-diffuser</v>
      </c>
      <c r="C700" t="s">
        <v>1771</v>
      </c>
      <c r="D700" t="s">
        <v>150</v>
      </c>
      <c r="E700" s="3" t="str">
        <f>HYPERLINK("https://www.amazon.com/Frasier-Diffuser-Petite-Needle-Design/dp/B07PX41PHQ/ref=sr_1_2?keywords=Thymes+Frasier+Fir+Petite+Gold+Reed+Diffuser&amp;qid=1695258740&amp;sr=8-2", "https://www.amazon.com/Frasier-Diffuser-Petite-Needle-Design/dp/B07PX41PHQ/ref=sr_1_2?keywords=Thymes+Frasier+Fir+Petite+Gold+Reed+Diffuser&amp;qid=1695258740&amp;sr=8-2")</f>
        <v>https://www.amazon.com/Frasier-Diffuser-Petite-Needle-Design/dp/B07PX41PHQ/ref=sr_1_2?keywords=Thymes+Frasier+Fir+Petite+Gold+Reed+Diffuser&amp;qid=1695258740&amp;sr=8-2</v>
      </c>
      <c r="F700" t="s">
        <v>151</v>
      </c>
      <c r="G700" t="e">
        <f ca="1">IMAGE("https://heavenlyouthouse.com/cdn/shop/products/Frasier-Fir-petite-gold-diffuser.jpg?v=1660770143")</f>
        <v>#NAME?</v>
      </c>
      <c r="H700" t="e">
        <f ca="1">IMAGE("https://m.media-amazon.com/images/I/81b2I297VgL._AC_UL320_.jpg")</f>
        <v>#NAME?</v>
      </c>
      <c r="I700" t="s">
        <v>959</v>
      </c>
      <c r="J700">
        <v>46</v>
      </c>
      <c r="K700" s="2" t="s">
        <v>1769</v>
      </c>
      <c r="L700">
        <v>4.7</v>
      </c>
      <c r="M700">
        <v>283</v>
      </c>
      <c r="O700" t="s">
        <v>39</v>
      </c>
      <c r="P700" t="s">
        <v>39</v>
      </c>
      <c r="Q700" t="s">
        <v>1774</v>
      </c>
    </row>
    <row r="701" spans="1:17" ht="15.75" x14ac:dyDescent="0.25">
      <c r="A701" s="3" t="str">
        <f>HYPERLINK("https://heavenlyouthouse.com/products/eucalyptus-hand-wash", "https://heavenlyouthouse.com/products/eucalyptus-hand-wash")</f>
        <v>https://heavenlyouthouse.com/products/eucalyptus-hand-wash</v>
      </c>
      <c r="B701" s="3" t="str">
        <f>HYPERLINK("https://heavenlyouthouse.com/products/eucalyptus-hand-wash", "https://heavenlyouthouse.com/products/eucalyptus-hand-wash")</f>
        <v>https://heavenlyouthouse.com/products/eucalyptus-hand-wash</v>
      </c>
      <c r="C701" t="s">
        <v>1042</v>
      </c>
      <c r="D701" t="s">
        <v>1775</v>
      </c>
      <c r="E701" s="3" t="str">
        <f>HYPERLINK("https://www.amazon.com/Botanic-Hearth-Aloe-Eucalyptus-Essential/dp/B0877YHFW2/ref=sr_1_2?keywords=Thymes+Eucalyptus+Hand+Wash&amp;qid=1695258722&amp;sr=8-2", "https://www.amazon.com/Botanic-Hearth-Aloe-Eucalyptus-Essential/dp/B0877YHFW2/ref=sr_1_2?keywords=Thymes+Eucalyptus+Hand+Wash&amp;qid=1695258722&amp;sr=8-2")</f>
        <v>https://www.amazon.com/Botanic-Hearth-Aloe-Eucalyptus-Essential/dp/B0877YHFW2/ref=sr_1_2?keywords=Thymes+Eucalyptus+Hand+Wash&amp;qid=1695258722&amp;sr=8-2</v>
      </c>
      <c r="F701" t="s">
        <v>1776</v>
      </c>
      <c r="G701" t="e">
        <f ca="1">IMAGE("https://heavenlyouthouse.com/cdn/shop/products/thymes-eucalyptus-hand-wash_e930a19f-ee15-49e9-9caf-87b16b1cff84.png?v=1652276810")</f>
        <v>#NAME?</v>
      </c>
      <c r="H701" t="e">
        <f ca="1">IMAGE("https://m.media-amazon.com/images/I/61NdANXGz8L._AC_UL320_.jpg")</f>
        <v>#NAME?</v>
      </c>
      <c r="I701" t="s">
        <v>86</v>
      </c>
      <c r="J701">
        <v>15.3</v>
      </c>
      <c r="K701" s="2" t="s">
        <v>1769</v>
      </c>
      <c r="L701">
        <v>4.5</v>
      </c>
      <c r="M701">
        <v>2968</v>
      </c>
      <c r="O701" t="s">
        <v>39</v>
      </c>
      <c r="P701" t="s">
        <v>1045</v>
      </c>
      <c r="Q701" t="s">
        <v>1046</v>
      </c>
    </row>
    <row r="702" spans="1:17" ht="15.75" x14ac:dyDescent="0.25">
      <c r="A702" s="3" t="str">
        <f>HYPERLINK("https://heavenlyouthouse.com/products/thymes-eucalyptus-dishwashing-liquid", "https://heavenlyouthouse.com/products/thymes-eucalyptus-dishwashing-liquid")</f>
        <v>https://heavenlyouthouse.com/products/thymes-eucalyptus-dishwashing-liquid</v>
      </c>
      <c r="B702" s="3" t="str">
        <f>HYPERLINK("https://heavenlyouthouse.com/products/thymes-eucalyptus-dishwashing-liquid", "https://heavenlyouthouse.com/products/thymes-eucalyptus-dishwashing-liquid")</f>
        <v>https://heavenlyouthouse.com/products/thymes-eucalyptus-dishwashing-liquid</v>
      </c>
      <c r="C702" t="s">
        <v>1777</v>
      </c>
      <c r="D702" t="s">
        <v>1778</v>
      </c>
      <c r="E702" s="3" t="str">
        <f>HYPERLINK("https://www.amazon.com/Thymes-Eucalyptus-Dishwashing-Liquid-Soap/dp/B0C549X14W/ref=sr_1_1?keywords=Thymes+Eucalyptus+Dishwashing+Liquid&amp;qid=1695258712&amp;sr=8-1", "https://www.amazon.com/Thymes-Eucalyptus-Dishwashing-Liquid-Soap/dp/B0C549X14W/ref=sr_1_1?keywords=Thymes+Eucalyptus+Dishwashing+Liquid&amp;qid=1695258712&amp;sr=8-1")</f>
        <v>https://www.amazon.com/Thymes-Eucalyptus-Dishwashing-Liquid-Soap/dp/B0C549X14W/ref=sr_1_1?keywords=Thymes+Eucalyptus+Dishwashing+Liquid&amp;qid=1695258712&amp;sr=8-1</v>
      </c>
      <c r="F702" t="s">
        <v>1779</v>
      </c>
      <c r="G702" t="e">
        <f ca="1">IMAGE("https://heavenlyouthouse.com/cdn/shop/files/thymes-eucalyptus-dishwashing-liquid_300x300.jpg?v=1690996551")</f>
        <v>#NAME?</v>
      </c>
      <c r="H702" t="e">
        <f ca="1">IMAGE("https://m.media-amazon.com/images/I/61Zl4+b5paL._AC_UL320_.jpg")</f>
        <v>#NAME?</v>
      </c>
      <c r="I702" t="s">
        <v>188</v>
      </c>
      <c r="J702">
        <v>16</v>
      </c>
      <c r="K702" s="2" t="s">
        <v>1769</v>
      </c>
      <c r="L702">
        <v>4.5999999999999996</v>
      </c>
      <c r="M702">
        <v>782</v>
      </c>
      <c r="O702" t="s">
        <v>39</v>
      </c>
      <c r="P702" t="s">
        <v>190</v>
      </c>
      <c r="Q702" t="s">
        <v>1780</v>
      </c>
    </row>
    <row r="703" spans="1:17" ht="15.75" x14ac:dyDescent="0.25">
      <c r="A703" s="3" t="str">
        <f>HYPERLINK("https://heavenlyouthouse.com/products/frasier-fir-dishwashing-liquid", "https://heavenlyouthouse.com/products/frasier-fir-dishwashing-liquid")</f>
        <v>https://heavenlyouthouse.com/products/frasier-fir-dishwashing-liquid</v>
      </c>
      <c r="B703" s="3" t="str">
        <f>HYPERLINK("https://heavenlyouthouse.com/products/frasier-fir-dishwashing-liquid", "https://heavenlyouthouse.com/products/frasier-fir-dishwashing-liquid")</f>
        <v>https://heavenlyouthouse.com/products/frasier-fir-dishwashing-liquid</v>
      </c>
      <c r="C703" t="s">
        <v>1781</v>
      </c>
      <c r="D703" t="s">
        <v>1782</v>
      </c>
      <c r="E703" s="3" t="str">
        <f>HYPERLINK("https://www.amazon.com/Thymes-Frasier-Dishwashing-Liquid-Bottle/dp/B0140PREDG/ref=sr_1_1?keywords=Thymes+Frasier+Fir+Dishwashing+Liquid&amp;qid=1695258729&amp;sr=8-1", "https://www.amazon.com/Thymes-Frasier-Dishwashing-Liquid-Bottle/dp/B0140PREDG/ref=sr_1_1?keywords=Thymes+Frasier+Fir+Dishwashing+Liquid&amp;qid=1695258729&amp;sr=8-1")</f>
        <v>https://www.amazon.com/Thymes-Frasier-Dishwashing-Liquid-Bottle/dp/B0140PREDG/ref=sr_1_1?keywords=Thymes+Frasier+Fir+Dishwashing+Liquid&amp;qid=1695258729&amp;sr=8-1</v>
      </c>
      <c r="F703" t="s">
        <v>1783</v>
      </c>
      <c r="G703" t="e">
        <f ca="1">IMAGE("https://heavenlyouthouse.com/cdn/shop/products/thymesfrasierfirdishwashingliquid.jpg?v=1603993079")</f>
        <v>#NAME?</v>
      </c>
      <c r="H703" t="e">
        <f ca="1">IMAGE("https://m.media-amazon.com/images/I/511NVVvAG+L._AC_UL320_.jpg")</f>
        <v>#NAME?</v>
      </c>
      <c r="I703" t="s">
        <v>188</v>
      </c>
      <c r="J703">
        <v>16</v>
      </c>
      <c r="K703" s="2" t="s">
        <v>1769</v>
      </c>
      <c r="L703">
        <v>4.5999999999999996</v>
      </c>
      <c r="M703">
        <v>782</v>
      </c>
      <c r="O703" t="s">
        <v>39</v>
      </c>
      <c r="P703" t="s">
        <v>39</v>
      </c>
      <c r="Q703" t="s">
        <v>1784</v>
      </c>
    </row>
    <row r="704" spans="1:17" ht="15.75" x14ac:dyDescent="0.25">
      <c r="A704" s="3" t="str">
        <f>HYPERLINK("https://heavenlyouthouse.com/products/thymes-mandarin-coriander-dishwashing-liquid", "https://heavenlyouthouse.com/products/thymes-mandarin-coriander-dishwashing-liquid")</f>
        <v>https://heavenlyouthouse.com/products/thymes-mandarin-coriander-dishwashing-liquid</v>
      </c>
      <c r="B704" s="3" t="str">
        <f>HYPERLINK("https://heavenlyouthouse.com/products/thymes-mandarin-coriander-dishwashing-liquid", "https://heavenlyouthouse.com/products/thymes-mandarin-coriander-dishwashing-liquid")</f>
        <v>https://heavenlyouthouse.com/products/thymes-mandarin-coriander-dishwashing-liquid</v>
      </c>
      <c r="C704" t="s">
        <v>1785</v>
      </c>
      <c r="D704" t="s">
        <v>1786</v>
      </c>
      <c r="E704" s="3" t="str">
        <f>HYPERLINK("https://www.amazon.com/Thymes-Mandarin-Coriander-Biodegradable-Dishwashing/dp/B004MAOISY/ref=sr_1_1?keywords=Thymes+Mandarin+Coriander+Dishwashing+Liquid&amp;qid=1695258774&amp;sr=8-1", "https://www.amazon.com/Thymes-Mandarin-Coriander-Biodegradable-Dishwashing/dp/B004MAOISY/ref=sr_1_1?keywords=Thymes+Mandarin+Coriander+Dishwashing+Liquid&amp;qid=1695258774&amp;sr=8-1")</f>
        <v>https://www.amazon.com/Thymes-Mandarin-Coriander-Biodegradable-Dishwashing/dp/B004MAOISY/ref=sr_1_1?keywords=Thymes+Mandarin+Coriander+Dishwashing+Liquid&amp;qid=1695258774&amp;sr=8-1</v>
      </c>
      <c r="F704" t="s">
        <v>1787</v>
      </c>
      <c r="G704" t="e">
        <f ca="1">IMAGE("https://heavenlyouthouse.com/cdn/shop/products/ThymesMandarinCorianderdishwashingliquid.jpg?v=1613148988")</f>
        <v>#NAME?</v>
      </c>
      <c r="H704" t="e">
        <f ca="1">IMAGE("https://m.media-amazon.com/images/I/51A6uAiyYpL._AC_UL320_.jpg")</f>
        <v>#NAME?</v>
      </c>
      <c r="I704" t="s">
        <v>188</v>
      </c>
      <c r="J704">
        <v>16</v>
      </c>
      <c r="K704" s="2" t="s">
        <v>1769</v>
      </c>
      <c r="L704">
        <v>4.5999999999999996</v>
      </c>
      <c r="M704">
        <v>782</v>
      </c>
      <c r="O704" t="s">
        <v>39</v>
      </c>
      <c r="P704" t="s">
        <v>39</v>
      </c>
      <c r="Q704" t="s">
        <v>1788</v>
      </c>
    </row>
    <row r="705" spans="1:17" ht="15.75" x14ac:dyDescent="0.25">
      <c r="A705" s="3" t="str">
        <f>HYPERLINK("https://heavenlyouthouse.com/products/thymes-mandarin-coriander-deodorizing-linen-spray", "https://heavenlyouthouse.com/products/thymes-mandarin-coriander-deodorizing-linen-spray")</f>
        <v>https://heavenlyouthouse.com/products/thymes-mandarin-coriander-deodorizing-linen-spray</v>
      </c>
      <c r="B705" s="3" t="str">
        <f>HYPERLINK("https://heavenlyouthouse.com/products/thymes-mandarin-coriander-deodorizing-linen-spray", "https://heavenlyouthouse.com/products/thymes-mandarin-coriander-deodorizing-linen-spray")</f>
        <v>https://heavenlyouthouse.com/products/thymes-mandarin-coriander-deodorizing-linen-spray</v>
      </c>
      <c r="C705" t="s">
        <v>1789</v>
      </c>
      <c r="D705" t="s">
        <v>1790</v>
      </c>
      <c r="E705" s="3" t="str">
        <f>HYPERLINK("https://www.amazon.com/Thymes-Linen-Spray-Mandarin-Coriander/dp/B084BV3YLN/ref=sr_1_1?keywords=Thymes+Mandarin+Coriander+Deodorizing+Linen+Spray&amp;qid=1695258776&amp;sr=8-1", "https://www.amazon.com/Thymes-Linen-Spray-Mandarin-Coriander/dp/B084BV3YLN/ref=sr_1_1?keywords=Thymes+Mandarin+Coriander+Deodorizing+Linen+Spray&amp;qid=1695258776&amp;sr=8-1")</f>
        <v>https://www.amazon.com/Thymes-Linen-Spray-Mandarin-Coriander/dp/B084BV3YLN/ref=sr_1_1?keywords=Thymes+Mandarin+Coriander+Deodorizing+Linen+Spray&amp;qid=1695258776&amp;sr=8-1</v>
      </c>
      <c r="F705" t="s">
        <v>1791</v>
      </c>
      <c r="G705" t="e">
        <f ca="1">IMAGE("https://heavenlyouthouse.com/cdn/shop/products/ThymesMandarinCorianderdeodorizinglinenspray.jpg?v=1613149404")</f>
        <v>#NAME?</v>
      </c>
      <c r="H705" t="e">
        <f ca="1">IMAGE("https://m.media-amazon.com/images/I/61GcucMTThL._AC_UL320_.jpg")</f>
        <v>#NAME?</v>
      </c>
      <c r="I705" t="s">
        <v>188</v>
      </c>
      <c r="J705">
        <v>16</v>
      </c>
      <c r="K705" s="2" t="s">
        <v>1769</v>
      </c>
      <c r="L705">
        <v>4.4000000000000004</v>
      </c>
      <c r="M705">
        <v>677</v>
      </c>
      <c r="O705" t="s">
        <v>39</v>
      </c>
      <c r="P705" t="s">
        <v>39</v>
      </c>
      <c r="Q705" t="s">
        <v>1792</v>
      </c>
    </row>
    <row r="706" spans="1:17" ht="15.75" x14ac:dyDescent="0.25">
      <c r="A706" s="3" t="str">
        <f>HYPERLINK("https://heavenlyouthouse.com/products/thymes-lemon-leaf-dishwashing-liquid", "https://heavenlyouthouse.com/products/thymes-lemon-leaf-dishwashing-liquid")</f>
        <v>https://heavenlyouthouse.com/products/thymes-lemon-leaf-dishwashing-liquid</v>
      </c>
      <c r="B706" s="3" t="str">
        <f>HYPERLINK("https://heavenlyouthouse.com/products/thymes-lemon-leaf-dishwashing-liquid", "https://heavenlyouthouse.com/products/thymes-lemon-leaf-dishwashing-liquid")</f>
        <v>https://heavenlyouthouse.com/products/thymes-lemon-leaf-dishwashing-liquid</v>
      </c>
      <c r="C706" t="s">
        <v>1793</v>
      </c>
      <c r="D706" t="s">
        <v>1794</v>
      </c>
      <c r="E706" s="3" t="str">
        <f>HYPERLINK("https://www.amazon.com/Thymes-Dishwashing-Liquid-Lemon-Leaf/dp/B084BRZY74/ref=sr_1_1?keywords=Thymes+Lemon+Leaf+Dishwashing+Liquid&amp;qid=1695258765&amp;sr=8-1", "https://www.amazon.com/Thymes-Dishwashing-Liquid-Lemon-Leaf/dp/B084BRZY74/ref=sr_1_1?keywords=Thymes+Lemon+Leaf+Dishwashing+Liquid&amp;qid=1695258765&amp;sr=8-1")</f>
        <v>https://www.amazon.com/Thymes-Dishwashing-Liquid-Lemon-Leaf/dp/B084BRZY74/ref=sr_1_1?keywords=Thymes+Lemon+Leaf+Dishwashing+Liquid&amp;qid=1695258765&amp;sr=8-1</v>
      </c>
      <c r="F706" t="s">
        <v>1795</v>
      </c>
      <c r="G706" t="e">
        <f ca="1">IMAGE("https://heavenlyouthouse.com/cdn/shop/products/ThymesLemonLeafDishwashingLiquid.jpg?v=1613092210")</f>
        <v>#NAME?</v>
      </c>
      <c r="H706" t="e">
        <f ca="1">IMAGE("https://m.media-amazon.com/images/I/61gc8fS3rQL._AC_UL320_.jpg")</f>
        <v>#NAME?</v>
      </c>
      <c r="I706" t="s">
        <v>188</v>
      </c>
      <c r="J706">
        <v>16</v>
      </c>
      <c r="K706" s="2" t="s">
        <v>1769</v>
      </c>
      <c r="L706">
        <v>4.5999999999999996</v>
      </c>
      <c r="M706">
        <v>782</v>
      </c>
      <c r="O706" t="s">
        <v>39</v>
      </c>
      <c r="P706" t="s">
        <v>39</v>
      </c>
      <c r="Q706" t="s">
        <v>1796</v>
      </c>
    </row>
    <row r="707" spans="1:17" ht="15.75" x14ac:dyDescent="0.25">
      <c r="A707" s="3" t="str">
        <f>HYPERLINK("https://heavenlyouthouse.com/products/thymes-frasier-fir-hand-wash", "https://heavenlyouthouse.com/products/thymes-frasier-fir-hand-wash")</f>
        <v>https://heavenlyouthouse.com/products/thymes-frasier-fir-hand-wash</v>
      </c>
      <c r="B707" s="3" t="str">
        <f>HYPERLINK("https://heavenlyouthouse.com/products/thymes-frasier-fir-hand-wash", "https://heavenlyouthouse.com/products/thymes-frasier-fir-hand-wash")</f>
        <v>https://heavenlyouthouse.com/products/thymes-frasier-fir-hand-wash</v>
      </c>
      <c r="C707" t="s">
        <v>612</v>
      </c>
      <c r="D707" t="s">
        <v>1782</v>
      </c>
      <c r="E707" s="3" t="str">
        <f>HYPERLINK("https://www.amazon.com/Thymes-Frasier-Dishwashing-Liquid-Bottle/dp/B0140PREDG/ref=sr_1_4?keywords=Thymes+Frasier+Fir+Hand+Wash&amp;qid=1695258728&amp;sr=8-4", "https://www.amazon.com/Thymes-Frasier-Dishwashing-Liquid-Bottle/dp/B0140PREDG/ref=sr_1_4?keywords=Thymes+Frasier+Fir+Hand+Wash&amp;qid=1695258728&amp;sr=8-4")</f>
        <v>https://www.amazon.com/Thymes-Frasier-Dishwashing-Liquid-Bottle/dp/B0140PREDG/ref=sr_1_4?keywords=Thymes+Frasier+Fir+Hand+Wash&amp;qid=1695258728&amp;sr=8-4</v>
      </c>
      <c r="F707" t="s">
        <v>1783</v>
      </c>
      <c r="G707" t="e">
        <f ca="1">IMAGE("https://heavenlyouthouse.com/cdn/shop/products/thymes-frasier-fir-hand-wash.jpg?v=1629315405")</f>
        <v>#NAME?</v>
      </c>
      <c r="H707" t="e">
        <f ca="1">IMAGE("https://m.media-amazon.com/images/I/511NVVvAG+L._AC_UL320_.jpg")</f>
        <v>#NAME?</v>
      </c>
      <c r="I707" t="s">
        <v>188</v>
      </c>
      <c r="J707">
        <v>16</v>
      </c>
      <c r="K707" s="2" t="s">
        <v>1769</v>
      </c>
      <c r="L707">
        <v>4.5999999999999996</v>
      </c>
      <c r="M707">
        <v>782</v>
      </c>
      <c r="O707" t="s">
        <v>39</v>
      </c>
      <c r="P707" t="s">
        <v>39</v>
      </c>
      <c r="Q707" t="s">
        <v>615</v>
      </c>
    </row>
    <row r="708" spans="1:17" ht="15.75" x14ac:dyDescent="0.25">
      <c r="A708" s="3" t="str">
        <f>HYPERLINK("https://heavenlyouthouse.com/products/thymes-frasier-fir-gilded-gold-votive-candle", "https://heavenlyouthouse.com/products/thymes-frasier-fir-gilded-gold-votive-candle")</f>
        <v>https://heavenlyouthouse.com/products/thymes-frasier-fir-gilded-gold-votive-candle</v>
      </c>
      <c r="B708" s="3" t="str">
        <f>HYPERLINK("https://heavenlyouthouse.com/products/thymes-frasier-fir-gilded-gold-votive-candle", "https://heavenlyouthouse.com/products/thymes-frasier-fir-gilded-gold-votive-candle")</f>
        <v>https://heavenlyouthouse.com/products/thymes-frasier-fir-gilded-gold-votive-candle</v>
      </c>
      <c r="C708" t="s">
        <v>187</v>
      </c>
      <c r="D708" t="s">
        <v>1797</v>
      </c>
      <c r="E708" s="3" t="str">
        <f>HYPERLINK("https://www.amazon.com/Thymes-Votive-Candle-Frasier-Frosted/dp/B09N2LD2KW/ref=sr_1_8?keywords=Thymes+Frasier+Fir+Gilded+Gold+Votive+Candle&amp;qid=1695258726&amp;sr=8-8", "https://www.amazon.com/Thymes-Votive-Candle-Frasier-Frosted/dp/B09N2LD2KW/ref=sr_1_8?keywords=Thymes+Frasier+Fir+Gilded+Gold+Votive+Candle&amp;qid=1695258726&amp;sr=8-8")</f>
        <v>https://www.amazon.com/Thymes-Votive-Candle-Frasier-Frosted/dp/B09N2LD2KW/ref=sr_1_8?keywords=Thymes+Frasier+Fir+Gilded+Gold+Votive+Candle&amp;qid=1695258726&amp;sr=8-8</v>
      </c>
      <c r="F708" t="s">
        <v>1798</v>
      </c>
      <c r="G708" t="e">
        <f ca="1">IMAGE("https://heavenlyouthouse.com/cdn/shop/files/thymes-frasier-fir-gilded-gold-votive-candle_300x300.jpg?v=1692986058")</f>
        <v>#NAME?</v>
      </c>
      <c r="H708" t="e">
        <f ca="1">IMAGE("https://m.media-amazon.com/images/I/612SPxqg6-L._AC_UL320_.jpg")</f>
        <v>#NAME?</v>
      </c>
      <c r="I708" t="s">
        <v>188</v>
      </c>
      <c r="J708">
        <v>16</v>
      </c>
      <c r="K708" s="2" t="s">
        <v>1769</v>
      </c>
      <c r="L708">
        <v>4.8</v>
      </c>
      <c r="M708">
        <v>7</v>
      </c>
      <c r="O708" t="s">
        <v>39</v>
      </c>
      <c r="P708" t="s">
        <v>190</v>
      </c>
      <c r="Q708" t="s">
        <v>191</v>
      </c>
    </row>
    <row r="709" spans="1:17" ht="15.75" x14ac:dyDescent="0.25">
      <c r="A709" s="3" t="str">
        <f>HYPERLINK("https://heavenlyouthouse.com/products/thymes-washed-linen-deodorizing-linen-spray", "https://heavenlyouthouse.com/products/thymes-washed-linen-deodorizing-linen-spray")</f>
        <v>https://heavenlyouthouse.com/products/thymes-washed-linen-deodorizing-linen-spray</v>
      </c>
      <c r="B709" s="3" t="str">
        <f>HYPERLINK("https://heavenlyouthouse.com/products/thymes-washed-linen-deodorizing-linen-spray", "https://heavenlyouthouse.com/products/thymes-washed-linen-deodorizing-linen-spray")</f>
        <v>https://heavenlyouthouse.com/products/thymes-washed-linen-deodorizing-linen-spray</v>
      </c>
      <c r="C709" t="s">
        <v>1799</v>
      </c>
      <c r="D709" t="s">
        <v>1800</v>
      </c>
      <c r="E709" s="3" t="str">
        <f>HYPERLINK("https://www.amazon.com/Thymes-Washed-Linen-Countertop-Spray/dp/B07PH1HJX3/ref=sr_1_2?keywords=Thymes+Washed+Linen+Deodorizing+Linen+Spray&amp;qid=1695258789&amp;sr=8-2", "https://www.amazon.com/Thymes-Washed-Linen-Countertop-Spray/dp/B07PH1HJX3/ref=sr_1_2?keywords=Thymes+Washed+Linen+Deodorizing+Linen+Spray&amp;qid=1695258789&amp;sr=8-2")</f>
        <v>https://www.amazon.com/Thymes-Washed-Linen-Countertop-Spray/dp/B07PH1HJX3/ref=sr_1_2?keywords=Thymes+Washed+Linen+Deodorizing+Linen+Spray&amp;qid=1695258789&amp;sr=8-2</v>
      </c>
      <c r="F709" t="s">
        <v>1801</v>
      </c>
      <c r="G709" t="e">
        <f ca="1">IMAGE("https://heavenlyouthouse.com/cdn/shop/products/ThymesWashedLinendeodorizinglinenspray.jpg?v=1613175195")</f>
        <v>#NAME?</v>
      </c>
      <c r="H709" t="e">
        <f ca="1">IMAGE("https://m.media-amazon.com/images/I/61ZGBtzghCL._AC_UL320_.jpg")</f>
        <v>#NAME?</v>
      </c>
      <c r="I709" t="s">
        <v>188</v>
      </c>
      <c r="J709">
        <v>16</v>
      </c>
      <c r="K709" s="2" t="s">
        <v>1769</v>
      </c>
      <c r="L709">
        <v>4.5999999999999996</v>
      </c>
      <c r="M709">
        <v>434</v>
      </c>
      <c r="O709" t="s">
        <v>39</v>
      </c>
      <c r="P709" t="s">
        <v>39</v>
      </c>
      <c r="Q709" t="s">
        <v>1802</v>
      </c>
    </row>
    <row r="710" spans="1:17" ht="15.75" x14ac:dyDescent="0.25">
      <c r="A710" s="3" t="str">
        <f>HYPERLINK("https://heavenlyouthouse.com/products/fresh-cut-basil-dishwashing-liquid", "https://heavenlyouthouse.com/products/fresh-cut-basil-dishwashing-liquid")</f>
        <v>https://heavenlyouthouse.com/products/fresh-cut-basil-dishwashing-liquid</v>
      </c>
      <c r="B710" s="3" t="str">
        <f>HYPERLINK("https://heavenlyouthouse.com/products/fresh-cut-basil-dishwashing-liquid", "https://heavenlyouthouse.com/products/fresh-cut-basil-dishwashing-liquid")</f>
        <v>https://heavenlyouthouse.com/products/fresh-cut-basil-dishwashing-liquid</v>
      </c>
      <c r="C710" t="s">
        <v>1803</v>
      </c>
      <c r="D710" t="s">
        <v>1804</v>
      </c>
      <c r="E710" s="3" t="str">
        <f>HYPERLINK("https://www.amazon.com/Thymes-Dishwashing-Liquid-Fresh-Cut-Basil/dp/B07Q1K5S57/ref=sr_1_1?keywords=Thymes+Fresh-Cut+Basil+Dishwashing+Liquid&amp;qid=1695258740&amp;sr=8-1", "https://www.amazon.com/Thymes-Dishwashing-Liquid-Fresh-Cut-Basil/dp/B07Q1K5S57/ref=sr_1_1?keywords=Thymes+Fresh-Cut+Basil+Dishwashing+Liquid&amp;qid=1695258740&amp;sr=8-1")</f>
        <v>https://www.amazon.com/Thymes-Dishwashing-Liquid-Fresh-Cut-Basil/dp/B07Q1K5S57/ref=sr_1_1?keywords=Thymes+Fresh-Cut+Basil+Dishwashing+Liquid&amp;qid=1695258740&amp;sr=8-1</v>
      </c>
      <c r="F710" t="s">
        <v>1805</v>
      </c>
      <c r="G710" t="e">
        <f ca="1">IMAGE("https://heavenlyouthouse.com/cdn/shop/products/thymesfresh-cutbasildishwashingliquid.jpg?v=1613073511")</f>
        <v>#NAME?</v>
      </c>
      <c r="H710" t="e">
        <f ca="1">IMAGE("https://m.media-amazon.com/images/I/61jN-lncZQL._AC_UL320_.jpg")</f>
        <v>#NAME?</v>
      </c>
      <c r="I710" t="s">
        <v>188</v>
      </c>
      <c r="J710">
        <v>16</v>
      </c>
      <c r="K710" s="2" t="s">
        <v>1769</v>
      </c>
      <c r="L710">
        <v>4.5999999999999996</v>
      </c>
      <c r="M710">
        <v>782</v>
      </c>
      <c r="O710" t="s">
        <v>39</v>
      </c>
      <c r="P710" t="s">
        <v>39</v>
      </c>
      <c r="Q710" t="s">
        <v>1806</v>
      </c>
    </row>
    <row r="711" spans="1:17" ht="15.75" x14ac:dyDescent="0.25">
      <c r="A711" s="3" t="str">
        <f>HYPERLINK("https://heavenlyouthouse.com/products/thymes-frasier-fir-gilded-gold-votive-candle", "https://heavenlyouthouse.com/products/thymes-frasier-fir-gilded-gold-votive-candle")</f>
        <v>https://heavenlyouthouse.com/products/thymes-frasier-fir-gilded-gold-votive-candle</v>
      </c>
      <c r="B711" s="3" t="str">
        <f>HYPERLINK("https://heavenlyouthouse.com/products/thymes-frasier-fir-gilded-gold-votive-candle", "https://heavenlyouthouse.com/products/thymes-frasier-fir-gilded-gold-votive-candle")</f>
        <v>https://heavenlyouthouse.com/products/thymes-frasier-fir-gilded-gold-votive-candle</v>
      </c>
      <c r="C711" t="s">
        <v>187</v>
      </c>
      <c r="D711" t="s">
        <v>1541</v>
      </c>
      <c r="E711" s="3" t="str">
        <f>HYPERLINK("https://www.amazon.com/Thymes-Frasier-Needle-Votive-Candle/dp/B07Q2GWCCQ/ref=sr_1_4?keywords=Thymes+Frasier+Fir+Gilded+Gold+Votive+Candle&amp;qid=1695258726&amp;sr=8-4", "https://www.amazon.com/Thymes-Frasier-Needle-Votive-Candle/dp/B07Q2GWCCQ/ref=sr_1_4?keywords=Thymes+Frasier+Fir+Gilded+Gold+Votive+Candle&amp;qid=1695258726&amp;sr=8-4")</f>
        <v>https://www.amazon.com/Thymes-Frasier-Needle-Votive-Candle/dp/B07Q2GWCCQ/ref=sr_1_4?keywords=Thymes+Frasier+Fir+Gilded+Gold+Votive+Candle&amp;qid=1695258726&amp;sr=8-4</v>
      </c>
      <c r="F711" t="s">
        <v>1542</v>
      </c>
      <c r="G711" t="e">
        <f ca="1">IMAGE("https://heavenlyouthouse.com/cdn/shop/files/thymes-frasier-fir-gilded-gold-votive-candle_300x300.jpg?v=1692986058")</f>
        <v>#NAME?</v>
      </c>
      <c r="H711" t="e">
        <f ca="1">IMAGE("https://m.media-amazon.com/images/I/71ARhUHeOKL._AC_UL320_.jpg")</f>
        <v>#NAME?</v>
      </c>
      <c r="I711" t="s">
        <v>188</v>
      </c>
      <c r="J711">
        <v>16</v>
      </c>
      <c r="K711" s="2" t="s">
        <v>1769</v>
      </c>
      <c r="L711">
        <v>4.0999999999999996</v>
      </c>
      <c r="M711">
        <v>5</v>
      </c>
      <c r="O711" t="s">
        <v>39</v>
      </c>
      <c r="P711" t="s">
        <v>190</v>
      </c>
      <c r="Q711" t="s">
        <v>191</v>
      </c>
    </row>
    <row r="712" spans="1:17" ht="15.75" x14ac:dyDescent="0.25">
      <c r="A712" s="3" t="str">
        <f>HYPERLINK("https://heavenlyouthouse.com/products/thymes-lemon-leaf-deodorizing-linen-spray", "https://heavenlyouthouse.com/products/thymes-lemon-leaf-deodorizing-linen-spray")</f>
        <v>https://heavenlyouthouse.com/products/thymes-lemon-leaf-deodorizing-linen-spray</v>
      </c>
      <c r="B712" s="3" t="str">
        <f>HYPERLINK("https://heavenlyouthouse.com/products/thymes-lemon-leaf-deodorizing-linen-spray", "https://heavenlyouthouse.com/products/thymes-lemon-leaf-deodorizing-linen-spray")</f>
        <v>https://heavenlyouthouse.com/products/thymes-lemon-leaf-deodorizing-linen-spray</v>
      </c>
      <c r="C712" t="s">
        <v>1807</v>
      </c>
      <c r="D712" t="s">
        <v>1808</v>
      </c>
      <c r="E712" s="3" t="str">
        <f>HYPERLINK("https://www.amazon.com/Thymes-Linen-Spray-Lemon-Leaf/dp/B0913J4SVY/ref=sr_1_1?keywords=Thymes+Lemon+Leaf+Deodorizing+Linen+Spray&amp;qid=1695258766&amp;sr=8-1", "https://www.amazon.com/Thymes-Linen-Spray-Lemon-Leaf/dp/B0913J4SVY/ref=sr_1_1?keywords=Thymes+Lemon+Leaf+Deodorizing+Linen+Spray&amp;qid=1695258766&amp;sr=8-1")</f>
        <v>https://www.amazon.com/Thymes-Linen-Spray-Lemon-Leaf/dp/B0913J4SVY/ref=sr_1_1?keywords=Thymes+Lemon+Leaf+Deodorizing+Linen+Spray&amp;qid=1695258766&amp;sr=8-1</v>
      </c>
      <c r="F712" t="s">
        <v>1809</v>
      </c>
      <c r="G712" t="e">
        <f ca="1">IMAGE("https://heavenlyouthouse.com/cdn/shop/products/ThymesLemonLeafDeodorizingLinenSpray.jpg?v=1614789285")</f>
        <v>#NAME?</v>
      </c>
      <c r="H712" t="e">
        <f ca="1">IMAGE("https://m.media-amazon.com/images/I/71Y-5+Cz8NL._AC_UL320_.jpg")</f>
        <v>#NAME?</v>
      </c>
      <c r="I712" t="s">
        <v>188</v>
      </c>
      <c r="J712">
        <v>16</v>
      </c>
      <c r="K712" s="2" t="s">
        <v>1769</v>
      </c>
      <c r="L712">
        <v>4.4000000000000004</v>
      </c>
      <c r="M712">
        <v>677</v>
      </c>
      <c r="O712" t="s">
        <v>39</v>
      </c>
      <c r="P712" t="s">
        <v>39</v>
      </c>
      <c r="Q712" t="s">
        <v>1810</v>
      </c>
    </row>
    <row r="713" spans="1:17" ht="15.75" x14ac:dyDescent="0.25">
      <c r="A713" s="3" t="str">
        <f>HYPERLINK("https://heavenlyouthouse.com/products/thymes-frasier-fir-gilded-gold-votive-candle", "https://heavenlyouthouse.com/products/thymes-frasier-fir-gilded-gold-votive-candle")</f>
        <v>https://heavenlyouthouse.com/products/thymes-frasier-fir-gilded-gold-votive-candle</v>
      </c>
      <c r="B713" s="3" t="str">
        <f>HYPERLINK("https://heavenlyouthouse.com/products/thymes-frasier-fir-gilded-gold-votive-candle", "https://heavenlyouthouse.com/products/thymes-frasier-fir-gilded-gold-votive-candle")</f>
        <v>https://heavenlyouthouse.com/products/thymes-frasier-fir-gilded-gold-votive-candle</v>
      </c>
      <c r="C713" t="s">
        <v>187</v>
      </c>
      <c r="D713" t="s">
        <v>1543</v>
      </c>
      <c r="E713" s="3" t="str">
        <f>HYPERLINK("https://www.amazon.com/Thymes-Frasier-Gilded-Votive-Candle/dp/B07RP34MZ3/ref=sr_1_2?keywords=Thymes+Frasier+Fir+Gilded+Gold+Votive+Candle&amp;qid=1695258726&amp;sr=8-2", "https://www.amazon.com/Thymes-Frasier-Gilded-Votive-Candle/dp/B07RP34MZ3/ref=sr_1_2?keywords=Thymes+Frasier+Fir+Gilded+Gold+Votive+Candle&amp;qid=1695258726&amp;sr=8-2")</f>
        <v>https://www.amazon.com/Thymes-Frasier-Gilded-Votive-Candle/dp/B07RP34MZ3/ref=sr_1_2?keywords=Thymes+Frasier+Fir+Gilded+Gold+Votive+Candle&amp;qid=1695258726&amp;sr=8-2</v>
      </c>
      <c r="F713" t="s">
        <v>1544</v>
      </c>
      <c r="G713" t="e">
        <f ca="1">IMAGE("https://heavenlyouthouse.com/cdn/shop/files/thymes-frasier-fir-gilded-gold-votive-candle_300x300.jpg?v=1692986058")</f>
        <v>#NAME?</v>
      </c>
      <c r="H713" t="e">
        <f ca="1">IMAGE("https://m.media-amazon.com/images/I/61wRsqjGlkL._AC_UL320_.jpg")</f>
        <v>#NAME?</v>
      </c>
      <c r="I713" t="s">
        <v>188</v>
      </c>
      <c r="J713">
        <v>16</v>
      </c>
      <c r="K713" s="2" t="s">
        <v>1769</v>
      </c>
      <c r="L713">
        <v>4.5</v>
      </c>
      <c r="M713">
        <v>70</v>
      </c>
      <c r="O713" t="s">
        <v>39</v>
      </c>
      <c r="P713" t="s">
        <v>190</v>
      </c>
      <c r="Q713" t="s">
        <v>191</v>
      </c>
    </row>
    <row r="714" spans="1:17" ht="15.75" x14ac:dyDescent="0.25">
      <c r="A714" s="3" t="str">
        <f>HYPERLINK("https://heavenlyouthouse.com/products/thymes-frasier-fir-hand-wash", "https://heavenlyouthouse.com/products/thymes-frasier-fir-hand-wash")</f>
        <v>https://heavenlyouthouse.com/products/thymes-frasier-fir-hand-wash</v>
      </c>
      <c r="B714" s="3" t="str">
        <f>HYPERLINK("https://heavenlyouthouse.com/products/thymes-frasier-fir-hand-wash", "https://heavenlyouthouse.com/products/thymes-frasier-fir-hand-wash")</f>
        <v>https://heavenlyouthouse.com/products/thymes-frasier-fir-hand-wash</v>
      </c>
      <c r="C714" t="s">
        <v>612</v>
      </c>
      <c r="D714" t="s">
        <v>1551</v>
      </c>
      <c r="E714" s="3" t="str">
        <f>HYPERLINK("https://www.amazon.com/Thymes-Frasier-Hydrating-Lotion-Bottle/dp/B0140PRCU6/ref=sr_1_8?keywords=Thymes+Frasier+Fir+Hand+Wash&amp;qid=1695258728&amp;sr=8-8", "https://www.amazon.com/Thymes-Frasier-Hydrating-Lotion-Bottle/dp/B0140PRCU6/ref=sr_1_8?keywords=Thymes+Frasier+Fir+Hand+Wash&amp;qid=1695258728&amp;sr=8-8")</f>
        <v>https://www.amazon.com/Thymes-Frasier-Hydrating-Lotion-Bottle/dp/B0140PRCU6/ref=sr_1_8?keywords=Thymes+Frasier+Fir+Hand+Wash&amp;qid=1695258728&amp;sr=8-8</v>
      </c>
      <c r="F714" t="s">
        <v>1552</v>
      </c>
      <c r="G714" t="e">
        <f ca="1">IMAGE("https://heavenlyouthouse.com/cdn/shop/products/thymes-frasier-fir-hand-wash.jpg?v=1629315405")</f>
        <v>#NAME?</v>
      </c>
      <c r="H714" t="e">
        <f ca="1">IMAGE("https://m.media-amazon.com/images/I/51RXXKxjNYL._AC_UL320_.jpg")</f>
        <v>#NAME?</v>
      </c>
      <c r="I714" t="s">
        <v>188</v>
      </c>
      <c r="J714">
        <v>16</v>
      </c>
      <c r="K714" s="2" t="s">
        <v>1769</v>
      </c>
      <c r="L714">
        <v>4.5</v>
      </c>
      <c r="M714">
        <v>333</v>
      </c>
      <c r="O714" t="s">
        <v>39</v>
      </c>
      <c r="P714" t="s">
        <v>39</v>
      </c>
      <c r="Q714" t="s">
        <v>615</v>
      </c>
    </row>
    <row r="715" spans="1:17" ht="15.75" x14ac:dyDescent="0.25">
      <c r="A715" s="3" t="str">
        <f>HYPERLINK("https://heavenlyouthouse.com/products/serenity-massage-oil", "https://heavenlyouthouse.com/products/serenity-massage-oil")</f>
        <v>https://heavenlyouthouse.com/products/serenity-massage-oil</v>
      </c>
      <c r="B715" s="3" t="str">
        <f>HYPERLINK("https://heavenlyouthouse.com/products/serenity-massage-oil", "https://heavenlyouthouse.com/products/serenity-massage-oil")</f>
        <v>https://heavenlyouthouse.com/products/serenity-massage-oil</v>
      </c>
      <c r="C715" t="s">
        <v>1811</v>
      </c>
      <c r="D715" t="s">
        <v>1812</v>
      </c>
      <c r="E715" s="3" t="str">
        <f>HYPERLINK("https://www.amazon.com/Serenity-Contains-essential-Lavender-Rosemary/dp/B009M91EO6/ref=sr_1_2?keywords=Serenity+Massage+Oil&amp;qid=1695258683&amp;sr=8-2", "https://www.amazon.com/Serenity-Contains-essential-Lavender-Rosemary/dp/B009M91EO6/ref=sr_1_2?keywords=Serenity+Massage+Oil&amp;qid=1695258683&amp;sr=8-2")</f>
        <v>https://www.amazon.com/Serenity-Contains-essential-Lavender-Rosemary/dp/B009M91EO6/ref=sr_1_2?keywords=Serenity+Massage+Oil&amp;qid=1695258683&amp;sr=8-2</v>
      </c>
      <c r="F715" t="s">
        <v>1813</v>
      </c>
      <c r="G715" t="e">
        <f ca="1">IMAGE("https://heavenlyouthouse.com/cdn/shop/products/Serenity_Massage-Oil_2048_2000x_8355222e-e6d1-44d8-b3ec-a65e37c14ec2.jpg?v=1591304434")</f>
        <v>#NAME?</v>
      </c>
      <c r="H715" t="e">
        <f ca="1">IMAGE("https://m.media-amazon.com/images/I/715pUtBjEyL._AC_UL320_.jpg")</f>
        <v>#NAME?</v>
      </c>
      <c r="I715" t="s">
        <v>1814</v>
      </c>
      <c r="J715">
        <v>16</v>
      </c>
      <c r="K715" s="2" t="s">
        <v>1769</v>
      </c>
      <c r="L715">
        <v>4.3</v>
      </c>
      <c r="M715">
        <v>27</v>
      </c>
      <c r="O715" t="s">
        <v>136</v>
      </c>
      <c r="P715" t="s">
        <v>39</v>
      </c>
      <c r="Q715" t="s">
        <v>1815</v>
      </c>
    </row>
    <row r="716" spans="1:17" ht="15.75" x14ac:dyDescent="0.25">
      <c r="A716" s="3" t="str">
        <f>HYPERLINK("https://heavenlyouthouse.com/products/serenity-massage-oil", "https://heavenlyouthouse.com/products/serenity-massage-oil")</f>
        <v>https://heavenlyouthouse.com/products/serenity-massage-oil</v>
      </c>
      <c r="B716" s="3" t="str">
        <f>HYPERLINK("https://heavenlyouthouse.com/products/serenity-massage-oil", "https://heavenlyouthouse.com/products/serenity-massage-oil")</f>
        <v>https://heavenlyouthouse.com/products/serenity-massage-oil</v>
      </c>
      <c r="C716" t="s">
        <v>1811</v>
      </c>
      <c r="D716" t="s">
        <v>1816</v>
      </c>
      <c r="E716" s="3" t="str">
        <f>HYPERLINK("https://www.amazon.com/Essential-Oils-Serenity-Diffuser-Humidifier-Aromatherapy/dp/B07TD6VKNC/ref=sr_1_4?keywords=Serenity+Massage+Oil&amp;qid=1695258683&amp;sr=8-4", "https://www.amazon.com/Essential-Oils-Serenity-Diffuser-Humidifier-Aromatherapy/dp/B07TD6VKNC/ref=sr_1_4?keywords=Serenity+Massage+Oil&amp;qid=1695258683&amp;sr=8-4")</f>
        <v>https://www.amazon.com/Essential-Oils-Serenity-Diffuser-Humidifier-Aromatherapy/dp/B07TD6VKNC/ref=sr_1_4?keywords=Serenity+Massage+Oil&amp;qid=1695258683&amp;sr=8-4</v>
      </c>
      <c r="F716" t="s">
        <v>1817</v>
      </c>
      <c r="G716" t="e">
        <f ca="1">IMAGE("https://heavenlyouthouse.com/cdn/shop/products/Serenity_Massage-Oil_2048_2000x_8355222e-e6d1-44d8-b3ec-a65e37c14ec2.jpg?v=1591304434")</f>
        <v>#NAME?</v>
      </c>
      <c r="H716" t="e">
        <f ca="1">IMAGE("https://m.media-amazon.com/images/I/714OhTF4xnL._AC_UL320_.jpg")</f>
        <v>#NAME?</v>
      </c>
      <c r="I716" t="s">
        <v>1814</v>
      </c>
      <c r="J716">
        <v>15.99</v>
      </c>
      <c r="K716" s="2" t="s">
        <v>1769</v>
      </c>
      <c r="L716">
        <v>4.4000000000000004</v>
      </c>
      <c r="M716">
        <v>8</v>
      </c>
      <c r="O716" t="s">
        <v>136</v>
      </c>
      <c r="P716" t="s">
        <v>39</v>
      </c>
      <c r="Q716" t="s">
        <v>1815</v>
      </c>
    </row>
    <row r="717" spans="1:17" ht="15.75" x14ac:dyDescent="0.25">
      <c r="A717" s="3" t="str">
        <f>HYPERLINK("https://heavenlyouthouse.com/products/rainbow-anniversary-card", "https://heavenlyouthouse.com/products/rainbow-anniversary-card")</f>
        <v>https://heavenlyouthouse.com/products/rainbow-anniversary-card</v>
      </c>
      <c r="B717" s="3" t="str">
        <f>HYPERLINK("https://heavenlyouthouse.com/products/rainbow-anniversary-card", "https://heavenlyouthouse.com/products/rainbow-anniversary-card")</f>
        <v>https://heavenlyouthouse.com/products/rainbow-anniversary-card</v>
      </c>
      <c r="C717" t="s">
        <v>411</v>
      </c>
      <c r="D717" t="s">
        <v>1818</v>
      </c>
      <c r="E717" s="3" t="str">
        <f>HYPERLINK("https://www.amazon.com/Hallmark-Signature-Anniversary-Rainbow-Heart/dp/B07HSXBRX9/ref=sr_1_7?keywords=Rainbow+Anniversary+Card&amp;qid=1695258657&amp;sr=8-7", "https://www.amazon.com/Hallmark-Signature-Anniversary-Rainbow-Heart/dp/B07HSXBRX9/ref=sr_1_7?keywords=Rainbow+Anniversary+Card&amp;qid=1695258657&amp;sr=8-7")</f>
        <v>https://www.amazon.com/Hallmark-Signature-Anniversary-Rainbow-Heart/dp/B07HSXBRX9/ref=sr_1_7?keywords=Rainbow+Anniversary+Card&amp;qid=1695258657&amp;sr=8-7</v>
      </c>
      <c r="F717" t="s">
        <v>1819</v>
      </c>
      <c r="G717" t="e">
        <f ca="1">IMAGE("https://heavenlyouthouse.com/cdn/shop/files/rainbow-anniversary-card3_300x300.jpg?v=1692036950")</f>
        <v>#NAME?</v>
      </c>
      <c r="H717" t="e">
        <f ca="1">IMAGE("https://m.media-amazon.com/images/I/81q9XJYcRiL._AC_UL320_.jpg")</f>
        <v>#NAME?</v>
      </c>
      <c r="I717" t="s">
        <v>414</v>
      </c>
      <c r="J717">
        <v>5.05</v>
      </c>
      <c r="K717" s="2" t="s">
        <v>1769</v>
      </c>
      <c r="L717">
        <v>4.5999999999999996</v>
      </c>
      <c r="M717">
        <v>84</v>
      </c>
      <c r="O717" t="s">
        <v>39</v>
      </c>
      <c r="P717" t="s">
        <v>416</v>
      </c>
      <c r="Q717" t="s">
        <v>417</v>
      </c>
    </row>
    <row r="718" spans="1:17" ht="15.75" x14ac:dyDescent="0.25">
      <c r="A718" s="3" t="str">
        <f>HYPERLINK("https://heavenlyouthouse.com/products/thymes-kimono-rose-reed-diffuser-refill", "https://heavenlyouthouse.com/products/thymes-kimono-rose-reed-diffuser-refill")</f>
        <v>https://heavenlyouthouse.com/products/thymes-kimono-rose-reed-diffuser-refill</v>
      </c>
      <c r="B718" s="3" t="str">
        <f>HYPERLINK("https://heavenlyouthouse.com/products/thymes-kimono-rose-reed-diffuser-refill", "https://heavenlyouthouse.com/products/thymes-kimono-rose-reed-diffuser-refill")</f>
        <v>https://heavenlyouthouse.com/products/thymes-kimono-rose-reed-diffuser-refill</v>
      </c>
      <c r="C718" t="s">
        <v>1820</v>
      </c>
      <c r="D718" t="s">
        <v>1821</v>
      </c>
      <c r="E718" s="3" t="str">
        <f>HYPERLINK("https://www.amazon.com/Thymes-Reed-Diffuser-Oil-Kimono/dp/B0B4T7B6NT/ref=sr_1_1?keywords=Thymes+Kimono+Rose+Reed+Diffuser+Refill&amp;qid=1695258758&amp;sr=8-1", "https://www.amazon.com/Thymes-Reed-Diffuser-Oil-Kimono/dp/B0B4T7B6NT/ref=sr_1_1?keywords=Thymes+Kimono+Rose+Reed+Diffuser+Refill&amp;qid=1695258758&amp;sr=8-1")</f>
        <v>https://www.amazon.com/Thymes-Reed-Diffuser-Oil-Kimono/dp/B0B4T7B6NT/ref=sr_1_1?keywords=Thymes+Kimono+Rose+Reed+Diffuser+Refill&amp;qid=1695258758&amp;sr=8-1</v>
      </c>
      <c r="F718" t="s">
        <v>1822</v>
      </c>
      <c r="G718" t="e">
        <f ca="1">IMAGE("https://heavenlyouthouse.com/cdn/shop/products/thymes-kimono-rose-reed-diffuser-refill.jpg?v=1649699885")</f>
        <v>#NAME?</v>
      </c>
      <c r="H718" t="e">
        <f ca="1">IMAGE("https://m.media-amazon.com/images/I/51q+miGjejL._AC_UL320_.jpg")</f>
        <v>#NAME?</v>
      </c>
      <c r="I718" t="s">
        <v>829</v>
      </c>
      <c r="J718">
        <v>34</v>
      </c>
      <c r="K718" s="2" t="s">
        <v>1823</v>
      </c>
      <c r="L718">
        <v>3.8</v>
      </c>
      <c r="M718">
        <v>4</v>
      </c>
      <c r="O718" t="s">
        <v>39</v>
      </c>
      <c r="P718" t="s">
        <v>39</v>
      </c>
      <c r="Q718" t="s">
        <v>1824</v>
      </c>
    </row>
    <row r="719" spans="1:17" ht="15.75" x14ac:dyDescent="0.25">
      <c r="A719" s="3" t="str">
        <f>HYPERLINK("https://heavenlyouthouse.com/products/eucalyptus-body-lotion", "https://heavenlyouthouse.com/products/eucalyptus-body-lotion")</f>
        <v>https://heavenlyouthouse.com/products/eucalyptus-body-lotion</v>
      </c>
      <c r="B719" s="3" t="str">
        <f>HYPERLINK("https://heavenlyouthouse.com/products/eucalyptus-body-lotion", "https://heavenlyouthouse.com/products/eucalyptus-body-lotion")</f>
        <v>https://heavenlyouthouse.com/products/eucalyptus-body-lotion</v>
      </c>
      <c r="C719" t="s">
        <v>1260</v>
      </c>
      <c r="D719" t="s">
        <v>1388</v>
      </c>
      <c r="E719" s="3" t="str">
        <f>HYPERLINK("https://www.amazon.com/Thymes-Body-Serum-6-0-Eucalyptus/dp/B0B1FZC7X7/ref=sr_1_9?keywords=Thymes+Eucalyptus+Body+Lotion&amp;qid=1695258717&amp;sr=8-9", "https://www.amazon.com/Thymes-Body-Serum-6-0-Eucalyptus/dp/B0B1FZC7X7/ref=sr_1_9?keywords=Thymes+Eucalyptus+Body+Lotion&amp;qid=1695258717&amp;sr=8-9")</f>
        <v>https://www.amazon.com/Thymes-Body-Serum-6-0-Eucalyptus/dp/B0B1FZC7X7/ref=sr_1_9?keywords=Thymes+Eucalyptus+Body+Lotion&amp;qid=1695258717&amp;sr=8-9</v>
      </c>
      <c r="F719" t="s">
        <v>1389</v>
      </c>
      <c r="G719" t="e">
        <f ca="1">IMAGE("https://heavenlyouthouse.com/cdn/shop/products/thymes-eucalyptus-body-lotion1.jpg?v=1650914945")</f>
        <v>#NAME?</v>
      </c>
      <c r="H719" t="e">
        <f ca="1">IMAGE("https://m.media-amazon.com/images/I/51OALyYm3eL._AC_UL320_.jpg")</f>
        <v>#NAME?</v>
      </c>
      <c r="I719" t="s">
        <v>1179</v>
      </c>
      <c r="J719">
        <v>26</v>
      </c>
      <c r="K719" s="2" t="s">
        <v>1823</v>
      </c>
      <c r="L719">
        <v>4.4000000000000004</v>
      </c>
      <c r="M719">
        <v>36</v>
      </c>
      <c r="O719" t="s">
        <v>39</v>
      </c>
      <c r="P719" t="s">
        <v>39</v>
      </c>
      <c r="Q719" t="s">
        <v>1261</v>
      </c>
    </row>
    <row r="720" spans="1:17" ht="15.75" x14ac:dyDescent="0.25">
      <c r="A720" s="3" t="str">
        <f>HYPERLINK("https://heavenlyouthouse.com/products/thymes-eucalyptus-body-scrub", "https://heavenlyouthouse.com/products/thymes-eucalyptus-body-scrub")</f>
        <v>https://heavenlyouthouse.com/products/thymes-eucalyptus-body-scrub</v>
      </c>
      <c r="B720" s="3" t="str">
        <f>HYPERLINK("https://heavenlyouthouse.com/products/thymes-eucalyptus-body-scrub", "https://heavenlyouthouse.com/products/thymes-eucalyptus-body-scrub")</f>
        <v>https://heavenlyouthouse.com/products/thymes-eucalyptus-body-scrub</v>
      </c>
      <c r="C720" t="s">
        <v>1176</v>
      </c>
      <c r="D720" t="s">
        <v>1388</v>
      </c>
      <c r="E720" s="3" t="str">
        <f>HYPERLINK("https://www.amazon.com/Thymes-Body-Serum-6-0-Eucalyptus/dp/B0B1FZC7X7/ref=sr_1_2?keywords=Thymes+Eucalyptus+Body+Scrub&amp;qid=1695258727&amp;sr=8-2", "https://www.amazon.com/Thymes-Body-Serum-6-0-Eucalyptus/dp/B0B1FZC7X7/ref=sr_1_2?keywords=Thymes+Eucalyptus+Body+Scrub&amp;qid=1695258727&amp;sr=8-2")</f>
        <v>https://www.amazon.com/Thymes-Body-Serum-6-0-Eucalyptus/dp/B0B1FZC7X7/ref=sr_1_2?keywords=Thymes+Eucalyptus+Body+Scrub&amp;qid=1695258727&amp;sr=8-2</v>
      </c>
      <c r="F720" t="s">
        <v>1389</v>
      </c>
      <c r="G720" t="e">
        <f ca="1">IMAGE("https://heavenlyouthouse.com/cdn/shop/products/thymes-eucalyptus-body-scrub.jpg?v=1630620279")</f>
        <v>#NAME?</v>
      </c>
      <c r="H720" t="e">
        <f ca="1">IMAGE("https://m.media-amazon.com/images/I/51OALyYm3eL._AC_UL320_.jpg")</f>
        <v>#NAME?</v>
      </c>
      <c r="I720" t="s">
        <v>1179</v>
      </c>
      <c r="J720">
        <v>26</v>
      </c>
      <c r="K720" s="2" t="s">
        <v>1823</v>
      </c>
      <c r="L720">
        <v>4.4000000000000004</v>
      </c>
      <c r="M720">
        <v>36</v>
      </c>
      <c r="O720" t="s">
        <v>39</v>
      </c>
      <c r="P720" t="s">
        <v>39</v>
      </c>
      <c r="Q720" t="s">
        <v>1180</v>
      </c>
    </row>
    <row r="721" spans="1:17" ht="15.75" x14ac:dyDescent="0.25">
      <c r="A721" s="3" t="str">
        <f>HYPERLINK("https://heavenlyouthouse.com/products/sport-massage-body-butter", "https://heavenlyouthouse.com/products/sport-massage-body-butter")</f>
        <v>https://heavenlyouthouse.com/products/sport-massage-body-butter</v>
      </c>
      <c r="B721" s="3" t="str">
        <f>HYPERLINK("https://heavenlyouthouse.com/products/sport-massage-body-butter", "https://heavenlyouthouse.com/products/sport-massage-body-butter")</f>
        <v>https://heavenlyouthouse.com/products/sport-massage-body-butter</v>
      </c>
      <c r="C721" t="s">
        <v>1825</v>
      </c>
      <c r="D721" t="s">
        <v>1826</v>
      </c>
      <c r="E721" s="3" t="str">
        <f>HYPERLINK("https://www.amazon.com/iON-Performance-Creatine-Essential-pre-game/dp/B08N9H3QFC/ref=sr_1_1?keywords=Sport+Massage+Body+Butter&amp;qid=1695258702&amp;sr=8-1", "https://www.amazon.com/iON-Performance-Creatine-Essential-pre-game/dp/B08N9H3QFC/ref=sr_1_1?keywords=Sport+Massage+Body+Butter&amp;qid=1695258702&amp;sr=8-1")</f>
        <v>https://www.amazon.com/iON-Performance-Creatine-Essential-pre-game/dp/B08N9H3QFC/ref=sr_1_1?keywords=Sport+Massage+Body+Butter&amp;qid=1695258702&amp;sr=8-1</v>
      </c>
      <c r="F721" t="s">
        <v>1827</v>
      </c>
      <c r="G721" t="e">
        <f ca="1">IMAGE("https://heavenlyouthouse.com/cdn/shop/products/Sport-Massage_Body-Butter_2048_2000x_1620d686-330e-4c6e-8105-36c97a18148a.jpg?v=1588275524")</f>
        <v>#NAME?</v>
      </c>
      <c r="H721" t="e">
        <f ca="1">IMAGE("https://m.media-amazon.com/images/I/81CukVQkHrL._AC_UL320_.jpg")</f>
        <v>#NAME?</v>
      </c>
      <c r="I721" t="s">
        <v>1828</v>
      </c>
      <c r="J721">
        <v>12.99</v>
      </c>
      <c r="K721" s="2" t="s">
        <v>1823</v>
      </c>
      <c r="L721">
        <v>4.2</v>
      </c>
      <c r="M721">
        <v>36</v>
      </c>
      <c r="O721" t="s">
        <v>39</v>
      </c>
      <c r="P721" t="s">
        <v>39</v>
      </c>
      <c r="Q721" t="s">
        <v>1829</v>
      </c>
    </row>
    <row r="722" spans="1:17" ht="15.75" x14ac:dyDescent="0.25">
      <c r="A722" s="3" t="str">
        <f>HYPERLINK("https://heavenlyouthouse.com/products/kimono-rose-bubble-bath", "https://heavenlyouthouse.com/products/kimono-rose-bubble-bath")</f>
        <v>https://heavenlyouthouse.com/products/kimono-rose-bubble-bath</v>
      </c>
      <c r="B722" s="3" t="str">
        <f>HYPERLINK("https://heavenlyouthouse.com/products/kimono-rose-bubble-bath", "https://heavenlyouthouse.com/products/kimono-rose-bubble-bath")</f>
        <v>https://heavenlyouthouse.com/products/kimono-rose-bubble-bath</v>
      </c>
      <c r="C722" t="s">
        <v>1830</v>
      </c>
      <c r="D722" t="s">
        <v>1831</v>
      </c>
      <c r="E722" s="3" t="str">
        <f>HYPERLINK("https://www.amazon.com/Thymes-Kimono-Bubble-Foaming-Vanilla/dp/B0776FCD9J/ref=sr_1_1?keywords=Thymes+Kimono+Rose+Bubble+Bath&amp;qid=1695258760&amp;sr=8-1", "https://www.amazon.com/Thymes-Kimono-Bubble-Foaming-Vanilla/dp/B0776FCD9J/ref=sr_1_1?keywords=Thymes+Kimono+Rose+Bubble+Bath&amp;qid=1695258760&amp;sr=8-1")</f>
        <v>https://www.amazon.com/Thymes-Kimono-Bubble-Foaming-Vanilla/dp/B0776FCD9J/ref=sr_1_1?keywords=Thymes+Kimono+Rose+Bubble+Bath&amp;qid=1695258760&amp;sr=8-1</v>
      </c>
      <c r="F722" t="s">
        <v>1832</v>
      </c>
      <c r="G722" t="e">
        <f ca="1">IMAGE("https://heavenlyouthouse.com/cdn/shop/products/bubblebath_ad78b1e3-afd4-4740-b6e9-5d42bc6eef45.jpg?v=1588106432")</f>
        <v>#NAME?</v>
      </c>
      <c r="H722" t="e">
        <f ca="1">IMAGE("https://m.media-amazon.com/images/I/61bbBFgnPPL._AC_UL320_.jpg")</f>
        <v>#NAME?</v>
      </c>
      <c r="I722" t="s">
        <v>1211</v>
      </c>
      <c r="J722">
        <v>28</v>
      </c>
      <c r="K722" s="2" t="s">
        <v>1823</v>
      </c>
      <c r="L722">
        <v>4.7</v>
      </c>
      <c r="M722">
        <v>450</v>
      </c>
      <c r="O722" t="s">
        <v>39</v>
      </c>
      <c r="P722" t="s">
        <v>39</v>
      </c>
      <c r="Q722" t="s">
        <v>1833</v>
      </c>
    </row>
    <row r="723" spans="1:17" ht="15.75" x14ac:dyDescent="0.25">
      <c r="A723" s="3" t="str">
        <f>HYPERLINK("https://heavenlyouthouse.com/products/thymes-lemon-leaf-concentrated-laundry-detergent", "https://heavenlyouthouse.com/products/thymes-lemon-leaf-concentrated-laundry-detergent")</f>
        <v>https://heavenlyouthouse.com/products/thymes-lemon-leaf-concentrated-laundry-detergent</v>
      </c>
      <c r="B723" s="3" t="str">
        <f>HYPERLINK("https://heavenlyouthouse.com/products/thymes-lemon-leaf-concentrated-laundry-detergent", "https://heavenlyouthouse.com/products/thymes-lemon-leaf-concentrated-laundry-detergent")</f>
        <v>https://heavenlyouthouse.com/products/thymes-lemon-leaf-concentrated-laundry-detergent</v>
      </c>
      <c r="C723" t="s">
        <v>1834</v>
      </c>
      <c r="D723" t="s">
        <v>1835</v>
      </c>
      <c r="E723" s="3" t="str">
        <f>HYPERLINK("https://www.amazon.com/Thymes-Laundry-Detergent-Lemon-Leaf/dp/B0913GCWJT/ref=sr_1_1?keywords=Thymes+Lemon+Leaf+Concentrated+Laundry+Detergent&amp;qid=1695258774&amp;sr=8-1", "https://www.amazon.com/Thymes-Laundry-Detergent-Lemon-Leaf/dp/B0913GCWJT/ref=sr_1_1?keywords=Thymes+Lemon+Leaf+Concentrated+Laundry+Detergent&amp;qid=1695258774&amp;sr=8-1")</f>
        <v>https://www.amazon.com/Thymes-Laundry-Detergent-Lemon-Leaf/dp/B0913GCWJT/ref=sr_1_1?keywords=Thymes+Lemon+Leaf+Concentrated+Laundry+Detergent&amp;qid=1695258774&amp;sr=8-1</v>
      </c>
      <c r="F723" t="s">
        <v>1836</v>
      </c>
      <c r="G723" t="e">
        <f ca="1">IMAGE("https://heavenlyouthouse.com/cdn/shop/products/ThymesLemonLeafLaundryDetergent.jpg?v=1618269786")</f>
        <v>#NAME?</v>
      </c>
      <c r="H723" t="e">
        <f ca="1">IMAGE("https://m.media-amazon.com/images/I/71U9Fj3ex4L._AC_UL320_.jpg")</f>
        <v>#NAME?</v>
      </c>
      <c r="I723" t="s">
        <v>1211</v>
      </c>
      <c r="J723">
        <v>28</v>
      </c>
      <c r="K723" s="2" t="s">
        <v>1823</v>
      </c>
      <c r="L723">
        <v>4.0999999999999996</v>
      </c>
      <c r="M723">
        <v>249</v>
      </c>
      <c r="O723" t="s">
        <v>39</v>
      </c>
      <c r="P723" t="s">
        <v>39</v>
      </c>
      <c r="Q723" t="s">
        <v>1837</v>
      </c>
    </row>
    <row r="724" spans="1:17" ht="15.75" x14ac:dyDescent="0.25">
      <c r="A724" s="3" t="str">
        <f>HYPERLINK("https://heavenlyouthouse.com/products/goldleaf-gardenia-bubble-bath", "https://heavenlyouthouse.com/products/goldleaf-gardenia-bubble-bath")</f>
        <v>https://heavenlyouthouse.com/products/goldleaf-gardenia-bubble-bath</v>
      </c>
      <c r="B724" s="3" t="str">
        <f>HYPERLINK("https://heavenlyouthouse.com/products/goldleaf-gardenia-bubble-bath", "https://heavenlyouthouse.com/products/goldleaf-gardenia-bubble-bath")</f>
        <v>https://heavenlyouthouse.com/products/goldleaf-gardenia-bubble-bath</v>
      </c>
      <c r="C724" t="s">
        <v>1838</v>
      </c>
      <c r="D724" t="s">
        <v>1839</v>
      </c>
      <c r="E724" s="3" t="str">
        <f>HYPERLINK("https://www.amazon.com/Thymes-Goldleaf-Gardenia-Youthful-Fragrance/dp/B07769SLYG/ref=sr_1_1?keywords=Thymes+Goldleaf+Gardenia+Bubble+Bath&amp;qid=1695258753&amp;sr=8-1", "https://www.amazon.com/Thymes-Goldleaf-Gardenia-Youthful-Fragrance/dp/B07769SLYG/ref=sr_1_1?keywords=Thymes+Goldleaf+Gardenia+Bubble+Bath&amp;qid=1695258753&amp;sr=8-1")</f>
        <v>https://www.amazon.com/Thymes-Goldleaf-Gardenia-Youthful-Fragrance/dp/B07769SLYG/ref=sr_1_1?keywords=Thymes+Goldleaf+Gardenia+Bubble+Bath&amp;qid=1695258753&amp;sr=8-1</v>
      </c>
      <c r="F724" t="s">
        <v>1840</v>
      </c>
      <c r="G724" t="e">
        <f ca="1">IMAGE("https://heavenlyouthouse.com/cdn/shop/products/thymesgoldleafgardeniabubblebath.jpg?v=1606408934")</f>
        <v>#NAME?</v>
      </c>
      <c r="H724" t="e">
        <f ca="1">IMAGE("https://m.media-amazon.com/images/I/619lAYyxYjL._AC_UL320_.jpg")</f>
        <v>#NAME?</v>
      </c>
      <c r="I724" t="s">
        <v>1211</v>
      </c>
      <c r="J724">
        <v>28</v>
      </c>
      <c r="K724" s="2" t="s">
        <v>1823</v>
      </c>
      <c r="L724">
        <v>4.7</v>
      </c>
      <c r="M724">
        <v>450</v>
      </c>
      <c r="O724" t="s">
        <v>39</v>
      </c>
      <c r="P724" t="s">
        <v>39</v>
      </c>
      <c r="Q724" t="s">
        <v>1841</v>
      </c>
    </row>
    <row r="725" spans="1:17" ht="15.75" x14ac:dyDescent="0.25">
      <c r="A725" s="3" t="str">
        <f>HYPERLINK("https://heavenlyouthouse.com/products/goldleaf-bubble-bath", "https://heavenlyouthouse.com/products/goldleaf-bubble-bath")</f>
        <v>https://heavenlyouthouse.com/products/goldleaf-bubble-bath</v>
      </c>
      <c r="B725" s="3" t="str">
        <f>HYPERLINK("https://heavenlyouthouse.com/products/goldleaf-bubble-bath", "https://heavenlyouthouse.com/products/goldleaf-bubble-bath")</f>
        <v>https://heavenlyouthouse.com/products/goldleaf-bubble-bath</v>
      </c>
      <c r="C725" t="s">
        <v>1842</v>
      </c>
      <c r="D725" t="s">
        <v>1843</v>
      </c>
      <c r="E725" s="3" t="str">
        <f>HYPERLINK("https://www.amazon.com/Thymes-Goldleaf-Foaming-Elegant-Fragrance/dp/B0776F82S5/ref=sr_1_1?keywords=Thymes+Goldleaf+Bubble+Bath&amp;qid=1695258777&amp;sr=8-1", "https://www.amazon.com/Thymes-Goldleaf-Foaming-Elegant-Fragrance/dp/B0776F82S5/ref=sr_1_1?keywords=Thymes+Goldleaf+Bubble+Bath&amp;qid=1695258777&amp;sr=8-1")</f>
        <v>https://www.amazon.com/Thymes-Goldleaf-Foaming-Elegant-Fragrance/dp/B0776F82S5/ref=sr_1_1?keywords=Thymes+Goldleaf+Bubble+Bath&amp;qid=1695258777&amp;sr=8-1</v>
      </c>
      <c r="F725" t="s">
        <v>1844</v>
      </c>
      <c r="G725" t="e">
        <f ca="1">IMAGE("https://heavenlyouthouse.com/cdn/shop/products/bubblebath340ml.jpg?v=1587762474")</f>
        <v>#NAME?</v>
      </c>
      <c r="H725" t="e">
        <f ca="1">IMAGE("https://m.media-amazon.com/images/I/61NAX8Of4WL._AC_UL320_.jpg")</f>
        <v>#NAME?</v>
      </c>
      <c r="I725" t="s">
        <v>1211</v>
      </c>
      <c r="J725">
        <v>28</v>
      </c>
      <c r="K725" s="2" t="s">
        <v>1823</v>
      </c>
      <c r="L725">
        <v>4.7</v>
      </c>
      <c r="M725">
        <v>450</v>
      </c>
      <c r="O725" t="s">
        <v>39</v>
      </c>
      <c r="P725" t="s">
        <v>39</v>
      </c>
      <c r="Q725" t="s">
        <v>1845</v>
      </c>
    </row>
    <row r="726" spans="1:17" ht="15.75" x14ac:dyDescent="0.25">
      <c r="A726" s="3" t="str">
        <f>HYPERLINK("https://heavenlyouthouse.com/products/thymes-mandarin-coriander-concentrated-laundry-detergent", "https://heavenlyouthouse.com/products/thymes-mandarin-coriander-concentrated-laundry-detergent")</f>
        <v>https://heavenlyouthouse.com/products/thymes-mandarin-coriander-concentrated-laundry-detergent</v>
      </c>
      <c r="B726" s="3" t="str">
        <f>HYPERLINK("https://heavenlyouthouse.com/products/thymes-mandarin-coriander-concentrated-laundry-detergent", "https://heavenlyouthouse.com/products/thymes-mandarin-coriander-concentrated-laundry-detergent")</f>
        <v>https://heavenlyouthouse.com/products/thymes-mandarin-coriander-concentrated-laundry-detergent</v>
      </c>
      <c r="C726" t="s">
        <v>1846</v>
      </c>
      <c r="D726" t="s">
        <v>1847</v>
      </c>
      <c r="E726" s="3" t="str">
        <f>HYPERLINK("https://www.amazon.com/Thymes-Laundry-Detergent-Mandarin-Coriander/dp/B084BVTS9N/ref=sr_1_1?keywords=Thymes+Mandarin+Coriander+Concentrated+Laundry+Detergent&amp;qid=1695258784&amp;sr=8-1", "https://www.amazon.com/Thymes-Laundry-Detergent-Mandarin-Coriander/dp/B084BVTS9N/ref=sr_1_1?keywords=Thymes+Mandarin+Coriander+Concentrated+Laundry+Detergent&amp;qid=1695258784&amp;sr=8-1")</f>
        <v>https://www.amazon.com/Thymes-Laundry-Detergent-Mandarin-Coriander/dp/B084BVTS9N/ref=sr_1_1?keywords=Thymes+Mandarin+Coriander+Concentrated+Laundry+Detergent&amp;qid=1695258784&amp;sr=8-1</v>
      </c>
      <c r="F726" t="s">
        <v>1848</v>
      </c>
      <c r="G726" t="e">
        <f ca="1">IMAGE("https://heavenlyouthouse.com/cdn/shop/products/ThymesMandarinCorianderlaundrydetergent.jpg?v=1613149278")</f>
        <v>#NAME?</v>
      </c>
      <c r="H726" t="e">
        <f ca="1">IMAGE("https://m.media-amazon.com/images/I/619YpMBOHeL._AC_UL320_.jpg")</f>
        <v>#NAME?</v>
      </c>
      <c r="I726" t="s">
        <v>1211</v>
      </c>
      <c r="J726">
        <v>28</v>
      </c>
      <c r="K726" s="2" t="s">
        <v>1823</v>
      </c>
      <c r="L726">
        <v>4.0999999999999996</v>
      </c>
      <c r="M726">
        <v>249</v>
      </c>
      <c r="O726" t="s">
        <v>39</v>
      </c>
      <c r="P726" t="s">
        <v>1849</v>
      </c>
      <c r="Q726" t="s">
        <v>1850</v>
      </c>
    </row>
    <row r="727" spans="1:17" ht="15.75" x14ac:dyDescent="0.25">
      <c r="A727" s="3" t="str">
        <f>HYPERLINK("https://heavenlyouthouse.com/products/thymes-washed-linen-concentrated-laundry-detergent", "https://heavenlyouthouse.com/products/thymes-washed-linen-concentrated-laundry-detergent")</f>
        <v>https://heavenlyouthouse.com/products/thymes-washed-linen-concentrated-laundry-detergent</v>
      </c>
      <c r="B727" s="3" t="str">
        <f>HYPERLINK("https://heavenlyouthouse.com/products/thymes-washed-linen-concentrated-laundry-detergent", "https://heavenlyouthouse.com/products/thymes-washed-linen-concentrated-laundry-detergent")</f>
        <v>https://heavenlyouthouse.com/products/thymes-washed-linen-concentrated-laundry-detergent</v>
      </c>
      <c r="C727" t="s">
        <v>1851</v>
      </c>
      <c r="D727" t="s">
        <v>1852</v>
      </c>
      <c r="E727" s="3" t="str">
        <f>HYPERLINK("https://www.amazon.com/Thymes-Laundry-Detergent-Washed-Linen/dp/B084C2DY3B/ref=sr_1_1?keywords=Thymes+Washed+Linen+Concentrated+Laundry+Detergent&amp;qid=1695258783&amp;sr=8-1", "https://www.amazon.com/Thymes-Laundry-Detergent-Washed-Linen/dp/B084C2DY3B/ref=sr_1_1?keywords=Thymes+Washed+Linen+Concentrated+Laundry+Detergent&amp;qid=1695258783&amp;sr=8-1")</f>
        <v>https://www.amazon.com/Thymes-Laundry-Detergent-Washed-Linen/dp/B084C2DY3B/ref=sr_1_1?keywords=Thymes+Washed+Linen+Concentrated+Laundry+Detergent&amp;qid=1695258783&amp;sr=8-1</v>
      </c>
      <c r="F727" t="s">
        <v>1853</v>
      </c>
      <c r="G727" t="e">
        <f ca="1">IMAGE("https://heavenlyouthouse.com/cdn/shop/products/ThymesWashedLinenlaundrydetergent.jpg?v=1613175071")</f>
        <v>#NAME?</v>
      </c>
      <c r="H727" t="e">
        <f ca="1">IMAGE("https://m.media-amazon.com/images/I/61LCeybYz1L._AC_UL320_.jpg")</f>
        <v>#NAME?</v>
      </c>
      <c r="I727" t="s">
        <v>1211</v>
      </c>
      <c r="J727">
        <v>28</v>
      </c>
      <c r="K727" s="2" t="s">
        <v>1823</v>
      </c>
      <c r="L727">
        <v>4.0999999999999996</v>
      </c>
      <c r="M727">
        <v>249</v>
      </c>
      <c r="O727" t="s">
        <v>39</v>
      </c>
      <c r="P727" t="s">
        <v>1849</v>
      </c>
      <c r="Q727" t="s">
        <v>1854</v>
      </c>
    </row>
    <row r="728" spans="1:17" ht="15.75" x14ac:dyDescent="0.25">
      <c r="A728" s="3" t="str">
        <f>HYPERLINK("https://heavenlyouthouse.com/products/lavender-bubble-bath", "https://heavenlyouthouse.com/products/lavender-bubble-bath")</f>
        <v>https://heavenlyouthouse.com/products/lavender-bubble-bath</v>
      </c>
      <c r="B728" s="3" t="str">
        <f>HYPERLINK("https://heavenlyouthouse.com/products/lavender-bubble-bath", "https://heavenlyouthouse.com/products/lavender-bubble-bath")</f>
        <v>https://heavenlyouthouse.com/products/lavender-bubble-bath</v>
      </c>
      <c r="C728" t="s">
        <v>1208</v>
      </c>
      <c r="D728" t="s">
        <v>1855</v>
      </c>
      <c r="E728" s="3" t="str">
        <f>HYPERLINK("https://www.amazon.com/Thymes-Lavender-Bubble-Foaming-Relaxation/dp/B0776FB7T6/ref=sr_1_1?keywords=Thymes+Lavender+Bubble+Bath&amp;qid=1695258760&amp;sr=8-1", "https://www.amazon.com/Thymes-Lavender-Bubble-Foaming-Relaxation/dp/B0776FB7T6/ref=sr_1_1?keywords=Thymes+Lavender+Bubble+Bath&amp;qid=1695258760&amp;sr=8-1")</f>
        <v>https://www.amazon.com/Thymes-Lavender-Bubble-Foaming-Relaxation/dp/B0776FB7T6/ref=sr_1_1?keywords=Thymes+Lavender+Bubble+Bath&amp;qid=1695258760&amp;sr=8-1</v>
      </c>
      <c r="F728" t="s">
        <v>1856</v>
      </c>
      <c r="G728" t="e">
        <f ca="1">IMAGE("https://heavenlyouthouse.com/cdn/shop/products/thymeslavenderbubblebath.jpg?v=1608572028")</f>
        <v>#NAME?</v>
      </c>
      <c r="H728" t="e">
        <f ca="1">IMAGE("https://m.media-amazon.com/images/I/71oFMktI6PL._AC_UL320_.jpg")</f>
        <v>#NAME?</v>
      </c>
      <c r="I728" t="s">
        <v>1211</v>
      </c>
      <c r="J728">
        <v>28</v>
      </c>
      <c r="K728" s="2" t="s">
        <v>1823</v>
      </c>
      <c r="L728">
        <v>4.7</v>
      </c>
      <c r="M728">
        <v>450</v>
      </c>
      <c r="O728" t="s">
        <v>39</v>
      </c>
      <c r="P728" t="s">
        <v>39</v>
      </c>
      <c r="Q728" t="s">
        <v>1212</v>
      </c>
    </row>
    <row r="729" spans="1:17" ht="15.75" x14ac:dyDescent="0.25">
      <c r="A729" s="3" t="str">
        <f>HYPERLINK("https://heavenlyouthouse.com/products/frasier-fir-laundry-detergent", "https://heavenlyouthouse.com/products/frasier-fir-laundry-detergent")</f>
        <v>https://heavenlyouthouse.com/products/frasier-fir-laundry-detergent</v>
      </c>
      <c r="B729" s="3" t="str">
        <f>HYPERLINK("https://heavenlyouthouse.com/products/frasier-fir-laundry-detergent", "https://heavenlyouthouse.com/products/frasier-fir-laundry-detergent")</f>
        <v>https://heavenlyouthouse.com/products/frasier-fir-laundry-detergent</v>
      </c>
      <c r="C729" t="s">
        <v>1857</v>
      </c>
      <c r="D729" t="s">
        <v>1858</v>
      </c>
      <c r="E729" s="3" t="str">
        <f>HYPERLINK("https://www.amazon.com/Thymes-Laundry-Detergent-Frasier-Fir/dp/B08CVS8VH6/ref=sr_1_1?keywords=Thymes+Frasier+Fir+Concentrated+Laundry+Detergent&amp;qid=1695258729&amp;sr=8-1", "https://www.amazon.com/Thymes-Laundry-Detergent-Frasier-Fir/dp/B08CVS8VH6/ref=sr_1_1?keywords=Thymes+Frasier+Fir+Concentrated+Laundry+Detergent&amp;qid=1695258729&amp;sr=8-1")</f>
        <v>https://www.amazon.com/Thymes-Laundry-Detergent-Frasier-Fir/dp/B08CVS8VH6/ref=sr_1_1?keywords=Thymes+Frasier+Fir+Concentrated+Laundry+Detergent&amp;qid=1695258729&amp;sr=8-1</v>
      </c>
      <c r="F729" t="s">
        <v>1859</v>
      </c>
      <c r="G729" t="e">
        <f ca="1">IMAGE("https://heavenlyouthouse.com/cdn/shop/products/thymesfrasierfirconcentratedlaundrydetergent.jpg?v=1603999424")</f>
        <v>#NAME?</v>
      </c>
      <c r="H729" t="e">
        <f ca="1">IMAGE("https://m.media-amazon.com/images/I/71X4xubYW-L._AC_UL320_.jpg")</f>
        <v>#NAME?</v>
      </c>
      <c r="I729" t="s">
        <v>1211</v>
      </c>
      <c r="J729">
        <v>28</v>
      </c>
      <c r="K729" s="2" t="s">
        <v>1823</v>
      </c>
      <c r="L729">
        <v>4.0999999999999996</v>
      </c>
      <c r="M729">
        <v>249</v>
      </c>
      <c r="O729" t="s">
        <v>39</v>
      </c>
      <c r="P729" t="s">
        <v>1849</v>
      </c>
      <c r="Q729" t="s">
        <v>1860</v>
      </c>
    </row>
    <row r="730" spans="1:17" ht="15.75" x14ac:dyDescent="0.25">
      <c r="A730" s="3" t="str">
        <f>HYPERLINK("https://heavenlyouthouse.com/products/eucalyptus-bubble-bath", "https://heavenlyouthouse.com/products/eucalyptus-bubble-bath")</f>
        <v>https://heavenlyouthouse.com/products/eucalyptus-bubble-bath</v>
      </c>
      <c r="B730" s="3" t="str">
        <f>HYPERLINK("https://heavenlyouthouse.com/products/eucalyptus-bubble-bath", "https://heavenlyouthouse.com/products/eucalyptus-bubble-bath")</f>
        <v>https://heavenlyouthouse.com/products/eucalyptus-bubble-bath</v>
      </c>
      <c r="C730" t="s">
        <v>1861</v>
      </c>
      <c r="D730" t="s">
        <v>1862</v>
      </c>
      <c r="E730" s="3" t="str">
        <f>HYPERLINK("https://www.amazon.com/Thymes-Eucalyptus-Relaxing-Natural-Sensitive/dp/B0776BQG1L/ref=sr_1_1?keywords=Thymes+Eucalyptus+Bubble+Bath&amp;qid=1695258716&amp;sr=8-1", "https://www.amazon.com/Thymes-Eucalyptus-Relaxing-Natural-Sensitive/dp/B0776BQG1L/ref=sr_1_1?keywords=Thymes+Eucalyptus+Bubble+Bath&amp;qid=1695258716&amp;sr=8-1")</f>
        <v>https://www.amazon.com/Thymes-Eucalyptus-Relaxing-Natural-Sensitive/dp/B0776BQG1L/ref=sr_1_1?keywords=Thymes+Eucalyptus+Bubble+Bath&amp;qid=1695258716&amp;sr=8-1</v>
      </c>
      <c r="F730" t="s">
        <v>1863</v>
      </c>
      <c r="G730" t="e">
        <f ca="1">IMAGE("https://heavenlyouthouse.com/cdn/shop/products/bubblebath.jpg?v=1588103593")</f>
        <v>#NAME?</v>
      </c>
      <c r="H730" t="e">
        <f ca="1">IMAGE("https://m.media-amazon.com/images/I/61tY0KgVHbL._AC_UL320_.jpg")</f>
        <v>#NAME?</v>
      </c>
      <c r="I730" t="s">
        <v>1211</v>
      </c>
      <c r="J730">
        <v>28</v>
      </c>
      <c r="K730" s="2" t="s">
        <v>1823</v>
      </c>
      <c r="L730">
        <v>4.7</v>
      </c>
      <c r="M730">
        <v>450</v>
      </c>
      <c r="O730" t="s">
        <v>39</v>
      </c>
      <c r="P730" t="s">
        <v>39</v>
      </c>
      <c r="Q730" t="s">
        <v>1864</v>
      </c>
    </row>
    <row r="731" spans="1:17" ht="15.75" x14ac:dyDescent="0.25">
      <c r="A731" s="3" t="str">
        <f>HYPERLINK("https://heavenlyouthouse.com/products/retirement-card", "https://heavenlyouthouse.com/products/retirement-card")</f>
        <v>https://heavenlyouthouse.com/products/retirement-card</v>
      </c>
      <c r="B731" s="3" t="str">
        <f>HYPERLINK("https://heavenlyouthouse.com/products/retirement-card", "https://heavenlyouthouse.com/products/retirement-card")</f>
        <v>https://heavenlyouthouse.com/products/retirement-card</v>
      </c>
      <c r="C731" t="s">
        <v>964</v>
      </c>
      <c r="D731" t="s">
        <v>1865</v>
      </c>
      <c r="E731" s="3" t="str">
        <f>HYPERLINK("https://www.amazon.com/American-Greetings-Things-Retirement-Congratulations/dp/B0731VKNX4/ref=sr_1_2?keywords=Retirement+Card&amp;qid=1695258667&amp;sr=8-2", "https://www.amazon.com/American-Greetings-Things-Retirement-Congratulations/dp/B0731VKNX4/ref=sr_1_2?keywords=Retirement+Card&amp;qid=1695258667&amp;sr=8-2")</f>
        <v>https://www.amazon.com/American-Greetings-Things-Retirement-Congratulations/dp/B0731VKNX4/ref=sr_1_2?keywords=Retirement+Card&amp;qid=1695258667&amp;sr=8-2</v>
      </c>
      <c r="F731" t="s">
        <v>1866</v>
      </c>
      <c r="G731" t="e">
        <f ca="1">IMAGE("https://heavenlyouthouse.com/cdn/shop/files/retirement-card1_300x300.jpg?v=1692054658")</f>
        <v>#NAME?</v>
      </c>
      <c r="H731" t="e">
        <f ca="1">IMAGE("https://m.media-amazon.com/images/I/81EEX5XcDHL._AC_UL320_.jpg")</f>
        <v>#NAME?</v>
      </c>
      <c r="I731" t="s">
        <v>414</v>
      </c>
      <c r="J731">
        <v>4.99</v>
      </c>
      <c r="K731" s="2" t="s">
        <v>1823</v>
      </c>
      <c r="L731">
        <v>4.8</v>
      </c>
      <c r="M731">
        <v>631</v>
      </c>
      <c r="O731" t="s">
        <v>39</v>
      </c>
      <c r="P731" t="s">
        <v>39</v>
      </c>
      <c r="Q731" t="s">
        <v>967</v>
      </c>
    </row>
    <row r="732" spans="1:17" ht="15.75" x14ac:dyDescent="0.25">
      <c r="A732" s="3" t="str">
        <f>HYPERLINK("https://heavenlyouthouse.com/products/retirement-card", "https://heavenlyouthouse.com/products/retirement-card")</f>
        <v>https://heavenlyouthouse.com/products/retirement-card</v>
      </c>
      <c r="B732" s="3" t="str">
        <f>HYPERLINK("https://heavenlyouthouse.com/products/retirement-card", "https://heavenlyouthouse.com/products/retirement-card")</f>
        <v>https://heavenlyouthouse.com/products/retirement-card</v>
      </c>
      <c r="C732" t="s">
        <v>964</v>
      </c>
      <c r="D732" t="s">
        <v>1867</v>
      </c>
      <c r="E732" s="3" t="str">
        <f>HYPERLINK("https://www.amazon.com/American-Greetings-Time-Retirement-Congratulations/dp/B00VNPC4CI/ref=sr_1_1?keywords=Retirement+Card&amp;qid=1695258667&amp;sr=8-1", "https://www.amazon.com/American-Greetings-Time-Retirement-Congratulations/dp/B00VNPC4CI/ref=sr_1_1?keywords=Retirement+Card&amp;qid=1695258667&amp;sr=8-1")</f>
        <v>https://www.amazon.com/American-Greetings-Time-Retirement-Congratulations/dp/B00VNPC4CI/ref=sr_1_1?keywords=Retirement+Card&amp;qid=1695258667&amp;sr=8-1</v>
      </c>
      <c r="F732" t="s">
        <v>1868</v>
      </c>
      <c r="G732" t="e">
        <f ca="1">IMAGE("https://heavenlyouthouse.com/cdn/shop/files/retirement-card1_300x300.jpg?v=1692054658")</f>
        <v>#NAME?</v>
      </c>
      <c r="H732" t="e">
        <f ca="1">IMAGE("https://m.media-amazon.com/images/I/81f0GxK2HKL._AC_UL320_.jpg")</f>
        <v>#NAME?</v>
      </c>
      <c r="I732" t="s">
        <v>414</v>
      </c>
      <c r="J732">
        <v>4.99</v>
      </c>
      <c r="K732" s="2" t="s">
        <v>1823</v>
      </c>
      <c r="L732">
        <v>4.8</v>
      </c>
      <c r="M732">
        <v>2957</v>
      </c>
      <c r="O732" t="s">
        <v>39</v>
      </c>
      <c r="P732" t="s">
        <v>39</v>
      </c>
      <c r="Q732" t="s">
        <v>967</v>
      </c>
    </row>
    <row r="733" spans="1:17" ht="15.75" x14ac:dyDescent="0.25">
      <c r="A733" s="3" t="str">
        <f>HYPERLINK("https://heavenlyouthouse.com/products/frasier-fir-green-reed-refill", "https://heavenlyouthouse.com/products/frasier-fir-green-reed-refill")</f>
        <v>https://heavenlyouthouse.com/products/frasier-fir-green-reed-refill</v>
      </c>
      <c r="B733" s="3" t="str">
        <f>HYPERLINK("https://heavenlyouthouse.com/products/frasier-fir-green-reed-refill", "https://heavenlyouthouse.com/products/frasier-fir-green-reed-refill")</f>
        <v>https://heavenlyouthouse.com/products/frasier-fir-green-reed-refill</v>
      </c>
      <c r="C733" t="s">
        <v>149</v>
      </c>
      <c r="D733" t="s">
        <v>1869</v>
      </c>
      <c r="E733" s="3" t="str">
        <f>HYPERLINK("https://www.amazon.com/Thymes-Frasier-Green-Refill-Coloring/dp/B0140PRH7Y/ref=sr_1_1?keywords=Thymes+Frasier+Fir+Green+Reed+Sticks+Refill&amp;qid=1695258725&amp;sr=8-1", "https://www.amazon.com/Thymes-Frasier-Green-Refill-Coloring/dp/B0140PRH7Y/ref=sr_1_1?keywords=Thymes+Frasier+Fir+Green+Reed+Sticks+Refill&amp;qid=1695258725&amp;sr=8-1")</f>
        <v>https://www.amazon.com/Thymes-Frasier-Green-Refill-Coloring/dp/B0140PRH7Y/ref=sr_1_1?keywords=Thymes+Frasier+Fir+Green+Reed+Sticks+Refill&amp;qid=1695258725&amp;sr=8-1</v>
      </c>
      <c r="F733" t="s">
        <v>1870</v>
      </c>
      <c r="G733" t="e">
        <f ca="1">IMAGE("https://heavenlyouthouse.com/cdn/shop/products/Frasier-Fir-Heritage-Green-Reed-Refill.jpg?v=1605455568")</f>
        <v>#NAME?</v>
      </c>
      <c r="H733" t="e">
        <f ca="1">IMAGE("https://m.media-amazon.com/images/I/71R0HmUGWjL._AC_UL320_.jpg")</f>
        <v>#NAME?</v>
      </c>
      <c r="I733" t="s">
        <v>152</v>
      </c>
      <c r="J733">
        <v>10</v>
      </c>
      <c r="K733" s="2" t="s">
        <v>1823</v>
      </c>
      <c r="L733">
        <v>4.4000000000000004</v>
      </c>
      <c r="M733">
        <v>270</v>
      </c>
      <c r="O733" t="s">
        <v>39</v>
      </c>
      <c r="P733" t="s">
        <v>39</v>
      </c>
      <c r="Q733" t="s">
        <v>154</v>
      </c>
    </row>
    <row r="734" spans="1:17" ht="15.75" x14ac:dyDescent="0.25">
      <c r="A734" s="3" t="str">
        <f>HYPERLINK("https://heavenlyouthouse.com/products/vanilla-coconut-foaming-wash-refill", "https://heavenlyouthouse.com/products/vanilla-coconut-foaming-wash-refill")</f>
        <v>https://heavenlyouthouse.com/products/vanilla-coconut-foaming-wash-refill</v>
      </c>
      <c r="B734" s="3" t="str">
        <f>HYPERLINK("https://heavenlyouthouse.com/products/vanilla-coconut-foaming-wash-refill", "https://heavenlyouthouse.com/products/vanilla-coconut-foaming-wash-refill")</f>
        <v>https://heavenlyouthouse.com/products/vanilla-coconut-foaming-wash-refill</v>
      </c>
      <c r="C734" t="s">
        <v>1871</v>
      </c>
      <c r="D734" t="s">
        <v>1872</v>
      </c>
      <c r="E734" s="3" t="str">
        <f>HYPERLINK("https://www.amazon.com/Method-Premium-Raspberry-Recyclable-Biodegradable/dp/B0BQ59BKBP/ref=sr_1_7?keywords=Vanilla+Coconut+Foaming+Wash+Refill&amp;qid=1695258811&amp;sr=8-7", "https://www.amazon.com/Method-Premium-Raspberry-Recyclable-Biodegradable/dp/B0BQ59BKBP/ref=sr_1_7?keywords=Vanilla+Coconut+Foaming+Wash+Refill&amp;qid=1695258811&amp;sr=8-7")</f>
        <v>https://www.amazon.com/Method-Premium-Raspberry-Recyclable-Biodegradable/dp/B0BQ59BKBP/ref=sr_1_7?keywords=Vanilla+Coconut+Foaming+Wash+Refill&amp;qid=1695258811&amp;sr=8-7</v>
      </c>
      <c r="F734" t="s">
        <v>1873</v>
      </c>
      <c r="G734" t="e">
        <f ca="1">IMAGE("https://heavenlyouthouse.com/cdn/shop/products/vanilla-coconut-foaming-wash-refill_2000x_aae80d4b-1145-48a4-a580-2682c1c65014.jpg?v=1586811944")</f>
        <v>#NAME?</v>
      </c>
      <c r="H734" t="e">
        <f ca="1">IMAGE("https://m.media-amazon.com/images/I/71efHPrtZ-L._AC_UL320_.jpg")</f>
        <v>#NAME?</v>
      </c>
      <c r="I734" t="s">
        <v>1874</v>
      </c>
      <c r="J734">
        <v>34.36</v>
      </c>
      <c r="K734" s="2" t="s">
        <v>1823</v>
      </c>
      <c r="L734">
        <v>4.5999999999999996</v>
      </c>
      <c r="M734">
        <v>11</v>
      </c>
      <c r="O734" t="s">
        <v>39</v>
      </c>
      <c r="P734" t="s">
        <v>39</v>
      </c>
      <c r="Q734" t="s">
        <v>1875</v>
      </c>
    </row>
    <row r="735" spans="1:17" ht="15.75" x14ac:dyDescent="0.25">
      <c r="A735" s="3" t="str">
        <f>HYPERLINK("https://heavenlyouthouse.com/products/thymes-frasier-fir-heritage-pillar-candle-small", "https://heavenlyouthouse.com/products/thymes-frasier-fir-heritage-pillar-candle-small")</f>
        <v>https://heavenlyouthouse.com/products/thymes-frasier-fir-heritage-pillar-candle-small</v>
      </c>
      <c r="B735" s="3" t="str">
        <f>HYPERLINK("https://heavenlyouthouse.com/products/thymes-frasier-fir-heritage-pillar-candle-small", "https://heavenlyouthouse.com/products/thymes-frasier-fir-heritage-pillar-candle-small")</f>
        <v>https://heavenlyouthouse.com/products/thymes-frasier-fir-heritage-pillar-candle-small</v>
      </c>
      <c r="C735" t="s">
        <v>325</v>
      </c>
      <c r="D735" t="s">
        <v>1876</v>
      </c>
      <c r="E735" s="3" t="str">
        <f>HYPERLINK("https://www.amazon.com/Thymes-Frasier-Fir-Pillar-Candle/dp/B0BZ1NJDYL/ref=sr_1_1?keywords=Thymes+Frasier+Fir+Heritage+Pillar+Candle+Small&amp;qid=1695258732&amp;sr=8-1", "https://www.amazon.com/Thymes-Frasier-Fir-Pillar-Candle/dp/B0BZ1NJDYL/ref=sr_1_1?keywords=Thymes+Frasier+Fir+Heritage+Pillar+Candle+Small&amp;qid=1695258732&amp;sr=8-1")</f>
        <v>https://www.amazon.com/Thymes-Frasier-Fir-Pillar-Candle/dp/B0BZ1NJDYL/ref=sr_1_1?keywords=Thymes+Frasier+Fir+Heritage+Pillar+Candle+Small&amp;qid=1695258732&amp;sr=8-1</v>
      </c>
      <c r="F735" t="s">
        <v>1877</v>
      </c>
      <c r="G735" t="e">
        <f ca="1">IMAGE("https://heavenlyouthouse.com/cdn/shop/files/thymes-frasier-fir-heritage-3x3-pillar-candle-small_300x300.jpg?v=1692208535")</f>
        <v>#NAME?</v>
      </c>
      <c r="H735" t="e">
        <f ca="1">IMAGE("https://m.media-amazon.com/images/I/51LXodTlm1L._AC_UL320_.jpg")</f>
        <v>#NAME?</v>
      </c>
      <c r="I735" t="s">
        <v>328</v>
      </c>
      <c r="J735">
        <v>20</v>
      </c>
      <c r="K735" s="2" t="s">
        <v>1823</v>
      </c>
      <c r="L735">
        <v>4.8</v>
      </c>
      <c r="M735">
        <v>12</v>
      </c>
      <c r="O735" t="s">
        <v>39</v>
      </c>
      <c r="P735" t="s">
        <v>330</v>
      </c>
      <c r="Q735" t="s">
        <v>331</v>
      </c>
    </row>
    <row r="736" spans="1:17" ht="15.75" x14ac:dyDescent="0.25">
      <c r="A736" s="3" t="str">
        <f>HYPERLINK("https://heavenlyouthouse.com/products/goldleaf-eau-de-parfum-spray-pen", "https://heavenlyouthouse.com/products/goldleaf-eau-de-parfum-spray-pen")</f>
        <v>https://heavenlyouthouse.com/products/goldleaf-eau-de-parfum-spray-pen</v>
      </c>
      <c r="B736" s="3" t="str">
        <f>HYPERLINK("https://heavenlyouthouse.com/products/goldleaf-eau-de-parfum-spray-pen", "https://heavenlyouthouse.com/products/goldleaf-eau-de-parfum-spray-pen")</f>
        <v>https://heavenlyouthouse.com/products/goldleaf-eau-de-parfum-spray-pen</v>
      </c>
      <c r="C736" t="s">
        <v>497</v>
      </c>
      <c r="D736" t="s">
        <v>1878</v>
      </c>
      <c r="E736" s="3" t="str">
        <f>HYPERLINK("https://www.amazon.com/Thymes-Goldleaf-Gardenia-Parfum-Spray/dp/B07LFPPYNV/ref=sr_1_1?keywords=Thymes+Goldleaf+Eau+De+Parfum+Spray+Pen&amp;qid=1695258745&amp;sr=8-1", "https://www.amazon.com/Thymes-Goldleaf-Gardenia-Parfum-Spray/dp/B07LFPPYNV/ref=sr_1_1?keywords=Thymes+Goldleaf+Eau+De+Parfum+Spray+Pen&amp;qid=1695258745&amp;sr=8-1")</f>
        <v>https://www.amazon.com/Thymes-Goldleaf-Gardenia-Parfum-Spray/dp/B07LFPPYNV/ref=sr_1_1?keywords=Thymes+Goldleaf+Eau+De+Parfum+Spray+Pen&amp;qid=1695258745&amp;sr=8-1</v>
      </c>
      <c r="F736" t="s">
        <v>1879</v>
      </c>
      <c r="G736" t="e">
        <f ca="1">IMAGE("https://heavenlyouthouse.com/cdn/shop/products/perfume10ml.jpg?v=1587763432")</f>
        <v>#NAME?</v>
      </c>
      <c r="H736" t="e">
        <f ca="1">IMAGE("https://m.media-amazon.com/images/I/71ptHBrR7wL._AC_UL320_.jpg")</f>
        <v>#NAME?</v>
      </c>
      <c r="I736" t="s">
        <v>500</v>
      </c>
      <c r="J736">
        <v>25</v>
      </c>
      <c r="K736" s="2" t="s">
        <v>1823</v>
      </c>
      <c r="L736">
        <v>4.5</v>
      </c>
      <c r="M736">
        <v>900</v>
      </c>
      <c r="O736" t="s">
        <v>39</v>
      </c>
      <c r="P736" t="s">
        <v>39</v>
      </c>
      <c r="Q736" t="s">
        <v>501</v>
      </c>
    </row>
    <row r="737" spans="1:17" ht="15.75" x14ac:dyDescent="0.25">
      <c r="A737" s="3" t="str">
        <f>HYPERLINK("https://heavenlyouthouse.com/products/thymes-lavender-eau-de-parfume-spray-pen", "https://heavenlyouthouse.com/products/thymes-lavender-eau-de-parfume-spray-pen")</f>
        <v>https://heavenlyouthouse.com/products/thymes-lavender-eau-de-parfume-spray-pen</v>
      </c>
      <c r="B737" s="3" t="str">
        <f>HYPERLINK("https://heavenlyouthouse.com/products/thymes-lavender-eau-de-parfume-spray-pen", "https://heavenlyouthouse.com/products/thymes-lavender-eau-de-parfume-spray-pen")</f>
        <v>https://heavenlyouthouse.com/products/thymes-lavender-eau-de-parfume-spray-pen</v>
      </c>
      <c r="C737" t="s">
        <v>1880</v>
      </c>
      <c r="D737" t="s">
        <v>1881</v>
      </c>
      <c r="E737" s="3" t="str">
        <f>HYPERLINK("https://www.amazon.com/Thymes-Lavender-Eau-Parfum-Spray/dp/B07LFQSBVQ/ref=sr_1_1?keywords=thymes+lavender+eau+de+parfum+spray+pen&amp;qid=1695258758&amp;sr=8-1", "https://www.amazon.com/Thymes-Lavender-Eau-Parfum-Spray/dp/B07LFQSBVQ/ref=sr_1_1?keywords=thymes+lavender+eau+de+parfum+spray+pen&amp;qid=1695258758&amp;sr=8-1")</f>
        <v>https://www.amazon.com/Thymes-Lavender-Eau-Parfum-Spray/dp/B07LFQSBVQ/ref=sr_1_1?keywords=thymes+lavender+eau+de+parfum+spray+pen&amp;qid=1695258758&amp;sr=8-1</v>
      </c>
      <c r="F737" t="s">
        <v>1882</v>
      </c>
      <c r="G737" t="e">
        <f ca="1">IMAGE("https://heavenlyouthouse.com/cdn/shop/products/thymeslavendereaudeparfumespraypen.jpg?v=1614786986")</f>
        <v>#NAME?</v>
      </c>
      <c r="H737" t="e">
        <f ca="1">IMAGE("https://m.media-amazon.com/images/I/71QV5xo4eSL._AC_UL320_.jpg")</f>
        <v>#NAME?</v>
      </c>
      <c r="I737" t="s">
        <v>500</v>
      </c>
      <c r="J737">
        <v>25</v>
      </c>
      <c r="K737" s="2" t="s">
        <v>1823</v>
      </c>
      <c r="L737">
        <v>4.5</v>
      </c>
      <c r="M737">
        <v>900</v>
      </c>
      <c r="O737" t="s">
        <v>39</v>
      </c>
      <c r="P737" t="s">
        <v>39</v>
      </c>
      <c r="Q737" t="s">
        <v>1883</v>
      </c>
    </row>
    <row r="738" spans="1:17" ht="15.75" x14ac:dyDescent="0.25">
      <c r="A738" s="3" t="str">
        <f>HYPERLINK("https://heavenlyouthouse.com/products/goldleaf-gardenia-eau-de-parfume-spray-pen", "https://heavenlyouthouse.com/products/goldleaf-gardenia-eau-de-parfume-spray-pen")</f>
        <v>https://heavenlyouthouse.com/products/goldleaf-gardenia-eau-de-parfume-spray-pen</v>
      </c>
      <c r="B738" s="3" t="str">
        <f>HYPERLINK("https://heavenlyouthouse.com/products/goldleaf-gardenia-eau-de-parfume-spray-pen", "https://heavenlyouthouse.com/products/goldleaf-gardenia-eau-de-parfume-spray-pen")</f>
        <v>https://heavenlyouthouse.com/products/goldleaf-gardenia-eau-de-parfume-spray-pen</v>
      </c>
      <c r="C738" t="s">
        <v>1065</v>
      </c>
      <c r="D738" t="s">
        <v>1878</v>
      </c>
      <c r="E738" s="3" t="str">
        <f>HYPERLINK("https://www.amazon.com/Thymes-Goldleaf-Gardenia-Parfum-Spray/dp/B07LFPPYNV/ref=sr_1_1?keywords=thymes+goldleaf+gardenia+eau+de+parfum+spray+pen&amp;qid=1695258756&amp;sr=8-1", "https://www.amazon.com/Thymes-Goldleaf-Gardenia-Parfum-Spray/dp/B07LFPPYNV/ref=sr_1_1?keywords=thymes+goldleaf+gardenia+eau+de+parfum+spray+pen&amp;qid=1695258756&amp;sr=8-1")</f>
        <v>https://www.amazon.com/Thymes-Goldleaf-Gardenia-Parfum-Spray/dp/B07LFPPYNV/ref=sr_1_1?keywords=thymes+goldleaf+gardenia+eau+de+parfum+spray+pen&amp;qid=1695258756&amp;sr=8-1</v>
      </c>
      <c r="F738" t="s">
        <v>1879</v>
      </c>
      <c r="G738" t="e">
        <f ca="1">IMAGE("https://heavenlyouthouse.com/cdn/shop/products/thymesgoldleafgardeniaeaudeparfumespraypen.jpg?v=1606408525")</f>
        <v>#NAME?</v>
      </c>
      <c r="H738" t="e">
        <f ca="1">IMAGE("https://m.media-amazon.com/images/I/71ptHBrR7wL._AC_UL320_.jpg")</f>
        <v>#NAME?</v>
      </c>
      <c r="I738" t="s">
        <v>500</v>
      </c>
      <c r="J738">
        <v>25</v>
      </c>
      <c r="K738" s="2" t="s">
        <v>1823</v>
      </c>
      <c r="L738">
        <v>4.5</v>
      </c>
      <c r="M738">
        <v>900</v>
      </c>
      <c r="O738" t="s">
        <v>39</v>
      </c>
      <c r="P738" t="s">
        <v>39</v>
      </c>
      <c r="Q738" t="s">
        <v>1066</v>
      </c>
    </row>
    <row r="739" spans="1:17" ht="15.75" x14ac:dyDescent="0.25">
      <c r="A739" s="3" t="str">
        <f>HYPERLINK("https://heavenlyouthouse.com/products/eucalyptus-cologne-spray-pen", "https://heavenlyouthouse.com/products/eucalyptus-cologne-spray-pen")</f>
        <v>https://heavenlyouthouse.com/products/eucalyptus-cologne-spray-pen</v>
      </c>
      <c r="B739" s="3" t="str">
        <f>HYPERLINK("https://heavenlyouthouse.com/products/eucalyptus-cologne-spray-pen", "https://heavenlyouthouse.com/products/eucalyptus-cologne-spray-pen")</f>
        <v>https://heavenlyouthouse.com/products/eucalyptus-cologne-spray-pen</v>
      </c>
      <c r="C739" t="s">
        <v>1884</v>
      </c>
      <c r="D739" t="s">
        <v>1885</v>
      </c>
      <c r="E739" s="3" t="str">
        <f>HYPERLINK("https://www.amazon.com/Thymes-Eucalyptus-Cologne-Spray-Pen/dp/B07LFNK5P8/ref=sr_1_1?keywords=Thymes+Eucalyptus+Cologne+Spray+Pen&amp;qid=1695258717&amp;sr=8-1", "https://www.amazon.com/Thymes-Eucalyptus-Cologne-Spray-Pen/dp/B07LFNK5P8/ref=sr_1_1?keywords=Thymes+Eucalyptus+Cologne+Spray+Pen&amp;qid=1695258717&amp;sr=8-1")</f>
        <v>https://www.amazon.com/Thymes-Eucalyptus-Cologne-Spray-Pen/dp/B07LFNK5P8/ref=sr_1_1?keywords=Thymes+Eucalyptus+Cologne+Spray+Pen&amp;qid=1695258717&amp;sr=8-1</v>
      </c>
      <c r="F739" t="s">
        <v>1886</v>
      </c>
      <c r="G739" t="e">
        <f ca="1">IMAGE("https://heavenlyouthouse.com/cdn/shop/products/cologne10ml.jpg?v=1603916561")</f>
        <v>#NAME?</v>
      </c>
      <c r="H739" t="e">
        <f ca="1">IMAGE("https://m.media-amazon.com/images/I/71DkK-NXq9L._AC_UL320_.jpg")</f>
        <v>#NAME?</v>
      </c>
      <c r="I739" t="s">
        <v>500</v>
      </c>
      <c r="J739">
        <v>25</v>
      </c>
      <c r="K739" s="2" t="s">
        <v>1823</v>
      </c>
      <c r="L739">
        <v>4.5</v>
      </c>
      <c r="M739">
        <v>900</v>
      </c>
      <c r="O739" t="s">
        <v>39</v>
      </c>
      <c r="P739" t="s">
        <v>863</v>
      </c>
      <c r="Q739" t="s">
        <v>1887</v>
      </c>
    </row>
    <row r="740" spans="1:17" ht="15.75" x14ac:dyDescent="0.25">
      <c r="A740" s="3" t="str">
        <f>HYPERLINK("https://heavenlyouthouse.com/products/scent-free-body-lotion", "https://heavenlyouthouse.com/products/scent-free-body-lotion")</f>
        <v>https://heavenlyouthouse.com/products/scent-free-body-lotion</v>
      </c>
      <c r="B740" s="3" t="str">
        <f>HYPERLINK("https://heavenlyouthouse.com/products/scent-free-body-lotion", "https://heavenlyouthouse.com/products/scent-free-body-lotion")</f>
        <v>https://heavenlyouthouse.com/products/scent-free-body-lotion</v>
      </c>
      <c r="C740" t="s">
        <v>1283</v>
      </c>
      <c r="D740" t="s">
        <v>1888</v>
      </c>
      <c r="E740" s="3" t="str">
        <f>HYPERLINK("https://www.amazon.com/Lotion-Company-Therapy-Clear-Ounce/dp/B00BORS0EG/ref=sr_1_8?keywords=Scent+Free+Body+Lotion&amp;qid=1695258677&amp;sr=8-8", "https://www.amazon.com/Lotion-Company-Therapy-Clear-Ounce/dp/B00BORS0EG/ref=sr_1_8?keywords=Scent+Free+Body+Lotion&amp;qid=1695258677&amp;sr=8-8")</f>
        <v>https://www.amazon.com/Lotion-Company-Therapy-Clear-Ounce/dp/B00BORS0EG/ref=sr_1_8?keywords=Scent+Free+Body+Lotion&amp;qid=1695258677&amp;sr=8-8</v>
      </c>
      <c r="F740" t="s">
        <v>1889</v>
      </c>
      <c r="G740" t="e">
        <f ca="1">IMAGE("https://heavenlyouthouse.com/cdn/shop/products/Scent-Free_Body-Lotion_2048_2000x_12fe1f2b-c9b7-410b-bcaa-1736dd65bc07.jpg?v=1586911361")</f>
        <v>#NAME?</v>
      </c>
      <c r="H740" t="e">
        <f ca="1">IMAGE("https://m.media-amazon.com/images/I/61rmy1EvQML._AC_UL320_.jpg")</f>
        <v>#NAME?</v>
      </c>
      <c r="I740" t="s">
        <v>399</v>
      </c>
      <c r="J740">
        <v>14.99</v>
      </c>
      <c r="K740" s="2" t="s">
        <v>1890</v>
      </c>
      <c r="L740">
        <v>4.4000000000000004</v>
      </c>
      <c r="M740">
        <v>7202</v>
      </c>
      <c r="O740" t="s">
        <v>39</v>
      </c>
      <c r="P740" t="s">
        <v>39</v>
      </c>
      <c r="Q740" t="s">
        <v>1286</v>
      </c>
    </row>
    <row r="741" spans="1:17" ht="15.75" x14ac:dyDescent="0.25">
      <c r="A741" s="3" t="str">
        <f>HYPERLINK("https://heavenlyouthouse.com/products/vanilla-coconut-body-lotion", "https://heavenlyouthouse.com/products/vanilla-coconut-body-lotion")</f>
        <v>https://heavenlyouthouse.com/products/vanilla-coconut-body-lotion</v>
      </c>
      <c r="B741" s="3" t="str">
        <f>HYPERLINK("https://heavenlyouthouse.com/products/vanilla-coconut-body-lotion", "https://heavenlyouthouse.com/products/vanilla-coconut-body-lotion")</f>
        <v>https://heavenlyouthouse.com/products/vanilla-coconut-body-lotion</v>
      </c>
      <c r="C741" t="s">
        <v>396</v>
      </c>
      <c r="D741" t="s">
        <v>1891</v>
      </c>
      <c r="E741" s="3" t="str">
        <f>HYPERLINK("https://www.amazon.com/Deep-Steep-Classic-Vanilla-Coconut/dp/B09WVZZHT3/ref=sr_1_2?keywords=Vanilla+Coconut+Body+Lotion&amp;qid=1695258813&amp;sr=8-2", "https://www.amazon.com/Deep-Steep-Classic-Vanilla-Coconut/dp/B09WVZZHT3/ref=sr_1_2?keywords=Vanilla+Coconut+Body+Lotion&amp;qid=1695258813&amp;sr=8-2")</f>
        <v>https://www.amazon.com/Deep-Steep-Classic-Vanilla-Coconut/dp/B09WVZZHT3/ref=sr_1_2?keywords=Vanilla+Coconut+Body+Lotion&amp;qid=1695258813&amp;sr=8-2</v>
      </c>
      <c r="F741" t="s">
        <v>1892</v>
      </c>
      <c r="G741" t="e">
        <f ca="1">IMAGE("https://heavenlyouthouse.com/cdn/shop/products/Vanilla-Coconut_Body-Lotion_2048_2000x_f9dbe99f-03d5-4b01-984d-3ca76d1c9785.jpg?v=1586911459")</f>
        <v>#NAME?</v>
      </c>
      <c r="H741" t="e">
        <f ca="1">IMAGE("https://m.media-amazon.com/images/I/51-GZglfgvL._AC_UL320_.jpg")</f>
        <v>#NAME?</v>
      </c>
      <c r="I741" t="s">
        <v>399</v>
      </c>
      <c r="J741">
        <v>14.95</v>
      </c>
      <c r="K741" s="2" t="s">
        <v>1890</v>
      </c>
      <c r="L741">
        <v>4.3</v>
      </c>
      <c r="M741">
        <v>115</v>
      </c>
      <c r="O741" t="s">
        <v>39</v>
      </c>
      <c r="P741" t="s">
        <v>39</v>
      </c>
      <c r="Q741" t="s">
        <v>400</v>
      </c>
    </row>
    <row r="742" spans="1:17" ht="15.75" x14ac:dyDescent="0.25">
      <c r="A742" s="3" t="str">
        <f>HYPERLINK("https://heavenlyouthouse.com/products/rosemary-mint-body-lotion", "https://heavenlyouthouse.com/products/rosemary-mint-body-lotion")</f>
        <v>https://heavenlyouthouse.com/products/rosemary-mint-body-lotion</v>
      </c>
      <c r="B742" s="3" t="str">
        <f>HYPERLINK("https://heavenlyouthouse.com/products/rosemary-mint-body-lotion", "https://heavenlyouthouse.com/products/rosemary-mint-body-lotion")</f>
        <v>https://heavenlyouthouse.com/products/rosemary-mint-body-lotion</v>
      </c>
      <c r="C742" t="s">
        <v>664</v>
      </c>
      <c r="D742" t="s">
        <v>1199</v>
      </c>
      <c r="E742" s="3" t="str">
        <f>HYPERLINK("https://www.amazon.com/DEEP-STEEP-Rosemary-Mint-Butter/dp/B09TWZFKS4/ref=sr_1_5?keywords=Rosemary+Mint+Body+Lotion&amp;qid=1695258667&amp;sr=8-5", "https://www.amazon.com/DEEP-STEEP-Rosemary-Mint-Butter/dp/B09TWZFKS4/ref=sr_1_5?keywords=Rosemary+Mint+Body+Lotion&amp;qid=1695258667&amp;sr=8-5")</f>
        <v>https://www.amazon.com/DEEP-STEEP-Rosemary-Mint-Butter/dp/B09TWZFKS4/ref=sr_1_5?keywords=Rosemary+Mint+Body+Lotion&amp;qid=1695258667&amp;sr=8-5</v>
      </c>
      <c r="F742" t="s">
        <v>1200</v>
      </c>
      <c r="G742" t="e">
        <f ca="1">IMAGE("https://heavenlyouthouse.com/cdn/shop/products/RosemaryMint-OatLotion.webp?v=1681505156")</f>
        <v>#NAME?</v>
      </c>
      <c r="H742" t="e">
        <f ca="1">IMAGE("https://m.media-amazon.com/images/I/61HSzlKfw7L._AC_UL320_.jpg")</f>
        <v>#NAME?</v>
      </c>
      <c r="I742" t="s">
        <v>399</v>
      </c>
      <c r="J742">
        <v>14.95</v>
      </c>
      <c r="K742" s="2" t="s">
        <v>1890</v>
      </c>
      <c r="L742">
        <v>4.2</v>
      </c>
      <c r="M742">
        <v>63</v>
      </c>
      <c r="O742" t="s">
        <v>39</v>
      </c>
      <c r="P742" t="s">
        <v>39</v>
      </c>
      <c r="Q742" t="s">
        <v>667</v>
      </c>
    </row>
    <row r="743" spans="1:17" ht="15.75" x14ac:dyDescent="0.25">
      <c r="A743" s="3" t="str">
        <f>HYPERLINK("https://heavenlyouthouse.com/products/rosemary-mint-body-lotion", "https://heavenlyouthouse.com/products/rosemary-mint-body-lotion")</f>
        <v>https://heavenlyouthouse.com/products/rosemary-mint-body-lotion</v>
      </c>
      <c r="B743" s="3" t="str">
        <f>HYPERLINK("https://heavenlyouthouse.com/products/rosemary-mint-body-lotion", "https://heavenlyouthouse.com/products/rosemary-mint-body-lotion")</f>
        <v>https://heavenlyouthouse.com/products/rosemary-mint-body-lotion</v>
      </c>
      <c r="C743" t="s">
        <v>664</v>
      </c>
      <c r="D743" t="s">
        <v>1893</v>
      </c>
      <c r="E743" s="3" t="str">
        <f>HYPERLINK("https://www.amazon.com/DEEP-STEEP-Rosemary-Mint-Lotion/dp/B09TX13FXN/ref=sr_1_3?keywords=Rosemary+Mint+Body+Lotion&amp;qid=1695258667&amp;sr=8-3", "https://www.amazon.com/DEEP-STEEP-Rosemary-Mint-Lotion/dp/B09TX13FXN/ref=sr_1_3?keywords=Rosemary+Mint+Body+Lotion&amp;qid=1695258667&amp;sr=8-3")</f>
        <v>https://www.amazon.com/DEEP-STEEP-Rosemary-Mint-Lotion/dp/B09TX13FXN/ref=sr_1_3?keywords=Rosemary+Mint+Body+Lotion&amp;qid=1695258667&amp;sr=8-3</v>
      </c>
      <c r="F743" t="s">
        <v>1894</v>
      </c>
      <c r="G743" t="e">
        <f ca="1">IMAGE("https://heavenlyouthouse.com/cdn/shop/products/RosemaryMint-OatLotion.webp?v=1681505156")</f>
        <v>#NAME?</v>
      </c>
      <c r="H743" t="e">
        <f ca="1">IMAGE("https://m.media-amazon.com/images/I/5172gPH-FjL._AC_UL320_.jpg")</f>
        <v>#NAME?</v>
      </c>
      <c r="I743" t="s">
        <v>399</v>
      </c>
      <c r="J743">
        <v>14.95</v>
      </c>
      <c r="K743" s="2" t="s">
        <v>1890</v>
      </c>
      <c r="L743">
        <v>4.3</v>
      </c>
      <c r="M743">
        <v>115</v>
      </c>
      <c r="O743" t="s">
        <v>39</v>
      </c>
      <c r="P743" t="s">
        <v>39</v>
      </c>
      <c r="Q743" t="s">
        <v>667</v>
      </c>
    </row>
    <row r="744" spans="1:17" ht="15.75" x14ac:dyDescent="0.25">
      <c r="A744" s="3" t="str">
        <f>HYPERLINK("https://heavenlyouthouse.com/products/thymes-frasier-fir-gold-travel-tin-candle", "https://heavenlyouthouse.com/products/thymes-frasier-fir-gold-travel-tin-candle")</f>
        <v>https://heavenlyouthouse.com/products/thymes-frasier-fir-gold-travel-tin-candle</v>
      </c>
      <c r="B744" s="3" t="str">
        <f>HYPERLINK("https://heavenlyouthouse.com/products/thymes-frasier-fir-gold-travel-tin-candle", "https://heavenlyouthouse.com/products/thymes-frasier-fir-gold-travel-tin-candle")</f>
        <v>https://heavenlyouthouse.com/products/thymes-frasier-fir-gold-travel-tin-candle</v>
      </c>
      <c r="C744" t="s">
        <v>108</v>
      </c>
      <c r="D744" t="s">
        <v>1895</v>
      </c>
      <c r="E744" s="3" t="str">
        <f>HYPERLINK("https://www.amazon.com/Thymes-Travel-Tin-Candle-Frasier/dp/B075DFNK4S/ref=sr_1_1?keywords=Thymes+Frasier+Fir+Gold+Travel+Tin+Candle&amp;qid=1695258731&amp;sr=8-1", "https://www.amazon.com/Thymes-Travel-Tin-Candle-Frasier/dp/B075DFNK4S/ref=sr_1_1?keywords=Thymes+Frasier+Fir+Gold+Travel+Tin+Candle&amp;qid=1695258731&amp;sr=8-1")</f>
        <v>https://www.amazon.com/Thymes-Travel-Tin-Candle-Frasier/dp/B075DFNK4S/ref=sr_1_1?keywords=Thymes+Frasier+Fir+Gold+Travel+Tin+Candle&amp;qid=1695258731&amp;sr=8-1</v>
      </c>
      <c r="F744" t="s">
        <v>1896</v>
      </c>
      <c r="G744" t="e">
        <f ca="1">IMAGE("https://heavenlyouthouse.com/cdn/shop/products/Frasier-Fir-gold-travel-tin-candle.jpg?v=1635374114")</f>
        <v>#NAME?</v>
      </c>
      <c r="H744" t="e">
        <f ca="1">IMAGE("https://m.media-amazon.com/images/I/61GKBZiMOWL._AC_UL320_.jpg")</f>
        <v>#NAME?</v>
      </c>
      <c r="I744" t="s">
        <v>111</v>
      </c>
      <c r="J744">
        <v>12</v>
      </c>
      <c r="K744" s="2" t="s">
        <v>1890</v>
      </c>
      <c r="L744">
        <v>4.7</v>
      </c>
      <c r="M744">
        <v>3148</v>
      </c>
      <c r="O744" t="s">
        <v>39</v>
      </c>
      <c r="P744" t="s">
        <v>39</v>
      </c>
      <c r="Q744" t="s">
        <v>113</v>
      </c>
    </row>
    <row r="745" spans="1:17" ht="15.75" x14ac:dyDescent="0.25">
      <c r="A745" s="3" t="str">
        <f>HYPERLINK("https://heavenlyouthouse.com/products/tea-tree-deodorant", "https://heavenlyouthouse.com/products/tea-tree-deodorant")</f>
        <v>https://heavenlyouthouse.com/products/tea-tree-deodorant</v>
      </c>
      <c r="B745" s="3" t="str">
        <f>HYPERLINK("https://heavenlyouthouse.com/products/tea-tree-deodorant", "https://heavenlyouthouse.com/products/tea-tree-deodorant")</f>
        <v>https://heavenlyouthouse.com/products/tea-tree-deodorant</v>
      </c>
      <c r="C745" t="s">
        <v>424</v>
      </c>
      <c r="D745" t="s">
        <v>1897</v>
      </c>
      <c r="E745" s="3" t="str">
        <f>HYPERLINK("https://www.amazon.com/Natural-Deodorant-Men-Deodorant-Protection/dp/B089DN1WDJ/ref=sr_1_7?keywords=Tea+Tree+Natural+Deodorant&amp;qid=1695258704&amp;sr=8-7", "https://www.amazon.com/Natural-Deodorant-Men-Deodorant-Protection/dp/B089DN1WDJ/ref=sr_1_7?keywords=Tea+Tree+Natural+Deodorant&amp;qid=1695258704&amp;sr=8-7")</f>
        <v>https://www.amazon.com/Natural-Deodorant-Men-Deodorant-Protection/dp/B089DN1WDJ/ref=sr_1_7?keywords=Tea+Tree+Natural+Deodorant&amp;qid=1695258704&amp;sr=8-7</v>
      </c>
      <c r="F745" t="s">
        <v>1898</v>
      </c>
      <c r="G745" t="e">
        <f ca="1">IMAGE("https://heavenlyouthouse.com/cdn/shop/products/Rocky-Mountain-Soap-Co-tea-tree-Natural-Deodorant.jpg?v=1633542749")</f>
        <v>#NAME?</v>
      </c>
      <c r="H745" t="e">
        <f ca="1">IMAGE("https://m.media-amazon.com/images/I/71BGHgXEmWL._AC_UL320_.jpg")</f>
        <v>#NAME?</v>
      </c>
      <c r="I745" t="s">
        <v>427</v>
      </c>
      <c r="J745">
        <v>9.8800000000000008</v>
      </c>
      <c r="K745" s="2" t="s">
        <v>1890</v>
      </c>
      <c r="L745">
        <v>3.8</v>
      </c>
      <c r="M745">
        <v>2932</v>
      </c>
      <c r="O745" t="s">
        <v>39</v>
      </c>
      <c r="P745" t="s">
        <v>428</v>
      </c>
      <c r="Q745" t="s">
        <v>429</v>
      </c>
    </row>
    <row r="746" spans="1:17" ht="15.75" x14ac:dyDescent="0.25">
      <c r="A746" s="3" t="str">
        <f>HYPERLINK("https://heavenlyouthouse.com/products/totally-my-jam-card", "https://heavenlyouthouse.com/products/totally-my-jam-card")</f>
        <v>https://heavenlyouthouse.com/products/totally-my-jam-card</v>
      </c>
      <c r="B746" s="3" t="str">
        <f>HYPERLINK("https://heavenlyouthouse.com/products/totally-my-jam-card", "https://heavenlyouthouse.com/products/totally-my-jam-card")</f>
        <v>https://heavenlyouthouse.com/products/totally-my-jam-card</v>
      </c>
      <c r="C746" t="s">
        <v>451</v>
      </c>
      <c r="D746" t="s">
        <v>1899</v>
      </c>
      <c r="E746" s="3" t="str">
        <f>HYPERLINK("https://www.amazon.com/Valentine-Occasion-Valentines-Greeting-AmandaCreation/dp/B09QKFJ2F6/ref=sr_1_3?keywords=You%27re+Totally+My+Jam+Card&amp;qid=1695258835&amp;sr=8-3", "https://www.amazon.com/Valentine-Occasion-Valentines-Greeting-AmandaCreation/dp/B09QKFJ2F6/ref=sr_1_3?keywords=You%27re+Totally+My+Jam+Card&amp;qid=1695258835&amp;sr=8-3")</f>
        <v>https://www.amazon.com/Valentine-Occasion-Valentines-Greeting-AmandaCreation/dp/B09QKFJ2F6/ref=sr_1_3?keywords=You%27re+Totally+My+Jam+Card&amp;qid=1695258835&amp;sr=8-3</v>
      </c>
      <c r="F746" t="s">
        <v>1900</v>
      </c>
      <c r="G746" t="e">
        <f ca="1">IMAGE("https://heavenlyouthouse.com/cdn/shop/files/totally-my-jam-card5_300x300.jpg?v=1692035564")</f>
        <v>#NAME?</v>
      </c>
      <c r="H746" t="e">
        <f ca="1">IMAGE("https://m.media-amazon.com/images/I/5123IdX4J8L._AC_UL320_.jpg")</f>
        <v>#NAME?</v>
      </c>
      <c r="I746" t="s">
        <v>454</v>
      </c>
      <c r="J746">
        <v>5.99</v>
      </c>
      <c r="K746" s="2" t="s">
        <v>1901</v>
      </c>
      <c r="L746">
        <v>4.5</v>
      </c>
      <c r="M746">
        <v>2</v>
      </c>
      <c r="O746" t="s">
        <v>39</v>
      </c>
      <c r="P746" t="s">
        <v>39</v>
      </c>
      <c r="Q746" t="s">
        <v>456</v>
      </c>
    </row>
    <row r="747" spans="1:17" ht="15.75" x14ac:dyDescent="0.25">
      <c r="A747" s="3" t="str">
        <f>HYPERLINK("https://heavenlyouthouse.com/products/you-did-it-graduation-card", "https://heavenlyouthouse.com/products/you-did-it-graduation-card")</f>
        <v>https://heavenlyouthouse.com/products/you-did-it-graduation-card</v>
      </c>
      <c r="B747" s="3" t="str">
        <f>HYPERLINK("https://heavenlyouthouse.com/products/you-did-it-graduation-card", "https://heavenlyouthouse.com/products/you-did-it-graduation-card")</f>
        <v>https://heavenlyouthouse.com/products/you-did-it-graduation-card</v>
      </c>
      <c r="C747" t="s">
        <v>851</v>
      </c>
      <c r="D747" t="s">
        <v>1902</v>
      </c>
      <c r="E747" s="3" t="str">
        <f>HYPERLINK("https://www.amazon.com/Hallmark-Signature-Congratulations-Card-599RZH8005/dp/B08NR7TTY4/ref=sr_1_1?keywords=You+Did+It+Graduation+Card&amp;qid=1695258832&amp;sr=8-1", "https://www.amazon.com/Hallmark-Signature-Congratulations-Card-599RZH8005/dp/B08NR7TTY4/ref=sr_1_1?keywords=You+Did+It+Graduation+Card&amp;qid=1695258832&amp;sr=8-1")</f>
        <v>https://www.amazon.com/Hallmark-Signature-Congratulations-Card-599RZH8005/dp/B08NR7TTY4/ref=sr_1_1?keywords=You+Did+It+Graduation+Card&amp;qid=1695258832&amp;sr=8-1</v>
      </c>
      <c r="F747" t="s">
        <v>1903</v>
      </c>
      <c r="G747" t="e">
        <f ca="1">IMAGE("https://heavenlyouthouse.com/cdn/shop/products/papyrus-graduation-card-airplane-flying-around-glo_1.jpg?v=1642617008")</f>
        <v>#NAME?</v>
      </c>
      <c r="H747" t="e">
        <f ca="1">IMAGE("https://m.media-amazon.com/images/I/81FuGWZnngS._AC_UL320_.jpg")</f>
        <v>#NAME?</v>
      </c>
      <c r="I747" t="s">
        <v>454</v>
      </c>
      <c r="J747">
        <v>5.99</v>
      </c>
      <c r="K747" s="2" t="s">
        <v>1901</v>
      </c>
      <c r="L747">
        <v>4.8</v>
      </c>
      <c r="M747">
        <v>174</v>
      </c>
      <c r="O747" t="s">
        <v>39</v>
      </c>
      <c r="P747" t="s">
        <v>39</v>
      </c>
      <c r="Q747" t="s">
        <v>854</v>
      </c>
    </row>
    <row r="748" spans="1:17" ht="15.75" x14ac:dyDescent="0.25">
      <c r="A748" s="3" t="str">
        <f>HYPERLINK("https://heavenlyouthouse.com/products/youre-my-butter-half-love-card", "https://heavenlyouthouse.com/products/youre-my-butter-half-love-card")</f>
        <v>https://heavenlyouthouse.com/products/youre-my-butter-half-love-card</v>
      </c>
      <c r="B748" s="3" t="str">
        <f>HYPERLINK("https://heavenlyouthouse.com/products/youre-my-butter-half-love-card", "https://heavenlyouthouse.com/products/youre-my-butter-half-love-card")</f>
        <v>https://heavenlyouthouse.com/products/youre-my-butter-half-love-card</v>
      </c>
      <c r="C748" t="s">
        <v>457</v>
      </c>
      <c r="D748" t="s">
        <v>1899</v>
      </c>
      <c r="E748" s="3" t="str">
        <f>HYPERLINK("https://www.amazon.com/Valentine-Occasion-Valentines-Greeting-AmandaCreation/dp/B09QKFJ2F6/ref=sr_1_3?keywords=You%27re+My+Butter+Half+Valentine%27s+Day+Card&amp;qid=1695258836&amp;sr=8-3", "https://www.amazon.com/Valentine-Occasion-Valentines-Greeting-AmandaCreation/dp/B09QKFJ2F6/ref=sr_1_3?keywords=You%27re+My+Butter+Half+Valentine%27s+Day+Card&amp;qid=1695258836&amp;sr=8-3")</f>
        <v>https://www.amazon.com/Valentine-Occasion-Valentines-Greeting-AmandaCreation/dp/B09QKFJ2F6/ref=sr_1_3?keywords=You%27re+My+Butter+Half+Valentine%27s+Day+Card&amp;qid=1695258836&amp;sr=8-3</v>
      </c>
      <c r="F748" t="s">
        <v>1900</v>
      </c>
      <c r="G748" t="e">
        <f ca="1">IMAGE("https://heavenlyouthouse.com/cdn/shop/files/https___images.salsify.com_image_upload_q_70_otc91jh250m8x2z12cbb_300x300.jpg?v=1685401797")</f>
        <v>#NAME?</v>
      </c>
      <c r="H748" t="e">
        <f ca="1">IMAGE("https://m.media-amazon.com/images/I/5123IdX4J8L._AC_UL320_.jpg")</f>
        <v>#NAME?</v>
      </c>
      <c r="I748" t="s">
        <v>454</v>
      </c>
      <c r="J748">
        <v>5.99</v>
      </c>
      <c r="K748" s="2" t="s">
        <v>1901</v>
      </c>
      <c r="L748">
        <v>4.5</v>
      </c>
      <c r="M748">
        <v>2</v>
      </c>
      <c r="O748" t="s">
        <v>39</v>
      </c>
      <c r="P748" t="s">
        <v>39</v>
      </c>
      <c r="Q748" t="s">
        <v>458</v>
      </c>
    </row>
    <row r="749" spans="1:17" ht="15.75" x14ac:dyDescent="0.25">
      <c r="A749" s="3" t="str">
        <f>HYPERLINK("https://heavenlyouthouse.com/products/kimono-rose-body-lotion", "https://heavenlyouthouse.com/products/kimono-rose-body-lotion")</f>
        <v>https://heavenlyouthouse.com/products/kimono-rose-body-lotion</v>
      </c>
      <c r="B749" s="3" t="str">
        <f>HYPERLINK("https://heavenlyouthouse.com/products/kimono-rose-body-lotion", "https://heavenlyouthouse.com/products/kimono-rose-body-lotion")</f>
        <v>https://heavenlyouthouse.com/products/kimono-rose-body-lotion</v>
      </c>
      <c r="C749" t="s">
        <v>1301</v>
      </c>
      <c r="D749" t="s">
        <v>1904</v>
      </c>
      <c r="E749" s="3" t="str">
        <f>HYPERLINK("https://www.amazon.com/Thymes-Body-Serum-Kimono-Rose/dp/B0B1G4B6VM/ref=sr_1_7?keywords=Thymes+Kimono+Rose+Body+Lotion&amp;qid=1695258757&amp;sr=8-7", "https://www.amazon.com/Thymes-Body-Serum-Kimono-Rose/dp/B0B1G4B6VM/ref=sr_1_7?keywords=Thymes+Kimono+Rose+Body+Lotion&amp;qid=1695258757&amp;sr=8-7")</f>
        <v>https://www.amazon.com/Thymes-Body-Serum-Kimono-Rose/dp/B0B1G4B6VM/ref=sr_1_7?keywords=Thymes+Kimono+Rose+Body+Lotion&amp;qid=1695258757&amp;sr=8-7</v>
      </c>
      <c r="F749" t="s">
        <v>1905</v>
      </c>
      <c r="G749" t="e">
        <f ca="1">IMAGE("https://heavenlyouthouse.com/cdn/shop/products/thymes-kimono-rose-body-lotion_103ffa33-d927-4c1c-a6c8-86492c96b160.png?v=1652277106")</f>
        <v>#NAME?</v>
      </c>
      <c r="H749" t="e">
        <f ca="1">IMAGE("https://m.media-amazon.com/images/I/51BDMWuk6aL._AC_UL320_.jpg")</f>
        <v>#NAME?</v>
      </c>
      <c r="I749" t="s">
        <v>1233</v>
      </c>
      <c r="J749">
        <v>26</v>
      </c>
      <c r="K749" s="2" t="s">
        <v>1901</v>
      </c>
      <c r="L749">
        <v>4.4000000000000004</v>
      </c>
      <c r="M749">
        <v>36</v>
      </c>
      <c r="O749" t="s">
        <v>39</v>
      </c>
      <c r="P749" t="s">
        <v>1302</v>
      </c>
      <c r="Q749" t="s">
        <v>1303</v>
      </c>
    </row>
    <row r="750" spans="1:17" ht="15.75" x14ac:dyDescent="0.25">
      <c r="A750" s="3" t="str">
        <f>HYPERLINK("https://heavenlyouthouse.com/products/whiskey-mens-crew-socks", "https://heavenlyouthouse.com/products/whiskey-mens-crew-socks")</f>
        <v>https://heavenlyouthouse.com/products/whiskey-mens-crew-socks</v>
      </c>
      <c r="B750" s="3" t="str">
        <f>HYPERLINK("https://heavenlyouthouse.com/products/whiskey-mens-crew-socks", "https://heavenlyouthouse.com/products/whiskey-mens-crew-socks")</f>
        <v>https://heavenlyouthouse.com/products/whiskey-mens-crew-socks</v>
      </c>
      <c r="C750" t="s">
        <v>1665</v>
      </c>
      <c r="D750" t="s">
        <v>1906</v>
      </c>
      <c r="E750" s="3" t="str">
        <f>HYPERLINK("https://www.amazon.com/Hot-Sox-Mens-Whiskey-Helps/dp/B0B88VWGSL/ref=sr_1_1?keywords=Whiskey+Mens+Crew+Socks&amp;qid=1695258823&amp;sr=8-1", "https://www.amazon.com/Hot-Sox-Mens-Whiskey-Helps/dp/B0B88VWGSL/ref=sr_1_1?keywords=Whiskey+Mens+Crew+Socks&amp;qid=1695258823&amp;sr=8-1")</f>
        <v>https://www.amazon.com/Hot-Sox-Mens-Whiskey-Helps/dp/B0B88VWGSL/ref=sr_1_1?keywords=Whiskey+Mens+Crew+Socks&amp;qid=1695258823&amp;sr=8-1</v>
      </c>
      <c r="F750" t="s">
        <v>1907</v>
      </c>
      <c r="G750" t="e">
        <f ca="1">IMAGE("https://heavenlyouthouse.com/cdn/shop/files/blue-q-cool-whiskey-men_s-socks_300x300.jpg?v=1689179660")</f>
        <v>#NAME?</v>
      </c>
      <c r="H750" t="e">
        <f ca="1">IMAGE("https://m.media-amazon.com/images/I/81hqLS1RZxL._AC_UL320_.jpg")</f>
        <v>#NAME?</v>
      </c>
      <c r="I750" t="s">
        <v>802</v>
      </c>
      <c r="J750">
        <v>14</v>
      </c>
      <c r="K750" s="2" t="s">
        <v>1901</v>
      </c>
      <c r="L750">
        <v>4.8</v>
      </c>
      <c r="M750">
        <v>2378</v>
      </c>
      <c r="O750" t="s">
        <v>39</v>
      </c>
      <c r="P750" t="s">
        <v>803</v>
      </c>
      <c r="Q750" t="s">
        <v>1668</v>
      </c>
    </row>
    <row r="751" spans="1:17" ht="15.75" x14ac:dyDescent="0.25">
      <c r="A751" s="3" t="str">
        <f>HYPERLINK("https://heavenlyouthouse.com/products/whippersnapper-mens-crew-socks", "https://heavenlyouthouse.com/products/whippersnapper-mens-crew-socks")</f>
        <v>https://heavenlyouthouse.com/products/whippersnapper-mens-crew-socks</v>
      </c>
      <c r="B751" s="3" t="str">
        <f>HYPERLINK("https://heavenlyouthouse.com/products/whippersnapper-mens-crew-socks", "https://heavenlyouthouse.com/products/whippersnapper-mens-crew-socks")</f>
        <v>https://heavenlyouthouse.com/products/whippersnapper-mens-crew-socks</v>
      </c>
      <c r="C751" t="s">
        <v>1130</v>
      </c>
      <c r="D751" t="s">
        <v>1908</v>
      </c>
      <c r="E751" s="3" t="str">
        <f>HYPERLINK("https://www.amazon.com/WeciBor-Colorful-Striped-Casual-Combed/dp/B07FR23LN4/ref=sr_1_10?keywords=Whippersnapper+Mens+Crew+Socks&amp;qid=1695258826&amp;sr=8-10", "https://www.amazon.com/WeciBor-Colorful-Striped-Casual-Combed/dp/B07FR23LN4/ref=sr_1_10?keywords=Whippersnapper+Mens+Crew+Socks&amp;qid=1695258826&amp;sr=8-10")</f>
        <v>https://www.amazon.com/WeciBor-Colorful-Striped-Casual-Combed/dp/B07FR23LN4/ref=sr_1_10?keywords=Whippersnapper+Mens+Crew+Socks&amp;qid=1695258826&amp;sr=8-10</v>
      </c>
      <c r="F751" t="s">
        <v>1909</v>
      </c>
      <c r="G751" t="e">
        <f ca="1">IMAGE("https://heavenlyouthouse.com/cdn/shop/files/blue-q-cool-whippersnapper-men_s-socks_300x300.jpg?v=1689186599")</f>
        <v>#NAME?</v>
      </c>
      <c r="H751" t="e">
        <f ca="1">IMAGE("https://m.media-amazon.com/images/I/81Q51ZvHgKL._AC_UL320_.jpg")</f>
        <v>#NAME?</v>
      </c>
      <c r="I751" t="s">
        <v>802</v>
      </c>
      <c r="J751">
        <v>13.99</v>
      </c>
      <c r="K751" s="2" t="s">
        <v>1901</v>
      </c>
      <c r="L751">
        <v>4.7</v>
      </c>
      <c r="M751">
        <v>14324</v>
      </c>
      <c r="O751" t="s">
        <v>39</v>
      </c>
      <c r="P751" t="s">
        <v>803</v>
      </c>
      <c r="Q751" t="s">
        <v>1133</v>
      </c>
    </row>
    <row r="752" spans="1:17" ht="15.75" x14ac:dyDescent="0.25">
      <c r="A752" s="3" t="str">
        <f>HYPERLINK("https://heavenlyouthouse.com/products/pumice-stone", "https://heavenlyouthouse.com/products/pumice-stone")</f>
        <v>https://heavenlyouthouse.com/products/pumice-stone</v>
      </c>
      <c r="B752" s="3" t="str">
        <f>HYPERLINK("https://heavenlyouthouse.com/products/pumice-stone", "https://heavenlyouthouse.com/products/pumice-stone")</f>
        <v>https://heavenlyouthouse.com/products/pumice-stone</v>
      </c>
      <c r="C752" t="s">
        <v>213</v>
      </c>
      <c r="D752" t="s">
        <v>1910</v>
      </c>
      <c r="E752" s="3" t="str">
        <f>HYPERLINK("https://www.amazon.com/Lenicany-Cleaning-Powerfully-Rings%EF%BC%8CCalcium-Suitable/dp/B09PC1W676/ref=sr_1_3?keywords=Pumice+Stone&amp;qid=1695258677&amp;sr=8-3", "https://www.amazon.com/Lenicany-Cleaning-Powerfully-Rings%EF%BC%8CCalcium-Suitable/dp/B09PC1W676/ref=sr_1_3?keywords=Pumice+Stone&amp;qid=1695258677&amp;sr=8-3")</f>
        <v>https://www.amazon.com/Lenicany-Cleaning-Powerfully-Rings%EF%BC%8CCalcium-Suitable/dp/B09PC1W676/ref=sr_1_3?keywords=Pumice+Stone&amp;qid=1695258677&amp;sr=8-3</v>
      </c>
      <c r="F752" t="s">
        <v>1911</v>
      </c>
      <c r="G752" t="e">
        <f ca="1">IMAGE("https://heavenlyouthouse.com/cdn/shop/products/Pumice-Stone_2048_2000x_ede24df3-a286-42b7-ba0b-778cf1147f6b.jpg?v=1587064261")</f>
        <v>#NAME?</v>
      </c>
      <c r="H752" t="e">
        <f ca="1">IMAGE("https://m.media-amazon.com/images/I/91q3WRCNkDL._AC_UL320_.jpg")</f>
        <v>#NAME?</v>
      </c>
      <c r="I752" t="s">
        <v>216</v>
      </c>
      <c r="J752">
        <v>6.99</v>
      </c>
      <c r="K752" s="2" t="s">
        <v>1901</v>
      </c>
      <c r="L752">
        <v>4.5999999999999996</v>
      </c>
      <c r="M752">
        <v>4060</v>
      </c>
      <c r="O752" t="s">
        <v>39</v>
      </c>
      <c r="P752" t="s">
        <v>218</v>
      </c>
      <c r="Q752" t="s">
        <v>219</v>
      </c>
    </row>
    <row r="753" spans="1:17" ht="15.75" x14ac:dyDescent="0.25">
      <c r="A753" s="3" t="str">
        <f>HYPERLINK("https://heavenlyouthouse.com/products/thymes-frasier-fir-all-purpose-cleaning-concentrate", "https://heavenlyouthouse.com/products/thymes-frasier-fir-all-purpose-cleaning-concentrate")</f>
        <v>https://heavenlyouthouse.com/products/thymes-frasier-fir-all-purpose-cleaning-concentrate</v>
      </c>
      <c r="B753" s="3" t="str">
        <f>HYPERLINK("https://heavenlyouthouse.com/products/thymes-frasier-fir-all-purpose-cleaning-concentrate", "https://heavenlyouthouse.com/products/thymes-frasier-fir-all-purpose-cleaning-concentrate")</f>
        <v>https://heavenlyouthouse.com/products/thymes-frasier-fir-all-purpose-cleaning-concentrate</v>
      </c>
      <c r="C753" t="s">
        <v>1912</v>
      </c>
      <c r="D753" t="s">
        <v>1548</v>
      </c>
      <c r="E753" s="3" t="str">
        <f>HYPERLINK("https://www.amazon.com/Thymes-Frasier-All-Purpose-Cleaner-Bottle/dp/B00ZGRL3CG/ref=sr_1_1?keywords=Thymes+Frasier+Fir+All+Purpose+Cleaning+Concentrate&amp;qid=1695258726&amp;sr=8-1", "https://www.amazon.com/Thymes-Frasier-All-Purpose-Cleaner-Bottle/dp/B00ZGRL3CG/ref=sr_1_1?keywords=Thymes+Frasier+Fir+All+Purpose+Cleaning+Concentrate&amp;qid=1695258726&amp;sr=8-1")</f>
        <v>https://www.amazon.com/Thymes-Frasier-All-Purpose-Cleaner-Bottle/dp/B00ZGRL3CG/ref=sr_1_1?keywords=Thymes+Frasier+Fir+All+Purpose+Cleaning+Concentrate&amp;qid=1695258726&amp;sr=8-1</v>
      </c>
      <c r="F753" t="s">
        <v>1549</v>
      </c>
      <c r="G753" t="e">
        <f ca="1">IMAGE("https://heavenlyouthouse.com/cdn/shop/products/thymes-frasier-fir-all-purpose-cleaning-concentrate.jpg?v=1638216293")</f>
        <v>#NAME?</v>
      </c>
      <c r="H753" t="e">
        <f ca="1">IMAGE("https://m.media-amazon.com/images/I/61yVsUfWiEL._AC_UL320_.jpg")</f>
        <v>#NAME?</v>
      </c>
      <c r="I753" t="s">
        <v>1453</v>
      </c>
      <c r="J753">
        <v>16</v>
      </c>
      <c r="K753" s="2" t="s">
        <v>1901</v>
      </c>
      <c r="L753">
        <v>4.7</v>
      </c>
      <c r="M753">
        <v>1426</v>
      </c>
      <c r="O753" t="s">
        <v>39</v>
      </c>
      <c r="P753" t="s">
        <v>1748</v>
      </c>
      <c r="Q753" t="s">
        <v>1913</v>
      </c>
    </row>
    <row r="754" spans="1:17" ht="15.75" x14ac:dyDescent="0.25">
      <c r="A754" s="3" t="str">
        <f>HYPERLINK("https://heavenlyouthouse.com/products/welcome-to-my-cooking-show-oven-mitt", "https://heavenlyouthouse.com/products/welcome-to-my-cooking-show-oven-mitt")</f>
        <v>https://heavenlyouthouse.com/products/welcome-to-my-cooking-show-oven-mitt</v>
      </c>
      <c r="B754" s="3" t="str">
        <f>HYPERLINK("https://heavenlyouthouse.com/products/welcome-to-my-cooking-show-oven-mitt", "https://heavenlyouthouse.com/products/welcome-to-my-cooking-show-oven-mitt")</f>
        <v>https://heavenlyouthouse.com/products/welcome-to-my-cooking-show-oven-mitt</v>
      </c>
      <c r="C754" t="s">
        <v>1745</v>
      </c>
      <c r="D754" t="s">
        <v>1914</v>
      </c>
      <c r="E754" s="3" t="str">
        <f>HYPERLINK("https://www.amazon.com/Holders-2%EF%BC%8CFunny-Mitt%EF%BC%8CSilicone-Non-Slip-Grilling/dp/B0BYKGFMX9/ref=sr_1_4?keywords=Welcome+To+My+Cooking+Show%21+Oven+Mitt&amp;qid=1695258826&amp;sr=8-4", "https://www.amazon.com/Holders-2%EF%BC%8CFunny-Mitt%EF%BC%8CSilicone-Non-Slip-Grilling/dp/B0BYKGFMX9/ref=sr_1_4?keywords=Welcome+To+My+Cooking+Show%21+Oven+Mitt&amp;qid=1695258826&amp;sr=8-4")</f>
        <v>https://www.amazon.com/Holders-2%EF%BC%8CFunny-Mitt%EF%BC%8CSilicone-Non-Slip-Grilling/dp/B0BYKGFMX9/ref=sr_1_4?keywords=Welcome+To+My+Cooking+Show%21+Oven+Mitt&amp;qid=1695258826&amp;sr=8-4</v>
      </c>
      <c r="F754" t="s">
        <v>1915</v>
      </c>
      <c r="G754" t="e">
        <f ca="1">IMAGE("https://heavenlyouthouse.com/cdn/shop/files/blue-q-cooking-show-oven-mitt_300x300.jpg?v=1689188647")</f>
        <v>#NAME?</v>
      </c>
      <c r="H754" t="e">
        <f ca="1">IMAGE("https://m.media-amazon.com/images/I/91QrssyQlbL._AC_UL320_.jpg")</f>
        <v>#NAME?</v>
      </c>
      <c r="I754" t="s">
        <v>1453</v>
      </c>
      <c r="J754">
        <v>15.99</v>
      </c>
      <c r="K754" s="2" t="s">
        <v>1901</v>
      </c>
      <c r="L754">
        <v>5</v>
      </c>
      <c r="M754">
        <v>2</v>
      </c>
      <c r="O754" t="s">
        <v>39</v>
      </c>
      <c r="P754" t="s">
        <v>1748</v>
      </c>
      <c r="Q754" t="s">
        <v>1749</v>
      </c>
    </row>
    <row r="755" spans="1:17" ht="15.75" x14ac:dyDescent="0.25">
      <c r="A755" s="3" t="str">
        <f>HYPERLINK("https://heavenlyouthouse.com/products/thank-you-hand-rescue", "https://heavenlyouthouse.com/products/thank-you-hand-rescue")</f>
        <v>https://heavenlyouthouse.com/products/thank-you-hand-rescue</v>
      </c>
      <c r="B755" s="3" t="str">
        <f>HYPERLINK("https://heavenlyouthouse.com/products/thank-you-hand-rescue", "https://heavenlyouthouse.com/products/thank-you-hand-rescue")</f>
        <v>https://heavenlyouthouse.com/products/thank-you-hand-rescue</v>
      </c>
      <c r="C755" t="s">
        <v>1019</v>
      </c>
      <c r="D755" t="s">
        <v>1916</v>
      </c>
      <c r="E755" s="3" t="str">
        <f>HYPERLINK("https://www.amazon.com/Firefighter-Dalmatian-Thank-Favor-Tags/dp/B06ZZQ4ZFB/ref=sr_1_2?keywords=Thank+You+Hand+Rescue&amp;qid=1695258716&amp;sr=8-2", "https://www.amazon.com/Firefighter-Dalmatian-Thank-Favor-Tags/dp/B06ZZQ4ZFB/ref=sr_1_2?keywords=Thank+You+Hand+Rescue&amp;qid=1695258716&amp;sr=8-2")</f>
        <v>https://www.amazon.com/Firefighter-Dalmatian-Thank-Favor-Tags/dp/B06ZZQ4ZFB/ref=sr_1_2?keywords=Thank+You+Hand+Rescue&amp;qid=1695258716&amp;sr=8-2</v>
      </c>
      <c r="F755" t="s">
        <v>1917</v>
      </c>
      <c r="G755" t="e">
        <f ca="1">IMAGE("https://heavenlyouthouse.com/cdn/shop/products/HCTHANK.jpg?v=1587779637")</f>
        <v>#NAME?</v>
      </c>
      <c r="H755" t="e">
        <f ca="1">IMAGE("https://m.media-amazon.com/images/I/91lmSQ8clVL._AC_UL320_.jpg")</f>
        <v>#NAME?</v>
      </c>
      <c r="I755" t="s">
        <v>439</v>
      </c>
      <c r="J755">
        <v>12.5</v>
      </c>
      <c r="K755" s="2" t="s">
        <v>1901</v>
      </c>
      <c r="L755">
        <v>5</v>
      </c>
      <c r="M755">
        <v>4</v>
      </c>
      <c r="O755" t="s">
        <v>39</v>
      </c>
      <c r="P755" t="s">
        <v>1022</v>
      </c>
      <c r="Q755" t="s">
        <v>1023</v>
      </c>
    </row>
    <row r="756" spans="1:17" ht="15.75" x14ac:dyDescent="0.25">
      <c r="A756" s="3" t="str">
        <f>HYPERLINK("https://heavenlyouthouse.com/products/thymes-frasier-fir-gilded-gold-pine-needle-candle", "https://heavenlyouthouse.com/products/thymes-frasier-fir-gilded-gold-pine-needle-candle")</f>
        <v>https://heavenlyouthouse.com/products/thymes-frasier-fir-gilded-gold-pine-needle-candle</v>
      </c>
      <c r="B756" s="3" t="str">
        <f>HYPERLINK("https://heavenlyouthouse.com/products/thymes-frasier-fir-gilded-gold-pine-needle-candle", "https://heavenlyouthouse.com/products/thymes-frasier-fir-gilded-gold-pine-needle-candle")</f>
        <v>https://heavenlyouthouse.com/products/thymes-frasier-fir-gilded-gold-pine-needle-candle</v>
      </c>
      <c r="C756" t="s">
        <v>972</v>
      </c>
      <c r="D756" t="s">
        <v>945</v>
      </c>
      <c r="E756" s="3" t="str">
        <f>HYPERLINK("https://www.amazon.com/Thymes-Silver-Needle-Frasier-Candle/dp/B0B9CG2F5Y/ref=sr_1_7?keywords=Thymes+Frasier+Fir+Gilded+Gold+Pine+Needle+Candle&amp;qid=1695258732&amp;sr=8-7", "https://www.amazon.com/Thymes-Silver-Needle-Frasier-Candle/dp/B0B9CG2F5Y/ref=sr_1_7?keywords=Thymes+Frasier+Fir+Gilded+Gold+Pine+Needle+Candle&amp;qid=1695258732&amp;sr=8-7")</f>
        <v>https://www.amazon.com/Thymes-Silver-Needle-Frasier-Candle/dp/B0B9CG2F5Y/ref=sr_1_7?keywords=Thymes+Frasier+Fir+Gilded+Gold+Pine+Needle+Candle&amp;qid=1695258732&amp;sr=8-7</v>
      </c>
      <c r="F756" t="s">
        <v>946</v>
      </c>
      <c r="G756" t="e">
        <f ca="1">IMAGE("https://heavenlyouthouse.com/cdn/shop/files/thymes-frasier-fir-gilded-pine-needle-gold-candle_300x300.jpg?v=1692209396")</f>
        <v>#NAME?</v>
      </c>
      <c r="H756" t="e">
        <f ca="1">IMAGE("https://m.media-amazon.com/images/I/61QrKA8Z9cL._AC_UL320_.jpg")</f>
        <v>#NAME?</v>
      </c>
      <c r="I756" t="s">
        <v>973</v>
      </c>
      <c r="J756">
        <v>36</v>
      </c>
      <c r="K756" s="2" t="s">
        <v>1918</v>
      </c>
      <c r="L756">
        <v>5</v>
      </c>
      <c r="M756">
        <v>2</v>
      </c>
      <c r="O756" t="s">
        <v>39</v>
      </c>
      <c r="P756" t="s">
        <v>974</v>
      </c>
      <c r="Q756" t="s">
        <v>975</v>
      </c>
    </row>
    <row r="757" spans="1:17" ht="15.75" x14ac:dyDescent="0.25">
      <c r="A757" s="3" t="str">
        <f>HYPERLINK("https://heavenlyouthouse.com/products/restorative-face-serum", "https://heavenlyouthouse.com/products/restorative-face-serum")</f>
        <v>https://heavenlyouthouse.com/products/restorative-face-serum</v>
      </c>
      <c r="B757" s="3" t="str">
        <f>HYPERLINK("https://heavenlyouthouse.com/products/restorative-face-serum", "https://heavenlyouthouse.com/products/restorative-face-serum")</f>
        <v>https://heavenlyouthouse.com/products/restorative-face-serum</v>
      </c>
      <c r="C757" t="s">
        <v>172</v>
      </c>
      <c r="D757" t="s">
        <v>1919</v>
      </c>
      <c r="E757" s="3" t="str">
        <f>HYPERLINK("https://www.amazon.com/Ageless-Defense-Restorative-Astaxanthin-Resveratrol/dp/B08748WJC2/ref=sr_1_3?keywords=Restorative+Face+Serum&amp;qid=1695258665&amp;sr=8-3", "https://www.amazon.com/Ageless-Defense-Restorative-Astaxanthin-Resveratrol/dp/B08748WJC2/ref=sr_1_3?keywords=Restorative+Face+Serum&amp;qid=1695258665&amp;sr=8-3")</f>
        <v>https://www.amazon.com/Ageless-Defense-Restorative-Astaxanthin-Resveratrol/dp/B08748WJC2/ref=sr_1_3?keywords=Restorative+Face+Serum&amp;qid=1695258665&amp;sr=8-3</v>
      </c>
      <c r="F757" t="s">
        <v>1920</v>
      </c>
      <c r="G757" t="e">
        <f ca="1">IMAGE("https://heavenlyouthouse.com/cdn/shop/products/Rocky-Mountain-Soap-Company-Face-serum-restorative.jpg?v=1628190288")</f>
        <v>#NAME?</v>
      </c>
      <c r="H757" t="e">
        <f ca="1">IMAGE("https://m.media-amazon.com/images/I/61QlrA7lMJL._AC_UL320_.jpg")</f>
        <v>#NAME?</v>
      </c>
      <c r="I757" t="s">
        <v>175</v>
      </c>
      <c r="J757">
        <v>27</v>
      </c>
      <c r="K757" s="2" t="s">
        <v>1918</v>
      </c>
      <c r="L757">
        <v>4</v>
      </c>
      <c r="M757">
        <v>79</v>
      </c>
      <c r="O757" t="s">
        <v>39</v>
      </c>
      <c r="P757" t="s">
        <v>177</v>
      </c>
      <c r="Q757" t="s">
        <v>178</v>
      </c>
    </row>
    <row r="758" spans="1:17" ht="15.75" x14ac:dyDescent="0.25">
      <c r="A758" s="3" t="str">
        <f>HYPERLINK("https://heavenlyouthouse.com/products/vanilla-coconut-body-lotion", "https://heavenlyouthouse.com/products/vanilla-coconut-body-lotion")</f>
        <v>https://heavenlyouthouse.com/products/vanilla-coconut-body-lotion</v>
      </c>
      <c r="B758" s="3" t="str">
        <f>HYPERLINK("https://heavenlyouthouse.com/products/vanilla-coconut-body-lotion", "https://heavenlyouthouse.com/products/vanilla-coconut-body-lotion")</f>
        <v>https://heavenlyouthouse.com/products/vanilla-coconut-body-lotion</v>
      </c>
      <c r="C758" t="s">
        <v>396</v>
      </c>
      <c r="D758" t="s">
        <v>1921</v>
      </c>
      <c r="E758" s="3" t="str">
        <f>HYPERLINK("https://www.amazon.com/Victorias-Secret-Lotion-Coconut-Passion/dp/B00J4XYN1Q/ref=sr_1_3?keywords=Vanilla+Coconut+Body+Lotion&amp;qid=1695258813&amp;sr=8-3", "https://www.amazon.com/Victorias-Secret-Lotion-Coconut-Passion/dp/B00J4XYN1Q/ref=sr_1_3?keywords=Vanilla+Coconut+Body+Lotion&amp;qid=1695258813&amp;sr=8-3")</f>
        <v>https://www.amazon.com/Victorias-Secret-Lotion-Coconut-Passion/dp/B00J4XYN1Q/ref=sr_1_3?keywords=Vanilla+Coconut+Body+Lotion&amp;qid=1695258813&amp;sr=8-3</v>
      </c>
      <c r="F758" t="s">
        <v>1922</v>
      </c>
      <c r="G758" t="e">
        <f ca="1">IMAGE("https://heavenlyouthouse.com/cdn/shop/products/Vanilla-Coconut_Body-Lotion_2048_2000x_f9dbe99f-03d5-4b01-984d-3ca76d1c9785.jpg?v=1586911459")</f>
        <v>#NAME?</v>
      </c>
      <c r="H758" t="e">
        <f ca="1">IMAGE("https://m.media-amazon.com/images/I/612yB5ldqKL._AC_UL320_.jpg")</f>
        <v>#NAME?</v>
      </c>
      <c r="I758" t="s">
        <v>399</v>
      </c>
      <c r="J758">
        <v>14.5</v>
      </c>
      <c r="K758" s="2" t="s">
        <v>1918</v>
      </c>
      <c r="L758">
        <v>4.5999999999999996</v>
      </c>
      <c r="M758">
        <v>8683</v>
      </c>
      <c r="O758" t="s">
        <v>39</v>
      </c>
      <c r="P758" t="s">
        <v>39</v>
      </c>
      <c r="Q758" t="s">
        <v>400</v>
      </c>
    </row>
    <row r="759" spans="1:17" ht="15.75" x14ac:dyDescent="0.25">
      <c r="A759" s="3" t="str">
        <f>HYPERLINK("https://heavenlyouthouse.com/products/thymes-goldleaf-body-serum", "https://heavenlyouthouse.com/products/thymes-goldleaf-body-serum")</f>
        <v>https://heavenlyouthouse.com/products/thymes-goldleaf-body-serum</v>
      </c>
      <c r="B759" s="3" t="str">
        <f>HYPERLINK("https://heavenlyouthouse.com/products/thymes-goldleaf-body-serum", "https://heavenlyouthouse.com/products/thymes-goldleaf-body-serum")</f>
        <v>https://heavenlyouthouse.com/products/thymes-goldleaf-body-serum</v>
      </c>
      <c r="C759" t="s">
        <v>1420</v>
      </c>
      <c r="D759" t="s">
        <v>1701</v>
      </c>
      <c r="E759" s="3" t="str">
        <f>HYPERLINK("https://www.amazon.com/Thymes-Goldleaf-Perfumed-270ml-9-25oz/dp/B0746RY96D/ref=sr_1_3?keywords=Thymes+Goldleaf+Body+Serum&amp;qid=1695258751&amp;sr=8-3", "https://www.amazon.com/Thymes-Goldleaf-Perfumed-270ml-9-25oz/dp/B0746RY96D/ref=sr_1_3?keywords=Thymes+Goldleaf+Body+Serum&amp;qid=1695258751&amp;sr=8-3")</f>
        <v>https://www.amazon.com/Thymes-Goldleaf-Perfumed-270ml-9-25oz/dp/B0746RY96D/ref=sr_1_3?keywords=Thymes+Goldleaf+Body+Serum&amp;qid=1695258751&amp;sr=8-3</v>
      </c>
      <c r="F759" t="s">
        <v>1702</v>
      </c>
      <c r="G759" t="e">
        <f ca="1">IMAGE("https://heavenlyouthouse.com/cdn/shop/products/thymes-goldleaf-body-serum.jpg?v=1648150133")</f>
        <v>#NAME?</v>
      </c>
      <c r="H759" t="e">
        <f ca="1">IMAGE("https://m.media-amazon.com/images/I/51EdV+O6YmL._AC_UL320_.jpg")</f>
        <v>#NAME?</v>
      </c>
      <c r="I759" t="s">
        <v>500</v>
      </c>
      <c r="J759">
        <v>24</v>
      </c>
      <c r="K759" s="2" t="s">
        <v>1918</v>
      </c>
      <c r="L759">
        <v>4.5999999999999996</v>
      </c>
      <c r="M759">
        <v>1742</v>
      </c>
      <c r="O759" t="s">
        <v>39</v>
      </c>
      <c r="P759" t="s">
        <v>39</v>
      </c>
      <c r="Q759" t="s">
        <v>1423</v>
      </c>
    </row>
    <row r="760" spans="1:17" ht="15.75" x14ac:dyDescent="0.25">
      <c r="A760" s="3" t="str">
        <f>HYPERLINK("https://heavenlyouthouse.com/products/thymes-frasier-fir-gilded-poured-candle-trio-set", "https://heavenlyouthouse.com/products/thymes-frasier-fir-gilded-poured-candle-trio-set")</f>
        <v>https://heavenlyouthouse.com/products/thymes-frasier-fir-gilded-poured-candle-trio-set</v>
      </c>
      <c r="B760" s="3" t="str">
        <f>HYPERLINK("https://heavenlyouthouse.com/products/thymes-frasier-fir-gilded-poured-candle-trio-set", "https://heavenlyouthouse.com/products/thymes-frasier-fir-gilded-poured-candle-trio-set")</f>
        <v>https://heavenlyouthouse.com/products/thymes-frasier-fir-gilded-poured-candle-trio-set</v>
      </c>
      <c r="C760" t="s">
        <v>1156</v>
      </c>
      <c r="D760" t="s">
        <v>322</v>
      </c>
      <c r="E760" s="3" t="str">
        <f>HYPERLINK("https://www.amazon.com/Thymes-Frasier-Ceramic-Poured-Candle/dp/B07CSC49XB/ref=sr_1_3?keywords=Thymes+Frasier+Fir+Gilded+Poured+Candle+Trio&amp;qid=1695258729&amp;sr=8-3", "https://www.amazon.com/Thymes-Frasier-Ceramic-Poured-Candle/dp/B07CSC49XB/ref=sr_1_3?keywords=Thymes+Frasier+Fir+Gilded+Poured+Candle+Trio&amp;qid=1695258729&amp;sr=8-3")</f>
        <v>https://www.amazon.com/Thymes-Frasier-Ceramic-Poured-Candle/dp/B07CSC49XB/ref=sr_1_3?keywords=Thymes+Frasier+Fir+Gilded+Poured+Candle+Trio&amp;qid=1695258729&amp;sr=8-3</v>
      </c>
      <c r="F760" t="s">
        <v>323</v>
      </c>
      <c r="G760" t="e">
        <f ca="1">IMAGE("https://heavenlyouthouse.com/cdn/shop/products/Thymes-Frasier-Fir-Gilded-ceramic-candle-trio-set.jpg?v=1660769749")</f>
        <v>#NAME?</v>
      </c>
      <c r="H760" t="e">
        <f ca="1">IMAGE("https://m.media-amazon.com/images/I/71XPAmV+lSL._AC_UL320_.jpg")</f>
        <v>#NAME?</v>
      </c>
      <c r="I760" t="s">
        <v>1157</v>
      </c>
      <c r="J760">
        <v>48</v>
      </c>
      <c r="K760" s="2" t="s">
        <v>1918</v>
      </c>
      <c r="L760">
        <v>4.7</v>
      </c>
      <c r="M760">
        <v>218</v>
      </c>
      <c r="O760" t="s">
        <v>39</v>
      </c>
      <c r="P760" t="s">
        <v>39</v>
      </c>
      <c r="Q760" t="s">
        <v>1159</v>
      </c>
    </row>
    <row r="761" spans="1:17" ht="15.75" x14ac:dyDescent="0.25">
      <c r="A761" s="3" t="str">
        <f>HYPERLINK("https://heavenlyouthouse.com/products/pizza-unisex-crew-socks-in-a-box", "https://heavenlyouthouse.com/products/pizza-unisex-crew-socks-in-a-box")</f>
        <v>https://heavenlyouthouse.com/products/pizza-unisex-crew-socks-in-a-box</v>
      </c>
      <c r="B761" s="3" t="str">
        <f>HYPERLINK("https://heavenlyouthouse.com/products/pizza-unisex-crew-socks-in-a-box", "https://heavenlyouthouse.com/products/pizza-unisex-crew-socks-in-a-box")</f>
        <v>https://heavenlyouthouse.com/products/pizza-unisex-crew-socks-in-a-box</v>
      </c>
      <c r="C761" t="s">
        <v>837</v>
      </c>
      <c r="D761" t="s">
        <v>1923</v>
      </c>
      <c r="E761" s="3" t="str">
        <f>HYPERLINK("https://www.amazon.com/PIZZA-Pepperoni-Cotton-Socks-Europe/dp/B08FXRG888/ref=sr_1_2?keywords=Pizza+Unisex+Crew+Socks+In+A+Box&amp;qid=1695258651&amp;sr=8-2", "https://www.amazon.com/PIZZA-Pepperoni-Cotton-Socks-Europe/dp/B08FXRG888/ref=sr_1_2?keywords=Pizza+Unisex+Crew+Socks+In+A+Box&amp;qid=1695258651&amp;sr=8-2")</f>
        <v>https://www.amazon.com/PIZZA-Pepperoni-Cotton-Socks-Europe/dp/B08FXRG888/ref=sr_1_2?keywords=Pizza+Unisex+Crew+Socks+In+A+Box&amp;qid=1695258651&amp;sr=8-2</v>
      </c>
      <c r="F761" t="s">
        <v>1924</v>
      </c>
      <c r="G761" t="e">
        <f ca="1">IMAGE("https://heavenlyouthouse.com/cdn/shop/products/pizza-socks-main-and-local-in-a-box.jpg?v=1631548423")</f>
        <v>#NAME?</v>
      </c>
      <c r="H761" t="e">
        <f ca="1">IMAGE("https://m.media-amazon.com/images/I/6131gnvYtYL._AC_UL320_.jpg")</f>
        <v>#NAME?</v>
      </c>
      <c r="I761" t="s">
        <v>188</v>
      </c>
      <c r="J761">
        <v>14.99</v>
      </c>
      <c r="K761" s="2" t="s">
        <v>1925</v>
      </c>
      <c r="L761">
        <v>4.7</v>
      </c>
      <c r="M761">
        <v>6371</v>
      </c>
      <c r="O761" t="s">
        <v>39</v>
      </c>
      <c r="P761" t="s">
        <v>39</v>
      </c>
      <c r="Q761" t="s">
        <v>841</v>
      </c>
    </row>
    <row r="762" spans="1:17" ht="15.75" x14ac:dyDescent="0.25">
      <c r="A762" s="3" t="str">
        <f>HYPERLINK("https://heavenlyouthouse.com/products/wonderful-person-fathers-day-card", "https://heavenlyouthouse.com/products/wonderful-person-fathers-day-card")</f>
        <v>https://heavenlyouthouse.com/products/wonderful-person-fathers-day-card</v>
      </c>
      <c r="B762" s="3" t="str">
        <f>HYPERLINK("https://heavenlyouthouse.com/products/wonderful-person-fathers-day-card", "https://heavenlyouthouse.com/products/wonderful-person-fathers-day-card")</f>
        <v>https://heavenlyouthouse.com/products/wonderful-person-fathers-day-card</v>
      </c>
      <c r="C762" t="s">
        <v>1055</v>
      </c>
      <c r="D762" t="s">
        <v>1926</v>
      </c>
      <c r="E762" s="3" t="str">
        <f>HYPERLINK("https://www.amazon.com/Hallmark-Fathers-Husband-Wonderful-Father/dp/B084ZQRWZT/ref=sr_1_9?keywords=Wonderful+Person+Fathers+Day+Card&amp;qid=1695258834&amp;sr=8-9", "https://www.amazon.com/Hallmark-Fathers-Husband-Wonderful-Father/dp/B084ZQRWZT/ref=sr_1_9?keywords=Wonderful+Person+Fathers+Day+Card&amp;qid=1695258834&amp;sr=8-9")</f>
        <v>https://www.amazon.com/Hallmark-Fathers-Husband-Wonderful-Father/dp/B084ZQRWZT/ref=sr_1_9?keywords=Wonderful+Person+Fathers+Day+Card&amp;qid=1695258834&amp;sr=8-9</v>
      </c>
      <c r="F762" t="s">
        <v>1927</v>
      </c>
      <c r="G762" t="e">
        <f ca="1">IMAGE("https://heavenlyouthouse.com/cdn/shop/products/wonderful-father_s-day-card4.jpg?v=1642611712")</f>
        <v>#NAME?</v>
      </c>
      <c r="H762" t="e">
        <f ca="1">IMAGE("https://m.media-amazon.com/images/I/91Y4MRjWaPL._AC_UL320_.jpg")</f>
        <v>#NAME?</v>
      </c>
      <c r="I762" t="s">
        <v>454</v>
      </c>
      <c r="J762">
        <v>5.79</v>
      </c>
      <c r="K762" s="2" t="s">
        <v>1925</v>
      </c>
      <c r="L762">
        <v>4.9000000000000004</v>
      </c>
      <c r="M762">
        <v>1626</v>
      </c>
      <c r="O762" t="s">
        <v>39</v>
      </c>
      <c r="P762" t="s">
        <v>39</v>
      </c>
      <c r="Q762" t="s">
        <v>1059</v>
      </c>
    </row>
    <row r="763" spans="1:17" ht="15.75" x14ac:dyDescent="0.25">
      <c r="A763" s="3" t="str">
        <f>HYPERLINK("https://heavenlyouthouse.com/products/thymes-frasier-fir-pine-needle-candle-set", "https://heavenlyouthouse.com/products/thymes-frasier-fir-pine-needle-candle-set")</f>
        <v>https://heavenlyouthouse.com/products/thymes-frasier-fir-pine-needle-candle-set</v>
      </c>
      <c r="B763" s="3" t="str">
        <f>HYPERLINK("https://heavenlyouthouse.com/products/thymes-frasier-fir-pine-needle-candle-set", "https://heavenlyouthouse.com/products/thymes-frasier-fir-pine-needle-candle-set")</f>
        <v>https://heavenlyouthouse.com/products/thymes-frasier-fir-pine-needle-candle-set</v>
      </c>
      <c r="C763" t="s">
        <v>335</v>
      </c>
      <c r="D763" t="s">
        <v>550</v>
      </c>
      <c r="E763" s="3" t="str">
        <f>HYPERLINK("https://www.amazon.com/Thymes-Frasier-Needle-Decorative-50-Hour/dp/B00YPP2LBM/ref=sr_1_5?keywords=Thymes+Frasier+Fir+Pine+Needle+Candle+Set&amp;qid=1695258733&amp;sr=8-5", "https://www.amazon.com/Thymes-Frasier-Needle-Decorative-50-Hour/dp/B00YPP2LBM/ref=sr_1_5?keywords=Thymes+Frasier+Fir+Pine+Needle+Candle+Set&amp;qid=1695258733&amp;sr=8-5")</f>
        <v>https://www.amazon.com/Thymes-Frasier-Needle-Decorative-50-Hour/dp/B00YPP2LBM/ref=sr_1_5?keywords=Thymes+Frasier+Fir+Pine+Needle+Candle+Set&amp;qid=1695258733&amp;sr=8-5</v>
      </c>
      <c r="F763" t="s">
        <v>551</v>
      </c>
      <c r="G763" t="e">
        <f ca="1">IMAGE("https://heavenlyouthouse.com/cdn/shop/products/thymes-frasier-fir-pine-needle-candle-set.jpg?v=1661983035")</f>
        <v>#NAME?</v>
      </c>
      <c r="H763" t="e">
        <f ca="1">IMAGE("https://m.media-amazon.com/images/I/61rj1n74esL._AC_UL320_.jpg")</f>
        <v>#NAME?</v>
      </c>
      <c r="I763" t="s">
        <v>336</v>
      </c>
      <c r="J763">
        <v>34</v>
      </c>
      <c r="K763" s="2" t="s">
        <v>1925</v>
      </c>
      <c r="L763">
        <v>4.7</v>
      </c>
      <c r="M763">
        <v>3739</v>
      </c>
      <c r="O763" t="s">
        <v>39</v>
      </c>
      <c r="P763" t="s">
        <v>39</v>
      </c>
      <c r="Q763" t="s">
        <v>338</v>
      </c>
    </row>
    <row r="764" spans="1:17" ht="15.75" x14ac:dyDescent="0.25">
      <c r="A764" s="3" t="str">
        <f>HYPERLINK("https://heavenlyouthouse.com/products/truck-tooth-fairy-pillow-set?variant=40588641894489", "https://heavenlyouthouse.com/products/truck-tooth-fairy-pillow-set?variant=40588641894489")</f>
        <v>https://heavenlyouthouse.com/products/truck-tooth-fairy-pillow-set?variant=40588641894489</v>
      </c>
      <c r="B764" s="3" t="str">
        <f>HYPERLINK("https://heavenlyouthouse.com/products/truck-tooth-fairy-pillow-set", "https://heavenlyouthouse.com/products/truck-tooth-fairy-pillow-set")</f>
        <v>https://heavenlyouthouse.com/products/truck-tooth-fairy-pillow-set</v>
      </c>
      <c r="C764" t="s">
        <v>1928</v>
      </c>
      <c r="D764" t="s">
        <v>1929</v>
      </c>
      <c r="E764" s="3" t="str">
        <f>HYPERLINK("https://www.amazon.com/MON-AMI-Pillow-Stuffed-inches/dp/B076WPS154/ref=sr_1_2?keywords=Truck+Tooth+Fairy+Pillow+Set&amp;qid=1695258797&amp;sr=8-2", "https://www.amazon.com/MON-AMI-Pillow-Stuffed-inches/dp/B076WPS154/ref=sr_1_2?keywords=Truck+Tooth+Fairy+Pillow+Set&amp;qid=1695258797&amp;sr=8-2")</f>
        <v>https://www.amazon.com/MON-AMI-Pillow-Stuffed-inches/dp/B076WPS154/ref=sr_1_2?keywords=Truck+Tooth+Fairy+Pillow+Set&amp;qid=1695258797&amp;sr=8-2</v>
      </c>
      <c r="F764" t="s">
        <v>1930</v>
      </c>
      <c r="G764" t="e">
        <f ca="1">IMAGE("https://heavenlyouthouse.com/cdn/shop/files/TF1008_700x_79e9abbd-3b8d-4144-b3e9-abc54712a488_300x300.webp?v=1694458346")</f>
        <v>#NAME?</v>
      </c>
      <c r="H764" t="e">
        <f ca="1">IMAGE("https://m.media-amazon.com/images/I/61D5XMclmnL._AC_UL320_.jpg")</f>
        <v>#NAME?</v>
      </c>
      <c r="I764" t="s">
        <v>336</v>
      </c>
      <c r="J764">
        <v>33.99</v>
      </c>
      <c r="K764" s="2" t="s">
        <v>1925</v>
      </c>
      <c r="L764">
        <v>5</v>
      </c>
      <c r="M764">
        <v>10</v>
      </c>
      <c r="O764" t="s">
        <v>136</v>
      </c>
      <c r="P764" t="s">
        <v>1931</v>
      </c>
      <c r="Q764" t="s">
        <v>1932</v>
      </c>
    </row>
    <row r="765" spans="1:17" ht="15.75" x14ac:dyDescent="0.25">
      <c r="A765" s="3" t="str">
        <f>HYPERLINK("https://heavenlyouthouse.com/products/thymes-frasier-fir-green-4-wick-candle", "https://heavenlyouthouse.com/products/thymes-frasier-fir-green-4-wick-candle")</f>
        <v>https://heavenlyouthouse.com/products/thymes-frasier-fir-green-4-wick-candle</v>
      </c>
      <c r="B765" s="3" t="str">
        <f>HYPERLINK("https://heavenlyouthouse.com/products/thymes-frasier-fir-green-4-wick-candle", "https://heavenlyouthouse.com/products/thymes-frasier-fir-green-4-wick-candle")</f>
        <v>https://heavenlyouthouse.com/products/thymes-frasier-fir-green-4-wick-candle</v>
      </c>
      <c r="C765" t="s">
        <v>1011</v>
      </c>
      <c r="D765" t="s">
        <v>109</v>
      </c>
      <c r="E765" s="3" t="str">
        <f>HYPERLINK("https://www.amazon.com/Thymes-Frasier-Wick-Ceramic-Candle/dp/B0140PRH56/ref=sr_1_8?keywords=Thymes+Frasier+Fir+Green+4-Wick+Candle&amp;qid=1695258745&amp;sr=8-8", "https://www.amazon.com/Thymes-Frasier-Wick-Ceramic-Candle/dp/B0140PRH56/ref=sr_1_8?keywords=Thymes+Frasier+Fir+Green+4-Wick+Candle&amp;qid=1695258745&amp;sr=8-8")</f>
        <v>https://www.amazon.com/Thymes-Frasier-Wick-Ceramic-Candle/dp/B0140PRH56/ref=sr_1_8?keywords=Thymes+Frasier+Fir+Green+4-Wick+Candle&amp;qid=1695258745&amp;sr=8-8</v>
      </c>
      <c r="F765" t="s">
        <v>110</v>
      </c>
      <c r="G765" t="e">
        <f ca="1">IMAGE("https://heavenlyouthouse.com/cdn/shop/files/thymes-frasier-fir-poured-candle-4-wick-TH03505243607-1_300x300.jpg?v=1693232380")</f>
        <v>#NAME?</v>
      </c>
      <c r="H765" t="e">
        <f ca="1">IMAGE("https://m.media-amazon.com/images/I/616N8+OCmhL._AC_UL320_.jpg")</f>
        <v>#NAME?</v>
      </c>
      <c r="I765" t="s">
        <v>1012</v>
      </c>
      <c r="J765">
        <v>68</v>
      </c>
      <c r="K765" s="2" t="s">
        <v>1925</v>
      </c>
      <c r="L765">
        <v>4.9000000000000004</v>
      </c>
      <c r="M765">
        <v>59</v>
      </c>
      <c r="O765" t="s">
        <v>39</v>
      </c>
      <c r="P765" t="s">
        <v>1013</v>
      </c>
      <c r="Q765" t="s">
        <v>1014</v>
      </c>
    </row>
    <row r="766" spans="1:17" ht="15.75" x14ac:dyDescent="0.25">
      <c r="A766" s="3" t="str">
        <f>HYPERLINK("https://heavenlyouthouse.com/products/thymes-frasier-fir-green-4-wick-candle", "https://heavenlyouthouse.com/products/thymes-frasier-fir-green-4-wick-candle")</f>
        <v>https://heavenlyouthouse.com/products/thymes-frasier-fir-green-4-wick-candle</v>
      </c>
      <c r="B766" s="3" t="str">
        <f>HYPERLINK("https://heavenlyouthouse.com/products/thymes-frasier-fir-green-4-wick-candle", "https://heavenlyouthouse.com/products/thymes-frasier-fir-green-4-wick-candle")</f>
        <v>https://heavenlyouthouse.com/products/thymes-frasier-fir-green-4-wick-candle</v>
      </c>
      <c r="C766" t="s">
        <v>1011</v>
      </c>
      <c r="D766" t="s">
        <v>109</v>
      </c>
      <c r="E766" s="3"/>
      <c r="F766" t="s">
        <v>110</v>
      </c>
      <c r="G766" t="e">
        <f ca="1">IMAGE("https://heavenlyouthouse.com/cdn/shop/files/thymes-frasier-fir-poured-candle-4-wick-TH03505243607-1_300x300.jpg?v=1693232380")</f>
        <v>#NAME?</v>
      </c>
      <c r="H766" t="e">
        <f ca="1">IMAGE("https://m.media-amazon.com/images/I/616N8+OCmhL._AC_UL320_.jpg")</f>
        <v>#NAME?</v>
      </c>
      <c r="I766" t="s">
        <v>1012</v>
      </c>
      <c r="J766">
        <v>68</v>
      </c>
      <c r="K766" s="2" t="s">
        <v>1925</v>
      </c>
      <c r="L766">
        <v>4.9000000000000004</v>
      </c>
      <c r="M766">
        <v>59</v>
      </c>
      <c r="O766" t="s">
        <v>39</v>
      </c>
      <c r="P766" t="s">
        <v>1013</v>
      </c>
      <c r="Q766" t="s">
        <v>1014</v>
      </c>
    </row>
    <row r="767" spans="1:17" ht="15.75" x14ac:dyDescent="0.25">
      <c r="A767" s="3" t="str">
        <f>HYPERLINK("https://heavenlyouthouse.com/products/thymes-frasier-fir-sink-set", "https://heavenlyouthouse.com/products/thymes-frasier-fir-sink-set")</f>
        <v>https://heavenlyouthouse.com/products/thymes-frasier-fir-sink-set</v>
      </c>
      <c r="B767" s="3" t="str">
        <f>HYPERLINK("https://heavenlyouthouse.com/products/thymes-frasier-fir-sink-set", "https://heavenlyouthouse.com/products/thymes-frasier-fir-sink-set")</f>
        <v>https://heavenlyouthouse.com/products/thymes-frasier-fir-sink-set</v>
      </c>
      <c r="C767" t="s">
        <v>1442</v>
      </c>
      <c r="D767" t="s">
        <v>304</v>
      </c>
      <c r="E767" s="3" t="str">
        <f>HYPERLINK("https://www.amazon.com/Thymes-Frasier-Cream-Travel-Candle/dp/B09HLB6J6X/ref=sr_1_2?keywords=Thymes+Frasier+Fir+Sink+Set&amp;qid=1695258734&amp;sr=8-2", "https://www.amazon.com/Thymes-Frasier-Cream-Travel-Candle/dp/B09HLB6J6X/ref=sr_1_2?keywords=Thymes+Frasier+Fir+Sink+Set&amp;qid=1695258734&amp;sr=8-2")</f>
        <v>https://www.amazon.com/Thymes-Frasier-Cream-Travel-Candle/dp/B09HLB6J6X/ref=sr_1_2?keywords=Thymes+Frasier+Fir+Sink+Set&amp;qid=1695258734&amp;sr=8-2</v>
      </c>
      <c r="F767" t="s">
        <v>305</v>
      </c>
      <c r="G767" t="e">
        <f ca="1">IMAGE("https://heavenlyouthouse.com/cdn/shop/products/thymesfrasierfirsinksethandwashandlotion.jpg?v=1621291253")</f>
        <v>#NAME?</v>
      </c>
      <c r="H767" t="e">
        <f ca="1">IMAGE("https://m.media-amazon.com/images/I/71VpqyOQMCL._AC_UL320_.jpg")</f>
        <v>#NAME?</v>
      </c>
      <c r="I767" t="s">
        <v>1445</v>
      </c>
      <c r="J767">
        <v>36</v>
      </c>
      <c r="K767" s="2" t="s">
        <v>1925</v>
      </c>
      <c r="L767">
        <v>5</v>
      </c>
      <c r="M767">
        <v>2</v>
      </c>
      <c r="O767" t="s">
        <v>39</v>
      </c>
      <c r="P767" t="s">
        <v>1446</v>
      </c>
      <c r="Q767" t="s">
        <v>1447</v>
      </c>
    </row>
    <row r="768" spans="1:17" ht="15.75" x14ac:dyDescent="0.25">
      <c r="A768" s="3" t="str">
        <f>HYPERLINK("https://heavenlyouthouse.com/products/usb-rechargeable-led-beanie-black", "https://heavenlyouthouse.com/products/usb-rechargeable-led-beanie-black")</f>
        <v>https://heavenlyouthouse.com/products/usb-rechargeable-led-beanie-black</v>
      </c>
      <c r="B768" s="3" t="str">
        <f>HYPERLINK("https://heavenlyouthouse.com/products/usb-rechargeable-led-beanie-black", "https://heavenlyouthouse.com/products/usb-rechargeable-led-beanie-black")</f>
        <v>https://heavenlyouthouse.com/products/usb-rechargeable-led-beanie-black</v>
      </c>
      <c r="C768" t="s">
        <v>688</v>
      </c>
      <c r="D768" t="s">
        <v>1933</v>
      </c>
      <c r="E768" s="3" t="str">
        <f>HYPERLINK("https://www.amazon.com/Deilin-Bluetooth-Rechargeable-Headlamp-Headphones/dp/B0BGL6SWYL/ref=sr_1_10?keywords=USB+Rechargeable+LED+Beanie+-+Black&amp;qid=1695258801&amp;sr=8-10", "https://www.amazon.com/Deilin-Bluetooth-Rechargeable-Headlamp-Headphones/dp/B0BGL6SWYL/ref=sr_1_10?keywords=USB+Rechargeable+LED+Beanie+-+Black&amp;qid=1695258801&amp;sr=8-10")</f>
        <v>https://www.amazon.com/Deilin-Bluetooth-Rechargeable-Headlamp-Headphones/dp/B0BGL6SWYL/ref=sr_1_10?keywords=USB+Rechargeable+LED+Beanie+-+Black&amp;qid=1695258801&amp;sr=8-10</v>
      </c>
      <c r="F768" t="s">
        <v>1934</v>
      </c>
      <c r="G768" t="e">
        <f ca="1">IMAGE("https://heavenlyouthouse.com/cdn/shop/products/nightscoutrechargeableLEDtoqueblack_951f8ad0-7b76-49f7-ab39-c5624789256a.jpg?v=1669042861")</f>
        <v>#NAME?</v>
      </c>
      <c r="H768" t="e">
        <f ca="1">IMAGE("https://m.media-amazon.com/images/I/71GPCCbWBPL._AC_UL320_.jpg")</f>
        <v>#NAME?</v>
      </c>
      <c r="I768" t="s">
        <v>385</v>
      </c>
      <c r="J768">
        <v>19.54</v>
      </c>
      <c r="K768" s="2" t="s">
        <v>1935</v>
      </c>
      <c r="L768">
        <v>4.7</v>
      </c>
      <c r="M768">
        <v>281</v>
      </c>
      <c r="O768" t="s">
        <v>39</v>
      </c>
      <c r="P768" t="s">
        <v>39</v>
      </c>
      <c r="Q768" t="s">
        <v>691</v>
      </c>
    </row>
    <row r="769" spans="1:17" ht="15.75" x14ac:dyDescent="0.25">
      <c r="A769" s="3" t="str">
        <f>HYPERLINK("https://heavenlyouthouse.com/products/frasier-fir-petite-hand-lotion", "https://heavenlyouthouse.com/products/frasier-fir-petite-hand-lotion")</f>
        <v>https://heavenlyouthouse.com/products/frasier-fir-petite-hand-lotion</v>
      </c>
      <c r="B769" s="3" t="str">
        <f>HYPERLINK("https://heavenlyouthouse.com/products/frasier-fir-petite-hand-lotion", "https://heavenlyouthouse.com/products/frasier-fir-petite-hand-lotion")</f>
        <v>https://heavenlyouthouse.com/products/frasier-fir-petite-hand-lotion</v>
      </c>
      <c r="C769" t="s">
        <v>708</v>
      </c>
      <c r="D769" t="s">
        <v>1936</v>
      </c>
      <c r="E769" s="3"/>
      <c r="F769" t="s">
        <v>1937</v>
      </c>
      <c r="G769" t="e">
        <f ca="1">IMAGE("https://heavenlyouthouse.com/cdn/shop/products/ThymesFrasierFirHandLotion.jpg?v=1612375466")</f>
        <v>#NAME?</v>
      </c>
      <c r="H769" t="e">
        <f ca="1">IMAGE("https://m.media-amazon.com/images/I/61FVV3AOPcL._AC_UL320_.jpg")</f>
        <v>#NAME?</v>
      </c>
      <c r="I769" t="s">
        <v>86</v>
      </c>
      <c r="J769">
        <v>14</v>
      </c>
      <c r="K769" s="2" t="s">
        <v>1935</v>
      </c>
      <c r="L769">
        <v>4.8</v>
      </c>
      <c r="M769">
        <v>401</v>
      </c>
      <c r="O769" t="s">
        <v>39</v>
      </c>
      <c r="P769" t="s">
        <v>39</v>
      </c>
      <c r="Q769" t="s">
        <v>711</v>
      </c>
    </row>
    <row r="770" spans="1:17" ht="15.75" x14ac:dyDescent="0.25">
      <c r="A770" s="3" t="str">
        <f>HYPERLINK("https://heavenlyouthouse.com/products/poo-pourri-ship-happens-toilet-spray?variant=39334163808345", "https://heavenlyouthouse.com/products/poo-pourri-ship-happens-toilet-spray?variant=39334163808345")</f>
        <v>https://heavenlyouthouse.com/products/poo-pourri-ship-happens-toilet-spray?variant=39334163808345</v>
      </c>
      <c r="B770" s="3" t="str">
        <f>HYPERLINK("https://heavenlyouthouse.com/products/poo-pourri-ship-happens-toilet-spray", "https://heavenlyouthouse.com/products/poo-pourri-ship-happens-toilet-spray")</f>
        <v>https://heavenlyouthouse.com/products/poo-pourri-ship-happens-toilet-spray</v>
      </c>
      <c r="C770" t="s">
        <v>505</v>
      </c>
      <c r="D770" t="s">
        <v>1938</v>
      </c>
      <c r="E770" s="3" t="str">
        <f>HYPERLINK("https://www.amazon.com/Poo-Pourri-Before-You-Go-Toilet-Bottle-Happens/dp/B01C659V6K/ref=sr_1_1?keywords=Poo-Pourri+Ship+Happens+Toilet+Spray&amp;qid=1695258653&amp;sr=8-1", "https://www.amazon.com/Poo-Pourri-Before-You-Go-Toilet-Bottle-Happens/dp/B01C659V6K/ref=sr_1_1?keywords=Poo-Pourri+Ship+Happens+Toilet+Spray&amp;qid=1695258653&amp;sr=8-1")</f>
        <v>https://www.amazon.com/Poo-Pourri-Before-You-Go-Toilet-Bottle-Happens/dp/B01C659V6K/ref=sr_1_1?keywords=Poo-Pourri+Ship+Happens+Toilet+Spray&amp;qid=1695258653&amp;sr=8-1</v>
      </c>
      <c r="F770" t="s">
        <v>1939</v>
      </c>
      <c r="G770" t="e">
        <f ca="1">IMAGE("https://heavenlyouthouse.com/cdn/shop/products/Poo-pourrishiphappenstoiletbathroomspray2.jpg?v=1621615827")</f>
        <v>#NAME?</v>
      </c>
      <c r="H770" t="e">
        <f ca="1">IMAGE("https://m.media-amazon.com/images/I/71U42eNlMvL._AC_UL320_.jpg")</f>
        <v>#NAME?</v>
      </c>
      <c r="I770" t="s">
        <v>362</v>
      </c>
      <c r="J770">
        <v>9.99</v>
      </c>
      <c r="K770" s="2" t="s">
        <v>1935</v>
      </c>
      <c r="L770">
        <v>4.7</v>
      </c>
      <c r="M770">
        <v>3516</v>
      </c>
      <c r="O770" t="s">
        <v>136</v>
      </c>
      <c r="P770" t="s">
        <v>363</v>
      </c>
      <c r="Q770" t="s">
        <v>509</v>
      </c>
    </row>
    <row r="771" spans="1:17" ht="15.75" x14ac:dyDescent="0.25">
      <c r="A771" s="3" t="str">
        <f>HYPERLINK("https://heavenlyouthouse.com/products/poo-pourri-original-citrus-toilet-spray?variant=39334155321433", "https://heavenlyouthouse.com/products/poo-pourri-original-citrus-toilet-spray?variant=39334155321433")</f>
        <v>https://heavenlyouthouse.com/products/poo-pourri-original-citrus-toilet-spray?variant=39334155321433</v>
      </c>
      <c r="B771" s="3" t="str">
        <f>HYPERLINK("https://heavenlyouthouse.com/products/poo-pourri-original-citrus-toilet-spray", "https://heavenlyouthouse.com/products/poo-pourri-original-citrus-toilet-spray")</f>
        <v>https://heavenlyouthouse.com/products/poo-pourri-original-citrus-toilet-spray</v>
      </c>
      <c r="C771" t="s">
        <v>526</v>
      </c>
      <c r="D771" t="s">
        <v>1940</v>
      </c>
      <c r="E771" s="3" t="str">
        <f>HYPERLINK("https://www.amazon.com/Poo-Pourri-Before-You-Go-Toilet-Travel-ST9430/dp/B09ZHM3XHH/ref=sr_1_5?keywords=Poo-Pourri+Original+Citrus+Toilet+Spray&amp;qid=1695258667&amp;sr=8-5", "https://www.amazon.com/Poo-Pourri-Before-You-Go-Toilet-Travel-ST9430/dp/B09ZHM3XHH/ref=sr_1_5?keywords=Poo-Pourri+Original+Citrus+Toilet+Spray&amp;qid=1695258667&amp;sr=8-5")</f>
        <v>https://www.amazon.com/Poo-Pourri-Before-You-Go-Toilet-Travel-ST9430/dp/B09ZHM3XHH/ref=sr_1_5?keywords=Poo-Pourri+Original+Citrus+Toilet+Spray&amp;qid=1695258667&amp;sr=8-5</v>
      </c>
      <c r="F771" t="s">
        <v>1941</v>
      </c>
      <c r="G771" t="e">
        <f ca="1">IMAGE("https://heavenlyouthouse.com/cdn/shop/products/Poo-pourrioriginalcitrustoiletbathroomspray1.jpg?v=1621615377")</f>
        <v>#NAME?</v>
      </c>
      <c r="H771" t="e">
        <f ca="1">IMAGE("https://m.media-amazon.com/images/I/71aK7bCUj-L._AC_UL320_.jpg")</f>
        <v>#NAME?</v>
      </c>
      <c r="I771" t="s">
        <v>362</v>
      </c>
      <c r="J771">
        <v>9.99</v>
      </c>
      <c r="K771" s="2" t="s">
        <v>1935</v>
      </c>
      <c r="L771">
        <v>4.7</v>
      </c>
      <c r="M771">
        <v>2241</v>
      </c>
      <c r="O771" t="s">
        <v>136</v>
      </c>
      <c r="P771" t="s">
        <v>363</v>
      </c>
      <c r="Q771" t="s">
        <v>530</v>
      </c>
    </row>
    <row r="772" spans="1:17" ht="15.75" x14ac:dyDescent="0.25">
      <c r="A772" s="3" t="str">
        <f>HYPERLINK("https://heavenlyouthouse.com/products/the-ocean-just-gets-me-womens-crew-socks", "https://heavenlyouthouse.com/products/the-ocean-just-gets-me-womens-crew-socks")</f>
        <v>https://heavenlyouthouse.com/products/the-ocean-just-gets-me-womens-crew-socks</v>
      </c>
      <c r="B772" s="3" t="str">
        <f>HYPERLINK("https://heavenlyouthouse.com/products/the-ocean-just-gets-me-womens-crew-socks", "https://heavenlyouthouse.com/products/the-ocean-just-gets-me-womens-crew-socks")</f>
        <v>https://heavenlyouthouse.com/products/the-ocean-just-gets-me-womens-crew-socks</v>
      </c>
      <c r="C772" t="s">
        <v>1468</v>
      </c>
      <c r="D772" t="s">
        <v>1942</v>
      </c>
      <c r="E772" s="3" t="str">
        <f>HYPERLINK("https://www.amazon.com/Womens-Vacation-Boating-Novelty-Footwear/dp/B09CP1PVJH/ref=sr_1_2?keywords=The+Ocean+Just+Gets+Me+Women%27s+Crew+Socks&amp;qid=1695258702&amp;sr=8-2", "https://www.amazon.com/Womens-Vacation-Boating-Novelty-Footwear/dp/B09CP1PVJH/ref=sr_1_2?keywords=The+Ocean+Just+Gets+Me+Women%27s+Crew+Socks&amp;qid=1695258702&amp;sr=8-2")</f>
        <v>https://www.amazon.com/Womens-Vacation-Boating-Novelty-Footwear/dp/B09CP1PVJH/ref=sr_1_2?keywords=The+Ocean+Just+Gets+Me+Women%27s+Crew+Socks&amp;qid=1695258702&amp;sr=8-2</v>
      </c>
      <c r="F772" t="s">
        <v>1943</v>
      </c>
      <c r="G772" t="e">
        <f ca="1">IMAGE("https://heavenlyouthouse.com/cdn/shop/products/125848922_xl.jpg?v=1588616444")</f>
        <v>#NAME?</v>
      </c>
      <c r="H772" t="e">
        <f ca="1">IMAGE("https://m.media-amazon.com/images/I/91qOUJqUhPL._AC_UL320_.jpg")</f>
        <v>#NAME?</v>
      </c>
      <c r="I772" t="s">
        <v>439</v>
      </c>
      <c r="J772">
        <v>11.99</v>
      </c>
      <c r="K772" s="2" t="s">
        <v>1935</v>
      </c>
      <c r="L772">
        <v>4.7</v>
      </c>
      <c r="M772">
        <v>4</v>
      </c>
      <c r="O772" t="s">
        <v>136</v>
      </c>
      <c r="P772" t="s">
        <v>39</v>
      </c>
      <c r="Q772" t="s">
        <v>1471</v>
      </c>
    </row>
    <row r="773" spans="1:17" ht="15.75" x14ac:dyDescent="0.25">
      <c r="A773" s="3" t="str">
        <f>HYPERLINK("https://heavenlyouthouse.com/products/lavender-body-lotion-1", "https://heavenlyouthouse.com/products/lavender-body-lotion-1")</f>
        <v>https://heavenlyouthouse.com/products/lavender-body-lotion-1</v>
      </c>
      <c r="B773" s="3" t="str">
        <f>HYPERLINK("https://heavenlyouthouse.com/products/lavender-body-lotion-1", "https://heavenlyouthouse.com/products/lavender-body-lotion-1")</f>
        <v>https://heavenlyouthouse.com/products/lavender-body-lotion-1</v>
      </c>
      <c r="C773" t="s">
        <v>1256</v>
      </c>
      <c r="D773" t="s">
        <v>1699</v>
      </c>
      <c r="E773" s="3" t="str">
        <f>HYPERLINK("https://www.amazon.com/Thymes-Lavender-Hydrating-Calming-Cleanse/dp/B001LF4DCY/ref=sr_1_5?keywords=Thymes+Lavender+Body+Lotion&amp;qid=1695258763&amp;sr=8-5", "https://www.amazon.com/Thymes-Lavender-Hydrating-Calming-Cleanse/dp/B001LF4DCY/ref=sr_1_5?keywords=Thymes+Lavender+Body+Lotion&amp;qid=1695258763&amp;sr=8-5")</f>
        <v>https://www.amazon.com/Thymes-Lavender-Hydrating-Calming-Cleanse/dp/B001LF4DCY/ref=sr_1_5?keywords=Thymes+Lavender+Body+Lotion&amp;qid=1695258763&amp;sr=8-5</v>
      </c>
      <c r="F773" t="s">
        <v>1700</v>
      </c>
      <c r="G773" t="e">
        <f ca="1">IMAGE("https://heavenlyouthouse.com/cdn/shop/products/thymes-lavender-body-lotion_e8e915be-8de5-46da-8b4f-bb06a778fd96.png?v=1652277182")</f>
        <v>#NAME?</v>
      </c>
      <c r="H773" t="e">
        <f ca="1">IMAGE("https://m.media-amazon.com/images/I/61WI9VrsewL._AC_UL320_.jpg")</f>
        <v>#NAME?</v>
      </c>
      <c r="I773" t="s">
        <v>1179</v>
      </c>
      <c r="J773">
        <v>24</v>
      </c>
      <c r="K773" s="2" t="s">
        <v>1935</v>
      </c>
      <c r="L773">
        <v>4.5999999999999996</v>
      </c>
      <c r="M773">
        <v>1742</v>
      </c>
      <c r="O773" t="s">
        <v>39</v>
      </c>
      <c r="P773" t="s">
        <v>39</v>
      </c>
      <c r="Q773" t="s">
        <v>1257</v>
      </c>
    </row>
    <row r="774" spans="1:17" ht="15.75" x14ac:dyDescent="0.25">
      <c r="A774" s="3" t="str">
        <f>HYPERLINK("https://heavenlyouthouse.com/products/thymes-goldleaf-body-scrub", "https://heavenlyouthouse.com/products/thymes-goldleaf-body-scrub")</f>
        <v>https://heavenlyouthouse.com/products/thymes-goldleaf-body-scrub</v>
      </c>
      <c r="B774" s="3" t="str">
        <f>HYPERLINK("https://heavenlyouthouse.com/products/thymes-goldleaf-body-scrub", "https://heavenlyouthouse.com/products/thymes-goldleaf-body-scrub")</f>
        <v>https://heavenlyouthouse.com/products/thymes-goldleaf-body-scrub</v>
      </c>
      <c r="C774" t="s">
        <v>1474</v>
      </c>
      <c r="D774" t="s">
        <v>880</v>
      </c>
      <c r="E774" s="3" t="str">
        <f>HYPERLINK("https://www.amazon.com/Thymes-Goldleaf-Gardenia-Perfumed-Luxury/dp/B06W5DQWGQ/ref=sr_1_3?keywords=Thymes+Goldleaf+Body+Scrub&amp;qid=1695258744&amp;sr=8-3", "https://www.amazon.com/Thymes-Goldleaf-Gardenia-Perfumed-Luxury/dp/B06W5DQWGQ/ref=sr_1_3?keywords=Thymes+Goldleaf+Body+Scrub&amp;qid=1695258744&amp;sr=8-3")</f>
        <v>https://www.amazon.com/Thymes-Goldleaf-Gardenia-Perfumed-Luxury/dp/B06W5DQWGQ/ref=sr_1_3?keywords=Thymes+Goldleaf+Body+Scrub&amp;qid=1695258744&amp;sr=8-3</v>
      </c>
      <c r="F774" t="s">
        <v>881</v>
      </c>
      <c r="G774" t="e">
        <f ca="1">IMAGE("https://heavenlyouthouse.com/cdn/shop/products/thymes-goldleaf-body-scrub.jpg?v=1630623556")</f>
        <v>#NAME?</v>
      </c>
      <c r="H774" t="e">
        <f ca="1">IMAGE("https://m.media-amazon.com/images/I/51TT9TA52ML._AC_UL320_.jpg")</f>
        <v>#NAME?</v>
      </c>
      <c r="I774" t="s">
        <v>1179</v>
      </c>
      <c r="J774">
        <v>24</v>
      </c>
      <c r="K774" s="2" t="s">
        <v>1935</v>
      </c>
      <c r="L774">
        <v>4.5999999999999996</v>
      </c>
      <c r="M774">
        <v>1742</v>
      </c>
      <c r="O774" t="s">
        <v>39</v>
      </c>
      <c r="P774" t="s">
        <v>1475</v>
      </c>
      <c r="Q774" t="s">
        <v>1476</v>
      </c>
    </row>
    <row r="775" spans="1:17" ht="15.75" x14ac:dyDescent="0.25">
      <c r="A775" s="3" t="str">
        <f>HYPERLINK("https://heavenlyouthouse.com/products/thymes-kimono-rose-body-scrub", "https://heavenlyouthouse.com/products/thymes-kimono-rose-body-scrub")</f>
        <v>https://heavenlyouthouse.com/products/thymes-kimono-rose-body-scrub</v>
      </c>
      <c r="B775" s="3" t="str">
        <f>HYPERLINK("https://heavenlyouthouse.com/products/thymes-kimono-rose-body-scrub", "https://heavenlyouthouse.com/products/thymes-kimono-rose-body-scrub")</f>
        <v>https://heavenlyouthouse.com/products/thymes-kimono-rose-body-scrub</v>
      </c>
      <c r="C775" t="s">
        <v>1477</v>
      </c>
      <c r="D775" t="s">
        <v>874</v>
      </c>
      <c r="E775" s="3" t="str">
        <f>HYPERLINK("https://www.amazon.com/Thymes-Kimono-Hydrating-Shower-Vanilla/dp/B0746QFMH8/ref=sr_1_2?keywords=Thymes+Kimono+Rose+Body+Scrub&amp;qid=1695258759&amp;sr=8-2", "https://www.amazon.com/Thymes-Kimono-Hydrating-Shower-Vanilla/dp/B0746QFMH8/ref=sr_1_2?keywords=Thymes+Kimono+Rose+Body+Scrub&amp;qid=1695258759&amp;sr=8-2")</f>
        <v>https://www.amazon.com/Thymes-Kimono-Hydrating-Shower-Vanilla/dp/B0746QFMH8/ref=sr_1_2?keywords=Thymes+Kimono+Rose+Body+Scrub&amp;qid=1695258759&amp;sr=8-2</v>
      </c>
      <c r="F775" t="s">
        <v>875</v>
      </c>
      <c r="G775" t="e">
        <f ca="1">IMAGE("https://heavenlyouthouse.com/cdn/shop/products/thymes-kimono-rose-body-scrub.jpg?v=1630620575")</f>
        <v>#NAME?</v>
      </c>
      <c r="H775" t="e">
        <f ca="1">IMAGE("https://m.media-amazon.com/images/I/61IPNqc5GTL._AC_UL320_.jpg")</f>
        <v>#NAME?</v>
      </c>
      <c r="I775" t="s">
        <v>1179</v>
      </c>
      <c r="J775">
        <v>24</v>
      </c>
      <c r="K775" s="2" t="s">
        <v>1935</v>
      </c>
      <c r="L775">
        <v>4.5999999999999996</v>
      </c>
      <c r="M775">
        <v>1742</v>
      </c>
      <c r="O775" t="s">
        <v>39</v>
      </c>
      <c r="P775" t="s">
        <v>39</v>
      </c>
      <c r="Q775" t="s">
        <v>1478</v>
      </c>
    </row>
    <row r="776" spans="1:17" ht="15.75" x14ac:dyDescent="0.25">
      <c r="A776" s="3" t="str">
        <f>HYPERLINK("https://heavenlyouthouse.com/products/thymes-lavender-body-scrub", "https://heavenlyouthouse.com/products/thymes-lavender-body-scrub")</f>
        <v>https://heavenlyouthouse.com/products/thymes-lavender-body-scrub</v>
      </c>
      <c r="B776" s="3" t="str">
        <f>HYPERLINK("https://heavenlyouthouse.com/products/thymes-lavender-body-scrub", "https://heavenlyouthouse.com/products/thymes-lavender-body-scrub")</f>
        <v>https://heavenlyouthouse.com/products/thymes-lavender-body-scrub</v>
      </c>
      <c r="C776" t="s">
        <v>1401</v>
      </c>
      <c r="D776" t="s">
        <v>1699</v>
      </c>
      <c r="E776" s="3" t="str">
        <f>HYPERLINK("https://www.amazon.com/Thymes-Lavender-Hydrating-Calming-Cleanse/dp/B001LF4DCY/ref=sr_1_5?keywords=Thymes+Lavender+Body+Scrub&amp;qid=1695258768&amp;sr=8-5", "https://www.amazon.com/Thymes-Lavender-Hydrating-Calming-Cleanse/dp/B001LF4DCY/ref=sr_1_5?keywords=Thymes+Lavender+Body+Scrub&amp;qid=1695258768&amp;sr=8-5")</f>
        <v>https://www.amazon.com/Thymes-Lavender-Hydrating-Calming-Cleanse/dp/B001LF4DCY/ref=sr_1_5?keywords=Thymes+Lavender+Body+Scrub&amp;qid=1695258768&amp;sr=8-5</v>
      </c>
      <c r="F776" t="s">
        <v>1700</v>
      </c>
      <c r="G776" t="e">
        <f ca="1">IMAGE("https://heavenlyouthouse.com/cdn/shop/products/thymes-lavender-body-scrub.jpg?v=1630622694")</f>
        <v>#NAME?</v>
      </c>
      <c r="H776" t="e">
        <f ca="1">IMAGE("https://m.media-amazon.com/images/I/61WI9VrsewL._AC_UL320_.jpg")</f>
        <v>#NAME?</v>
      </c>
      <c r="I776" t="s">
        <v>1179</v>
      </c>
      <c r="J776">
        <v>24</v>
      </c>
      <c r="K776" s="2" t="s">
        <v>1935</v>
      </c>
      <c r="L776">
        <v>4.5999999999999996</v>
      </c>
      <c r="M776">
        <v>1742</v>
      </c>
      <c r="O776" t="s">
        <v>39</v>
      </c>
      <c r="P776" t="s">
        <v>39</v>
      </c>
      <c r="Q776" t="s">
        <v>1404</v>
      </c>
    </row>
    <row r="777" spans="1:17" ht="15.75" x14ac:dyDescent="0.25">
      <c r="A777" s="3" t="str">
        <f>HYPERLINK("https://heavenlyouthouse.com/products/thymes-goldleaf-gardenia-body-scrub", "https://heavenlyouthouse.com/products/thymes-goldleaf-gardenia-body-scrub")</f>
        <v>https://heavenlyouthouse.com/products/thymes-goldleaf-gardenia-body-scrub</v>
      </c>
      <c r="B777" s="3" t="str">
        <f>HYPERLINK("https://heavenlyouthouse.com/products/thymes-goldleaf-gardenia-body-scrub", "https://heavenlyouthouse.com/products/thymes-goldleaf-gardenia-body-scrub")</f>
        <v>https://heavenlyouthouse.com/products/thymes-goldleaf-gardenia-body-scrub</v>
      </c>
      <c r="C777" t="s">
        <v>1258</v>
      </c>
      <c r="D777" t="s">
        <v>880</v>
      </c>
      <c r="E777" s="3" t="str">
        <f>HYPERLINK("https://www.amazon.com/Thymes-Goldleaf-Gardenia-Perfumed-Luxury/dp/B06W5DQWGQ/ref=sr_1_3?keywords=Thymes+Goldleaf+Gardenia+Body+Scrub&amp;qid=1695258745&amp;sr=8-3", "https://www.amazon.com/Thymes-Goldleaf-Gardenia-Perfumed-Luxury/dp/B06W5DQWGQ/ref=sr_1_3?keywords=Thymes+Goldleaf+Gardenia+Body+Scrub&amp;qid=1695258745&amp;sr=8-3")</f>
        <v>https://www.amazon.com/Thymes-Goldleaf-Gardenia-Perfumed-Luxury/dp/B06W5DQWGQ/ref=sr_1_3?keywords=Thymes+Goldleaf+Gardenia+Body+Scrub&amp;qid=1695258745&amp;sr=8-3</v>
      </c>
      <c r="F777" t="s">
        <v>881</v>
      </c>
      <c r="G777" t="e">
        <f ca="1">IMAGE("https://heavenlyouthouse.com/cdn/shop/products/thymes-goldleaf-gardenia-body-scrub.jpg?v=1631820701")</f>
        <v>#NAME?</v>
      </c>
      <c r="H777" t="e">
        <f ca="1">IMAGE("https://m.media-amazon.com/images/I/51TT9TA52ML._AC_UL320_.jpg")</f>
        <v>#NAME?</v>
      </c>
      <c r="I777" t="s">
        <v>1179</v>
      </c>
      <c r="J777">
        <v>24</v>
      </c>
      <c r="K777" s="2" t="s">
        <v>1935</v>
      </c>
      <c r="L777">
        <v>4.5999999999999996</v>
      </c>
      <c r="M777">
        <v>1742</v>
      </c>
      <c r="O777" t="s">
        <v>39</v>
      </c>
      <c r="P777" t="s">
        <v>39</v>
      </c>
      <c r="Q777" t="s">
        <v>1259</v>
      </c>
    </row>
    <row r="778" spans="1:17" ht="15.75" x14ac:dyDescent="0.25">
      <c r="A778" s="3" t="str">
        <f>HYPERLINK("https://heavenlyouthouse.com/products/goldleaf-body-creme", "https://heavenlyouthouse.com/products/goldleaf-body-creme")</f>
        <v>https://heavenlyouthouse.com/products/goldleaf-body-creme</v>
      </c>
      <c r="B778" s="3" t="str">
        <f>HYPERLINK("https://heavenlyouthouse.com/products/goldleaf-body-creme", "https://heavenlyouthouse.com/products/goldleaf-body-creme")</f>
        <v>https://heavenlyouthouse.com/products/goldleaf-body-creme</v>
      </c>
      <c r="C778" t="s">
        <v>1569</v>
      </c>
      <c r="D778" t="s">
        <v>716</v>
      </c>
      <c r="E778" s="3" t="str">
        <f>HYPERLINK("https://www.amazon.com/Thymes-Body-Scrub-Goldleaf-Gardenia/dp/B09HLD6STB/ref=sr_1_10?keywords=Thymes+Goldleaf+Body+Creme&amp;qid=1695258742&amp;sr=8-10", "https://www.amazon.com/Thymes-Body-Scrub-Goldleaf-Gardenia/dp/B09HLD6STB/ref=sr_1_10?keywords=Thymes+Goldleaf+Body+Creme&amp;qid=1695258742&amp;sr=8-10")</f>
        <v>https://www.amazon.com/Thymes-Body-Scrub-Goldleaf-Gardenia/dp/B09HLD6STB/ref=sr_1_10?keywords=Thymes+Goldleaf+Body+Creme&amp;qid=1695258742&amp;sr=8-10</v>
      </c>
      <c r="F778" t="s">
        <v>717</v>
      </c>
      <c r="G778" t="e">
        <f ca="1">IMAGE("https://heavenlyouthouse.com/cdn/shop/products/thymes-goldleaf-perfumed-body-creme_d5740798-8f74-4408-9174-68dc266ec4fa.png?v=1652276989")</f>
        <v>#NAME?</v>
      </c>
      <c r="H778" t="e">
        <f ca="1">IMAGE("https://m.media-amazon.com/images/I/61IxVU-jzLL._AC_UL320_.jpg")</f>
        <v>#NAME?</v>
      </c>
      <c r="I778" t="s">
        <v>1560</v>
      </c>
      <c r="J778">
        <v>28</v>
      </c>
      <c r="K778" s="2" t="s">
        <v>1935</v>
      </c>
      <c r="L778">
        <v>4.5999999999999996</v>
      </c>
      <c r="M778">
        <v>34</v>
      </c>
      <c r="O778" t="s">
        <v>39</v>
      </c>
      <c r="P778" t="s">
        <v>39</v>
      </c>
      <c r="Q778" t="s">
        <v>1570</v>
      </c>
    </row>
    <row r="779" spans="1:17" ht="15.75" x14ac:dyDescent="0.25">
      <c r="A779" s="3" t="str">
        <f>HYPERLINK("https://heavenlyouthouse.com/products/sport-massage-body-butter", "https://heavenlyouthouse.com/products/sport-massage-body-butter")</f>
        <v>https://heavenlyouthouse.com/products/sport-massage-body-butter</v>
      </c>
      <c r="B779" s="3" t="str">
        <f>HYPERLINK("https://heavenlyouthouse.com/products/sport-massage-body-butter", "https://heavenlyouthouse.com/products/sport-massage-body-butter")</f>
        <v>https://heavenlyouthouse.com/products/sport-massage-body-butter</v>
      </c>
      <c r="C779" t="s">
        <v>1825</v>
      </c>
      <c r="D779" t="s">
        <v>1944</v>
      </c>
      <c r="E779" s="3" t="str">
        <f>HYPERLINK("https://www.amazon.com/BodyMed-Formulations-Tissue-Massage-Cream/dp/B0B6WTL28N/ref=sr_1_10?keywords=Sport+Massage+Body+Butter&amp;qid=1695258702&amp;sr=8-10", "https://www.amazon.com/BodyMed-Formulations-Tissue-Massage-Cream/dp/B0B6WTL28N/ref=sr_1_10?keywords=Sport+Massage+Body+Butter&amp;qid=1695258702&amp;sr=8-10")</f>
        <v>https://www.amazon.com/BodyMed-Formulations-Tissue-Massage-Cream/dp/B0B6WTL28N/ref=sr_1_10?keywords=Sport+Massage+Body+Butter&amp;qid=1695258702&amp;sr=8-10</v>
      </c>
      <c r="F779" t="s">
        <v>1945</v>
      </c>
      <c r="G779" t="e">
        <f ca="1">IMAGE("https://heavenlyouthouse.com/cdn/shop/products/Sport-Massage_Body-Butter_2048_2000x_1620d686-330e-4c6e-8105-36c97a18148a.jpg?v=1588275524")</f>
        <v>#NAME?</v>
      </c>
      <c r="H779" t="e">
        <f ca="1">IMAGE("https://m.media-amazon.com/images/I/41K0mziSYgL._AC_UL320_.jpg")</f>
        <v>#NAME?</v>
      </c>
      <c r="I779" t="s">
        <v>1828</v>
      </c>
      <c r="J779">
        <v>12</v>
      </c>
      <c r="K779" s="2" t="s">
        <v>1935</v>
      </c>
      <c r="L779">
        <v>4.2</v>
      </c>
      <c r="M779">
        <v>70</v>
      </c>
      <c r="O779" t="s">
        <v>39</v>
      </c>
      <c r="P779" t="s">
        <v>39</v>
      </c>
      <c r="Q779" t="s">
        <v>1829</v>
      </c>
    </row>
    <row r="780" spans="1:17" ht="15.75" x14ac:dyDescent="0.25">
      <c r="A780" s="3" t="str">
        <f>HYPERLINK("https://heavenlyouthouse.com/products/white-sparkle-ball-stud-earrings", "https://heavenlyouthouse.com/products/white-sparkle-ball-stud-earrings")</f>
        <v>https://heavenlyouthouse.com/products/white-sparkle-ball-stud-earrings</v>
      </c>
      <c r="B780" s="3" t="str">
        <f>HYPERLINK("https://heavenlyouthouse.com/products/white-sparkle-ball-stud-earrings", "https://heavenlyouthouse.com/products/white-sparkle-ball-stud-earrings")</f>
        <v>https://heavenlyouthouse.com/products/white-sparkle-ball-stud-earrings</v>
      </c>
      <c r="C780" t="s">
        <v>809</v>
      </c>
      <c r="D780" t="s">
        <v>1946</v>
      </c>
      <c r="E780" s="3" t="str">
        <f>HYPERLINK("https://www.amazon.com/White-Gold-Earrings-Secure-Screw-backs/dp/B01AGYMZ20/ref=sr_1_4?keywords=White+Sparkle+Ball+Stud+Earrings&amp;qid=1695258839&amp;sr=8-4", "https://www.amazon.com/White-Gold-Earrings-Secure-Screw-backs/dp/B01AGYMZ20/ref=sr_1_4?keywords=White+Sparkle+Ball+Stud+Earrings&amp;qid=1695258839&amp;sr=8-4")</f>
        <v>https://www.amazon.com/White-Gold-Earrings-Secure-Screw-backs/dp/B01AGYMZ20/ref=sr_1_4?keywords=White+Sparkle+Ball+Stud+Earrings&amp;qid=1695258839&amp;sr=8-4</v>
      </c>
      <c r="F780" t="s">
        <v>1947</v>
      </c>
      <c r="G780" t="e">
        <f ca="1">IMAGE("https://heavenlyouthouse.com/cdn/shop/products/SB-ES10WHT_1800x1800_7e84f74c-d927-493d-bae8-a2b4d51a8198.jpg?v=1587480879")</f>
        <v>#NAME?</v>
      </c>
      <c r="H780" t="e">
        <f ca="1">IMAGE("https://m.media-amazon.com/images/I/5186Q-c0K7L._AC_UL320_.jpg")</f>
        <v>#NAME?</v>
      </c>
      <c r="I780" t="s">
        <v>812</v>
      </c>
      <c r="J780">
        <v>39.99</v>
      </c>
      <c r="K780" s="2" t="s">
        <v>1935</v>
      </c>
      <c r="L780">
        <v>4.4000000000000004</v>
      </c>
      <c r="M780">
        <v>1728</v>
      </c>
      <c r="O780" t="s">
        <v>39</v>
      </c>
      <c r="P780" t="s">
        <v>39</v>
      </c>
      <c r="Q780" t="s">
        <v>813</v>
      </c>
    </row>
    <row r="781" spans="1:17" ht="15.75" x14ac:dyDescent="0.25">
      <c r="A781" s="3" t="str">
        <f>HYPERLINK("https://heavenlyouthouse.com/products/super-dad-fathers-day-card", "https://heavenlyouthouse.com/products/super-dad-fathers-day-card")</f>
        <v>https://heavenlyouthouse.com/products/super-dad-fathers-day-card</v>
      </c>
      <c r="B781" s="3" t="str">
        <f>HYPERLINK("https://heavenlyouthouse.com/products/super-dad-fathers-day-card", "https://heavenlyouthouse.com/products/super-dad-fathers-day-card")</f>
        <v>https://heavenlyouthouse.com/products/super-dad-fathers-day-card</v>
      </c>
      <c r="C781" t="s">
        <v>886</v>
      </c>
      <c r="D781" t="s">
        <v>1948</v>
      </c>
      <c r="E781" s="3" t="str">
        <f>HYPERLINK("https://www.amazon.com/Super-Birthday-Cards-Dad-Daughter/dp/B0C37HWL87/ref=sr_1_10?keywords=Super+Dad+Father%27s+Day+Card&amp;qid=1695258705&amp;sr=8-10", "https://www.amazon.com/Super-Birthday-Cards-Dad-Daughter/dp/B0C37HWL87/ref=sr_1_10?keywords=Super+Dad+Father%27s+Day+Card&amp;qid=1695258705&amp;sr=8-10")</f>
        <v>https://www.amazon.com/Super-Birthday-Cards-Dad-Daughter/dp/B0C37HWL87/ref=sr_1_10?keywords=Super+Dad+Father%27s+Day+Card&amp;qid=1695258705&amp;sr=8-10</v>
      </c>
      <c r="F781" t="s">
        <v>1949</v>
      </c>
      <c r="G781" t="e">
        <f ca="1">IMAGE("https://heavenlyouthouse.com/cdn/shop/products/super-dad-father_s-day-card2.jpg?v=1642611898")</f>
        <v>#NAME?</v>
      </c>
      <c r="H781" t="e">
        <f ca="1">IMAGE("https://m.media-amazon.com/images/I/61R5ettqlxL._AC_UL320_.jpg")</f>
        <v>#NAME?</v>
      </c>
      <c r="I781" t="s">
        <v>889</v>
      </c>
      <c r="J781">
        <v>6.99</v>
      </c>
      <c r="K781" s="2" t="s">
        <v>1935</v>
      </c>
      <c r="L781">
        <v>4.7</v>
      </c>
      <c r="M781">
        <v>61</v>
      </c>
      <c r="O781" t="s">
        <v>39</v>
      </c>
      <c r="P781" t="s">
        <v>891</v>
      </c>
      <c r="Q781" t="s">
        <v>892</v>
      </c>
    </row>
    <row r="782" spans="1:17" ht="15.75" x14ac:dyDescent="0.25">
      <c r="A782" s="3" t="str">
        <f>HYPERLINK("https://heavenlyouthouse.com/products/so-grateful-mothers-day-card", "https://heavenlyouthouse.com/products/so-grateful-mothers-day-card")</f>
        <v>https://heavenlyouthouse.com/products/so-grateful-mothers-day-card</v>
      </c>
      <c r="B782" s="3" t="str">
        <f>HYPERLINK("https://heavenlyouthouse.com/products/so-grateful-mothers-day-card", "https://heavenlyouthouse.com/products/so-grateful-mothers-day-card")</f>
        <v>https://heavenlyouthouse.com/products/so-grateful-mothers-day-card</v>
      </c>
      <c r="C782" t="s">
        <v>616</v>
      </c>
      <c r="D782" t="s">
        <v>1950</v>
      </c>
      <c r="E782" s="3" t="str">
        <f>HYPERLINK("https://www.amazon.com/Hallmark-Valentines-Card-Parents-Grateful/dp/B0BGYGJ58D/ref=sr_1_8?keywords=So+Grateful+Mother%27s+Day+Card&amp;qid=1695258692&amp;sr=8-8", "https://www.amazon.com/Hallmark-Valentines-Card-Parents-Grateful/dp/B0BGYGJ58D/ref=sr_1_8?keywords=So+Grateful+Mother%27s+Day+Card&amp;qid=1695258692&amp;sr=8-8")</f>
        <v>https://www.amazon.com/Hallmark-Valentines-Card-Parents-Grateful/dp/B0BGYGJ58D/ref=sr_1_8?keywords=So+Grateful+Mother%27s+Day+Card&amp;qid=1695258692&amp;sr=8-8</v>
      </c>
      <c r="F782" t="s">
        <v>1951</v>
      </c>
      <c r="G782" t="e">
        <f ca="1">IMAGE("https://heavenlyouthouse.com/cdn/shop/products/605030156378papyrusfloralmother_sdaycard.jpg?v=1619455182")</f>
        <v>#NAME?</v>
      </c>
      <c r="H782" t="e">
        <f ca="1">IMAGE("https://m.media-amazon.com/images/I/81SOsDEJbHL._AC_UL320_.jpg")</f>
        <v>#NAME?</v>
      </c>
      <c r="I782" t="s">
        <v>454</v>
      </c>
      <c r="J782">
        <v>5.59</v>
      </c>
      <c r="K782" s="2" t="s">
        <v>1952</v>
      </c>
      <c r="L782">
        <v>4.9000000000000004</v>
      </c>
      <c r="M782">
        <v>88</v>
      </c>
      <c r="O782" t="s">
        <v>39</v>
      </c>
      <c r="P782" t="s">
        <v>39</v>
      </c>
      <c r="Q782" t="s">
        <v>620</v>
      </c>
    </row>
    <row r="783" spans="1:17" ht="15.75" x14ac:dyDescent="0.25">
      <c r="A783" s="3" t="str">
        <f>HYPERLINK("https://heavenlyouthouse.com/products/you-did-it-graduation-card", "https://heavenlyouthouse.com/products/you-did-it-graduation-card")</f>
        <v>https://heavenlyouthouse.com/products/you-did-it-graduation-card</v>
      </c>
      <c r="B783" s="3" t="str">
        <f>HYPERLINK("https://heavenlyouthouse.com/products/you-did-it-graduation-card", "https://heavenlyouthouse.com/products/you-did-it-graduation-card")</f>
        <v>https://heavenlyouthouse.com/products/you-did-it-graduation-card</v>
      </c>
      <c r="C783" t="s">
        <v>851</v>
      </c>
      <c r="D783" t="s">
        <v>1953</v>
      </c>
      <c r="E783" s="3" t="str">
        <f>HYPERLINK("https://www.amazon.com/FaCraft-Graduation-Congratulations-Greeting-Envelope/dp/B0C43DW3BF/ref=sr_1_6?keywords=You+Did+It+Graduation+Card&amp;qid=1695258832&amp;sr=8-6", "https://www.amazon.com/FaCraft-Graduation-Congratulations-Greeting-Envelope/dp/B0C43DW3BF/ref=sr_1_6?keywords=You+Did+It+Graduation+Card&amp;qid=1695258832&amp;sr=8-6")</f>
        <v>https://www.amazon.com/FaCraft-Graduation-Congratulations-Greeting-Envelope/dp/B0C43DW3BF/ref=sr_1_6?keywords=You+Did+It+Graduation+Card&amp;qid=1695258832&amp;sr=8-6</v>
      </c>
      <c r="F783" t="s">
        <v>1954</v>
      </c>
      <c r="G783" t="e">
        <f ca="1">IMAGE("https://heavenlyouthouse.com/cdn/shop/products/papyrus-graduation-card-airplane-flying-around-glo_1.jpg?v=1642617008")</f>
        <v>#NAME?</v>
      </c>
      <c r="H783" t="e">
        <f ca="1">IMAGE("https://m.media-amazon.com/images/I/71698pDFNnL._AC_UL320_.jpg")</f>
        <v>#NAME?</v>
      </c>
      <c r="I783" t="s">
        <v>454</v>
      </c>
      <c r="J783">
        <v>5.59</v>
      </c>
      <c r="K783" s="2" t="s">
        <v>1952</v>
      </c>
      <c r="L783">
        <v>4.5999999999999996</v>
      </c>
      <c r="M783">
        <v>5</v>
      </c>
      <c r="O783" t="s">
        <v>39</v>
      </c>
      <c r="P783" t="s">
        <v>39</v>
      </c>
      <c r="Q783" t="s">
        <v>854</v>
      </c>
    </row>
    <row r="784" spans="1:17" ht="15.75" x14ac:dyDescent="0.25">
      <c r="A784" s="3" t="str">
        <f>HYPERLINK("https://heavenlyouthouse.com/products/thymes-frasier-fir-gilded-gold-pine-needle-candle", "https://heavenlyouthouse.com/products/thymes-frasier-fir-gilded-gold-pine-needle-candle")</f>
        <v>https://heavenlyouthouse.com/products/thymes-frasier-fir-gilded-gold-pine-needle-candle</v>
      </c>
      <c r="B784" s="3" t="str">
        <f>HYPERLINK("https://heavenlyouthouse.com/products/thymes-frasier-fir-gilded-gold-pine-needle-candle", "https://heavenlyouthouse.com/products/thymes-frasier-fir-gilded-gold-pine-needle-candle")</f>
        <v>https://heavenlyouthouse.com/products/thymes-frasier-fir-gilded-gold-pine-needle-candle</v>
      </c>
      <c r="C784" t="s">
        <v>972</v>
      </c>
      <c r="D784" t="s">
        <v>550</v>
      </c>
      <c r="E784" s="3" t="str">
        <f>HYPERLINK("https://www.amazon.com/Thymes-Frasier-Needle-Decorative-50-Hour/dp/B00YPP2LBM/ref=sr_1_2?keywords=Thymes+Frasier+Fir+Gilded+Gold+Pine+Needle+Candle&amp;qid=1695258732&amp;sr=8-2", "https://www.amazon.com/Thymes-Frasier-Needle-Decorative-50-Hour/dp/B00YPP2LBM/ref=sr_1_2?keywords=Thymes+Frasier+Fir+Gilded+Gold+Pine+Needle+Candle&amp;qid=1695258732&amp;sr=8-2")</f>
        <v>https://www.amazon.com/Thymes-Frasier-Needle-Decorative-50-Hour/dp/B00YPP2LBM/ref=sr_1_2?keywords=Thymes+Frasier+Fir+Gilded+Gold+Pine+Needle+Candle&amp;qid=1695258732&amp;sr=8-2</v>
      </c>
      <c r="F784" t="s">
        <v>551</v>
      </c>
      <c r="G784" t="e">
        <f ca="1">IMAGE("https://heavenlyouthouse.com/cdn/shop/files/thymes-frasier-fir-gilded-pine-needle-gold-candle_300x300.jpg?v=1692209396")</f>
        <v>#NAME?</v>
      </c>
      <c r="H784" t="e">
        <f ca="1">IMAGE("https://m.media-amazon.com/images/I/61rj1n74esL._AC_UL320_.jpg")</f>
        <v>#NAME?</v>
      </c>
      <c r="I784" t="s">
        <v>973</v>
      </c>
      <c r="J784">
        <v>34</v>
      </c>
      <c r="K784" s="2" t="s">
        <v>1955</v>
      </c>
      <c r="L784">
        <v>4.7</v>
      </c>
      <c r="M784">
        <v>3739</v>
      </c>
      <c r="O784" t="s">
        <v>39</v>
      </c>
      <c r="P784" t="s">
        <v>974</v>
      </c>
      <c r="Q784" t="s">
        <v>975</v>
      </c>
    </row>
    <row r="785" spans="1:17" ht="15.75" x14ac:dyDescent="0.25">
      <c r="A785" s="3" t="str">
        <f>HYPERLINK("https://heavenlyouthouse.com/products/the-courageous-dragon-book", "https://heavenlyouthouse.com/products/the-courageous-dragon-book")</f>
        <v>https://heavenlyouthouse.com/products/the-courageous-dragon-book</v>
      </c>
      <c r="B785" s="3" t="str">
        <f>HYPERLINK("https://heavenlyouthouse.com/products/the-courageous-dragon-book", "https://heavenlyouthouse.com/products/the-courageous-dragon-book")</f>
        <v>https://heavenlyouthouse.com/products/the-courageous-dragon-book</v>
      </c>
      <c r="C785" t="s">
        <v>1956</v>
      </c>
      <c r="D785" t="s">
        <v>1957</v>
      </c>
      <c r="E785" s="3" t="str">
        <f>HYPERLINK("https://www.amazon.com/Dragons-Teeth-Lanny-Budd-Novels/dp/B09VCT85PK/ref=sr_1_6?keywords=The+Courageous+Dragon+Book&amp;qid=1695258700&amp;sr=8-6", "https://www.amazon.com/Dragons-Teeth-Lanny-Budd-Novels/dp/B09VCT85PK/ref=sr_1_6?keywords=The+Courageous+Dragon+Book&amp;qid=1695258700&amp;sr=8-6")</f>
        <v>https://www.amazon.com/Dragons-Teeth-Lanny-Budd-Novels/dp/B09VCT85PK/ref=sr_1_6?keywords=The+Courageous+Dragon+Book&amp;qid=1695258700&amp;sr=8-6</v>
      </c>
      <c r="F785" t="s">
        <v>1958</v>
      </c>
      <c r="G785" t="e">
        <f ca="1">IMAGE("https://heavenlyouthouse.com/cdn/shop/products/BK4CD-the-courageous-dragon-book.jpg?v=1631560796")</f>
        <v>#NAME?</v>
      </c>
      <c r="H785" t="e">
        <f ca="1">IMAGE("https://m.media-amazon.com/images/I/81R46P52jUL._AC_UY218_.jpg")</f>
        <v>#NAME?</v>
      </c>
      <c r="I785" t="s">
        <v>802</v>
      </c>
      <c r="J785">
        <v>12.99</v>
      </c>
      <c r="K785" s="2" t="s">
        <v>1955</v>
      </c>
      <c r="L785">
        <v>4.4000000000000004</v>
      </c>
      <c r="M785">
        <v>682</v>
      </c>
      <c r="O785" t="s">
        <v>39</v>
      </c>
      <c r="P785" t="s">
        <v>39</v>
      </c>
      <c r="Q785" t="s">
        <v>1959</v>
      </c>
    </row>
    <row r="786" spans="1:17" ht="15.75" x14ac:dyDescent="0.25">
      <c r="A786" s="3" t="str">
        <f>HYPERLINK("https://heavenlyouthouse.com/products/thymes-olive-leaf-body-lotion", "https://heavenlyouthouse.com/products/thymes-olive-leaf-body-lotion")</f>
        <v>https://heavenlyouthouse.com/products/thymes-olive-leaf-body-lotion</v>
      </c>
      <c r="B786" s="3" t="str">
        <f>HYPERLINK("https://heavenlyouthouse.com/products/thymes-olive-leaf-body-lotion", "https://heavenlyouthouse.com/products/thymes-olive-leaf-body-lotion")</f>
        <v>https://heavenlyouthouse.com/products/thymes-olive-leaf-body-lotion</v>
      </c>
      <c r="C786" t="s">
        <v>1232</v>
      </c>
      <c r="D786" t="s">
        <v>877</v>
      </c>
      <c r="E786" s="3" t="str">
        <f>HYPERLINK("https://www.amazon.com/Thymes-Olive-Hydrating-Shower-Natural/dp/B0746QSJMS/ref=sr_1_4?keywords=Thymes+Olive+Leaf+Body+Lotion&amp;qid=1695258779&amp;sr=8-4", "https://www.amazon.com/Thymes-Olive-Hydrating-Shower-Natural/dp/B0746QSJMS/ref=sr_1_4?keywords=Thymes+Olive+Leaf+Body+Lotion&amp;qid=1695258779&amp;sr=8-4")</f>
        <v>https://www.amazon.com/Thymes-Olive-Hydrating-Shower-Natural/dp/B0746QSJMS/ref=sr_1_4?keywords=Thymes+Olive+Leaf+Body+Lotion&amp;qid=1695258779&amp;sr=8-4</v>
      </c>
      <c r="F786" t="s">
        <v>878</v>
      </c>
      <c r="G786" t="e">
        <f ca="1">IMAGE("https://heavenlyouthouse.com/cdn/shop/files/thymes-olive-leaf-body-lotion_300x300.jpg?v=1687382312")</f>
        <v>#NAME?</v>
      </c>
      <c r="H786" t="e">
        <f ca="1">IMAGE("https://m.media-amazon.com/images/I/61yiEFkgymL._AC_UL320_.jpg")</f>
        <v>#NAME?</v>
      </c>
      <c r="I786" t="s">
        <v>1233</v>
      </c>
      <c r="J786">
        <v>24</v>
      </c>
      <c r="K786" s="2" t="s">
        <v>1955</v>
      </c>
      <c r="L786">
        <v>4.5999999999999996</v>
      </c>
      <c r="M786">
        <v>1742</v>
      </c>
      <c r="O786" t="s">
        <v>39</v>
      </c>
      <c r="P786" t="s">
        <v>39</v>
      </c>
      <c r="Q786" t="s">
        <v>1234</v>
      </c>
    </row>
    <row r="787" spans="1:17" ht="15.75" x14ac:dyDescent="0.25">
      <c r="A787" s="3" t="str">
        <f>HYPERLINK("https://heavenlyouthouse.com/products/kimono-rose-body-lotion", "https://heavenlyouthouse.com/products/kimono-rose-body-lotion")</f>
        <v>https://heavenlyouthouse.com/products/kimono-rose-body-lotion</v>
      </c>
      <c r="B787" s="3" t="str">
        <f>HYPERLINK("https://heavenlyouthouse.com/products/kimono-rose-body-lotion", "https://heavenlyouthouse.com/products/kimono-rose-body-lotion")</f>
        <v>https://heavenlyouthouse.com/products/kimono-rose-body-lotion</v>
      </c>
      <c r="C787" t="s">
        <v>1301</v>
      </c>
      <c r="D787" t="s">
        <v>874</v>
      </c>
      <c r="E787" s="3" t="str">
        <f>HYPERLINK("https://www.amazon.com/Thymes-Kimono-Hydrating-Shower-Vanilla/dp/B0746QFMH8/ref=sr_1_4?keywords=Thymes+Kimono+Rose+Body+Lotion&amp;qid=1695258757&amp;sr=8-4", "https://www.amazon.com/Thymes-Kimono-Hydrating-Shower-Vanilla/dp/B0746QFMH8/ref=sr_1_4?keywords=Thymes+Kimono+Rose+Body+Lotion&amp;qid=1695258757&amp;sr=8-4")</f>
        <v>https://www.amazon.com/Thymes-Kimono-Hydrating-Shower-Vanilla/dp/B0746QFMH8/ref=sr_1_4?keywords=Thymes+Kimono+Rose+Body+Lotion&amp;qid=1695258757&amp;sr=8-4</v>
      </c>
      <c r="F787" t="s">
        <v>875</v>
      </c>
      <c r="G787" t="e">
        <f ca="1">IMAGE("https://heavenlyouthouse.com/cdn/shop/products/thymes-kimono-rose-body-lotion_103ffa33-d927-4c1c-a6c8-86492c96b160.png?v=1652277106")</f>
        <v>#NAME?</v>
      </c>
      <c r="H787" t="e">
        <f ca="1">IMAGE("https://m.media-amazon.com/images/I/61IPNqc5GTL._AC_UL320_.jpg")</f>
        <v>#NAME?</v>
      </c>
      <c r="I787" t="s">
        <v>1233</v>
      </c>
      <c r="J787">
        <v>24</v>
      </c>
      <c r="K787" s="2" t="s">
        <v>1955</v>
      </c>
      <c r="L787">
        <v>4.5999999999999996</v>
      </c>
      <c r="M787">
        <v>1742</v>
      </c>
      <c r="O787" t="s">
        <v>39</v>
      </c>
      <c r="P787" t="s">
        <v>1302</v>
      </c>
      <c r="Q787" t="s">
        <v>1303</v>
      </c>
    </row>
    <row r="788" spans="1:17" ht="15.75" x14ac:dyDescent="0.25">
      <c r="A788" s="3" t="str">
        <f>HYPERLINK("https://heavenlyouthouse.com/products/video-game-mens-crew-socks", "https://heavenlyouthouse.com/products/video-game-mens-crew-socks")</f>
        <v>https://heavenlyouthouse.com/products/video-game-mens-crew-socks</v>
      </c>
      <c r="B788" s="3" t="str">
        <f>HYPERLINK("https://heavenlyouthouse.com/products/video-game-mens-crew-socks", "https://heavenlyouthouse.com/products/video-game-mens-crew-socks")</f>
        <v>https://heavenlyouthouse.com/products/video-game-mens-crew-socks</v>
      </c>
      <c r="C788" t="s">
        <v>799</v>
      </c>
      <c r="D788" t="s">
        <v>1960</v>
      </c>
      <c r="E788" s="3" t="str">
        <f>HYPERLINK("https://www.amazon.com/Socks-Gaming-Master-Patterns-Mid-Calf/dp/B09M7CVN6F/ref=sr_1_3?keywords=Video+Game+Men%27s+Crew+Socks&amp;qid=1695258812&amp;sr=8-3", "https://www.amazon.com/Socks-Gaming-Master-Patterns-Mid-Calf/dp/B09M7CVN6F/ref=sr_1_3?keywords=Video+Game+Men%27s+Crew+Socks&amp;qid=1695258812&amp;sr=8-3")</f>
        <v>https://www.amazon.com/Socks-Gaming-Master-Patterns-Mid-Calf/dp/B09M7CVN6F/ref=sr_1_3?keywords=Video+Game+Men%27s+Crew+Socks&amp;qid=1695258812&amp;sr=8-3</v>
      </c>
      <c r="F788" t="s">
        <v>1961</v>
      </c>
      <c r="G788" t="e">
        <f ca="1">IMAGE("https://heavenlyouthouse.com/cdn/shop/files/blue-q-video-game-socks-men_s-socks_300x300.jpg?v=1691436647")</f>
        <v>#NAME?</v>
      </c>
      <c r="H788" t="e">
        <f ca="1">IMAGE("https://m.media-amazon.com/images/I/81qoUq0smNL._AC_UL320_.jpg")</f>
        <v>#NAME?</v>
      </c>
      <c r="I788" t="s">
        <v>802</v>
      </c>
      <c r="J788">
        <v>12.95</v>
      </c>
      <c r="K788" s="2" t="s">
        <v>1955</v>
      </c>
      <c r="L788">
        <v>4.5999999999999996</v>
      </c>
      <c r="M788">
        <v>34</v>
      </c>
      <c r="O788" t="s">
        <v>39</v>
      </c>
      <c r="P788" t="s">
        <v>803</v>
      </c>
      <c r="Q788" t="s">
        <v>804</v>
      </c>
    </row>
    <row r="789" spans="1:17" ht="15.75" x14ac:dyDescent="0.25">
      <c r="A789" s="3" t="str">
        <f>HYPERLINK("https://heavenlyouthouse.com/products/rosemary-mint-body-lotion", "https://heavenlyouthouse.com/products/rosemary-mint-body-lotion")</f>
        <v>https://heavenlyouthouse.com/products/rosemary-mint-body-lotion</v>
      </c>
      <c r="B789" s="3" t="str">
        <f>HYPERLINK("https://heavenlyouthouse.com/products/rosemary-mint-body-lotion", "https://heavenlyouthouse.com/products/rosemary-mint-body-lotion")</f>
        <v>https://heavenlyouthouse.com/products/rosemary-mint-body-lotion</v>
      </c>
      <c r="C789" t="s">
        <v>664</v>
      </c>
      <c r="D789" t="s">
        <v>1962</v>
      </c>
      <c r="E789" s="3" t="str">
        <f>HYPERLINK("https://www.amazon.com/Aromaland-Rosemary-Mint-Hand-Lotion/dp/B002SFNVW4/ref=sr_1_8?keywords=Rosemary+Mint+Body+Lotion&amp;qid=1695258667&amp;sr=8-8", "https://www.amazon.com/Aromaland-Rosemary-Mint-Hand-Lotion/dp/B002SFNVW4/ref=sr_1_8?keywords=Rosemary+Mint+Body+Lotion&amp;qid=1695258667&amp;sr=8-8")</f>
        <v>https://www.amazon.com/Aromaland-Rosemary-Mint-Hand-Lotion/dp/B002SFNVW4/ref=sr_1_8?keywords=Rosemary+Mint+Body+Lotion&amp;qid=1695258667&amp;sr=8-8</v>
      </c>
      <c r="F789" t="s">
        <v>1963</v>
      </c>
      <c r="G789" t="e">
        <f ca="1">IMAGE("https://heavenlyouthouse.com/cdn/shop/products/RosemaryMint-OatLotion.webp?v=1681505156")</f>
        <v>#NAME?</v>
      </c>
      <c r="H789" t="e">
        <f ca="1">IMAGE("https://m.media-amazon.com/images/I/51yxEg-C2ZL._AC_UL320_.jpg")</f>
        <v>#NAME?</v>
      </c>
      <c r="I789" t="s">
        <v>399</v>
      </c>
      <c r="J789">
        <v>13.5</v>
      </c>
      <c r="K789" s="2" t="s">
        <v>1964</v>
      </c>
      <c r="L789">
        <v>4</v>
      </c>
      <c r="M789">
        <v>25</v>
      </c>
      <c r="O789" t="s">
        <v>39</v>
      </c>
      <c r="P789" t="s">
        <v>39</v>
      </c>
      <c r="Q789" t="s">
        <v>667</v>
      </c>
    </row>
    <row r="790" spans="1:17" ht="15.75" x14ac:dyDescent="0.25">
      <c r="A790" s="3" t="str">
        <f>HYPERLINK("https://heavenlyouthouse.com/products/winters-a-bear-lip-balm?variant=32318241112153", "https://heavenlyouthouse.com/products/winters-a-bear-lip-balm?variant=32318241112153")</f>
        <v>https://heavenlyouthouse.com/products/winters-a-bear-lip-balm?variant=32318241112153</v>
      </c>
      <c r="B790" s="3" t="str">
        <f>HYPERLINK("https://heavenlyouthouse.com/products/winters-a-bear-lip-balm", "https://heavenlyouthouse.com/products/winters-a-bear-lip-balm")</f>
        <v>https://heavenlyouthouse.com/products/winters-a-bear-lip-balm</v>
      </c>
      <c r="C790" t="s">
        <v>131</v>
      </c>
      <c r="D790" t="s">
        <v>1965</v>
      </c>
      <c r="E790" s="3" t="str">
        <f>HYPERLINK("https://www.amazon.com/Lip-Smacker-Holiday-Flavored-Stocking/dp/B0BDDBZC79/ref=sr_1_3?keywords=Winters+A+Bear+Lip+Balm&amp;qid=1695258837&amp;rdc=1&amp;sr=8-3", "https://www.amazon.com/Lip-Smacker-Holiday-Flavored-Stocking/dp/B0BDDBZC79/ref=sr_1_3?keywords=Winters+A+Bear+Lip+Balm&amp;qid=1695258837&amp;rdc=1&amp;sr=8-3")</f>
        <v>https://www.amazon.com/Lip-Smacker-Holiday-Flavored-Stocking/dp/B0BDDBZC79/ref=sr_1_3?keywords=Winters+A+Bear+Lip+Balm&amp;qid=1695258837&amp;rdc=1&amp;sr=8-3</v>
      </c>
      <c r="F790" t="s">
        <v>1966</v>
      </c>
      <c r="G790" t="e">
        <f ca="1">IMAGE("https://heavenlyouthouse.com/cdn/shop/products/walton-wood-farm-winter_s-a-bear-lip-balm1.jpg?v=1646851940")</f>
        <v>#NAME?</v>
      </c>
      <c r="H790" t="e">
        <f ca="1">IMAGE("https://m.media-amazon.com/images/I/71hfRFsctKL._AC_UL320_.jpg")</f>
        <v>#NAME?</v>
      </c>
      <c r="I790" t="s">
        <v>134</v>
      </c>
      <c r="J790">
        <v>3.18</v>
      </c>
      <c r="K790" s="2" t="s">
        <v>1964</v>
      </c>
      <c r="L790">
        <v>4.8</v>
      </c>
      <c r="M790">
        <v>1056</v>
      </c>
      <c r="O790" t="s">
        <v>136</v>
      </c>
      <c r="P790" t="s">
        <v>39</v>
      </c>
      <c r="Q790" t="s">
        <v>137</v>
      </c>
    </row>
    <row r="791" spans="1:17" ht="15.75" x14ac:dyDescent="0.25">
      <c r="A791" s="3" t="str">
        <f>HYPERLINK("https://heavenlyouthouse.com/products/shit-show-candle", "https://heavenlyouthouse.com/products/shit-show-candle")</f>
        <v>https://heavenlyouthouse.com/products/shit-show-candle</v>
      </c>
      <c r="B791" s="3" t="str">
        <f>HYPERLINK("https://heavenlyouthouse.com/products/shit-show-candle", "https://heavenlyouthouse.com/products/shit-show-candle")</f>
        <v>https://heavenlyouthouse.com/products/shit-show-candle</v>
      </c>
      <c r="C791" t="s">
        <v>1967</v>
      </c>
      <c r="D791" t="s">
        <v>1968</v>
      </c>
      <c r="E791" s="3" t="str">
        <f>HYPERLINK("https://www.amazon.com/Congrats-Made-Shit-Show-Candle/dp/B0BZCBB18H/ref=sr_1_2?keywords=Shit+Show+Candle&amp;qid=1695258690&amp;sr=8-2", "https://www.amazon.com/Congrats-Made-Shit-Show-Candle/dp/B0BZCBB18H/ref=sr_1_2?keywords=Shit+Show+Candle&amp;qid=1695258690&amp;sr=8-2")</f>
        <v>https://www.amazon.com/Congrats-Made-Shit-Show-Candle/dp/B0BZCBB18H/ref=sr_1_2?keywords=Shit+Show+Candle&amp;qid=1695258690&amp;sr=8-2</v>
      </c>
      <c r="F791" t="s">
        <v>1969</v>
      </c>
      <c r="G791" t="e">
        <f ca="1">IMAGE("https://heavenlyouthouse.com/cdn/shop/products/shitshowcandle.jpg?v=1620680822")</f>
        <v>#NAME?</v>
      </c>
      <c r="H791" t="e">
        <f ca="1">IMAGE("https://m.media-amazon.com/images/I/71RbSa2lHxL._AC_UL320_.jpg")</f>
        <v>#NAME?</v>
      </c>
      <c r="I791" t="s">
        <v>1211</v>
      </c>
      <c r="J791">
        <v>24.99</v>
      </c>
      <c r="K791" s="2" t="s">
        <v>1964</v>
      </c>
      <c r="L791">
        <v>5</v>
      </c>
      <c r="M791">
        <v>1</v>
      </c>
      <c r="O791" t="s">
        <v>39</v>
      </c>
      <c r="P791" t="s">
        <v>39</v>
      </c>
      <c r="Q791" t="s">
        <v>1970</v>
      </c>
    </row>
    <row r="792" spans="1:17" ht="15.75" x14ac:dyDescent="0.25">
      <c r="A792" s="3" t="str">
        <f>HYPERLINK("https://heavenlyouthouse.com/products/thymes-frasier-fir-pura-smart-home-diffuser-refill", "https://heavenlyouthouse.com/products/thymes-frasier-fir-pura-smart-home-diffuser-refill")</f>
        <v>https://heavenlyouthouse.com/products/thymes-frasier-fir-pura-smart-home-diffuser-refill</v>
      </c>
      <c r="B792" s="3" t="str">
        <f>HYPERLINK("https://heavenlyouthouse.com/products/thymes-frasier-fir-pura-smart-home-diffuser-refill", "https://heavenlyouthouse.com/products/thymes-frasier-fir-pura-smart-home-diffuser-refill")</f>
        <v>https://heavenlyouthouse.com/products/thymes-frasier-fir-pura-smart-home-diffuser-refill</v>
      </c>
      <c r="C792" t="s">
        <v>126</v>
      </c>
      <c r="D792" t="s">
        <v>1357</v>
      </c>
      <c r="E792" s="3" t="str">
        <f>HYPERLINK("https://www.amazon.com/Thymes-Diffuser-Oil-0-25-Frasier/dp/B08CVRZJQZ/ref=sr_1_4?keywords=Thymes+Frasier+Fir+Pura+Diffuser+Refill&amp;qid=1695258738&amp;sr=8-4", "https://www.amazon.com/Thymes-Diffuser-Oil-0-25-Frasier/dp/B08CVRZJQZ/ref=sr_1_4?keywords=Thymes+Frasier+Fir+Pura+Diffuser+Refill&amp;qid=1695258738&amp;sr=8-4")</f>
        <v>https://www.amazon.com/Thymes-Diffuser-Oil-0-25-Frasier/dp/B08CVRZJQZ/ref=sr_1_4?keywords=Thymes+Frasier+Fir+Pura+Diffuser+Refill&amp;qid=1695258738&amp;sr=8-4</v>
      </c>
      <c r="F792" t="s">
        <v>1358</v>
      </c>
      <c r="G792" t="e">
        <f ca="1">IMAGE("https://heavenlyouthouse.com/cdn/shop/products/Thymes-Frasier-Fir-pura-smart-home-diffuser-refill.jpg?v=1632434828")</f>
        <v>#NAME?</v>
      </c>
      <c r="H792" t="e">
        <f ca="1">IMAGE("https://m.media-amazon.com/images/I/61rg4AuJDaL._AC_UL320_.jpg")</f>
        <v>#NAME?</v>
      </c>
      <c r="I792" t="s">
        <v>117</v>
      </c>
      <c r="J792">
        <v>16</v>
      </c>
      <c r="K792" s="2" t="s">
        <v>1964</v>
      </c>
      <c r="L792">
        <v>4.3</v>
      </c>
      <c r="M792">
        <v>36</v>
      </c>
      <c r="O792" t="s">
        <v>39</v>
      </c>
      <c r="P792" t="s">
        <v>53</v>
      </c>
      <c r="Q792" t="s">
        <v>127</v>
      </c>
    </row>
    <row r="793" spans="1:17" ht="15.75" x14ac:dyDescent="0.25">
      <c r="A793" s="3" t="str">
        <f>HYPERLINK("https://heavenlyouthouse.com/products/purifying-face-serum", "https://heavenlyouthouse.com/products/purifying-face-serum")</f>
        <v>https://heavenlyouthouse.com/products/purifying-face-serum</v>
      </c>
      <c r="B793" s="3" t="str">
        <f>HYPERLINK("https://heavenlyouthouse.com/products/purifying-face-serum", "https://heavenlyouthouse.com/products/purifying-face-serum")</f>
        <v>https://heavenlyouthouse.com/products/purifying-face-serum</v>
      </c>
      <c r="C793" t="s">
        <v>1067</v>
      </c>
      <c r="D793" t="s">
        <v>1971</v>
      </c>
      <c r="E793" s="3" t="str">
        <f>HYPERLINK("https://www.amazon.com/DEW-CARE-Power-Green-Cruelty-free-Paraben-free/dp/B07XTSFF1N/ref=sr_1_4?keywords=Purifying+Face+Serum&amp;qid=1695258651&amp;sr=8-4", "https://www.amazon.com/DEW-CARE-Power-Green-Cruelty-free-Paraben-free/dp/B07XTSFF1N/ref=sr_1_4?keywords=Purifying+Face+Serum&amp;qid=1695258651&amp;sr=8-4")</f>
        <v>https://www.amazon.com/DEW-CARE-Power-Green-Cruelty-free-Paraben-free/dp/B07XTSFF1N/ref=sr_1_4?keywords=Purifying+Face+Serum&amp;qid=1695258651&amp;sr=8-4</v>
      </c>
      <c r="F793" t="s">
        <v>1972</v>
      </c>
      <c r="G793" t="e">
        <f ca="1">IMAGE("https://heavenlyouthouse.com/cdn/shop/products/Serum-Purifying-rocky-mountain-soap-co.jpg?v=1636133573")</f>
        <v>#NAME?</v>
      </c>
      <c r="H793" t="e">
        <f ca="1">IMAGE("https://m.media-amazon.com/images/I/61XazDzNSHL._AC_UL320_.jpg")</f>
        <v>#NAME?</v>
      </c>
      <c r="I793" t="s">
        <v>175</v>
      </c>
      <c r="J793">
        <v>25</v>
      </c>
      <c r="K793" s="2" t="s">
        <v>1964</v>
      </c>
      <c r="L793">
        <v>4.4000000000000004</v>
      </c>
      <c r="M793">
        <v>1677</v>
      </c>
      <c r="O793" t="s">
        <v>39</v>
      </c>
      <c r="P793" t="s">
        <v>177</v>
      </c>
      <c r="Q793" t="s">
        <v>1070</v>
      </c>
    </row>
    <row r="794" spans="1:17" ht="15.75" x14ac:dyDescent="0.25">
      <c r="A794" s="3" t="str">
        <f>HYPERLINK("https://heavenlyouthouse.com/products/thymes-olive-leaf-cologne", "https://heavenlyouthouse.com/products/thymes-olive-leaf-cologne")</f>
        <v>https://heavenlyouthouse.com/products/thymes-olive-leaf-cologne</v>
      </c>
      <c r="B794" s="3" t="str">
        <f>HYPERLINK("https://heavenlyouthouse.com/products/thymes-olive-leaf-cologne", "https://heavenlyouthouse.com/products/thymes-olive-leaf-cologne")</f>
        <v>https://heavenlyouthouse.com/products/thymes-olive-leaf-cologne</v>
      </c>
      <c r="C794" t="s">
        <v>1973</v>
      </c>
      <c r="D794" t="s">
        <v>935</v>
      </c>
      <c r="E794" s="3" t="str">
        <f>HYPERLINK("https://www.amazon.com/Thymes-Aromatic-Candle-Olive-Leaf/dp/B08YGNHWFT/ref=sr_1_8?keywords=Thymes+Olive+Leaf+Cologne&amp;qid=1695258786&amp;sr=8-8", "https://www.amazon.com/Thymes-Aromatic-Candle-Olive-Leaf/dp/B08YGNHWFT/ref=sr_1_8?keywords=Thymes+Olive+Leaf+Cologne&amp;qid=1695258786&amp;sr=8-8")</f>
        <v>https://www.amazon.com/Thymes-Aromatic-Candle-Olive-Leaf/dp/B08YGNHWFT/ref=sr_1_8?keywords=Thymes+Olive+Leaf+Cologne&amp;qid=1695258786&amp;sr=8-8</v>
      </c>
      <c r="F794" t="s">
        <v>936</v>
      </c>
      <c r="G794" t="e">
        <f ca="1">IMAGE("https://heavenlyouthouse.com/cdn/shop/products/Olive-Leaf-Cologne-0540323000.jpg?v=1633124560")</f>
        <v>#NAME?</v>
      </c>
      <c r="H794" t="e">
        <f ca="1">IMAGE("https://m.media-amazon.com/images/I/61eFoR+6xQL._AC_UL320_.jpg")</f>
        <v>#NAME?</v>
      </c>
      <c r="I794" t="s">
        <v>336</v>
      </c>
      <c r="J794">
        <v>32</v>
      </c>
      <c r="K794" s="2" t="s">
        <v>1964</v>
      </c>
      <c r="L794">
        <v>4.5</v>
      </c>
      <c r="M794">
        <v>197</v>
      </c>
      <c r="O794" t="s">
        <v>39</v>
      </c>
      <c r="P794" t="s">
        <v>1204</v>
      </c>
      <c r="Q794" t="s">
        <v>1974</v>
      </c>
    </row>
    <row r="795" spans="1:17" ht="15.75" x14ac:dyDescent="0.25">
      <c r="A795" s="3" t="str">
        <f>HYPERLINK("https://heavenlyouthouse.com/products/shit-show-candle", "https://heavenlyouthouse.com/products/shit-show-candle")</f>
        <v>https://heavenlyouthouse.com/products/shit-show-candle</v>
      </c>
      <c r="B795" s="3" t="str">
        <f>HYPERLINK("https://heavenlyouthouse.com/products/shit-show-candle", "https://heavenlyouthouse.com/products/shit-show-candle")</f>
        <v>https://heavenlyouthouse.com/products/shit-show-candle</v>
      </c>
      <c r="C795" t="s">
        <v>1967</v>
      </c>
      <c r="D795" t="s">
        <v>1975</v>
      </c>
      <c r="E795" s="3" t="str">
        <f>HYPERLINK("https://www.amazon.com/Coo-Candles-Ounce-Statement-Candle/dp/B07KFY2HTB/ref=sr_1_4?keywords=Shit+Show+Candle&amp;qid=1695258690&amp;sr=8-4", "https://www.amazon.com/Coo-Candles-Ounce-Statement-Candle/dp/B07KFY2HTB/ref=sr_1_4?keywords=Shit+Show+Candle&amp;qid=1695258690&amp;sr=8-4")</f>
        <v>https://www.amazon.com/Coo-Candles-Ounce-Statement-Candle/dp/B07KFY2HTB/ref=sr_1_4?keywords=Shit+Show+Candle&amp;qid=1695258690&amp;sr=8-4</v>
      </c>
      <c r="F795" t="s">
        <v>1976</v>
      </c>
      <c r="G795" t="e">
        <f ca="1">IMAGE("https://heavenlyouthouse.com/cdn/shop/products/shitshowcandle.jpg?v=1620680822")</f>
        <v>#NAME?</v>
      </c>
      <c r="H795" t="e">
        <f ca="1">IMAGE("https://m.media-amazon.com/images/I/81SCrYdGJ-S._AC_UL320_.jpg")</f>
        <v>#NAME?</v>
      </c>
      <c r="I795" t="s">
        <v>1211</v>
      </c>
      <c r="J795">
        <v>24.95</v>
      </c>
      <c r="K795" s="2" t="s">
        <v>1964</v>
      </c>
      <c r="L795">
        <v>4.4000000000000004</v>
      </c>
      <c r="M795">
        <v>9</v>
      </c>
      <c r="O795" t="s">
        <v>39</v>
      </c>
      <c r="P795" t="s">
        <v>39</v>
      </c>
      <c r="Q795" t="s">
        <v>1970</v>
      </c>
    </row>
    <row r="796" spans="1:17" ht="15.75" x14ac:dyDescent="0.25">
      <c r="A796" s="3" t="str">
        <f>HYPERLINK("https://heavenlyouthouse.com/products/whiskey-mens-crew-socks", "https://heavenlyouthouse.com/products/whiskey-mens-crew-socks")</f>
        <v>https://heavenlyouthouse.com/products/whiskey-mens-crew-socks</v>
      </c>
      <c r="B796" s="3" t="str">
        <f>HYPERLINK("https://heavenlyouthouse.com/products/whiskey-mens-crew-socks", "https://heavenlyouthouse.com/products/whiskey-mens-crew-socks")</f>
        <v>https://heavenlyouthouse.com/products/whiskey-mens-crew-socks</v>
      </c>
      <c r="C796" t="s">
        <v>1665</v>
      </c>
      <c r="D796" t="s">
        <v>1977</v>
      </c>
      <c r="E796" s="3" t="str">
        <f>HYPERLINK("https://www.amazon.com/Favorite-Color-Bourbon-Mens-Socks/dp/B07VF9WG88/ref=sr_1_5?keywords=Whiskey+Mens+Crew+Socks&amp;qid=1695258823&amp;sr=8-5", "https://www.amazon.com/Favorite-Color-Bourbon-Mens-Socks/dp/B07VF9WG88/ref=sr_1_5?keywords=Whiskey+Mens+Crew+Socks&amp;qid=1695258823&amp;sr=8-5")</f>
        <v>https://www.amazon.com/Favorite-Color-Bourbon-Mens-Socks/dp/B07VF9WG88/ref=sr_1_5?keywords=Whiskey+Mens+Crew+Socks&amp;qid=1695258823&amp;sr=8-5</v>
      </c>
      <c r="F796" t="s">
        <v>1978</v>
      </c>
      <c r="G796" t="e">
        <f ca="1">IMAGE("https://heavenlyouthouse.com/cdn/shop/files/blue-q-cool-whiskey-men_s-socks_300x300.jpg?v=1689179660")</f>
        <v>#NAME?</v>
      </c>
      <c r="H796" t="e">
        <f ca="1">IMAGE("https://m.media-amazon.com/images/I/91jfd87r9nL._AC_UL320_.jpg")</f>
        <v>#NAME?</v>
      </c>
      <c r="I796" t="s">
        <v>802</v>
      </c>
      <c r="J796">
        <v>12.75</v>
      </c>
      <c r="K796" s="2" t="s">
        <v>1964</v>
      </c>
      <c r="L796">
        <v>4.5999999999999996</v>
      </c>
      <c r="M796">
        <v>53</v>
      </c>
      <c r="O796" t="s">
        <v>39</v>
      </c>
      <c r="P796" t="s">
        <v>803</v>
      </c>
      <c r="Q796" t="s">
        <v>1668</v>
      </c>
    </row>
    <row r="797" spans="1:17" ht="15.75" x14ac:dyDescent="0.25">
      <c r="A797" s="3" t="str">
        <f>HYPERLINK("https://heavenlyouthouse.com/products/thymes-frasier-fir-molded-pine-cone-candle", "https://heavenlyouthouse.com/products/thymes-frasier-fir-molded-pine-cone-candle")</f>
        <v>https://heavenlyouthouse.com/products/thymes-frasier-fir-molded-pine-cone-candle</v>
      </c>
      <c r="B797" s="3" t="str">
        <f>HYPERLINK("https://heavenlyouthouse.com/products/thymes-frasier-fir-molded-pine-cone-candle", "https://heavenlyouthouse.com/products/thymes-frasier-fir-molded-pine-cone-candle")</f>
        <v>https://heavenlyouthouse.com/products/thymes-frasier-fir-molded-pine-cone-candle</v>
      </c>
      <c r="C797" t="s">
        <v>1203</v>
      </c>
      <c r="D797" t="s">
        <v>441</v>
      </c>
      <c r="E797" s="3" t="str">
        <f>HYPERLINK("https://www.amazon.com/Thymes-Frasier-Fir-Candle-Set/dp/B0140PRD7I/ref=sr_1_3?keywords=Thymes+Frasier+Fir+Molded+Pine+Cone+Candle&amp;qid=1695258731&amp;sr=8-3", "https://www.amazon.com/Thymes-Frasier-Fir-Candle-Set/dp/B0140PRD7I/ref=sr_1_3?keywords=Thymes+Frasier+Fir+Molded+Pine+Cone+Candle&amp;qid=1695258731&amp;sr=8-3")</f>
        <v>https://www.amazon.com/Thymes-Frasier-Fir-Candle-Set/dp/B0140PRD7I/ref=sr_1_3?keywords=Thymes+Frasier+Fir+Molded+Pine+Cone+Candle&amp;qid=1695258731&amp;sr=8-3</v>
      </c>
      <c r="F797" t="s">
        <v>442</v>
      </c>
      <c r="G797" t="e">
        <f ca="1">IMAGE("https://heavenlyouthouse.com/cdn/shop/products/Thymes-frasier-fir-pinecone-candle.jpg?v=1662139253")</f>
        <v>#NAME?</v>
      </c>
      <c r="H797" t="e">
        <f ca="1">IMAGE("https://m.media-amazon.com/images/I/71tOjhmJH0L._AC_UL320_.jpg")</f>
        <v>#NAME?</v>
      </c>
      <c r="I797" t="s">
        <v>1204</v>
      </c>
      <c r="J797">
        <v>38</v>
      </c>
      <c r="K797" s="2" t="s">
        <v>1979</v>
      </c>
      <c r="L797">
        <v>4.7</v>
      </c>
      <c r="M797">
        <v>181</v>
      </c>
      <c r="O797" t="s">
        <v>39</v>
      </c>
      <c r="P797" t="s">
        <v>39</v>
      </c>
      <c r="Q797" t="s">
        <v>1205</v>
      </c>
    </row>
    <row r="798" spans="1:17" ht="15.75" x14ac:dyDescent="0.25">
      <c r="A798" s="3" t="str">
        <f>HYPERLINK("https://heavenlyouthouse.com/products/goldleaf-bar-soap", "https://heavenlyouthouse.com/products/goldleaf-bar-soap")</f>
        <v>https://heavenlyouthouse.com/products/goldleaf-bar-soap</v>
      </c>
      <c r="B798" s="3" t="str">
        <f>HYPERLINK("https://heavenlyouthouse.com/products/goldleaf-bar-soap", "https://heavenlyouthouse.com/products/goldleaf-bar-soap")</f>
        <v>https://heavenlyouthouse.com/products/goldleaf-bar-soap</v>
      </c>
      <c r="C798" t="s">
        <v>1347</v>
      </c>
      <c r="D798" t="s">
        <v>1659</v>
      </c>
      <c r="E798" s="3" t="str">
        <f>HYPERLINK("https://www.amazon.com/Thymes-Frasier-Triple-Milled-Ounces/dp/B0140PRD0U/ref=sr_1_3?keywords=Thymes+Goldleaf+Bar+Soap&amp;qid=1695258742&amp;sr=8-3", "https://www.amazon.com/Thymes-Frasier-Triple-Milled-Ounces/dp/B0140PRD0U/ref=sr_1_3?keywords=Thymes+Goldleaf+Bar+Soap&amp;qid=1695258742&amp;sr=8-3")</f>
        <v>https://www.amazon.com/Thymes-Frasier-Triple-Milled-Ounces/dp/B0140PRD0U/ref=sr_1_3?keywords=Thymes+Goldleaf+Bar+Soap&amp;qid=1695258742&amp;sr=8-3</v>
      </c>
      <c r="F798" t="s">
        <v>1660</v>
      </c>
      <c r="G798" t="e">
        <f ca="1">IMAGE("https://heavenlyouthouse.com/cdn/shop/products/thymes-goldleaf-bar-soap.jpg?v=1628693656")</f>
        <v>#NAME?</v>
      </c>
      <c r="H798" t="e">
        <f ca="1">IMAGE("https://m.media-amazon.com/images/I/71Y2VJnEVAL._AC_UL320_.jpg")</f>
        <v>#NAME?</v>
      </c>
      <c r="I798" t="s">
        <v>98</v>
      </c>
      <c r="J798">
        <v>12</v>
      </c>
      <c r="K798" s="2" t="s">
        <v>1979</v>
      </c>
      <c r="L798">
        <v>4.7</v>
      </c>
      <c r="M798">
        <v>610</v>
      </c>
      <c r="O798" t="s">
        <v>39</v>
      </c>
      <c r="P798" t="s">
        <v>39</v>
      </c>
      <c r="Q798" t="s">
        <v>1350</v>
      </c>
    </row>
    <row r="799" spans="1:17" ht="15.75" x14ac:dyDescent="0.25">
      <c r="A799" s="3" t="str">
        <f>HYPERLINK("https://heavenlyouthouse.com/products/eucalyptus-bar-soap", "https://heavenlyouthouse.com/products/eucalyptus-bar-soap")</f>
        <v>https://heavenlyouthouse.com/products/eucalyptus-bar-soap</v>
      </c>
      <c r="B799" s="3" t="str">
        <f>HYPERLINK("https://heavenlyouthouse.com/products/eucalyptus-bar-soap", "https://heavenlyouthouse.com/products/eucalyptus-bar-soap")</f>
        <v>https://heavenlyouthouse.com/products/eucalyptus-bar-soap</v>
      </c>
      <c r="C799" t="s">
        <v>431</v>
      </c>
      <c r="D799" t="s">
        <v>1659</v>
      </c>
      <c r="E799" s="3" t="str">
        <f>HYPERLINK("https://www.amazon.com/Thymes-Frasier-Triple-Milled-Ounces/dp/B0140PRD0U/ref=sr_1_5?keywords=Thymes+Eucalyptus+Bar+Soap&amp;qid=1695258725&amp;sr=8-5", "https://www.amazon.com/Thymes-Frasier-Triple-Milled-Ounces/dp/B0140PRD0U/ref=sr_1_5?keywords=Thymes+Eucalyptus+Bar+Soap&amp;qid=1695258725&amp;sr=8-5")</f>
        <v>https://www.amazon.com/Thymes-Frasier-Triple-Milled-Ounces/dp/B0140PRD0U/ref=sr_1_5?keywords=Thymes+Eucalyptus+Bar+Soap&amp;qid=1695258725&amp;sr=8-5</v>
      </c>
      <c r="F799" t="s">
        <v>1660</v>
      </c>
      <c r="G799" t="e">
        <f ca="1">IMAGE("https://heavenlyouthouse.com/cdn/shop/products/thymes-eucalyptus-bar-soap.jpg?v=1628693255")</f>
        <v>#NAME?</v>
      </c>
      <c r="H799" t="e">
        <f ca="1">IMAGE("https://m.media-amazon.com/images/I/71Y2VJnEVAL._AC_UL320_.jpg")</f>
        <v>#NAME?</v>
      </c>
      <c r="I799" t="s">
        <v>98</v>
      </c>
      <c r="J799">
        <v>12</v>
      </c>
      <c r="K799" s="2" t="s">
        <v>1979</v>
      </c>
      <c r="L799">
        <v>4.7</v>
      </c>
      <c r="M799">
        <v>610</v>
      </c>
      <c r="O799" t="s">
        <v>39</v>
      </c>
      <c r="P799" t="s">
        <v>39</v>
      </c>
      <c r="Q799" t="s">
        <v>434</v>
      </c>
    </row>
    <row r="800" spans="1:17" ht="15.75" x14ac:dyDescent="0.25">
      <c r="A800" s="3" t="str">
        <f>HYPERLINK("https://heavenlyouthouse.com/products/thymes-frasier-fir-pine-needle-reed-diffuser", "https://heavenlyouthouse.com/products/thymes-frasier-fir-pine-needle-reed-diffuser")</f>
        <v>https://heavenlyouthouse.com/products/thymes-frasier-fir-pine-needle-reed-diffuser</v>
      </c>
      <c r="B800" s="3" t="str">
        <f>HYPERLINK("https://heavenlyouthouse.com/products/thymes-frasier-fir-pine-needle-reed-diffuser", "https://heavenlyouthouse.com/products/thymes-frasier-fir-pine-needle-reed-diffuser")</f>
        <v>https://heavenlyouthouse.com/products/thymes-frasier-fir-pine-needle-reed-diffuser</v>
      </c>
      <c r="C800" t="s">
        <v>654</v>
      </c>
      <c r="D800" t="s">
        <v>150</v>
      </c>
      <c r="E800" s="3" t="str">
        <f>HYPERLINK("https://www.amazon.com/Frasier-Diffuser-Petite-Needle-Design/dp/B07PX41PHQ/ref=sr_1_3?keywords=Thymes+Frasier+Fir+Pine+Needle+Reed+Diffuser&amp;qid=1695258733&amp;sr=8-3", "https://www.amazon.com/Frasier-Diffuser-Petite-Needle-Design/dp/B07PX41PHQ/ref=sr_1_3?keywords=Thymes+Frasier+Fir+Pine+Needle+Reed+Diffuser&amp;qid=1695258733&amp;sr=8-3")</f>
        <v>https://www.amazon.com/Frasier-Diffuser-Petite-Needle-Design/dp/B07PX41PHQ/ref=sr_1_3?keywords=Thymes+Frasier+Fir+Pine+Needle+Reed+Diffuser&amp;qid=1695258733&amp;sr=8-3</v>
      </c>
      <c r="F800" t="s">
        <v>151</v>
      </c>
      <c r="G800" t="e">
        <f ca="1">IMAGE("https://heavenlyouthouse.com/cdn/shop/products/thymesfrasierfirpineneedledesignreeddiffuser.jpg?v=1619197867")</f>
        <v>#NAME?</v>
      </c>
      <c r="H800" t="e">
        <f ca="1">IMAGE("https://m.media-amazon.com/images/I/81b2I297VgL._AC_UL320_.jpg")</f>
        <v>#NAME?</v>
      </c>
      <c r="I800" t="s">
        <v>655</v>
      </c>
      <c r="J800">
        <v>46</v>
      </c>
      <c r="K800" s="2" t="s">
        <v>1979</v>
      </c>
      <c r="L800">
        <v>4.7</v>
      </c>
      <c r="M800">
        <v>283</v>
      </c>
      <c r="O800" t="s">
        <v>39</v>
      </c>
      <c r="P800" t="s">
        <v>39</v>
      </c>
      <c r="Q800" t="s">
        <v>657</v>
      </c>
    </row>
    <row r="801" spans="1:17" ht="15.75" x14ac:dyDescent="0.25">
      <c r="A801" s="3" t="str">
        <f>HYPERLINK("https://heavenlyouthouse.com/products/tool-man-fathers-day-card", "https://heavenlyouthouse.com/products/tool-man-fathers-day-card")</f>
        <v>https://heavenlyouthouse.com/products/tool-man-fathers-day-card</v>
      </c>
      <c r="B801" s="3" t="str">
        <f>HYPERLINK("https://heavenlyouthouse.com/products/tool-man-fathers-day-card", "https://heavenlyouthouse.com/products/tool-man-fathers-day-card")</f>
        <v>https://heavenlyouthouse.com/products/tool-man-fathers-day-card</v>
      </c>
      <c r="C801" t="s">
        <v>867</v>
      </c>
      <c r="D801" t="s">
        <v>1980</v>
      </c>
      <c r="E801" s="3" t="str">
        <f>HYPERLINK("https://www.amazon.com/Arsagen-Handyman-Happy-Fathers-Measure/dp/B0BWS1TTJ2/ref=sr_1_6?keywords=Tool+Man+Fathers+Day+Card&amp;qid=1695258801&amp;sr=8-6", "https://www.amazon.com/Arsagen-Handyman-Happy-Fathers-Measure/dp/B0BWS1TTJ2/ref=sr_1_6?keywords=Tool+Man+Fathers+Day+Card&amp;qid=1695258801&amp;sr=8-6")</f>
        <v>https://www.amazon.com/Arsagen-Handyman-Happy-Fathers-Measure/dp/B0BWS1TTJ2/ref=sr_1_6?keywords=Tool+Man+Fathers+Day+Card&amp;qid=1695258801&amp;sr=8-6</v>
      </c>
      <c r="F801" t="s">
        <v>1981</v>
      </c>
      <c r="G801" t="e">
        <f ca="1">IMAGE("https://heavenlyouthouse.com/cdn/shop/products/605030123271.jpg?v=1621620239")</f>
        <v>#NAME?</v>
      </c>
      <c r="H801" t="e">
        <f ca="1">IMAGE("https://m.media-amazon.com/images/I/61nOyqUlghL._AC_UL320_.jpg")</f>
        <v>#NAME?</v>
      </c>
      <c r="I801" t="s">
        <v>870</v>
      </c>
      <c r="J801">
        <v>5.99</v>
      </c>
      <c r="K801" s="2" t="s">
        <v>1979</v>
      </c>
      <c r="L801">
        <v>4.8</v>
      </c>
      <c r="M801">
        <v>34</v>
      </c>
      <c r="O801" t="s">
        <v>39</v>
      </c>
      <c r="P801" t="s">
        <v>39</v>
      </c>
      <c r="Q801" t="s">
        <v>872</v>
      </c>
    </row>
    <row r="802" spans="1:17" ht="15.75" x14ac:dyDescent="0.25">
      <c r="A802" s="3" t="str">
        <f>HYPERLINK("https://heavenlyouthouse.com/products/vanilla-coconut-body-lotion", "https://heavenlyouthouse.com/products/vanilla-coconut-body-lotion")</f>
        <v>https://heavenlyouthouse.com/products/vanilla-coconut-body-lotion</v>
      </c>
      <c r="B802" s="3" t="str">
        <f>HYPERLINK("https://heavenlyouthouse.com/products/vanilla-coconut-body-lotion", "https://heavenlyouthouse.com/products/vanilla-coconut-body-lotion")</f>
        <v>https://heavenlyouthouse.com/products/vanilla-coconut-body-lotion</v>
      </c>
      <c r="C802" t="s">
        <v>396</v>
      </c>
      <c r="D802" t="s">
        <v>1982</v>
      </c>
      <c r="E802" s="3" t="str">
        <f>HYPERLINK("https://www.amazon.com/EO-Lotion-Coconut-Vanilla-Ounce/dp/B004PYOWOC/ref=sr_1_4?keywords=Vanilla+Coconut+Body+Lotion&amp;qid=1695258813&amp;sr=8-4", "https://www.amazon.com/EO-Lotion-Coconut-Vanilla-Ounce/dp/B004PYOWOC/ref=sr_1_4?keywords=Vanilla+Coconut+Body+Lotion&amp;qid=1695258813&amp;sr=8-4")</f>
        <v>https://www.amazon.com/EO-Lotion-Coconut-Vanilla-Ounce/dp/B004PYOWOC/ref=sr_1_4?keywords=Vanilla+Coconut+Body+Lotion&amp;qid=1695258813&amp;sr=8-4</v>
      </c>
      <c r="F802" t="s">
        <v>1983</v>
      </c>
      <c r="G802" t="e">
        <f ca="1">IMAGE("https://heavenlyouthouse.com/cdn/shop/products/Vanilla-Coconut_Body-Lotion_2048_2000x_f9dbe99f-03d5-4b01-984d-3ca76d1c9785.jpg?v=1586911459")</f>
        <v>#NAME?</v>
      </c>
      <c r="H802" t="e">
        <f ca="1">IMAGE("https://m.media-amazon.com/images/I/51wXWJF4QbL._AC_UL320_.jpg")</f>
        <v>#NAME?</v>
      </c>
      <c r="I802" t="s">
        <v>399</v>
      </c>
      <c r="J802">
        <v>13.17</v>
      </c>
      <c r="K802" s="2" t="s">
        <v>1979</v>
      </c>
      <c r="L802">
        <v>4.5</v>
      </c>
      <c r="M802">
        <v>164</v>
      </c>
      <c r="O802" t="s">
        <v>39</v>
      </c>
      <c r="P802" t="s">
        <v>39</v>
      </c>
      <c r="Q802" t="s">
        <v>400</v>
      </c>
    </row>
    <row r="803" spans="1:17" ht="15.75" x14ac:dyDescent="0.25">
      <c r="A803" s="3" t="str">
        <f>HYPERLINK("https://heavenlyouthouse.com/products/scent-free-body-butter", "https://heavenlyouthouse.com/products/scent-free-body-butter")</f>
        <v>https://heavenlyouthouse.com/products/scent-free-body-butter</v>
      </c>
      <c r="B803" s="3" t="str">
        <f>HYPERLINK("https://heavenlyouthouse.com/products/scent-free-body-butter", "https://heavenlyouthouse.com/products/scent-free-body-butter")</f>
        <v>https://heavenlyouthouse.com/products/scent-free-body-butter</v>
      </c>
      <c r="C803" t="s">
        <v>695</v>
      </c>
      <c r="D803" t="s">
        <v>1984</v>
      </c>
      <c r="E803" s="3" t="str">
        <f>HYPERLINK("https://www.amazon.com/Spenser-Jensen-Hydrating-Lavender-Chamomile/dp/B0BQNYFJKW/ref=sr_1_8?keywords=Scent+Free+Body+Butter&amp;qid=1695258680&amp;sr=8-8", "https://www.amazon.com/Spenser-Jensen-Hydrating-Lavender-Chamomile/dp/B0BQNYFJKW/ref=sr_1_8?keywords=Scent+Free+Body+Butter&amp;qid=1695258680&amp;sr=8-8")</f>
        <v>https://www.amazon.com/Spenser-Jensen-Hydrating-Lavender-Chamomile/dp/B0BQNYFJKW/ref=sr_1_8?keywords=Scent+Free+Body+Butter&amp;qid=1695258680&amp;sr=8-8</v>
      </c>
      <c r="F803" t="s">
        <v>1985</v>
      </c>
      <c r="G803" t="e">
        <f ca="1">IMAGE("https://heavenlyouthouse.com/cdn/shop/products/dry-skin-body-butter_2000x_a7842167-ad66-4fcf-9097-94fb6cdff081.jpg?v=1586787710")</f>
        <v>#NAME?</v>
      </c>
      <c r="H803" t="e">
        <f ca="1">IMAGE("https://m.media-amazon.com/images/I/516R7f7KFTL._AC_UL320_.jpg")</f>
        <v>#NAME?</v>
      </c>
      <c r="I803" t="s">
        <v>233</v>
      </c>
      <c r="J803">
        <v>9.99</v>
      </c>
      <c r="K803" s="2" t="s">
        <v>1986</v>
      </c>
      <c r="L803">
        <v>4.5999999999999996</v>
      </c>
      <c r="M803">
        <v>97</v>
      </c>
      <c r="O803" t="s">
        <v>39</v>
      </c>
      <c r="P803" t="s">
        <v>39</v>
      </c>
      <c r="Q803" t="s">
        <v>698</v>
      </c>
    </row>
    <row r="804" spans="1:17" ht="15.75" x14ac:dyDescent="0.25">
      <c r="A804" s="3" t="str">
        <f>HYPERLINK("https://heavenlyouthouse.com/products/rosemary-mint-foaming-wash", "https://heavenlyouthouse.com/products/rosemary-mint-foaming-wash")</f>
        <v>https://heavenlyouthouse.com/products/rosemary-mint-foaming-wash</v>
      </c>
      <c r="B804" s="3" t="str">
        <f>HYPERLINK("https://heavenlyouthouse.com/products/rosemary-mint-foaming-wash", "https://heavenlyouthouse.com/products/rosemary-mint-foaming-wash")</f>
        <v>https://heavenlyouthouse.com/products/rosemary-mint-foaming-wash</v>
      </c>
      <c r="C804" t="s">
        <v>1007</v>
      </c>
      <c r="D804" t="s">
        <v>1987</v>
      </c>
      <c r="E804" s="3" t="str">
        <f>HYPERLINK("https://www.amazon.com/Essentially-KateS-Tree-Rosemary-Mint/dp/B0C8R5H7LK/ref=sr_1_4?keywords=Rosemary+Mint+Foaming+Wash&amp;qid=1695258700&amp;sr=8-4", "https://www.amazon.com/Essentially-KateS-Tree-Rosemary-Mint/dp/B0C8R5H7LK/ref=sr_1_4?keywords=Rosemary+Mint+Foaming+Wash&amp;qid=1695258700&amp;sr=8-4")</f>
        <v>https://www.amazon.com/Essentially-KateS-Tree-Rosemary-Mint/dp/B0C8R5H7LK/ref=sr_1_4?keywords=Rosemary+Mint+Foaming+Wash&amp;qid=1695258700&amp;sr=8-4</v>
      </c>
      <c r="F804" t="s">
        <v>1988</v>
      </c>
      <c r="G804" t="e">
        <f ca="1">IMAGE("https://heavenlyouthouse.com/cdn/shop/products/RosemaryMint-foaming-wash.webp?v=1681505497")</f>
        <v>#NAME?</v>
      </c>
      <c r="H804" t="e">
        <f ca="1">IMAGE("https://m.media-amazon.com/images/I/61WWc6RWaGL._AC_UL320_.jpg")</f>
        <v>#NAME?</v>
      </c>
      <c r="I804" t="s">
        <v>233</v>
      </c>
      <c r="J804">
        <v>9.99</v>
      </c>
      <c r="K804" s="2" t="s">
        <v>1986</v>
      </c>
      <c r="L804">
        <v>4.2</v>
      </c>
      <c r="M804">
        <v>43</v>
      </c>
      <c r="O804" t="s">
        <v>39</v>
      </c>
      <c r="P804" t="s">
        <v>394</v>
      </c>
      <c r="Q804" t="s">
        <v>1010</v>
      </c>
    </row>
    <row r="805" spans="1:17" ht="15.75" x14ac:dyDescent="0.25">
      <c r="A805" s="3" t="str">
        <f>HYPERLINK("https://heavenlyouthouse.com/products/vanilla-coconut-lip-butter", "https://heavenlyouthouse.com/products/vanilla-coconut-lip-butter")</f>
        <v>https://heavenlyouthouse.com/products/vanilla-coconut-lip-butter</v>
      </c>
      <c r="B805" s="3" t="str">
        <f>HYPERLINK("https://heavenlyouthouse.com/products/vanilla-coconut-lip-butter", "https://heavenlyouthouse.com/products/vanilla-coconut-lip-butter")</f>
        <v>https://heavenlyouthouse.com/products/vanilla-coconut-lip-butter</v>
      </c>
      <c r="C805" t="s">
        <v>179</v>
      </c>
      <c r="D805" t="s">
        <v>1989</v>
      </c>
      <c r="E805" s="3" t="str">
        <f>HYPERLINK("https://www.amazon.com/eos-Coconut-Vanilla-All-Day-Moisture/dp/B0BVSRQL2F/ref=sr_1_2?keywords=Vanilla+Coconut+Lip+Butter&amp;qid=1695258806&amp;sr=8-2", "https://www.amazon.com/eos-Coconut-Vanilla-All-Day-Moisture/dp/B0BVSRQL2F/ref=sr_1_2?keywords=Vanilla+Coconut+Lip+Butter&amp;qid=1695258806&amp;sr=8-2")</f>
        <v>https://www.amazon.com/eos-Coconut-Vanilla-All-Day-Moisture/dp/B0BVSRQL2F/ref=sr_1_2?keywords=Vanilla+Coconut+Lip+Butter&amp;qid=1695258806&amp;sr=8-2</v>
      </c>
      <c r="F805" t="s">
        <v>1990</v>
      </c>
      <c r="G805" t="e">
        <f ca="1">IMAGE("https://heavenlyouthouse.com/cdn/shop/products/vanilla_coconut_lip_butter_2000x_a349e62e-0577-4340-b194-e2f9012f9936.jpg?v=1587831837")</f>
        <v>#NAME?</v>
      </c>
      <c r="H805" t="e">
        <f ca="1">IMAGE("https://m.media-amazon.com/images/I/71+3rd39lUL._AC_UL320_.jpg")</f>
        <v>#NAME?</v>
      </c>
      <c r="I805" t="s">
        <v>92</v>
      </c>
      <c r="J805">
        <v>4.96</v>
      </c>
      <c r="K805" s="2" t="s">
        <v>1986</v>
      </c>
      <c r="L805">
        <v>4.5</v>
      </c>
      <c r="M805">
        <v>602</v>
      </c>
      <c r="O805" t="s">
        <v>39</v>
      </c>
      <c r="P805" t="s">
        <v>39</v>
      </c>
      <c r="Q805" t="s">
        <v>183</v>
      </c>
    </row>
    <row r="806" spans="1:17" ht="15.75" x14ac:dyDescent="0.25">
      <c r="A806" s="3" t="str">
        <f>HYPERLINK("https://heavenlyouthouse.com/products/vanilla-coconut-bubble-bath", "https://heavenlyouthouse.com/products/vanilla-coconut-bubble-bath")</f>
        <v>https://heavenlyouthouse.com/products/vanilla-coconut-bubble-bath</v>
      </c>
      <c r="B806" s="3" t="str">
        <f>HYPERLINK("https://heavenlyouthouse.com/products/vanilla-coconut-bubble-bath", "https://heavenlyouthouse.com/products/vanilla-coconut-bubble-bath")</f>
        <v>https://heavenlyouthouse.com/products/vanilla-coconut-bubble-bath</v>
      </c>
      <c r="C806" t="s">
        <v>230</v>
      </c>
      <c r="D806" t="s">
        <v>1991</v>
      </c>
      <c r="E806" s="3" t="str">
        <f>HYPERLINK("https://www.amazon.com/Deep-Steep-Bubble-Vanilla-Coconut/dp/B0B3KRMHRC/ref=sr_1_3?keywords=Vanilla+Coconut+Bubble+Bath&amp;qid=1695258805&amp;sr=8-3", "https://www.amazon.com/Deep-Steep-Bubble-Vanilla-Coconut/dp/B0B3KRMHRC/ref=sr_1_3?keywords=Vanilla+Coconut+Bubble+Bath&amp;qid=1695258805&amp;sr=8-3")</f>
        <v>https://www.amazon.com/Deep-Steep-Bubble-Vanilla-Coconut/dp/B0B3KRMHRC/ref=sr_1_3?keywords=Vanilla+Coconut+Bubble+Bath&amp;qid=1695258805&amp;sr=8-3</v>
      </c>
      <c r="F806" t="s">
        <v>1992</v>
      </c>
      <c r="G806" t="e">
        <f ca="1">IMAGE("https://heavenlyouthouse.com/cdn/shop/products/Vanilla-Coconut_Bubble-Bath_2048_2000x_48bd3f10-44c5-4b84-8976-395bada0d7d1.jpg?v=1588959777")</f>
        <v>#NAME?</v>
      </c>
      <c r="H806" t="e">
        <f ca="1">IMAGE("https://m.media-amazon.com/images/I/61qn06XvIpL._AC_UL320_.jpg")</f>
        <v>#NAME?</v>
      </c>
      <c r="I806" t="s">
        <v>233</v>
      </c>
      <c r="J806">
        <v>9.9499999999999993</v>
      </c>
      <c r="K806" s="2" t="s">
        <v>1986</v>
      </c>
      <c r="L806">
        <v>4</v>
      </c>
      <c r="M806">
        <v>84</v>
      </c>
      <c r="O806" t="s">
        <v>39</v>
      </c>
      <c r="P806" t="s">
        <v>39</v>
      </c>
      <c r="Q806" t="s">
        <v>235</v>
      </c>
    </row>
    <row r="807" spans="1:17" ht="15.75" x14ac:dyDescent="0.25">
      <c r="A807" s="3" t="str">
        <f>HYPERLINK("https://heavenlyouthouse.com/products/lavender-hand-creme", "https://heavenlyouthouse.com/products/lavender-hand-creme")</f>
        <v>https://heavenlyouthouse.com/products/lavender-hand-creme</v>
      </c>
      <c r="B807" s="3" t="str">
        <f>HYPERLINK("https://heavenlyouthouse.com/products/lavender-hand-creme", "https://heavenlyouthouse.com/products/lavender-hand-creme")</f>
        <v>https://heavenlyouthouse.com/products/lavender-hand-creme</v>
      </c>
      <c r="C807" t="s">
        <v>860</v>
      </c>
      <c r="D807" t="s">
        <v>1993</v>
      </c>
      <c r="E807" s="3" t="str">
        <f>HYPERLINK("https://www.amazon.com/Thymes-Fragrance-Duo-Lavender/dp/B08CVST7FY/ref=sr_1_4?keywords=thymes+lavender+hand+cream&amp;qid=1695258760&amp;sr=8-4", "https://www.amazon.com/Thymes-Fragrance-Duo-Lavender/dp/B08CVST7FY/ref=sr_1_4?keywords=thymes+lavender+hand+cream&amp;qid=1695258760&amp;sr=8-4")</f>
        <v>https://www.amazon.com/Thymes-Fragrance-Duo-Lavender/dp/B08CVST7FY/ref=sr_1_4?keywords=thymes+lavender+hand+cream&amp;qid=1695258760&amp;sr=8-4</v>
      </c>
      <c r="F807" t="s">
        <v>1994</v>
      </c>
      <c r="G807" t="e">
        <f ca="1">IMAGE("https://heavenlyouthouse.com/cdn/shop/products/thymeslavenderhandcreme.jpg?v=1609951743")</f>
        <v>#NAME?</v>
      </c>
      <c r="H807" t="e">
        <f ca="1">IMAGE("https://m.media-amazon.com/images/I/61GmE+ZLBYL._AC_UL320_.jpg")</f>
        <v>#NAME?</v>
      </c>
      <c r="I807" t="s">
        <v>385</v>
      </c>
      <c r="J807">
        <v>18</v>
      </c>
      <c r="K807" s="2" t="s">
        <v>1986</v>
      </c>
      <c r="L807">
        <v>4.4000000000000004</v>
      </c>
      <c r="M807">
        <v>57</v>
      </c>
      <c r="O807" t="s">
        <v>39</v>
      </c>
      <c r="P807" t="s">
        <v>39</v>
      </c>
      <c r="Q807" t="s">
        <v>861</v>
      </c>
    </row>
    <row r="808" spans="1:17" ht="15.75" x14ac:dyDescent="0.25">
      <c r="A808" s="3" t="str">
        <f>HYPERLINK("https://heavenlyouthouse.com/products/goldleaf-body-creme", "https://heavenlyouthouse.com/products/goldleaf-body-creme")</f>
        <v>https://heavenlyouthouse.com/products/goldleaf-body-creme</v>
      </c>
      <c r="B808" s="3" t="str">
        <f>HYPERLINK("https://heavenlyouthouse.com/products/goldleaf-body-creme", "https://heavenlyouthouse.com/products/goldleaf-body-creme")</f>
        <v>https://heavenlyouthouse.com/products/goldleaf-body-creme</v>
      </c>
      <c r="C808" t="s">
        <v>1569</v>
      </c>
      <c r="D808" t="s">
        <v>1739</v>
      </c>
      <c r="E808" s="3" t="str">
        <f>HYPERLINK("https://www.amazon.com/Thymes-Body-Serum-6-0-Goldleaf/dp/B0B1G36TKV/ref=sr_1_5?keywords=Thymes+Goldleaf+Body+Creme&amp;qid=1695258742&amp;sr=8-5", "https://www.amazon.com/Thymes-Body-Serum-6-0-Goldleaf/dp/B0B1G36TKV/ref=sr_1_5?keywords=Thymes+Goldleaf+Body+Creme&amp;qid=1695258742&amp;sr=8-5")</f>
        <v>https://www.amazon.com/Thymes-Body-Serum-6-0-Goldleaf/dp/B0B1G36TKV/ref=sr_1_5?keywords=Thymes+Goldleaf+Body+Creme&amp;qid=1695258742&amp;sr=8-5</v>
      </c>
      <c r="F808" t="s">
        <v>1740</v>
      </c>
      <c r="G808" t="e">
        <f ca="1">IMAGE("https://heavenlyouthouse.com/cdn/shop/products/thymes-goldleaf-perfumed-body-creme_d5740798-8f74-4408-9174-68dc266ec4fa.png?v=1652276989")</f>
        <v>#NAME?</v>
      </c>
      <c r="H808" t="e">
        <f ca="1">IMAGE("https://m.media-amazon.com/images/I/51Im5PtbP0L._AC_UL320_.jpg")</f>
        <v>#NAME?</v>
      </c>
      <c r="I808" t="s">
        <v>1560</v>
      </c>
      <c r="J808">
        <v>26</v>
      </c>
      <c r="K808" s="2" t="s">
        <v>1986</v>
      </c>
      <c r="L808">
        <v>4.4000000000000004</v>
      </c>
      <c r="M808">
        <v>36</v>
      </c>
      <c r="O808" t="s">
        <v>39</v>
      </c>
      <c r="P808" t="s">
        <v>39</v>
      </c>
      <c r="Q808" t="s">
        <v>1570</v>
      </c>
    </row>
    <row r="809" spans="1:17" ht="15.75" x14ac:dyDescent="0.25">
      <c r="A809" s="3" t="str">
        <f>HYPERLINK("https://heavenlyouthouse.com/products/thymes-mandarin-coriander-fragrance-reed-diffuser", "https://heavenlyouthouse.com/products/thymes-mandarin-coriander-fragrance-reed-diffuser")</f>
        <v>https://heavenlyouthouse.com/products/thymes-mandarin-coriander-fragrance-reed-diffuser</v>
      </c>
      <c r="B809" s="3" t="str">
        <f>HYPERLINK("https://heavenlyouthouse.com/products/thymes-mandarin-coriander-fragrance-reed-diffuser", "https://heavenlyouthouse.com/products/thymes-mandarin-coriander-fragrance-reed-diffuser")</f>
        <v>https://heavenlyouthouse.com/products/thymes-mandarin-coriander-fragrance-reed-diffuser</v>
      </c>
      <c r="C809" t="s">
        <v>1995</v>
      </c>
      <c r="D809" t="s">
        <v>1723</v>
      </c>
      <c r="E809" s="3" t="str">
        <f>HYPERLINK("https://www.amazon.com/Thymes-Reed-Diffuser-Oil-Coriander/dp/B0B4T8DVK2/ref=sr_1_1?keywords=Thymes+Mandarin+Coriander+Fragrance+Reed+Diffuser&amp;qid=1695258781&amp;sr=8-1", "https://www.amazon.com/Thymes-Reed-Diffuser-Oil-Coriander/dp/B0B4T8DVK2/ref=sr_1_1?keywords=Thymes+Mandarin+Coriander+Fragrance+Reed+Diffuser&amp;qid=1695258781&amp;sr=8-1")</f>
        <v>https://www.amazon.com/Thymes-Reed-Diffuser-Oil-Coriander/dp/B0B4T8DVK2/ref=sr_1_1?keywords=Thymes+Mandarin+Coriander+Fragrance+Reed+Diffuser&amp;qid=1695258781&amp;sr=8-1</v>
      </c>
      <c r="F809" t="s">
        <v>1724</v>
      </c>
      <c r="G809" t="e">
        <f ca="1">IMAGE("https://heavenlyouthouse.com/cdn/shop/products/ThymesMandarinCorianderfragrancereeddiffuser.jpg?v=1613148609")</f>
        <v>#NAME?</v>
      </c>
      <c r="H809" t="e">
        <f ca="1">IMAGE("https://m.media-amazon.com/images/I/516yX4MdidL._AC_UL320_.jpg")</f>
        <v>#NAME?</v>
      </c>
      <c r="I809" t="s">
        <v>1396</v>
      </c>
      <c r="J809">
        <v>35</v>
      </c>
      <c r="K809" s="2" t="s">
        <v>1996</v>
      </c>
      <c r="L809">
        <v>3.5</v>
      </c>
      <c r="M809">
        <v>6</v>
      </c>
      <c r="O809" t="s">
        <v>39</v>
      </c>
      <c r="P809" t="s">
        <v>39</v>
      </c>
      <c r="Q809" t="s">
        <v>1997</v>
      </c>
    </row>
    <row r="810" spans="1:17" ht="15.75" x14ac:dyDescent="0.25">
      <c r="A810" s="3" t="str">
        <f>HYPERLINK("https://heavenlyouthouse.com/products/thymes-lemon-leaf-fragrance-reed-diffuser", "https://heavenlyouthouse.com/products/thymes-lemon-leaf-fragrance-reed-diffuser")</f>
        <v>https://heavenlyouthouse.com/products/thymes-lemon-leaf-fragrance-reed-diffuser</v>
      </c>
      <c r="B810" s="3" t="str">
        <f>HYPERLINK("https://heavenlyouthouse.com/products/thymes-lemon-leaf-fragrance-reed-diffuser", "https://heavenlyouthouse.com/products/thymes-lemon-leaf-fragrance-reed-diffuser")</f>
        <v>https://heavenlyouthouse.com/products/thymes-lemon-leaf-fragrance-reed-diffuser</v>
      </c>
      <c r="C810" t="s">
        <v>1395</v>
      </c>
      <c r="D810" t="s">
        <v>1721</v>
      </c>
      <c r="E810" s="3" t="str">
        <f>HYPERLINK("https://www.amazon.com/Thymes-Reed-Diffuser-Oil-Lemon/dp/B0B4T5R39T/ref=sr_1_1?keywords=Thymes+Lemon+Leaf+Fragrance+Reed+Diffuser&amp;qid=1695258769&amp;sr=8-1", "https://www.amazon.com/Thymes-Reed-Diffuser-Oil-Lemon/dp/B0B4T5R39T/ref=sr_1_1?keywords=Thymes+Lemon+Leaf+Fragrance+Reed+Diffuser&amp;qid=1695258769&amp;sr=8-1")</f>
        <v>https://www.amazon.com/Thymes-Reed-Diffuser-Oil-Lemon/dp/B0B4T5R39T/ref=sr_1_1?keywords=Thymes+Lemon+Leaf+Fragrance+Reed+Diffuser&amp;qid=1695258769&amp;sr=8-1</v>
      </c>
      <c r="F810" t="s">
        <v>1722</v>
      </c>
      <c r="G810" t="e">
        <f ca="1">IMAGE("https://heavenlyouthouse.com/cdn/shop/products/ThymesLemonLeaffragrancereeddiffuser.jpg?v=1613093345")</f>
        <v>#NAME?</v>
      </c>
      <c r="H810" t="e">
        <f ca="1">IMAGE("https://m.media-amazon.com/images/I/51IpiNUqzjL._AC_UL320_.jpg")</f>
        <v>#NAME?</v>
      </c>
      <c r="I810" t="s">
        <v>1396</v>
      </c>
      <c r="J810">
        <v>35</v>
      </c>
      <c r="K810" s="2" t="s">
        <v>1996</v>
      </c>
      <c r="L810">
        <v>3.7</v>
      </c>
      <c r="M810">
        <v>12</v>
      </c>
      <c r="O810" t="s">
        <v>39</v>
      </c>
      <c r="P810" t="s">
        <v>39</v>
      </c>
      <c r="Q810" t="s">
        <v>1397</v>
      </c>
    </row>
    <row r="811" spans="1:17" ht="15.75" x14ac:dyDescent="0.25">
      <c r="A811" s="3" t="str">
        <f>HYPERLINK("https://heavenlyouthouse.com/products/fresh-cut-basil-fragrance-reed-diffuser", "https://heavenlyouthouse.com/products/fresh-cut-basil-fragrance-reed-diffuser")</f>
        <v>https://heavenlyouthouse.com/products/fresh-cut-basil-fragrance-reed-diffuser</v>
      </c>
      <c r="B811" s="3" t="str">
        <f>HYPERLINK("https://heavenlyouthouse.com/products/fresh-cut-basil-fragrance-reed-diffuser", "https://heavenlyouthouse.com/products/fresh-cut-basil-fragrance-reed-diffuser")</f>
        <v>https://heavenlyouthouse.com/products/fresh-cut-basil-fragrance-reed-diffuser</v>
      </c>
      <c r="C811" t="s">
        <v>1398</v>
      </c>
      <c r="D811" t="s">
        <v>678</v>
      </c>
      <c r="E811" s="3" t="str">
        <f>HYPERLINK("https://www.amazon.com/Thymes-Reed-Diffuser-Oil-Fresh-Cut/dp/B0B4T5C48F/ref=sr_1_1?keywords=Thymes+Fresh-Cut+Basil+Fragrance+Reed+Diffuser&amp;qid=1695258738&amp;sr=8-1", "https://www.amazon.com/Thymes-Reed-Diffuser-Oil-Fresh-Cut/dp/B0B4T5C48F/ref=sr_1_1?keywords=Thymes+Fresh-Cut+Basil+Fragrance+Reed+Diffuser&amp;qid=1695258738&amp;sr=8-1")</f>
        <v>https://www.amazon.com/Thymes-Reed-Diffuser-Oil-Fresh-Cut/dp/B0B4T5C48F/ref=sr_1_1?keywords=Thymes+Fresh-Cut+Basil+Fragrance+Reed+Diffuser&amp;qid=1695258738&amp;sr=8-1</v>
      </c>
      <c r="F811" t="s">
        <v>679</v>
      </c>
      <c r="G811" t="e">
        <f ca="1">IMAGE("https://heavenlyouthouse.com/cdn/shop/products/thymesfresh-cutbasilfragrancereeddiffuser.jpg?v=1613072872")</f>
        <v>#NAME?</v>
      </c>
      <c r="H811" t="e">
        <f ca="1">IMAGE("https://m.media-amazon.com/images/I/51p+TG3uZNL._AC_UL320_.jpg")</f>
        <v>#NAME?</v>
      </c>
      <c r="I811" t="s">
        <v>1396</v>
      </c>
      <c r="J811">
        <v>35</v>
      </c>
      <c r="K811" s="2" t="s">
        <v>1996</v>
      </c>
      <c r="L811">
        <v>4.0999999999999996</v>
      </c>
      <c r="M811">
        <v>9</v>
      </c>
      <c r="O811" t="s">
        <v>39</v>
      </c>
      <c r="P811" t="s">
        <v>1399</v>
      </c>
      <c r="Q811" t="s">
        <v>1400</v>
      </c>
    </row>
    <row r="812" spans="1:17" ht="15.75" x14ac:dyDescent="0.25">
      <c r="A812" s="3" t="str">
        <f>HYPERLINK("https://heavenlyouthouse.com/products/thymes-frasier-fir-gilded-ceramic-reed-diffuser", "https://heavenlyouthouse.com/products/thymes-frasier-fir-gilded-ceramic-reed-diffuser")</f>
        <v>https://heavenlyouthouse.com/products/thymes-frasier-fir-gilded-ceramic-reed-diffuser</v>
      </c>
      <c r="B812" s="3" t="str">
        <f>HYPERLINK("https://heavenlyouthouse.com/products/thymes-frasier-fir-gilded-ceramic-reed-diffuser", "https://heavenlyouthouse.com/products/thymes-frasier-fir-gilded-ceramic-reed-diffuser")</f>
        <v>https://heavenlyouthouse.com/products/thymes-frasier-fir-gilded-ceramic-reed-diffuser</v>
      </c>
      <c r="C812" t="s">
        <v>1998</v>
      </c>
      <c r="D812" t="s">
        <v>155</v>
      </c>
      <c r="E812" s="3" t="str">
        <f>HYPERLINK("https://www.amazon.com/Thymes-Frasier-Petite-Reed-Diffuser/dp/B074KL8KPP/ref=sr_1_4?keywords=Thymes+Frasier+Fir+Gilded+Ceramic+Reed+Diffuser&amp;qid=1695258723&amp;sr=8-4", "https://www.amazon.com/Thymes-Frasier-Petite-Reed-Diffuser/dp/B074KL8KPP/ref=sr_1_4?keywords=Thymes+Frasier+Fir+Gilded+Ceramic+Reed+Diffuser&amp;qid=1695258723&amp;sr=8-4")</f>
        <v>https://www.amazon.com/Thymes-Frasier-Petite-Reed-Diffuser/dp/B074KL8KPP/ref=sr_1_4?keywords=Thymes+Frasier+Fir+Gilded+Ceramic+Reed+Diffuser&amp;qid=1695258723&amp;sr=8-4</v>
      </c>
      <c r="F812" t="s">
        <v>156</v>
      </c>
      <c r="G812" t="e">
        <f ca="1">IMAGE("https://heavenlyouthouse.com/cdn/shop/products/Frasier-Fir-Gilded-Ceramic-reed-diffuser.jpg?v=1630016549")</f>
        <v>#NAME?</v>
      </c>
      <c r="H812" t="e">
        <f ca="1">IMAGE("https://m.media-amazon.com/images/I/71vTZnnZvCL._AC_UL320_.jpg")</f>
        <v>#NAME?</v>
      </c>
      <c r="I812" t="s">
        <v>1999</v>
      </c>
      <c r="J812">
        <v>46</v>
      </c>
      <c r="K812" s="2" t="s">
        <v>1996</v>
      </c>
      <c r="L812">
        <v>4.7</v>
      </c>
      <c r="M812">
        <v>479</v>
      </c>
      <c r="O812" t="s">
        <v>39</v>
      </c>
      <c r="P812" t="s">
        <v>39</v>
      </c>
      <c r="Q812" t="s">
        <v>2000</v>
      </c>
    </row>
    <row r="813" spans="1:17" ht="15.75" x14ac:dyDescent="0.25">
      <c r="A813" s="3" t="str">
        <f>HYPERLINK("https://heavenlyouthouse.com/products/thymes-frasier-fir-gilded-ceramic-reed-diffuser", "https://heavenlyouthouse.com/products/thymes-frasier-fir-gilded-ceramic-reed-diffuser")</f>
        <v>https://heavenlyouthouse.com/products/thymes-frasier-fir-gilded-ceramic-reed-diffuser</v>
      </c>
      <c r="B813" s="3" t="str">
        <f>HYPERLINK("https://heavenlyouthouse.com/products/thymes-frasier-fir-gilded-ceramic-reed-diffuser", "https://heavenlyouthouse.com/products/thymes-frasier-fir-gilded-ceramic-reed-diffuser")</f>
        <v>https://heavenlyouthouse.com/products/thymes-frasier-fir-gilded-ceramic-reed-diffuser</v>
      </c>
      <c r="C813" t="s">
        <v>1998</v>
      </c>
      <c r="D813" t="s">
        <v>150</v>
      </c>
      <c r="E813" s="3" t="str">
        <f>HYPERLINK("https://www.amazon.com/Frasier-Diffuser-Petite-Needle-Design/dp/B07PX41PHQ/ref=sr_1_3?keywords=Thymes+Frasier+Fir+Gilded+Ceramic+Reed+Diffuser&amp;qid=1695258723&amp;sr=8-3", "https://www.amazon.com/Frasier-Diffuser-Petite-Needle-Design/dp/B07PX41PHQ/ref=sr_1_3?keywords=Thymes+Frasier+Fir+Gilded+Ceramic+Reed+Diffuser&amp;qid=1695258723&amp;sr=8-3")</f>
        <v>https://www.amazon.com/Frasier-Diffuser-Petite-Needle-Design/dp/B07PX41PHQ/ref=sr_1_3?keywords=Thymes+Frasier+Fir+Gilded+Ceramic+Reed+Diffuser&amp;qid=1695258723&amp;sr=8-3</v>
      </c>
      <c r="F813" t="s">
        <v>151</v>
      </c>
      <c r="G813" t="e">
        <f ca="1">IMAGE("https://heavenlyouthouse.com/cdn/shop/products/Frasier-Fir-Gilded-Ceramic-reed-diffuser.jpg?v=1630016549")</f>
        <v>#NAME?</v>
      </c>
      <c r="H813" t="e">
        <f ca="1">IMAGE("https://m.media-amazon.com/images/I/81b2I297VgL._AC_UL320_.jpg")</f>
        <v>#NAME?</v>
      </c>
      <c r="I813" t="s">
        <v>1999</v>
      </c>
      <c r="J813">
        <v>46</v>
      </c>
      <c r="K813" s="2" t="s">
        <v>1996</v>
      </c>
      <c r="L813">
        <v>4.7</v>
      </c>
      <c r="M813">
        <v>283</v>
      </c>
      <c r="O813" t="s">
        <v>39</v>
      </c>
      <c r="P813" t="s">
        <v>39</v>
      </c>
      <c r="Q813" t="s">
        <v>2000</v>
      </c>
    </row>
    <row r="814" spans="1:17" ht="15.75" x14ac:dyDescent="0.25">
      <c r="A814" s="3" t="str">
        <f>HYPERLINK("https://heavenlyouthouse.com/products/frasier-fir-3-wick-green-glass-candle", "https://heavenlyouthouse.com/products/frasier-fir-3-wick-green-glass-candle")</f>
        <v>https://heavenlyouthouse.com/products/frasier-fir-3-wick-green-glass-candle</v>
      </c>
      <c r="B814" s="3" t="str">
        <f>HYPERLINK("https://heavenlyouthouse.com/products/frasier-fir-3-wick-green-glass-candle", "https://heavenlyouthouse.com/products/frasier-fir-3-wick-green-glass-candle")</f>
        <v>https://heavenlyouthouse.com/products/frasier-fir-3-wick-green-glass-candle</v>
      </c>
      <c r="C814" t="s">
        <v>1335</v>
      </c>
      <c r="D814" t="s">
        <v>519</v>
      </c>
      <c r="E814" s="3" t="str">
        <f>HYPERLINK("https://www.amazon.com/Thymes-Frasier-Limited-3-Wick-Statement/dp/B01KIH4W6W/ref=sr_1_4?keywords=Thymes+Frasier+Fir+3-Wick+Green+Glass+Candle&amp;qid=1695258716&amp;sr=8-4", "https://www.amazon.com/Thymes-Frasier-Limited-3-Wick-Statement/dp/B01KIH4W6W/ref=sr_1_4?keywords=Thymes+Frasier+Fir+3-Wick+Green+Glass+Candle&amp;qid=1695258716&amp;sr=8-4")</f>
        <v>https://www.amazon.com/Thymes-Frasier-Limited-3-Wick-Statement/dp/B01KIH4W6W/ref=sr_1_4?keywords=Thymes+Frasier+Fir+3-Wick+Green+Glass+Candle&amp;qid=1695258716&amp;sr=8-4</v>
      </c>
      <c r="F814" t="s">
        <v>520</v>
      </c>
      <c r="G814" t="e">
        <f ca="1">IMAGE("https://heavenlyouthouse.com/cdn/shop/products/frasier-fir-3-wick-candle-by-thymes53605_2.jpg?v=1606236113")</f>
        <v>#NAME?</v>
      </c>
      <c r="H814" t="e">
        <f ca="1">IMAGE("https://m.media-amazon.com/images/I/71Vol+U+TwL._AC_UL320_.jpg")</f>
        <v>#NAME?</v>
      </c>
      <c r="I814" t="s">
        <v>1336</v>
      </c>
      <c r="J814">
        <v>49</v>
      </c>
      <c r="K814" s="2" t="s">
        <v>1996</v>
      </c>
      <c r="L814">
        <v>4.7</v>
      </c>
      <c r="M814">
        <v>162</v>
      </c>
      <c r="O814" t="s">
        <v>39</v>
      </c>
      <c r="P814" t="s">
        <v>1338</v>
      </c>
      <c r="Q814" t="s">
        <v>1339</v>
      </c>
    </row>
    <row r="815" spans="1:17" ht="15.75" x14ac:dyDescent="0.25">
      <c r="A815" s="3" t="str">
        <f>HYPERLINK("https://heavenlyouthouse.com/products/to-my-husband-fathers-day-card", "https://heavenlyouthouse.com/products/to-my-husband-fathers-day-card")</f>
        <v>https://heavenlyouthouse.com/products/to-my-husband-fathers-day-card</v>
      </c>
      <c r="B815" s="3" t="str">
        <f>HYPERLINK("https://heavenlyouthouse.com/products/to-my-husband-fathers-day-card", "https://heavenlyouthouse.com/products/to-my-husband-fathers-day-card")</f>
        <v>https://heavenlyouthouse.com/products/to-my-husband-fathers-day-card</v>
      </c>
      <c r="C815" t="s">
        <v>893</v>
      </c>
      <c r="D815" t="s">
        <v>2001</v>
      </c>
      <c r="E815" s="3" t="str">
        <f>HYPERLINK("https://www.amazon.com/Fathers-Father-Husband-Favorite-Naughty/dp/B0C1FLQ2HQ/ref=sr_1_4?keywords=To+My+Husband+Father%27s+Day+Card&amp;qid=1695258791&amp;sr=8-4", "https://www.amazon.com/Fathers-Father-Husband-Favorite-Naughty/dp/B0C1FLQ2HQ/ref=sr_1_4?keywords=To+My+Husband+Father%27s+Day+Card&amp;qid=1695258791&amp;sr=8-4")</f>
        <v>https://www.amazon.com/Fathers-Father-Husband-Favorite-Naughty/dp/B0C1FLQ2HQ/ref=sr_1_4?keywords=To+My+Husband+Father%27s+Day+Card&amp;qid=1695258791&amp;sr=8-4</v>
      </c>
      <c r="F815" t="s">
        <v>2002</v>
      </c>
      <c r="G815" t="e">
        <f ca="1">IMAGE("https://heavenlyouthouse.com/cdn/shop/products/papyrustomyhusbandfather_sdaycard1_1.jpg?v=1621621174")</f>
        <v>#NAME?</v>
      </c>
      <c r="H815" t="e">
        <f ca="1">IMAGE("https://m.media-amazon.com/images/I/61MxLH1x4ZL._AC_UL320_.jpg")</f>
        <v>#NAME?</v>
      </c>
      <c r="I815" t="s">
        <v>92</v>
      </c>
      <c r="J815">
        <v>4.87</v>
      </c>
      <c r="K815" s="2" t="s">
        <v>1996</v>
      </c>
      <c r="L815">
        <v>4.7</v>
      </c>
      <c r="M815">
        <v>144</v>
      </c>
      <c r="O815" t="s">
        <v>39</v>
      </c>
      <c r="P815" t="s">
        <v>39</v>
      </c>
      <c r="Q815" t="s">
        <v>897</v>
      </c>
    </row>
    <row r="816" spans="1:17" ht="15.75" x14ac:dyDescent="0.25">
      <c r="A816" s="3" t="str">
        <f>HYPERLINK("https://heavenlyouthouse.com/products/super-dad-fathers-day-card", "https://heavenlyouthouse.com/products/super-dad-fathers-day-card")</f>
        <v>https://heavenlyouthouse.com/products/super-dad-fathers-day-card</v>
      </c>
      <c r="B816" s="3" t="str">
        <f>HYPERLINK("https://heavenlyouthouse.com/products/super-dad-fathers-day-card", "https://heavenlyouthouse.com/products/super-dad-fathers-day-card")</f>
        <v>https://heavenlyouthouse.com/products/super-dad-fathers-day-card</v>
      </c>
      <c r="C816" t="s">
        <v>886</v>
      </c>
      <c r="D816" t="s">
        <v>2003</v>
      </c>
      <c r="E816" s="3" t="str">
        <f>HYPERLINK("https://www.amazon.com/NIQUEA-D-Lettering-Sentiment-Coordinating-NFD-0012/dp/B09LJTXS9Y/ref=sr_1_3?keywords=Super+Dad+Father%27s+Day+Card&amp;qid=1695258705&amp;sr=8-3", "https://www.amazon.com/NIQUEA-D-Lettering-Sentiment-Coordinating-NFD-0012/dp/B09LJTXS9Y/ref=sr_1_3?keywords=Super+Dad+Father%27s+Day+Card&amp;qid=1695258705&amp;sr=8-3")</f>
        <v>https://www.amazon.com/NIQUEA-D-Lettering-Sentiment-Coordinating-NFD-0012/dp/B09LJTXS9Y/ref=sr_1_3?keywords=Super+Dad+Father%27s+Day+Card&amp;qid=1695258705&amp;sr=8-3</v>
      </c>
      <c r="F816" t="s">
        <v>2004</v>
      </c>
      <c r="G816" t="e">
        <f ca="1">IMAGE("https://heavenlyouthouse.com/cdn/shop/products/super-dad-father_s-day-card2.jpg?v=1642611898")</f>
        <v>#NAME?</v>
      </c>
      <c r="H816" t="e">
        <f ca="1">IMAGE("https://m.media-amazon.com/images/I/81nm4-H2d+L._AC_UL320_.jpg")</f>
        <v>#NAME?</v>
      </c>
      <c r="I816" t="s">
        <v>889</v>
      </c>
      <c r="J816">
        <v>6.39</v>
      </c>
      <c r="K816" s="2" t="s">
        <v>1996</v>
      </c>
      <c r="L816">
        <v>4.7</v>
      </c>
      <c r="M816">
        <v>18</v>
      </c>
      <c r="O816" t="s">
        <v>39</v>
      </c>
      <c r="P816" t="s">
        <v>891</v>
      </c>
      <c r="Q816" t="s">
        <v>892</v>
      </c>
    </row>
    <row r="817" spans="1:17" ht="15.75" x14ac:dyDescent="0.25">
      <c r="A817" s="3" t="str">
        <f>HYPERLINK("https://heavenlyouthouse.com/products/whippersnapper-mens-crew-socks", "https://heavenlyouthouse.com/products/whippersnapper-mens-crew-socks")</f>
        <v>https://heavenlyouthouse.com/products/whippersnapper-mens-crew-socks</v>
      </c>
      <c r="B817" s="3" t="str">
        <f>HYPERLINK("https://heavenlyouthouse.com/products/whippersnapper-mens-crew-socks", "https://heavenlyouthouse.com/products/whippersnapper-mens-crew-socks")</f>
        <v>https://heavenlyouthouse.com/products/whippersnapper-mens-crew-socks</v>
      </c>
      <c r="C817" t="s">
        <v>1130</v>
      </c>
      <c r="D817" t="s">
        <v>2005</v>
      </c>
      <c r="E817" s="3" t="str">
        <f>HYPERLINK("https://www.amazon.com/River-Standard-Therm-Wick-Ultra-Lightweight/dp/B0088V73O4/ref=sr_1_5?keywords=Whippersnapper+Mens+Crew+Socks&amp;qid=1695258826&amp;sr=8-5", "https://www.amazon.com/River-Standard-Therm-Wick-Ultra-Lightweight/dp/B0088V73O4/ref=sr_1_5?keywords=Whippersnapper+Mens+Crew+Socks&amp;qid=1695258826&amp;sr=8-5")</f>
        <v>https://www.amazon.com/River-Standard-Therm-Wick-Ultra-Lightweight/dp/B0088V73O4/ref=sr_1_5?keywords=Whippersnapper+Mens+Crew+Socks&amp;qid=1695258826&amp;sr=8-5</v>
      </c>
      <c r="F817" t="s">
        <v>2006</v>
      </c>
      <c r="G817" t="e">
        <f ca="1">IMAGE("https://heavenlyouthouse.com/cdn/shop/files/blue-q-cool-whippersnapper-men_s-socks_300x300.jpg?v=1689186599")</f>
        <v>#NAME?</v>
      </c>
      <c r="H817" t="e">
        <f ca="1">IMAGE("https://m.media-amazon.com/images/I/71Pejk29VWS._AC_UL320_.jpg")</f>
        <v>#NAME?</v>
      </c>
      <c r="I817" t="s">
        <v>802</v>
      </c>
      <c r="J817">
        <v>12</v>
      </c>
      <c r="K817" s="2" t="s">
        <v>2007</v>
      </c>
      <c r="L817">
        <v>4.5</v>
      </c>
      <c r="M817">
        <v>481</v>
      </c>
      <c r="O817" t="s">
        <v>39</v>
      </c>
      <c r="P817" t="s">
        <v>803</v>
      </c>
      <c r="Q817" t="s">
        <v>1133</v>
      </c>
    </row>
    <row r="818" spans="1:17" ht="15.75" x14ac:dyDescent="0.25">
      <c r="A818" s="3" t="str">
        <f>HYPERLINK("https://heavenlyouthouse.com/products/thymes-frasier-fir-molded-pine-cone-candle", "https://heavenlyouthouse.com/products/thymes-frasier-fir-molded-pine-cone-candle")</f>
        <v>https://heavenlyouthouse.com/products/thymes-frasier-fir-molded-pine-cone-candle</v>
      </c>
      <c r="B818" s="3" t="str">
        <f>HYPERLINK("https://heavenlyouthouse.com/products/thymes-frasier-fir-molded-pine-cone-candle", "https://heavenlyouthouse.com/products/thymes-frasier-fir-molded-pine-cone-candle")</f>
        <v>https://heavenlyouthouse.com/products/thymes-frasier-fir-molded-pine-cone-candle</v>
      </c>
      <c r="C818" t="s">
        <v>1203</v>
      </c>
      <c r="D818" t="s">
        <v>945</v>
      </c>
      <c r="E818" s="3" t="str">
        <f>HYPERLINK("https://www.amazon.com/Thymes-Silver-Needle-Frasier-Candle/dp/B0B9CG2F5Y/ref=sr_1_4?keywords=Thymes+Frasier+Fir+Molded+Pine+Cone+Candle&amp;qid=1695258731&amp;sr=8-4", "https://www.amazon.com/Thymes-Silver-Needle-Frasier-Candle/dp/B0B9CG2F5Y/ref=sr_1_4?keywords=Thymes+Frasier+Fir+Molded+Pine+Cone+Candle&amp;qid=1695258731&amp;sr=8-4")</f>
        <v>https://www.amazon.com/Thymes-Silver-Needle-Frasier-Candle/dp/B0B9CG2F5Y/ref=sr_1_4?keywords=Thymes+Frasier+Fir+Molded+Pine+Cone+Candle&amp;qid=1695258731&amp;sr=8-4</v>
      </c>
      <c r="F818" t="s">
        <v>946</v>
      </c>
      <c r="G818" t="e">
        <f ca="1">IMAGE("https://heavenlyouthouse.com/cdn/shop/products/Thymes-frasier-fir-pinecone-candle.jpg?v=1662139253")</f>
        <v>#NAME?</v>
      </c>
      <c r="H818" t="e">
        <f ca="1">IMAGE("https://m.media-amazon.com/images/I/61QrKA8Z9cL._AC_UL320_.jpg")</f>
        <v>#NAME?</v>
      </c>
      <c r="I818" t="s">
        <v>1204</v>
      </c>
      <c r="J818">
        <v>36</v>
      </c>
      <c r="K818" s="2" t="s">
        <v>2007</v>
      </c>
      <c r="L818">
        <v>5</v>
      </c>
      <c r="M818">
        <v>2</v>
      </c>
      <c r="O818" t="s">
        <v>39</v>
      </c>
      <c r="P818" t="s">
        <v>39</v>
      </c>
      <c r="Q818" t="s">
        <v>1205</v>
      </c>
    </row>
    <row r="819" spans="1:17" ht="15.75" x14ac:dyDescent="0.25">
      <c r="A819" s="3" t="str">
        <f>HYPERLINK("https://heavenlyouthouse.com/products/thymes-frasier-fir-green-4-wick-candle", "https://heavenlyouthouse.com/products/thymes-frasier-fir-green-4-wick-candle")</f>
        <v>https://heavenlyouthouse.com/products/thymes-frasier-fir-green-4-wick-candle</v>
      </c>
      <c r="B819" s="3" t="str">
        <f>HYPERLINK("https://heavenlyouthouse.com/products/thymes-frasier-fir-green-4-wick-candle", "https://heavenlyouthouse.com/products/thymes-frasier-fir-green-4-wick-candle")</f>
        <v>https://heavenlyouthouse.com/products/thymes-frasier-fir-green-4-wick-candle</v>
      </c>
      <c r="C819" t="s">
        <v>1011</v>
      </c>
      <c r="D819" t="s">
        <v>326</v>
      </c>
      <c r="E819" s="3" t="str">
        <f>HYPERLINK("https://www.amazon.com/Thymes-Heritage-3-Wick-Candle-Fragrance/dp/B001LF4DVU/ref=sr_1_5?keywords=Thymes+Frasier+Fir+Green+4-Wick+Candle&amp;qid=1695258745&amp;sr=8-5", "https://www.amazon.com/Thymes-Heritage-3-Wick-Candle-Fragrance/dp/B001LF4DVU/ref=sr_1_5?keywords=Thymes+Frasier+Fir+Green+4-Wick+Candle&amp;qid=1695258745&amp;sr=8-5")</f>
        <v>https://www.amazon.com/Thymes-Heritage-3-Wick-Candle-Fragrance/dp/B001LF4DVU/ref=sr_1_5?keywords=Thymes+Frasier+Fir+Green+4-Wick+Candle&amp;qid=1695258745&amp;sr=8-5</v>
      </c>
      <c r="F819" t="s">
        <v>327</v>
      </c>
      <c r="G819" t="e">
        <f ca="1">IMAGE("https://heavenlyouthouse.com/cdn/shop/files/thymes-frasier-fir-poured-candle-4-wick-TH03505243607-1_300x300.jpg?v=1693232380")</f>
        <v>#NAME?</v>
      </c>
      <c r="H819" t="e">
        <f ca="1">IMAGE("https://m.media-amazon.com/images/I/717qxzPH-0L._AC_UL320_.jpg")</f>
        <v>#NAME?</v>
      </c>
      <c r="I819" t="s">
        <v>1012</v>
      </c>
      <c r="J819">
        <v>60</v>
      </c>
      <c r="K819" s="2" t="s">
        <v>2007</v>
      </c>
      <c r="L819">
        <v>4.5999999999999996</v>
      </c>
      <c r="M819">
        <v>355</v>
      </c>
      <c r="O819" t="s">
        <v>39</v>
      </c>
      <c r="P819" t="s">
        <v>1013</v>
      </c>
      <c r="Q819" t="s">
        <v>1014</v>
      </c>
    </row>
    <row r="820" spans="1:17" ht="15.75" x14ac:dyDescent="0.25">
      <c r="A820" s="3" t="str">
        <f>HYPERLINK("https://heavenlyouthouse.com/products/poo-pourri-tropical-hibiscus-toilet-spray", "https://heavenlyouthouse.com/products/poo-pourri-tropical-hibiscus-toilet-spray")</f>
        <v>https://heavenlyouthouse.com/products/poo-pourri-tropical-hibiscus-toilet-spray</v>
      </c>
      <c r="B820" s="3" t="str">
        <f>HYPERLINK("https://heavenlyouthouse.com/products/poo-pourri-tropical-hibiscus-toilet-spray", "https://heavenlyouthouse.com/products/poo-pourri-tropical-hibiscus-toilet-spray")</f>
        <v>https://heavenlyouthouse.com/products/poo-pourri-tropical-hibiscus-toilet-spray</v>
      </c>
      <c r="C820" t="s">
        <v>359</v>
      </c>
      <c r="D820" t="s">
        <v>2008</v>
      </c>
      <c r="E820" s="3" t="str">
        <f>HYPERLINK("https://www.amazon.com/Poo-Pourri-Before-You-Go-Toilet-Tropical-Hibiscus/dp/B01BVWUQX6/ref=sr_1_2?keywords=Poo-Pourri+Tropical+Hibiscus+Toilet+Spray&amp;qid=1695258646&amp;sr=8-2", "https://www.amazon.com/Poo-Pourri-Before-You-Go-Toilet-Tropical-Hibiscus/dp/B01BVWUQX6/ref=sr_1_2?keywords=Poo-Pourri+Tropical+Hibiscus+Toilet+Spray&amp;qid=1695258646&amp;sr=8-2")</f>
        <v>https://www.amazon.com/Poo-Pourri-Before-You-Go-Toilet-Tropical-Hibiscus/dp/B01BVWUQX6/ref=sr_1_2?keywords=Poo-Pourri+Tropical+Hibiscus+Toilet+Spray&amp;qid=1695258646&amp;sr=8-2</v>
      </c>
      <c r="F820" t="s">
        <v>2009</v>
      </c>
      <c r="G820" t="e">
        <f ca="1">IMAGE("https://heavenlyouthouse.com/cdn/shop/products/Poo-pourritripicalhibiscustoiletbathroomspray2.jpg?v=1621617341")</f>
        <v>#NAME?</v>
      </c>
      <c r="H820" t="e">
        <f ca="1">IMAGE("https://m.media-amazon.com/images/I/61RLfR4n9+L._AC_UL320_.jpg")</f>
        <v>#NAME?</v>
      </c>
      <c r="I820" t="s">
        <v>362</v>
      </c>
      <c r="J820">
        <v>8.9600000000000009</v>
      </c>
      <c r="K820" s="2" t="s">
        <v>2007</v>
      </c>
      <c r="L820">
        <v>4.7</v>
      </c>
      <c r="M820">
        <v>4040</v>
      </c>
      <c r="O820" t="s">
        <v>39</v>
      </c>
      <c r="P820" t="s">
        <v>363</v>
      </c>
      <c r="Q820" t="s">
        <v>364</v>
      </c>
    </row>
    <row r="821" spans="1:17" ht="15.75" x14ac:dyDescent="0.25">
      <c r="A821" s="3" t="str">
        <f>HYPERLINK("https://heavenlyouthouse.com/products/unscented-deodorant", "https://heavenlyouthouse.com/products/unscented-deodorant")</f>
        <v>https://heavenlyouthouse.com/products/unscented-deodorant</v>
      </c>
      <c r="B821" s="3" t="str">
        <f>HYPERLINK("https://heavenlyouthouse.com/products/unscented-deodorant", "https://heavenlyouthouse.com/products/unscented-deodorant")</f>
        <v>https://heavenlyouthouse.com/products/unscented-deodorant</v>
      </c>
      <c r="C821" t="s">
        <v>1060</v>
      </c>
      <c r="D821" t="s">
        <v>2010</v>
      </c>
      <c r="E821" s="3" t="str">
        <f>HYPERLINK("https://www.amazon.com/Arm-Hammer-Essentials-Deodorant-Unscented/dp/B00MUEBQAM/ref=sr_1_7?keywords=Unscented+Natural+Deodorant&amp;qid=1695258814&amp;sr=8-7", "https://www.amazon.com/Arm-Hammer-Essentials-Deodorant-Unscented/dp/B00MUEBQAM/ref=sr_1_7?keywords=Unscented+Natural+Deodorant&amp;qid=1695258814&amp;sr=8-7")</f>
        <v>https://www.amazon.com/Arm-Hammer-Essentials-Deodorant-Unscented/dp/B00MUEBQAM/ref=sr_1_7?keywords=Unscented+Natural+Deodorant&amp;qid=1695258814&amp;sr=8-7</v>
      </c>
      <c r="F821" t="s">
        <v>2011</v>
      </c>
      <c r="G821" t="e">
        <f ca="1">IMAGE("https://heavenlyouthouse.com/cdn/shop/products/Rocky-Mountain-Soap-Co-Scent-Free-Natural-Deodorant.jpg?v=1633542762")</f>
        <v>#NAME?</v>
      </c>
      <c r="H821" t="e">
        <f ca="1">IMAGE("https://m.media-amazon.com/images/I/81nJDS6ewxL._AC_UL320_.jpg")</f>
        <v>#NAME?</v>
      </c>
      <c r="I821" t="s">
        <v>427</v>
      </c>
      <c r="J821">
        <v>8.25</v>
      </c>
      <c r="K821" s="2" t="s">
        <v>2012</v>
      </c>
      <c r="L821">
        <v>4.4000000000000004</v>
      </c>
      <c r="M821">
        <v>724</v>
      </c>
      <c r="O821" t="s">
        <v>39</v>
      </c>
      <c r="P821" t="s">
        <v>428</v>
      </c>
      <c r="Q821" t="s">
        <v>1063</v>
      </c>
    </row>
    <row r="822" spans="1:17" ht="15.75" x14ac:dyDescent="0.25">
      <c r="A822" s="3" t="str">
        <f>HYPERLINK("https://heavenlyouthouse.com/products/thymes-goldleaf-gardenia-petite-reed-diffuser", "https://heavenlyouthouse.com/products/thymes-goldleaf-gardenia-petite-reed-diffuser")</f>
        <v>https://heavenlyouthouse.com/products/thymes-goldleaf-gardenia-petite-reed-diffuser</v>
      </c>
      <c r="B822" s="3" t="str">
        <f>HYPERLINK("https://heavenlyouthouse.com/products/thymes-goldleaf-gardenia-petite-reed-diffuser", "https://heavenlyouthouse.com/products/thymes-goldleaf-gardenia-petite-reed-diffuser")</f>
        <v>https://heavenlyouthouse.com/products/thymes-goldleaf-gardenia-petite-reed-diffuser</v>
      </c>
      <c r="C822" t="s">
        <v>1766</v>
      </c>
      <c r="D822" t="s">
        <v>1732</v>
      </c>
      <c r="E822" s="3" t="str">
        <f>HYPERLINK("https://www.amazon.com/Thymes-Goldleaf-Gardenia-Aromatic-Diffuser/dp/B06XSR5SRH/ref=sr_1_2?keywords=Thymes+Goldleaf+Gardenia+Petite+Reed+Diffuser&amp;qid=1695258748&amp;sr=8-2", "https://www.amazon.com/Thymes-Goldleaf-Gardenia-Aromatic-Diffuser/dp/B06XSR5SRH/ref=sr_1_2?keywords=Thymes+Goldleaf+Gardenia+Petite+Reed+Diffuser&amp;qid=1695258748&amp;sr=8-2")</f>
        <v>https://www.amazon.com/Thymes-Goldleaf-Gardenia-Aromatic-Diffuser/dp/B06XSR5SRH/ref=sr_1_2?keywords=Thymes+Goldleaf+Gardenia+Petite+Reed+Diffuser&amp;qid=1695258748&amp;sr=8-2</v>
      </c>
      <c r="F822" t="s">
        <v>1733</v>
      </c>
      <c r="G822" t="e">
        <f ca="1">IMAGE("https://heavenlyouthouse.com/cdn/shop/files/thymes-goldleaf-gardenia-reed-diffuser_300x300.jpg?v=1682744197")</f>
        <v>#NAME?</v>
      </c>
      <c r="H822" t="e">
        <f ca="1">IMAGE("https://m.media-amazon.com/images/I/51VytHBv6ML._AC_UL320_.jpg")</f>
        <v>#NAME?</v>
      </c>
      <c r="I822" t="s">
        <v>1204</v>
      </c>
      <c r="J822">
        <v>35</v>
      </c>
      <c r="K822" s="2" t="s">
        <v>2013</v>
      </c>
      <c r="L822">
        <v>3.9</v>
      </c>
      <c r="M822">
        <v>58</v>
      </c>
      <c r="O822" t="s">
        <v>39</v>
      </c>
      <c r="P822" t="s">
        <v>39</v>
      </c>
      <c r="Q822" t="s">
        <v>1770</v>
      </c>
    </row>
    <row r="823" spans="1:17" ht="15.75" x14ac:dyDescent="0.25">
      <c r="A823" s="3" t="str">
        <f>HYPERLINK("https://heavenlyouthouse.com/products/thymes-lavender-petite-reed-diffuser", "https://heavenlyouthouse.com/products/thymes-lavender-petite-reed-diffuser")</f>
        <v>https://heavenlyouthouse.com/products/thymes-lavender-petite-reed-diffuser</v>
      </c>
      <c r="B823" s="3" t="str">
        <f>HYPERLINK("https://heavenlyouthouse.com/products/thymes-lavender-petite-reed-diffuser", "https://heavenlyouthouse.com/products/thymes-lavender-petite-reed-diffuser")</f>
        <v>https://heavenlyouthouse.com/products/thymes-lavender-petite-reed-diffuser</v>
      </c>
      <c r="C823" t="s">
        <v>1516</v>
      </c>
      <c r="D823" t="s">
        <v>1727</v>
      </c>
      <c r="E823" s="3" t="str">
        <f>HYPERLINK("https://www.amazon.com/Thymes-Lavender-Aromatic-Diffuser-Calming/dp/B00T8CKQPK/ref=sr_1_2?keywords=Thymes+Lavender+Petite+Reed+Diffuser&amp;qid=1695258768&amp;sr=8-2", "https://www.amazon.com/Thymes-Lavender-Aromatic-Diffuser-Calming/dp/B00T8CKQPK/ref=sr_1_2?keywords=Thymes+Lavender+Petite+Reed+Diffuser&amp;qid=1695258768&amp;sr=8-2")</f>
        <v>https://www.amazon.com/Thymes-Lavender-Aromatic-Diffuser-Calming/dp/B00T8CKQPK/ref=sr_1_2?keywords=Thymes+Lavender+Petite+Reed+Diffuser&amp;qid=1695258768&amp;sr=8-2</v>
      </c>
      <c r="F823" t="s">
        <v>1728</v>
      </c>
      <c r="G823" t="e">
        <f ca="1">IMAGE("https://heavenlyouthouse.com/cdn/shop/products/thymes-lavender-petite-reed-diffuser.jpg?v=1635207104")</f>
        <v>#NAME?</v>
      </c>
      <c r="H823" t="e">
        <f ca="1">IMAGE("https://m.media-amazon.com/images/I/51aS1c5PFvL._AC_UL320_.jpg")</f>
        <v>#NAME?</v>
      </c>
      <c r="I823" t="s">
        <v>1204</v>
      </c>
      <c r="J823">
        <v>35</v>
      </c>
      <c r="K823" s="2" t="s">
        <v>2013</v>
      </c>
      <c r="L823">
        <v>4.0999999999999996</v>
      </c>
      <c r="M823">
        <v>120</v>
      </c>
      <c r="O823" t="s">
        <v>39</v>
      </c>
      <c r="P823" t="s">
        <v>39</v>
      </c>
      <c r="Q823" t="s">
        <v>1517</v>
      </c>
    </row>
    <row r="824" spans="1:17" ht="15.75" x14ac:dyDescent="0.25">
      <c r="A824" s="3" t="str">
        <f>HYPERLINK("https://heavenlyouthouse.com/products/thymes-eucalyptus-petite-reed-diffuser", "https://heavenlyouthouse.com/products/thymes-eucalyptus-petite-reed-diffuser")</f>
        <v>https://heavenlyouthouse.com/products/thymes-eucalyptus-petite-reed-diffuser</v>
      </c>
      <c r="B824" s="3" t="str">
        <f>HYPERLINK("https://heavenlyouthouse.com/products/thymes-eucalyptus-petite-reed-diffuser", "https://heavenlyouthouse.com/products/thymes-eucalyptus-petite-reed-diffuser")</f>
        <v>https://heavenlyouthouse.com/products/thymes-eucalyptus-petite-reed-diffuser</v>
      </c>
      <c r="C824" t="s">
        <v>1502</v>
      </c>
      <c r="D824" t="s">
        <v>1729</v>
      </c>
      <c r="E824" s="3" t="str">
        <f>HYPERLINK("https://www.amazon.com/Thymes-Eucalyptus-Aromatic-Diffuser-Relaxing/dp/B06WVJ2CNH/ref=sr_1_2?keywords=Thymes+Eucalyptus+Petite+Reed+Diffuser&amp;qid=1695258718&amp;sr=8-2", "https://www.amazon.com/Thymes-Eucalyptus-Aromatic-Diffuser-Relaxing/dp/B06WVJ2CNH/ref=sr_1_2?keywords=Thymes+Eucalyptus+Petite+Reed+Diffuser&amp;qid=1695258718&amp;sr=8-2")</f>
        <v>https://www.amazon.com/Thymes-Eucalyptus-Aromatic-Diffuser-Relaxing/dp/B06WVJ2CNH/ref=sr_1_2?keywords=Thymes+Eucalyptus+Petite+Reed+Diffuser&amp;qid=1695258718&amp;sr=8-2</v>
      </c>
      <c r="F824" t="s">
        <v>1730</v>
      </c>
      <c r="G824" t="e">
        <f ca="1">IMAGE("https://heavenlyouthouse.com/cdn/shop/products/thymes-eucalyptus-reed-diffuser.jpg?v=1634851373")</f>
        <v>#NAME?</v>
      </c>
      <c r="H824" t="e">
        <f ca="1">IMAGE("https://m.media-amazon.com/images/I/51L6q3IxhpL._AC_UL320_.jpg")</f>
        <v>#NAME?</v>
      </c>
      <c r="I824" t="s">
        <v>1204</v>
      </c>
      <c r="J824">
        <v>35</v>
      </c>
      <c r="K824" s="2" t="s">
        <v>2013</v>
      </c>
      <c r="L824">
        <v>4</v>
      </c>
      <c r="M824">
        <v>211</v>
      </c>
      <c r="O824" t="s">
        <v>39</v>
      </c>
      <c r="P824" t="s">
        <v>1498</v>
      </c>
      <c r="Q824" t="s">
        <v>1505</v>
      </c>
    </row>
    <row r="825" spans="1:17" ht="15.75" x14ac:dyDescent="0.25">
      <c r="A825" s="3" t="str">
        <f>HYPERLINK("https://heavenlyouthouse.com/products/thymes-goldleaf-petite-reed-diffuser", "https://heavenlyouthouse.com/products/thymes-goldleaf-petite-reed-diffuser")</f>
        <v>https://heavenlyouthouse.com/products/thymes-goldleaf-petite-reed-diffuser</v>
      </c>
      <c r="B825" s="3" t="str">
        <f>HYPERLINK("https://heavenlyouthouse.com/products/thymes-goldleaf-petite-reed-diffuser", "https://heavenlyouthouse.com/products/thymes-goldleaf-petite-reed-diffuser")</f>
        <v>https://heavenlyouthouse.com/products/thymes-goldleaf-petite-reed-diffuser</v>
      </c>
      <c r="C825" t="s">
        <v>1500</v>
      </c>
      <c r="D825" t="s">
        <v>1736</v>
      </c>
      <c r="E825" s="3" t="str">
        <f>HYPERLINK("https://www.amazon.com/Thymes-Goldleaf-Aromatic-Diffuser-Refill/dp/B00T8EEYO2/ref=sr_1_2?keywords=Thymes+Goldleaf+Petite+Reed+Diffuser&amp;qid=1695258755&amp;sr=8-2", "https://www.amazon.com/Thymes-Goldleaf-Aromatic-Diffuser-Refill/dp/B00T8EEYO2/ref=sr_1_2?keywords=Thymes+Goldleaf+Petite+Reed+Diffuser&amp;qid=1695258755&amp;sr=8-2")</f>
        <v>https://www.amazon.com/Thymes-Goldleaf-Aromatic-Diffuser-Refill/dp/B00T8EEYO2/ref=sr_1_2?keywords=Thymes+Goldleaf+Petite+Reed+Diffuser&amp;qid=1695258755&amp;sr=8-2</v>
      </c>
      <c r="F825" t="s">
        <v>1737</v>
      </c>
      <c r="G825" t="e">
        <f ca="1">IMAGE("https://heavenlyouthouse.com/cdn/shop/products/thymes-goldleaf-reed-diffuser.jpg?v=1645481674")</f>
        <v>#NAME?</v>
      </c>
      <c r="H825" t="e">
        <f ca="1">IMAGE("https://m.media-amazon.com/images/I/519R2KC2tdL._AC_UL320_.jpg")</f>
        <v>#NAME?</v>
      </c>
      <c r="I825" t="s">
        <v>1204</v>
      </c>
      <c r="J825">
        <v>35</v>
      </c>
      <c r="K825" s="2" t="s">
        <v>2013</v>
      </c>
      <c r="L825">
        <v>4.4000000000000004</v>
      </c>
      <c r="M825">
        <v>202</v>
      </c>
      <c r="O825" t="s">
        <v>39</v>
      </c>
      <c r="P825" t="s">
        <v>39</v>
      </c>
      <c r="Q825" t="s">
        <v>1501</v>
      </c>
    </row>
    <row r="826" spans="1:17" ht="15.75" x14ac:dyDescent="0.25">
      <c r="A826" s="3" t="str">
        <f>HYPERLINK("https://heavenlyouthouse.com/products/vanilla-coconut-bubble-bath", "https://heavenlyouthouse.com/products/vanilla-coconut-bubble-bath")</f>
        <v>https://heavenlyouthouse.com/products/vanilla-coconut-bubble-bath</v>
      </c>
      <c r="B826" s="3" t="str">
        <f>HYPERLINK("https://heavenlyouthouse.com/products/vanilla-coconut-bubble-bath", "https://heavenlyouthouse.com/products/vanilla-coconut-bubble-bath")</f>
        <v>https://heavenlyouthouse.com/products/vanilla-coconut-bubble-bath</v>
      </c>
      <c r="C826" t="s">
        <v>230</v>
      </c>
      <c r="D826" t="s">
        <v>2014</v>
      </c>
      <c r="E826" s="3" t="str">
        <f>HYPERLINK("https://www.amazon.com/Vitabath-Bubble-Heavenly-Coconut-Creme/dp/B0776T5RF3/ref=sr_1_9?keywords=Vanilla+Coconut+Bubble+Bath&amp;qid=1695258805&amp;sr=8-9", "https://www.amazon.com/Vitabath-Bubble-Heavenly-Coconut-Creme/dp/B0776T5RF3/ref=sr_1_9?keywords=Vanilla+Coconut+Bubble+Bath&amp;qid=1695258805&amp;sr=8-9")</f>
        <v>https://www.amazon.com/Vitabath-Bubble-Heavenly-Coconut-Creme/dp/B0776T5RF3/ref=sr_1_9?keywords=Vanilla+Coconut+Bubble+Bath&amp;qid=1695258805&amp;sr=8-9</v>
      </c>
      <c r="F826" t="s">
        <v>2015</v>
      </c>
      <c r="G826" t="e">
        <f ca="1">IMAGE("https://heavenlyouthouse.com/cdn/shop/products/Vanilla-Coconut_Bubble-Bath_2048_2000x_48bd3f10-44c5-4b84-8976-395bada0d7d1.jpg?v=1588959777")</f>
        <v>#NAME?</v>
      </c>
      <c r="H826" t="e">
        <f ca="1">IMAGE("https://m.media-amazon.com/images/I/51QquQpw-tL._AC_UL320_.jpg")</f>
        <v>#NAME?</v>
      </c>
      <c r="I826" t="s">
        <v>233</v>
      </c>
      <c r="J826">
        <v>9.25</v>
      </c>
      <c r="K826" s="2" t="s">
        <v>2013</v>
      </c>
      <c r="L826">
        <v>4.4000000000000004</v>
      </c>
      <c r="M826">
        <v>386</v>
      </c>
      <c r="O826" t="s">
        <v>39</v>
      </c>
      <c r="P826" t="s">
        <v>39</v>
      </c>
      <c r="Q826" t="s">
        <v>235</v>
      </c>
    </row>
    <row r="827" spans="1:17" ht="15.75" x14ac:dyDescent="0.25">
      <c r="A827" s="3" t="str">
        <f>HYPERLINK("https://heavenlyouthouse.com/products/vanilla-coconut-organic-sugar-scrub", "https://heavenlyouthouse.com/products/vanilla-coconut-organic-sugar-scrub")</f>
        <v>https://heavenlyouthouse.com/products/vanilla-coconut-organic-sugar-scrub</v>
      </c>
      <c r="B827" s="3" t="str">
        <f>HYPERLINK("https://heavenlyouthouse.com/products/vanilla-coconut-organic-sugar-scrub", "https://heavenlyouthouse.com/products/vanilla-coconut-organic-sugar-scrub")</f>
        <v>https://heavenlyouthouse.com/products/vanilla-coconut-organic-sugar-scrub</v>
      </c>
      <c r="C827" t="s">
        <v>915</v>
      </c>
      <c r="D827" t="s">
        <v>2016</v>
      </c>
      <c r="E827" s="3"/>
      <c r="F827" t="s">
        <v>2017</v>
      </c>
      <c r="G827" t="e">
        <f ca="1">IMAGE("https://heavenlyouthouse.com/cdn/shop/products/Scrub-Sugar-VanCo_2000x_f35c4b3f-b159-4b5a-8739-02941369e3ab.jpg?v=1591303172")</f>
        <v>#NAME?</v>
      </c>
      <c r="H827" t="e">
        <f ca="1">IMAGE("https://m.media-amazon.com/images/I/71MGbOY2mOL._AC_UL320_.jpg")</f>
        <v>#NAME?</v>
      </c>
      <c r="I827" t="s">
        <v>918</v>
      </c>
      <c r="J827">
        <v>14.99</v>
      </c>
      <c r="K827" s="2" t="s">
        <v>2013</v>
      </c>
      <c r="L827">
        <v>4.3</v>
      </c>
      <c r="M827">
        <v>5217</v>
      </c>
      <c r="O827" t="s">
        <v>39</v>
      </c>
      <c r="P827" t="s">
        <v>39</v>
      </c>
      <c r="Q827" t="s">
        <v>919</v>
      </c>
    </row>
    <row r="828" spans="1:17" ht="15.75" x14ac:dyDescent="0.25">
      <c r="A828" s="3" t="str">
        <f>HYPERLINK("https://heavenlyouthouse.com/products/vanilla-coconut-organic-sugar-scrub", "https://heavenlyouthouse.com/products/vanilla-coconut-organic-sugar-scrub")</f>
        <v>https://heavenlyouthouse.com/products/vanilla-coconut-organic-sugar-scrub</v>
      </c>
      <c r="B828" s="3" t="str">
        <f>HYPERLINK("https://heavenlyouthouse.com/products/vanilla-coconut-organic-sugar-scrub", "https://heavenlyouthouse.com/products/vanilla-coconut-organic-sugar-scrub")</f>
        <v>https://heavenlyouthouse.com/products/vanilla-coconut-organic-sugar-scrub</v>
      </c>
      <c r="C828" t="s">
        <v>915</v>
      </c>
      <c r="D828" t="s">
        <v>2018</v>
      </c>
      <c r="E828" s="3" t="str">
        <f>HYPERLINK("https://www.amazon.com/Soap-Factory-Organic-Exfoliator-Certified/dp/B0BTC7ZJHR/ref=sr_1_8?keywords=Vanilla+Coconut+Organic+Sugar+Scrub&amp;qid=1695258822&amp;sr=8-8", "https://www.amazon.com/Soap-Factory-Organic-Exfoliator-Certified/dp/B0BTC7ZJHR/ref=sr_1_8?keywords=Vanilla+Coconut+Organic+Sugar+Scrub&amp;qid=1695258822&amp;sr=8-8")</f>
        <v>https://www.amazon.com/Soap-Factory-Organic-Exfoliator-Certified/dp/B0BTC7ZJHR/ref=sr_1_8?keywords=Vanilla+Coconut+Organic+Sugar+Scrub&amp;qid=1695258822&amp;sr=8-8</v>
      </c>
      <c r="F828" t="s">
        <v>2019</v>
      </c>
      <c r="G828" t="e">
        <f ca="1">IMAGE("https://heavenlyouthouse.com/cdn/shop/products/Scrub-Sugar-VanCo_2000x_f35c4b3f-b159-4b5a-8739-02941369e3ab.jpg?v=1591303172")</f>
        <v>#NAME?</v>
      </c>
      <c r="H828" t="e">
        <f ca="1">IMAGE("https://m.media-amazon.com/images/I/71DfQSqTGJL._AC_UL320_.jpg")</f>
        <v>#NAME?</v>
      </c>
      <c r="I828" t="s">
        <v>918</v>
      </c>
      <c r="J828">
        <v>14.99</v>
      </c>
      <c r="K828" s="2" t="s">
        <v>2013</v>
      </c>
      <c r="L828">
        <v>4.5999999999999996</v>
      </c>
      <c r="M828">
        <v>29</v>
      </c>
      <c r="O828" t="s">
        <v>39</v>
      </c>
      <c r="P828" t="s">
        <v>39</v>
      </c>
      <c r="Q828" t="s">
        <v>919</v>
      </c>
    </row>
    <row r="829" spans="1:17" ht="15.75" x14ac:dyDescent="0.25">
      <c r="A829" s="3" t="str">
        <f>HYPERLINK("https://heavenlyouthouse.com/products/scent-free-body-lotion", "https://heavenlyouthouse.com/products/scent-free-body-lotion")</f>
        <v>https://heavenlyouthouse.com/products/scent-free-body-lotion</v>
      </c>
      <c r="B829" s="3" t="str">
        <f>HYPERLINK("https://heavenlyouthouse.com/products/scent-free-body-lotion", "https://heavenlyouthouse.com/products/scent-free-body-lotion")</f>
        <v>https://heavenlyouthouse.com/products/scent-free-body-lotion</v>
      </c>
      <c r="C829" t="s">
        <v>1283</v>
      </c>
      <c r="D829" t="s">
        <v>2020</v>
      </c>
      <c r="E829" s="3" t="str">
        <f>HYPERLINK("https://www.amazon.com/Dead-Down-Wind-Odorless-Lotion/dp/B0084EEJG0/ref=sr_1_9?keywords=Scent+Free+Body+Lotion&amp;qid=1695258677&amp;sr=8-9", "https://www.amazon.com/Dead-Down-Wind-Odorless-Lotion/dp/B0084EEJG0/ref=sr_1_9?keywords=Scent+Free+Body+Lotion&amp;qid=1695258677&amp;sr=8-9")</f>
        <v>https://www.amazon.com/Dead-Down-Wind-Odorless-Lotion/dp/B0084EEJG0/ref=sr_1_9?keywords=Scent+Free+Body+Lotion&amp;qid=1695258677&amp;sr=8-9</v>
      </c>
      <c r="F829" t="s">
        <v>2021</v>
      </c>
      <c r="G829" t="e">
        <f ca="1">IMAGE("https://heavenlyouthouse.com/cdn/shop/products/Scent-Free_Body-Lotion_2048_2000x_12fe1f2b-c9b7-410b-bcaa-1736dd65bc07.jpg?v=1586911361")</f>
        <v>#NAME?</v>
      </c>
      <c r="H829" t="e">
        <f ca="1">IMAGE("https://m.media-amazon.com/images/I/71I4jWDvFOL._AC_UL320_.jpg")</f>
        <v>#NAME?</v>
      </c>
      <c r="I829" t="s">
        <v>399</v>
      </c>
      <c r="J829">
        <v>12.1</v>
      </c>
      <c r="K829" s="2" t="s">
        <v>2013</v>
      </c>
      <c r="L829">
        <v>4.7</v>
      </c>
      <c r="M829">
        <v>378</v>
      </c>
      <c r="O829" t="s">
        <v>39</v>
      </c>
      <c r="P829" t="s">
        <v>39</v>
      </c>
      <c r="Q829" t="s">
        <v>1286</v>
      </c>
    </row>
    <row r="830" spans="1:17" ht="15.75" x14ac:dyDescent="0.25">
      <c r="A830" s="3" t="str">
        <f>HYPERLINK("https://heavenlyouthouse.com/products/vanilla-coconut-organic-sugar-scrub", "https://heavenlyouthouse.com/products/vanilla-coconut-organic-sugar-scrub")</f>
        <v>https://heavenlyouthouse.com/products/vanilla-coconut-organic-sugar-scrub</v>
      </c>
      <c r="B830" s="3" t="str">
        <f>HYPERLINK("https://heavenlyouthouse.com/products/vanilla-coconut-organic-sugar-scrub", "https://heavenlyouthouse.com/products/vanilla-coconut-organic-sugar-scrub")</f>
        <v>https://heavenlyouthouse.com/products/vanilla-coconut-organic-sugar-scrub</v>
      </c>
      <c r="C830" t="s">
        <v>915</v>
      </c>
      <c r="D830" t="s">
        <v>2022</v>
      </c>
      <c r="E830" s="3" t="str">
        <f>HYPERLINK("https://www.amazon.com/Deep-Steep-Sugar-Vanilla-Coconut/dp/B0B3LNWL16/ref=sr_1_7?keywords=Vanilla+Coconut+Organic+Sugar+Scrub&amp;qid=1695258822&amp;sr=8-7", "https://www.amazon.com/Deep-Steep-Sugar-Vanilla-Coconut/dp/B0B3LNWL16/ref=sr_1_7?keywords=Vanilla+Coconut+Organic+Sugar+Scrub&amp;qid=1695258822&amp;sr=8-7")</f>
        <v>https://www.amazon.com/Deep-Steep-Sugar-Vanilla-Coconut/dp/B0B3LNWL16/ref=sr_1_7?keywords=Vanilla+Coconut+Organic+Sugar+Scrub&amp;qid=1695258822&amp;sr=8-7</v>
      </c>
      <c r="F830" t="s">
        <v>2023</v>
      </c>
      <c r="G830" t="e">
        <f ca="1">IMAGE("https://heavenlyouthouse.com/cdn/shop/products/Scrub-Sugar-VanCo_2000x_f35c4b3f-b159-4b5a-8739-02941369e3ab.jpg?v=1591303172")</f>
        <v>#NAME?</v>
      </c>
      <c r="H830" t="e">
        <f ca="1">IMAGE("https://m.media-amazon.com/images/I/617Gu7evzeL._AC_UL320_.jpg")</f>
        <v>#NAME?</v>
      </c>
      <c r="I830" t="s">
        <v>918</v>
      </c>
      <c r="J830">
        <v>14.95</v>
      </c>
      <c r="K830" s="2" t="s">
        <v>2024</v>
      </c>
      <c r="L830">
        <v>4.4000000000000004</v>
      </c>
      <c r="M830">
        <v>442</v>
      </c>
      <c r="O830" t="s">
        <v>39</v>
      </c>
      <c r="P830" t="s">
        <v>39</v>
      </c>
      <c r="Q830" t="s">
        <v>919</v>
      </c>
    </row>
    <row r="831" spans="1:17" ht="15.75" x14ac:dyDescent="0.25">
      <c r="A831" s="3" t="str">
        <f>HYPERLINK("https://heavenlyouthouse.com/products/rainbow-anniversary-card", "https://heavenlyouthouse.com/products/rainbow-anniversary-card")</f>
        <v>https://heavenlyouthouse.com/products/rainbow-anniversary-card</v>
      </c>
      <c r="B831" s="3" t="str">
        <f>HYPERLINK("https://heavenlyouthouse.com/products/rainbow-anniversary-card", "https://heavenlyouthouse.com/products/rainbow-anniversary-card")</f>
        <v>https://heavenlyouthouse.com/products/rainbow-anniversary-card</v>
      </c>
      <c r="C831" t="s">
        <v>411</v>
      </c>
      <c r="D831" t="s">
        <v>2025</v>
      </c>
      <c r="E831" s="3" t="str">
        <f>HYPERLINK("https://www.amazon.com/Avanti-Press-Two-Dogs-Dock/dp/B08XQ579HZ/ref=sr_1_10?keywords=Rainbow+Anniversary+Card&amp;qid=1695258657&amp;sr=8-10", "https://www.amazon.com/Avanti-Press-Two-Dogs-Dock/dp/B08XQ579HZ/ref=sr_1_10?keywords=Rainbow+Anniversary+Card&amp;qid=1695258657&amp;sr=8-10")</f>
        <v>https://www.amazon.com/Avanti-Press-Two-Dogs-Dock/dp/B08XQ579HZ/ref=sr_1_10?keywords=Rainbow+Anniversary+Card&amp;qid=1695258657&amp;sr=8-10</v>
      </c>
      <c r="F831" t="s">
        <v>2026</v>
      </c>
      <c r="G831" t="e">
        <f ca="1">IMAGE("https://heavenlyouthouse.com/cdn/shop/files/rainbow-anniversary-card3_300x300.jpg?v=1692036950")</f>
        <v>#NAME?</v>
      </c>
      <c r="H831" t="e">
        <f ca="1">IMAGE("https://m.media-amazon.com/images/I/413tSDa6AbL._AC_UL320_.jpg")</f>
        <v>#NAME?</v>
      </c>
      <c r="I831" t="s">
        <v>414</v>
      </c>
      <c r="J831">
        <v>3.99</v>
      </c>
      <c r="K831" s="2" t="s">
        <v>2024</v>
      </c>
      <c r="L831">
        <v>3.8</v>
      </c>
      <c r="M831">
        <v>4</v>
      </c>
      <c r="O831" t="s">
        <v>39</v>
      </c>
      <c r="P831" t="s">
        <v>416</v>
      </c>
      <c r="Q831" t="s">
        <v>417</v>
      </c>
    </row>
    <row r="832" spans="1:17" ht="15.75" x14ac:dyDescent="0.25">
      <c r="A832" s="3" t="str">
        <f>HYPERLINK("https://heavenlyouthouse.com/products/frasier-fir-petite-hand-lotion", "https://heavenlyouthouse.com/products/frasier-fir-petite-hand-lotion")</f>
        <v>https://heavenlyouthouse.com/products/frasier-fir-petite-hand-lotion</v>
      </c>
      <c r="B832" s="3" t="str">
        <f>HYPERLINK("https://heavenlyouthouse.com/products/frasier-fir-petite-hand-lotion", "https://heavenlyouthouse.com/products/frasier-fir-petite-hand-lotion")</f>
        <v>https://heavenlyouthouse.com/products/frasier-fir-petite-hand-lotion</v>
      </c>
      <c r="C832" t="s">
        <v>708</v>
      </c>
      <c r="D832" t="s">
        <v>1659</v>
      </c>
      <c r="E832" s="3" t="str">
        <f>HYPERLINK("https://www.amazon.com/Thymes-Frasier-Triple-Milled-Ounces/dp/B0140PRD0U/ref=sr_1_9?keywords=Thymes+Frasier+Fir+Hand+Lotion&amp;qid=1695258732&amp;sr=8-9", "https://www.amazon.com/Thymes-Frasier-Triple-Milled-Ounces/dp/B0140PRD0U/ref=sr_1_9?keywords=Thymes+Frasier+Fir+Hand+Lotion&amp;qid=1695258732&amp;sr=8-9")</f>
        <v>https://www.amazon.com/Thymes-Frasier-Triple-Milled-Ounces/dp/B0140PRD0U/ref=sr_1_9?keywords=Thymes+Frasier+Fir+Hand+Lotion&amp;qid=1695258732&amp;sr=8-9</v>
      </c>
      <c r="F832" t="s">
        <v>1660</v>
      </c>
      <c r="G832" t="e">
        <f ca="1">IMAGE("https://heavenlyouthouse.com/cdn/shop/products/ThymesFrasierFirHandLotion.jpg?v=1612375466")</f>
        <v>#NAME?</v>
      </c>
      <c r="H832" t="e">
        <f ca="1">IMAGE("https://m.media-amazon.com/images/I/71Y2VJnEVAL._AC_UL320_.jpg")</f>
        <v>#NAME?</v>
      </c>
      <c r="I832" t="s">
        <v>86</v>
      </c>
      <c r="J832">
        <v>12</v>
      </c>
      <c r="K832" s="2" t="s">
        <v>2024</v>
      </c>
      <c r="L832">
        <v>4.7</v>
      </c>
      <c r="M832">
        <v>610</v>
      </c>
      <c r="O832" t="s">
        <v>39</v>
      </c>
      <c r="P832" t="s">
        <v>39</v>
      </c>
      <c r="Q832" t="s">
        <v>711</v>
      </c>
    </row>
    <row r="833" spans="1:17" ht="15.75" x14ac:dyDescent="0.25">
      <c r="A833" s="3" t="str">
        <f>HYPERLINK("https://heavenlyouthouse.com/products/lavender-hand-wash", "https://heavenlyouthouse.com/products/lavender-hand-wash")</f>
        <v>https://heavenlyouthouse.com/products/lavender-hand-wash</v>
      </c>
      <c r="B833" s="3" t="str">
        <f>HYPERLINK("https://heavenlyouthouse.com/products/lavender-hand-wash", "https://heavenlyouthouse.com/products/lavender-hand-wash")</f>
        <v>https://heavenlyouthouse.com/products/lavender-hand-wash</v>
      </c>
      <c r="C833" t="s">
        <v>540</v>
      </c>
      <c r="D833" t="s">
        <v>2027</v>
      </c>
      <c r="E833" s="3" t="str">
        <f>HYPERLINK("https://www.amazon.com/Antibacterial-Hand-Soap-Olivia-Care/dp/B08LR4J4GH/ref=sr_1_2?keywords=Thymes+Lavender+Hand+Wash&amp;qid=1695258763&amp;sr=8-2", "https://www.amazon.com/Antibacterial-Hand-Soap-Olivia-Care/dp/B08LR4J4GH/ref=sr_1_2?keywords=Thymes+Lavender+Hand+Wash&amp;qid=1695258763&amp;sr=8-2")</f>
        <v>https://www.amazon.com/Antibacterial-Hand-Soap-Olivia-Care/dp/B08LR4J4GH/ref=sr_1_2?keywords=Thymes+Lavender+Hand+Wash&amp;qid=1695258763&amp;sr=8-2</v>
      </c>
      <c r="F833" t="s">
        <v>2028</v>
      </c>
      <c r="G833" t="e">
        <f ca="1">IMAGE("https://heavenlyouthouse.com/cdn/shop/products/thymes-lavender-hand-wash.jpg?v=1673017797")</f>
        <v>#NAME?</v>
      </c>
      <c r="H833" t="e">
        <f ca="1">IMAGE("https://m.media-amazon.com/images/I/51XUIlpx7eL._AC_UL320_.jpg")</f>
        <v>#NAME?</v>
      </c>
      <c r="I833" t="s">
        <v>86</v>
      </c>
      <c r="J833">
        <v>11.99</v>
      </c>
      <c r="K833" s="2" t="s">
        <v>2024</v>
      </c>
      <c r="L833">
        <v>4.5</v>
      </c>
      <c r="M833">
        <v>170</v>
      </c>
      <c r="O833" t="s">
        <v>39</v>
      </c>
      <c r="P833" t="s">
        <v>39</v>
      </c>
      <c r="Q833" t="s">
        <v>543</v>
      </c>
    </row>
    <row r="834" spans="1:17" ht="15.75" x14ac:dyDescent="0.25">
      <c r="A834" s="3" t="str">
        <f>HYPERLINK("https://heavenlyouthouse.com/products/lavender-bubble-bath", "https://heavenlyouthouse.com/products/lavender-bubble-bath")</f>
        <v>https://heavenlyouthouse.com/products/lavender-bubble-bath</v>
      </c>
      <c r="B834" s="3" t="str">
        <f>HYPERLINK("https://heavenlyouthouse.com/products/lavender-bubble-bath", "https://heavenlyouthouse.com/products/lavender-bubble-bath")</f>
        <v>https://heavenlyouthouse.com/products/lavender-bubble-bath</v>
      </c>
      <c r="C834" t="s">
        <v>1208</v>
      </c>
      <c r="D834" t="s">
        <v>2029</v>
      </c>
      <c r="E834" s="3" t="str">
        <f>HYPERLINK("https://www.amazon.com/Perlier-Foam-Bath-Lavender-fl-oz/dp/B005T4DIRE/ref=sr_1_8?keywords=Thymes+Lavender+Bubble+Bath&amp;qid=1695258760&amp;sr=8-8", "https://www.amazon.com/Perlier-Foam-Bath-Lavender-fl-oz/dp/B005T4DIRE/ref=sr_1_8?keywords=Thymes+Lavender+Bubble+Bath&amp;qid=1695258760&amp;sr=8-8")</f>
        <v>https://www.amazon.com/Perlier-Foam-Bath-Lavender-fl-oz/dp/B005T4DIRE/ref=sr_1_8?keywords=Thymes+Lavender+Bubble+Bath&amp;qid=1695258760&amp;sr=8-8</v>
      </c>
      <c r="F834" t="s">
        <v>2030</v>
      </c>
      <c r="G834" t="e">
        <f ca="1">IMAGE("https://heavenlyouthouse.com/cdn/shop/products/thymeslavenderbubblebath.jpg?v=1608572028")</f>
        <v>#NAME?</v>
      </c>
      <c r="H834" t="e">
        <f ca="1">IMAGE("https://m.media-amazon.com/images/I/61Ef2NvPmOL._AC_UL320_.jpg")</f>
        <v>#NAME?</v>
      </c>
      <c r="I834" t="s">
        <v>1211</v>
      </c>
      <c r="J834">
        <v>22.29</v>
      </c>
      <c r="K834" s="2" t="s">
        <v>2024</v>
      </c>
      <c r="L834">
        <v>4.3</v>
      </c>
      <c r="M834">
        <v>484</v>
      </c>
      <c r="O834" t="s">
        <v>39</v>
      </c>
      <c r="P834" t="s">
        <v>39</v>
      </c>
      <c r="Q834" t="s">
        <v>1212</v>
      </c>
    </row>
    <row r="835" spans="1:17" ht="15.75" x14ac:dyDescent="0.25">
      <c r="A835" s="3" t="str">
        <f>HYPERLINK("https://heavenlyouthouse.com/products/goldleaf-body-creme", "https://heavenlyouthouse.com/products/goldleaf-body-creme")</f>
        <v>https://heavenlyouthouse.com/products/goldleaf-body-creme</v>
      </c>
      <c r="B835" s="3" t="str">
        <f>HYPERLINK("https://heavenlyouthouse.com/products/goldleaf-body-creme", "https://heavenlyouthouse.com/products/goldleaf-body-creme")</f>
        <v>https://heavenlyouthouse.com/products/goldleaf-body-creme</v>
      </c>
      <c r="C835" t="s">
        <v>1569</v>
      </c>
      <c r="D835" t="s">
        <v>880</v>
      </c>
      <c r="E835" s="3" t="str">
        <f>HYPERLINK("https://www.amazon.com/Thymes-Goldleaf-Gardenia-Perfumed-Luxury/dp/B06W5DQWGQ/ref=sr_1_7?keywords=Thymes+Goldleaf+Body+Creme&amp;qid=1695258742&amp;sr=8-7", "https://www.amazon.com/Thymes-Goldleaf-Gardenia-Perfumed-Luxury/dp/B06W5DQWGQ/ref=sr_1_7?keywords=Thymes+Goldleaf+Body+Creme&amp;qid=1695258742&amp;sr=8-7")</f>
        <v>https://www.amazon.com/Thymes-Goldleaf-Gardenia-Perfumed-Luxury/dp/B06W5DQWGQ/ref=sr_1_7?keywords=Thymes+Goldleaf+Body+Creme&amp;qid=1695258742&amp;sr=8-7</v>
      </c>
      <c r="F835" t="s">
        <v>881</v>
      </c>
      <c r="G835" t="e">
        <f ca="1">IMAGE("https://heavenlyouthouse.com/cdn/shop/products/thymes-goldleaf-perfumed-body-creme_d5740798-8f74-4408-9174-68dc266ec4fa.png?v=1652276989")</f>
        <v>#NAME?</v>
      </c>
      <c r="H835" t="e">
        <f ca="1">IMAGE("https://m.media-amazon.com/images/I/51TT9TA52ML._AC_UL320_.jpg")</f>
        <v>#NAME?</v>
      </c>
      <c r="I835" t="s">
        <v>1560</v>
      </c>
      <c r="J835">
        <v>24</v>
      </c>
      <c r="K835" s="2" t="s">
        <v>2024</v>
      </c>
      <c r="L835">
        <v>4.5999999999999996</v>
      </c>
      <c r="M835">
        <v>1742</v>
      </c>
      <c r="O835" t="s">
        <v>39</v>
      </c>
      <c r="P835" t="s">
        <v>39</v>
      </c>
      <c r="Q835" t="s">
        <v>1570</v>
      </c>
    </row>
    <row r="836" spans="1:17" ht="15.75" x14ac:dyDescent="0.25">
      <c r="A836" s="3" t="str">
        <f>HYPERLINK("https://heavenlyouthouse.com/products/thymes-frasier-fir-gilded-ceramic-medium-candle", "https://heavenlyouthouse.com/products/thymes-frasier-fir-gilded-ceramic-medium-candle")</f>
        <v>https://heavenlyouthouse.com/products/thymes-frasier-fir-gilded-ceramic-medium-candle</v>
      </c>
      <c r="B836" s="3" t="str">
        <f>HYPERLINK("https://heavenlyouthouse.com/products/thymes-frasier-fir-gilded-ceramic-medium-candle", "https://heavenlyouthouse.com/products/thymes-frasier-fir-gilded-ceramic-medium-candle")</f>
        <v>https://heavenlyouthouse.com/products/thymes-frasier-fir-gilded-ceramic-medium-candle</v>
      </c>
      <c r="C836" t="s">
        <v>958</v>
      </c>
      <c r="D836" t="s">
        <v>2031</v>
      </c>
      <c r="E836" s="3" t="str">
        <f>HYPERLINK("https://www.amazon.com/Thymes-Frasier-Fir-Candle-Ceramic/dp/B01KIH4YRY/ref=sr_1_4?keywords=Thymes+Frasier+Fir+Gilded+Ceramic+Medium+Candle&amp;qid=1695258728&amp;sr=8-4", "https://www.amazon.com/Thymes-Frasier-Fir-Candle-Ceramic/dp/B01KIH4YRY/ref=sr_1_4?keywords=Thymes+Frasier+Fir+Gilded+Ceramic+Medium+Candle&amp;qid=1695258728&amp;sr=8-4")</f>
        <v>https://www.amazon.com/Thymes-Frasier-Fir-Candle-Ceramic/dp/B01KIH4YRY/ref=sr_1_4?keywords=Thymes+Frasier+Fir+Gilded+Ceramic+Medium+Candle&amp;qid=1695258728&amp;sr=8-4</v>
      </c>
      <c r="F836" t="s">
        <v>2032</v>
      </c>
      <c r="G836" t="e">
        <f ca="1">IMAGE("https://heavenlyouthouse.com/cdn/shop/products/thymes-frasier-gilded-ceramic-candle-medium.jpg?v=1630015584")</f>
        <v>#NAME?</v>
      </c>
      <c r="H836" t="e">
        <f ca="1">IMAGE("https://m.media-amazon.com/images/I/61vpNJM8MwL._AC_UL320_.jpg")</f>
        <v>#NAME?</v>
      </c>
      <c r="I836" t="s">
        <v>959</v>
      </c>
      <c r="J836">
        <v>36</v>
      </c>
      <c r="K836" s="2" t="s">
        <v>2024</v>
      </c>
      <c r="L836">
        <v>4.5</v>
      </c>
      <c r="M836">
        <v>89</v>
      </c>
      <c r="O836" t="s">
        <v>39</v>
      </c>
      <c r="P836" t="s">
        <v>960</v>
      </c>
      <c r="Q836" t="s">
        <v>961</v>
      </c>
    </row>
    <row r="837" spans="1:17" ht="15.75" x14ac:dyDescent="0.25">
      <c r="A837" s="3" t="str">
        <f>HYPERLINK("https://heavenlyouthouse.com/products/scent-free-body-lotion", "https://heavenlyouthouse.com/products/scent-free-body-lotion")</f>
        <v>https://heavenlyouthouse.com/products/scent-free-body-lotion</v>
      </c>
      <c r="B837" s="3" t="str">
        <f>HYPERLINK("https://heavenlyouthouse.com/products/scent-free-body-lotion", "https://heavenlyouthouse.com/products/scent-free-body-lotion")</f>
        <v>https://heavenlyouthouse.com/products/scent-free-body-lotion</v>
      </c>
      <c r="C837" t="s">
        <v>1283</v>
      </c>
      <c r="D837" t="s">
        <v>2033</v>
      </c>
      <c r="E837" s="3" t="str">
        <f>HYPERLINK("https://www.amazon.com/Lubriderm-Advanced-Therapy-Moisturizing-Vitamins/dp/B08G9K79FC/ref=sr_1_2?keywords=Scent+Free+Body+Lotion&amp;qid=1695258677&amp;sr=8-2", "https://www.amazon.com/Lubriderm-Advanced-Therapy-Moisturizing-Vitamins/dp/B08G9K79FC/ref=sr_1_2?keywords=Scent+Free+Body+Lotion&amp;qid=1695258677&amp;sr=8-2")</f>
        <v>https://www.amazon.com/Lubriderm-Advanced-Therapy-Moisturizing-Vitamins/dp/B08G9K79FC/ref=sr_1_2?keywords=Scent+Free+Body+Lotion&amp;qid=1695258677&amp;sr=8-2</v>
      </c>
      <c r="F837" t="s">
        <v>2034</v>
      </c>
      <c r="G837" t="e">
        <f ca="1">IMAGE("https://heavenlyouthouse.com/cdn/shop/products/Scent-Free_Body-Lotion_2048_2000x_12fe1f2b-c9b7-410b-bcaa-1736dd65bc07.jpg?v=1586911361")</f>
        <v>#NAME?</v>
      </c>
      <c r="H837" t="e">
        <f ca="1">IMAGE("https://m.media-amazon.com/images/I/61XpSiRo8DL._AC_UL320_.jpg")</f>
        <v>#NAME?</v>
      </c>
      <c r="I837" t="s">
        <v>399</v>
      </c>
      <c r="J837">
        <v>11.97</v>
      </c>
      <c r="K837" s="2" t="s">
        <v>2024</v>
      </c>
      <c r="L837">
        <v>4.8</v>
      </c>
      <c r="M837">
        <v>15213</v>
      </c>
      <c r="O837" t="s">
        <v>39</v>
      </c>
      <c r="P837" t="s">
        <v>39</v>
      </c>
      <c r="Q837" t="s">
        <v>1286</v>
      </c>
    </row>
    <row r="838" spans="1:17" ht="15.75" x14ac:dyDescent="0.25">
      <c r="A838" s="3" t="str">
        <f>HYPERLINK("https://heavenlyouthouse.com/products/whiskey-mens-crew-socks", "https://heavenlyouthouse.com/products/whiskey-mens-crew-socks")</f>
        <v>https://heavenlyouthouse.com/products/whiskey-mens-crew-socks</v>
      </c>
      <c r="B838" s="3" t="str">
        <f>HYPERLINK("https://heavenlyouthouse.com/products/whiskey-mens-crew-socks", "https://heavenlyouthouse.com/products/whiskey-mens-crew-socks")</f>
        <v>https://heavenlyouthouse.com/products/whiskey-mens-crew-socks</v>
      </c>
      <c r="C838" t="s">
        <v>1665</v>
      </c>
      <c r="D838" t="s">
        <v>2035</v>
      </c>
      <c r="E838" s="3" t="str">
        <f>HYPERLINK("https://www.amazon.com/K-Bell-Socks-Coctails-Black/dp/B00H0BP44O/ref=sr_1_4?keywords=Whiskey+Mens+Crew+Socks&amp;qid=1695258823&amp;sr=8-4", "https://www.amazon.com/K-Bell-Socks-Coctails-Black/dp/B00H0BP44O/ref=sr_1_4?keywords=Whiskey+Mens+Crew+Socks&amp;qid=1695258823&amp;sr=8-4")</f>
        <v>https://www.amazon.com/K-Bell-Socks-Coctails-Black/dp/B00H0BP44O/ref=sr_1_4?keywords=Whiskey+Mens+Crew+Socks&amp;qid=1695258823&amp;sr=8-4</v>
      </c>
      <c r="F838" t="s">
        <v>2036</v>
      </c>
      <c r="G838" t="e">
        <f ca="1">IMAGE("https://heavenlyouthouse.com/cdn/shop/files/blue-q-cool-whiskey-men_s-socks_300x300.jpg?v=1689179660")</f>
        <v>#NAME?</v>
      </c>
      <c r="H838" t="e">
        <f ca="1">IMAGE("https://m.media-amazon.com/images/I/81jGpgVWmJL._AC_UL320_.jpg")</f>
        <v>#NAME?</v>
      </c>
      <c r="I838" t="s">
        <v>802</v>
      </c>
      <c r="J838">
        <v>11.32</v>
      </c>
      <c r="K838" s="2" t="s">
        <v>2024</v>
      </c>
      <c r="L838">
        <v>4.8</v>
      </c>
      <c r="M838">
        <v>77</v>
      </c>
      <c r="O838" t="s">
        <v>39</v>
      </c>
      <c r="P838" t="s">
        <v>803</v>
      </c>
      <c r="Q838" t="s">
        <v>1668</v>
      </c>
    </row>
    <row r="839" spans="1:17" ht="15.75" x14ac:dyDescent="0.25">
      <c r="A839" s="3" t="str">
        <f>HYPERLINK("https://heavenlyouthouse.com/products/variety-pack-cocktail-bombs?variant=39387715469401", "https://heavenlyouthouse.com/products/variety-pack-cocktail-bombs?variant=39387715469401")</f>
        <v>https://heavenlyouthouse.com/products/variety-pack-cocktail-bombs?variant=39387715469401</v>
      </c>
      <c r="B839" s="3" t="str">
        <f>HYPERLINK("https://heavenlyouthouse.com/products/variety-pack-cocktail-bombs", "https://heavenlyouthouse.com/products/variety-pack-cocktail-bombs")</f>
        <v>https://heavenlyouthouse.com/products/variety-pack-cocktail-bombs</v>
      </c>
      <c r="C839" t="s">
        <v>730</v>
      </c>
      <c r="D839" t="s">
        <v>2037</v>
      </c>
      <c r="E839" s="3" t="str">
        <f>HYPERLINK("https://www.amazon.com/SAYSO-Cocktail-Mixers-Variety-Pack/dp/B0C7WLKJ7V/ref=sr_1_2?keywords=Variety+Pack+Cocktail+Bombs&amp;qid=1695258815&amp;sr=8-2", "https://www.amazon.com/SAYSO-Cocktail-Mixers-Variety-Pack/dp/B0C7WLKJ7V/ref=sr_1_2?keywords=Variety+Pack+Cocktail+Bombs&amp;qid=1695258815&amp;sr=8-2")</f>
        <v>https://www.amazon.com/SAYSO-Cocktail-Mixers-Variety-Pack/dp/B0C7WLKJ7V/ref=sr_1_2?keywords=Variety+Pack+Cocktail+Bombs&amp;qid=1695258815&amp;sr=8-2</v>
      </c>
      <c r="F839" t="s">
        <v>2038</v>
      </c>
      <c r="G839" t="e">
        <f ca="1">IMAGE("https://heavenlyouthouse.com/cdn/shop/products/cocktail-bombs-variety-pack.jpg?v=1626724745")</f>
        <v>#NAME?</v>
      </c>
      <c r="H839" t="e">
        <f ca="1">IMAGE("https://m.media-amazon.com/images/I/71N1RdsKRXL._AC_UL320_.jpg")</f>
        <v>#NAME?</v>
      </c>
      <c r="I839" t="s">
        <v>286</v>
      </c>
      <c r="J839">
        <v>16.989999999999998</v>
      </c>
      <c r="K839" s="2" t="s">
        <v>2024</v>
      </c>
      <c r="L839">
        <v>4.5</v>
      </c>
      <c r="M839">
        <v>181</v>
      </c>
      <c r="O839" t="s">
        <v>136</v>
      </c>
      <c r="P839" t="s">
        <v>288</v>
      </c>
      <c r="Q839" t="s">
        <v>734</v>
      </c>
    </row>
    <row r="840" spans="1:17" ht="15.75" x14ac:dyDescent="0.25">
      <c r="A840" s="3" t="str">
        <f>HYPERLINK("https://heavenlyouthouse.com/products/thymes-frasier-fir-molded-pine-cone-candle", "https://heavenlyouthouse.com/products/thymes-frasier-fir-molded-pine-cone-candle")</f>
        <v>https://heavenlyouthouse.com/products/thymes-frasier-fir-molded-pine-cone-candle</v>
      </c>
      <c r="B840" s="3" t="str">
        <f>HYPERLINK("https://heavenlyouthouse.com/products/thymes-frasier-fir-molded-pine-cone-candle", "https://heavenlyouthouse.com/products/thymes-frasier-fir-molded-pine-cone-candle")</f>
        <v>https://heavenlyouthouse.com/products/thymes-frasier-fir-molded-pine-cone-candle</v>
      </c>
      <c r="C840" t="s">
        <v>1203</v>
      </c>
      <c r="D840" t="s">
        <v>550</v>
      </c>
      <c r="E840" s="3" t="str">
        <f>HYPERLINK("https://www.amazon.com/Thymes-Frasier-Needle-Decorative-50-Hour/dp/B00YPP2LBM/ref=sr_1_1?keywords=Thymes+Frasier+Fir+Molded+Pine+Cone+Candle&amp;qid=1695258731&amp;sr=8-1", "https://www.amazon.com/Thymes-Frasier-Needle-Decorative-50-Hour/dp/B00YPP2LBM/ref=sr_1_1?keywords=Thymes+Frasier+Fir+Molded+Pine+Cone+Candle&amp;qid=1695258731&amp;sr=8-1")</f>
        <v>https://www.amazon.com/Thymes-Frasier-Needle-Decorative-50-Hour/dp/B00YPP2LBM/ref=sr_1_1?keywords=Thymes+Frasier+Fir+Molded+Pine+Cone+Candle&amp;qid=1695258731&amp;sr=8-1</v>
      </c>
      <c r="F840" t="s">
        <v>551</v>
      </c>
      <c r="G840" t="e">
        <f ca="1">IMAGE("https://heavenlyouthouse.com/cdn/shop/products/Thymes-frasier-fir-pinecone-candle.jpg?v=1662139253")</f>
        <v>#NAME?</v>
      </c>
      <c r="H840" t="e">
        <f ca="1">IMAGE("https://m.media-amazon.com/images/I/61rj1n74esL._AC_UL320_.jpg")</f>
        <v>#NAME?</v>
      </c>
      <c r="I840" t="s">
        <v>1204</v>
      </c>
      <c r="J840">
        <v>34</v>
      </c>
      <c r="K840" s="2" t="s">
        <v>2024</v>
      </c>
      <c r="L840">
        <v>4.7</v>
      </c>
      <c r="M840">
        <v>3739</v>
      </c>
      <c r="O840" t="s">
        <v>39</v>
      </c>
      <c r="P840" t="s">
        <v>39</v>
      </c>
      <c r="Q840" t="s">
        <v>1205</v>
      </c>
    </row>
    <row r="841" spans="1:17" ht="15.75" x14ac:dyDescent="0.25">
      <c r="A841" s="3" t="str">
        <f>HYPERLINK("https://heavenlyouthouse.com/products/thymes-kimono-rose-petite-reed-diffuser", "https://heavenlyouthouse.com/products/thymes-kimono-rose-petite-reed-diffuser")</f>
        <v>https://heavenlyouthouse.com/products/thymes-kimono-rose-petite-reed-diffuser</v>
      </c>
      <c r="B841" s="3" t="str">
        <f>HYPERLINK("https://heavenlyouthouse.com/products/thymes-kimono-rose-petite-reed-diffuser", "https://heavenlyouthouse.com/products/thymes-kimono-rose-petite-reed-diffuser")</f>
        <v>https://heavenlyouthouse.com/products/thymes-kimono-rose-petite-reed-diffuser</v>
      </c>
      <c r="C841" t="s">
        <v>1506</v>
      </c>
      <c r="D841" t="s">
        <v>1821</v>
      </c>
      <c r="E841" s="3" t="str">
        <f>HYPERLINK("https://www.amazon.com/Thymes-Reed-Diffuser-Oil-Kimono/dp/B0B4T7B6NT/ref=sr_1_2?keywords=Thymes+Kimono+Rose+Petite+Reed+Diffuser&amp;qid=1695258758&amp;sr=8-2", "https://www.amazon.com/Thymes-Reed-Diffuser-Oil-Kimono/dp/B0B4T7B6NT/ref=sr_1_2?keywords=Thymes+Kimono+Rose+Petite+Reed+Diffuser&amp;qid=1695258758&amp;sr=8-2")</f>
        <v>https://www.amazon.com/Thymes-Reed-Diffuser-Oil-Kimono/dp/B0B4T7B6NT/ref=sr_1_2?keywords=Thymes+Kimono+Rose+Petite+Reed+Diffuser&amp;qid=1695258758&amp;sr=8-2</v>
      </c>
      <c r="F841" t="s">
        <v>1822</v>
      </c>
      <c r="G841" t="e">
        <f ca="1">IMAGE("https://heavenlyouthouse.com/cdn/shop/products/thymes-kimono-rose-reed-diffuser.jpg?v=1635206627")</f>
        <v>#NAME?</v>
      </c>
      <c r="H841" t="e">
        <f ca="1">IMAGE("https://m.media-amazon.com/images/I/51q+miGjejL._AC_UL320_.jpg")</f>
        <v>#NAME?</v>
      </c>
      <c r="I841" t="s">
        <v>1204</v>
      </c>
      <c r="J841">
        <v>34</v>
      </c>
      <c r="K841" s="2" t="s">
        <v>2024</v>
      </c>
      <c r="L841">
        <v>3.8</v>
      </c>
      <c r="M841">
        <v>4</v>
      </c>
      <c r="O841" t="s">
        <v>39</v>
      </c>
      <c r="P841" t="s">
        <v>39</v>
      </c>
      <c r="Q841" t="s">
        <v>1509</v>
      </c>
    </row>
    <row r="842" spans="1:17" ht="15.75" x14ac:dyDescent="0.25">
      <c r="A842" s="3" t="str">
        <f>HYPERLINK("https://heavenlyouthouse.com/products/thymes-frasier-fir-molded-pine-cone-candle", "https://heavenlyouthouse.com/products/thymes-frasier-fir-molded-pine-cone-candle")</f>
        <v>https://heavenlyouthouse.com/products/thymes-frasier-fir-molded-pine-cone-candle</v>
      </c>
      <c r="B842" s="3" t="str">
        <f>HYPERLINK("https://heavenlyouthouse.com/products/thymes-frasier-fir-molded-pine-cone-candle", "https://heavenlyouthouse.com/products/thymes-frasier-fir-molded-pine-cone-candle")</f>
        <v>https://heavenlyouthouse.com/products/thymes-frasier-fir-molded-pine-cone-candle</v>
      </c>
      <c r="C842" t="s">
        <v>1203</v>
      </c>
      <c r="D842" t="s">
        <v>1490</v>
      </c>
      <c r="E842" s="3" t="str">
        <f>HYPERLINK("https://www.amazon.com/Thymes-Frasier-Needle-Candle-50-Hour/dp/B00YPP2IY2/ref=sr_1_6?keywords=Thymes+Frasier+Fir+Molded+Pine+Cone+Candle&amp;qid=1695258731&amp;sr=8-6", "https://www.amazon.com/Thymes-Frasier-Needle-Candle-50-Hour/dp/B00YPP2IY2/ref=sr_1_6?keywords=Thymes+Frasier+Fir+Molded+Pine+Cone+Candle&amp;qid=1695258731&amp;sr=8-6")</f>
        <v>https://www.amazon.com/Thymes-Frasier-Needle-Candle-50-Hour/dp/B00YPP2IY2/ref=sr_1_6?keywords=Thymes+Frasier+Fir+Molded+Pine+Cone+Candle&amp;qid=1695258731&amp;sr=8-6</v>
      </c>
      <c r="F842" t="s">
        <v>1491</v>
      </c>
      <c r="G842" t="e">
        <f ca="1">IMAGE("https://heavenlyouthouse.com/cdn/shop/products/Thymes-frasier-fir-pinecone-candle.jpg?v=1662139253")</f>
        <v>#NAME?</v>
      </c>
      <c r="H842" t="e">
        <f ca="1">IMAGE("https://m.media-amazon.com/images/I/71BnsE4smrL._AC_UL320_.jpg")</f>
        <v>#NAME?</v>
      </c>
      <c r="I842" t="s">
        <v>1204</v>
      </c>
      <c r="J842">
        <v>34</v>
      </c>
      <c r="K842" s="2" t="s">
        <v>2024</v>
      </c>
      <c r="L842">
        <v>4.7</v>
      </c>
      <c r="M842">
        <v>322</v>
      </c>
      <c r="O842" t="s">
        <v>39</v>
      </c>
      <c r="P842" t="s">
        <v>39</v>
      </c>
      <c r="Q842" t="s">
        <v>1205</v>
      </c>
    </row>
    <row r="843" spans="1:17" ht="15.75" x14ac:dyDescent="0.25">
      <c r="A843" s="3" t="str">
        <f>HYPERLINK("https://heavenlyouthouse.com/products/frasier-fir-petite-green-reed-diffuser", "https://heavenlyouthouse.com/products/frasier-fir-petite-green-reed-diffuser")</f>
        <v>https://heavenlyouthouse.com/products/frasier-fir-petite-green-reed-diffuser</v>
      </c>
      <c r="B843" s="3" t="str">
        <f>HYPERLINK("https://heavenlyouthouse.com/products/frasier-fir-petite-green-reed-diffuser", "https://heavenlyouthouse.com/products/frasier-fir-petite-green-reed-diffuser")</f>
        <v>https://heavenlyouthouse.com/products/frasier-fir-petite-green-reed-diffuser</v>
      </c>
      <c r="C843" t="s">
        <v>1742</v>
      </c>
      <c r="D843" t="s">
        <v>252</v>
      </c>
      <c r="E843" s="3" t="str">
        <f>HYPERLINK("https://www.amazon.com/Thymes-Frasier-Diffuser-Refill-Ounces/dp/B001AH8CL6/ref=sr_1_4?keywords=Thymes+Frasier+Fir+Petite+Green+Reed+Diffuser&amp;qid=1695258739&amp;sr=8-4", "https://www.amazon.com/Thymes-Frasier-Diffuser-Refill-Ounces/dp/B001AH8CL6/ref=sr_1_4?keywords=Thymes+Frasier+Fir+Petite+Green+Reed+Diffuser&amp;qid=1695258739&amp;sr=8-4")</f>
        <v>https://www.amazon.com/Thymes-Frasier-Diffuser-Refill-Ounces/dp/B001AH8CL6/ref=sr_1_4?keywords=Thymes+Frasier+Fir+Petite+Green+Reed+Diffuser&amp;qid=1695258739&amp;sr=8-4</v>
      </c>
      <c r="F843" t="s">
        <v>253</v>
      </c>
      <c r="G843" t="e">
        <f ca="1">IMAGE("https://heavenlyouthouse.com/cdn/shop/products/thymesfrasierfirgreenpetitereeddiffuser.jpg?v=1606749350")</f>
        <v>#NAME?</v>
      </c>
      <c r="H843" t="e">
        <f ca="1">IMAGE("https://m.media-amazon.com/images/I/51MG8nOHQnL._AC_UL320_.jpg")</f>
        <v>#NAME?</v>
      </c>
      <c r="I843" t="s">
        <v>1743</v>
      </c>
      <c r="J843">
        <v>35</v>
      </c>
      <c r="K843" s="2" t="s">
        <v>2039</v>
      </c>
      <c r="L843">
        <v>4.7</v>
      </c>
      <c r="M843">
        <v>2687</v>
      </c>
      <c r="O843" t="s">
        <v>39</v>
      </c>
      <c r="P843" t="s">
        <v>39</v>
      </c>
      <c r="Q843" t="s">
        <v>1744</v>
      </c>
    </row>
    <row r="844" spans="1:17" ht="15.75" x14ac:dyDescent="0.25">
      <c r="A844" s="3" t="str">
        <f>HYPERLINK("https://heavenlyouthouse.com/products/spa-day-happy-mothers-day-card", "https://heavenlyouthouse.com/products/spa-day-happy-mothers-day-card")</f>
        <v>https://heavenlyouthouse.com/products/spa-day-happy-mothers-day-card</v>
      </c>
      <c r="B844" s="3" t="str">
        <f>HYPERLINK("https://heavenlyouthouse.com/products/spa-day-happy-mothers-day-card", "https://heavenlyouthouse.com/products/spa-day-happy-mothers-day-card")</f>
        <v>https://heavenlyouthouse.com/products/spa-day-happy-mothers-day-card</v>
      </c>
      <c r="C844" t="s">
        <v>522</v>
      </c>
      <c r="D844" t="s">
        <v>2040</v>
      </c>
      <c r="E844" s="3" t="str">
        <f>HYPERLINK("https://www.amazon.com/Creawoo-Daughter-Birthday-Greeting-Envelope/dp/B0BX3SM7ST/ref=sr_1_8?keywords=Spa+Day+Happy+Mother%27s+Day+Card&amp;qid=1695258697&amp;sr=8-8", "https://www.amazon.com/Creawoo-Daughter-Birthday-Greeting-Envelope/dp/B0BX3SM7ST/ref=sr_1_8?keywords=Spa+Day+Happy+Mother%27s+Day+Card&amp;qid=1695258697&amp;sr=8-8")</f>
        <v>https://www.amazon.com/Creawoo-Daughter-Birthday-Greeting-Envelope/dp/B0BX3SM7ST/ref=sr_1_8?keywords=Spa+Day+Happy+Mother%27s+Day+Card&amp;qid=1695258697&amp;sr=8-8</v>
      </c>
      <c r="F844" t="s">
        <v>2041</v>
      </c>
      <c r="G844" t="e">
        <f ca="1">IMAGE("https://heavenlyouthouse.com/cdn/shop/products/601606_default_large_11017f71-8c01-41a1-843b-a160c6063f44.jpg?v=1636926438")</f>
        <v>#NAME?</v>
      </c>
      <c r="H844" t="e">
        <f ca="1">IMAGE("https://m.media-amazon.com/images/I/71EpZ+pANoL._AC_UL320_.jpg")</f>
        <v>#NAME?</v>
      </c>
      <c r="I844" t="s">
        <v>92</v>
      </c>
      <c r="J844">
        <v>4.49</v>
      </c>
      <c r="K844" s="2" t="s">
        <v>2039</v>
      </c>
      <c r="L844">
        <v>4.8</v>
      </c>
      <c r="M844">
        <v>739</v>
      </c>
      <c r="O844" t="s">
        <v>39</v>
      </c>
      <c r="P844" t="s">
        <v>39</v>
      </c>
      <c r="Q844" t="s">
        <v>525</v>
      </c>
    </row>
    <row r="845" spans="1:17" ht="15.75" x14ac:dyDescent="0.25">
      <c r="A845" s="3" t="str">
        <f>HYPERLINK("https://heavenlyouthouse.com/products/thymes-olive-leaf-cologne", "https://heavenlyouthouse.com/products/thymes-olive-leaf-cologne")</f>
        <v>https://heavenlyouthouse.com/products/thymes-olive-leaf-cologne</v>
      </c>
      <c r="B845" s="3" t="str">
        <f>HYPERLINK("https://heavenlyouthouse.com/products/thymes-olive-leaf-cologne", "https://heavenlyouthouse.com/products/thymes-olive-leaf-cologne")</f>
        <v>https://heavenlyouthouse.com/products/thymes-olive-leaf-cologne</v>
      </c>
      <c r="C845" t="s">
        <v>1973</v>
      </c>
      <c r="D845" t="s">
        <v>727</v>
      </c>
      <c r="E845" s="3" t="str">
        <f>HYPERLINK("https://www.amazon.com/Thymes-Petite-Perfumed-Cr%C3%A8me-Parent/dp/B073Z3VMFX/ref=sr_1_5?keywords=Thymes+Olive+Leaf+Cologne&amp;qid=1695258786&amp;sr=8-5", "https://www.amazon.com/Thymes-Petite-Perfumed-Cr%C3%A8me-Parent/dp/B073Z3VMFX/ref=sr_1_5?keywords=Thymes+Olive+Leaf+Cologne&amp;qid=1695258786&amp;sr=8-5")</f>
        <v>https://www.amazon.com/Thymes-Petite-Perfumed-Cr%C3%A8me-Parent/dp/B073Z3VMFX/ref=sr_1_5?keywords=Thymes+Olive+Leaf+Cologne&amp;qid=1695258786&amp;sr=8-5</v>
      </c>
      <c r="F845" t="s">
        <v>728</v>
      </c>
      <c r="G845" t="e">
        <f ca="1">IMAGE("https://heavenlyouthouse.com/cdn/shop/products/Olive-Leaf-Cologne-0540323000.jpg?v=1633124560")</f>
        <v>#NAME?</v>
      </c>
      <c r="H845" t="e">
        <f ca="1">IMAGE("https://m.media-amazon.com/images/I/71C0-WYNaSL._AC_UL320_.jpg")</f>
        <v>#NAME?</v>
      </c>
      <c r="I845" t="s">
        <v>336</v>
      </c>
      <c r="J845">
        <v>28</v>
      </c>
      <c r="K845" s="2" t="s">
        <v>2039</v>
      </c>
      <c r="L845">
        <v>4.5999999999999996</v>
      </c>
      <c r="M845">
        <v>2417</v>
      </c>
      <c r="O845" t="s">
        <v>39</v>
      </c>
      <c r="P845" t="s">
        <v>1204</v>
      </c>
      <c r="Q845" t="s">
        <v>1974</v>
      </c>
    </row>
    <row r="846" spans="1:17" ht="15.75" x14ac:dyDescent="0.25">
      <c r="A846" s="3" t="str">
        <f>HYPERLINK("https://heavenlyouthouse.com/products/truck-tooth-fairy-pillow-set?variant=40588641894489", "https://heavenlyouthouse.com/products/truck-tooth-fairy-pillow-set?variant=40588641894489")</f>
        <v>https://heavenlyouthouse.com/products/truck-tooth-fairy-pillow-set?variant=40588641894489</v>
      </c>
      <c r="B846" s="3" t="str">
        <f>HYPERLINK("https://heavenlyouthouse.com/products/truck-tooth-fairy-pillow-set", "https://heavenlyouthouse.com/products/truck-tooth-fairy-pillow-set")</f>
        <v>https://heavenlyouthouse.com/products/truck-tooth-fairy-pillow-set</v>
      </c>
      <c r="C846" t="s">
        <v>1928</v>
      </c>
      <c r="D846" t="s">
        <v>2042</v>
      </c>
      <c r="E846" s="3" t="str">
        <f>HYPERLINK("https://www.amazon.com/personalized-tooth-pillow-monster-included/dp/B07XC9CVV7/ref=sr_1_9?keywords=Truck+Tooth+Fairy+Pillow+Set&amp;qid=1695258797&amp;sr=8-9", "https://www.amazon.com/personalized-tooth-pillow-monster-included/dp/B07XC9CVV7/ref=sr_1_9?keywords=Truck+Tooth+Fairy+Pillow+Set&amp;qid=1695258797&amp;sr=8-9")</f>
        <v>https://www.amazon.com/personalized-tooth-pillow-monster-included/dp/B07XC9CVV7/ref=sr_1_9?keywords=Truck+Tooth+Fairy+Pillow+Set&amp;qid=1695258797&amp;sr=8-9</v>
      </c>
      <c r="F846" t="s">
        <v>2043</v>
      </c>
      <c r="G846" t="e">
        <f ca="1">IMAGE("https://heavenlyouthouse.com/cdn/shop/files/TF1008_700x_79e9abbd-3b8d-4144-b3e9-abc54712a488_300x300.webp?v=1694458346")</f>
        <v>#NAME?</v>
      </c>
      <c r="H846" t="e">
        <f ca="1">IMAGE("https://m.media-amazon.com/images/I/516aOjlVxlL._AC_UL320_.jpg")</f>
        <v>#NAME?</v>
      </c>
      <c r="I846" t="s">
        <v>336</v>
      </c>
      <c r="J846">
        <v>27.95</v>
      </c>
      <c r="K846" s="2" t="s">
        <v>2039</v>
      </c>
      <c r="L846">
        <v>5</v>
      </c>
      <c r="M846">
        <v>1</v>
      </c>
      <c r="O846" t="s">
        <v>136</v>
      </c>
      <c r="P846" t="s">
        <v>1931</v>
      </c>
      <c r="Q846" t="s">
        <v>1932</v>
      </c>
    </row>
    <row r="847" spans="1:17" ht="15.75" x14ac:dyDescent="0.25">
      <c r="A847" s="3" t="str">
        <f>HYPERLINK("https://heavenlyouthouse.com/products/vanilla-coconut-foaming-wash", "https://heavenlyouthouse.com/products/vanilla-coconut-foaming-wash")</f>
        <v>https://heavenlyouthouse.com/products/vanilla-coconut-foaming-wash</v>
      </c>
      <c r="B847" s="3" t="str">
        <f>HYPERLINK("https://heavenlyouthouse.com/products/vanilla-coconut-foaming-wash", "https://heavenlyouthouse.com/products/vanilla-coconut-foaming-wash")</f>
        <v>https://heavenlyouthouse.com/products/vanilla-coconut-foaming-wash</v>
      </c>
      <c r="C847" t="s">
        <v>390</v>
      </c>
      <c r="D847" t="s">
        <v>2044</v>
      </c>
      <c r="E847" s="3" t="str">
        <f>HYPERLINK("https://www.amazon.com/Deep-Steep-Body-Vanilla-Coconut/dp/B0BK2TPM2H/ref=sr_1_2?keywords=Vanilla+Coconut+Foaming+Wash&amp;qid=1695258837&amp;sr=8-2", "https://www.amazon.com/Deep-Steep-Body-Vanilla-Coconut/dp/B0BK2TPM2H/ref=sr_1_2?keywords=Vanilla+Coconut+Foaming+Wash&amp;qid=1695258837&amp;sr=8-2")</f>
        <v>https://www.amazon.com/Deep-Steep-Body-Vanilla-Coconut/dp/B0BK2TPM2H/ref=sr_1_2?keywords=Vanilla+Coconut+Foaming+Wash&amp;qid=1695258837&amp;sr=8-2</v>
      </c>
      <c r="F847" t="s">
        <v>2045</v>
      </c>
      <c r="G847" t="e">
        <f ca="1">IMAGE("https://heavenlyouthouse.com/cdn/shop/products/vanilla-coconut-foaming-wash_2000x_7648654b-2503-4219-a1cd-2f8e8ea738eb.jpg?v=1586812094")</f>
        <v>#NAME?</v>
      </c>
      <c r="H847" t="e">
        <f ca="1">IMAGE("https://m.media-amazon.com/images/I/61Xgz466jjL._AC_UL320_.jpg")</f>
        <v>#NAME?</v>
      </c>
      <c r="I847" t="s">
        <v>233</v>
      </c>
      <c r="J847">
        <v>8.9499999999999993</v>
      </c>
      <c r="K847" s="2" t="s">
        <v>2039</v>
      </c>
      <c r="L847">
        <v>3.8</v>
      </c>
      <c r="M847">
        <v>32</v>
      </c>
      <c r="O847" t="s">
        <v>39</v>
      </c>
      <c r="P847" t="s">
        <v>394</v>
      </c>
      <c r="Q847" t="s">
        <v>395</v>
      </c>
    </row>
    <row r="848" spans="1:17" ht="15.75" x14ac:dyDescent="0.25">
      <c r="A848" s="3" t="str">
        <f>HYPERLINK("https://heavenlyouthouse.com/products/rosemary-mint-foaming-wash", "https://heavenlyouthouse.com/products/rosemary-mint-foaming-wash")</f>
        <v>https://heavenlyouthouse.com/products/rosemary-mint-foaming-wash</v>
      </c>
      <c r="B848" s="3" t="str">
        <f>HYPERLINK("https://heavenlyouthouse.com/products/rosemary-mint-foaming-wash", "https://heavenlyouthouse.com/products/rosemary-mint-foaming-wash")</f>
        <v>https://heavenlyouthouse.com/products/rosemary-mint-foaming-wash</v>
      </c>
      <c r="C848" t="s">
        <v>1007</v>
      </c>
      <c r="D848" t="s">
        <v>2046</v>
      </c>
      <c r="E848" s="3" t="str">
        <f>HYPERLINK("https://www.amazon.com/Deep-Steep-Body-Wash-Rosemary/dp/B0BK2RD5SC/ref=sr_1_5?keywords=Rosemary+Mint+Foaming+Wash&amp;qid=1695258700&amp;sr=8-5", "https://www.amazon.com/Deep-Steep-Body-Wash-Rosemary/dp/B0BK2RD5SC/ref=sr_1_5?keywords=Rosemary+Mint+Foaming+Wash&amp;qid=1695258700&amp;sr=8-5")</f>
        <v>https://www.amazon.com/Deep-Steep-Body-Wash-Rosemary/dp/B0BK2RD5SC/ref=sr_1_5?keywords=Rosemary+Mint+Foaming+Wash&amp;qid=1695258700&amp;sr=8-5</v>
      </c>
      <c r="F848" t="s">
        <v>2047</v>
      </c>
      <c r="G848" t="e">
        <f ca="1">IMAGE("https://heavenlyouthouse.com/cdn/shop/products/RosemaryMint-foaming-wash.webp?v=1681505497")</f>
        <v>#NAME?</v>
      </c>
      <c r="H848" t="e">
        <f ca="1">IMAGE("https://m.media-amazon.com/images/I/61vHuVcXtrL._AC_UL320_.jpg")</f>
        <v>#NAME?</v>
      </c>
      <c r="I848" t="s">
        <v>233</v>
      </c>
      <c r="J848">
        <v>8.9499999999999993</v>
      </c>
      <c r="K848" s="2" t="s">
        <v>2039</v>
      </c>
      <c r="L848">
        <v>3.8</v>
      </c>
      <c r="M848">
        <v>32</v>
      </c>
      <c r="O848" t="s">
        <v>39</v>
      </c>
      <c r="P848" t="s">
        <v>394</v>
      </c>
      <c r="Q848" t="s">
        <v>1010</v>
      </c>
    </row>
    <row r="849" spans="1:17" ht="15.75" x14ac:dyDescent="0.25">
      <c r="A849" s="3" t="str">
        <f>HYPERLINK("https://heavenlyouthouse.com/products/thank-you-hand-rescue", "https://heavenlyouthouse.com/products/thank-you-hand-rescue")</f>
        <v>https://heavenlyouthouse.com/products/thank-you-hand-rescue</v>
      </c>
      <c r="B849" s="3" t="str">
        <f>HYPERLINK("https://heavenlyouthouse.com/products/thank-you-hand-rescue", "https://heavenlyouthouse.com/products/thank-you-hand-rescue")</f>
        <v>https://heavenlyouthouse.com/products/thank-you-hand-rescue</v>
      </c>
      <c r="C849" t="s">
        <v>1019</v>
      </c>
      <c r="D849" t="s">
        <v>2048</v>
      </c>
      <c r="E849" s="3" t="str">
        <f>HYPERLINK("https://www.amazon.com/Firefighter-Stickers-Birthday-Party-Decorations/dp/B07W7D8S78/ref=sr_1_3?keywords=Thank+You+Hand+Rescue&amp;qid=1695258716&amp;sr=8-3", "https://www.amazon.com/Firefighter-Stickers-Birthday-Party-Decorations/dp/B07W7D8S78/ref=sr_1_3?keywords=Thank+You+Hand+Rescue&amp;qid=1695258716&amp;sr=8-3")</f>
        <v>https://www.amazon.com/Firefighter-Stickers-Birthday-Party-Decorations/dp/B07W7D8S78/ref=sr_1_3?keywords=Thank+You+Hand+Rescue&amp;qid=1695258716&amp;sr=8-3</v>
      </c>
      <c r="F849" t="s">
        <v>2049</v>
      </c>
      <c r="G849" t="e">
        <f ca="1">IMAGE("https://heavenlyouthouse.com/cdn/shop/products/HCTHANK.jpg?v=1587779637")</f>
        <v>#NAME?</v>
      </c>
      <c r="H849" t="e">
        <f ca="1">IMAGE("https://m.media-amazon.com/images/I/7128e552PuL._AC_UL320_.jpg")</f>
        <v>#NAME?</v>
      </c>
      <c r="I849" t="s">
        <v>439</v>
      </c>
      <c r="J849">
        <v>9.99</v>
      </c>
      <c r="K849" s="2" t="s">
        <v>2039</v>
      </c>
      <c r="L849">
        <v>3.8</v>
      </c>
      <c r="M849">
        <v>6</v>
      </c>
      <c r="O849" t="s">
        <v>39</v>
      </c>
      <c r="P849" t="s">
        <v>1022</v>
      </c>
      <c r="Q849" t="s">
        <v>1023</v>
      </c>
    </row>
    <row r="850" spans="1:17" ht="15.75" x14ac:dyDescent="0.25">
      <c r="A850" s="3" t="str">
        <f>HYPERLINK("https://heavenlyouthouse.com/products/thymes-frasier-fir-petite-gold-reed-diffuser", "https://heavenlyouthouse.com/products/thymes-frasier-fir-petite-gold-reed-diffuser")</f>
        <v>https://heavenlyouthouse.com/products/thymes-frasier-fir-petite-gold-reed-diffuser</v>
      </c>
      <c r="B850" s="3" t="str">
        <f>HYPERLINK("https://heavenlyouthouse.com/products/thymes-frasier-fir-petite-gold-reed-diffuser", "https://heavenlyouthouse.com/products/thymes-frasier-fir-petite-gold-reed-diffuser")</f>
        <v>https://heavenlyouthouse.com/products/thymes-frasier-fir-petite-gold-reed-diffuser</v>
      </c>
      <c r="C850" t="s">
        <v>1771</v>
      </c>
      <c r="D850" t="s">
        <v>252</v>
      </c>
      <c r="E850" s="3" t="str">
        <f>HYPERLINK("https://www.amazon.com/Thymes-Frasier-Diffuser-Refill-Ounces/dp/B001AH8CL6/ref=sr_1_3?keywords=Thymes+Frasier+Fir+Petite+Gold+Reed+Diffuser&amp;qid=1695258740&amp;sr=8-3", "https://www.amazon.com/Thymes-Frasier-Diffuser-Refill-Ounces/dp/B001AH8CL6/ref=sr_1_3?keywords=Thymes+Frasier+Fir+Petite+Gold+Reed+Diffuser&amp;qid=1695258740&amp;sr=8-3")</f>
        <v>https://www.amazon.com/Thymes-Frasier-Diffuser-Refill-Ounces/dp/B001AH8CL6/ref=sr_1_3?keywords=Thymes+Frasier+Fir+Petite+Gold+Reed+Diffuser&amp;qid=1695258740&amp;sr=8-3</v>
      </c>
      <c r="F850" t="s">
        <v>253</v>
      </c>
      <c r="G850" t="e">
        <f ca="1">IMAGE("https://heavenlyouthouse.com/cdn/shop/products/Frasier-Fir-petite-gold-diffuser.jpg?v=1660770143")</f>
        <v>#NAME?</v>
      </c>
      <c r="H850" t="e">
        <f ca="1">IMAGE("https://m.media-amazon.com/images/I/51MG8nOHQnL._AC_UL320_.jpg")</f>
        <v>#NAME?</v>
      </c>
      <c r="I850" t="s">
        <v>959</v>
      </c>
      <c r="J850">
        <v>35</v>
      </c>
      <c r="K850" s="2" t="s">
        <v>2039</v>
      </c>
      <c r="L850">
        <v>4.7</v>
      </c>
      <c r="M850">
        <v>2687</v>
      </c>
      <c r="O850" t="s">
        <v>39</v>
      </c>
      <c r="P850" t="s">
        <v>39</v>
      </c>
      <c r="Q850" t="s">
        <v>1774</v>
      </c>
    </row>
    <row r="851" spans="1:17" ht="15.75" x14ac:dyDescent="0.25">
      <c r="A851" s="3" t="str">
        <f>HYPERLINK("https://heavenlyouthouse.com/products/thymes-frasier-fir-gilded-gold-pine-needle-candle", "https://heavenlyouthouse.com/products/thymes-frasier-fir-gilded-gold-pine-needle-candle")</f>
        <v>https://heavenlyouthouse.com/products/thymes-frasier-fir-gilded-gold-pine-needle-candle</v>
      </c>
      <c r="B851" s="3" t="str">
        <f>HYPERLINK("https://heavenlyouthouse.com/products/thymes-frasier-fir-gilded-gold-pine-needle-candle", "https://heavenlyouthouse.com/products/thymes-frasier-fir-gilded-gold-pine-needle-candle")</f>
        <v>https://heavenlyouthouse.com/products/thymes-frasier-fir-gilded-gold-pine-needle-candle</v>
      </c>
      <c r="C851" t="s">
        <v>972</v>
      </c>
      <c r="D851" t="s">
        <v>2050</v>
      </c>
      <c r="E851" s="3" t="str">
        <f>HYPERLINK("https://www.amazon.com/Thymes-Frasier-Green-Needle-Candle/dp/B07Q2CG3J2/ref=sr_1_9?keywords=Thymes+Frasier+Fir+Gilded+Gold+Pine+Needle+Candle&amp;qid=1695258732&amp;sr=8-9", "https://www.amazon.com/Thymes-Frasier-Green-Needle-Candle/dp/B07Q2CG3J2/ref=sr_1_9?keywords=Thymes+Frasier+Fir+Gilded+Gold+Pine+Needle+Candle&amp;qid=1695258732&amp;sr=8-9")</f>
        <v>https://www.amazon.com/Thymes-Frasier-Green-Needle-Candle/dp/B07Q2CG3J2/ref=sr_1_9?keywords=Thymes+Frasier+Fir+Gilded+Gold+Pine+Needle+Candle&amp;qid=1695258732&amp;sr=8-9</v>
      </c>
      <c r="F851" t="s">
        <v>2051</v>
      </c>
      <c r="G851" t="e">
        <f ca="1">IMAGE("https://heavenlyouthouse.com/cdn/shop/files/thymes-frasier-fir-gilded-pine-needle-gold-candle_300x300.jpg?v=1692209396")</f>
        <v>#NAME?</v>
      </c>
      <c r="H851" t="e">
        <f ca="1">IMAGE("https://m.media-amazon.com/images/I/51nJxgYWH5L._AC_UL320_.jpg")</f>
        <v>#NAME?</v>
      </c>
      <c r="I851" t="s">
        <v>973</v>
      </c>
      <c r="J851">
        <v>28.87</v>
      </c>
      <c r="K851" s="2" t="s">
        <v>2039</v>
      </c>
      <c r="L851">
        <v>5</v>
      </c>
      <c r="M851">
        <v>1</v>
      </c>
      <c r="O851" t="s">
        <v>39</v>
      </c>
      <c r="P851" t="s">
        <v>974</v>
      </c>
      <c r="Q851" t="s">
        <v>975</v>
      </c>
    </row>
    <row r="852" spans="1:17" ht="15.75" x14ac:dyDescent="0.25">
      <c r="A852" s="3" t="str">
        <f>HYPERLINK("https://heavenlyouthouse.com/products/thymes-olive-leaf-hand-cream", "https://heavenlyouthouse.com/products/thymes-olive-leaf-hand-cream")</f>
        <v>https://heavenlyouthouse.com/products/thymes-olive-leaf-hand-cream</v>
      </c>
      <c r="B852" s="3" t="str">
        <f>HYPERLINK("https://heavenlyouthouse.com/products/thymes-olive-leaf-hand-cream", "https://heavenlyouthouse.com/products/thymes-olive-leaf-hand-cream")</f>
        <v>https://heavenlyouthouse.com/products/thymes-olive-leaf-hand-cream</v>
      </c>
      <c r="C852" t="s">
        <v>862</v>
      </c>
      <c r="D852" t="s">
        <v>1354</v>
      </c>
      <c r="E852" s="3" t="str">
        <f>HYPERLINK("https://www.amazon.com/Thymes-Olive-Hydrating-Liquid-Natural/dp/B002WJHL54/ref=sr_1_5?keywords=Thymes+Olive+Leaf+Hand+Cream&amp;qid=1695258780&amp;sr=8-5", "https://www.amazon.com/Thymes-Olive-Hydrating-Liquid-Natural/dp/B002WJHL54/ref=sr_1_5?keywords=Thymes+Olive+Leaf+Hand+Cream&amp;qid=1695258780&amp;sr=8-5")</f>
        <v>https://www.amazon.com/Thymes-Olive-Hydrating-Liquid-Natural/dp/B002WJHL54/ref=sr_1_5?keywords=Thymes+Olive+Leaf+Hand+Cream&amp;qid=1695258780&amp;sr=8-5</v>
      </c>
      <c r="F852" t="s">
        <v>1355</v>
      </c>
      <c r="G852" t="e">
        <f ca="1">IMAGE("https://heavenlyouthouse.com/cdn/shop/products/Olive-Leaf-Hand-Creme.jpg?v=1633124430")</f>
        <v>#NAME?</v>
      </c>
      <c r="H852" t="e">
        <f ca="1">IMAGE("https://m.media-amazon.com/images/I/6119Dw7kcOL._AC_UL320_.jpg")</f>
        <v>#NAME?</v>
      </c>
      <c r="I852" t="s">
        <v>385</v>
      </c>
      <c r="J852">
        <v>16</v>
      </c>
      <c r="K852" s="2" t="s">
        <v>2052</v>
      </c>
      <c r="L852">
        <v>4.5999999999999996</v>
      </c>
      <c r="M852">
        <v>3441</v>
      </c>
      <c r="O852" t="s">
        <v>39</v>
      </c>
      <c r="P852" t="s">
        <v>863</v>
      </c>
      <c r="Q852" t="s">
        <v>864</v>
      </c>
    </row>
    <row r="853" spans="1:17" ht="15.75" x14ac:dyDescent="0.25">
      <c r="A853" s="3" t="str">
        <f>HYPERLINK("https://heavenlyouthouse.com/products/goldleaf-hand-creme", "https://heavenlyouthouse.com/products/goldleaf-hand-creme")</f>
        <v>https://heavenlyouthouse.com/products/goldleaf-hand-creme</v>
      </c>
      <c r="B853" s="3" t="str">
        <f>HYPERLINK("https://heavenlyouthouse.com/products/goldleaf-hand-creme", "https://heavenlyouthouse.com/products/goldleaf-hand-creme")</f>
        <v>https://heavenlyouthouse.com/products/goldleaf-hand-creme</v>
      </c>
      <c r="C853" t="s">
        <v>816</v>
      </c>
      <c r="D853" t="s">
        <v>1529</v>
      </c>
      <c r="E853" s="3" t="str">
        <f>HYPERLINK("https://www.amazon.com/Thymes-Goldleaf-Moisturizing-Vitamin-Elegant/dp/B07415CBKY/ref=sr_1_3?keywords=thymes+goldleaf+hand+cream&amp;qid=1695258754&amp;sr=8-3", "https://www.amazon.com/Thymes-Goldleaf-Moisturizing-Vitamin-Elegant/dp/B07415CBKY/ref=sr_1_3?keywords=thymes+goldleaf+hand+cream&amp;qid=1695258754&amp;sr=8-3")</f>
        <v>https://www.amazon.com/Thymes-Goldleaf-Moisturizing-Vitamin-Elegant/dp/B07415CBKY/ref=sr_1_3?keywords=thymes+goldleaf+hand+cream&amp;qid=1695258754&amp;sr=8-3</v>
      </c>
      <c r="F853" t="s">
        <v>1530</v>
      </c>
      <c r="G853" t="e">
        <f ca="1">IMAGE("https://heavenlyouthouse.com/cdn/shop/products/handcream90ml.jpg?v=1587764262")</f>
        <v>#NAME?</v>
      </c>
      <c r="H853" t="e">
        <f ca="1">IMAGE("https://m.media-amazon.com/images/I/51SUfEQv9GL._AC_UL320_.jpg")</f>
        <v>#NAME?</v>
      </c>
      <c r="I853" t="s">
        <v>385</v>
      </c>
      <c r="J853">
        <v>16</v>
      </c>
      <c r="K853" s="2" t="s">
        <v>2052</v>
      </c>
      <c r="L853">
        <v>4.5999999999999996</v>
      </c>
      <c r="M853">
        <v>2575</v>
      </c>
      <c r="O853" t="s">
        <v>39</v>
      </c>
      <c r="P853" t="s">
        <v>818</v>
      </c>
      <c r="Q853" t="s">
        <v>819</v>
      </c>
    </row>
    <row r="854" spans="1:17" ht="15.75" x14ac:dyDescent="0.25">
      <c r="A854" s="3" t="str">
        <f>HYPERLINK("https://heavenlyouthouse.com/products/eucalyptus-hand-creme", "https://heavenlyouthouse.com/products/eucalyptus-hand-creme")</f>
        <v>https://heavenlyouthouse.com/products/eucalyptus-hand-creme</v>
      </c>
      <c r="B854" s="3" t="str">
        <f>HYPERLINK("https://heavenlyouthouse.com/products/eucalyptus-hand-creme", "https://heavenlyouthouse.com/products/eucalyptus-hand-creme")</f>
        <v>https://heavenlyouthouse.com/products/eucalyptus-hand-creme</v>
      </c>
      <c r="C854" t="s">
        <v>865</v>
      </c>
      <c r="D854" t="s">
        <v>1344</v>
      </c>
      <c r="E854" s="3" t="str">
        <f>HYPERLINK("https://www.amazon.com/Thymes-Eucalyptus-Hydrating-Liquid-Soothing/dp/B002WJHL3Q/ref=sr_1_5?keywords=thymes+eucalyptus+hand+cream&amp;qid=1695258718&amp;sr=8-5", "https://www.amazon.com/Thymes-Eucalyptus-Hydrating-Liquid-Soothing/dp/B002WJHL3Q/ref=sr_1_5?keywords=thymes+eucalyptus+hand+cream&amp;qid=1695258718&amp;sr=8-5")</f>
        <v>https://www.amazon.com/Thymes-Eucalyptus-Hydrating-Liquid-Soothing/dp/B002WJHL3Q/ref=sr_1_5?keywords=thymes+eucalyptus+hand+cream&amp;qid=1695258718&amp;sr=8-5</v>
      </c>
      <c r="F854" t="s">
        <v>1345</v>
      </c>
      <c r="G854" t="e">
        <f ca="1">IMAGE("https://heavenlyouthouse.com/cdn/shop/products/hancreme.jpg?v=1588104623")</f>
        <v>#NAME?</v>
      </c>
      <c r="H854" t="e">
        <f ca="1">IMAGE("https://m.media-amazon.com/images/I/51qrovuTigL._AC_UL320_.jpg")</f>
        <v>#NAME?</v>
      </c>
      <c r="I854" t="s">
        <v>385</v>
      </c>
      <c r="J854">
        <v>16</v>
      </c>
      <c r="K854" s="2" t="s">
        <v>2052</v>
      </c>
      <c r="L854">
        <v>4.5999999999999996</v>
      </c>
      <c r="M854">
        <v>3441</v>
      </c>
      <c r="O854" t="s">
        <v>39</v>
      </c>
      <c r="P854" t="s">
        <v>39</v>
      </c>
      <c r="Q854" t="s">
        <v>866</v>
      </c>
    </row>
    <row r="855" spans="1:17" ht="15.75" x14ac:dyDescent="0.25">
      <c r="A855" s="3" t="str">
        <f>HYPERLINK("https://heavenlyouthouse.com/products/frasier-fir-aroma-refresher-oil", "https://heavenlyouthouse.com/products/frasier-fir-aroma-refresher-oil")</f>
        <v>https://heavenlyouthouse.com/products/frasier-fir-aroma-refresher-oil</v>
      </c>
      <c r="B855" s="3" t="str">
        <f>HYPERLINK("https://heavenlyouthouse.com/products/frasier-fir-aroma-refresher-oil", "https://heavenlyouthouse.com/products/frasier-fir-aroma-refresher-oil")</f>
        <v>https://heavenlyouthouse.com/products/frasier-fir-aroma-refresher-oil</v>
      </c>
      <c r="C855" t="s">
        <v>1611</v>
      </c>
      <c r="D855" t="s">
        <v>1357</v>
      </c>
      <c r="E855" s="3" t="str">
        <f>HYPERLINK("https://www.amazon.com/Thymes-Diffuser-Oil-0-25-Frasier/dp/B08CVRZJQZ/ref=sr_1_6?keywords=Thymes+Frasier+Fir+Aroma+Refresher+Oil&amp;qid=1695258730&amp;sr=8-6", "https://www.amazon.com/Thymes-Diffuser-Oil-0-25-Frasier/dp/B08CVRZJQZ/ref=sr_1_6?keywords=Thymes+Frasier+Fir+Aroma+Refresher+Oil&amp;qid=1695258730&amp;sr=8-6")</f>
        <v>https://www.amazon.com/Thymes-Diffuser-Oil-0-25-Frasier/dp/B08CVRZJQZ/ref=sr_1_6?keywords=Thymes+Frasier+Fir+Aroma+Refresher+Oil&amp;qid=1695258730&amp;sr=8-6</v>
      </c>
      <c r="F855" t="s">
        <v>1358</v>
      </c>
      <c r="G855" t="e">
        <f ca="1">IMAGE("https://heavenlyouthouse.com/cdn/shop/products/frasierfirrefresheroil.jpg?v=1603998314")</f>
        <v>#NAME?</v>
      </c>
      <c r="H855" t="e">
        <f ca="1">IMAGE("https://m.media-amazon.com/images/I/61rg4AuJDaL._AC_UL320_.jpg")</f>
        <v>#NAME?</v>
      </c>
      <c r="I855" t="s">
        <v>385</v>
      </c>
      <c r="J855">
        <v>16</v>
      </c>
      <c r="K855" s="2" t="s">
        <v>2052</v>
      </c>
      <c r="L855">
        <v>4.3</v>
      </c>
      <c r="M855">
        <v>36</v>
      </c>
      <c r="O855" t="s">
        <v>39</v>
      </c>
      <c r="P855" t="s">
        <v>39</v>
      </c>
      <c r="Q855" t="s">
        <v>1614</v>
      </c>
    </row>
    <row r="856" spans="1:17" ht="15.75" x14ac:dyDescent="0.25">
      <c r="A856" s="3" t="str">
        <f>HYPERLINK("https://heavenlyouthouse.com/products/frasier-fir-home-fragrance-mist", "https://heavenlyouthouse.com/products/frasier-fir-home-fragrance-mist")</f>
        <v>https://heavenlyouthouse.com/products/frasier-fir-home-fragrance-mist</v>
      </c>
      <c r="B856" s="3" t="str">
        <f>HYPERLINK("https://heavenlyouthouse.com/products/frasier-fir-home-fragrance-mist", "https://heavenlyouthouse.com/products/frasier-fir-home-fragrance-mist")</f>
        <v>https://heavenlyouthouse.com/products/frasier-fir-home-fragrance-mist</v>
      </c>
      <c r="C856" t="s">
        <v>384</v>
      </c>
      <c r="D856" t="s">
        <v>1357</v>
      </c>
      <c r="E856" s="3" t="str">
        <f>HYPERLINK("https://www.amazon.com/Thymes-Diffuser-Oil-0-25-Frasier/dp/B08CVRZJQZ/ref=sr_1_9?keywords=Thymes+Frasier+Fir+Home+Fragrance+Mist&amp;qid=1695258733&amp;sr=8-9", "https://www.amazon.com/Thymes-Diffuser-Oil-0-25-Frasier/dp/B08CVRZJQZ/ref=sr_1_9?keywords=Thymes+Frasier+Fir+Home+Fragrance+Mist&amp;qid=1695258733&amp;sr=8-9")</f>
        <v>https://www.amazon.com/Thymes-Diffuser-Oil-0-25-Frasier/dp/B08CVRZJQZ/ref=sr_1_9?keywords=Thymes+Frasier+Fir+Home+Fragrance+Mist&amp;qid=1695258733&amp;sr=8-9</v>
      </c>
      <c r="F856" t="s">
        <v>1358</v>
      </c>
      <c r="G856" t="e">
        <f ca="1">IMAGE("https://heavenlyouthouse.com/cdn/shop/products/ThymesFrasierFirHomeFragranceMist.jpg?v=1617817932")</f>
        <v>#NAME?</v>
      </c>
      <c r="H856" t="e">
        <f ca="1">IMAGE("https://m.media-amazon.com/images/I/61rg4AuJDaL._AC_UL320_.jpg")</f>
        <v>#NAME?</v>
      </c>
      <c r="I856" t="s">
        <v>385</v>
      </c>
      <c r="J856">
        <v>16</v>
      </c>
      <c r="K856" s="2" t="s">
        <v>2052</v>
      </c>
      <c r="L856">
        <v>4.3</v>
      </c>
      <c r="M856">
        <v>36</v>
      </c>
      <c r="O856" t="s">
        <v>39</v>
      </c>
      <c r="P856" t="s">
        <v>39</v>
      </c>
      <c r="Q856" t="s">
        <v>387</v>
      </c>
    </row>
    <row r="857" spans="1:17" ht="15.75" x14ac:dyDescent="0.25">
      <c r="A857" s="3" t="str">
        <f>HYPERLINK("https://heavenlyouthouse.com/products/thymes-olive-leaf-hand-cream", "https://heavenlyouthouse.com/products/thymes-olive-leaf-hand-cream")</f>
        <v>https://heavenlyouthouse.com/products/thymes-olive-leaf-hand-cream</v>
      </c>
      <c r="B857" s="3" t="str">
        <f>HYPERLINK("https://heavenlyouthouse.com/products/thymes-olive-leaf-hand-cream", "https://heavenlyouthouse.com/products/thymes-olive-leaf-hand-cream")</f>
        <v>https://heavenlyouthouse.com/products/thymes-olive-leaf-hand-cream</v>
      </c>
      <c r="C857" t="s">
        <v>862</v>
      </c>
      <c r="D857" t="s">
        <v>1521</v>
      </c>
      <c r="E857" s="3" t="str">
        <f>HYPERLINK("https://www.amazon.com/Thymes-Lotion-Moisturizing-Butter-Vitamin/dp/B002WJHK4Q/ref=sr_1_2?keywords=Thymes+Olive+Leaf+Hand+Cream&amp;qid=1695258780&amp;sr=8-2", "https://www.amazon.com/Thymes-Lotion-Moisturizing-Butter-Vitamin/dp/B002WJHK4Q/ref=sr_1_2?keywords=Thymes+Olive+Leaf+Hand+Cream&amp;qid=1695258780&amp;sr=8-2")</f>
        <v>https://www.amazon.com/Thymes-Lotion-Moisturizing-Butter-Vitamin/dp/B002WJHK4Q/ref=sr_1_2?keywords=Thymes+Olive+Leaf+Hand+Cream&amp;qid=1695258780&amp;sr=8-2</v>
      </c>
      <c r="F857" t="s">
        <v>1522</v>
      </c>
      <c r="G857" t="e">
        <f ca="1">IMAGE("https://heavenlyouthouse.com/cdn/shop/products/Olive-Leaf-Hand-Creme.jpg?v=1633124430")</f>
        <v>#NAME?</v>
      </c>
      <c r="H857" t="e">
        <f ca="1">IMAGE("https://m.media-amazon.com/images/I/51NCWtW6ObL._AC_UL320_.jpg")</f>
        <v>#NAME?</v>
      </c>
      <c r="I857" t="s">
        <v>385</v>
      </c>
      <c r="J857">
        <v>16</v>
      </c>
      <c r="K857" s="2" t="s">
        <v>2052</v>
      </c>
      <c r="L857">
        <v>4.5999999999999996</v>
      </c>
      <c r="M857">
        <v>2575</v>
      </c>
      <c r="O857" t="s">
        <v>39</v>
      </c>
      <c r="P857" t="s">
        <v>863</v>
      </c>
      <c r="Q857" t="s">
        <v>864</v>
      </c>
    </row>
    <row r="858" spans="1:17" ht="15.75" x14ac:dyDescent="0.25">
      <c r="A858" s="3" t="str">
        <f>HYPERLINK("https://heavenlyouthouse.com/products/goldleaf-hand-creme", "https://heavenlyouthouse.com/products/goldleaf-hand-creme")</f>
        <v>https://heavenlyouthouse.com/products/goldleaf-hand-creme</v>
      </c>
      <c r="B858" s="3" t="str">
        <f>HYPERLINK("https://heavenlyouthouse.com/products/goldleaf-hand-creme", "https://heavenlyouthouse.com/products/goldleaf-hand-creme")</f>
        <v>https://heavenlyouthouse.com/products/goldleaf-hand-creme</v>
      </c>
      <c r="C858" t="s">
        <v>816</v>
      </c>
      <c r="D858" t="s">
        <v>1348</v>
      </c>
      <c r="E858" s="3" t="str">
        <f>HYPERLINK("https://www.amazon.com/Thymes-Goldleaf-Hydrating-Liquid-Elegant/dp/B003718H1I/ref=sr_1_6?keywords=thymes+goldleaf+hand+cream&amp;qid=1695258754&amp;sr=8-6", "https://www.amazon.com/Thymes-Goldleaf-Hydrating-Liquid-Elegant/dp/B003718H1I/ref=sr_1_6?keywords=thymes+goldleaf+hand+cream&amp;qid=1695258754&amp;sr=8-6")</f>
        <v>https://www.amazon.com/Thymes-Goldleaf-Hydrating-Liquid-Elegant/dp/B003718H1I/ref=sr_1_6?keywords=thymes+goldleaf+hand+cream&amp;qid=1695258754&amp;sr=8-6</v>
      </c>
      <c r="F858" t="s">
        <v>1349</v>
      </c>
      <c r="G858" t="e">
        <f ca="1">IMAGE("https://heavenlyouthouse.com/cdn/shop/products/handcream90ml.jpg?v=1587764262")</f>
        <v>#NAME?</v>
      </c>
      <c r="H858" t="e">
        <f ca="1">IMAGE("https://m.media-amazon.com/images/I/51+XE0ZcrJL._AC_UL320_.jpg")</f>
        <v>#NAME?</v>
      </c>
      <c r="I858" t="s">
        <v>385</v>
      </c>
      <c r="J858">
        <v>16</v>
      </c>
      <c r="K858" s="2" t="s">
        <v>2052</v>
      </c>
      <c r="L858">
        <v>4.5999999999999996</v>
      </c>
      <c r="M858">
        <v>3441</v>
      </c>
      <c r="O858" t="s">
        <v>39</v>
      </c>
      <c r="P858" t="s">
        <v>818</v>
      </c>
      <c r="Q858" t="s">
        <v>819</v>
      </c>
    </row>
    <row r="859" spans="1:17" ht="15.75" x14ac:dyDescent="0.25">
      <c r="A859" s="3" t="str">
        <f>HYPERLINK("https://heavenlyouthouse.com/products/goldleaf-gardenia-hand-creme", "https://heavenlyouthouse.com/products/goldleaf-gardenia-hand-creme")</f>
        <v>https://heavenlyouthouse.com/products/goldleaf-gardenia-hand-creme</v>
      </c>
      <c r="B859" s="3" t="str">
        <f>HYPERLINK("https://heavenlyouthouse.com/products/goldleaf-gardenia-hand-creme", "https://heavenlyouthouse.com/products/goldleaf-gardenia-hand-creme")</f>
        <v>https://heavenlyouthouse.com/products/goldleaf-gardenia-hand-creme</v>
      </c>
      <c r="C859" t="s">
        <v>820</v>
      </c>
      <c r="D859" t="s">
        <v>1525</v>
      </c>
      <c r="E859" s="3" t="str">
        <f>HYPERLINK("https://www.amazon.com/Thymes-Goldleaf-Gardenia-Moisturizing-Vitamin/dp/B06WGWNKWC/ref=sr_1_2?keywords=thymes+goldleaf+gardenia+hand+cream&amp;qid=1695258746&amp;sr=8-2", "https://www.amazon.com/Thymes-Goldleaf-Gardenia-Moisturizing-Vitamin/dp/B06WGWNKWC/ref=sr_1_2?keywords=thymes+goldleaf+gardenia+hand+cream&amp;qid=1695258746&amp;sr=8-2")</f>
        <v>https://www.amazon.com/Thymes-Goldleaf-Gardenia-Moisturizing-Vitamin/dp/B06WGWNKWC/ref=sr_1_2?keywords=thymes+goldleaf+gardenia+hand+cream&amp;qid=1695258746&amp;sr=8-2</v>
      </c>
      <c r="F859" t="s">
        <v>1526</v>
      </c>
      <c r="G859" t="e">
        <f ca="1">IMAGE("https://heavenlyouthouse.com/cdn/shop/products/thymesgoldleafgardeniahandcreme90ml.jpg?v=1609953411")</f>
        <v>#NAME?</v>
      </c>
      <c r="H859" t="e">
        <f ca="1">IMAGE("https://m.media-amazon.com/images/I/51qdn+MPnBL._AC_UL320_.jpg")</f>
        <v>#NAME?</v>
      </c>
      <c r="I859" t="s">
        <v>385</v>
      </c>
      <c r="J859">
        <v>16</v>
      </c>
      <c r="K859" s="2" t="s">
        <v>2052</v>
      </c>
      <c r="L859">
        <v>4.5999999999999996</v>
      </c>
      <c r="M859">
        <v>2575</v>
      </c>
      <c r="O859" t="s">
        <v>39</v>
      </c>
      <c r="P859" t="s">
        <v>39</v>
      </c>
      <c r="Q859" t="s">
        <v>821</v>
      </c>
    </row>
    <row r="860" spans="1:17" ht="15.75" x14ac:dyDescent="0.25">
      <c r="A860" s="3" t="str">
        <f>HYPERLINK("https://heavenlyouthouse.com/products/kimono-rose-hand-creme", "https://heavenlyouthouse.com/products/kimono-rose-hand-creme")</f>
        <v>https://heavenlyouthouse.com/products/kimono-rose-hand-creme</v>
      </c>
      <c r="B860" s="3" t="str">
        <f>HYPERLINK("https://heavenlyouthouse.com/products/kimono-rose-hand-creme", "https://heavenlyouthouse.com/products/kimono-rose-hand-creme")</f>
        <v>https://heavenlyouthouse.com/products/kimono-rose-hand-creme</v>
      </c>
      <c r="C860" t="s">
        <v>858</v>
      </c>
      <c r="D860" t="s">
        <v>1533</v>
      </c>
      <c r="E860" s="3" t="str">
        <f>HYPERLINK("https://www.amazon.com/Thymes-Kimono-Moisturizing-Vitamin-Vanilla/dp/B002WJHL18/ref=sr_1_2?keywords=thymes+kimono+rose+hand+cream&amp;qid=1695258788&amp;sr=8-2", "https://www.amazon.com/Thymes-Kimono-Moisturizing-Vitamin-Vanilla/dp/B002WJHL18/ref=sr_1_2?keywords=thymes+kimono+rose+hand+cream&amp;qid=1695258788&amp;sr=8-2")</f>
        <v>https://www.amazon.com/Thymes-Kimono-Moisturizing-Vitamin-Vanilla/dp/B002WJHL18/ref=sr_1_2?keywords=thymes+kimono+rose+hand+cream&amp;qid=1695258788&amp;sr=8-2</v>
      </c>
      <c r="F860" t="s">
        <v>1534</v>
      </c>
      <c r="G860" t="e">
        <f ca="1">IMAGE("https://heavenlyouthouse.com/cdn/shop/products/handcreme90ml.jpg?v=1588107056")</f>
        <v>#NAME?</v>
      </c>
      <c r="H860" t="e">
        <f ca="1">IMAGE("https://m.media-amazon.com/images/I/51UY1KoU9dL._AC_UL320_.jpg")</f>
        <v>#NAME?</v>
      </c>
      <c r="I860" t="s">
        <v>385</v>
      </c>
      <c r="J860">
        <v>16</v>
      </c>
      <c r="K860" s="2" t="s">
        <v>2052</v>
      </c>
      <c r="L860">
        <v>4.5999999999999996</v>
      </c>
      <c r="M860">
        <v>2575</v>
      </c>
      <c r="O860" t="s">
        <v>39</v>
      </c>
      <c r="P860" t="s">
        <v>39</v>
      </c>
      <c r="Q860" t="s">
        <v>859</v>
      </c>
    </row>
    <row r="861" spans="1:17" ht="15.75" x14ac:dyDescent="0.25">
      <c r="A861" s="3" t="str">
        <f>HYPERLINK("https://heavenlyouthouse.com/products/lavender-hand-creme", "https://heavenlyouthouse.com/products/lavender-hand-creme")</f>
        <v>https://heavenlyouthouse.com/products/lavender-hand-creme</v>
      </c>
      <c r="B861" s="3" t="str">
        <f>HYPERLINK("https://heavenlyouthouse.com/products/lavender-hand-creme", "https://heavenlyouthouse.com/products/lavender-hand-creme")</f>
        <v>https://heavenlyouthouse.com/products/lavender-hand-creme</v>
      </c>
      <c r="C861" t="s">
        <v>860</v>
      </c>
      <c r="D861" t="s">
        <v>1537</v>
      </c>
      <c r="E861" s="3" t="str">
        <f>HYPERLINK("https://www.amazon.com/Thymes-Lavender-Hand-Lotion-Pump/dp/B002WJHL1I/ref=sr_1_1?keywords=thymes+lavender+hand+cream&amp;qid=1695258760&amp;sr=8-1", "https://www.amazon.com/Thymes-Lavender-Hand-Lotion-Pump/dp/B002WJHL1I/ref=sr_1_1?keywords=thymes+lavender+hand+cream&amp;qid=1695258760&amp;sr=8-1")</f>
        <v>https://www.amazon.com/Thymes-Lavender-Hand-Lotion-Pump/dp/B002WJHL1I/ref=sr_1_1?keywords=thymes+lavender+hand+cream&amp;qid=1695258760&amp;sr=8-1</v>
      </c>
      <c r="F861" t="s">
        <v>1538</v>
      </c>
      <c r="G861" t="e">
        <f ca="1">IMAGE("https://heavenlyouthouse.com/cdn/shop/products/thymeslavenderhandcreme.jpg?v=1609951743")</f>
        <v>#NAME?</v>
      </c>
      <c r="H861" t="e">
        <f ca="1">IMAGE("https://m.media-amazon.com/images/I/51fRQBdaO1L._AC_UL320_.jpg")</f>
        <v>#NAME?</v>
      </c>
      <c r="I861" t="s">
        <v>385</v>
      </c>
      <c r="J861">
        <v>16</v>
      </c>
      <c r="K861" s="2" t="s">
        <v>2052</v>
      </c>
      <c r="L861">
        <v>4.5999999999999996</v>
      </c>
      <c r="M861">
        <v>2575</v>
      </c>
      <c r="O861" t="s">
        <v>39</v>
      </c>
      <c r="P861" t="s">
        <v>39</v>
      </c>
      <c r="Q861" t="s">
        <v>861</v>
      </c>
    </row>
    <row r="862" spans="1:17" ht="15.75" x14ac:dyDescent="0.25">
      <c r="A862" s="3" t="str">
        <f>HYPERLINK("https://heavenlyouthouse.com/products/kimono-rose-hand-creme", "https://heavenlyouthouse.com/products/kimono-rose-hand-creme")</f>
        <v>https://heavenlyouthouse.com/products/kimono-rose-hand-creme</v>
      </c>
      <c r="B862" s="3" t="str">
        <f>HYPERLINK("https://heavenlyouthouse.com/products/kimono-rose-hand-creme", "https://heavenlyouthouse.com/products/kimono-rose-hand-creme")</f>
        <v>https://heavenlyouthouse.com/products/kimono-rose-hand-creme</v>
      </c>
      <c r="C862" t="s">
        <v>858</v>
      </c>
      <c r="D862" t="s">
        <v>1360</v>
      </c>
      <c r="E862" s="3" t="str">
        <f>HYPERLINK("https://www.amazon.com/Thymes-Kimono-Hydrating-Liquid-Vanilla/dp/B0746Q1XL3/ref=sr_1_7?keywords=thymes+kimono+rose+hand+cream&amp;qid=1695258788&amp;sr=8-7", "https://www.amazon.com/Thymes-Kimono-Hydrating-Liquid-Vanilla/dp/B0746Q1XL3/ref=sr_1_7?keywords=thymes+kimono+rose+hand+cream&amp;qid=1695258788&amp;sr=8-7")</f>
        <v>https://www.amazon.com/Thymes-Kimono-Hydrating-Liquid-Vanilla/dp/B0746Q1XL3/ref=sr_1_7?keywords=thymes+kimono+rose+hand+cream&amp;qid=1695258788&amp;sr=8-7</v>
      </c>
      <c r="F862" t="s">
        <v>1361</v>
      </c>
      <c r="G862" t="e">
        <f ca="1">IMAGE("https://heavenlyouthouse.com/cdn/shop/products/handcreme90ml.jpg?v=1588107056")</f>
        <v>#NAME?</v>
      </c>
      <c r="H862" t="e">
        <f ca="1">IMAGE("https://m.media-amazon.com/images/I/61F3lPsq1QL._AC_UL320_.jpg")</f>
        <v>#NAME?</v>
      </c>
      <c r="I862" t="s">
        <v>385</v>
      </c>
      <c r="J862">
        <v>16</v>
      </c>
      <c r="K862" s="2" t="s">
        <v>2052</v>
      </c>
      <c r="L862">
        <v>4.5999999999999996</v>
      </c>
      <c r="M862">
        <v>3441</v>
      </c>
      <c r="O862" t="s">
        <v>39</v>
      </c>
      <c r="P862" t="s">
        <v>39</v>
      </c>
      <c r="Q862" t="s">
        <v>859</v>
      </c>
    </row>
    <row r="863" spans="1:17" ht="15.75" x14ac:dyDescent="0.25">
      <c r="A863" s="3" t="str">
        <f>HYPERLINK("https://heavenlyouthouse.com/products/thymes-frasier-fir-gilded-gold-votive-candle", "https://heavenlyouthouse.com/products/thymes-frasier-fir-gilded-gold-votive-candle")</f>
        <v>https://heavenlyouthouse.com/products/thymes-frasier-fir-gilded-gold-votive-candle</v>
      </c>
      <c r="B863" s="3" t="str">
        <f>HYPERLINK("https://heavenlyouthouse.com/products/thymes-frasier-fir-gilded-gold-votive-candle", "https://heavenlyouthouse.com/products/thymes-frasier-fir-gilded-gold-votive-candle")</f>
        <v>https://heavenlyouthouse.com/products/thymes-frasier-fir-gilded-gold-votive-candle</v>
      </c>
      <c r="C863" t="s">
        <v>187</v>
      </c>
      <c r="D863" t="s">
        <v>1895</v>
      </c>
      <c r="E863" s="3" t="str">
        <f>HYPERLINK("https://www.amazon.com/Thymes-Travel-Tin-Candle-Frasier/dp/B075DFNK4S/ref=sr_1_6?keywords=Thymes+Frasier+Fir+Gilded+Gold+Votive+Candle&amp;qid=1695258726&amp;sr=8-6", "https://www.amazon.com/Thymes-Travel-Tin-Candle-Frasier/dp/B075DFNK4S/ref=sr_1_6?keywords=Thymes+Frasier+Fir+Gilded+Gold+Votive+Candle&amp;qid=1695258726&amp;sr=8-6")</f>
        <v>https://www.amazon.com/Thymes-Travel-Tin-Candle-Frasier/dp/B075DFNK4S/ref=sr_1_6?keywords=Thymes+Frasier+Fir+Gilded+Gold+Votive+Candle&amp;qid=1695258726&amp;sr=8-6</v>
      </c>
      <c r="F863" t="s">
        <v>1896</v>
      </c>
      <c r="G863" t="e">
        <f ca="1">IMAGE("https://heavenlyouthouse.com/cdn/shop/files/thymes-frasier-fir-gilded-gold-votive-candle_300x300.jpg?v=1692986058")</f>
        <v>#NAME?</v>
      </c>
      <c r="H863" t="e">
        <f ca="1">IMAGE("https://m.media-amazon.com/images/I/61GKBZiMOWL._AC_UL320_.jpg")</f>
        <v>#NAME?</v>
      </c>
      <c r="I863" t="s">
        <v>188</v>
      </c>
      <c r="J863">
        <v>12</v>
      </c>
      <c r="K863" s="2" t="s">
        <v>2052</v>
      </c>
      <c r="L863">
        <v>4.7</v>
      </c>
      <c r="M863">
        <v>3148</v>
      </c>
      <c r="O863" t="s">
        <v>39</v>
      </c>
      <c r="P863" t="s">
        <v>190</v>
      </c>
      <c r="Q863" t="s">
        <v>191</v>
      </c>
    </row>
    <row r="864" spans="1:17" ht="15.75" x14ac:dyDescent="0.25">
      <c r="A864" s="3" t="str">
        <f>HYPERLINK("https://heavenlyouthouse.com/products/thymes-frasier-fir-hand-wash", "https://heavenlyouthouse.com/products/thymes-frasier-fir-hand-wash")</f>
        <v>https://heavenlyouthouse.com/products/thymes-frasier-fir-hand-wash</v>
      </c>
      <c r="B864" s="3" t="str">
        <f>HYPERLINK("https://heavenlyouthouse.com/products/thymes-frasier-fir-hand-wash", "https://heavenlyouthouse.com/products/thymes-frasier-fir-hand-wash")</f>
        <v>https://heavenlyouthouse.com/products/thymes-frasier-fir-hand-wash</v>
      </c>
      <c r="C864" t="s">
        <v>612</v>
      </c>
      <c r="D864" t="s">
        <v>1659</v>
      </c>
      <c r="E864" s="3" t="str">
        <f>HYPERLINK("https://www.amazon.com/Thymes-Frasier-Triple-Milled-Ounces/dp/B0140PRD0U/ref=sr_1_3?keywords=Thymes+Frasier+Fir+Hand+Wash&amp;qid=1695258728&amp;sr=8-3", "https://www.amazon.com/Thymes-Frasier-Triple-Milled-Ounces/dp/B0140PRD0U/ref=sr_1_3?keywords=Thymes+Frasier+Fir+Hand+Wash&amp;qid=1695258728&amp;sr=8-3")</f>
        <v>https://www.amazon.com/Thymes-Frasier-Triple-Milled-Ounces/dp/B0140PRD0U/ref=sr_1_3?keywords=Thymes+Frasier+Fir+Hand+Wash&amp;qid=1695258728&amp;sr=8-3</v>
      </c>
      <c r="F864" t="s">
        <v>1660</v>
      </c>
      <c r="G864" t="e">
        <f ca="1">IMAGE("https://heavenlyouthouse.com/cdn/shop/products/thymes-frasier-fir-hand-wash.jpg?v=1629315405")</f>
        <v>#NAME?</v>
      </c>
      <c r="H864" t="e">
        <f ca="1">IMAGE("https://m.media-amazon.com/images/I/71Y2VJnEVAL._AC_UL320_.jpg")</f>
        <v>#NAME?</v>
      </c>
      <c r="I864" t="s">
        <v>188</v>
      </c>
      <c r="J864">
        <v>12</v>
      </c>
      <c r="K864" s="2" t="s">
        <v>2052</v>
      </c>
      <c r="L864">
        <v>4.7</v>
      </c>
      <c r="M864">
        <v>610</v>
      </c>
      <c r="O864" t="s">
        <v>39</v>
      </c>
      <c r="P864" t="s">
        <v>39</v>
      </c>
      <c r="Q864" t="s">
        <v>615</v>
      </c>
    </row>
    <row r="865" spans="1:17" ht="15.75" x14ac:dyDescent="0.25">
      <c r="A865" s="3" t="str">
        <f>HYPERLINK("https://heavenlyouthouse.com/products/your-moment-card", "https://heavenlyouthouse.com/products/your-moment-card")</f>
        <v>https://heavenlyouthouse.com/products/your-moment-card</v>
      </c>
      <c r="B865" s="3" t="str">
        <f>HYPERLINK("https://heavenlyouthouse.com/products/your-moment-card", "https://heavenlyouthouse.com/products/your-moment-card")</f>
        <v>https://heavenlyouthouse.com/products/your-moment-card</v>
      </c>
      <c r="C865" t="s">
        <v>350</v>
      </c>
      <c r="D865" t="s">
        <v>2053</v>
      </c>
      <c r="E865" s="3" t="str">
        <f>HYPERLINK("https://www.amazon.com/Thinking-Sympathy-Condolences-Greeting-Card/dp/B08MDGB33L/ref=sr_1_4?keywords=Your+Moment+Card&amp;qid=1695258833&amp;sr=8-4", "https://www.amazon.com/Thinking-Sympathy-Condolences-Greeting-Card/dp/B08MDGB33L/ref=sr_1_4?keywords=Your+Moment+Card&amp;qid=1695258833&amp;sr=8-4")</f>
        <v>https://www.amazon.com/Thinking-Sympathy-Condolences-Greeting-Card/dp/B08MDGB33L/ref=sr_1_4?keywords=Your+Moment+Card&amp;qid=1695258833&amp;sr=8-4</v>
      </c>
      <c r="F865" t="s">
        <v>2054</v>
      </c>
      <c r="G865" t="e">
        <f ca="1">IMAGE("https://heavenlyouthouse.com/cdn/shop/products/congrats.jpg?v=1600889342")</f>
        <v>#NAME?</v>
      </c>
      <c r="H865" t="e">
        <f ca="1">IMAGE("https://m.media-amazon.com/images/I/71j7CcMt-FL._AC_UL320_.jpg")</f>
        <v>#NAME?</v>
      </c>
      <c r="I865" t="s">
        <v>105</v>
      </c>
      <c r="J865">
        <v>3.25</v>
      </c>
      <c r="K865" s="2" t="s">
        <v>2052</v>
      </c>
      <c r="L865">
        <v>4.5999999999999996</v>
      </c>
      <c r="M865">
        <v>5</v>
      </c>
      <c r="O865" t="s">
        <v>39</v>
      </c>
      <c r="P865" t="s">
        <v>39</v>
      </c>
      <c r="Q865" t="s">
        <v>354</v>
      </c>
    </row>
    <row r="866" spans="1:17" ht="15.75" x14ac:dyDescent="0.25">
      <c r="A866" s="3" t="str">
        <f>HYPERLINK("https://heavenlyouthouse.com/products/serenity-massage-oil", "https://heavenlyouthouse.com/products/serenity-massage-oil")</f>
        <v>https://heavenlyouthouse.com/products/serenity-massage-oil</v>
      </c>
      <c r="B866" s="3" t="str">
        <f>HYPERLINK("https://heavenlyouthouse.com/products/serenity-massage-oil", "https://heavenlyouthouse.com/products/serenity-massage-oil")</f>
        <v>https://heavenlyouthouse.com/products/serenity-massage-oil</v>
      </c>
      <c r="C866" t="s">
        <v>1811</v>
      </c>
      <c r="D866" t="s">
        <v>2055</v>
      </c>
      <c r="E866" s="3" t="str">
        <f>HYPERLINK("https://www.amazon.com/Hemp-Sensual-Massage-Oil-Kundalini/dp/B09H7NGZJ4/ref=sr_1_3?keywords=Serenity+Massage+Oil&amp;qid=1695258683&amp;sr=8-3", "https://www.amazon.com/Hemp-Sensual-Massage-Oil-Kundalini/dp/B09H7NGZJ4/ref=sr_1_3?keywords=Serenity+Massage+Oil&amp;qid=1695258683&amp;sr=8-3")</f>
        <v>https://www.amazon.com/Hemp-Sensual-Massage-Oil-Kundalini/dp/B09H7NGZJ4/ref=sr_1_3?keywords=Serenity+Massage+Oil&amp;qid=1695258683&amp;sr=8-3</v>
      </c>
      <c r="F866" t="s">
        <v>2056</v>
      </c>
      <c r="G866" t="e">
        <f ca="1">IMAGE("https://heavenlyouthouse.com/cdn/shop/products/Serenity_Massage-Oil_2048_2000x_8355222e-e6d1-44d8-b3ec-a65e37c14ec2.jpg?v=1591304434")</f>
        <v>#NAME?</v>
      </c>
      <c r="H866" t="e">
        <f ca="1">IMAGE("https://m.media-amazon.com/images/I/61JrDqnkejL._AC_UL320_.jpg")</f>
        <v>#NAME?</v>
      </c>
      <c r="I866" t="s">
        <v>1814</v>
      </c>
      <c r="J866">
        <v>11.97</v>
      </c>
      <c r="K866" s="2" t="s">
        <v>2057</v>
      </c>
      <c r="L866">
        <v>4.5</v>
      </c>
      <c r="M866">
        <v>31</v>
      </c>
      <c r="O866" t="s">
        <v>136</v>
      </c>
      <c r="P866" t="s">
        <v>39</v>
      </c>
      <c r="Q866" t="s">
        <v>1815</v>
      </c>
    </row>
    <row r="867" spans="1:17" ht="15.75" x14ac:dyDescent="0.25">
      <c r="A867" s="3" t="str">
        <f>HYPERLINK("https://heavenlyouthouse.com/products/ribbon-flower-mothers-day-card", "https://heavenlyouthouse.com/products/ribbon-flower-mothers-day-card")</f>
        <v>https://heavenlyouthouse.com/products/ribbon-flower-mothers-day-card</v>
      </c>
      <c r="B867" s="3" t="str">
        <f>HYPERLINK("https://heavenlyouthouse.com/products/ribbon-flower-mothers-day-card", "https://heavenlyouthouse.com/products/ribbon-flower-mothers-day-card")</f>
        <v>https://heavenlyouthouse.com/products/ribbon-flower-mothers-day-card</v>
      </c>
      <c r="C867" t="s">
        <v>1089</v>
      </c>
      <c r="D867" t="s">
        <v>2058</v>
      </c>
      <c r="E867" s="3" t="str">
        <f>HYPERLINK("https://www.amazon.com/Iconikal-Mothers-Greeting-Envelope-Flowers/dp/B092W79BF1/ref=sr_1_1?keywords=Ribbon+Flower+Mother%27s+Day+Card&amp;qid=1695258662&amp;sr=8-1", "https://www.amazon.com/Iconikal-Mothers-Greeting-Envelope-Flowers/dp/B092W79BF1/ref=sr_1_1?keywords=Ribbon+Flower+Mother%27s+Day+Card&amp;qid=1695258662&amp;sr=8-1")</f>
        <v>https://www.amazon.com/Iconikal-Mothers-Greeting-Envelope-Flowers/dp/B092W79BF1/ref=sr_1_1?keywords=Ribbon+Flower+Mother%27s+Day+Card&amp;qid=1695258662&amp;sr=8-1</v>
      </c>
      <c r="F867" t="s">
        <v>2059</v>
      </c>
      <c r="G867" t="e">
        <f ca="1">IMAGE("https://heavenlyouthouse.com/cdn/shop/products/059584207114papyrusfloralmother_sdaycard.jpg?v=1619454393")</f>
        <v>#NAME?</v>
      </c>
      <c r="H867" t="e">
        <f ca="1">IMAGE("https://m.media-amazon.com/images/I/81ABkiQ0S1S._AC_UL320_.jpg")</f>
        <v>#NAME?</v>
      </c>
      <c r="I867" t="s">
        <v>955</v>
      </c>
      <c r="J867">
        <v>6.97</v>
      </c>
      <c r="K867" s="2" t="s">
        <v>2057</v>
      </c>
      <c r="L867">
        <v>4.7</v>
      </c>
      <c r="M867">
        <v>212</v>
      </c>
      <c r="O867" t="s">
        <v>39</v>
      </c>
      <c r="P867" t="s">
        <v>39</v>
      </c>
      <c r="Q867" t="s">
        <v>1093</v>
      </c>
    </row>
    <row r="868" spans="1:17" ht="15.75" x14ac:dyDescent="0.25">
      <c r="A868" s="3" t="str">
        <f>HYPERLINK("https://heavenlyouthouse.com/products/thymes-frasier-fir-votive-candle-set", "https://heavenlyouthouse.com/products/thymes-frasier-fir-votive-candle-set")</f>
        <v>https://heavenlyouthouse.com/products/thymes-frasier-fir-votive-candle-set</v>
      </c>
      <c r="B868" s="3" t="str">
        <f>HYPERLINK("https://heavenlyouthouse.com/products/thymes-frasier-fir-votive-candle-set", "https://heavenlyouthouse.com/products/thymes-frasier-fir-votive-candle-set")</f>
        <v>https://heavenlyouthouse.com/products/thymes-frasier-fir-votive-candle-set</v>
      </c>
      <c r="C868" t="s">
        <v>285</v>
      </c>
      <c r="D868" t="s">
        <v>1797</v>
      </c>
      <c r="E868" s="3" t="str">
        <f>HYPERLINK("https://www.amazon.com/Thymes-Votive-Candle-Frasier-Frosted/dp/B09N2LD2KW/ref=sr_1_4?keywords=Thymes+Frasier+Fir+Votive+Candle+3+Pack&amp;qid=1695258743&amp;sr=8-4", "https://www.amazon.com/Thymes-Votive-Candle-Frasier-Frosted/dp/B09N2LD2KW/ref=sr_1_4?keywords=Thymes+Frasier+Fir+Votive+Candle+3+Pack&amp;qid=1695258743&amp;sr=8-4")</f>
        <v>https://www.amazon.com/Thymes-Votive-Candle-Frasier-Frosted/dp/B09N2LD2KW/ref=sr_1_4?keywords=Thymes+Frasier+Fir+Votive+Candle+3+Pack&amp;qid=1695258743&amp;sr=8-4</v>
      </c>
      <c r="F868" t="s">
        <v>1798</v>
      </c>
      <c r="G868" t="e">
        <f ca="1">IMAGE("https://heavenlyouthouse.com/cdn/shop/products/thymes-Frasier-Fir-votive-candle-set.jpg?v=1640187779")</f>
        <v>#NAME?</v>
      </c>
      <c r="H868" t="e">
        <f ca="1">IMAGE("https://m.media-amazon.com/images/I/612SPxqg6-L._AC_UL320_.jpg")</f>
        <v>#NAME?</v>
      </c>
      <c r="I868" t="s">
        <v>286</v>
      </c>
      <c r="J868">
        <v>16</v>
      </c>
      <c r="K868" s="2" t="s">
        <v>2060</v>
      </c>
      <c r="L868">
        <v>4.8</v>
      </c>
      <c r="M868">
        <v>7</v>
      </c>
      <c r="O868" t="s">
        <v>39</v>
      </c>
      <c r="P868" t="s">
        <v>288</v>
      </c>
      <c r="Q868" t="s">
        <v>289</v>
      </c>
    </row>
    <row r="869" spans="1:17" ht="15.75" x14ac:dyDescent="0.25">
      <c r="A869" s="3" t="str">
        <f>HYPERLINK("https://heavenlyouthouse.com/products/thymes-frasier-fir-votive-candle-set", "https://heavenlyouthouse.com/products/thymes-frasier-fir-votive-candle-set")</f>
        <v>https://heavenlyouthouse.com/products/thymes-frasier-fir-votive-candle-set</v>
      </c>
      <c r="B869" s="3" t="str">
        <f>HYPERLINK("https://heavenlyouthouse.com/products/thymes-frasier-fir-votive-candle-set", "https://heavenlyouthouse.com/products/thymes-frasier-fir-votive-candle-set")</f>
        <v>https://heavenlyouthouse.com/products/thymes-frasier-fir-votive-candle-set</v>
      </c>
      <c r="C869" t="s">
        <v>285</v>
      </c>
      <c r="D869" t="s">
        <v>1541</v>
      </c>
      <c r="E869" s="3" t="str">
        <f>HYPERLINK("https://www.amazon.com/Thymes-Frasier-Needle-Votive-Candle/dp/B07Q2GWCCQ/ref=sr_1_3?keywords=Thymes+Frasier+Fir+Votive+Candle+3+Pack&amp;qid=1695258743&amp;sr=8-3", "https://www.amazon.com/Thymes-Frasier-Needle-Votive-Candle/dp/B07Q2GWCCQ/ref=sr_1_3?keywords=Thymes+Frasier+Fir+Votive+Candle+3+Pack&amp;qid=1695258743&amp;sr=8-3")</f>
        <v>https://www.amazon.com/Thymes-Frasier-Needle-Votive-Candle/dp/B07Q2GWCCQ/ref=sr_1_3?keywords=Thymes+Frasier+Fir+Votive+Candle+3+Pack&amp;qid=1695258743&amp;sr=8-3</v>
      </c>
      <c r="F869" t="s">
        <v>1542</v>
      </c>
      <c r="G869" t="e">
        <f ca="1">IMAGE("https://heavenlyouthouse.com/cdn/shop/products/thymes-Frasier-Fir-votive-candle-set.jpg?v=1640187779")</f>
        <v>#NAME?</v>
      </c>
      <c r="H869" t="e">
        <f ca="1">IMAGE("https://m.media-amazon.com/images/I/71ARhUHeOKL._AC_UL320_.jpg")</f>
        <v>#NAME?</v>
      </c>
      <c r="I869" t="s">
        <v>286</v>
      </c>
      <c r="J869">
        <v>16</v>
      </c>
      <c r="K869" s="2" t="s">
        <v>2060</v>
      </c>
      <c r="L869">
        <v>4.0999999999999996</v>
      </c>
      <c r="M869">
        <v>5</v>
      </c>
      <c r="O869" t="s">
        <v>39</v>
      </c>
      <c r="P869" t="s">
        <v>288</v>
      </c>
      <c r="Q869" t="s">
        <v>289</v>
      </c>
    </row>
    <row r="870" spans="1:17" ht="15.75" x14ac:dyDescent="0.25">
      <c r="A870" s="3" t="str">
        <f>HYPERLINK("https://heavenlyouthouse.com/products/lavender-reed-diffuser-refill", "https://heavenlyouthouse.com/products/lavender-reed-diffuser-refill")</f>
        <v>https://heavenlyouthouse.com/products/lavender-reed-diffuser-refill</v>
      </c>
      <c r="B870" s="3" t="str">
        <f>HYPERLINK("https://heavenlyouthouse.com/products/lavender-reed-diffuser-refill", "https://heavenlyouthouse.com/products/lavender-reed-diffuser-refill")</f>
        <v>https://heavenlyouthouse.com/products/lavender-reed-diffuser-refill</v>
      </c>
      <c r="C870" t="s">
        <v>1188</v>
      </c>
      <c r="D870" t="s">
        <v>2061</v>
      </c>
      <c r="E870" s="3" t="str">
        <f>HYPERLINK("https://www.amazon.com/Lavender-Reed-Diffuser-Refill-500ml/dp/B084KZW75C/ref=sr_1_10?keywords=Thymes+Lavender+Reed+Diffuser+Refill&amp;qid=1695258763&amp;sr=8-10", "https://www.amazon.com/Lavender-Reed-Diffuser-Refill-500ml/dp/B084KZW75C/ref=sr_1_10?keywords=Thymes+Lavender+Reed+Diffuser+Refill&amp;qid=1695258763&amp;sr=8-10")</f>
        <v>https://www.amazon.com/Lavender-Reed-Diffuser-Refill-500ml/dp/B084KZW75C/ref=sr_1_10?keywords=Thymes+Lavender+Reed+Diffuser+Refill&amp;qid=1695258763&amp;sr=8-10</v>
      </c>
      <c r="F870" t="s">
        <v>2062</v>
      </c>
      <c r="G870" t="e">
        <f ca="1">IMAGE("https://heavenlyouthouse.com/cdn/shop/products/thymeslavenderreeddiffuserrefill.jpg?v=1606419251")</f>
        <v>#NAME?</v>
      </c>
      <c r="H870" t="e">
        <f ca="1">IMAGE("https://m.media-amazon.com/images/I/51e9ruG13JL._AC_UL320_.jpg")</f>
        <v>#NAME?</v>
      </c>
      <c r="I870" t="s">
        <v>829</v>
      </c>
      <c r="J870">
        <v>24.99</v>
      </c>
      <c r="K870" s="2" t="s">
        <v>2060</v>
      </c>
      <c r="L870">
        <v>4.2</v>
      </c>
      <c r="M870">
        <v>1185</v>
      </c>
      <c r="O870" t="s">
        <v>39</v>
      </c>
      <c r="P870" t="s">
        <v>39</v>
      </c>
      <c r="Q870" t="s">
        <v>1191</v>
      </c>
    </row>
    <row r="871" spans="1:17" ht="15.75" x14ac:dyDescent="0.25">
      <c r="A871" s="3" t="str">
        <f>HYPERLINK("https://heavenlyouthouse.com/products/the-hiccupy-dragon-book", "https://heavenlyouthouse.com/products/the-hiccupy-dragon-book")</f>
        <v>https://heavenlyouthouse.com/products/the-hiccupy-dragon-book</v>
      </c>
      <c r="B871" s="3" t="str">
        <f>HYPERLINK("https://heavenlyouthouse.com/products/the-hiccupy-dragon-book", "https://heavenlyouthouse.com/products/the-hiccupy-dragon-book")</f>
        <v>https://heavenlyouthouse.com/products/the-hiccupy-dragon-book</v>
      </c>
      <c r="C871" t="s">
        <v>1669</v>
      </c>
      <c r="D871" t="s">
        <v>2063</v>
      </c>
      <c r="E871" s="3" t="str">
        <f>HYPERLINK("https://www.amazon.com/Theres-Dragon-Your-Book-Fletcher/dp/1524766380/ref=sr_1_8?keywords=The+Hiccupy+Dragon+Book&amp;qid=1695258709&amp;sr=8-8", "https://www.amazon.com/Theres-Dragon-Your-Book-Fletcher/dp/1524766380/ref=sr_1_8?keywords=The+Hiccupy+Dragon+Book&amp;qid=1695258709&amp;sr=8-8")</f>
        <v>https://www.amazon.com/Theres-Dragon-Your-Book-Fletcher/dp/1524766380/ref=sr_1_8?keywords=The+Hiccupy+Dragon+Book&amp;qid=1695258709&amp;sr=8-8</v>
      </c>
      <c r="F871" t="s">
        <v>2064</v>
      </c>
      <c r="G871" t="e">
        <f ca="1">IMAGE("https://heavenlyouthouse.com/cdn/shop/products/BK4HD.jpg?v=1603474731")</f>
        <v>#NAME?</v>
      </c>
      <c r="H871" t="e">
        <f ca="1">IMAGE("https://m.media-amazon.com/images/I/91cRoP1XFcL._AC_UY218_.jpg")</f>
        <v>#NAME?</v>
      </c>
      <c r="I871" t="s">
        <v>802</v>
      </c>
      <c r="J871">
        <v>10.6</v>
      </c>
      <c r="K871" s="2" t="s">
        <v>2060</v>
      </c>
      <c r="L871">
        <v>4.9000000000000004</v>
      </c>
      <c r="M871">
        <v>7481</v>
      </c>
      <c r="O871" t="s">
        <v>136</v>
      </c>
      <c r="P871" t="s">
        <v>803</v>
      </c>
      <c r="Q871" t="s">
        <v>1672</v>
      </c>
    </row>
    <row r="872" spans="1:17" ht="15.75" x14ac:dyDescent="0.25">
      <c r="A872" s="3" t="str">
        <f>HYPERLINK("https://heavenlyouthouse.com/products/rosemary-mint-body-butter", "https://heavenlyouthouse.com/products/rosemary-mint-body-butter")</f>
        <v>https://heavenlyouthouse.com/products/rosemary-mint-body-butter</v>
      </c>
      <c r="B872" s="3" t="str">
        <f>HYPERLINK("https://heavenlyouthouse.com/products/rosemary-mint-body-butter", "https://heavenlyouthouse.com/products/rosemary-mint-body-butter")</f>
        <v>https://heavenlyouthouse.com/products/rosemary-mint-body-butter</v>
      </c>
      <c r="C872" t="s">
        <v>531</v>
      </c>
      <c r="D872" t="s">
        <v>2065</v>
      </c>
      <c r="E872" s="3" t="str">
        <f>HYPERLINK("https://www.amazon.com/Jergens-Eucalyptus-Moisturizer-Essential-Moisturization/dp/B08BM2GV33/ref=sr_1_10?keywords=Rosemary+Mint+Body+Butter&amp;qid=1695258669&amp;rdc=1&amp;sr=8-10", "https://www.amazon.com/Jergens-Eucalyptus-Moisturizer-Essential-Moisturization/dp/B08BM2GV33/ref=sr_1_10?keywords=Rosemary+Mint+Body+Butter&amp;qid=1695258669&amp;rdc=1&amp;sr=8-10")</f>
        <v>https://www.amazon.com/Jergens-Eucalyptus-Moisturizer-Essential-Moisturization/dp/B08BM2GV33/ref=sr_1_10?keywords=Rosemary+Mint+Body+Butter&amp;qid=1695258669&amp;rdc=1&amp;sr=8-10</v>
      </c>
      <c r="F872" t="s">
        <v>2066</v>
      </c>
      <c r="G872" t="e">
        <f ca="1">IMAGE("https://heavenlyouthouse.com/cdn/shop/products/RosemaryMint-BodyButter.webp?v=1681505618")</f>
        <v>#NAME?</v>
      </c>
      <c r="H872" t="e">
        <f ca="1">IMAGE("https://m.media-amazon.com/images/I/615fASEmvuL._AC_UL320_.jpg")</f>
        <v>#NAME?</v>
      </c>
      <c r="I872" t="s">
        <v>233</v>
      </c>
      <c r="J872">
        <v>8.49</v>
      </c>
      <c r="K872" s="2" t="s">
        <v>2060</v>
      </c>
      <c r="L872">
        <v>4.4000000000000004</v>
      </c>
      <c r="M872">
        <v>2221</v>
      </c>
      <c r="O872" t="s">
        <v>39</v>
      </c>
      <c r="P872" t="s">
        <v>394</v>
      </c>
      <c r="Q872" t="s">
        <v>535</v>
      </c>
    </row>
    <row r="873" spans="1:17" ht="15.75" x14ac:dyDescent="0.25">
      <c r="A873" s="3" t="str">
        <f>HYPERLINK("https://heavenlyouthouse.com/products/lavender-body-lotion-1", "https://heavenlyouthouse.com/products/lavender-body-lotion-1")</f>
        <v>https://heavenlyouthouse.com/products/lavender-body-lotion-1</v>
      </c>
      <c r="B873" s="3" t="str">
        <f>HYPERLINK("https://heavenlyouthouse.com/products/lavender-body-lotion-1", "https://heavenlyouthouse.com/products/lavender-body-lotion-1")</f>
        <v>https://heavenlyouthouse.com/products/lavender-body-lotion-1</v>
      </c>
      <c r="C873" t="s">
        <v>1256</v>
      </c>
      <c r="D873" t="s">
        <v>2067</v>
      </c>
      <c r="E873" s="3" t="str">
        <f>HYPERLINK("https://www.amazon.com/Andalou-Naturals-Lavender-Refreshing-Lotion/dp/B083YGKNQQ/ref=sr_1_4?keywords=Thymes+Lavender+Body+Lotion&amp;qid=1695258763&amp;sr=8-4", "https://www.amazon.com/Andalou-Naturals-Lavender-Refreshing-Lotion/dp/B083YGKNQQ/ref=sr_1_4?keywords=Thymes+Lavender+Body+Lotion&amp;qid=1695258763&amp;sr=8-4")</f>
        <v>https://www.amazon.com/Andalou-Naturals-Lavender-Refreshing-Lotion/dp/B083YGKNQQ/ref=sr_1_4?keywords=Thymes+Lavender+Body+Lotion&amp;qid=1695258763&amp;sr=8-4</v>
      </c>
      <c r="F873" t="s">
        <v>2068</v>
      </c>
      <c r="G873" t="e">
        <f ca="1">IMAGE("https://heavenlyouthouse.com/cdn/shop/products/thymes-lavender-body-lotion_e8e915be-8de5-46da-8b4f-bb06a778fd96.png?v=1652277182")</f>
        <v>#NAME?</v>
      </c>
      <c r="H873" t="e">
        <f ca="1">IMAGE("https://m.media-amazon.com/images/I/4133U02iqKL._AC_UL320_.jpg")</f>
        <v>#NAME?</v>
      </c>
      <c r="I873" t="s">
        <v>1179</v>
      </c>
      <c r="J873">
        <v>18.989999999999998</v>
      </c>
      <c r="K873" s="2" t="s">
        <v>2060</v>
      </c>
      <c r="L873">
        <v>4.5999999999999996</v>
      </c>
      <c r="M873">
        <v>651</v>
      </c>
      <c r="O873" t="s">
        <v>39</v>
      </c>
      <c r="P873" t="s">
        <v>39</v>
      </c>
      <c r="Q873" t="s">
        <v>1257</v>
      </c>
    </row>
    <row r="874" spans="1:17" ht="15.75" x14ac:dyDescent="0.25">
      <c r="A874" s="3" t="str">
        <f>HYPERLINK("https://heavenlyouthouse.com/products/frasier-fir-3-wick-green-glass-candle", "https://heavenlyouthouse.com/products/frasier-fir-3-wick-green-glass-candle")</f>
        <v>https://heavenlyouthouse.com/products/frasier-fir-3-wick-green-glass-candle</v>
      </c>
      <c r="B874" s="3" t="str">
        <f>HYPERLINK("https://heavenlyouthouse.com/products/frasier-fir-3-wick-green-glass-candle", "https://heavenlyouthouse.com/products/frasier-fir-3-wick-green-glass-candle")</f>
        <v>https://heavenlyouthouse.com/products/frasier-fir-3-wick-green-glass-candle</v>
      </c>
      <c r="C874" t="s">
        <v>1335</v>
      </c>
      <c r="D874" t="s">
        <v>2069</v>
      </c>
      <c r="E874" s="3" t="str">
        <f>HYPERLINK("https://www.amazon.com/Frasier-Scented-Non-Toxic-Burning-Fragrance/dp/B08G3HMD8H/ref=sr_1_2?keywords=Thymes+Frasier+Fir+3-Wick+Green+Glass+Candle&amp;qid=1695258716&amp;sr=8-2", "https://www.amazon.com/Frasier-Scented-Non-Toxic-Burning-Fragrance/dp/B08G3HMD8H/ref=sr_1_2?keywords=Thymes+Frasier+Fir+3-Wick+Green+Glass+Candle&amp;qid=1695258716&amp;sr=8-2")</f>
        <v>https://www.amazon.com/Frasier-Scented-Non-Toxic-Burning-Fragrance/dp/B08G3HMD8H/ref=sr_1_2?keywords=Thymes+Frasier+Fir+3-Wick+Green+Glass+Candle&amp;qid=1695258716&amp;sr=8-2</v>
      </c>
      <c r="F874" t="s">
        <v>2070</v>
      </c>
      <c r="G874" t="e">
        <f ca="1">IMAGE("https://heavenlyouthouse.com/cdn/shop/products/frasier-fir-3-wick-candle-by-thymes53605_2.jpg?v=1606236113")</f>
        <v>#NAME?</v>
      </c>
      <c r="H874" t="e">
        <f ca="1">IMAGE("https://m.media-amazon.com/images/I/51mm80jR4+L._AC_UL320_.jpg")</f>
        <v>#NAME?</v>
      </c>
      <c r="I874" t="s">
        <v>1336</v>
      </c>
      <c r="J874">
        <v>42</v>
      </c>
      <c r="K874" s="2" t="s">
        <v>2060</v>
      </c>
      <c r="L874">
        <v>4.3</v>
      </c>
      <c r="M874">
        <v>344</v>
      </c>
      <c r="O874" t="s">
        <v>39</v>
      </c>
      <c r="P874" t="s">
        <v>1338</v>
      </c>
      <c r="Q874" t="s">
        <v>1339</v>
      </c>
    </row>
    <row r="875" spans="1:17" ht="15.75" x14ac:dyDescent="0.25">
      <c r="A875" s="3" t="str">
        <f>HYPERLINK("https://heavenlyouthouse.com/products/sunday-mens-crew-socks", "https://heavenlyouthouse.com/products/sunday-mens-crew-socks")</f>
        <v>https://heavenlyouthouse.com/products/sunday-mens-crew-socks</v>
      </c>
      <c r="B875" s="3" t="str">
        <f>HYPERLINK("https://heavenlyouthouse.com/products/sunday-mens-crew-socks", "https://heavenlyouthouse.com/products/sunday-mens-crew-socks")</f>
        <v>https://heavenlyouthouse.com/products/sunday-mens-crew-socks</v>
      </c>
      <c r="C875" t="s">
        <v>1098</v>
      </c>
      <c r="D875" t="s">
        <v>2071</v>
      </c>
      <c r="E875" s="3" t="str">
        <f>HYPERLINK("https://www.amazon.com/Hot-Sox-Artist-Sunday-Afternoon/dp/B00T93DQR8/ref=sr_1_1?keywords=Sunday+Men%27s+Crew+Socks&amp;qid=1695258713&amp;sr=8-1", "https://www.amazon.com/Hot-Sox-Artist-Sunday-Afternoon/dp/B00T93DQR8/ref=sr_1_1?keywords=Sunday+Men%27s+Crew+Socks&amp;qid=1695258713&amp;sr=8-1")</f>
        <v>https://www.amazon.com/Hot-Sox-Artist-Sunday-Afternoon/dp/B00T93DQR8/ref=sr_1_1?keywords=Sunday+Men%27s+Crew+Socks&amp;qid=1695258713&amp;sr=8-1</v>
      </c>
      <c r="F875" t="s">
        <v>2072</v>
      </c>
      <c r="G875" t="e">
        <f ca="1">IMAGE("https://heavenlyouthouse.com/cdn/shop/files/blue-q-cool-sunday-men_s-socks_300x300.jpg?v=1689179188")</f>
        <v>#NAME?</v>
      </c>
      <c r="H875" t="e">
        <f ca="1">IMAGE("https://m.media-amazon.com/images/I/81KKGRHMDEL._AC_UL320_.jpg")</f>
        <v>#NAME?</v>
      </c>
      <c r="I875" t="s">
        <v>802</v>
      </c>
      <c r="J875">
        <v>10.44</v>
      </c>
      <c r="K875" s="2" t="s">
        <v>2073</v>
      </c>
      <c r="L875">
        <v>4.5</v>
      </c>
      <c r="M875">
        <v>1825</v>
      </c>
      <c r="O875" t="s">
        <v>39</v>
      </c>
      <c r="P875" t="s">
        <v>803</v>
      </c>
      <c r="Q875" t="s">
        <v>1101</v>
      </c>
    </row>
    <row r="876" spans="1:17" ht="15.75" x14ac:dyDescent="0.25">
      <c r="A876" s="3" t="str">
        <f>HYPERLINK("https://heavenlyouthouse.com/products/scent-free-body-lotion", "https://heavenlyouthouse.com/products/scent-free-body-lotion")</f>
        <v>https://heavenlyouthouse.com/products/scent-free-body-lotion</v>
      </c>
      <c r="B876" s="3" t="str">
        <f>HYPERLINK("https://heavenlyouthouse.com/products/scent-free-body-lotion", "https://heavenlyouthouse.com/products/scent-free-body-lotion")</f>
        <v>https://heavenlyouthouse.com/products/scent-free-body-lotion</v>
      </c>
      <c r="C876" t="s">
        <v>1283</v>
      </c>
      <c r="D876" t="s">
        <v>2074</v>
      </c>
      <c r="E876" s="3" t="str">
        <f>HYPERLINK("https://www.amazon.com/Cur%C3%A9l-Fragrance-Comforting-Lotion-Sensitive/dp/B00171ETM6/ref=sr_1_1?keywords=Scent+Free+Body+Lotion&amp;qid=1695258677&amp;rdc=1&amp;sr=8-1", "https://www.amazon.com/Cur%C3%A9l-Fragrance-Comforting-Lotion-Sensitive/dp/B00171ETM6/ref=sr_1_1?keywords=Scent+Free+Body+Lotion&amp;qid=1695258677&amp;rdc=1&amp;sr=8-1")</f>
        <v>https://www.amazon.com/Cur%C3%A9l-Fragrance-Comforting-Lotion-Sensitive/dp/B00171ETM6/ref=sr_1_1?keywords=Scent+Free+Body+Lotion&amp;qid=1695258677&amp;rdc=1&amp;sr=8-1</v>
      </c>
      <c r="F876" t="s">
        <v>2075</v>
      </c>
      <c r="G876" t="e">
        <f ca="1">IMAGE("https://heavenlyouthouse.com/cdn/shop/products/Scent-Free_Body-Lotion_2048_2000x_12fe1f2b-c9b7-410b-bcaa-1736dd65bc07.jpg?v=1586911361")</f>
        <v>#NAME?</v>
      </c>
      <c r="H876" t="e">
        <f ca="1">IMAGE("https://m.media-amazon.com/images/I/61RLxkq4vML._AC_UL320_.jpg")</f>
        <v>#NAME?</v>
      </c>
      <c r="I876" t="s">
        <v>399</v>
      </c>
      <c r="J876">
        <v>10.97</v>
      </c>
      <c r="K876" s="2" t="s">
        <v>2073</v>
      </c>
      <c r="L876">
        <v>4.8</v>
      </c>
      <c r="M876">
        <v>4439</v>
      </c>
      <c r="O876" t="s">
        <v>39</v>
      </c>
      <c r="P876" t="s">
        <v>39</v>
      </c>
      <c r="Q876" t="s">
        <v>1286</v>
      </c>
    </row>
    <row r="877" spans="1:17" ht="15.75" x14ac:dyDescent="0.25">
      <c r="A877" s="3" t="str">
        <f>HYPERLINK("https://heavenlyouthouse.com/products/vanilla-coconut-foaming-wash-refill", "https://heavenlyouthouse.com/products/vanilla-coconut-foaming-wash-refill")</f>
        <v>https://heavenlyouthouse.com/products/vanilla-coconut-foaming-wash-refill</v>
      </c>
      <c r="B877" s="3" t="str">
        <f>HYPERLINK("https://heavenlyouthouse.com/products/vanilla-coconut-foaming-wash-refill", "https://heavenlyouthouse.com/products/vanilla-coconut-foaming-wash-refill")</f>
        <v>https://heavenlyouthouse.com/products/vanilla-coconut-foaming-wash-refill</v>
      </c>
      <c r="C877" t="s">
        <v>1871</v>
      </c>
      <c r="D877" t="s">
        <v>597</v>
      </c>
      <c r="E877" s="3" t="str">
        <f>HYPERLINK("https://www.amazon.com/Valentines-Moisturizing-Essential-Alcohol-Free-Bathroom/dp/B08YDYW68T/ref=sr_1_10?keywords=Vanilla+Coconut+Foaming+Wash+Refill&amp;qid=1695258811&amp;sr=8-10", "https://www.amazon.com/Valentines-Moisturizing-Essential-Alcohol-Free-Bathroom/dp/B08YDYW68T/ref=sr_1_10?keywords=Vanilla+Coconut+Foaming+Wash+Refill&amp;qid=1695258811&amp;sr=8-10")</f>
        <v>https://www.amazon.com/Valentines-Moisturizing-Essential-Alcohol-Free-Bathroom/dp/B08YDYW68T/ref=sr_1_10?keywords=Vanilla+Coconut+Foaming+Wash+Refill&amp;qid=1695258811&amp;sr=8-10</v>
      </c>
      <c r="F877" t="s">
        <v>598</v>
      </c>
      <c r="G877" t="e">
        <f ca="1">IMAGE("https://heavenlyouthouse.com/cdn/shop/products/vanilla-coconut-foaming-wash-refill_2000x_aae80d4b-1145-48a4-a580-2682c1c65014.jpg?v=1586811944")</f>
        <v>#NAME?</v>
      </c>
      <c r="H877" t="e">
        <f ca="1">IMAGE("https://m.media-amazon.com/images/I/81sVaNm6BcL._AC_UL320_.jpg")</f>
        <v>#NAME?</v>
      </c>
      <c r="I877" t="s">
        <v>1874</v>
      </c>
      <c r="J877">
        <v>24.99</v>
      </c>
      <c r="K877" s="2" t="s">
        <v>2073</v>
      </c>
      <c r="L877">
        <v>4.4000000000000004</v>
      </c>
      <c r="M877">
        <v>576</v>
      </c>
      <c r="O877" t="s">
        <v>39</v>
      </c>
      <c r="P877" t="s">
        <v>39</v>
      </c>
      <c r="Q877" t="s">
        <v>1875</v>
      </c>
    </row>
    <row r="878" spans="1:17" ht="15.75" x14ac:dyDescent="0.25">
      <c r="A878" s="3" t="str">
        <f>HYPERLINK("https://heavenlyouthouse.com/products/thymes-frasier-fir-pine-needle-candle", "https://heavenlyouthouse.com/products/thymes-frasier-fir-pine-needle-candle")</f>
        <v>https://heavenlyouthouse.com/products/thymes-frasier-fir-pine-needle-candle</v>
      </c>
      <c r="B878" s="3" t="str">
        <f>HYPERLINK("https://heavenlyouthouse.com/products/thymes-frasier-fir-pine-needle-candle", "https://heavenlyouthouse.com/products/thymes-frasier-fir-pine-needle-candle")</f>
        <v>https://heavenlyouthouse.com/products/thymes-frasier-fir-pine-needle-candle</v>
      </c>
      <c r="C878" t="s">
        <v>263</v>
      </c>
      <c r="D878" t="s">
        <v>2076</v>
      </c>
      <c r="E878" s="3" t="str">
        <f>HYPERLINK("https://www.amazon.com/Thymes-Frasier-Needle-Decorative-Candle/dp/B00YPP2XMY/ref=sr_1_4?keywords=Thymes+Frasier+Fir+Pine+Needle+Candle&amp;qid=1695258736&amp;sr=8-4", "https://www.amazon.com/Thymes-Frasier-Needle-Decorative-Candle/dp/B00YPP2XMY/ref=sr_1_4?keywords=Thymes+Frasier+Fir+Pine+Needle+Candle&amp;qid=1695258736&amp;sr=8-4")</f>
        <v>https://www.amazon.com/Thymes-Frasier-Needle-Decorative-Candle/dp/B00YPP2XMY/ref=sr_1_4?keywords=Thymes+Frasier+Fir+Pine+Needle+Candle&amp;qid=1695258736&amp;sr=8-4</v>
      </c>
      <c r="F878" t="s">
        <v>2077</v>
      </c>
      <c r="G878" t="e">
        <f ca="1">IMAGE("https://heavenlyouthouse.com/cdn/shop/products/thymesfrasierfirpineneedlecandle6.5oz.jpg?v=1619632712")</f>
        <v>#NAME?</v>
      </c>
      <c r="H878" t="e">
        <f ca="1">IMAGE("https://m.media-amazon.com/images/I/61+IQKh1OwL._AC_UL320_.jpg")</f>
        <v>#NAME?</v>
      </c>
      <c r="I878" t="s">
        <v>264</v>
      </c>
      <c r="J878">
        <v>22.81</v>
      </c>
      <c r="K878" s="2" t="s">
        <v>2073</v>
      </c>
      <c r="L878">
        <v>4.7</v>
      </c>
      <c r="M878">
        <v>3148</v>
      </c>
      <c r="O878" t="s">
        <v>39</v>
      </c>
      <c r="P878" t="s">
        <v>266</v>
      </c>
      <c r="Q878" t="s">
        <v>267</v>
      </c>
    </row>
    <row r="879" spans="1:17" ht="15.75" x14ac:dyDescent="0.25">
      <c r="A879" s="3" t="str">
        <f>HYPERLINK("https://heavenlyouthouse.com/products/usb-rechargeable-led-beanie-black", "https://heavenlyouthouse.com/products/usb-rechargeable-led-beanie-black")</f>
        <v>https://heavenlyouthouse.com/products/usb-rechargeable-led-beanie-black</v>
      </c>
      <c r="B879" s="3" t="str">
        <f>HYPERLINK("https://heavenlyouthouse.com/products/usb-rechargeable-led-beanie-black", "https://heavenlyouthouse.com/products/usb-rechargeable-led-beanie-black")</f>
        <v>https://heavenlyouthouse.com/products/usb-rechargeable-led-beanie-black</v>
      </c>
      <c r="C879" t="s">
        <v>688</v>
      </c>
      <c r="D879" t="s">
        <v>2078</v>
      </c>
      <c r="E879" s="3" t="str">
        <f>HYPERLINK("https://www.amazon.com/Lighted-Rechargeable-Headlamp-Cycling-Stocking/dp/B09DVH8YMV/ref=sr_1_5?keywords=USB+Rechargeable+LED+Beanie+-+Black&amp;qid=1695258801&amp;sr=8-5", "https://www.amazon.com/Lighted-Rechargeable-Headlamp-Cycling-Stocking/dp/B09DVH8YMV/ref=sr_1_5?keywords=USB+Rechargeable+LED+Beanie+-+Black&amp;qid=1695258801&amp;sr=8-5")</f>
        <v>https://www.amazon.com/Lighted-Rechargeable-Headlamp-Cycling-Stocking/dp/B09DVH8YMV/ref=sr_1_5?keywords=USB+Rechargeable+LED+Beanie+-+Black&amp;qid=1695258801&amp;sr=8-5</v>
      </c>
      <c r="F879" t="s">
        <v>2079</v>
      </c>
      <c r="G879" t="e">
        <f ca="1">IMAGE("https://heavenlyouthouse.com/cdn/shop/products/nightscoutrechargeableLEDtoqueblack_951f8ad0-7b76-49f7-ab39-c5624789256a.jpg?v=1669042861")</f>
        <v>#NAME?</v>
      </c>
      <c r="H879" t="e">
        <f ca="1">IMAGE("https://m.media-amazon.com/images/I/81zwmXQXu7L._AC_UL320_.jpg")</f>
        <v>#NAME?</v>
      </c>
      <c r="I879" t="s">
        <v>385</v>
      </c>
      <c r="J879">
        <v>14.99</v>
      </c>
      <c r="K879" s="2" t="s">
        <v>2073</v>
      </c>
      <c r="L879">
        <v>4.5999999999999996</v>
      </c>
      <c r="M879">
        <v>132</v>
      </c>
      <c r="O879" t="s">
        <v>39</v>
      </c>
      <c r="P879" t="s">
        <v>39</v>
      </c>
      <c r="Q879" t="s">
        <v>691</v>
      </c>
    </row>
    <row r="880" spans="1:17" ht="15.75" x14ac:dyDescent="0.25">
      <c r="A880" s="3" t="str">
        <f>HYPERLINK("https://heavenlyouthouse.com/products/usb-rechargeable-led-beanie-black", "https://heavenlyouthouse.com/products/usb-rechargeable-led-beanie-black")</f>
        <v>https://heavenlyouthouse.com/products/usb-rechargeable-led-beanie-black</v>
      </c>
      <c r="B880" s="3" t="str">
        <f>HYPERLINK("https://heavenlyouthouse.com/products/usb-rechargeable-led-beanie-black", "https://heavenlyouthouse.com/products/usb-rechargeable-led-beanie-black")</f>
        <v>https://heavenlyouthouse.com/products/usb-rechargeable-led-beanie-black</v>
      </c>
      <c r="C880" t="s">
        <v>688</v>
      </c>
      <c r="D880" t="s">
        <v>2080</v>
      </c>
      <c r="E880" s="3" t="str">
        <f>HYPERLINK("https://www.amazon.com/Rechargeable-Headlamp-Knitted-Flashlight-Husband/dp/B09D915WBT/ref=sr_1_2?keywords=USB+Rechargeable+LED+Beanie+-+Black&amp;qid=1695258801&amp;sr=8-2", "https://www.amazon.com/Rechargeable-Headlamp-Knitted-Flashlight-Husband/dp/B09D915WBT/ref=sr_1_2?keywords=USB+Rechargeable+LED+Beanie+-+Black&amp;qid=1695258801&amp;sr=8-2")</f>
        <v>https://www.amazon.com/Rechargeable-Headlamp-Knitted-Flashlight-Husband/dp/B09D915WBT/ref=sr_1_2?keywords=USB+Rechargeable+LED+Beanie+-+Black&amp;qid=1695258801&amp;sr=8-2</v>
      </c>
      <c r="F880" t="s">
        <v>2081</v>
      </c>
      <c r="G880" t="e">
        <f ca="1">IMAGE("https://heavenlyouthouse.com/cdn/shop/products/nightscoutrechargeableLEDtoqueblack_951f8ad0-7b76-49f7-ab39-c5624789256a.jpg?v=1669042861")</f>
        <v>#NAME?</v>
      </c>
      <c r="H880" t="e">
        <f ca="1">IMAGE("https://m.media-amazon.com/images/I/71gOHGkhmHL._AC_UL320_.jpg")</f>
        <v>#NAME?</v>
      </c>
      <c r="I880" t="s">
        <v>385</v>
      </c>
      <c r="J880">
        <v>14.99</v>
      </c>
      <c r="K880" s="2" t="s">
        <v>2073</v>
      </c>
      <c r="L880">
        <v>4.8</v>
      </c>
      <c r="M880">
        <v>2059</v>
      </c>
      <c r="O880" t="s">
        <v>39</v>
      </c>
      <c r="P880" t="s">
        <v>39</v>
      </c>
      <c r="Q880" t="s">
        <v>691</v>
      </c>
    </row>
    <row r="881" spans="1:17" ht="15.75" x14ac:dyDescent="0.25">
      <c r="A881" s="3" t="str">
        <f>HYPERLINK("https://heavenlyouthouse.com/products/lavender-home-fragrance-mist", "https://heavenlyouthouse.com/products/lavender-home-fragrance-mist")</f>
        <v>https://heavenlyouthouse.com/products/lavender-home-fragrance-mist</v>
      </c>
      <c r="B881" s="3" t="str">
        <f>HYPERLINK("https://heavenlyouthouse.com/products/lavender-home-fragrance-mist", "https://heavenlyouthouse.com/products/lavender-home-fragrance-mist")</f>
        <v>https://heavenlyouthouse.com/products/lavender-home-fragrance-mist</v>
      </c>
      <c r="C881" t="s">
        <v>928</v>
      </c>
      <c r="D881" t="s">
        <v>2082</v>
      </c>
      <c r="E881" s="3" t="str">
        <f>HYPERLINK("https://www.amazon.com/605-Products-Room-Spray-Freshener/dp/B0BY3GFKYC/ref=sr_1_10?keywords=Thymes+Lavender+Home+Fragrance+Mist&amp;qid=1695258762&amp;sr=8-10", "https://www.amazon.com/605-Products-Room-Spray-Freshener/dp/B0BY3GFKYC/ref=sr_1_10?keywords=Thymes+Lavender+Home+Fragrance+Mist&amp;qid=1695258762&amp;sr=8-10")</f>
        <v>https://www.amazon.com/605-Products-Room-Spray-Freshener/dp/B0BY3GFKYC/ref=sr_1_10?keywords=Thymes+Lavender+Home+Fragrance+Mist&amp;qid=1695258762&amp;sr=8-10</v>
      </c>
      <c r="F881" t="s">
        <v>2083</v>
      </c>
      <c r="G881" t="e">
        <f ca="1">IMAGE("https://heavenlyouthouse.com/cdn/shop/products/thymeslavenderhomefragrancemist.jpg?v=1606419352")</f>
        <v>#NAME?</v>
      </c>
      <c r="H881" t="e">
        <f ca="1">IMAGE("https://m.media-amazon.com/images/I/71YU8roQh7L._AC_UL320_.jpg")</f>
        <v>#NAME?</v>
      </c>
      <c r="I881" t="s">
        <v>385</v>
      </c>
      <c r="J881">
        <v>14.99</v>
      </c>
      <c r="K881" s="2" t="s">
        <v>2073</v>
      </c>
      <c r="L881">
        <v>4</v>
      </c>
      <c r="M881">
        <v>62</v>
      </c>
      <c r="O881" t="s">
        <v>39</v>
      </c>
      <c r="P881" t="s">
        <v>39</v>
      </c>
      <c r="Q881" t="s">
        <v>931</v>
      </c>
    </row>
    <row r="882" spans="1:17" ht="15.75" x14ac:dyDescent="0.25">
      <c r="A882" s="3" t="str">
        <f>HYPERLINK("https://heavenlyouthouse.com/products/thymes-lavender-eau-de-parfume-spray-pen", "https://heavenlyouthouse.com/products/thymes-lavender-eau-de-parfume-spray-pen")</f>
        <v>https://heavenlyouthouse.com/products/thymes-lavender-eau-de-parfume-spray-pen</v>
      </c>
      <c r="B882" s="3" t="str">
        <f>HYPERLINK("https://heavenlyouthouse.com/products/thymes-lavender-eau-de-parfume-spray-pen", "https://heavenlyouthouse.com/products/thymes-lavender-eau-de-parfume-spray-pen")</f>
        <v>https://heavenlyouthouse.com/products/thymes-lavender-eau-de-parfume-spray-pen</v>
      </c>
      <c r="C882" t="s">
        <v>1880</v>
      </c>
      <c r="D882" t="s">
        <v>1993</v>
      </c>
      <c r="E882" s="3" t="str">
        <f>HYPERLINK("https://www.amazon.com/Thymes-Fragrance-Duo-Lavender/dp/B08CVST7FY/ref=sr_1_2?keywords=thymes+lavender+eau+de+parfum+spray+pen&amp;qid=1695258758&amp;sr=8-2", "https://www.amazon.com/Thymes-Fragrance-Duo-Lavender/dp/B08CVST7FY/ref=sr_1_2?keywords=thymes+lavender+eau+de+parfum+spray+pen&amp;qid=1695258758&amp;sr=8-2")</f>
        <v>https://www.amazon.com/Thymes-Fragrance-Duo-Lavender/dp/B08CVST7FY/ref=sr_1_2?keywords=thymes+lavender+eau+de+parfum+spray+pen&amp;qid=1695258758&amp;sr=8-2</v>
      </c>
      <c r="F882" t="s">
        <v>1994</v>
      </c>
      <c r="G882" t="e">
        <f ca="1">IMAGE("https://heavenlyouthouse.com/cdn/shop/products/thymeslavendereaudeparfumespraypen.jpg?v=1614786986")</f>
        <v>#NAME?</v>
      </c>
      <c r="H882" t="e">
        <f ca="1">IMAGE("https://m.media-amazon.com/images/I/61GmE+ZLBYL._AC_UL320_.jpg")</f>
        <v>#NAME?</v>
      </c>
      <c r="I882" t="s">
        <v>500</v>
      </c>
      <c r="J882">
        <v>18</v>
      </c>
      <c r="K882" s="2" t="s">
        <v>2073</v>
      </c>
      <c r="L882">
        <v>4.4000000000000004</v>
      </c>
      <c r="M882">
        <v>57</v>
      </c>
      <c r="O882" t="s">
        <v>39</v>
      </c>
      <c r="P882" t="s">
        <v>39</v>
      </c>
      <c r="Q882" t="s">
        <v>1883</v>
      </c>
    </row>
    <row r="883" spans="1:17" ht="15.75" x14ac:dyDescent="0.25">
      <c r="A883" s="3" t="str">
        <f>HYPERLINK("https://heavenlyouthouse.com/products/thymes-frasier-fir-gilded-poured-candle-trio-set", "https://heavenlyouthouse.com/products/thymes-frasier-fir-gilded-poured-candle-trio-set")</f>
        <v>https://heavenlyouthouse.com/products/thymes-frasier-fir-gilded-poured-candle-trio-set</v>
      </c>
      <c r="B883" s="3" t="str">
        <f>HYPERLINK("https://heavenlyouthouse.com/products/thymes-frasier-fir-gilded-poured-candle-trio-set", "https://heavenlyouthouse.com/products/thymes-frasier-fir-gilded-poured-candle-trio-set")</f>
        <v>https://heavenlyouthouse.com/products/thymes-frasier-fir-gilded-poured-candle-trio-set</v>
      </c>
      <c r="C883" t="s">
        <v>1156</v>
      </c>
      <c r="D883" t="s">
        <v>945</v>
      </c>
      <c r="E883" s="3" t="str">
        <f>HYPERLINK("https://www.amazon.com/Thymes-Silver-Needle-Frasier-Candle/dp/B0B9CG2F5Y/ref=sr_1_4?keywords=Thymes+Frasier+Fir+Gilded+Poured+Candle+Trio&amp;qid=1695258729&amp;sr=8-4", "https://www.amazon.com/Thymes-Silver-Needle-Frasier-Candle/dp/B0B9CG2F5Y/ref=sr_1_4?keywords=Thymes+Frasier+Fir+Gilded+Poured+Candle+Trio&amp;qid=1695258729&amp;sr=8-4")</f>
        <v>https://www.amazon.com/Thymes-Silver-Needle-Frasier-Candle/dp/B0B9CG2F5Y/ref=sr_1_4?keywords=Thymes+Frasier+Fir+Gilded+Poured+Candle+Trio&amp;qid=1695258729&amp;sr=8-4</v>
      </c>
      <c r="F883" t="s">
        <v>946</v>
      </c>
      <c r="G883" t="e">
        <f ca="1">IMAGE("https://heavenlyouthouse.com/cdn/shop/products/Thymes-Frasier-Fir-Gilded-ceramic-candle-trio-set.jpg?v=1660769749")</f>
        <v>#NAME?</v>
      </c>
      <c r="H883" t="e">
        <f ca="1">IMAGE("https://m.media-amazon.com/images/I/61QrKA8Z9cL._AC_UL320_.jpg")</f>
        <v>#NAME?</v>
      </c>
      <c r="I883" t="s">
        <v>1157</v>
      </c>
      <c r="J883">
        <v>36</v>
      </c>
      <c r="K883" s="2" t="s">
        <v>2084</v>
      </c>
      <c r="L883">
        <v>5</v>
      </c>
      <c r="M883">
        <v>2</v>
      </c>
      <c r="O883" t="s">
        <v>39</v>
      </c>
      <c r="P883" t="s">
        <v>39</v>
      </c>
      <c r="Q883" t="s">
        <v>1159</v>
      </c>
    </row>
    <row r="884" spans="1:17" ht="15.75" x14ac:dyDescent="0.25">
      <c r="A884" s="3" t="str">
        <f>HYPERLINK("https://heavenlyouthouse.com/products/shit-show-candle", "https://heavenlyouthouse.com/products/shit-show-candle")</f>
        <v>https://heavenlyouthouse.com/products/shit-show-candle</v>
      </c>
      <c r="B884" s="3" t="str">
        <f>HYPERLINK("https://heavenlyouthouse.com/products/shit-show-candle", "https://heavenlyouthouse.com/products/shit-show-candle")</f>
        <v>https://heavenlyouthouse.com/products/shit-show-candle</v>
      </c>
      <c r="C884" t="s">
        <v>1967</v>
      </c>
      <c r="D884" t="s">
        <v>2085</v>
      </c>
      <c r="E884" s="3" t="str">
        <f>HYPERLINK("https://www.amazon.com/LaPomme-Ringmaster-Microwave-Dishwasher-Ceramic/dp/B0BWJGZRJ1/ref=sr_1_5?keywords=Shit+Show+Candle&amp;qid=1695258690&amp;sr=8-5", "https://www.amazon.com/LaPomme-Ringmaster-Microwave-Dishwasher-Ceramic/dp/B0BWJGZRJ1/ref=sr_1_5?keywords=Shit+Show+Candle&amp;qid=1695258690&amp;sr=8-5")</f>
        <v>https://www.amazon.com/LaPomme-Ringmaster-Microwave-Dishwasher-Ceramic/dp/B0BWJGZRJ1/ref=sr_1_5?keywords=Shit+Show+Candle&amp;qid=1695258690&amp;sr=8-5</v>
      </c>
      <c r="F884" t="s">
        <v>2086</v>
      </c>
      <c r="G884" t="e">
        <f ca="1">IMAGE("https://heavenlyouthouse.com/cdn/shop/products/shitshowcandle.jpg?v=1620680822")</f>
        <v>#NAME?</v>
      </c>
      <c r="H884" t="e">
        <f ca="1">IMAGE("https://m.media-amazon.com/images/I/61O0HXdaq2L._AC_UL320_.jpg")</f>
        <v>#NAME?</v>
      </c>
      <c r="I884" t="s">
        <v>1211</v>
      </c>
      <c r="J884">
        <v>19.95</v>
      </c>
      <c r="K884" s="2" t="s">
        <v>2084</v>
      </c>
      <c r="L884">
        <v>5</v>
      </c>
      <c r="M884">
        <v>2</v>
      </c>
      <c r="O884" t="s">
        <v>39</v>
      </c>
      <c r="P884" t="s">
        <v>39</v>
      </c>
      <c r="Q884" t="s">
        <v>1970</v>
      </c>
    </row>
    <row r="885" spans="1:17" ht="15.75" x14ac:dyDescent="0.25">
      <c r="A885" s="3" t="str">
        <f>HYPERLINK("https://heavenlyouthouse.com/products/scent-free-body-lotion", "https://heavenlyouthouse.com/products/scent-free-body-lotion")</f>
        <v>https://heavenlyouthouse.com/products/scent-free-body-lotion</v>
      </c>
      <c r="B885" s="3" t="str">
        <f>HYPERLINK("https://heavenlyouthouse.com/products/scent-free-body-lotion", "https://heavenlyouthouse.com/products/scent-free-body-lotion")</f>
        <v>https://heavenlyouthouse.com/products/scent-free-body-lotion</v>
      </c>
      <c r="C885" t="s">
        <v>1283</v>
      </c>
      <c r="D885" t="s">
        <v>2087</v>
      </c>
      <c r="E885" s="3" t="str">
        <f>HYPERLINK("https://www.amazon.com/Skin-Relief-Fragrance-Free-Moisturizing-Lotion/dp/B0013OJUY4/ref=sr_1_10?keywords=Scent+Free+Body+Lotion&amp;qid=1695258677&amp;sr=8-10", "https://www.amazon.com/Skin-Relief-Fragrance-Free-Moisturizing-Lotion/dp/B0013OJUY4/ref=sr_1_10?keywords=Scent+Free+Body+Lotion&amp;qid=1695258677&amp;sr=8-10")</f>
        <v>https://www.amazon.com/Skin-Relief-Fragrance-Free-Moisturizing-Lotion/dp/B0013OJUY4/ref=sr_1_10?keywords=Scent+Free+Body+Lotion&amp;qid=1695258677&amp;sr=8-10</v>
      </c>
      <c r="F885" t="s">
        <v>2088</v>
      </c>
      <c r="G885" t="e">
        <f ca="1">IMAGE("https://heavenlyouthouse.com/cdn/shop/products/Scent-Free_Body-Lotion_2048_2000x_12fe1f2b-c9b7-410b-bcaa-1736dd65bc07.jpg?v=1586911361")</f>
        <v>#NAME?</v>
      </c>
      <c r="H885" t="e">
        <f ca="1">IMAGE("https://m.media-amazon.com/images/I/6135QGuxrLL._AC_UL320_.jpg")</f>
        <v>#NAME?</v>
      </c>
      <c r="I885" t="s">
        <v>399</v>
      </c>
      <c r="J885">
        <v>10.67</v>
      </c>
      <c r="K885" s="2" t="s">
        <v>2084</v>
      </c>
      <c r="L885">
        <v>4.7</v>
      </c>
      <c r="M885">
        <v>34929</v>
      </c>
      <c r="O885" t="s">
        <v>39</v>
      </c>
      <c r="P885" t="s">
        <v>39</v>
      </c>
      <c r="Q885" t="s">
        <v>1286</v>
      </c>
    </row>
    <row r="886" spans="1:17" ht="15.75" x14ac:dyDescent="0.25">
      <c r="A886" s="3" t="str">
        <f>HYPERLINK("https://heavenlyouthouse.com/products/prana-yellow-gold-meditation-ring", "https://heavenlyouthouse.com/products/prana-yellow-gold-meditation-ring")</f>
        <v>https://heavenlyouthouse.com/products/prana-yellow-gold-meditation-ring</v>
      </c>
      <c r="B886" s="3" t="str">
        <f>HYPERLINK("https://heavenlyouthouse.com/products/prana-yellow-gold-meditation-ring", "https://heavenlyouthouse.com/products/prana-yellow-gold-meditation-ring")</f>
        <v>https://heavenlyouthouse.com/products/prana-yellow-gold-meditation-ring</v>
      </c>
      <c r="C886" t="s">
        <v>846</v>
      </c>
      <c r="D886" t="s">
        <v>2089</v>
      </c>
      <c r="E886" s="3" t="str">
        <f>HYPERLINK("https://www.amazon.com/Sterling-Creations-Meditation-yellow-gold-sterling-silver/dp/B08T1RDTC6/ref=sr_1_8?keywords=Prana+Yellow+Gold+Meditation+Ring&amp;qid=1695258649&amp;sr=8-8", "https://www.amazon.com/Sterling-Creations-Meditation-yellow-gold-sterling-silver/dp/B08T1RDTC6/ref=sr_1_8?keywords=Prana+Yellow+Gold+Meditation+Ring&amp;qid=1695258649&amp;sr=8-8")</f>
        <v>https://www.amazon.com/Sterling-Creations-Meditation-yellow-gold-sterling-silver/dp/B08T1RDTC6/ref=sr_1_8?keywords=Prana+Yellow+Gold+Meditation+Ring&amp;qid=1695258649&amp;sr=8-8</v>
      </c>
      <c r="F886" t="s">
        <v>2090</v>
      </c>
      <c r="G886" t="e">
        <f ca="1">IMAGE("https://heavenlyouthouse.com/cdn/shop/products/prana-yellow-gold-meditation-ring.gif?v=1634241843")</f>
        <v>#NAME?</v>
      </c>
      <c r="H886" t="e">
        <f ca="1">IMAGE("https://m.media-amazon.com/images/I/51VSaVrZclL._AC_UL320_.jpg")</f>
        <v>#NAME?</v>
      </c>
      <c r="I886" t="s">
        <v>849</v>
      </c>
      <c r="J886">
        <v>59.99</v>
      </c>
      <c r="K886" s="2" t="s">
        <v>2091</v>
      </c>
      <c r="L886">
        <v>4.4000000000000004</v>
      </c>
      <c r="M886">
        <v>164</v>
      </c>
      <c r="O886" t="s">
        <v>39</v>
      </c>
      <c r="P886" t="s">
        <v>39</v>
      </c>
      <c r="Q886" t="s">
        <v>850</v>
      </c>
    </row>
    <row r="887" spans="1:17" ht="15.75" x14ac:dyDescent="0.25">
      <c r="A887" s="3" t="str">
        <f>HYPERLINK("https://heavenlyouthouse.com/products/your-moment-card", "https://heavenlyouthouse.com/products/your-moment-card")</f>
        <v>https://heavenlyouthouse.com/products/your-moment-card</v>
      </c>
      <c r="B887" s="3" t="str">
        <f>HYPERLINK("https://heavenlyouthouse.com/products/your-moment-card", "https://heavenlyouthouse.com/products/your-moment-card")</f>
        <v>https://heavenlyouthouse.com/products/your-moment-card</v>
      </c>
      <c r="C887" t="s">
        <v>350</v>
      </c>
      <c r="D887" t="s">
        <v>2092</v>
      </c>
      <c r="E887" s="3" t="str">
        <f>HYPERLINK("https://www.amazon.com/Sympathy-Loss-Your-Mother-Condolences/dp/B08MCV56XK/ref=sr_1_8?keywords=Your+Moment+Card&amp;qid=1695258833&amp;sr=8-8", "https://www.amazon.com/Sympathy-Loss-Your-Mother-Condolences/dp/B08MCV56XK/ref=sr_1_8?keywords=Your+Moment+Card&amp;qid=1695258833&amp;sr=8-8")</f>
        <v>https://www.amazon.com/Sympathy-Loss-Your-Mother-Condolences/dp/B08MCV56XK/ref=sr_1_8?keywords=Your+Moment+Card&amp;qid=1695258833&amp;sr=8-8</v>
      </c>
      <c r="F887" t="s">
        <v>2093</v>
      </c>
      <c r="G887" t="e">
        <f ca="1">IMAGE("https://heavenlyouthouse.com/cdn/shop/products/congrats.jpg?v=1600889342")</f>
        <v>#NAME?</v>
      </c>
      <c r="H887" t="e">
        <f ca="1">IMAGE("https://m.media-amazon.com/images/I/61S1LpoVRPL._AC_UL320_.jpg")</f>
        <v>#NAME?</v>
      </c>
      <c r="I887" t="s">
        <v>105</v>
      </c>
      <c r="J887">
        <v>2.99</v>
      </c>
      <c r="K887" s="2" t="s">
        <v>2091</v>
      </c>
      <c r="L887">
        <v>5</v>
      </c>
      <c r="M887">
        <v>6</v>
      </c>
      <c r="O887" t="s">
        <v>39</v>
      </c>
      <c r="P887" t="s">
        <v>39</v>
      </c>
      <c r="Q887" t="s">
        <v>354</v>
      </c>
    </row>
    <row r="888" spans="1:17" ht="15.75" x14ac:dyDescent="0.25">
      <c r="A888" s="3" t="str">
        <f>HYPERLINK("https://heavenlyouthouse.com/products/super-dad-fathers-day-card", "https://heavenlyouthouse.com/products/super-dad-fathers-day-card")</f>
        <v>https://heavenlyouthouse.com/products/super-dad-fathers-day-card</v>
      </c>
      <c r="B888" s="3" t="str">
        <f>HYPERLINK("https://heavenlyouthouse.com/products/super-dad-fathers-day-card", "https://heavenlyouthouse.com/products/super-dad-fathers-day-card")</f>
        <v>https://heavenlyouthouse.com/products/super-dad-fathers-day-card</v>
      </c>
      <c r="C888" t="s">
        <v>886</v>
      </c>
      <c r="D888" t="s">
        <v>2094</v>
      </c>
      <c r="E888" s="3" t="str">
        <f>HYPERLINK("https://www.amazon.com/Happy-Fathers-Sweet-Superhero-Sentimental/dp/B08ZCKKYJX/ref=sr_1_9?keywords=Super+Dad+Father%27s+Day+Card&amp;qid=1695258705&amp;sr=8-9", "https://www.amazon.com/Happy-Fathers-Sweet-Superhero-Sentimental/dp/B08ZCKKYJX/ref=sr_1_9?keywords=Super+Dad+Father%27s+Day+Card&amp;qid=1695258705&amp;sr=8-9")</f>
        <v>https://www.amazon.com/Happy-Fathers-Sweet-Superhero-Sentimental/dp/B08ZCKKYJX/ref=sr_1_9?keywords=Super+Dad+Father%27s+Day+Card&amp;qid=1695258705&amp;sr=8-9</v>
      </c>
      <c r="F888" t="s">
        <v>2095</v>
      </c>
      <c r="G888" t="e">
        <f ca="1">IMAGE("https://heavenlyouthouse.com/cdn/shop/products/super-dad-father_s-day-card2.jpg?v=1642611898")</f>
        <v>#NAME?</v>
      </c>
      <c r="H888" t="e">
        <f ca="1">IMAGE("https://m.media-amazon.com/images/I/81w-KbtDxqL._AC_UL320_.jpg")</f>
        <v>#NAME?</v>
      </c>
      <c r="I888" t="s">
        <v>889</v>
      </c>
      <c r="J888">
        <v>5.26</v>
      </c>
      <c r="K888" s="2" t="s">
        <v>2091</v>
      </c>
      <c r="L888">
        <v>4.8</v>
      </c>
      <c r="M888">
        <v>794</v>
      </c>
      <c r="O888" t="s">
        <v>39</v>
      </c>
      <c r="P888" t="s">
        <v>891</v>
      </c>
      <c r="Q888" t="s">
        <v>892</v>
      </c>
    </row>
    <row r="889" spans="1:17" ht="15.75" x14ac:dyDescent="0.25">
      <c r="A889" s="3" t="str">
        <f>HYPERLINK("https://heavenlyouthouse.com/products/eucalyptus-body-wash", "https://heavenlyouthouse.com/products/eucalyptus-body-wash")</f>
        <v>https://heavenlyouthouse.com/products/eucalyptus-body-wash</v>
      </c>
      <c r="B889" s="3" t="str">
        <f>HYPERLINK("https://heavenlyouthouse.com/products/eucalyptus-body-wash", "https://heavenlyouthouse.com/products/eucalyptus-body-wash")</f>
        <v>https://heavenlyouthouse.com/products/eucalyptus-body-wash</v>
      </c>
      <c r="C889" t="s">
        <v>832</v>
      </c>
      <c r="D889" t="s">
        <v>1344</v>
      </c>
      <c r="E889" s="3" t="str">
        <f>HYPERLINK("https://www.amazon.com/Thymes-Eucalyptus-Hydrating-Liquid-Soothing/dp/B002WJHL3Q/ref=sr_1_6?keywords=Thymes+Eucalyptus+Body+Wash&amp;qid=1695258723&amp;sr=8-6", "https://www.amazon.com/Thymes-Eucalyptus-Hydrating-Liquid-Soothing/dp/B002WJHL3Q/ref=sr_1_6?keywords=Thymes+Eucalyptus+Body+Wash&amp;qid=1695258723&amp;sr=8-6")</f>
        <v>https://www.amazon.com/Thymes-Eucalyptus-Hydrating-Liquid-Soothing/dp/B002WJHL3Q/ref=sr_1_6?keywords=Thymes+Eucalyptus+Body+Wash&amp;qid=1695258723&amp;sr=8-6</v>
      </c>
      <c r="F889" t="s">
        <v>1345</v>
      </c>
      <c r="G889" t="e">
        <f ca="1">IMAGE("https://heavenlyouthouse.com/cdn/shop/products/thymes-eucalyptus-body-wash.jpg?v=1638555917")</f>
        <v>#NAME?</v>
      </c>
      <c r="H889" t="e">
        <f ca="1">IMAGE("https://m.media-amazon.com/images/I/51qrovuTigL._AC_UL320_.jpg")</f>
        <v>#NAME?</v>
      </c>
      <c r="I889" t="s">
        <v>835</v>
      </c>
      <c r="J889">
        <v>16</v>
      </c>
      <c r="K889" s="2" t="s">
        <v>2091</v>
      </c>
      <c r="L889">
        <v>4.5999999999999996</v>
      </c>
      <c r="M889">
        <v>3441</v>
      </c>
      <c r="O889" t="s">
        <v>39</v>
      </c>
      <c r="P889" t="s">
        <v>39</v>
      </c>
      <c r="Q889" t="s">
        <v>836</v>
      </c>
    </row>
    <row r="890" spans="1:17" ht="15.75" x14ac:dyDescent="0.25">
      <c r="A890" s="3" t="str">
        <f>HYPERLINK("https://heavenlyouthouse.com/products/goldleaf-body-wash", "https://heavenlyouthouse.com/products/goldleaf-body-wash")</f>
        <v>https://heavenlyouthouse.com/products/goldleaf-body-wash</v>
      </c>
      <c r="B890" s="3" t="str">
        <f>HYPERLINK("https://heavenlyouthouse.com/products/goldleaf-body-wash", "https://heavenlyouthouse.com/products/goldleaf-body-wash")</f>
        <v>https://heavenlyouthouse.com/products/goldleaf-body-wash</v>
      </c>
      <c r="C890" t="s">
        <v>1112</v>
      </c>
      <c r="D890" t="s">
        <v>1348</v>
      </c>
      <c r="E890" s="3" t="str">
        <f>HYPERLINK("https://www.amazon.com/Thymes-Goldleaf-Hydrating-Liquid-Elegant/dp/B003718H1I/ref=sr_1_5?keywords=Thymes+Goldleaf+Body+Wash&amp;qid=1695258751&amp;sr=8-5", "https://www.amazon.com/Thymes-Goldleaf-Hydrating-Liquid-Elegant/dp/B003718H1I/ref=sr_1_5?keywords=Thymes+Goldleaf+Body+Wash&amp;qid=1695258751&amp;sr=8-5")</f>
        <v>https://www.amazon.com/Thymes-Goldleaf-Hydrating-Liquid-Elegant/dp/B003718H1I/ref=sr_1_5?keywords=Thymes+Goldleaf+Body+Wash&amp;qid=1695258751&amp;sr=8-5</v>
      </c>
      <c r="F890" t="s">
        <v>1349</v>
      </c>
      <c r="G890" t="e">
        <f ca="1">IMAGE("https://heavenlyouthouse.com/cdn/shop/products/thymes-goldleaf-perfumed-body-wash_c77d8ae5-0456-44d3-9c0f-fdae5ab83836.png?v=1652277031")</f>
        <v>#NAME?</v>
      </c>
      <c r="H890" t="e">
        <f ca="1">IMAGE("https://m.media-amazon.com/images/I/51+XE0ZcrJL._AC_UL320_.jpg")</f>
        <v>#NAME?</v>
      </c>
      <c r="I890" t="s">
        <v>835</v>
      </c>
      <c r="J890">
        <v>16</v>
      </c>
      <c r="K890" s="2" t="s">
        <v>2091</v>
      </c>
      <c r="L890">
        <v>4.5999999999999996</v>
      </c>
      <c r="M890">
        <v>3441</v>
      </c>
      <c r="O890" t="s">
        <v>39</v>
      </c>
      <c r="P890" t="s">
        <v>39</v>
      </c>
      <c r="Q890" t="s">
        <v>1113</v>
      </c>
    </row>
    <row r="891" spans="1:17" ht="15.75" x14ac:dyDescent="0.25">
      <c r="A891" s="3" t="str">
        <f>HYPERLINK("https://heavenlyouthouse.com/products/thymes-olive-leaf-body-wash", "https://heavenlyouthouse.com/products/thymes-olive-leaf-body-wash")</f>
        <v>https://heavenlyouthouse.com/products/thymes-olive-leaf-body-wash</v>
      </c>
      <c r="B891" s="3" t="str">
        <f>HYPERLINK("https://heavenlyouthouse.com/products/thymes-olive-leaf-body-wash", "https://heavenlyouthouse.com/products/thymes-olive-leaf-body-wash")</f>
        <v>https://heavenlyouthouse.com/products/thymes-olive-leaf-body-wash</v>
      </c>
      <c r="C891" t="s">
        <v>1281</v>
      </c>
      <c r="D891" t="s">
        <v>1354</v>
      </c>
      <c r="E891" s="3" t="str">
        <f>HYPERLINK("https://www.amazon.com/Thymes-Olive-Hydrating-Liquid-Natural/dp/B002WJHL54/ref=sr_1_2?keywords=Thymes+Olive+Leaf+Body+Wash&amp;qid=1695258780&amp;sr=8-2", "https://www.amazon.com/Thymes-Olive-Hydrating-Liquid-Natural/dp/B002WJHL54/ref=sr_1_2?keywords=Thymes+Olive+Leaf+Body+Wash&amp;qid=1695258780&amp;sr=8-2")</f>
        <v>https://www.amazon.com/Thymes-Olive-Hydrating-Liquid-Natural/dp/B002WJHL54/ref=sr_1_2?keywords=Thymes+Olive+Leaf+Body+Wash&amp;qid=1695258780&amp;sr=8-2</v>
      </c>
      <c r="F891" t="s">
        <v>1355</v>
      </c>
      <c r="G891" t="e">
        <f ca="1">IMAGE("https://heavenlyouthouse.com/cdn/shop/files/thymes-olive-leaf-body-wash_300x300.jpg?v=1685115046")</f>
        <v>#NAME?</v>
      </c>
      <c r="H891" t="e">
        <f ca="1">IMAGE("https://m.media-amazon.com/images/I/6119Dw7kcOL._AC_UL320_.jpg")</f>
        <v>#NAME?</v>
      </c>
      <c r="I891" t="s">
        <v>835</v>
      </c>
      <c r="J891">
        <v>16</v>
      </c>
      <c r="K891" s="2" t="s">
        <v>2091</v>
      </c>
      <c r="L891">
        <v>4.5999999999999996</v>
      </c>
      <c r="M891">
        <v>3441</v>
      </c>
      <c r="O891" t="s">
        <v>39</v>
      </c>
      <c r="P891" t="s">
        <v>39</v>
      </c>
      <c r="Q891" t="s">
        <v>1282</v>
      </c>
    </row>
    <row r="892" spans="1:17" ht="15.75" x14ac:dyDescent="0.25">
      <c r="A892" s="3" t="str">
        <f>HYPERLINK("https://heavenlyouthouse.com/products/kimono-rose-body-wash", "https://heavenlyouthouse.com/products/kimono-rose-body-wash")</f>
        <v>https://heavenlyouthouse.com/products/kimono-rose-body-wash</v>
      </c>
      <c r="B892" s="3" t="str">
        <f>HYPERLINK("https://heavenlyouthouse.com/products/kimono-rose-body-wash", "https://heavenlyouthouse.com/products/kimono-rose-body-wash")</f>
        <v>https://heavenlyouthouse.com/products/kimono-rose-body-wash</v>
      </c>
      <c r="C892" t="s">
        <v>1116</v>
      </c>
      <c r="D892" t="s">
        <v>1360</v>
      </c>
      <c r="E892" s="3" t="str">
        <f>HYPERLINK("https://www.amazon.com/Thymes-Kimono-Hydrating-Liquid-Vanilla/dp/B0746Q1XL3/ref=sr_1_3?keywords=Thymes+Kimono+Rose+Body+Wash&amp;qid=1695258755&amp;sr=8-3", "https://www.amazon.com/Thymes-Kimono-Hydrating-Liquid-Vanilla/dp/B0746Q1XL3/ref=sr_1_3?keywords=Thymes+Kimono+Rose+Body+Wash&amp;qid=1695258755&amp;sr=8-3")</f>
        <v>https://www.amazon.com/Thymes-Kimono-Hydrating-Liquid-Vanilla/dp/B0746Q1XL3/ref=sr_1_3?keywords=Thymes+Kimono+Rose+Body+Wash&amp;qid=1695258755&amp;sr=8-3</v>
      </c>
      <c r="F892" t="s">
        <v>1361</v>
      </c>
      <c r="G892" t="e">
        <f ca="1">IMAGE("https://heavenlyouthouse.com/cdn/shop/files/thymes-kimono-rose-body-wash.jpg?v=1687275425")</f>
        <v>#NAME?</v>
      </c>
      <c r="H892" t="e">
        <f ca="1">IMAGE("https://m.media-amazon.com/images/I/61F3lPsq1QL._AC_UL320_.jpg")</f>
        <v>#NAME?</v>
      </c>
      <c r="I892" t="s">
        <v>835</v>
      </c>
      <c r="J892">
        <v>16</v>
      </c>
      <c r="K892" s="2" t="s">
        <v>2091</v>
      </c>
      <c r="L892">
        <v>4.5999999999999996</v>
      </c>
      <c r="M892">
        <v>3441</v>
      </c>
      <c r="O892" t="s">
        <v>39</v>
      </c>
      <c r="P892" t="s">
        <v>39</v>
      </c>
      <c r="Q892" t="s">
        <v>1117</v>
      </c>
    </row>
    <row r="893" spans="1:17" ht="15.75" x14ac:dyDescent="0.25">
      <c r="A893" s="3" t="str">
        <f>HYPERLINK("https://heavenlyouthouse.com/products/whiskey-mens-crew-socks", "https://heavenlyouthouse.com/products/whiskey-mens-crew-socks")</f>
        <v>https://heavenlyouthouse.com/products/whiskey-mens-crew-socks</v>
      </c>
      <c r="B893" s="3" t="str">
        <f>HYPERLINK("https://heavenlyouthouse.com/products/whiskey-mens-crew-socks", "https://heavenlyouthouse.com/products/whiskey-mens-crew-socks")</f>
        <v>https://heavenlyouthouse.com/products/whiskey-mens-crew-socks</v>
      </c>
      <c r="C893" t="s">
        <v>1665</v>
      </c>
      <c r="D893" t="s">
        <v>2096</v>
      </c>
      <c r="E893" s="3" t="str">
        <f>HYPERLINK("https://www.amazon.com/Crazy-Dog-T-Shirts-Distracted-Drinking/dp/B0BKB323P8/ref=sr_1_6?keywords=Whiskey+Mens+Crew+Socks&amp;qid=1695258823&amp;sr=8-6", "https://www.amazon.com/Crazy-Dog-T-Shirts-Distracted-Drinking/dp/B0BKB323P8/ref=sr_1_6?keywords=Whiskey+Mens+Crew+Socks&amp;qid=1695258823&amp;sr=8-6")</f>
        <v>https://www.amazon.com/Crazy-Dog-T-Shirts-Distracted-Drinking/dp/B0BKB323P8/ref=sr_1_6?keywords=Whiskey+Mens+Crew+Socks&amp;qid=1695258823&amp;sr=8-6</v>
      </c>
      <c r="F893" t="s">
        <v>2097</v>
      </c>
      <c r="G893" t="e">
        <f ca="1">IMAGE("https://heavenlyouthouse.com/cdn/shop/files/blue-q-cool-whiskey-men_s-socks_300x300.jpg?v=1689179660")</f>
        <v>#NAME?</v>
      </c>
      <c r="H893" t="e">
        <f ca="1">IMAGE("https://m.media-amazon.com/images/I/71BpJSTmCKL._AC_UL320_.jpg")</f>
        <v>#NAME?</v>
      </c>
      <c r="I893" t="s">
        <v>802</v>
      </c>
      <c r="J893">
        <v>9.99</v>
      </c>
      <c r="K893" s="2" t="s">
        <v>2091</v>
      </c>
      <c r="L893">
        <v>4</v>
      </c>
      <c r="M893">
        <v>3</v>
      </c>
      <c r="O893" t="s">
        <v>39</v>
      </c>
      <c r="P893" t="s">
        <v>803</v>
      </c>
      <c r="Q893" t="s">
        <v>1668</v>
      </c>
    </row>
    <row r="894" spans="1:17" ht="15.75" x14ac:dyDescent="0.25">
      <c r="A894" s="3" t="str">
        <f>HYPERLINK("https://heavenlyouthouse.com/products/variety-pack-cocktail-bombs?variant=39387715469401", "https://heavenlyouthouse.com/products/variety-pack-cocktail-bombs?variant=39387715469401")</f>
        <v>https://heavenlyouthouse.com/products/variety-pack-cocktail-bombs?variant=39387715469401</v>
      </c>
      <c r="B894" s="3" t="str">
        <f>HYPERLINK("https://heavenlyouthouse.com/products/variety-pack-cocktail-bombs", "https://heavenlyouthouse.com/products/variety-pack-cocktail-bombs")</f>
        <v>https://heavenlyouthouse.com/products/variety-pack-cocktail-bombs</v>
      </c>
      <c r="C894" t="s">
        <v>730</v>
      </c>
      <c r="D894" t="s">
        <v>2098</v>
      </c>
      <c r="E894" s="3" t="str">
        <f>HYPERLINK("https://www.amazon.com/Craftmix-Variety-10-pack-Box/dp/B07FJMQR99/ref=sr_1_3?keywords=Variety+Pack+Cocktail+Bombs&amp;qid=1695258815&amp;sr=8-3", "https://www.amazon.com/Craftmix-Variety-10-pack-Box/dp/B07FJMQR99/ref=sr_1_3?keywords=Variety+Pack+Cocktail+Bombs&amp;qid=1695258815&amp;sr=8-3")</f>
        <v>https://www.amazon.com/Craftmix-Variety-10-pack-Box/dp/B07FJMQR99/ref=sr_1_3?keywords=Variety+Pack+Cocktail+Bombs&amp;qid=1695258815&amp;sr=8-3</v>
      </c>
      <c r="F894" t="s">
        <v>2099</v>
      </c>
      <c r="G894" t="e">
        <f ca="1">IMAGE("https://heavenlyouthouse.com/cdn/shop/products/cocktail-bombs-variety-pack.jpg?v=1626724745")</f>
        <v>#NAME?</v>
      </c>
      <c r="H894" t="e">
        <f ca="1">IMAGE("https://m.media-amazon.com/images/I/71WwjdTpYRL._AC_UL320_.jpg")</f>
        <v>#NAME?</v>
      </c>
      <c r="I894" t="s">
        <v>286</v>
      </c>
      <c r="J894">
        <v>14.99</v>
      </c>
      <c r="K894" s="2" t="s">
        <v>2091</v>
      </c>
      <c r="L894">
        <v>4.3</v>
      </c>
      <c r="M894">
        <v>1943</v>
      </c>
      <c r="O894" t="s">
        <v>136</v>
      </c>
      <c r="P894" t="s">
        <v>288</v>
      </c>
      <c r="Q894" t="s">
        <v>734</v>
      </c>
    </row>
    <row r="895" spans="1:17" ht="15.75" x14ac:dyDescent="0.25">
      <c r="A895" s="3" t="str">
        <f>HYPERLINK("https://heavenlyouthouse.com/products/thymes-olive-leaf-cologne", "https://heavenlyouthouse.com/products/thymes-olive-leaf-cologne")</f>
        <v>https://heavenlyouthouse.com/products/thymes-olive-leaf-cologne</v>
      </c>
      <c r="B895" s="3" t="str">
        <f>HYPERLINK("https://heavenlyouthouse.com/products/thymes-olive-leaf-cologne", "https://heavenlyouthouse.com/products/thymes-olive-leaf-cologne")</f>
        <v>https://heavenlyouthouse.com/products/thymes-olive-leaf-cologne</v>
      </c>
      <c r="C895" t="s">
        <v>1973</v>
      </c>
      <c r="D895" t="s">
        <v>1373</v>
      </c>
      <c r="E895" s="3" t="str">
        <f>HYPERLINK("https://www.amazon.com/Thymes-Olive-Leaf-Cologne-Spray/dp/B07LFQGT3N/ref=sr_1_1?keywords=Thymes+Olive+Leaf+Cologne&amp;qid=1695258786&amp;sr=8-1", "https://www.amazon.com/Thymes-Olive-Leaf-Cologne-Spray/dp/B07LFQGT3N/ref=sr_1_1?keywords=Thymes+Olive+Leaf+Cologne&amp;qid=1695258786&amp;sr=8-1")</f>
        <v>https://www.amazon.com/Thymes-Olive-Leaf-Cologne-Spray/dp/B07LFQGT3N/ref=sr_1_1?keywords=Thymes+Olive+Leaf+Cologne&amp;qid=1695258786&amp;sr=8-1</v>
      </c>
      <c r="F895" t="s">
        <v>1374</v>
      </c>
      <c r="G895" t="e">
        <f ca="1">IMAGE("https://heavenlyouthouse.com/cdn/shop/products/Olive-Leaf-Cologne-0540323000.jpg?v=1633124560")</f>
        <v>#NAME?</v>
      </c>
      <c r="H895" t="e">
        <f ca="1">IMAGE("https://m.media-amazon.com/images/I/71Y9VLVXQwL._AC_UL320_.jpg")</f>
        <v>#NAME?</v>
      </c>
      <c r="I895" t="s">
        <v>336</v>
      </c>
      <c r="J895">
        <v>25</v>
      </c>
      <c r="K895" s="2" t="s">
        <v>2091</v>
      </c>
      <c r="L895">
        <v>4.5</v>
      </c>
      <c r="M895">
        <v>900</v>
      </c>
      <c r="O895" t="s">
        <v>39</v>
      </c>
      <c r="P895" t="s">
        <v>1204</v>
      </c>
      <c r="Q895" t="s">
        <v>1974</v>
      </c>
    </row>
    <row r="896" spans="1:17" ht="15.75" x14ac:dyDescent="0.25">
      <c r="A896" s="3" t="str">
        <f>HYPERLINK("https://heavenlyouthouse.com/products/scent-free-hand-body-wash-refill", "https://heavenlyouthouse.com/products/scent-free-hand-body-wash-refill")</f>
        <v>https://heavenlyouthouse.com/products/scent-free-hand-body-wash-refill</v>
      </c>
      <c r="B896" s="3" t="str">
        <f>HYPERLINK("https://heavenlyouthouse.com/products/scent-free-hand-body-wash-refill", "https://heavenlyouthouse.com/products/scent-free-hand-body-wash-refill")</f>
        <v>https://heavenlyouthouse.com/products/scent-free-hand-body-wash-refill</v>
      </c>
      <c r="C896" t="s">
        <v>2100</v>
      </c>
      <c r="D896" t="s">
        <v>2101</v>
      </c>
      <c r="E896" s="3" t="str">
        <f>HYPERLINK("https://www.amazon.com/Ginger-Lily-Farms-Botanicals-Cruelty-Free/dp/B09Z4KLCF6/ref=sr_1_10?keywords=Scent+Free+Everything+Wash+Refill&amp;qid=1695258693&amp;sr=8-10", "https://www.amazon.com/Ginger-Lily-Farms-Botanicals-Cruelty-Free/dp/B09Z4KLCF6/ref=sr_1_10?keywords=Scent+Free+Everything+Wash+Refill&amp;qid=1695258693&amp;sr=8-10")</f>
        <v>https://www.amazon.com/Ginger-Lily-Farms-Botanicals-Cruelty-Free/dp/B09Z4KLCF6/ref=sr_1_10?keywords=Scent+Free+Everything+Wash+Refill&amp;qid=1695258693&amp;sr=8-10</v>
      </c>
      <c r="F896" t="s">
        <v>2102</v>
      </c>
      <c r="G896" t="e">
        <f ca="1">IMAGE("https://heavenlyouthouse.com/cdn/shop/products/unscented_wash_refill_2000x_ded3ea7b-0d19-4728-9270-68c870f62330.jpg?v=1586809397")</f>
        <v>#NAME?</v>
      </c>
      <c r="H896" t="e">
        <f ca="1">IMAGE("https://m.media-amazon.com/images/I/51K42F6ir-L._AC_UL320_.jpg")</f>
        <v>#NAME?</v>
      </c>
      <c r="I896" t="s">
        <v>2103</v>
      </c>
      <c r="J896">
        <v>24.99</v>
      </c>
      <c r="K896" s="2" t="s">
        <v>2091</v>
      </c>
      <c r="L896">
        <v>4.4000000000000004</v>
      </c>
      <c r="M896">
        <v>117</v>
      </c>
      <c r="O896" t="s">
        <v>39</v>
      </c>
      <c r="P896" t="s">
        <v>2104</v>
      </c>
      <c r="Q896" t="s">
        <v>2105</v>
      </c>
    </row>
    <row r="897" spans="1:17" ht="15.75" x14ac:dyDescent="0.25">
      <c r="A897" s="3" t="str">
        <f>HYPERLINK("https://heavenlyouthouse.com/products/unscented-deodorant", "https://heavenlyouthouse.com/products/unscented-deodorant")</f>
        <v>https://heavenlyouthouse.com/products/unscented-deodorant</v>
      </c>
      <c r="B897" s="3" t="str">
        <f>HYPERLINK("https://heavenlyouthouse.com/products/unscented-deodorant", "https://heavenlyouthouse.com/products/unscented-deodorant")</f>
        <v>https://heavenlyouthouse.com/products/unscented-deodorant</v>
      </c>
      <c r="C897" t="s">
        <v>1060</v>
      </c>
      <c r="D897" t="s">
        <v>2106</v>
      </c>
      <c r="E897" s="3" t="str">
        <f>HYPERLINK("https://www.amazon.com/Alvera-Natural-Roll-Deodorant-Unscented/dp/B0014AY7LI/ref=sr_1_5?keywords=Unscented+Natural+Deodorant&amp;qid=1695258814&amp;sr=8-5", "https://www.amazon.com/Alvera-Natural-Roll-Deodorant-Unscented/dp/B0014AY7LI/ref=sr_1_5?keywords=Unscented+Natural+Deodorant&amp;qid=1695258814&amp;sr=8-5")</f>
        <v>https://www.amazon.com/Alvera-Natural-Roll-Deodorant-Unscented/dp/B0014AY7LI/ref=sr_1_5?keywords=Unscented+Natural+Deodorant&amp;qid=1695258814&amp;sr=8-5</v>
      </c>
      <c r="F897" t="s">
        <v>2107</v>
      </c>
      <c r="G897" t="e">
        <f ca="1">IMAGE("https://heavenlyouthouse.com/cdn/shop/products/Rocky-Mountain-Soap-Co-Scent-Free-Natural-Deodorant.jpg?v=1633542762")</f>
        <v>#NAME?</v>
      </c>
      <c r="H897" t="e">
        <f ca="1">IMAGE("https://m.media-amazon.com/images/I/71gAmKpZzBL._AC_UL320_.jpg")</f>
        <v>#NAME?</v>
      </c>
      <c r="I897" t="s">
        <v>427</v>
      </c>
      <c r="J897">
        <v>6.99</v>
      </c>
      <c r="K897" s="2" t="s">
        <v>2091</v>
      </c>
      <c r="L897">
        <v>4.5999999999999996</v>
      </c>
      <c r="M897">
        <v>296</v>
      </c>
      <c r="O897" t="s">
        <v>39</v>
      </c>
      <c r="P897" t="s">
        <v>428</v>
      </c>
      <c r="Q897" t="s">
        <v>1063</v>
      </c>
    </row>
    <row r="898" spans="1:17" ht="15.75" x14ac:dyDescent="0.25">
      <c r="A898" s="3" t="str">
        <f>HYPERLINK("https://heavenlyouthouse.com/products/rosemary-mint-foaming-wash", "https://heavenlyouthouse.com/products/rosemary-mint-foaming-wash")</f>
        <v>https://heavenlyouthouse.com/products/rosemary-mint-foaming-wash</v>
      </c>
      <c r="B898" s="3" t="str">
        <f>HYPERLINK("https://heavenlyouthouse.com/products/rosemary-mint-foaming-wash", "https://heavenlyouthouse.com/products/rosemary-mint-foaming-wash")</f>
        <v>https://heavenlyouthouse.com/products/rosemary-mint-foaming-wash</v>
      </c>
      <c r="C898" t="s">
        <v>1007</v>
      </c>
      <c r="D898" t="s">
        <v>2108</v>
      </c>
      <c r="E898" s="3" t="str">
        <f>HYPERLINK("https://www.amazon.com/Deep-Steep-Foaming-Rosemary-Ounce/dp/B0012NZ9K0/ref=sr_1_2?keywords=Rosemary+Mint+Foaming+Wash&amp;qid=1695258700&amp;sr=8-2", "https://www.amazon.com/Deep-Steep-Foaming-Rosemary-Ounce/dp/B0012NZ9K0/ref=sr_1_2?keywords=Rosemary+Mint+Foaming+Wash&amp;qid=1695258700&amp;sr=8-2")</f>
        <v>https://www.amazon.com/Deep-Steep-Foaming-Rosemary-Ounce/dp/B0012NZ9K0/ref=sr_1_2?keywords=Rosemary+Mint+Foaming+Wash&amp;qid=1695258700&amp;sr=8-2</v>
      </c>
      <c r="F898" t="s">
        <v>2109</v>
      </c>
      <c r="G898" t="e">
        <f ca="1">IMAGE("https://heavenlyouthouse.com/cdn/shop/products/RosemaryMint-foaming-wash.webp?v=1681505497")</f>
        <v>#NAME?</v>
      </c>
      <c r="H898" t="e">
        <f ca="1">IMAGE("https://m.media-amazon.com/images/I/61LXujY62xL._AC_UL320_.jpg")</f>
        <v>#NAME?</v>
      </c>
      <c r="I898" t="s">
        <v>233</v>
      </c>
      <c r="J898">
        <v>7.95</v>
      </c>
      <c r="K898" s="2" t="s">
        <v>2091</v>
      </c>
      <c r="L898">
        <v>4.3</v>
      </c>
      <c r="M898">
        <v>463</v>
      </c>
      <c r="O898" t="s">
        <v>39</v>
      </c>
      <c r="P898" t="s">
        <v>394</v>
      </c>
      <c r="Q898" t="s">
        <v>1010</v>
      </c>
    </row>
    <row r="899" spans="1:17" ht="15.75" x14ac:dyDescent="0.25">
      <c r="A899" s="3" t="str">
        <f>HYPERLINK("https://heavenlyouthouse.com/products/vanilla-coconut-foaming-wash", "https://heavenlyouthouse.com/products/vanilla-coconut-foaming-wash")</f>
        <v>https://heavenlyouthouse.com/products/vanilla-coconut-foaming-wash</v>
      </c>
      <c r="B899" s="3" t="str">
        <f>HYPERLINK("https://heavenlyouthouse.com/products/vanilla-coconut-foaming-wash", "https://heavenlyouthouse.com/products/vanilla-coconut-foaming-wash")</f>
        <v>https://heavenlyouthouse.com/products/vanilla-coconut-foaming-wash</v>
      </c>
      <c r="C899" t="s">
        <v>390</v>
      </c>
      <c r="D899" t="s">
        <v>2110</v>
      </c>
      <c r="E899" s="3" t="str">
        <f>HYPERLINK("https://www.amazon.com/Deep-Steep-Foaming-Vanilla-Coconut/dp/B073WLNVXL/ref=sr_1_3?keywords=Vanilla+Coconut+Foaming+Wash&amp;qid=1695258837&amp;sr=8-3", "https://www.amazon.com/Deep-Steep-Foaming-Vanilla-Coconut/dp/B073WLNVXL/ref=sr_1_3?keywords=Vanilla+Coconut+Foaming+Wash&amp;qid=1695258837&amp;sr=8-3")</f>
        <v>https://www.amazon.com/Deep-Steep-Foaming-Vanilla-Coconut/dp/B073WLNVXL/ref=sr_1_3?keywords=Vanilla+Coconut+Foaming+Wash&amp;qid=1695258837&amp;sr=8-3</v>
      </c>
      <c r="F899" t="s">
        <v>2111</v>
      </c>
      <c r="G899" t="e">
        <f ca="1">IMAGE("https://heavenlyouthouse.com/cdn/shop/products/vanilla-coconut-foaming-wash_2000x_7648654b-2503-4219-a1cd-2f8e8ea738eb.jpg?v=1586812094")</f>
        <v>#NAME?</v>
      </c>
      <c r="H899" t="e">
        <f ca="1">IMAGE("https://m.media-amazon.com/images/I/61wWTtwiWXL._AC_UL320_.jpg")</f>
        <v>#NAME?</v>
      </c>
      <c r="I899" t="s">
        <v>233</v>
      </c>
      <c r="J899">
        <v>7.95</v>
      </c>
      <c r="K899" s="2" t="s">
        <v>2091</v>
      </c>
      <c r="L899">
        <v>4.3</v>
      </c>
      <c r="M899">
        <v>463</v>
      </c>
      <c r="O899" t="s">
        <v>39</v>
      </c>
      <c r="P899" t="s">
        <v>394</v>
      </c>
      <c r="Q899" t="s">
        <v>395</v>
      </c>
    </row>
    <row r="900" spans="1:17" ht="15.75" x14ac:dyDescent="0.25">
      <c r="A900" s="3" t="str">
        <f>HYPERLINK("https://heavenlyouthouse.com/products/goldleaf-gardenia-eau-de-parfume", "https://heavenlyouthouse.com/products/goldleaf-gardenia-eau-de-parfume")</f>
        <v>https://heavenlyouthouse.com/products/goldleaf-gardenia-eau-de-parfume</v>
      </c>
      <c r="B900" s="3" t="str">
        <f>HYPERLINK("https://heavenlyouthouse.com/products/goldleaf-gardenia-eau-de-parfume", "https://heavenlyouthouse.com/products/goldleaf-gardenia-eau-de-parfume")</f>
        <v>https://heavenlyouthouse.com/products/goldleaf-gardenia-eau-de-parfume</v>
      </c>
      <c r="C900" t="s">
        <v>1244</v>
      </c>
      <c r="D900" t="s">
        <v>932</v>
      </c>
      <c r="E900" s="3" t="str">
        <f>HYPERLINK("https://www.amazon.com/Thymes-Goldleaf-Gardenia-Travel-Beauty/dp/B09HLB81LB/ref=sr_1_6?keywords=thymes+goldleaf+gardenia+eau+de+parfum&amp;qid=1695258753&amp;sr=8-6", "https://www.amazon.com/Thymes-Goldleaf-Gardenia-Travel-Beauty/dp/B09HLB81LB/ref=sr_1_6?keywords=thymes+goldleaf+gardenia+eau+de+parfum&amp;qid=1695258753&amp;sr=8-6")</f>
        <v>https://www.amazon.com/Thymes-Goldleaf-Gardenia-Travel-Beauty/dp/B09HLB81LB/ref=sr_1_6?keywords=thymes+goldleaf+gardenia+eau+de+parfum&amp;qid=1695258753&amp;sr=8-6</v>
      </c>
      <c r="F900" t="s">
        <v>933</v>
      </c>
      <c r="G900" t="e">
        <f ca="1">IMAGE("https://heavenlyouthouse.com/cdn/shop/products/thymes-goldleaf-gardenia-eau-de-parfume-50ml.jpg?v=1628692367")</f>
        <v>#NAME?</v>
      </c>
      <c r="H900" t="e">
        <f ca="1">IMAGE("https://m.media-amazon.com/images/I/71TFsV4PQzL._AC_UL320_.jpg")</f>
        <v>#NAME?</v>
      </c>
      <c r="I900" t="s">
        <v>1241</v>
      </c>
      <c r="J900">
        <v>32</v>
      </c>
      <c r="K900" s="2" t="s">
        <v>2112</v>
      </c>
      <c r="L900">
        <v>4.5999999999999996</v>
      </c>
      <c r="M900">
        <v>91</v>
      </c>
      <c r="O900" t="s">
        <v>39</v>
      </c>
      <c r="P900" t="s">
        <v>1242</v>
      </c>
      <c r="Q900" t="s">
        <v>1245</v>
      </c>
    </row>
    <row r="901" spans="1:17" ht="15.75" x14ac:dyDescent="0.25">
      <c r="A901" s="3" t="str">
        <f>HYPERLINK("https://heavenlyouthouse.com/products/thymes-frasier-fir-green-4-wick-candle", "https://heavenlyouthouse.com/products/thymes-frasier-fir-green-4-wick-candle")</f>
        <v>https://heavenlyouthouse.com/products/thymes-frasier-fir-green-4-wick-candle</v>
      </c>
      <c r="B901" s="3" t="str">
        <f>HYPERLINK("https://heavenlyouthouse.com/products/thymes-frasier-fir-green-4-wick-candle", "https://heavenlyouthouse.com/products/thymes-frasier-fir-green-4-wick-candle")</f>
        <v>https://heavenlyouthouse.com/products/thymes-frasier-fir-green-4-wick-candle</v>
      </c>
      <c r="C901" t="s">
        <v>1011</v>
      </c>
      <c r="D901" t="s">
        <v>519</v>
      </c>
      <c r="E901" s="3"/>
      <c r="F901" t="s">
        <v>520</v>
      </c>
      <c r="G901" t="e">
        <f ca="1">IMAGE("https://heavenlyouthouse.com/cdn/shop/files/thymes-frasier-fir-poured-candle-4-wick-TH03505243607-1_300x300.jpg?v=1693232380")</f>
        <v>#NAME?</v>
      </c>
      <c r="H901" t="e">
        <f ca="1">IMAGE("https://m.media-amazon.com/images/I/71Vol+U+TwL._AC_UL320_.jpg")</f>
        <v>#NAME?</v>
      </c>
      <c r="I901" t="s">
        <v>1012</v>
      </c>
      <c r="J901">
        <v>49</v>
      </c>
      <c r="K901" s="2" t="s">
        <v>2112</v>
      </c>
      <c r="L901">
        <v>4.7</v>
      </c>
      <c r="M901">
        <v>162</v>
      </c>
      <c r="O901" t="s">
        <v>39</v>
      </c>
      <c r="P901" t="s">
        <v>1013</v>
      </c>
      <c r="Q901" t="s">
        <v>1014</v>
      </c>
    </row>
    <row r="902" spans="1:17" ht="15.75" x14ac:dyDescent="0.25">
      <c r="A902" s="3" t="str">
        <f>HYPERLINK("https://heavenlyouthouse.com/products/thymes-frasier-fir-green-4-wick-candle", "https://heavenlyouthouse.com/products/thymes-frasier-fir-green-4-wick-candle")</f>
        <v>https://heavenlyouthouse.com/products/thymes-frasier-fir-green-4-wick-candle</v>
      </c>
      <c r="B902" s="3" t="str">
        <f>HYPERLINK("https://heavenlyouthouse.com/products/thymes-frasier-fir-green-4-wick-candle", "https://heavenlyouthouse.com/products/thymes-frasier-fir-green-4-wick-candle")</f>
        <v>https://heavenlyouthouse.com/products/thymes-frasier-fir-green-4-wick-candle</v>
      </c>
      <c r="C902" t="s">
        <v>1011</v>
      </c>
      <c r="D902" t="s">
        <v>519</v>
      </c>
      <c r="E902" s="3" t="str">
        <f>HYPERLINK("https://www.amazon.com/Thymes-Frasier-Limited-3-Wick-Statement/dp/B01KIH4W6W/ref=sr_1_7?keywords=Thymes+Frasier+Fir+Green+4-Wick+Candle&amp;qid=1695258745&amp;sr=8-7", "https://www.amazon.com/Thymes-Frasier-Limited-3-Wick-Statement/dp/B01KIH4W6W/ref=sr_1_7?keywords=Thymes+Frasier+Fir+Green+4-Wick+Candle&amp;qid=1695258745&amp;sr=8-7")</f>
        <v>https://www.amazon.com/Thymes-Frasier-Limited-3-Wick-Statement/dp/B01KIH4W6W/ref=sr_1_7?keywords=Thymes+Frasier+Fir+Green+4-Wick+Candle&amp;qid=1695258745&amp;sr=8-7</v>
      </c>
      <c r="F902" t="s">
        <v>520</v>
      </c>
      <c r="G902" t="e">
        <f ca="1">IMAGE("https://heavenlyouthouse.com/cdn/shop/files/thymes-frasier-fir-poured-candle-4-wick-TH03505243607-1_300x300.jpg?v=1693232380")</f>
        <v>#NAME?</v>
      </c>
      <c r="H902" t="e">
        <f ca="1">IMAGE("https://m.media-amazon.com/images/I/71Vol+U+TwL._AC_UL320_.jpg")</f>
        <v>#NAME?</v>
      </c>
      <c r="I902" t="s">
        <v>1012</v>
      </c>
      <c r="J902">
        <v>49</v>
      </c>
      <c r="K902" s="2" t="s">
        <v>2112</v>
      </c>
      <c r="L902">
        <v>4.7</v>
      </c>
      <c r="M902">
        <v>162</v>
      </c>
      <c r="O902" t="s">
        <v>39</v>
      </c>
      <c r="P902" t="s">
        <v>1013</v>
      </c>
      <c r="Q902" t="s">
        <v>1014</v>
      </c>
    </row>
    <row r="903" spans="1:17" ht="15.75" x14ac:dyDescent="0.25">
      <c r="A903" s="3" t="str">
        <f>HYPERLINK("https://heavenlyouthouse.com/products/thymes-frasier-fir-heritage-pillar-candle-large", "https://heavenlyouthouse.com/products/thymes-frasier-fir-heritage-pillar-candle-large")</f>
        <v>https://heavenlyouthouse.com/products/thymes-frasier-fir-heritage-pillar-candle-large</v>
      </c>
      <c r="B903" s="3" t="str">
        <f>HYPERLINK("https://heavenlyouthouse.com/products/thymes-frasier-fir-heritage-pillar-candle-large", "https://heavenlyouthouse.com/products/thymes-frasier-fir-heritage-pillar-candle-large")</f>
        <v>https://heavenlyouthouse.com/products/thymes-frasier-fir-heritage-pillar-candle-large</v>
      </c>
      <c r="C903" t="s">
        <v>649</v>
      </c>
      <c r="D903" t="s">
        <v>1876</v>
      </c>
      <c r="E903" s="3" t="str">
        <f>HYPERLINK("https://www.amazon.com/Thymes-Frasier-Fir-Pillar-Candle/dp/B0BZ1NJDYL/ref=sr_1_1?keywords=Thymes+Frasier+Fir+Heritage+Pillar+Candle+Large&amp;qid=1695258741&amp;sr=8-1", "https://www.amazon.com/Thymes-Frasier-Fir-Pillar-Candle/dp/B0BZ1NJDYL/ref=sr_1_1?keywords=Thymes+Frasier+Fir+Heritage+Pillar+Candle+Large&amp;qid=1695258741&amp;sr=8-1")</f>
        <v>https://www.amazon.com/Thymes-Frasier-Fir-Pillar-Candle/dp/B0BZ1NJDYL/ref=sr_1_1?keywords=Thymes+Frasier+Fir+Heritage+Pillar+Candle+Large&amp;qid=1695258741&amp;sr=8-1</v>
      </c>
      <c r="F903" t="s">
        <v>1877</v>
      </c>
      <c r="G903" t="e">
        <f ca="1">IMAGE("https://heavenlyouthouse.com/cdn/shop/files/thymes-frasier-fir-heritage-3x6-pillar-candle-large_300x300.jpg?v=1692208949")</f>
        <v>#NAME?</v>
      </c>
      <c r="H903" t="e">
        <f ca="1">IMAGE("https://m.media-amazon.com/images/I/51LXodTlm1L._AC_UL320_.jpg")</f>
        <v>#NAME?</v>
      </c>
      <c r="I903" t="s">
        <v>650</v>
      </c>
      <c r="J903">
        <v>20</v>
      </c>
      <c r="K903" s="2" t="s">
        <v>2112</v>
      </c>
      <c r="L903">
        <v>4.8</v>
      </c>
      <c r="M903">
        <v>12</v>
      </c>
      <c r="O903" t="s">
        <v>39</v>
      </c>
      <c r="P903" t="s">
        <v>652</v>
      </c>
      <c r="Q903" t="s">
        <v>653</v>
      </c>
    </row>
    <row r="904" spans="1:17" ht="15.75" x14ac:dyDescent="0.25">
      <c r="A904" s="3" t="str">
        <f>HYPERLINK("https://heavenlyouthouse.com/products/lavender-body-lotion-1", "https://heavenlyouthouse.com/products/lavender-body-lotion-1")</f>
        <v>https://heavenlyouthouse.com/products/lavender-body-lotion-1</v>
      </c>
      <c r="B904" s="3" t="str">
        <f>HYPERLINK("https://heavenlyouthouse.com/products/lavender-body-lotion-1", "https://heavenlyouthouse.com/products/lavender-body-lotion-1")</f>
        <v>https://heavenlyouthouse.com/products/lavender-body-lotion-1</v>
      </c>
      <c r="C904" t="s">
        <v>1256</v>
      </c>
      <c r="D904" t="s">
        <v>2113</v>
      </c>
      <c r="E904" s="3" t="str">
        <f>HYPERLINK("https://www.amazon.com/Avalon-Organics-Nourishing-Lavender-Lotion/dp/B0013ALGTA/ref=sr_1_7?keywords=Thymes+Lavender+Body+Lotion&amp;qid=1695258763&amp;sr=8-7", "https://www.amazon.com/Avalon-Organics-Nourishing-Lavender-Lotion/dp/B0013ALGTA/ref=sr_1_7?keywords=Thymes+Lavender+Body+Lotion&amp;qid=1695258763&amp;sr=8-7")</f>
        <v>https://www.amazon.com/Avalon-Organics-Nourishing-Lavender-Lotion/dp/B0013ALGTA/ref=sr_1_7?keywords=Thymes+Lavender+Body+Lotion&amp;qid=1695258763&amp;sr=8-7</v>
      </c>
      <c r="F904" t="s">
        <v>2114</v>
      </c>
      <c r="G904" t="e">
        <f ca="1">IMAGE("https://heavenlyouthouse.com/cdn/shop/products/thymes-lavender-body-lotion_e8e915be-8de5-46da-8b4f-bb06a778fd96.png?v=1652277182")</f>
        <v>#NAME?</v>
      </c>
      <c r="H904" t="e">
        <f ca="1">IMAGE("https://m.media-amazon.com/images/I/61zbzNloVXL._AC_UL320_.jpg")</f>
        <v>#NAME?</v>
      </c>
      <c r="I904" t="s">
        <v>1179</v>
      </c>
      <c r="J904">
        <v>17.48</v>
      </c>
      <c r="K904" s="2" t="s">
        <v>2112</v>
      </c>
      <c r="L904">
        <v>4.5</v>
      </c>
      <c r="M904">
        <v>3585</v>
      </c>
      <c r="O904" t="s">
        <v>39</v>
      </c>
      <c r="P904" t="s">
        <v>39</v>
      </c>
      <c r="Q904" t="s">
        <v>1257</v>
      </c>
    </row>
    <row r="905" spans="1:17" ht="15.75" x14ac:dyDescent="0.25">
      <c r="A905" s="3" t="str">
        <f>HYPERLINK("https://heavenlyouthouse.com/products/frasier-fir-statement-pine-needle-candle", "https://heavenlyouthouse.com/products/frasier-fir-statement-pine-needle-candle")</f>
        <v>https://heavenlyouthouse.com/products/frasier-fir-statement-pine-needle-candle</v>
      </c>
      <c r="B905" s="3" t="str">
        <f>HYPERLINK("https://heavenlyouthouse.com/products/frasier-fir-statement-pine-needle-candle", "https://heavenlyouthouse.com/products/frasier-fir-statement-pine-needle-candle")</f>
        <v>https://heavenlyouthouse.com/products/frasier-fir-statement-pine-needle-candle</v>
      </c>
      <c r="C905" t="s">
        <v>167</v>
      </c>
      <c r="D905" t="s">
        <v>1553</v>
      </c>
      <c r="E905" s="3" t="str">
        <f>HYPERLINK("https://www.amazon.com/Thymes-Fragrant-Frasier-Votive-15-Hour/dp/B00YPP2UGI/ref=sr_1_7?keywords=Thymes+Frasier+Fir+Statement+Pine+Needle+Candle&amp;qid=1695258736&amp;sr=8-7", "https://www.amazon.com/Thymes-Fragrant-Frasier-Votive-15-Hour/dp/B00YPP2UGI/ref=sr_1_7?keywords=Thymes+Frasier+Fir+Statement+Pine+Needle+Candle&amp;qid=1695258736&amp;sr=8-7")</f>
        <v>https://www.amazon.com/Thymes-Fragrant-Frasier-Votive-15-Hour/dp/B00YPP2UGI/ref=sr_1_7?keywords=Thymes+Frasier+Fir+Statement+Pine+Needle+Candle&amp;qid=1695258736&amp;sr=8-7</v>
      </c>
      <c r="F905" t="s">
        <v>1554</v>
      </c>
      <c r="G905" t="e">
        <f ca="1">IMAGE("https://heavenlyouthouse.com/cdn/shop/products/thymesfrasierfirsmallstatementcandlesilverpineneedle.jpg?v=1603994848")</f>
        <v>#NAME?</v>
      </c>
      <c r="H905" t="e">
        <f ca="1">IMAGE("https://m.media-amazon.com/images/I/614aXIOl78L._AC_UL320_.jpg")</f>
        <v>#NAME?</v>
      </c>
      <c r="I905" t="s">
        <v>168</v>
      </c>
      <c r="J905">
        <v>16</v>
      </c>
      <c r="K905" s="2" t="s">
        <v>2112</v>
      </c>
      <c r="L905">
        <v>4.5</v>
      </c>
      <c r="M905">
        <v>994</v>
      </c>
      <c r="O905" t="s">
        <v>39</v>
      </c>
      <c r="P905" t="s">
        <v>170</v>
      </c>
      <c r="Q905" t="s">
        <v>171</v>
      </c>
    </row>
    <row r="906" spans="1:17" ht="15.75" x14ac:dyDescent="0.25">
      <c r="A906" s="3" t="str">
        <f>HYPERLINK("https://heavenlyouthouse.com/products/frasier-fir-statement-pine-needle-candle", "https://heavenlyouthouse.com/products/frasier-fir-statement-pine-needle-candle")</f>
        <v>https://heavenlyouthouse.com/products/frasier-fir-statement-pine-needle-candle</v>
      </c>
      <c r="B906" s="3" t="str">
        <f>HYPERLINK("https://heavenlyouthouse.com/products/frasier-fir-statement-pine-needle-candle", "https://heavenlyouthouse.com/products/frasier-fir-statement-pine-needle-candle")</f>
        <v>https://heavenlyouthouse.com/products/frasier-fir-statement-pine-needle-candle</v>
      </c>
      <c r="C906" t="s">
        <v>167</v>
      </c>
      <c r="D906" t="s">
        <v>1541</v>
      </c>
      <c r="E906" s="3" t="str">
        <f>HYPERLINK("https://www.amazon.com/Thymes-Frasier-Needle-Votive-Candle/dp/B07Q2GWCCQ/ref=sr_1_5?keywords=Thymes+Frasier+Fir+Statement+Pine+Needle+Candle&amp;qid=1695258736&amp;sr=8-5", "https://www.amazon.com/Thymes-Frasier-Needle-Votive-Candle/dp/B07Q2GWCCQ/ref=sr_1_5?keywords=Thymes+Frasier+Fir+Statement+Pine+Needle+Candle&amp;qid=1695258736&amp;sr=8-5")</f>
        <v>https://www.amazon.com/Thymes-Frasier-Needle-Votive-Candle/dp/B07Q2GWCCQ/ref=sr_1_5?keywords=Thymes+Frasier+Fir+Statement+Pine+Needle+Candle&amp;qid=1695258736&amp;sr=8-5</v>
      </c>
      <c r="F906" t="s">
        <v>1542</v>
      </c>
      <c r="G906" t="e">
        <f ca="1">IMAGE("https://heavenlyouthouse.com/cdn/shop/products/thymesfrasierfirsmallstatementcandlesilverpineneedle.jpg?v=1603994848")</f>
        <v>#NAME?</v>
      </c>
      <c r="H906" t="e">
        <f ca="1">IMAGE("https://m.media-amazon.com/images/I/71ARhUHeOKL._AC_UL320_.jpg")</f>
        <v>#NAME?</v>
      </c>
      <c r="I906" t="s">
        <v>168</v>
      </c>
      <c r="J906">
        <v>16</v>
      </c>
      <c r="K906" s="2" t="s">
        <v>2112</v>
      </c>
      <c r="L906">
        <v>4.0999999999999996</v>
      </c>
      <c r="M906">
        <v>5</v>
      </c>
      <c r="O906" t="s">
        <v>39</v>
      </c>
      <c r="P906" t="s">
        <v>170</v>
      </c>
      <c r="Q906" t="s">
        <v>171</v>
      </c>
    </row>
    <row r="907" spans="1:17" ht="15.75" x14ac:dyDescent="0.25">
      <c r="A907" s="3" t="str">
        <f>HYPERLINK("https://heavenlyouthouse.com/products/serious-scrub?variant=31917351469145", "https://heavenlyouthouse.com/products/serious-scrub?variant=31917351469145")</f>
        <v>https://heavenlyouthouse.com/products/serious-scrub?variant=31917351469145</v>
      </c>
      <c r="B907" s="3" t="str">
        <f>HYPERLINK("https://heavenlyouthouse.com/products/serious-scrub", "https://heavenlyouthouse.com/products/serious-scrub")</f>
        <v>https://heavenlyouthouse.com/products/serious-scrub</v>
      </c>
      <c r="C907" t="s">
        <v>2115</v>
      </c>
      <c r="D907" t="s">
        <v>2116</v>
      </c>
      <c r="E907" s="3" t="str">
        <f>HYPERLINK("https://www.amazon.com/SPA-REDI-Exfoliating-Nourishing-Hyaluronic/dp/B074G3Y6CR/ref=sr_1_8?keywords=Serious+Scrub+Pumice+Body+Scrub&amp;qid=1695258704&amp;sr=8-8", "https://www.amazon.com/SPA-REDI-Exfoliating-Nourishing-Hyaluronic/dp/B074G3Y6CR/ref=sr_1_8?keywords=Serious+Scrub+Pumice+Body+Scrub&amp;qid=1695258704&amp;sr=8-8")</f>
        <v>https://www.amazon.com/SPA-REDI-Exfoliating-Nourishing-Hyaluronic/dp/B074G3Y6CR/ref=sr_1_8?keywords=Serious+Scrub+Pumice+Body+Scrub&amp;qid=1695258704&amp;sr=8-8</v>
      </c>
      <c r="F907" t="s">
        <v>2117</v>
      </c>
      <c r="G907" t="e">
        <f ca="1">IMAGE("https://heavenlyouthouse.com/cdn/shop/products/Scrub-Serious_2000x_2ade8e7f-e75b-485f-8e61-ef346752654f.jpg?v=1591303500")</f>
        <v>#NAME?</v>
      </c>
      <c r="H907" t="e">
        <f ca="1">IMAGE("https://m.media-amazon.com/images/I/71u4qJH5hqL._AC_UL320_.jpg")</f>
        <v>#NAME?</v>
      </c>
      <c r="I907" t="s">
        <v>918</v>
      </c>
      <c r="J907">
        <v>12.59</v>
      </c>
      <c r="K907" s="2" t="s">
        <v>2118</v>
      </c>
      <c r="L907">
        <v>4.5</v>
      </c>
      <c r="M907">
        <v>9</v>
      </c>
      <c r="O907" t="s">
        <v>136</v>
      </c>
      <c r="P907" t="s">
        <v>39</v>
      </c>
      <c r="Q907" t="s">
        <v>2119</v>
      </c>
    </row>
    <row r="908" spans="1:17" ht="15.75" x14ac:dyDescent="0.25">
      <c r="A908" s="3" t="str">
        <f>HYPERLINK("https://heavenlyouthouse.com/products/usb-rechargeable-led-beanie-black", "https://heavenlyouthouse.com/products/usb-rechargeable-led-beanie-black")</f>
        <v>https://heavenlyouthouse.com/products/usb-rechargeable-led-beanie-black</v>
      </c>
      <c r="B908" s="3" t="str">
        <f>HYPERLINK("https://heavenlyouthouse.com/products/usb-rechargeable-led-beanie-black", "https://heavenlyouthouse.com/products/usb-rechargeable-led-beanie-black")</f>
        <v>https://heavenlyouthouse.com/products/usb-rechargeable-led-beanie-black</v>
      </c>
      <c r="C908" t="s">
        <v>688</v>
      </c>
      <c r="D908" t="s">
        <v>2120</v>
      </c>
      <c r="E908" s="3" t="str">
        <f>HYPERLINK("https://www.amazon.com/Rechargeable-Knitted-Lighted-Headlamp-Walking/dp/B08JQK3PW8/ref=sr_1_6?keywords=USB+Rechargeable+LED+Beanie+-+Black&amp;qid=1695258801&amp;sr=8-6", "https://www.amazon.com/Rechargeable-Knitted-Lighted-Headlamp-Walking/dp/B08JQK3PW8/ref=sr_1_6?keywords=USB+Rechargeable+LED+Beanie+-+Black&amp;qid=1695258801&amp;sr=8-6")</f>
        <v>https://www.amazon.com/Rechargeable-Knitted-Lighted-Headlamp-Walking/dp/B08JQK3PW8/ref=sr_1_6?keywords=USB+Rechargeable+LED+Beanie+-+Black&amp;qid=1695258801&amp;sr=8-6</v>
      </c>
      <c r="F908" t="s">
        <v>2121</v>
      </c>
      <c r="G908" t="e">
        <f ca="1">IMAGE("https://heavenlyouthouse.com/cdn/shop/products/nightscoutrechargeableLEDtoqueblack_951f8ad0-7b76-49f7-ab39-c5624789256a.jpg?v=1669042861")</f>
        <v>#NAME?</v>
      </c>
      <c r="H908" t="e">
        <f ca="1">IMAGE("https://m.media-amazon.com/images/I/718m0C9qPpL._AC_UL320_.jpg")</f>
        <v>#NAME?</v>
      </c>
      <c r="I908" t="s">
        <v>385</v>
      </c>
      <c r="J908">
        <v>13.99</v>
      </c>
      <c r="K908" s="2" t="s">
        <v>2118</v>
      </c>
      <c r="L908">
        <v>4.7</v>
      </c>
      <c r="M908">
        <v>3855</v>
      </c>
      <c r="O908" t="s">
        <v>39</v>
      </c>
      <c r="P908" t="s">
        <v>39</v>
      </c>
      <c r="Q908" t="s">
        <v>691</v>
      </c>
    </row>
    <row r="909" spans="1:17" ht="15.75" x14ac:dyDescent="0.25">
      <c r="A909" s="3" t="str">
        <f>HYPERLINK("https://heavenlyouthouse.com/products/thymes-olive-leaf-cologne", "https://heavenlyouthouse.com/products/thymes-olive-leaf-cologne")</f>
        <v>https://heavenlyouthouse.com/products/thymes-olive-leaf-cologne</v>
      </c>
      <c r="B909" s="3" t="str">
        <f>HYPERLINK("https://heavenlyouthouse.com/products/thymes-olive-leaf-cologne", "https://heavenlyouthouse.com/products/thymes-olive-leaf-cologne")</f>
        <v>https://heavenlyouthouse.com/products/thymes-olive-leaf-cologne</v>
      </c>
      <c r="C909" t="s">
        <v>1973</v>
      </c>
      <c r="D909" t="s">
        <v>877</v>
      </c>
      <c r="E909" s="3" t="str">
        <f>HYPERLINK("https://www.amazon.com/Thymes-Olive-Hydrating-Shower-Natural/dp/B0746QSJMS/ref=sr_1_3?keywords=Thymes+Olive+Leaf+Cologne&amp;qid=1695258786&amp;sr=8-3", "https://www.amazon.com/Thymes-Olive-Hydrating-Shower-Natural/dp/B0746QSJMS/ref=sr_1_3?keywords=Thymes+Olive+Leaf+Cologne&amp;qid=1695258786&amp;sr=8-3")</f>
        <v>https://www.amazon.com/Thymes-Olive-Hydrating-Shower-Natural/dp/B0746QSJMS/ref=sr_1_3?keywords=Thymes+Olive+Leaf+Cologne&amp;qid=1695258786&amp;sr=8-3</v>
      </c>
      <c r="F909" t="s">
        <v>878</v>
      </c>
      <c r="G909" t="e">
        <f ca="1">IMAGE("https://heavenlyouthouse.com/cdn/shop/products/Olive-Leaf-Cologne-0540323000.jpg?v=1633124560")</f>
        <v>#NAME?</v>
      </c>
      <c r="H909" t="e">
        <f ca="1">IMAGE("https://m.media-amazon.com/images/I/61yiEFkgymL._AC_UL320_.jpg")</f>
        <v>#NAME?</v>
      </c>
      <c r="I909" t="s">
        <v>336</v>
      </c>
      <c r="J909">
        <v>24</v>
      </c>
      <c r="K909" s="2" t="s">
        <v>2118</v>
      </c>
      <c r="L909">
        <v>4.5999999999999996</v>
      </c>
      <c r="M909">
        <v>1742</v>
      </c>
      <c r="O909" t="s">
        <v>39</v>
      </c>
      <c r="P909" t="s">
        <v>1204</v>
      </c>
      <c r="Q909" t="s">
        <v>1974</v>
      </c>
    </row>
    <row r="910" spans="1:17" ht="15.75" x14ac:dyDescent="0.25">
      <c r="A910" s="3" t="str">
        <f>HYPERLINK("https://heavenlyouthouse.com/products/thymes-frasier-fir-pine-needle-reed-diffuser", "https://heavenlyouthouse.com/products/thymes-frasier-fir-pine-needle-reed-diffuser")</f>
        <v>https://heavenlyouthouse.com/products/thymes-frasier-fir-pine-needle-reed-diffuser</v>
      </c>
      <c r="B910" s="3" t="str">
        <f>HYPERLINK("https://heavenlyouthouse.com/products/thymes-frasier-fir-pine-needle-reed-diffuser", "https://heavenlyouthouse.com/products/thymes-frasier-fir-pine-needle-reed-diffuser")</f>
        <v>https://heavenlyouthouse.com/products/thymes-frasier-fir-pine-needle-reed-diffuser</v>
      </c>
      <c r="C910" t="s">
        <v>654</v>
      </c>
      <c r="D910" t="s">
        <v>252</v>
      </c>
      <c r="E910" s="3" t="str">
        <f>HYPERLINK("https://www.amazon.com/Thymes-Frasier-Diffuser-Refill-Ounces/dp/B001AH8CL6/ref=sr_1_1?keywords=Thymes+Frasier+Fir+Pine+Needle+Reed+Diffuser&amp;qid=1695258733&amp;sr=8-1", "https://www.amazon.com/Thymes-Frasier-Diffuser-Refill-Ounces/dp/B001AH8CL6/ref=sr_1_1?keywords=Thymes+Frasier+Fir+Pine+Needle+Reed+Diffuser&amp;qid=1695258733&amp;sr=8-1")</f>
        <v>https://www.amazon.com/Thymes-Frasier-Diffuser-Refill-Ounces/dp/B001AH8CL6/ref=sr_1_1?keywords=Thymes+Frasier+Fir+Pine+Needle+Reed+Diffuser&amp;qid=1695258733&amp;sr=8-1</v>
      </c>
      <c r="F910" t="s">
        <v>253</v>
      </c>
      <c r="G910" t="e">
        <f ca="1">IMAGE("https://heavenlyouthouse.com/cdn/shop/products/thymesfrasierfirpineneedledesignreeddiffuser.jpg?v=1619197867")</f>
        <v>#NAME?</v>
      </c>
      <c r="H910" t="e">
        <f ca="1">IMAGE("https://m.media-amazon.com/images/I/51MG8nOHQnL._AC_UL320_.jpg")</f>
        <v>#NAME?</v>
      </c>
      <c r="I910" t="s">
        <v>655</v>
      </c>
      <c r="J910">
        <v>35</v>
      </c>
      <c r="K910" s="2" t="s">
        <v>2118</v>
      </c>
      <c r="L910">
        <v>4.7</v>
      </c>
      <c r="M910">
        <v>2687</v>
      </c>
      <c r="O910" t="s">
        <v>39</v>
      </c>
      <c r="P910" t="s">
        <v>39</v>
      </c>
      <c r="Q910" t="s">
        <v>657</v>
      </c>
    </row>
    <row r="911" spans="1:17" ht="15.75" x14ac:dyDescent="0.25">
      <c r="A911" s="3" t="str">
        <f>HYPERLINK("https://heavenlyouthouse.com/products/lavender-hand-wash", "https://heavenlyouthouse.com/products/lavender-hand-wash")</f>
        <v>https://heavenlyouthouse.com/products/lavender-hand-wash</v>
      </c>
      <c r="B911" s="3" t="str">
        <f>HYPERLINK("https://heavenlyouthouse.com/products/lavender-hand-wash", "https://heavenlyouthouse.com/products/lavender-hand-wash")</f>
        <v>https://heavenlyouthouse.com/products/lavender-hand-wash</v>
      </c>
      <c r="C911" t="s">
        <v>540</v>
      </c>
      <c r="D911" t="s">
        <v>2122</v>
      </c>
      <c r="E911" s="3" t="str">
        <f>HYPERLINK("https://www.amazon.com/Deep-Steep-Liquid-Lavender-Chamomile/dp/B00PATKL9Q/ref=sr_1_10?keywords=Thymes+Lavender+Hand+Wash&amp;qid=1695258763&amp;sr=8-10", "https://www.amazon.com/Deep-Steep-Liquid-Lavender-Chamomile/dp/B00PATKL9Q/ref=sr_1_10?keywords=Thymes+Lavender+Hand+Wash&amp;qid=1695258763&amp;sr=8-10")</f>
        <v>https://www.amazon.com/Deep-Steep-Liquid-Lavender-Chamomile/dp/B00PATKL9Q/ref=sr_1_10?keywords=Thymes+Lavender+Hand+Wash&amp;qid=1695258763&amp;sr=8-10</v>
      </c>
      <c r="F911" t="s">
        <v>2123</v>
      </c>
      <c r="G911" t="e">
        <f ca="1">IMAGE("https://heavenlyouthouse.com/cdn/shop/products/thymes-lavender-hand-wash.jpg?v=1673017797")</f>
        <v>#NAME?</v>
      </c>
      <c r="H911" t="e">
        <f ca="1">IMAGE("https://m.media-amazon.com/images/I/71VA-5CZvGL._AC_UL320_.jpg")</f>
        <v>#NAME?</v>
      </c>
      <c r="I911" t="s">
        <v>86</v>
      </c>
      <c r="J911">
        <v>9.9499999999999993</v>
      </c>
      <c r="K911" s="2" t="s">
        <v>2124</v>
      </c>
      <c r="L911">
        <v>4.4000000000000004</v>
      </c>
      <c r="M911">
        <v>1080</v>
      </c>
      <c r="O911" t="s">
        <v>39</v>
      </c>
      <c r="P911" t="s">
        <v>39</v>
      </c>
      <c r="Q911" t="s">
        <v>543</v>
      </c>
    </row>
    <row r="912" spans="1:17" ht="15.75" x14ac:dyDescent="0.25">
      <c r="A912" s="3" t="str">
        <f>HYPERLINK("https://heavenlyouthouse.com/products/eucalyptus-bar-soap", "https://heavenlyouthouse.com/products/eucalyptus-bar-soap")</f>
        <v>https://heavenlyouthouse.com/products/eucalyptus-bar-soap</v>
      </c>
      <c r="B912" s="3" t="str">
        <f>HYPERLINK("https://heavenlyouthouse.com/products/eucalyptus-bar-soap", "https://heavenlyouthouse.com/products/eucalyptus-bar-soap")</f>
        <v>https://heavenlyouthouse.com/products/eucalyptus-bar-soap</v>
      </c>
      <c r="C912" t="s">
        <v>431</v>
      </c>
      <c r="D912" t="s">
        <v>2125</v>
      </c>
      <c r="E912" s="3" t="str">
        <f>HYPERLINK("https://www.amazon.com/Swanky-Badger-Natural-Soap-Bar/dp/B097QCK3MZ/ref=sr_1_6?keywords=Thymes+Eucalyptus+Bar+Soap&amp;qid=1695258725&amp;sr=8-6", "https://www.amazon.com/Swanky-Badger-Natural-Soap-Bar/dp/B097QCK3MZ/ref=sr_1_6?keywords=Thymes+Eucalyptus+Bar+Soap&amp;qid=1695258725&amp;sr=8-6")</f>
        <v>https://www.amazon.com/Swanky-Badger-Natural-Soap-Bar/dp/B097QCK3MZ/ref=sr_1_6?keywords=Thymes+Eucalyptus+Bar+Soap&amp;qid=1695258725&amp;sr=8-6</v>
      </c>
      <c r="F912" t="s">
        <v>2126</v>
      </c>
      <c r="G912" t="e">
        <f ca="1">IMAGE("https://heavenlyouthouse.com/cdn/shop/products/thymes-eucalyptus-bar-soap.jpg?v=1628693255")</f>
        <v>#NAME?</v>
      </c>
      <c r="H912" t="e">
        <f ca="1">IMAGE("https://m.media-amazon.com/images/I/613-I9lOODS._AC_UL320_.jpg")</f>
        <v>#NAME?</v>
      </c>
      <c r="I912" t="s">
        <v>98</v>
      </c>
      <c r="J912">
        <v>8.99</v>
      </c>
      <c r="K912" s="2" t="s">
        <v>2124</v>
      </c>
      <c r="L912">
        <v>4.2</v>
      </c>
      <c r="M912">
        <v>1447</v>
      </c>
      <c r="O912" t="s">
        <v>39</v>
      </c>
      <c r="P912" t="s">
        <v>39</v>
      </c>
      <c r="Q912" t="s">
        <v>434</v>
      </c>
    </row>
    <row r="913" spans="1:17" ht="15.75" x14ac:dyDescent="0.25">
      <c r="A913" s="3" t="str">
        <f>HYPERLINK("https://heavenlyouthouse.com/products/you-did-it-graduation-card", "https://heavenlyouthouse.com/products/you-did-it-graduation-card")</f>
        <v>https://heavenlyouthouse.com/products/you-did-it-graduation-card</v>
      </c>
      <c r="B913" s="3" t="str">
        <f>HYPERLINK("https://heavenlyouthouse.com/products/you-did-it-graduation-card", "https://heavenlyouthouse.com/products/you-did-it-graduation-card")</f>
        <v>https://heavenlyouthouse.com/products/you-did-it-graduation-card</v>
      </c>
      <c r="C913" t="s">
        <v>851</v>
      </c>
      <c r="D913" t="s">
        <v>2127</v>
      </c>
      <c r="E913" s="3" t="str">
        <f>HYPERLINK("https://www.amazon.com/American-Greetings-Congratulations-Card-You/dp/B09BZZVVMX/ref=sr_1_3?keywords=You+Did+It+Graduation+Card&amp;qid=1695258832&amp;sr=8-3", "https://www.amazon.com/American-Greetings-Congratulations-Card-You/dp/B09BZZVVMX/ref=sr_1_3?keywords=You+Did+It+Graduation+Card&amp;qid=1695258832&amp;sr=8-3")</f>
        <v>https://www.amazon.com/American-Greetings-Congratulations-Card-You/dp/B09BZZVVMX/ref=sr_1_3?keywords=You+Did+It+Graduation+Card&amp;qid=1695258832&amp;sr=8-3</v>
      </c>
      <c r="F913" t="s">
        <v>2128</v>
      </c>
      <c r="G913" t="e">
        <f ca="1">IMAGE("https://heavenlyouthouse.com/cdn/shop/products/papyrus-graduation-card-airplane-flying-around-glo_1.jpg?v=1642617008")</f>
        <v>#NAME?</v>
      </c>
      <c r="H913" t="e">
        <f ca="1">IMAGE("https://m.media-amazon.com/images/I/81Jb8TOS-yL._AC_UL320_.jpg")</f>
        <v>#NAME?</v>
      </c>
      <c r="I913" t="s">
        <v>454</v>
      </c>
      <c r="J913">
        <v>3.99</v>
      </c>
      <c r="K913" s="2" t="s">
        <v>2124</v>
      </c>
      <c r="L913">
        <v>4.8</v>
      </c>
      <c r="M913">
        <v>207</v>
      </c>
      <c r="O913" t="s">
        <v>39</v>
      </c>
      <c r="P913" t="s">
        <v>39</v>
      </c>
      <c r="Q913" t="s">
        <v>854</v>
      </c>
    </row>
    <row r="914" spans="1:17" ht="15.75" x14ac:dyDescent="0.25">
      <c r="A914" s="3" t="str">
        <f>HYPERLINK("https://heavenlyouthouse.com/products/vanilla-coconut-butter", "https://heavenlyouthouse.com/products/vanilla-coconut-butter")</f>
        <v>https://heavenlyouthouse.com/products/vanilla-coconut-butter</v>
      </c>
      <c r="B914" s="3" t="str">
        <f>HYPERLINK("https://heavenlyouthouse.com/products/vanilla-coconut-butter", "https://heavenlyouthouse.com/products/vanilla-coconut-butter")</f>
        <v>https://heavenlyouthouse.com/products/vanilla-coconut-butter</v>
      </c>
      <c r="C914" t="s">
        <v>309</v>
      </c>
      <c r="D914" t="s">
        <v>2129</v>
      </c>
      <c r="E914" s="3" t="str">
        <f>HYPERLINK("https://www.amazon.com/Bath-Body-Works-Cleansing-Vanilla/dp/B08FVKMGWR/ref=sr_1_3?keywords=Vanilla+Coconut+Body+Butter&amp;qid=1695258804&amp;sr=8-3", "https://www.amazon.com/Bath-Body-Works-Cleansing-Vanilla/dp/B08FVKMGWR/ref=sr_1_3?keywords=Vanilla+Coconut+Body+Butter&amp;qid=1695258804&amp;sr=8-3")</f>
        <v>https://www.amazon.com/Bath-Body-Works-Cleansing-Vanilla/dp/B08FVKMGWR/ref=sr_1_3?keywords=Vanilla+Coconut+Body+Butter&amp;qid=1695258804&amp;sr=8-3</v>
      </c>
      <c r="F914" t="s">
        <v>2130</v>
      </c>
      <c r="G914" t="e">
        <f ca="1">IMAGE("https://heavenlyouthouse.com/cdn/shop/products/vanilla-coconut-body-butter_2000x_5ad751a5-f997-4412-b034-d7b35819d9d9.jpg?v=1588193267")</f>
        <v>#NAME?</v>
      </c>
      <c r="H914" t="e">
        <f ca="1">IMAGE("https://m.media-amazon.com/images/I/61c0Ixu33SL._AC_UL320_.jpg")</f>
        <v>#NAME?</v>
      </c>
      <c r="I914" t="s">
        <v>233</v>
      </c>
      <c r="J914">
        <v>7.49</v>
      </c>
      <c r="K914" s="2" t="s">
        <v>2124</v>
      </c>
      <c r="L914">
        <v>4.4000000000000004</v>
      </c>
      <c r="M914">
        <v>22</v>
      </c>
      <c r="O914" t="s">
        <v>39</v>
      </c>
      <c r="P914" t="s">
        <v>39</v>
      </c>
      <c r="Q914" t="s">
        <v>313</v>
      </c>
    </row>
    <row r="915" spans="1:17" ht="15.75" x14ac:dyDescent="0.25">
      <c r="A915" s="3" t="str">
        <f>HYPERLINK("https://heavenlyouthouse.com/products/thymes-frasier-fir-gilded-ceramic-reed-diffuser", "https://heavenlyouthouse.com/products/thymes-frasier-fir-gilded-ceramic-reed-diffuser")</f>
        <v>https://heavenlyouthouse.com/products/thymes-frasier-fir-gilded-ceramic-reed-diffuser</v>
      </c>
      <c r="B915" s="3" t="str">
        <f>HYPERLINK("https://heavenlyouthouse.com/products/thymes-frasier-fir-gilded-ceramic-reed-diffuser", "https://heavenlyouthouse.com/products/thymes-frasier-fir-gilded-ceramic-reed-diffuser")</f>
        <v>https://heavenlyouthouse.com/products/thymes-frasier-fir-gilded-ceramic-reed-diffuser</v>
      </c>
      <c r="C915" t="s">
        <v>1998</v>
      </c>
      <c r="D915" t="s">
        <v>252</v>
      </c>
      <c r="E915" s="3" t="str">
        <f>HYPERLINK("https://www.amazon.com/Thymes-Frasier-Diffuser-Refill-Ounces/dp/B001AH8CL6/ref=sr_1_1?keywords=Thymes+Frasier+Fir+Gilded+Ceramic+Reed+Diffuser&amp;qid=1695258723&amp;sr=8-1", "https://www.amazon.com/Thymes-Frasier-Diffuser-Refill-Ounces/dp/B001AH8CL6/ref=sr_1_1?keywords=Thymes+Frasier+Fir+Gilded+Ceramic+Reed+Diffuser&amp;qid=1695258723&amp;sr=8-1")</f>
        <v>https://www.amazon.com/Thymes-Frasier-Diffuser-Refill-Ounces/dp/B001AH8CL6/ref=sr_1_1?keywords=Thymes+Frasier+Fir+Gilded+Ceramic+Reed+Diffuser&amp;qid=1695258723&amp;sr=8-1</v>
      </c>
      <c r="F915" t="s">
        <v>253</v>
      </c>
      <c r="G915" t="e">
        <f ca="1">IMAGE("https://heavenlyouthouse.com/cdn/shop/products/Frasier-Fir-Gilded-Ceramic-reed-diffuser.jpg?v=1630016549")</f>
        <v>#NAME?</v>
      </c>
      <c r="H915" t="e">
        <f ca="1">IMAGE("https://m.media-amazon.com/images/I/51MG8nOHQnL._AC_UL320_.jpg")</f>
        <v>#NAME?</v>
      </c>
      <c r="I915" t="s">
        <v>1999</v>
      </c>
      <c r="J915">
        <v>35</v>
      </c>
      <c r="K915" s="2" t="s">
        <v>2124</v>
      </c>
      <c r="L915">
        <v>4.7</v>
      </c>
      <c r="M915">
        <v>2687</v>
      </c>
      <c r="O915" t="s">
        <v>39</v>
      </c>
      <c r="P915" t="s">
        <v>39</v>
      </c>
      <c r="Q915" t="s">
        <v>2000</v>
      </c>
    </row>
    <row r="916" spans="1:17" ht="15.75" x14ac:dyDescent="0.25">
      <c r="A916" s="3" t="str">
        <f>HYPERLINK("https://heavenlyouthouse.com/products/scent-free-body-lotion", "https://heavenlyouthouse.com/products/scent-free-body-lotion")</f>
        <v>https://heavenlyouthouse.com/products/scent-free-body-lotion</v>
      </c>
      <c r="B916" s="3" t="str">
        <f>HYPERLINK("https://heavenlyouthouse.com/products/scent-free-body-lotion", "https://heavenlyouthouse.com/products/scent-free-body-lotion")</f>
        <v>https://heavenlyouthouse.com/products/scent-free-body-lotion</v>
      </c>
      <c r="C916" t="s">
        <v>1283</v>
      </c>
      <c r="D916" t="s">
        <v>2131</v>
      </c>
      <c r="E916" s="3" t="str">
        <f>HYPERLINK("https://www.amazon.com/Eucerin-Baby-Lotion-Fluid-Ounce/dp/B01A59VMSO/ref=sr_1_4?keywords=Scent+Free+Body+Lotion&amp;qid=1695258677&amp;sr=8-4", "https://www.amazon.com/Eucerin-Baby-Lotion-Fluid-Ounce/dp/B01A59VMSO/ref=sr_1_4?keywords=Scent+Free+Body+Lotion&amp;qid=1695258677&amp;sr=8-4")</f>
        <v>https://www.amazon.com/Eucerin-Baby-Lotion-Fluid-Ounce/dp/B01A59VMSO/ref=sr_1_4?keywords=Scent+Free+Body+Lotion&amp;qid=1695258677&amp;sr=8-4</v>
      </c>
      <c r="F916" t="s">
        <v>2132</v>
      </c>
      <c r="G916" t="e">
        <f ca="1">IMAGE("https://heavenlyouthouse.com/cdn/shop/products/Scent-Free_Body-Lotion_2048_2000x_12fe1f2b-c9b7-410b-bcaa-1736dd65bc07.jpg?v=1586911361")</f>
        <v>#NAME?</v>
      </c>
      <c r="H916" t="e">
        <f ca="1">IMAGE("https://m.media-amazon.com/images/I/61uLwCco1aL._AC_UL320_.jpg")</f>
        <v>#NAME?</v>
      </c>
      <c r="I916" t="s">
        <v>399</v>
      </c>
      <c r="J916">
        <v>9.7799999999999994</v>
      </c>
      <c r="K916" s="2" t="s">
        <v>2124</v>
      </c>
      <c r="L916">
        <v>4.8</v>
      </c>
      <c r="M916">
        <v>6191</v>
      </c>
      <c r="O916" t="s">
        <v>39</v>
      </c>
      <c r="P916" t="s">
        <v>39</v>
      </c>
      <c r="Q916" t="s">
        <v>1286</v>
      </c>
    </row>
    <row r="917" spans="1:17" ht="15.75" x14ac:dyDescent="0.25">
      <c r="A917" s="3" t="str">
        <f>HYPERLINK("https://heavenlyouthouse.com/products/ribbon-flower-mothers-day-card", "https://heavenlyouthouse.com/products/ribbon-flower-mothers-day-card")</f>
        <v>https://heavenlyouthouse.com/products/ribbon-flower-mothers-day-card</v>
      </c>
      <c r="B917" s="3" t="str">
        <f>HYPERLINK("https://heavenlyouthouse.com/products/ribbon-flower-mothers-day-card", "https://heavenlyouthouse.com/products/ribbon-flower-mothers-day-card")</f>
        <v>https://heavenlyouthouse.com/products/ribbon-flower-mothers-day-card</v>
      </c>
      <c r="C917" t="s">
        <v>1089</v>
      </c>
      <c r="D917" t="s">
        <v>2133</v>
      </c>
      <c r="E917" s="3" t="str">
        <f>HYPERLINK("https://www.amazon.com/1Up-Greetings-Mothers-Daughter-Envelope/dp/B09V5QYP4T/ref=sr_1_10?keywords=Ribbon+Flower+Mother%27s+Day+Card&amp;qid=1695258662&amp;sr=8-10", "https://www.amazon.com/1Up-Greetings-Mothers-Daughter-Envelope/dp/B09V5QYP4T/ref=sr_1_10?keywords=Ribbon+Flower+Mother%27s+Day+Card&amp;qid=1695258662&amp;sr=8-10")</f>
        <v>https://www.amazon.com/1Up-Greetings-Mothers-Daughter-Envelope/dp/B09V5QYP4T/ref=sr_1_10?keywords=Ribbon+Flower+Mother%27s+Day+Card&amp;qid=1695258662&amp;sr=8-10</v>
      </c>
      <c r="F917" t="s">
        <v>2134</v>
      </c>
      <c r="G917" t="e">
        <f ca="1">IMAGE("https://heavenlyouthouse.com/cdn/shop/products/059584207114papyrusfloralmother_sdaycard.jpg?v=1619454393")</f>
        <v>#NAME?</v>
      </c>
      <c r="H917" t="e">
        <f ca="1">IMAGE("https://m.media-amazon.com/images/I/71GL3qlHdiL._AC_UL320_.jpg")</f>
        <v>#NAME?</v>
      </c>
      <c r="I917" t="s">
        <v>955</v>
      </c>
      <c r="J917">
        <v>5.99</v>
      </c>
      <c r="K917" s="2" t="s">
        <v>2135</v>
      </c>
      <c r="L917">
        <v>4.8</v>
      </c>
      <c r="M917">
        <v>265</v>
      </c>
      <c r="O917" t="s">
        <v>39</v>
      </c>
      <c r="P917" t="s">
        <v>39</v>
      </c>
      <c r="Q917" t="s">
        <v>1093</v>
      </c>
    </row>
    <row r="918" spans="1:17" ht="15.75" x14ac:dyDescent="0.25">
      <c r="A918" s="3" t="str">
        <f>HYPERLINK("https://heavenlyouthouse.com/products/thymes-frasier-fir-gilded-gold-pine-needle-candle", "https://heavenlyouthouse.com/products/thymes-frasier-fir-gilded-gold-pine-needle-candle")</f>
        <v>https://heavenlyouthouse.com/products/thymes-frasier-fir-gilded-gold-pine-needle-candle</v>
      </c>
      <c r="B918" s="3" t="str">
        <f>HYPERLINK("https://heavenlyouthouse.com/products/thymes-frasier-fir-gilded-gold-pine-needle-candle", "https://heavenlyouthouse.com/products/thymes-frasier-fir-gilded-gold-pine-needle-candle")</f>
        <v>https://heavenlyouthouse.com/products/thymes-frasier-fir-gilded-gold-pine-needle-candle</v>
      </c>
      <c r="C918" t="s">
        <v>972</v>
      </c>
      <c r="D918" t="s">
        <v>1377</v>
      </c>
      <c r="E918" s="3" t="str">
        <f>HYPERLINK("https://www.amazon.com/Thymes-Frasier-Pine-Needle-Candle/dp/B07PZF7X3K/ref=sr_1_1?keywords=Thymes+Frasier+Fir+Gilded+Gold+Pine+Needle+Candle&amp;qid=1695258732&amp;sr=8-1", "https://www.amazon.com/Thymes-Frasier-Pine-Needle-Candle/dp/B07PZF7X3K/ref=sr_1_1?keywords=Thymes+Frasier+Fir+Gilded+Gold+Pine+Needle+Candle&amp;qid=1695258732&amp;sr=8-1")</f>
        <v>https://www.amazon.com/Thymes-Frasier-Pine-Needle-Candle/dp/B07PZF7X3K/ref=sr_1_1?keywords=Thymes+Frasier+Fir+Gilded+Gold+Pine+Needle+Candle&amp;qid=1695258732&amp;sr=8-1</v>
      </c>
      <c r="F918" t="s">
        <v>1378</v>
      </c>
      <c r="G918" t="e">
        <f ca="1">IMAGE("https://heavenlyouthouse.com/cdn/shop/files/thymes-frasier-fir-gilded-pine-needle-gold-candle_300x300.jpg?v=1692209396")</f>
        <v>#NAME?</v>
      </c>
      <c r="H918" t="e">
        <f ca="1">IMAGE("https://m.media-amazon.com/images/I/61XeZ2YJ6SL._AC_UL320_.jpg")</f>
        <v>#NAME?</v>
      </c>
      <c r="I918" t="s">
        <v>973</v>
      </c>
      <c r="J918">
        <v>24</v>
      </c>
      <c r="K918" s="2" t="s">
        <v>2135</v>
      </c>
      <c r="L918">
        <v>4.4000000000000004</v>
      </c>
      <c r="M918">
        <v>29</v>
      </c>
      <c r="O918" t="s">
        <v>39</v>
      </c>
      <c r="P918" t="s">
        <v>974</v>
      </c>
      <c r="Q918" t="s">
        <v>975</v>
      </c>
    </row>
    <row r="919" spans="1:17" ht="15.75" x14ac:dyDescent="0.25">
      <c r="A919" s="3" t="str">
        <f>HYPERLINK("https://heavenlyouthouse.com/products/vanilla-coconut-butter", "https://heavenlyouthouse.com/products/vanilla-coconut-butter")</f>
        <v>https://heavenlyouthouse.com/products/vanilla-coconut-butter</v>
      </c>
      <c r="B919" s="3" t="str">
        <f>HYPERLINK("https://heavenlyouthouse.com/products/vanilla-coconut-butter", "https://heavenlyouthouse.com/products/vanilla-coconut-butter")</f>
        <v>https://heavenlyouthouse.com/products/vanilla-coconut-butter</v>
      </c>
      <c r="C919" t="s">
        <v>309</v>
      </c>
      <c r="D919" t="s">
        <v>2136</v>
      </c>
      <c r="E919" s="3" t="str">
        <f>HYPERLINK("https://www.amazon.com/Petal-Fresh-Butter-Coconut-Fluid/dp/B07CBVXHX8/ref=sr_1_10?keywords=Vanilla+Coconut+Body+Butter&amp;qid=1695258804&amp;sr=8-10", "https://www.amazon.com/Petal-Fresh-Butter-Coconut-Fluid/dp/B07CBVXHX8/ref=sr_1_10?keywords=Vanilla+Coconut+Body+Butter&amp;qid=1695258804&amp;sr=8-10")</f>
        <v>https://www.amazon.com/Petal-Fresh-Butter-Coconut-Fluid/dp/B07CBVXHX8/ref=sr_1_10?keywords=Vanilla+Coconut+Body+Butter&amp;qid=1695258804&amp;sr=8-10</v>
      </c>
      <c r="F919" t="s">
        <v>2137</v>
      </c>
      <c r="G919" t="e">
        <f ca="1">IMAGE("https://heavenlyouthouse.com/cdn/shop/products/vanilla-coconut-body-butter_2000x_5ad751a5-f997-4412-b034-d7b35819d9d9.jpg?v=1588193267")</f>
        <v>#NAME?</v>
      </c>
      <c r="H919" t="e">
        <f ca="1">IMAGE("https://m.media-amazon.com/images/I/810xJBS4VCL._AC_UL320_.jpg")</f>
        <v>#NAME?</v>
      </c>
      <c r="I919" t="s">
        <v>233</v>
      </c>
      <c r="J919">
        <v>7.31</v>
      </c>
      <c r="K919" s="2" t="s">
        <v>2135</v>
      </c>
      <c r="L919">
        <v>4.4000000000000004</v>
      </c>
      <c r="M919">
        <v>627</v>
      </c>
      <c r="O919" t="s">
        <v>39</v>
      </c>
      <c r="P919" t="s">
        <v>39</v>
      </c>
      <c r="Q919" t="s">
        <v>313</v>
      </c>
    </row>
    <row r="920" spans="1:17" ht="15.75" x14ac:dyDescent="0.25">
      <c r="A920" s="3" t="str">
        <f>HYPERLINK("https://heavenlyouthouse.com/products/scent-free-body-butter", "https://heavenlyouthouse.com/products/scent-free-body-butter")</f>
        <v>https://heavenlyouthouse.com/products/scent-free-body-butter</v>
      </c>
      <c r="B920" s="3" t="str">
        <f>HYPERLINK("https://heavenlyouthouse.com/products/scent-free-body-butter", "https://heavenlyouthouse.com/products/scent-free-body-butter")</f>
        <v>https://heavenlyouthouse.com/products/scent-free-body-butter</v>
      </c>
      <c r="C920" t="s">
        <v>695</v>
      </c>
      <c r="D920" t="s">
        <v>2138</v>
      </c>
      <c r="E920" s="3" t="str">
        <f>HYPERLINK("https://www.amazon.com/Petal-Fresh-Butter-Honey-Coconut/dp/B07C23RCR8/ref=sr_1_6?keywords=Scent+Free+Body+Butter&amp;qid=1695258680&amp;sr=8-6", "https://www.amazon.com/Petal-Fresh-Butter-Honey-Coconut/dp/B07C23RCR8/ref=sr_1_6?keywords=Scent+Free+Body+Butter&amp;qid=1695258680&amp;sr=8-6")</f>
        <v>https://www.amazon.com/Petal-Fresh-Butter-Honey-Coconut/dp/B07C23RCR8/ref=sr_1_6?keywords=Scent+Free+Body+Butter&amp;qid=1695258680&amp;sr=8-6</v>
      </c>
      <c r="F920" t="s">
        <v>2139</v>
      </c>
      <c r="G920" t="e">
        <f ca="1">IMAGE("https://heavenlyouthouse.com/cdn/shop/products/dry-skin-body-butter_2000x_a7842167-ad66-4fcf-9097-94fb6cdff081.jpg?v=1586787710")</f>
        <v>#NAME?</v>
      </c>
      <c r="H920" t="e">
        <f ca="1">IMAGE("https://m.media-amazon.com/images/I/81lzcyY7lYL._AC_UL320_.jpg")</f>
        <v>#NAME?</v>
      </c>
      <c r="I920" t="s">
        <v>233</v>
      </c>
      <c r="J920">
        <v>7.28</v>
      </c>
      <c r="K920" s="2" t="s">
        <v>2140</v>
      </c>
      <c r="L920">
        <v>4.5</v>
      </c>
      <c r="M920">
        <v>3174</v>
      </c>
      <c r="O920" t="s">
        <v>39</v>
      </c>
      <c r="P920" t="s">
        <v>39</v>
      </c>
      <c r="Q920" t="s">
        <v>698</v>
      </c>
    </row>
    <row r="921" spans="1:17" ht="15.75" x14ac:dyDescent="0.25">
      <c r="A921" s="3" t="str">
        <f>HYPERLINK("https://heavenlyouthouse.com/products/scent-free-hand-body-wash-refill", "https://heavenlyouthouse.com/products/scent-free-hand-body-wash-refill")</f>
        <v>https://heavenlyouthouse.com/products/scent-free-hand-body-wash-refill</v>
      </c>
      <c r="B921" s="3" t="str">
        <f>HYPERLINK("https://heavenlyouthouse.com/products/scent-free-hand-body-wash-refill", "https://heavenlyouthouse.com/products/scent-free-hand-body-wash-refill")</f>
        <v>https://heavenlyouthouse.com/products/scent-free-hand-body-wash-refill</v>
      </c>
      <c r="C921" t="s">
        <v>2100</v>
      </c>
      <c r="D921" t="s">
        <v>2141</v>
      </c>
      <c r="E921" s="3" t="str">
        <f>HYPERLINK("https://www.amazon.com/Dawn-Clear-Powerwash-Spray-Refill/dp/B0BGJT4N8C/ref=sr_1_1?keywords=Scent+Free+Everything+Wash+Refill&amp;qid=1695258693&amp;sr=8-1", "https://www.amazon.com/Dawn-Clear-Powerwash-Spray-Refill/dp/B0BGJT4N8C/ref=sr_1_1?keywords=Scent+Free+Everything+Wash+Refill&amp;qid=1695258693&amp;sr=8-1")</f>
        <v>https://www.amazon.com/Dawn-Clear-Powerwash-Spray-Refill/dp/B0BGJT4N8C/ref=sr_1_1?keywords=Scent+Free+Everything+Wash+Refill&amp;qid=1695258693&amp;sr=8-1</v>
      </c>
      <c r="F921" t="s">
        <v>2142</v>
      </c>
      <c r="G921" t="e">
        <f ca="1">IMAGE("https://heavenlyouthouse.com/cdn/shop/products/unscented_wash_refill_2000x_ded3ea7b-0d19-4728-9270-68c870f62330.jpg?v=1586809397")</f>
        <v>#NAME?</v>
      </c>
      <c r="H921" t="e">
        <f ca="1">IMAGE("https://m.media-amazon.com/images/I/81ch-npenBL._AC_UL320_.jpg")</f>
        <v>#NAME?</v>
      </c>
      <c r="I921" t="s">
        <v>2103</v>
      </c>
      <c r="J921">
        <v>22.68</v>
      </c>
      <c r="K921" s="2" t="s">
        <v>2140</v>
      </c>
      <c r="L921">
        <v>3.5</v>
      </c>
      <c r="M921">
        <v>716</v>
      </c>
      <c r="O921" t="s">
        <v>39</v>
      </c>
      <c r="P921" t="s">
        <v>2104</v>
      </c>
      <c r="Q921" t="s">
        <v>2105</v>
      </c>
    </row>
    <row r="922" spans="1:17" ht="15.75" x14ac:dyDescent="0.25">
      <c r="A922" s="3" t="str">
        <f>HYPERLINK("https://heavenlyouthouse.com/products/poo-pourri-tropical-hibiscus-toilet-spray", "https://heavenlyouthouse.com/products/poo-pourri-tropical-hibiscus-toilet-spray")</f>
        <v>https://heavenlyouthouse.com/products/poo-pourri-tropical-hibiscus-toilet-spray</v>
      </c>
      <c r="B922" s="3" t="str">
        <f>HYPERLINK("https://heavenlyouthouse.com/products/poo-pourri-tropical-hibiscus-toilet-spray", "https://heavenlyouthouse.com/products/poo-pourri-tropical-hibiscus-toilet-spray")</f>
        <v>https://heavenlyouthouse.com/products/poo-pourri-tropical-hibiscus-toilet-spray</v>
      </c>
      <c r="C922" t="s">
        <v>359</v>
      </c>
      <c r="D922" t="s">
        <v>2143</v>
      </c>
      <c r="E922" s="3" t="str">
        <f>HYPERLINK("https://www.amazon.com/Poo-Pourri-Before-You-Go-Toilet-Tropical-Hibiscus/dp/B07CNCMT65/ref=sr_1_8?keywords=Poo-Pourri+Tropical+Hibiscus+Toilet+Spray&amp;qid=1695258646&amp;sr=8-8", "https://www.amazon.com/Poo-Pourri-Before-You-Go-Toilet-Tropical-Hibiscus/dp/B07CNCMT65/ref=sr_1_8?keywords=Poo-Pourri+Tropical+Hibiscus+Toilet+Spray&amp;qid=1695258646&amp;sr=8-8")</f>
        <v>https://www.amazon.com/Poo-Pourri-Before-You-Go-Toilet-Tropical-Hibiscus/dp/B07CNCMT65/ref=sr_1_8?keywords=Poo-Pourri+Tropical+Hibiscus+Toilet+Spray&amp;qid=1695258646&amp;sr=8-8</v>
      </c>
      <c r="F922" t="s">
        <v>2144</v>
      </c>
      <c r="G922" t="e">
        <f ca="1">IMAGE("https://heavenlyouthouse.com/cdn/shop/products/Poo-pourritripicalhibiscustoiletbathroomspray2.jpg?v=1621617341")</f>
        <v>#NAME?</v>
      </c>
      <c r="H922" t="e">
        <f ca="1">IMAGE("https://m.media-amazon.com/images/I/61Uoz0P692L._AC_UL320_.jpg")</f>
        <v>#NAME?</v>
      </c>
      <c r="I922" t="s">
        <v>362</v>
      </c>
      <c r="J922">
        <v>6.75</v>
      </c>
      <c r="K922" s="2" t="s">
        <v>2140</v>
      </c>
      <c r="L922">
        <v>4.7</v>
      </c>
      <c r="M922">
        <v>95529</v>
      </c>
      <c r="O922" t="s">
        <v>39</v>
      </c>
      <c r="P922" t="s">
        <v>363</v>
      </c>
      <c r="Q922" t="s">
        <v>364</v>
      </c>
    </row>
    <row r="923" spans="1:17" ht="15.75" x14ac:dyDescent="0.25">
      <c r="A923" s="3" t="str">
        <f>HYPERLINK("https://heavenlyouthouse.com/products/the-courageous-dragon-book", "https://heavenlyouthouse.com/products/the-courageous-dragon-book")</f>
        <v>https://heavenlyouthouse.com/products/the-courageous-dragon-book</v>
      </c>
      <c r="B923" s="3" t="str">
        <f>HYPERLINK("https://heavenlyouthouse.com/products/the-courageous-dragon-book", "https://heavenlyouthouse.com/products/the-courageous-dragon-book")</f>
        <v>https://heavenlyouthouse.com/products/the-courageous-dragon-book</v>
      </c>
      <c r="C923" t="s">
        <v>1956</v>
      </c>
      <c r="D923" t="s">
        <v>2145</v>
      </c>
      <c r="E923" s="3" t="str">
        <f>HYPERLINK("https://www.amazon.com/Courageous-Boy-Book-Young-Lion/dp/B0BTRQ3GWJ/ref=sr_1_4?keywords=The+Courageous+Dragon+Book&amp;qid=1695258700&amp;sr=8-4", "https://www.amazon.com/Courageous-Boy-Book-Young-Lion/dp/B0BTRQ3GWJ/ref=sr_1_4?keywords=The+Courageous+Dragon+Book&amp;qid=1695258700&amp;sr=8-4")</f>
        <v>https://www.amazon.com/Courageous-Boy-Book-Young-Lion/dp/B0BTRQ3GWJ/ref=sr_1_4?keywords=The+Courageous+Dragon+Book&amp;qid=1695258700&amp;sr=8-4</v>
      </c>
      <c r="F923" t="s">
        <v>2146</v>
      </c>
      <c r="G923" t="e">
        <f ca="1">IMAGE("https://heavenlyouthouse.com/cdn/shop/products/BK4CD-the-courageous-dragon-book.jpg?v=1631560796")</f>
        <v>#NAME?</v>
      </c>
      <c r="H923" t="e">
        <f ca="1">IMAGE("https://m.media-amazon.com/images/I/71jkss+UyJL._AC_UY218_.jpg")</f>
        <v>#NAME?</v>
      </c>
      <c r="I923" t="s">
        <v>802</v>
      </c>
      <c r="J923">
        <v>8.99</v>
      </c>
      <c r="K923" s="2" t="s">
        <v>2140</v>
      </c>
      <c r="L923">
        <v>4.3</v>
      </c>
      <c r="M923">
        <v>5</v>
      </c>
      <c r="O923" t="s">
        <v>39</v>
      </c>
      <c r="P923" t="s">
        <v>39</v>
      </c>
      <c r="Q923" t="s">
        <v>1959</v>
      </c>
    </row>
    <row r="924" spans="1:17" ht="15.75" x14ac:dyDescent="0.25">
      <c r="A924" s="3" t="str">
        <f>HYPERLINK("https://heavenlyouthouse.com/products/usb-rechargeable-led-beanie-black", "https://heavenlyouthouse.com/products/usb-rechargeable-led-beanie-black")</f>
        <v>https://heavenlyouthouse.com/products/usb-rechargeable-led-beanie-black</v>
      </c>
      <c r="B924" s="3" t="str">
        <f>HYPERLINK("https://heavenlyouthouse.com/products/usb-rechargeable-led-beanie-black", "https://heavenlyouthouse.com/products/usb-rechargeable-led-beanie-black")</f>
        <v>https://heavenlyouthouse.com/products/usb-rechargeable-led-beanie-black</v>
      </c>
      <c r="C924" t="s">
        <v>688</v>
      </c>
      <c r="D924" t="s">
        <v>2147</v>
      </c>
      <c r="E924" s="3" t="str">
        <f>HYPERLINK("https://www.amazon.com/Mudder-Rechargeable-Beanie-Flashing-Flashlight/dp/B09H4LQWCZ/ref=sr_1_3?keywords=USB+Rechargeable+LED+Beanie+-+Black&amp;qid=1695258801&amp;sr=8-3", "https://www.amazon.com/Mudder-Rechargeable-Beanie-Flashing-Flashlight/dp/B09H4LQWCZ/ref=sr_1_3?keywords=USB+Rechargeable+LED+Beanie+-+Black&amp;qid=1695258801&amp;sr=8-3")</f>
        <v>https://www.amazon.com/Mudder-Rechargeable-Beanie-Flashing-Flashlight/dp/B09H4LQWCZ/ref=sr_1_3?keywords=USB+Rechargeable+LED+Beanie+-+Black&amp;qid=1695258801&amp;sr=8-3</v>
      </c>
      <c r="F924" t="s">
        <v>2148</v>
      </c>
      <c r="G924" t="e">
        <f ca="1">IMAGE("https://heavenlyouthouse.com/cdn/shop/products/nightscoutrechargeableLEDtoqueblack_951f8ad0-7b76-49f7-ab39-c5624789256a.jpg?v=1669042861")</f>
        <v>#NAME?</v>
      </c>
      <c r="H924" t="e">
        <f ca="1">IMAGE("https://m.media-amazon.com/images/I/61hrI92R2JL._AC_UL320_.jpg")</f>
        <v>#NAME?</v>
      </c>
      <c r="I924" t="s">
        <v>385</v>
      </c>
      <c r="J924">
        <v>12.99</v>
      </c>
      <c r="K924" s="2" t="s">
        <v>2140</v>
      </c>
      <c r="L924">
        <v>4.5999999999999996</v>
      </c>
      <c r="M924">
        <v>248</v>
      </c>
      <c r="O924" t="s">
        <v>39</v>
      </c>
      <c r="P924" t="s">
        <v>39</v>
      </c>
      <c r="Q924" t="s">
        <v>691</v>
      </c>
    </row>
    <row r="925" spans="1:17" ht="15.75" x14ac:dyDescent="0.25">
      <c r="A925" s="3" t="str">
        <f>HYPERLINK("https://heavenlyouthouse.com/products/lavender-body-lotion-1", "https://heavenlyouthouse.com/products/lavender-body-lotion-1")</f>
        <v>https://heavenlyouthouse.com/products/lavender-body-lotion-1</v>
      </c>
      <c r="B925" s="3" t="str">
        <f>HYPERLINK("https://heavenlyouthouse.com/products/lavender-body-lotion-1", "https://heavenlyouthouse.com/products/lavender-body-lotion-1")</f>
        <v>https://heavenlyouthouse.com/products/lavender-body-lotion-1</v>
      </c>
      <c r="C925" t="s">
        <v>1256</v>
      </c>
      <c r="D925" t="s">
        <v>1537</v>
      </c>
      <c r="E925" s="3" t="str">
        <f>HYPERLINK("https://www.amazon.com/Thymes-Lavender-Hand-Lotion-Pump/dp/B002WJHL1I/ref=sr_1_2?keywords=Thymes+Lavender+Body+Lotion&amp;qid=1695258763&amp;sr=8-2", "https://www.amazon.com/Thymes-Lavender-Hand-Lotion-Pump/dp/B002WJHL1I/ref=sr_1_2?keywords=Thymes+Lavender+Body+Lotion&amp;qid=1695258763&amp;sr=8-2")</f>
        <v>https://www.amazon.com/Thymes-Lavender-Hand-Lotion-Pump/dp/B002WJHL1I/ref=sr_1_2?keywords=Thymes+Lavender+Body+Lotion&amp;qid=1695258763&amp;sr=8-2</v>
      </c>
      <c r="F925" t="s">
        <v>1538</v>
      </c>
      <c r="G925" t="e">
        <f ca="1">IMAGE("https://heavenlyouthouse.com/cdn/shop/products/thymes-lavender-body-lotion_e8e915be-8de5-46da-8b4f-bb06a778fd96.png?v=1652277182")</f>
        <v>#NAME?</v>
      </c>
      <c r="H925" t="e">
        <f ca="1">IMAGE("https://m.media-amazon.com/images/I/51fRQBdaO1L._AC_UL320_.jpg")</f>
        <v>#NAME?</v>
      </c>
      <c r="I925" t="s">
        <v>1179</v>
      </c>
      <c r="J925">
        <v>16</v>
      </c>
      <c r="K925" s="2" t="s">
        <v>2140</v>
      </c>
      <c r="L925">
        <v>4.5999999999999996</v>
      </c>
      <c r="M925">
        <v>2575</v>
      </c>
      <c r="O925" t="s">
        <v>39</v>
      </c>
      <c r="P925" t="s">
        <v>39</v>
      </c>
      <c r="Q925" t="s">
        <v>1257</v>
      </c>
    </row>
    <row r="926" spans="1:17" ht="15.75" x14ac:dyDescent="0.25">
      <c r="A926" s="3" t="str">
        <f>HYPERLINK("https://heavenlyouthouse.com/products/thymes-olive-leaf-cologne", "https://heavenlyouthouse.com/products/thymes-olive-leaf-cologne")</f>
        <v>https://heavenlyouthouse.com/products/thymes-olive-leaf-cologne</v>
      </c>
      <c r="B926" s="3" t="str">
        <f>HYPERLINK("https://heavenlyouthouse.com/products/thymes-olive-leaf-cologne", "https://heavenlyouthouse.com/products/thymes-olive-leaf-cologne")</f>
        <v>https://heavenlyouthouse.com/products/thymes-olive-leaf-cologne</v>
      </c>
      <c r="C926" t="s">
        <v>1973</v>
      </c>
      <c r="D926" t="s">
        <v>1615</v>
      </c>
      <c r="E926" s="3" t="str">
        <f>HYPERLINK("https://www.amazon.com/Thymes-Olive-Fragrance-Fresh-Scented/dp/B0746QZVJK/ref=sr_1_2?keywords=Thymes+Olive+Leaf+Cologne&amp;qid=1695258786&amp;sr=8-2", "https://www.amazon.com/Thymes-Olive-Fragrance-Fresh-Scented/dp/B0746QZVJK/ref=sr_1_2?keywords=Thymes+Olive+Leaf+Cologne&amp;qid=1695258786&amp;sr=8-2")</f>
        <v>https://www.amazon.com/Thymes-Olive-Fragrance-Fresh-Scented/dp/B0746QZVJK/ref=sr_1_2?keywords=Thymes+Olive+Leaf+Cologne&amp;qid=1695258786&amp;sr=8-2</v>
      </c>
      <c r="F926" t="s">
        <v>1616</v>
      </c>
      <c r="G926" t="e">
        <f ca="1">IMAGE("https://heavenlyouthouse.com/cdn/shop/products/Olive-Leaf-Cologne-0540323000.jpg?v=1633124560")</f>
        <v>#NAME?</v>
      </c>
      <c r="H926" t="e">
        <f ca="1">IMAGE("https://m.media-amazon.com/images/I/618proEoDHL._AC_UL320_.jpg")</f>
        <v>#NAME?</v>
      </c>
      <c r="I926" t="s">
        <v>336</v>
      </c>
      <c r="J926">
        <v>22</v>
      </c>
      <c r="K926" s="2" t="s">
        <v>2149</v>
      </c>
      <c r="L926">
        <v>4.5999999999999996</v>
      </c>
      <c r="M926">
        <v>2497</v>
      </c>
      <c r="O926" t="s">
        <v>39</v>
      </c>
      <c r="P926" t="s">
        <v>1204</v>
      </c>
      <c r="Q926" t="s">
        <v>1974</v>
      </c>
    </row>
    <row r="927" spans="1:17" ht="15.75" x14ac:dyDescent="0.25">
      <c r="A927" s="3" t="str">
        <f>HYPERLINK("https://heavenlyouthouse.com/products/truck-tooth-fairy-pillow-set?variant=40588641894489", "https://heavenlyouthouse.com/products/truck-tooth-fairy-pillow-set?variant=40588641894489")</f>
        <v>https://heavenlyouthouse.com/products/truck-tooth-fairy-pillow-set?variant=40588641894489</v>
      </c>
      <c r="B927" s="3" t="str">
        <f>HYPERLINK("https://heavenlyouthouse.com/products/truck-tooth-fairy-pillow-set", "https://heavenlyouthouse.com/products/truck-tooth-fairy-pillow-set")</f>
        <v>https://heavenlyouthouse.com/products/truck-tooth-fairy-pillow-set</v>
      </c>
      <c r="C927" t="s">
        <v>1928</v>
      </c>
      <c r="D927" t="s">
        <v>2150</v>
      </c>
      <c r="E927" s="3" t="str">
        <f>HYPERLINK("https://www.amazon.com/Unicorn-Pillow-Notepad-Keepsake-Pouch/dp/B09CX1S654/ref=sr_1_3?keywords=Truck+Tooth+Fairy+Pillow+Set&amp;qid=1695258797&amp;sr=8-3", "https://www.amazon.com/Unicorn-Pillow-Notepad-Keepsake-Pouch/dp/B09CX1S654/ref=sr_1_3?keywords=Truck+Tooth+Fairy+Pillow+Set&amp;qid=1695258797&amp;sr=8-3")</f>
        <v>https://www.amazon.com/Unicorn-Pillow-Notepad-Keepsake-Pouch/dp/B09CX1S654/ref=sr_1_3?keywords=Truck+Tooth+Fairy+Pillow+Set&amp;qid=1695258797&amp;sr=8-3</v>
      </c>
      <c r="F927" t="s">
        <v>2151</v>
      </c>
      <c r="G927" t="e">
        <f ca="1">IMAGE("https://heavenlyouthouse.com/cdn/shop/files/TF1008_700x_79e9abbd-3b8d-4144-b3e9-abc54712a488_300x300.webp?v=1694458346")</f>
        <v>#NAME?</v>
      </c>
      <c r="H927" t="e">
        <f ca="1">IMAGE("https://m.media-amazon.com/images/I/61t8PTT+E4L._AC_UL320_.jpg")</f>
        <v>#NAME?</v>
      </c>
      <c r="I927" t="s">
        <v>336</v>
      </c>
      <c r="J927">
        <v>21.99</v>
      </c>
      <c r="K927" s="2" t="s">
        <v>2149</v>
      </c>
      <c r="L927">
        <v>4.7</v>
      </c>
      <c r="M927">
        <v>151</v>
      </c>
      <c r="O927" t="s">
        <v>136</v>
      </c>
      <c r="P927" t="s">
        <v>1931</v>
      </c>
      <c r="Q927" t="s">
        <v>1932</v>
      </c>
    </row>
    <row r="928" spans="1:17" ht="15.75" x14ac:dyDescent="0.25">
      <c r="A928" s="3" t="str">
        <f>HYPERLINK("https://heavenlyouthouse.com/products/wood-cross-easter-card", "https://heavenlyouthouse.com/products/wood-cross-easter-card")</f>
        <v>https://heavenlyouthouse.com/products/wood-cross-easter-card</v>
      </c>
      <c r="B928" s="3" t="str">
        <f>HYPERLINK("https://heavenlyouthouse.com/products/wood-cross-easter-card", "https://heavenlyouthouse.com/products/wood-cross-easter-card")</f>
        <v>https://heavenlyouthouse.com/products/wood-cross-easter-card</v>
      </c>
      <c r="C928" t="s">
        <v>248</v>
      </c>
      <c r="D928" t="s">
        <v>2152</v>
      </c>
      <c r="E928" s="3" t="str">
        <f>HYPERLINK("https://www.amazon.com/Cross-Pink-Flowers-Butterflies-Greetings/dp/B01D08A9A4/ref=sr_1_2?keywords=Wood+Cross+Easter+Card&amp;qid=1695258829&amp;sr=8-2", "https://www.amazon.com/Cross-Pink-Flowers-Butterflies-Greetings/dp/B01D08A9A4/ref=sr_1_2?keywords=Wood+Cross+Easter+Card&amp;qid=1695258829&amp;sr=8-2")</f>
        <v>https://www.amazon.com/Cross-Pink-Flowers-Butterflies-Greetings/dp/B01D08A9A4/ref=sr_1_2?keywords=Wood+Cross+Easter+Card&amp;qid=1695258829&amp;sr=8-2</v>
      </c>
      <c r="F928" t="s">
        <v>2153</v>
      </c>
      <c r="G928" t="e">
        <f ca="1">IMAGE("https://heavenlyouthouse.com/cdn/shop/products/papyruswoodcrosseastercard1_2.jpg?v=1619896050")</f>
        <v>#NAME?</v>
      </c>
      <c r="H928" t="e">
        <f ca="1">IMAGE("https://m.media-amazon.com/images/I/61-ngALNwIL._AC_UL320_.jpg")</f>
        <v>#NAME?</v>
      </c>
      <c r="I928" t="s">
        <v>92</v>
      </c>
      <c r="J928">
        <v>3.49</v>
      </c>
      <c r="K928" s="2" t="s">
        <v>2149</v>
      </c>
      <c r="L928">
        <v>5</v>
      </c>
      <c r="M928">
        <v>6</v>
      </c>
      <c r="O928" t="s">
        <v>39</v>
      </c>
      <c r="P928" t="s">
        <v>39</v>
      </c>
      <c r="Q928" t="s">
        <v>251</v>
      </c>
    </row>
    <row r="929" spans="1:17" ht="15.75" x14ac:dyDescent="0.25">
      <c r="A929" s="3" t="str">
        <f>HYPERLINK("https://heavenlyouthouse.com/products/thymes-olive-leaf-body-lotion", "https://heavenlyouthouse.com/products/thymes-olive-leaf-body-lotion")</f>
        <v>https://heavenlyouthouse.com/products/thymes-olive-leaf-body-lotion</v>
      </c>
      <c r="B929" s="3" t="str">
        <f>HYPERLINK("https://heavenlyouthouse.com/products/thymes-olive-leaf-body-lotion", "https://heavenlyouthouse.com/products/thymes-olive-leaf-body-lotion")</f>
        <v>https://heavenlyouthouse.com/products/thymes-olive-leaf-body-lotion</v>
      </c>
      <c r="C929" t="s">
        <v>1232</v>
      </c>
      <c r="D929" t="s">
        <v>1521</v>
      </c>
      <c r="E929" s="3" t="str">
        <f>HYPERLINK("https://www.amazon.com/Thymes-Lotion-Moisturizing-Butter-Vitamin/dp/B002WJHK4Q/ref=sr_1_2?keywords=Thymes+Olive+Leaf+Body+Lotion&amp;qid=1695258779&amp;sr=8-2", "https://www.amazon.com/Thymes-Lotion-Moisturizing-Butter-Vitamin/dp/B002WJHK4Q/ref=sr_1_2?keywords=Thymes+Olive+Leaf+Body+Lotion&amp;qid=1695258779&amp;sr=8-2")</f>
        <v>https://www.amazon.com/Thymes-Lotion-Moisturizing-Butter-Vitamin/dp/B002WJHK4Q/ref=sr_1_2?keywords=Thymes+Olive+Leaf+Body+Lotion&amp;qid=1695258779&amp;sr=8-2</v>
      </c>
      <c r="F929" t="s">
        <v>1522</v>
      </c>
      <c r="G929" t="e">
        <f ca="1">IMAGE("https://heavenlyouthouse.com/cdn/shop/files/thymes-olive-leaf-body-lotion_300x300.jpg?v=1687382312")</f>
        <v>#NAME?</v>
      </c>
      <c r="H929" t="e">
        <f ca="1">IMAGE("https://m.media-amazon.com/images/I/51NCWtW6ObL._AC_UL320_.jpg")</f>
        <v>#NAME?</v>
      </c>
      <c r="I929" t="s">
        <v>1233</v>
      </c>
      <c r="J929">
        <v>16</v>
      </c>
      <c r="K929" s="2" t="s">
        <v>2154</v>
      </c>
      <c r="L929">
        <v>4.5999999999999996</v>
      </c>
      <c r="M929">
        <v>2575</v>
      </c>
      <c r="O929" t="s">
        <v>39</v>
      </c>
      <c r="P929" t="s">
        <v>39</v>
      </c>
      <c r="Q929" t="s">
        <v>1234</v>
      </c>
    </row>
    <row r="930" spans="1:17" ht="15.75" x14ac:dyDescent="0.25">
      <c r="A930" s="3" t="str">
        <f>HYPERLINK("https://heavenlyouthouse.com/products/kimono-rose-body-lotion", "https://heavenlyouthouse.com/products/kimono-rose-body-lotion")</f>
        <v>https://heavenlyouthouse.com/products/kimono-rose-body-lotion</v>
      </c>
      <c r="B930" s="3" t="str">
        <f>HYPERLINK("https://heavenlyouthouse.com/products/kimono-rose-body-lotion", "https://heavenlyouthouse.com/products/kimono-rose-body-lotion")</f>
        <v>https://heavenlyouthouse.com/products/kimono-rose-body-lotion</v>
      </c>
      <c r="C930" t="s">
        <v>1301</v>
      </c>
      <c r="D930" t="s">
        <v>1533</v>
      </c>
      <c r="E930" s="3" t="str">
        <f>HYPERLINK("https://www.amazon.com/Thymes-Kimono-Moisturizing-Vitamin-Vanilla/dp/B002WJHL18/ref=sr_1_2?keywords=Thymes+Kimono+Rose+Body+Lotion&amp;qid=1695258757&amp;sr=8-2", "https://www.amazon.com/Thymes-Kimono-Moisturizing-Vitamin-Vanilla/dp/B002WJHL18/ref=sr_1_2?keywords=Thymes+Kimono+Rose+Body+Lotion&amp;qid=1695258757&amp;sr=8-2")</f>
        <v>https://www.amazon.com/Thymes-Kimono-Moisturizing-Vitamin-Vanilla/dp/B002WJHL18/ref=sr_1_2?keywords=Thymes+Kimono+Rose+Body+Lotion&amp;qid=1695258757&amp;sr=8-2</v>
      </c>
      <c r="F930" t="s">
        <v>1534</v>
      </c>
      <c r="G930" t="e">
        <f ca="1">IMAGE("https://heavenlyouthouse.com/cdn/shop/products/thymes-kimono-rose-body-lotion_103ffa33-d927-4c1c-a6c8-86492c96b160.png?v=1652277106")</f>
        <v>#NAME?</v>
      </c>
      <c r="H930" t="e">
        <f ca="1">IMAGE("https://m.media-amazon.com/images/I/51UY1KoU9dL._AC_UL320_.jpg")</f>
        <v>#NAME?</v>
      </c>
      <c r="I930" t="s">
        <v>1233</v>
      </c>
      <c r="J930">
        <v>16</v>
      </c>
      <c r="K930" s="2" t="s">
        <v>2154</v>
      </c>
      <c r="L930">
        <v>4.5999999999999996</v>
      </c>
      <c r="M930">
        <v>2575</v>
      </c>
      <c r="O930" t="s">
        <v>39</v>
      </c>
      <c r="P930" t="s">
        <v>1302</v>
      </c>
      <c r="Q930" t="s">
        <v>1303</v>
      </c>
    </row>
    <row r="931" spans="1:17" ht="15.75" x14ac:dyDescent="0.25">
      <c r="A931" s="3" t="str">
        <f>HYPERLINK("https://heavenlyouthouse.com/products/serenity-massage-oil", "https://heavenlyouthouse.com/products/serenity-massage-oil")</f>
        <v>https://heavenlyouthouse.com/products/serenity-massage-oil</v>
      </c>
      <c r="B931" s="3" t="str">
        <f>HYPERLINK("https://heavenlyouthouse.com/products/serenity-massage-oil", "https://heavenlyouthouse.com/products/serenity-massage-oil")</f>
        <v>https://heavenlyouthouse.com/products/serenity-massage-oil</v>
      </c>
      <c r="C931" t="s">
        <v>1811</v>
      </c>
      <c r="D931" t="s">
        <v>2155</v>
      </c>
      <c r="E931" s="3" t="str">
        <f>HYPERLINK("https://www.amazon.com/Kama-Sutra-Aromatics-Massage-Serenity/dp/B078WRY77S/ref=sr_1_1?keywords=Serenity+Massage+Oil&amp;qid=1695258683&amp;sr=8-1", "https://www.amazon.com/Kama-Sutra-Aromatics-Massage-Serenity/dp/B078WRY77S/ref=sr_1_1?keywords=Serenity+Massage+Oil&amp;qid=1695258683&amp;sr=8-1")</f>
        <v>https://www.amazon.com/Kama-Sutra-Aromatics-Massage-Serenity/dp/B078WRY77S/ref=sr_1_1?keywords=Serenity+Massage+Oil&amp;qid=1695258683&amp;sr=8-1</v>
      </c>
      <c r="F931" t="s">
        <v>2156</v>
      </c>
      <c r="G931" t="e">
        <f ca="1">IMAGE("https://heavenlyouthouse.com/cdn/shop/products/Serenity_Massage-Oil_2048_2000x_8355222e-e6d1-44d8-b3ec-a65e37c14ec2.jpg?v=1591304434")</f>
        <v>#NAME?</v>
      </c>
      <c r="H931" t="e">
        <f ca="1">IMAGE("https://m.media-amazon.com/images/I/51i0rwDQlfL._AC_UL320_.jpg")</f>
        <v>#NAME?</v>
      </c>
      <c r="I931" t="s">
        <v>1814</v>
      </c>
      <c r="J931">
        <v>9.4499999999999993</v>
      </c>
      <c r="K931" s="2" t="s">
        <v>2154</v>
      </c>
      <c r="L931">
        <v>4.0999999999999996</v>
      </c>
      <c r="M931">
        <v>403</v>
      </c>
      <c r="O931" t="s">
        <v>136</v>
      </c>
      <c r="P931" t="s">
        <v>39</v>
      </c>
      <c r="Q931" t="s">
        <v>1815</v>
      </c>
    </row>
    <row r="932" spans="1:17" ht="15.75" x14ac:dyDescent="0.25">
      <c r="A932" s="3" t="str">
        <f>HYPERLINK("https://heavenlyouthouse.com/products/slumber-slippers-tie-dye", "https://heavenlyouthouse.com/products/slumber-slippers-tie-dye")</f>
        <v>https://heavenlyouthouse.com/products/slumber-slippers-tie-dye</v>
      </c>
      <c r="B932" s="3" t="str">
        <f>HYPERLINK("https://heavenlyouthouse.com/products/slumber-slippers-tie-dye", "https://heavenlyouthouse.com/products/slumber-slippers-tie-dye")</f>
        <v>https://heavenlyouthouse.com/products/slumber-slippers-tie-dye</v>
      </c>
      <c r="C932" t="s">
        <v>2157</v>
      </c>
      <c r="D932" t="s">
        <v>2158</v>
      </c>
      <c r="E932" s="3" t="str">
        <f>HYPERLINK("https://www.amazon.com/Solyinne-Tie-dye-Leopard-Outdoor-Slippers/dp/B08BC5Z6GH/ref=sr_1_5?keywords=Slumber+Slippers+Tie+Dye&amp;qid=1695258688&amp;sr=8-5", "https://www.amazon.com/Solyinne-Tie-dye-Leopard-Outdoor-Slippers/dp/B08BC5Z6GH/ref=sr_1_5?keywords=Slumber+Slippers+Tie+Dye&amp;qid=1695258688&amp;sr=8-5")</f>
        <v>https://www.amazon.com/Solyinne-Tie-dye-Leopard-Outdoor-Slippers/dp/B08BC5Z6GH/ref=sr_1_5?keywords=Slumber+Slippers+Tie+Dye&amp;qid=1695258688&amp;sr=8-5</v>
      </c>
      <c r="F932" t="s">
        <v>2159</v>
      </c>
      <c r="G932" t="e">
        <f ca="1">IMAGE("https://heavenlyouthouse.com/cdn/shop/products/Malvadosslumberslipperstiedye.jpg?v=1608237982")</f>
        <v>#NAME?</v>
      </c>
      <c r="H932" t="e">
        <f ca="1">IMAGE("https://m.media-amazon.com/images/I/51fTB3D2jGL._AC_UL320_.jpg")</f>
        <v>#NAME?</v>
      </c>
      <c r="I932" t="s">
        <v>793</v>
      </c>
      <c r="J932">
        <v>16.989999999999998</v>
      </c>
      <c r="K932" s="2" t="s">
        <v>2154</v>
      </c>
      <c r="L932">
        <v>4.5</v>
      </c>
      <c r="M932">
        <v>2004</v>
      </c>
      <c r="O932" t="s">
        <v>39</v>
      </c>
      <c r="P932" t="s">
        <v>1204</v>
      </c>
      <c r="Q932" t="s">
        <v>2160</v>
      </c>
    </row>
    <row r="933" spans="1:17" ht="15.75" x14ac:dyDescent="0.25">
      <c r="A933" s="3" t="str">
        <f>HYPERLINK("https://heavenlyouthouse.com/products/frasier-fir-3-wick-green-glass-candle", "https://heavenlyouthouse.com/products/frasier-fir-3-wick-green-glass-candle")</f>
        <v>https://heavenlyouthouse.com/products/frasier-fir-3-wick-green-glass-candle</v>
      </c>
      <c r="B933" s="3" t="str">
        <f>HYPERLINK("https://heavenlyouthouse.com/products/frasier-fir-3-wick-green-glass-candle", "https://heavenlyouthouse.com/products/frasier-fir-3-wick-green-glass-candle")</f>
        <v>https://heavenlyouthouse.com/products/frasier-fir-3-wick-green-glass-candle</v>
      </c>
      <c r="C933" t="s">
        <v>1335</v>
      </c>
      <c r="D933" t="s">
        <v>1490</v>
      </c>
      <c r="E933" s="3" t="str">
        <f>HYPERLINK("https://www.amazon.com/Thymes-Frasier-Needle-Candle-50-Hour/dp/B00YPP2IY2/ref=sr_1_3?keywords=Thymes+Frasier+Fir+3-Wick+Green+Glass+Candle&amp;qid=1695258716&amp;sr=8-3", "https://www.amazon.com/Thymes-Frasier-Needle-Candle-50-Hour/dp/B00YPP2IY2/ref=sr_1_3?keywords=Thymes+Frasier+Fir+3-Wick+Green+Glass+Candle&amp;qid=1695258716&amp;sr=8-3")</f>
        <v>https://www.amazon.com/Thymes-Frasier-Needle-Candle-50-Hour/dp/B00YPP2IY2/ref=sr_1_3?keywords=Thymes+Frasier+Fir+3-Wick+Green+Glass+Candle&amp;qid=1695258716&amp;sr=8-3</v>
      </c>
      <c r="F933" t="s">
        <v>1491</v>
      </c>
      <c r="G933" t="e">
        <f ca="1">IMAGE("https://heavenlyouthouse.com/cdn/shop/products/frasier-fir-3-wick-candle-by-thymes53605_2.jpg?v=1606236113")</f>
        <v>#NAME?</v>
      </c>
      <c r="H933" t="e">
        <f ca="1">IMAGE("https://m.media-amazon.com/images/I/71BnsE4smrL._AC_UL320_.jpg")</f>
        <v>#NAME?</v>
      </c>
      <c r="I933" t="s">
        <v>1336</v>
      </c>
      <c r="J933">
        <v>34</v>
      </c>
      <c r="K933" s="2" t="s">
        <v>2154</v>
      </c>
      <c r="L933">
        <v>4.7</v>
      </c>
      <c r="M933">
        <v>322</v>
      </c>
      <c r="O933" t="s">
        <v>39</v>
      </c>
      <c r="P933" t="s">
        <v>1338</v>
      </c>
      <c r="Q933" t="s">
        <v>1339</v>
      </c>
    </row>
    <row r="934" spans="1:17" ht="15.75" x14ac:dyDescent="0.25">
      <c r="A934" s="3" t="str">
        <f>HYPERLINK("https://heavenlyouthouse.com/products/lavender-bar-soap", "https://heavenlyouthouse.com/products/lavender-bar-soap")</f>
        <v>https://heavenlyouthouse.com/products/lavender-bar-soap</v>
      </c>
      <c r="B934" s="3" t="str">
        <f>HYPERLINK("https://heavenlyouthouse.com/products/lavender-bar-soap", "https://heavenlyouthouse.com/products/lavender-bar-soap")</f>
        <v>https://heavenlyouthouse.com/products/lavender-bar-soap</v>
      </c>
      <c r="C934" t="s">
        <v>1251</v>
      </c>
      <c r="D934" t="s">
        <v>2161</v>
      </c>
      <c r="E934" s="3" t="str">
        <f>HYPERLINK("https://www.amazon.com/Pine-Tar-Soap-Men-Moisturizing/dp/B0B6TCHXSS/ref=sr_1_7?keywords=Thymes+Lavender+Bar+Soap&amp;qid=1695258766&amp;sr=8-7", "https://www.amazon.com/Pine-Tar-Soap-Men-Moisturizing/dp/B0B6TCHXSS/ref=sr_1_7?keywords=Thymes+Lavender+Bar+Soap&amp;qid=1695258766&amp;sr=8-7")</f>
        <v>https://www.amazon.com/Pine-Tar-Soap-Men-Moisturizing/dp/B0B6TCHXSS/ref=sr_1_7?keywords=Thymes+Lavender+Bar+Soap&amp;qid=1695258766&amp;sr=8-7</v>
      </c>
      <c r="F934" t="s">
        <v>2162</v>
      </c>
      <c r="G934" t="e">
        <f ca="1">IMAGE("https://heavenlyouthouse.com/cdn/shop/products/thymes-lavender-bar-soap.jpg?v=1628693498")</f>
        <v>#NAME?</v>
      </c>
      <c r="H934" t="e">
        <f ca="1">IMAGE("https://m.media-amazon.com/images/I/61Fo6tdY0sL._AC_UL320_.jpg")</f>
        <v>#NAME?</v>
      </c>
      <c r="I934" t="s">
        <v>98</v>
      </c>
      <c r="J934">
        <v>7.99</v>
      </c>
      <c r="K934" s="2" t="s">
        <v>2163</v>
      </c>
      <c r="L934">
        <v>5</v>
      </c>
      <c r="M934">
        <v>9</v>
      </c>
      <c r="O934" t="s">
        <v>39</v>
      </c>
      <c r="P934" t="s">
        <v>39</v>
      </c>
      <c r="Q934" t="s">
        <v>1255</v>
      </c>
    </row>
    <row r="935" spans="1:17" ht="15.75" x14ac:dyDescent="0.25">
      <c r="A935" s="3" t="str">
        <f>HYPERLINK("https://heavenlyouthouse.com/products/your-moment-card", "https://heavenlyouthouse.com/products/your-moment-card")</f>
        <v>https://heavenlyouthouse.com/products/your-moment-card</v>
      </c>
      <c r="B935" s="3" t="str">
        <f>HYPERLINK("https://heavenlyouthouse.com/products/your-moment-card", "https://heavenlyouthouse.com/products/your-moment-card")</f>
        <v>https://heavenlyouthouse.com/products/your-moment-card</v>
      </c>
      <c r="C935" t="s">
        <v>350</v>
      </c>
      <c r="D935" t="s">
        <v>2164</v>
      </c>
      <c r="E935" s="3" t="str">
        <f>HYPERLINK("https://www.amazon.com/Daughter-Law-Birthday-Greeting-Card/dp/B08D8324GZ/ref=sr_1_7?keywords=Your+Moment+Card&amp;qid=1695258833&amp;sr=8-7", "https://www.amazon.com/Daughter-Law-Birthday-Greeting-Card/dp/B08D8324GZ/ref=sr_1_7?keywords=Your+Moment+Card&amp;qid=1695258833&amp;sr=8-7")</f>
        <v>https://www.amazon.com/Daughter-Law-Birthday-Greeting-Card/dp/B08D8324GZ/ref=sr_1_7?keywords=Your+Moment+Card&amp;qid=1695258833&amp;sr=8-7</v>
      </c>
      <c r="F935" t="s">
        <v>2165</v>
      </c>
      <c r="G935" t="e">
        <f ca="1">IMAGE("https://heavenlyouthouse.com/cdn/shop/products/congrats.jpg?v=1600889342")</f>
        <v>#NAME?</v>
      </c>
      <c r="H935" t="e">
        <f ca="1">IMAGE("https://m.media-amazon.com/images/I/71oiOvaeT6L._AC_UL320_.jpg")</f>
        <v>#NAME?</v>
      </c>
      <c r="I935" t="s">
        <v>105</v>
      </c>
      <c r="J935">
        <v>2.4900000000000002</v>
      </c>
      <c r="K935" s="2" t="s">
        <v>2163</v>
      </c>
      <c r="L935">
        <v>4.5999999999999996</v>
      </c>
      <c r="M935">
        <v>36</v>
      </c>
      <c r="O935" t="s">
        <v>39</v>
      </c>
      <c r="P935" t="s">
        <v>39</v>
      </c>
      <c r="Q935" t="s">
        <v>354</v>
      </c>
    </row>
    <row r="936" spans="1:17" ht="15.75" x14ac:dyDescent="0.25">
      <c r="A936" s="3" t="str">
        <f>HYPERLINK("https://heavenlyouthouse.com/products/eucalyptus-cologne", "https://heavenlyouthouse.com/products/eucalyptus-cologne")</f>
        <v>https://heavenlyouthouse.com/products/eucalyptus-cologne</v>
      </c>
      <c r="B936" s="3" t="str">
        <f>HYPERLINK("https://heavenlyouthouse.com/products/eucalyptus-cologne", "https://heavenlyouthouse.com/products/eucalyptus-cologne")</f>
        <v>https://heavenlyouthouse.com/products/eucalyptus-cologne</v>
      </c>
      <c r="C936" t="s">
        <v>2166</v>
      </c>
      <c r="D936" t="s">
        <v>1885</v>
      </c>
      <c r="E936" s="3" t="str">
        <f>HYPERLINK("https://www.amazon.com/Thymes-Eucalyptus-Cologne-Spray-Pen/dp/B07LFNK5P8/ref=sr_1_1?keywords=Thymes+Eucalyptus+Cologne&amp;qid=1695258711&amp;sr=8-1", "https://www.amazon.com/Thymes-Eucalyptus-Cologne-Spray-Pen/dp/B07LFNK5P8/ref=sr_1_1?keywords=Thymes+Eucalyptus+Cologne&amp;qid=1695258711&amp;sr=8-1")</f>
        <v>https://www.amazon.com/Thymes-Eucalyptus-Cologne-Spray-Pen/dp/B07LFNK5P8/ref=sr_1_1?keywords=Thymes+Eucalyptus+Cologne&amp;qid=1695258711&amp;sr=8-1</v>
      </c>
      <c r="F936" t="s">
        <v>1886</v>
      </c>
      <c r="G936" t="e">
        <f ca="1">IMAGE("https://heavenlyouthouse.com/cdn/shop/products/thymes-eucalyptus-cologne-50ml.jpg?v=1627571996")</f>
        <v>#NAME?</v>
      </c>
      <c r="H936" t="e">
        <f ca="1">IMAGE("https://m.media-amazon.com/images/I/71DkK-NXq9L._AC_UL320_.jpg")</f>
        <v>#NAME?</v>
      </c>
      <c r="I936" t="s">
        <v>1204</v>
      </c>
      <c r="J936">
        <v>25</v>
      </c>
      <c r="K936" s="2" t="s">
        <v>2163</v>
      </c>
      <c r="L936">
        <v>4.5</v>
      </c>
      <c r="M936">
        <v>900</v>
      </c>
      <c r="O936" t="s">
        <v>39</v>
      </c>
      <c r="P936" t="s">
        <v>39</v>
      </c>
      <c r="Q936" t="s">
        <v>2167</v>
      </c>
    </row>
    <row r="937" spans="1:17" ht="15.75" x14ac:dyDescent="0.25">
      <c r="A937" s="3" t="str">
        <f>HYPERLINK("https://heavenlyouthouse.com/products/white-sparkle-ball-stud-earrings", "https://heavenlyouthouse.com/products/white-sparkle-ball-stud-earrings")</f>
        <v>https://heavenlyouthouse.com/products/white-sparkle-ball-stud-earrings</v>
      </c>
      <c r="B937" s="3" t="str">
        <f>HYPERLINK("https://heavenlyouthouse.com/products/white-sparkle-ball-stud-earrings", "https://heavenlyouthouse.com/products/white-sparkle-ball-stud-earrings")</f>
        <v>https://heavenlyouthouse.com/products/white-sparkle-ball-stud-earrings</v>
      </c>
      <c r="C937" t="s">
        <v>809</v>
      </c>
      <c r="D937" t="s">
        <v>2168</v>
      </c>
      <c r="E937" s="3" t="str">
        <f>HYPERLINK("https://www.amazon.com/BAYUEBA-Sterling-Silver-Crystal-Earrings/dp/B01NA9FPSV/ref=sr_1_1?keywords=White+Sparkle+Ball+Stud+Earrings&amp;qid=1695258839&amp;sr=8-1", "https://www.amazon.com/BAYUEBA-Sterling-Silver-Crystal-Earrings/dp/B01NA9FPSV/ref=sr_1_1?keywords=White+Sparkle+Ball+Stud+Earrings&amp;qid=1695258839&amp;sr=8-1")</f>
        <v>https://www.amazon.com/BAYUEBA-Sterling-Silver-Crystal-Earrings/dp/B01NA9FPSV/ref=sr_1_1?keywords=White+Sparkle+Ball+Stud+Earrings&amp;qid=1695258839&amp;sr=8-1</v>
      </c>
      <c r="F937" t="s">
        <v>2169</v>
      </c>
      <c r="G937" t="e">
        <f ca="1">IMAGE("https://heavenlyouthouse.com/cdn/shop/products/SB-ES10WHT_1800x1800_7e84f74c-d927-493d-bae8-a2b4d51a8198.jpg?v=1587480879")</f>
        <v>#NAME?</v>
      </c>
      <c r="H937" t="e">
        <f ca="1">IMAGE("https://m.media-amazon.com/images/I/51+O+StJRFL._AC_UL320_.jpg")</f>
        <v>#NAME?</v>
      </c>
      <c r="I937" t="s">
        <v>812</v>
      </c>
      <c r="J937">
        <v>24.99</v>
      </c>
      <c r="K937" s="2" t="s">
        <v>2163</v>
      </c>
      <c r="L937">
        <v>4.5</v>
      </c>
      <c r="M937">
        <v>447</v>
      </c>
      <c r="O937" t="s">
        <v>39</v>
      </c>
      <c r="P937" t="s">
        <v>39</v>
      </c>
      <c r="Q937" t="s">
        <v>813</v>
      </c>
    </row>
    <row r="938" spans="1:17" ht="15.75" x14ac:dyDescent="0.25">
      <c r="A938" s="3" t="str">
        <f>HYPERLINK("https://heavenlyouthouse.com/products/thymes-lavender-body-scrub", "https://heavenlyouthouse.com/products/thymes-lavender-body-scrub")</f>
        <v>https://heavenlyouthouse.com/products/thymes-lavender-body-scrub</v>
      </c>
      <c r="B938" s="3" t="str">
        <f>HYPERLINK("https://heavenlyouthouse.com/products/thymes-lavender-body-scrub", "https://heavenlyouthouse.com/products/thymes-lavender-body-scrub")</f>
        <v>https://heavenlyouthouse.com/products/thymes-lavender-body-scrub</v>
      </c>
      <c r="C938" t="s">
        <v>1401</v>
      </c>
      <c r="D938" t="s">
        <v>2170</v>
      </c>
      <c r="E938" s="3" t="str">
        <f>HYPERLINK("https://www.amazon.com/Dead-Sea-Collection-Lavender-Reviving/dp/B07TBFDMGC/ref=sr_1_4?keywords=Thymes+Lavender+Body+Scrub&amp;qid=1695258768&amp;sr=8-4", "https://www.amazon.com/Dead-Sea-Collection-Lavender-Reviving/dp/B07TBFDMGC/ref=sr_1_4?keywords=Thymes+Lavender+Body+Scrub&amp;qid=1695258768&amp;sr=8-4")</f>
        <v>https://www.amazon.com/Dead-Sea-Collection-Lavender-Reviving/dp/B07TBFDMGC/ref=sr_1_4?keywords=Thymes+Lavender+Body+Scrub&amp;qid=1695258768&amp;sr=8-4</v>
      </c>
      <c r="F938" t="s">
        <v>2171</v>
      </c>
      <c r="G938" t="e">
        <f ca="1">IMAGE("https://heavenlyouthouse.com/cdn/shop/products/thymes-lavender-body-scrub.jpg?v=1630622694")</f>
        <v>#NAME?</v>
      </c>
      <c r="H938" t="e">
        <f ca="1">IMAGE("https://m.media-amazon.com/images/I/715UcHCDYkL._AC_UL320_.jpg")</f>
        <v>#NAME?</v>
      </c>
      <c r="I938" t="s">
        <v>1179</v>
      </c>
      <c r="J938">
        <v>14.9</v>
      </c>
      <c r="K938" s="2" t="s">
        <v>2172</v>
      </c>
      <c r="L938">
        <v>4.5</v>
      </c>
      <c r="M938">
        <v>1872</v>
      </c>
      <c r="O938" t="s">
        <v>39</v>
      </c>
      <c r="P938" t="s">
        <v>39</v>
      </c>
      <c r="Q938" t="s">
        <v>1404</v>
      </c>
    </row>
    <row r="939" spans="1:17" ht="15.75" x14ac:dyDescent="0.25">
      <c r="A939" s="3" t="str">
        <f>HYPERLINK("https://heavenlyouthouse.com/products/thymes-eucalyptus-body-scrub", "https://heavenlyouthouse.com/products/thymes-eucalyptus-body-scrub")</f>
        <v>https://heavenlyouthouse.com/products/thymes-eucalyptus-body-scrub</v>
      </c>
      <c r="B939" s="3" t="str">
        <f>HYPERLINK("https://heavenlyouthouse.com/products/thymes-eucalyptus-body-scrub", "https://heavenlyouthouse.com/products/thymes-eucalyptus-body-scrub")</f>
        <v>https://heavenlyouthouse.com/products/thymes-eucalyptus-body-scrub</v>
      </c>
      <c r="C939" t="s">
        <v>1176</v>
      </c>
      <c r="D939" t="s">
        <v>2173</v>
      </c>
      <c r="E939" s="3" t="str">
        <f>HYPERLINK("https://www.amazon.com/Dead-Eucalyptus-Salt-Scrub-23-98/dp/B0099AJEEA/ref=sr_1_6?keywords=Thymes+Eucalyptus+Body+Scrub&amp;qid=1695258727&amp;sr=8-6", "https://www.amazon.com/Dead-Eucalyptus-Salt-Scrub-23-98/dp/B0099AJEEA/ref=sr_1_6?keywords=Thymes+Eucalyptus+Body+Scrub&amp;qid=1695258727&amp;sr=8-6")</f>
        <v>https://www.amazon.com/Dead-Eucalyptus-Salt-Scrub-23-98/dp/B0099AJEEA/ref=sr_1_6?keywords=Thymes+Eucalyptus+Body+Scrub&amp;qid=1695258727&amp;sr=8-6</v>
      </c>
      <c r="F939" t="s">
        <v>2174</v>
      </c>
      <c r="G939" t="e">
        <f ca="1">IMAGE("https://heavenlyouthouse.com/cdn/shop/products/thymes-eucalyptus-body-scrub.jpg?v=1630620279")</f>
        <v>#NAME?</v>
      </c>
      <c r="H939" t="e">
        <f ca="1">IMAGE("https://m.media-amazon.com/images/I/71vpTVQeMML._AC_UL320_.jpg")</f>
        <v>#NAME?</v>
      </c>
      <c r="I939" t="s">
        <v>1179</v>
      </c>
      <c r="J939">
        <v>14.9</v>
      </c>
      <c r="K939" s="2" t="s">
        <v>2172</v>
      </c>
      <c r="L939">
        <v>4.5</v>
      </c>
      <c r="M939">
        <v>1872</v>
      </c>
      <c r="O939" t="s">
        <v>39</v>
      </c>
      <c r="P939" t="s">
        <v>39</v>
      </c>
      <c r="Q939" t="s">
        <v>1180</v>
      </c>
    </row>
    <row r="940" spans="1:17" ht="15.75" x14ac:dyDescent="0.25">
      <c r="A940" s="3" t="str">
        <f>HYPERLINK("https://heavenlyouthouse.com/products/thymes-eucalyptus-body-scrub", "https://heavenlyouthouse.com/products/thymes-eucalyptus-body-scrub")</f>
        <v>https://heavenlyouthouse.com/products/thymes-eucalyptus-body-scrub</v>
      </c>
      <c r="B940" s="3" t="str">
        <f>HYPERLINK("https://heavenlyouthouse.com/products/thymes-eucalyptus-body-scrub", "https://heavenlyouthouse.com/products/thymes-eucalyptus-body-scrub")</f>
        <v>https://heavenlyouthouse.com/products/thymes-eucalyptus-body-scrub</v>
      </c>
      <c r="C940" t="s">
        <v>1176</v>
      </c>
      <c r="D940" t="s">
        <v>2175</v>
      </c>
      <c r="E940" s="3" t="str">
        <f>HYPERLINK("https://www.amazon.com/Bath-Body-Works-Eucalyptus-Spearmint/dp/B08XQNHS6T/ref=sr_1_3?keywords=Thymes+Eucalyptus+Body+Scrub&amp;qid=1695258727&amp;sr=8-3", "https://www.amazon.com/Bath-Body-Works-Eucalyptus-Spearmint/dp/B08XQNHS6T/ref=sr_1_3?keywords=Thymes+Eucalyptus+Body+Scrub&amp;qid=1695258727&amp;sr=8-3")</f>
        <v>https://www.amazon.com/Bath-Body-Works-Eucalyptus-Spearmint/dp/B08XQNHS6T/ref=sr_1_3?keywords=Thymes+Eucalyptus+Body+Scrub&amp;qid=1695258727&amp;sr=8-3</v>
      </c>
      <c r="F940" t="s">
        <v>2176</v>
      </c>
      <c r="G940" t="e">
        <f ca="1">IMAGE("https://heavenlyouthouse.com/cdn/shop/products/thymes-eucalyptus-body-scrub.jpg?v=1630620279")</f>
        <v>#NAME?</v>
      </c>
      <c r="H940" t="e">
        <f ca="1">IMAGE("https://m.media-amazon.com/images/I/71y5LBNglmL._AC_UL320_.jpg")</f>
        <v>#NAME?</v>
      </c>
      <c r="I940" t="s">
        <v>1179</v>
      </c>
      <c r="J940">
        <v>14.88</v>
      </c>
      <c r="K940" s="2" t="s">
        <v>2172</v>
      </c>
      <c r="L940">
        <v>4.5999999999999996</v>
      </c>
      <c r="M940">
        <v>1084</v>
      </c>
      <c r="O940" t="s">
        <v>39</v>
      </c>
      <c r="P940" t="s">
        <v>39</v>
      </c>
      <c r="Q940" t="s">
        <v>1180</v>
      </c>
    </row>
    <row r="941" spans="1:17" ht="15.75" x14ac:dyDescent="0.25">
      <c r="A941" s="3" t="str">
        <f>HYPERLINK("https://heavenlyouthouse.com/products/your-moment-card", "https://heavenlyouthouse.com/products/your-moment-card")</f>
        <v>https://heavenlyouthouse.com/products/your-moment-card</v>
      </c>
      <c r="B941" s="3" t="str">
        <f>HYPERLINK("https://heavenlyouthouse.com/products/your-moment-card", "https://heavenlyouthouse.com/products/your-moment-card")</f>
        <v>https://heavenlyouthouse.com/products/your-moment-card</v>
      </c>
      <c r="C941" t="s">
        <v>350</v>
      </c>
      <c r="D941" t="s">
        <v>2177</v>
      </c>
      <c r="E941" s="3" t="str">
        <f>HYPERLINK("https://www.amazon.com/Mazel-Your-Mitzvah-Greeting-Card/dp/B07RD8TLF4/ref=sr_1_10?keywords=Your+Moment+Card&amp;qid=1695258833&amp;sr=8-10", "https://www.amazon.com/Mazel-Your-Mitzvah-Greeting-Card/dp/B07RD8TLF4/ref=sr_1_10?keywords=Your+Moment+Card&amp;qid=1695258833&amp;sr=8-10")</f>
        <v>https://www.amazon.com/Mazel-Your-Mitzvah-Greeting-Card/dp/B07RD8TLF4/ref=sr_1_10?keywords=Your+Moment+Card&amp;qid=1695258833&amp;sr=8-10</v>
      </c>
      <c r="F941" t="s">
        <v>2178</v>
      </c>
      <c r="G941" t="e">
        <f ca="1">IMAGE("https://heavenlyouthouse.com/cdn/shop/products/congrats.jpg?v=1600889342")</f>
        <v>#NAME?</v>
      </c>
      <c r="H941" t="e">
        <f ca="1">IMAGE("https://m.media-amazon.com/images/I/81DF1sNW+eL._AC_UL320_.jpg")</f>
        <v>#NAME?</v>
      </c>
      <c r="I941" t="s">
        <v>105</v>
      </c>
      <c r="J941">
        <v>2.4500000000000002</v>
      </c>
      <c r="K941" s="2" t="s">
        <v>2172</v>
      </c>
      <c r="L941">
        <v>5</v>
      </c>
      <c r="M941">
        <v>2</v>
      </c>
      <c r="O941" t="s">
        <v>39</v>
      </c>
      <c r="P941" t="s">
        <v>39</v>
      </c>
      <c r="Q941" t="s">
        <v>354</v>
      </c>
    </row>
    <row r="942" spans="1:17" ht="15.75" x14ac:dyDescent="0.25">
      <c r="A942" s="3" t="str">
        <f>HYPERLINK("https://heavenlyouthouse.com/products/the-fucking-candle", "https://heavenlyouthouse.com/products/the-fucking-candle")</f>
        <v>https://heavenlyouthouse.com/products/the-fucking-candle</v>
      </c>
      <c r="B942" s="3" t="str">
        <f>HYPERLINK("https://heavenlyouthouse.com/products/the-fucking-candle", "https://heavenlyouthouse.com/products/the-fucking-candle")</f>
        <v>https://heavenlyouthouse.com/products/the-fucking-candle</v>
      </c>
      <c r="C942" t="s">
        <v>2179</v>
      </c>
      <c r="D942" t="s">
        <v>2180</v>
      </c>
      <c r="E942" s="3" t="str">
        <f>HYPERLINK("https://www.amazon.com/Fucking-Infused-Caffeine-Malicious-Mermaid/dp/B09K6SFNDW/ref=sr_1_9?keywords=The+Fucking+Candle&amp;qid=1695258700&amp;sr=8-9", "https://www.amazon.com/Fucking-Infused-Caffeine-Malicious-Mermaid/dp/B09K6SFNDW/ref=sr_1_9?keywords=The+Fucking+Candle&amp;qid=1695258700&amp;sr=8-9")</f>
        <v>https://www.amazon.com/Fucking-Infused-Caffeine-Malicious-Mermaid/dp/B09K6SFNDW/ref=sr_1_9?keywords=The+Fucking+Candle&amp;qid=1695258700&amp;sr=8-9</v>
      </c>
      <c r="F942" t="s">
        <v>2181</v>
      </c>
      <c r="G942" t="e">
        <f ca="1">IMAGE("https://heavenlyouthouse.com/cdn/shop/products/thefuckingcandle.jpg?v=1620677275")</f>
        <v>#NAME?</v>
      </c>
      <c r="H942" t="e">
        <f ca="1">IMAGE("https://m.media-amazon.com/images/I/71F15CZUOpL._AC_UL320_.jpg")</f>
        <v>#NAME?</v>
      </c>
      <c r="I942" t="s">
        <v>1211</v>
      </c>
      <c r="J942">
        <v>16</v>
      </c>
      <c r="K942" s="2" t="s">
        <v>2172</v>
      </c>
      <c r="L942">
        <v>5</v>
      </c>
      <c r="M942">
        <v>2</v>
      </c>
      <c r="O942" t="s">
        <v>39</v>
      </c>
      <c r="P942" t="s">
        <v>39</v>
      </c>
      <c r="Q942" t="s">
        <v>2182</v>
      </c>
    </row>
    <row r="943" spans="1:17" ht="15.75" x14ac:dyDescent="0.25">
      <c r="A943" s="3" t="str">
        <f>HYPERLINK("https://heavenlyouthouse.com/products/shit-show-candle", "https://heavenlyouthouse.com/products/shit-show-candle")</f>
        <v>https://heavenlyouthouse.com/products/shit-show-candle</v>
      </c>
      <c r="B943" s="3" t="str">
        <f>HYPERLINK("https://heavenlyouthouse.com/products/shit-show-candle", "https://heavenlyouthouse.com/products/shit-show-candle")</f>
        <v>https://heavenlyouthouse.com/products/shit-show-candle</v>
      </c>
      <c r="C943" t="s">
        <v>1967</v>
      </c>
      <c r="D943" t="s">
        <v>2183</v>
      </c>
      <c r="E943" s="3" t="str">
        <f>HYPERLINK("https://www.amazon.com/Shit-Show-Premium-Soy-Candle/dp/B07K4YK54P/ref=sr_1_3?keywords=Shit+Show+Candle&amp;qid=1695258690&amp;sr=8-3", "https://www.amazon.com/Shit-Show-Premium-Soy-Candle/dp/B07K4YK54P/ref=sr_1_3?keywords=Shit+Show+Candle&amp;qid=1695258690&amp;sr=8-3")</f>
        <v>https://www.amazon.com/Shit-Show-Premium-Soy-Candle/dp/B07K4YK54P/ref=sr_1_3?keywords=Shit+Show+Candle&amp;qid=1695258690&amp;sr=8-3</v>
      </c>
      <c r="F943" t="s">
        <v>2184</v>
      </c>
      <c r="G943" t="e">
        <f ca="1">IMAGE("https://heavenlyouthouse.com/cdn/shop/products/shitshowcandle.jpg?v=1620680822")</f>
        <v>#NAME?</v>
      </c>
      <c r="H943" t="e">
        <f ca="1">IMAGE("https://m.media-amazon.com/images/I/81us2+IMgmL._AC_UL320_.jpg")</f>
        <v>#NAME?</v>
      </c>
      <c r="I943" t="s">
        <v>1211</v>
      </c>
      <c r="J943">
        <v>16</v>
      </c>
      <c r="K943" s="2" t="s">
        <v>2172</v>
      </c>
      <c r="L943">
        <v>4.5999999999999996</v>
      </c>
      <c r="M943">
        <v>57</v>
      </c>
      <c r="O943" t="s">
        <v>39</v>
      </c>
      <c r="P943" t="s">
        <v>39</v>
      </c>
      <c r="Q943" t="s">
        <v>1970</v>
      </c>
    </row>
    <row r="944" spans="1:17" ht="15.75" x14ac:dyDescent="0.25">
      <c r="A944" s="3" t="str">
        <f>HYPERLINK("https://heavenlyouthouse.com/products/thymes-eucalyptus-large-hand-wash?variant=40084236763225", "https://heavenlyouthouse.com/products/thymes-eucalyptus-large-hand-wash?variant=40084236763225")</f>
        <v>https://heavenlyouthouse.com/products/thymes-eucalyptus-large-hand-wash?variant=40084236763225</v>
      </c>
      <c r="B944" s="3" t="str">
        <f>HYPERLINK("https://heavenlyouthouse.com/products/thymes-eucalyptus-large-hand-wash", "https://heavenlyouthouse.com/products/thymes-eucalyptus-large-hand-wash")</f>
        <v>https://heavenlyouthouse.com/products/thymes-eucalyptus-large-hand-wash</v>
      </c>
      <c r="C944" t="s">
        <v>2185</v>
      </c>
      <c r="D944" t="s">
        <v>1344</v>
      </c>
      <c r="E944" s="3" t="str">
        <f>HYPERLINK("https://www.amazon.com/Thymes-Eucalyptus-Hydrating-Liquid-Soothing/dp/B002WJHL3Q/ref=sr_1_1?keywords=Thymes+Eucalyptus+Large+Hand+Wash&amp;qid=1695258716&amp;sr=8-1", "https://www.amazon.com/Thymes-Eucalyptus-Hydrating-Liquid-Soothing/dp/B002WJHL3Q/ref=sr_1_1?keywords=Thymes+Eucalyptus+Large+Hand+Wash&amp;qid=1695258716&amp;sr=8-1")</f>
        <v>https://www.amazon.com/Thymes-Eucalyptus-Hydrating-Liquid-Soothing/dp/B002WJHL3Q/ref=sr_1_1?keywords=Thymes+Eucalyptus+Large+Hand+Wash&amp;qid=1695258716&amp;sr=8-1</v>
      </c>
      <c r="F944" t="s">
        <v>1345</v>
      </c>
      <c r="G944" t="e">
        <f ca="1">IMAGE("https://heavenlyouthouse.com/cdn/shop/products/thymes-eucalyptus-large-glass-hand-wash.jpg?v=1657304138")</f>
        <v>#NAME?</v>
      </c>
      <c r="H944" t="e">
        <f ca="1">IMAGE("https://m.media-amazon.com/images/I/51qrovuTigL._AC_UL320_.jpg")</f>
        <v>#NAME?</v>
      </c>
      <c r="I944" t="s">
        <v>1211</v>
      </c>
      <c r="J944">
        <v>16</v>
      </c>
      <c r="K944" s="2" t="s">
        <v>2172</v>
      </c>
      <c r="L944">
        <v>4.5999999999999996</v>
      </c>
      <c r="M944">
        <v>3441</v>
      </c>
      <c r="O944" t="s">
        <v>136</v>
      </c>
      <c r="P944" t="s">
        <v>39</v>
      </c>
      <c r="Q944" t="s">
        <v>2186</v>
      </c>
    </row>
    <row r="945" spans="1:17" ht="15.75" x14ac:dyDescent="0.25">
      <c r="A945" s="3" t="str">
        <f>HYPERLINK("https://heavenlyouthouse.com/products/shit-show-candle", "https://heavenlyouthouse.com/products/shit-show-candle")</f>
        <v>https://heavenlyouthouse.com/products/shit-show-candle</v>
      </c>
      <c r="B945" s="3" t="str">
        <f>HYPERLINK("https://heavenlyouthouse.com/products/shit-show-candle", "https://heavenlyouthouse.com/products/shit-show-candle")</f>
        <v>https://heavenlyouthouse.com/products/shit-show-candle</v>
      </c>
      <c r="C945" t="s">
        <v>1967</v>
      </c>
      <c r="D945" t="s">
        <v>2187</v>
      </c>
      <c r="E945" s="3" t="str">
        <f>HYPERLINK("https://www.amazon.com/Malicious-Women-Candle-Co-All-Natural/dp/B07HDD1C56/ref=sr_1_1?keywords=Shit+Show+Candle&amp;qid=1695258690&amp;sr=8-1", "https://www.amazon.com/Malicious-Women-Candle-Co-All-Natural/dp/B07HDD1C56/ref=sr_1_1?keywords=Shit+Show+Candle&amp;qid=1695258690&amp;sr=8-1")</f>
        <v>https://www.amazon.com/Malicious-Women-Candle-Co-All-Natural/dp/B07HDD1C56/ref=sr_1_1?keywords=Shit+Show+Candle&amp;qid=1695258690&amp;sr=8-1</v>
      </c>
      <c r="F945" t="s">
        <v>2188</v>
      </c>
      <c r="G945" t="e">
        <f ca="1">IMAGE("https://heavenlyouthouse.com/cdn/shop/products/shitshowcandle.jpg?v=1620680822")</f>
        <v>#NAME?</v>
      </c>
      <c r="H945" t="e">
        <f ca="1">IMAGE("https://m.media-amazon.com/images/I/81Qcf+gFaKL._AC_UL320_.jpg")</f>
        <v>#NAME?</v>
      </c>
      <c r="I945" t="s">
        <v>1211</v>
      </c>
      <c r="J945">
        <v>15.99</v>
      </c>
      <c r="K945" s="2" t="s">
        <v>2172</v>
      </c>
      <c r="L945">
        <v>4.8</v>
      </c>
      <c r="M945">
        <v>698</v>
      </c>
      <c r="O945" t="s">
        <v>39</v>
      </c>
      <c r="P945" t="s">
        <v>39</v>
      </c>
      <c r="Q945" t="s">
        <v>1970</v>
      </c>
    </row>
    <row r="946" spans="1:17" ht="15.75" x14ac:dyDescent="0.25">
      <c r="A946" s="3" t="str">
        <f>HYPERLINK("https://heavenlyouthouse.com/products/eucalyptus-bubble-bath", "https://heavenlyouthouse.com/products/eucalyptus-bubble-bath")</f>
        <v>https://heavenlyouthouse.com/products/eucalyptus-bubble-bath</v>
      </c>
      <c r="B946" s="3" t="str">
        <f>HYPERLINK("https://heavenlyouthouse.com/products/eucalyptus-bubble-bath", "https://heavenlyouthouse.com/products/eucalyptus-bubble-bath")</f>
        <v>https://heavenlyouthouse.com/products/eucalyptus-bubble-bath</v>
      </c>
      <c r="C946" t="s">
        <v>1861</v>
      </c>
      <c r="D946" t="s">
        <v>2189</v>
      </c>
      <c r="E946" s="3" t="str">
        <f>HYPERLINK("https://www.amazon.com/Deep-Steep-Bubble-Bath-Eucalyptus/dp/B0BMW8KC3S/ref=sr_1_4?keywords=Thymes+Eucalyptus+Bubble+Bath&amp;qid=1695258716&amp;sr=8-4", "https://www.amazon.com/Deep-Steep-Bubble-Bath-Eucalyptus/dp/B0BMW8KC3S/ref=sr_1_4?keywords=Thymes+Eucalyptus+Bubble+Bath&amp;qid=1695258716&amp;sr=8-4")</f>
        <v>https://www.amazon.com/Deep-Steep-Bubble-Bath-Eucalyptus/dp/B0BMW8KC3S/ref=sr_1_4?keywords=Thymes+Eucalyptus+Bubble+Bath&amp;qid=1695258716&amp;sr=8-4</v>
      </c>
      <c r="F946" t="s">
        <v>2190</v>
      </c>
      <c r="G946" t="e">
        <f ca="1">IMAGE("https://heavenlyouthouse.com/cdn/shop/products/bubblebath.jpg?v=1588103593")</f>
        <v>#NAME?</v>
      </c>
      <c r="H946" t="e">
        <f ca="1">IMAGE("https://m.media-amazon.com/images/I/61qeAYOBLCL._AC_UL320_.jpg")</f>
        <v>#NAME?</v>
      </c>
      <c r="I946" t="s">
        <v>1211</v>
      </c>
      <c r="J946">
        <v>15.95</v>
      </c>
      <c r="K946" s="2" t="s">
        <v>2172</v>
      </c>
      <c r="L946">
        <v>4.5</v>
      </c>
      <c r="M946">
        <v>5147</v>
      </c>
      <c r="O946" t="s">
        <v>39</v>
      </c>
      <c r="P946" t="s">
        <v>39</v>
      </c>
      <c r="Q946" t="s">
        <v>1864</v>
      </c>
    </row>
    <row r="947" spans="1:17" ht="15.75" x14ac:dyDescent="0.25">
      <c r="A947" s="3" t="str">
        <f>HYPERLINK("https://heavenlyouthouse.com/products/pumice-stone", "https://heavenlyouthouse.com/products/pumice-stone")</f>
        <v>https://heavenlyouthouse.com/products/pumice-stone</v>
      </c>
      <c r="B947" s="3" t="str">
        <f>HYPERLINK("https://heavenlyouthouse.com/products/pumice-stone", "https://heavenlyouthouse.com/products/pumice-stone")</f>
        <v>https://heavenlyouthouse.com/products/pumice-stone</v>
      </c>
      <c r="C947" t="s">
        <v>213</v>
      </c>
      <c r="D947" t="s">
        <v>2191</v>
      </c>
      <c r="E947" s="3" t="str">
        <f>HYPERLINK("https://www.amazon.com/Natural-Pumice-Pedicure-Callus-Remover/dp/B08FMN2S2R/ref=sr_1_1?keywords=Pumice+Stone&amp;qid=1695258677&amp;sr=8-1", "https://www.amazon.com/Natural-Pumice-Pedicure-Callus-Remover/dp/B08FMN2S2R/ref=sr_1_1?keywords=Pumice+Stone&amp;qid=1695258677&amp;sr=8-1")</f>
        <v>https://www.amazon.com/Natural-Pumice-Pedicure-Callus-Remover/dp/B08FMN2S2R/ref=sr_1_1?keywords=Pumice+Stone&amp;qid=1695258677&amp;sr=8-1</v>
      </c>
      <c r="F947" t="s">
        <v>2192</v>
      </c>
      <c r="G947" t="e">
        <f ca="1">IMAGE("https://heavenlyouthouse.com/cdn/shop/products/Pumice-Stone_2048_2000x_ede24df3-a286-42b7-ba0b-778cf1147f6b.jpg?v=1587064261")</f>
        <v>#NAME?</v>
      </c>
      <c r="H947" t="e">
        <f ca="1">IMAGE("https://m.media-amazon.com/images/I/81PFxiE-ZfL._AC_UL320_.jpg")</f>
        <v>#NAME?</v>
      </c>
      <c r="I947" t="s">
        <v>216</v>
      </c>
      <c r="J947">
        <v>4.09</v>
      </c>
      <c r="K947" s="2" t="s">
        <v>2172</v>
      </c>
      <c r="L947">
        <v>4.5</v>
      </c>
      <c r="M947">
        <v>5993</v>
      </c>
      <c r="O947" t="s">
        <v>39</v>
      </c>
      <c r="P947" t="s">
        <v>218</v>
      </c>
      <c r="Q947" t="s">
        <v>219</v>
      </c>
    </row>
    <row r="948" spans="1:17" ht="15.75" x14ac:dyDescent="0.25">
      <c r="A948" s="3" t="str">
        <f>HYPERLINK("https://heavenlyouthouse.com/products/thymes-frasier-fir-gilded-poured-candle-trio-set", "https://heavenlyouthouse.com/products/thymes-frasier-fir-gilded-poured-candle-trio-set")</f>
        <v>https://heavenlyouthouse.com/products/thymes-frasier-fir-gilded-poured-candle-trio-set</v>
      </c>
      <c r="B948" s="3" t="str">
        <f>HYPERLINK("https://heavenlyouthouse.com/products/thymes-frasier-fir-gilded-poured-candle-trio-set", "https://heavenlyouthouse.com/products/thymes-frasier-fir-gilded-poured-candle-trio-set")</f>
        <v>https://heavenlyouthouse.com/products/thymes-frasier-fir-gilded-poured-candle-trio-set</v>
      </c>
      <c r="C948" t="s">
        <v>1156</v>
      </c>
      <c r="D948" t="s">
        <v>1340</v>
      </c>
      <c r="E948" s="3" t="str">
        <f>HYPERLINK("https://www.amazon.com/Thymes-Frasier-Limited-Statement-Poured/dp/B01KIH5ACM/ref=sr_1_10?keywords=Thymes+Frasier+Fir+Gilded+Poured+Candle+Trio&amp;qid=1695258729&amp;sr=8-10", "https://www.amazon.com/Thymes-Frasier-Limited-Statement-Poured/dp/B01KIH5ACM/ref=sr_1_10?keywords=Thymes+Frasier+Fir+Gilded+Poured+Candle+Trio&amp;qid=1695258729&amp;sr=8-10")</f>
        <v>https://www.amazon.com/Thymes-Frasier-Limited-Statement-Poured/dp/B01KIH5ACM/ref=sr_1_10?keywords=Thymes+Frasier+Fir+Gilded+Poured+Candle+Trio&amp;qid=1695258729&amp;sr=8-10</v>
      </c>
      <c r="F948" t="s">
        <v>1341</v>
      </c>
      <c r="G948" t="e">
        <f ca="1">IMAGE("https://heavenlyouthouse.com/cdn/shop/products/Thymes-Frasier-Fir-Gilded-ceramic-candle-trio-set.jpg?v=1660769749")</f>
        <v>#NAME?</v>
      </c>
      <c r="H948" t="e">
        <f ca="1">IMAGE("https://m.media-amazon.com/images/I/71JjP3b2XTL._AC_UL320_.jpg")</f>
        <v>#NAME?</v>
      </c>
      <c r="I948" t="s">
        <v>1157</v>
      </c>
      <c r="J948">
        <v>28</v>
      </c>
      <c r="K948" s="2" t="s">
        <v>2193</v>
      </c>
      <c r="L948">
        <v>4.5</v>
      </c>
      <c r="M948">
        <v>82</v>
      </c>
      <c r="O948" t="s">
        <v>39</v>
      </c>
      <c r="P948" t="s">
        <v>39</v>
      </c>
      <c r="Q948" t="s">
        <v>1159</v>
      </c>
    </row>
    <row r="949" spans="1:17" ht="15.75" x14ac:dyDescent="0.25">
      <c r="A949" s="3" t="str">
        <f>HYPERLINK("https://heavenlyouthouse.com/products/truck-tooth-fairy-pillow-set?variant=40588641894489", "https://heavenlyouthouse.com/products/truck-tooth-fairy-pillow-set?variant=40588641894489")</f>
        <v>https://heavenlyouthouse.com/products/truck-tooth-fairy-pillow-set?variant=40588641894489</v>
      </c>
      <c r="B949" s="3" t="str">
        <f>HYPERLINK("https://heavenlyouthouse.com/products/truck-tooth-fairy-pillow-set", "https://heavenlyouthouse.com/products/truck-tooth-fairy-pillow-set")</f>
        <v>https://heavenlyouthouse.com/products/truck-tooth-fairy-pillow-set</v>
      </c>
      <c r="C949" t="s">
        <v>1928</v>
      </c>
      <c r="D949" t="s">
        <v>2194</v>
      </c>
      <c r="E949" s="3" t="str">
        <f>HYPERLINK("https://www.amazon.com/Tickle-Main-Superhero-Notepad-Keepsake/dp/B06XSRSC2T/ref=sr_1_5?keywords=Truck+Tooth+Fairy+Pillow+Set&amp;qid=1695258797&amp;sr=8-5", "https://www.amazon.com/Tickle-Main-Superhero-Notepad-Keepsake/dp/B06XSRSC2T/ref=sr_1_5?keywords=Truck+Tooth+Fairy+Pillow+Set&amp;qid=1695258797&amp;sr=8-5")</f>
        <v>https://www.amazon.com/Tickle-Main-Superhero-Notepad-Keepsake/dp/B06XSRSC2T/ref=sr_1_5?keywords=Truck+Tooth+Fairy+Pillow+Set&amp;qid=1695258797&amp;sr=8-5</v>
      </c>
      <c r="F949" t="s">
        <v>2195</v>
      </c>
      <c r="G949" t="e">
        <f ca="1">IMAGE("https://heavenlyouthouse.com/cdn/shop/files/TF1008_700x_79e9abbd-3b8d-4144-b3e9-abc54712a488_300x300.webp?v=1694458346")</f>
        <v>#NAME?</v>
      </c>
      <c r="H949" t="e">
        <f ca="1">IMAGE("https://m.media-amazon.com/images/I/91vMUV2w40L._AC_UL320_.jpg")</f>
        <v>#NAME?</v>
      </c>
      <c r="I949" t="s">
        <v>336</v>
      </c>
      <c r="J949">
        <v>19.989999999999998</v>
      </c>
      <c r="K949" s="2" t="s">
        <v>2193</v>
      </c>
      <c r="L949">
        <v>4.7</v>
      </c>
      <c r="M949">
        <v>1680</v>
      </c>
      <c r="O949" t="s">
        <v>136</v>
      </c>
      <c r="P949" t="s">
        <v>1931</v>
      </c>
      <c r="Q949" t="s">
        <v>1932</v>
      </c>
    </row>
    <row r="950" spans="1:17" ht="15.75" x14ac:dyDescent="0.25">
      <c r="A950" s="3" t="str">
        <f>HYPERLINK("https://heavenlyouthouse.com/products/pumice-stone", "https://heavenlyouthouse.com/products/pumice-stone")</f>
        <v>https://heavenlyouthouse.com/products/pumice-stone</v>
      </c>
      <c r="B950" s="3" t="str">
        <f>HYPERLINK("https://heavenlyouthouse.com/products/pumice-stone", "https://heavenlyouthouse.com/products/pumice-stone")</f>
        <v>https://heavenlyouthouse.com/products/pumice-stone</v>
      </c>
      <c r="C950" t="s">
        <v>213</v>
      </c>
      <c r="D950" t="s">
        <v>2196</v>
      </c>
      <c r="E950" s="3" t="str">
        <f>HYPERLINK("https://www.amazon.com/Professional-Pedicure-Pumice-Remover-Scrubber/dp/B0BZH3BRVQ/ref=sr_1_5?keywords=Pumice+Stone&amp;qid=1695258677&amp;sr=8-5", "https://www.amazon.com/Professional-Pedicure-Pumice-Remover-Scrubber/dp/B0BZH3BRVQ/ref=sr_1_5?keywords=Pumice+Stone&amp;qid=1695258677&amp;sr=8-5")</f>
        <v>https://www.amazon.com/Professional-Pedicure-Pumice-Remover-Scrubber/dp/B0BZH3BRVQ/ref=sr_1_5?keywords=Pumice+Stone&amp;qid=1695258677&amp;sr=8-5</v>
      </c>
      <c r="F950" t="s">
        <v>2197</v>
      </c>
      <c r="G950" t="e">
        <f ca="1">IMAGE("https://heavenlyouthouse.com/cdn/shop/products/Pumice-Stone_2048_2000x_ede24df3-a286-42b7-ba0b-778cf1147f6b.jpg?v=1587064261")</f>
        <v>#NAME?</v>
      </c>
      <c r="H950" t="e">
        <f ca="1">IMAGE("https://m.media-amazon.com/images/I/71IMUeiLjSL._AC_UL320_.jpg")</f>
        <v>#NAME?</v>
      </c>
      <c r="I950" t="s">
        <v>216</v>
      </c>
      <c r="J950">
        <v>3.99</v>
      </c>
      <c r="K950" s="2" t="s">
        <v>2193</v>
      </c>
      <c r="L950">
        <v>4.2</v>
      </c>
      <c r="M950">
        <v>133</v>
      </c>
      <c r="O950" t="s">
        <v>39</v>
      </c>
      <c r="P950" t="s">
        <v>218</v>
      </c>
      <c r="Q950" t="s">
        <v>219</v>
      </c>
    </row>
    <row r="951" spans="1:17" ht="15.75" x14ac:dyDescent="0.25">
      <c r="A951" s="3" t="str">
        <f>HYPERLINK("https://heavenlyouthouse.com/products/thymes-eucalyptus-body-scrub", "https://heavenlyouthouse.com/products/thymes-eucalyptus-body-scrub")</f>
        <v>https://heavenlyouthouse.com/products/thymes-eucalyptus-body-scrub</v>
      </c>
      <c r="B951" s="3" t="str">
        <f>HYPERLINK("https://heavenlyouthouse.com/products/thymes-eucalyptus-body-scrub", "https://heavenlyouthouse.com/products/thymes-eucalyptus-body-scrub")</f>
        <v>https://heavenlyouthouse.com/products/thymes-eucalyptus-body-scrub</v>
      </c>
      <c r="C951" t="s">
        <v>1176</v>
      </c>
      <c r="D951" t="s">
        <v>2175</v>
      </c>
      <c r="E951" s="3" t="str">
        <f>HYPERLINK("https://www.amazon.com/Bath-Body-Works-Aromatherapy-Stress/dp/B07H2NP977/ref=sr_1_4?keywords=Thymes+Eucalyptus+Body+Scrub&amp;qid=1695258727&amp;sr=8-4", "https://www.amazon.com/Bath-Body-Works-Aromatherapy-Stress/dp/B07H2NP977/ref=sr_1_4?keywords=Thymes+Eucalyptus+Body+Scrub&amp;qid=1695258727&amp;sr=8-4")</f>
        <v>https://www.amazon.com/Bath-Body-Works-Aromatherapy-Stress/dp/B07H2NP977/ref=sr_1_4?keywords=Thymes+Eucalyptus+Body+Scrub&amp;qid=1695258727&amp;sr=8-4</v>
      </c>
      <c r="F951" t="s">
        <v>2198</v>
      </c>
      <c r="G951" t="e">
        <f ca="1">IMAGE("https://heavenlyouthouse.com/cdn/shop/products/thymes-eucalyptus-body-scrub.jpg?v=1630620279")</f>
        <v>#NAME?</v>
      </c>
      <c r="H951" t="e">
        <f ca="1">IMAGE("https://m.media-amazon.com/images/I/51kbX9HzHBL._AC_UL320_.jpg")</f>
        <v>#NAME?</v>
      </c>
      <c r="I951" t="s">
        <v>1179</v>
      </c>
      <c r="J951">
        <v>14.3</v>
      </c>
      <c r="K951" s="2" t="s">
        <v>2193</v>
      </c>
      <c r="L951">
        <v>4.5999999999999996</v>
      </c>
      <c r="M951">
        <v>343</v>
      </c>
      <c r="O951" t="s">
        <v>39</v>
      </c>
      <c r="P951" t="s">
        <v>39</v>
      </c>
      <c r="Q951" t="s">
        <v>1180</v>
      </c>
    </row>
    <row r="952" spans="1:17" ht="15.75" x14ac:dyDescent="0.25">
      <c r="A952" s="3" t="str">
        <f>HYPERLINK("https://heavenlyouthouse.com/products/thymes-lemon-leaf-and-mandarin-coriander-pura-smart-home-diffuser-kit", "https://heavenlyouthouse.com/products/thymes-lemon-leaf-and-mandarin-coriander-pura-smart-home-diffuser-kit")</f>
        <v>https://heavenlyouthouse.com/products/thymes-lemon-leaf-and-mandarin-coriander-pura-smart-home-diffuser-kit</v>
      </c>
      <c r="B952" s="3" t="str">
        <f>HYPERLINK("https://heavenlyouthouse.com/products/thymes-lemon-leaf-and-mandarin-coriander-pura-smart-home-diffuser-kit", "https://heavenlyouthouse.com/products/thymes-lemon-leaf-and-mandarin-coriander-pura-smart-home-diffuser-kit")</f>
        <v>https://heavenlyouthouse.com/products/thymes-lemon-leaf-and-mandarin-coriander-pura-smart-home-diffuser-kit</v>
      </c>
      <c r="C952" t="s">
        <v>2199</v>
      </c>
      <c r="D952" t="s">
        <v>448</v>
      </c>
      <c r="E952" s="3" t="str">
        <f>HYPERLINK("https://www.amazon.com/Thymes-Mandarin-Coriander-Diffuser-Refills/dp/B0BWC8V2Y7/ref=sr_1_1?keywords=Thymes+Lemon+Leaf+and+Mandarin+Coriander+Pura+Smart+Home+Diffuser+Kit&amp;qid=1695258765&amp;sr=8-1", "https://www.amazon.com/Thymes-Mandarin-Coriander-Diffuser-Refills/dp/B0BWC8V2Y7/ref=sr_1_1?keywords=Thymes+Lemon+Leaf+and+Mandarin+Coriander+Pura+Smart+Home+Diffuser+Kit&amp;qid=1695258765&amp;sr=8-1")</f>
        <v>https://www.amazon.com/Thymes-Mandarin-Coriander-Diffuser-Refills/dp/B0BWC8V2Y7/ref=sr_1_1?keywords=Thymes+Lemon+Leaf+and+Mandarin+Coriander+Pura+Smart+Home+Diffuser+Kit&amp;qid=1695258765&amp;sr=8-1</v>
      </c>
      <c r="F952" t="s">
        <v>449</v>
      </c>
      <c r="G952" t="e">
        <f ca="1">IMAGE("https://heavenlyouthouse.com/cdn/shop/products/Thymes-Lemon-Leaf-mandarin-coranderpura-smart-diffuser-kit.jpg?v=1659711831")</f>
        <v>#NAME?</v>
      </c>
      <c r="H952" t="e">
        <f ca="1">IMAGE("https://m.media-amazon.com/images/I/61gPxekqQKL._AC_UL320_.jpg")</f>
        <v>#NAME?</v>
      </c>
      <c r="I952" t="s">
        <v>1716</v>
      </c>
      <c r="J952">
        <v>45</v>
      </c>
      <c r="K952" s="2" t="s">
        <v>2200</v>
      </c>
      <c r="L952">
        <v>4.2</v>
      </c>
      <c r="M952">
        <v>234</v>
      </c>
      <c r="O952" t="s">
        <v>39</v>
      </c>
      <c r="P952" t="s">
        <v>39</v>
      </c>
      <c r="Q952" t="s">
        <v>2201</v>
      </c>
    </row>
    <row r="953" spans="1:17" ht="15.75" x14ac:dyDescent="0.25">
      <c r="A953" s="3" t="str">
        <f>HYPERLINK("https://heavenlyouthouse.com/products/goldleaf-eau-de-parfum", "https://heavenlyouthouse.com/products/goldleaf-eau-de-parfum")</f>
        <v>https://heavenlyouthouse.com/products/goldleaf-eau-de-parfum</v>
      </c>
      <c r="B953" s="3" t="str">
        <f>HYPERLINK("https://heavenlyouthouse.com/products/goldleaf-eau-de-parfum", "https://heavenlyouthouse.com/products/goldleaf-eau-de-parfum")</f>
        <v>https://heavenlyouthouse.com/products/goldleaf-eau-de-parfum</v>
      </c>
      <c r="C953" t="s">
        <v>1240</v>
      </c>
      <c r="D953" t="s">
        <v>1878</v>
      </c>
      <c r="E953" s="3" t="str">
        <f>HYPERLINK("https://www.amazon.com/Thymes-Goldleaf-Gardenia-Parfum-Spray/dp/B07LFPPYNV/ref=sr_1_3?keywords=Thymes+Goldleaf+Eau+De+Parfum&amp;qid=1695258750&amp;sr=8-3", "https://www.amazon.com/Thymes-Goldleaf-Gardenia-Parfum-Spray/dp/B07LFPPYNV/ref=sr_1_3?keywords=Thymes+Goldleaf+Eau+De+Parfum&amp;qid=1695258750&amp;sr=8-3")</f>
        <v>https://www.amazon.com/Thymes-Goldleaf-Gardenia-Parfum-Spray/dp/B07LFPPYNV/ref=sr_1_3?keywords=Thymes+Goldleaf+Eau+De+Parfum&amp;qid=1695258750&amp;sr=8-3</v>
      </c>
      <c r="F953" t="s">
        <v>1879</v>
      </c>
      <c r="G953" t="e">
        <f ca="1">IMAGE("https://heavenlyouthouse.com/cdn/shop/products/thymes-goldleaf-perfume-50ml.jpg?v=1628692065")</f>
        <v>#NAME?</v>
      </c>
      <c r="H953" t="e">
        <f ca="1">IMAGE("https://m.media-amazon.com/images/I/71ptHBrR7wL._AC_UL320_.jpg")</f>
        <v>#NAME?</v>
      </c>
      <c r="I953" t="s">
        <v>1241</v>
      </c>
      <c r="J953">
        <v>25</v>
      </c>
      <c r="K953" s="2" t="s">
        <v>2202</v>
      </c>
      <c r="L953">
        <v>4.5</v>
      </c>
      <c r="M953">
        <v>900</v>
      </c>
      <c r="O953" t="s">
        <v>39</v>
      </c>
      <c r="P953" t="s">
        <v>1242</v>
      </c>
      <c r="Q953" t="s">
        <v>1243</v>
      </c>
    </row>
    <row r="954" spans="1:17" ht="15.75" x14ac:dyDescent="0.25">
      <c r="A954" s="3" t="str">
        <f>HYPERLINK("https://heavenlyouthouse.com/products/goldleaf-gardenia-eau-de-parfume", "https://heavenlyouthouse.com/products/goldleaf-gardenia-eau-de-parfume")</f>
        <v>https://heavenlyouthouse.com/products/goldleaf-gardenia-eau-de-parfume</v>
      </c>
      <c r="B954" s="3" t="str">
        <f>HYPERLINK("https://heavenlyouthouse.com/products/goldleaf-gardenia-eau-de-parfume", "https://heavenlyouthouse.com/products/goldleaf-gardenia-eau-de-parfume")</f>
        <v>https://heavenlyouthouse.com/products/goldleaf-gardenia-eau-de-parfume</v>
      </c>
      <c r="C954" t="s">
        <v>1244</v>
      </c>
      <c r="D954" t="s">
        <v>1878</v>
      </c>
      <c r="E954" s="3" t="str">
        <f>HYPERLINK("https://www.amazon.com/Thymes-Goldleaf-Gardenia-Parfum-Spray/dp/B07LFPPYNV/ref=sr_1_2?keywords=thymes+goldleaf+gardenia+eau+de+parfum&amp;qid=1695258753&amp;sr=8-2", "https://www.amazon.com/Thymes-Goldleaf-Gardenia-Parfum-Spray/dp/B07LFPPYNV/ref=sr_1_2?keywords=thymes+goldleaf+gardenia+eau+de+parfum&amp;qid=1695258753&amp;sr=8-2")</f>
        <v>https://www.amazon.com/Thymes-Goldleaf-Gardenia-Parfum-Spray/dp/B07LFPPYNV/ref=sr_1_2?keywords=thymes+goldleaf+gardenia+eau+de+parfum&amp;qid=1695258753&amp;sr=8-2</v>
      </c>
      <c r="F954" t="s">
        <v>1879</v>
      </c>
      <c r="G954" t="e">
        <f ca="1">IMAGE("https://heavenlyouthouse.com/cdn/shop/products/thymes-goldleaf-gardenia-eau-de-parfume-50ml.jpg?v=1628692367")</f>
        <v>#NAME?</v>
      </c>
      <c r="H954" t="e">
        <f ca="1">IMAGE("https://m.media-amazon.com/images/I/71ptHBrR7wL._AC_UL320_.jpg")</f>
        <v>#NAME?</v>
      </c>
      <c r="I954" t="s">
        <v>1241</v>
      </c>
      <c r="J954">
        <v>25</v>
      </c>
      <c r="K954" s="2" t="s">
        <v>2202</v>
      </c>
      <c r="L954">
        <v>4.5</v>
      </c>
      <c r="M954">
        <v>900</v>
      </c>
      <c r="O954" t="s">
        <v>39</v>
      </c>
      <c r="P954" t="s">
        <v>1242</v>
      </c>
      <c r="Q954" t="s">
        <v>1245</v>
      </c>
    </row>
    <row r="955" spans="1:17" ht="15.75" x14ac:dyDescent="0.25">
      <c r="A955" s="3" t="str">
        <f>HYPERLINK("https://heavenlyouthouse.com/products/thymes-lavender-body-scrub", "https://heavenlyouthouse.com/products/thymes-lavender-body-scrub")</f>
        <v>https://heavenlyouthouse.com/products/thymes-lavender-body-scrub</v>
      </c>
      <c r="B955" s="3" t="str">
        <f>HYPERLINK("https://heavenlyouthouse.com/products/thymes-lavender-body-scrub", "https://heavenlyouthouse.com/products/thymes-lavender-body-scrub")</f>
        <v>https://heavenlyouthouse.com/products/thymes-lavender-body-scrub</v>
      </c>
      <c r="C955" t="s">
        <v>1401</v>
      </c>
      <c r="D955" t="s">
        <v>2203</v>
      </c>
      <c r="E955" s="3" t="str">
        <f>HYPERLINK("https://www.amazon.com/Dove-Exfoliating-Crushed-Lavender-Coconut/dp/B07M7ZVC89/ref=sr_1_9?keywords=Thymes+Lavender+Body+Scrub&amp;qid=1695258768&amp;sr=8-9", "https://www.amazon.com/Dove-Exfoliating-Crushed-Lavender-Coconut/dp/B07M7ZVC89/ref=sr_1_9?keywords=Thymes+Lavender+Body+Scrub&amp;qid=1695258768&amp;sr=8-9")</f>
        <v>https://www.amazon.com/Dove-Exfoliating-Crushed-Lavender-Coconut/dp/B07M7ZVC89/ref=sr_1_9?keywords=Thymes+Lavender+Body+Scrub&amp;qid=1695258768&amp;sr=8-9</v>
      </c>
      <c r="F955" t="s">
        <v>2204</v>
      </c>
      <c r="G955" t="e">
        <f ca="1">IMAGE("https://heavenlyouthouse.com/cdn/shop/products/thymes-lavender-body-scrub.jpg?v=1630622694")</f>
        <v>#NAME?</v>
      </c>
      <c r="H955" t="e">
        <f ca="1">IMAGE("https://m.media-amazon.com/images/I/61hmdLVcT-L._AC_UL320_.jpg")</f>
        <v>#NAME?</v>
      </c>
      <c r="I955" t="s">
        <v>1179</v>
      </c>
      <c r="J955">
        <v>13.79</v>
      </c>
      <c r="K955" s="2" t="s">
        <v>2202</v>
      </c>
      <c r="L955">
        <v>4.5</v>
      </c>
      <c r="M955">
        <v>1924</v>
      </c>
      <c r="O955" t="s">
        <v>39</v>
      </c>
      <c r="P955" t="s">
        <v>39</v>
      </c>
      <c r="Q955" t="s">
        <v>1404</v>
      </c>
    </row>
    <row r="956" spans="1:17" ht="15.75" x14ac:dyDescent="0.25">
      <c r="A956" s="3" t="str">
        <f>HYPERLINK("https://heavenlyouthouse.com/products/vanilla-coconut-body-lotion", "https://heavenlyouthouse.com/products/vanilla-coconut-body-lotion")</f>
        <v>https://heavenlyouthouse.com/products/vanilla-coconut-body-lotion</v>
      </c>
      <c r="B956" s="3" t="str">
        <f>HYPERLINK("https://heavenlyouthouse.com/products/vanilla-coconut-body-lotion", "https://heavenlyouthouse.com/products/vanilla-coconut-body-lotion")</f>
        <v>https://heavenlyouthouse.com/products/vanilla-coconut-body-lotion</v>
      </c>
      <c r="C956" t="s">
        <v>396</v>
      </c>
      <c r="D956" t="s">
        <v>2205</v>
      </c>
      <c r="E956" s="3" t="str">
        <f>HYPERLINK("https://www.amazon.com/OGX-Creamy-Coconut-Miracle-Moisture/dp/B01MCTTDJS/ref=sr_1_1?keywords=Vanilla+Coconut+Body+Lotion&amp;qid=1695258813&amp;sr=8-1", "https://www.amazon.com/OGX-Creamy-Coconut-Miracle-Moisture/dp/B01MCTTDJS/ref=sr_1_1?keywords=Vanilla+Coconut+Body+Lotion&amp;qid=1695258813&amp;sr=8-1")</f>
        <v>https://www.amazon.com/OGX-Creamy-Coconut-Miracle-Moisture/dp/B01MCTTDJS/ref=sr_1_1?keywords=Vanilla+Coconut+Body+Lotion&amp;qid=1695258813&amp;sr=8-1</v>
      </c>
      <c r="F956" t="s">
        <v>2206</v>
      </c>
      <c r="G956" t="e">
        <f ca="1">IMAGE("https://heavenlyouthouse.com/cdn/shop/products/Vanilla-Coconut_Body-Lotion_2048_2000x_f9dbe99f-03d5-4b01-984d-3ca76d1c9785.jpg?v=1586911459")</f>
        <v>#NAME?</v>
      </c>
      <c r="H956" t="e">
        <f ca="1">IMAGE("https://m.media-amazon.com/images/I/51rXDOEF2JL._AC_UL320_.jpg")</f>
        <v>#NAME?</v>
      </c>
      <c r="I956" t="s">
        <v>399</v>
      </c>
      <c r="J956">
        <v>7.99</v>
      </c>
      <c r="K956" s="2" t="s">
        <v>2202</v>
      </c>
      <c r="L956">
        <v>4.5999999999999996</v>
      </c>
      <c r="M956">
        <v>21734</v>
      </c>
      <c r="O956" t="s">
        <v>39</v>
      </c>
      <c r="P956" t="s">
        <v>39</v>
      </c>
      <c r="Q956" t="s">
        <v>400</v>
      </c>
    </row>
    <row r="957" spans="1:17" ht="15.75" x14ac:dyDescent="0.25">
      <c r="A957" s="3" t="str">
        <f>HYPERLINK("https://heavenlyouthouse.com/products/lavender-hand-lotion", "https://heavenlyouthouse.com/products/lavender-hand-lotion")</f>
        <v>https://heavenlyouthouse.com/products/lavender-hand-lotion</v>
      </c>
      <c r="B957" s="3" t="str">
        <f>HYPERLINK("https://heavenlyouthouse.com/products/lavender-hand-lotion", "https://heavenlyouthouse.com/products/lavender-hand-lotion")</f>
        <v>https://heavenlyouthouse.com/products/lavender-hand-lotion</v>
      </c>
      <c r="C957" t="s">
        <v>623</v>
      </c>
      <c r="D957" t="s">
        <v>2207</v>
      </c>
      <c r="E957" s="3" t="str">
        <f>HYPERLINK("https://www.amazon.com/Jergens-Moisturizer-Essential-Indulgent-Moisturization/dp/B07QBN245V/ref=sr_1_1?keywords=Thymes+Lavender+Hand+Lotion&amp;qid=1695258772&amp;sr=8-1", "https://www.amazon.com/Jergens-Moisturizer-Essential-Indulgent-Moisturization/dp/B07QBN245V/ref=sr_1_1?keywords=Thymes+Lavender+Hand+Lotion&amp;qid=1695258772&amp;sr=8-1")</f>
        <v>https://www.amazon.com/Jergens-Moisturizer-Essential-Indulgent-Moisturization/dp/B07QBN245V/ref=sr_1_1?keywords=Thymes+Lavender+Hand+Lotion&amp;qid=1695258772&amp;sr=8-1</v>
      </c>
      <c r="F957" t="s">
        <v>2208</v>
      </c>
      <c r="G957" t="e">
        <f ca="1">IMAGE("https://heavenlyouthouse.com/cdn/shop/products/thymes-lavender-hand-lotion.jpg?v=1681319126")</f>
        <v>#NAME?</v>
      </c>
      <c r="H957" t="e">
        <f ca="1">IMAGE("https://m.media-amazon.com/images/I/615isQsfhuL._AC_UL320_.jpg")</f>
        <v>#NAME?</v>
      </c>
      <c r="I957" t="s">
        <v>86</v>
      </c>
      <c r="J957">
        <v>7.97</v>
      </c>
      <c r="K957" s="2" t="s">
        <v>2202</v>
      </c>
      <c r="L957">
        <v>4.5999999999999996</v>
      </c>
      <c r="M957">
        <v>7068</v>
      </c>
      <c r="O957" t="s">
        <v>39</v>
      </c>
      <c r="P957" t="s">
        <v>39</v>
      </c>
      <c r="Q957" t="s">
        <v>626</v>
      </c>
    </row>
    <row r="958" spans="1:17" ht="15.75" x14ac:dyDescent="0.25">
      <c r="A958" s="3" t="str">
        <f>HYPERLINK("https://heavenlyouthouse.com/products/super-dad-fathers-day-card", "https://heavenlyouthouse.com/products/super-dad-fathers-day-card")</f>
        <v>https://heavenlyouthouse.com/products/super-dad-fathers-day-card</v>
      </c>
      <c r="B958" s="3" t="str">
        <f>HYPERLINK("https://heavenlyouthouse.com/products/super-dad-fathers-day-card", "https://heavenlyouthouse.com/products/super-dad-fathers-day-card")</f>
        <v>https://heavenlyouthouse.com/products/super-dad-fathers-day-card</v>
      </c>
      <c r="C958" t="s">
        <v>886</v>
      </c>
      <c r="D958" t="s">
        <v>2209</v>
      </c>
      <c r="E958" s="3" t="str">
        <f>HYPERLINK("https://www.amazon.com/Funny-Birthday-Humorous-Fathers-Daughter/dp/B09XBCKGLJ/ref=sr_1_4?keywords=Super+Dad+Father%27s+Day+Card&amp;qid=1695258705&amp;sr=8-4", "https://www.amazon.com/Funny-Birthday-Humorous-Fathers-Daughter/dp/B09XBCKGLJ/ref=sr_1_4?keywords=Super+Dad+Father%27s+Day+Card&amp;qid=1695258705&amp;sr=8-4")</f>
        <v>https://www.amazon.com/Funny-Birthday-Humorous-Fathers-Daughter/dp/B09XBCKGLJ/ref=sr_1_4?keywords=Super+Dad+Father%27s+Day+Card&amp;qid=1695258705&amp;sr=8-4</v>
      </c>
      <c r="F958" t="s">
        <v>2210</v>
      </c>
      <c r="G958" t="e">
        <f ca="1">IMAGE("https://heavenlyouthouse.com/cdn/shop/products/super-dad-father_s-day-card2.jpg?v=1642611898")</f>
        <v>#NAME?</v>
      </c>
      <c r="H958" t="e">
        <f ca="1">IMAGE("https://m.media-amazon.com/images/I/71ZScp4WXFL._AC_UL320_.jpg")</f>
        <v>#NAME?</v>
      </c>
      <c r="I958" t="s">
        <v>889</v>
      </c>
      <c r="J958">
        <v>3.99</v>
      </c>
      <c r="K958" s="2" t="s">
        <v>2202</v>
      </c>
      <c r="L958">
        <v>5</v>
      </c>
      <c r="M958">
        <v>2</v>
      </c>
      <c r="O958" t="s">
        <v>39</v>
      </c>
      <c r="P958" t="s">
        <v>891</v>
      </c>
      <c r="Q958" t="s">
        <v>892</v>
      </c>
    </row>
    <row r="959" spans="1:17" ht="15.75" x14ac:dyDescent="0.25">
      <c r="A959" s="3" t="str">
        <f>HYPERLINK("https://heavenlyouthouse.com/products/vanilla-coconut-foaming-wash-refill", "https://heavenlyouthouse.com/products/vanilla-coconut-foaming-wash-refill")</f>
        <v>https://heavenlyouthouse.com/products/vanilla-coconut-foaming-wash-refill</v>
      </c>
      <c r="B959" s="3" t="str">
        <f>HYPERLINK("https://heavenlyouthouse.com/products/vanilla-coconut-foaming-wash-refill", "https://heavenlyouthouse.com/products/vanilla-coconut-foaming-wash-refill")</f>
        <v>https://heavenlyouthouse.com/products/vanilla-coconut-foaming-wash-refill</v>
      </c>
      <c r="C959" t="s">
        <v>1871</v>
      </c>
      <c r="D959" t="s">
        <v>2211</v>
      </c>
      <c r="E959" s="3" t="str">
        <f>HYPERLINK("https://www.amazon.com/Tirtyl-Smart-Soap-Refills-Moisturizing/dp/B08JVH14T4/ref=sr_1_2?keywords=Vanilla+Coconut+Foaming+Wash+Refill&amp;qid=1695258811&amp;sr=8-2", "https://www.amazon.com/Tirtyl-Smart-Soap-Refills-Moisturizing/dp/B08JVH14T4/ref=sr_1_2?keywords=Vanilla+Coconut+Foaming+Wash+Refill&amp;qid=1695258811&amp;sr=8-2")</f>
        <v>https://www.amazon.com/Tirtyl-Smart-Soap-Refills-Moisturizing/dp/B08JVH14T4/ref=sr_1_2?keywords=Vanilla+Coconut+Foaming+Wash+Refill&amp;qid=1695258811&amp;sr=8-2</v>
      </c>
      <c r="F959" t="s">
        <v>2212</v>
      </c>
      <c r="G959" t="e">
        <f ca="1">IMAGE("https://heavenlyouthouse.com/cdn/shop/products/vanilla-coconut-foaming-wash-refill_2000x_aae80d4b-1145-48a4-a580-2682c1c65014.jpg?v=1586811944")</f>
        <v>#NAME?</v>
      </c>
      <c r="H959" t="e">
        <f ca="1">IMAGE("https://m.media-amazon.com/images/I/81-7O6dajuL._AC_UL320_.jpg")</f>
        <v>#NAME?</v>
      </c>
      <c r="I959" t="s">
        <v>1874</v>
      </c>
      <c r="J959">
        <v>17.95</v>
      </c>
      <c r="K959" s="2" t="s">
        <v>2213</v>
      </c>
      <c r="L959">
        <v>4.4000000000000004</v>
      </c>
      <c r="M959">
        <v>3236</v>
      </c>
      <c r="O959" t="s">
        <v>39</v>
      </c>
      <c r="P959" t="s">
        <v>39</v>
      </c>
      <c r="Q959" t="s">
        <v>1875</v>
      </c>
    </row>
    <row r="960" spans="1:17" ht="15.75" x14ac:dyDescent="0.25">
      <c r="A960" s="3" t="str">
        <f>HYPERLINK("https://heavenlyouthouse.com/products/lavender-bar-soap", "https://heavenlyouthouse.com/products/lavender-bar-soap")</f>
        <v>https://heavenlyouthouse.com/products/lavender-bar-soap</v>
      </c>
      <c r="B960" s="3" t="str">
        <f>HYPERLINK("https://heavenlyouthouse.com/products/lavender-bar-soap", "https://heavenlyouthouse.com/products/lavender-bar-soap")</f>
        <v>https://heavenlyouthouse.com/products/lavender-bar-soap</v>
      </c>
      <c r="C960" t="s">
        <v>1251</v>
      </c>
      <c r="D960" t="s">
        <v>2214</v>
      </c>
      <c r="E960" s="3" t="str">
        <f>HYPERLINK("https://www.amazon.com/Twisted-Lavender-Handmade-Patchouli-Handcrafted/dp/B0B72B6B84/ref=sr_1_4?keywords=Thymes+Lavender+Bar+Soap&amp;qid=1695258766&amp;sr=8-4", "https://www.amazon.com/Twisted-Lavender-Handmade-Patchouli-Handcrafted/dp/B0B72B6B84/ref=sr_1_4?keywords=Thymes+Lavender+Bar+Soap&amp;qid=1695258766&amp;sr=8-4")</f>
        <v>https://www.amazon.com/Twisted-Lavender-Handmade-Patchouli-Handcrafted/dp/B0B72B6B84/ref=sr_1_4?keywords=Thymes+Lavender+Bar+Soap&amp;qid=1695258766&amp;sr=8-4</v>
      </c>
      <c r="F960" t="s">
        <v>2215</v>
      </c>
      <c r="G960" t="e">
        <f ca="1">IMAGE("https://heavenlyouthouse.com/cdn/shop/products/thymes-lavender-bar-soap.jpg?v=1628693498")</f>
        <v>#NAME?</v>
      </c>
      <c r="H960" t="e">
        <f ca="1">IMAGE("https://m.media-amazon.com/images/I/51rLqN2oB-L._AC_UL320_.jpg")</f>
        <v>#NAME?</v>
      </c>
      <c r="I960" t="s">
        <v>98</v>
      </c>
      <c r="J960">
        <v>6.99</v>
      </c>
      <c r="K960" s="2" t="s">
        <v>2213</v>
      </c>
      <c r="L960">
        <v>4.4000000000000004</v>
      </c>
      <c r="M960">
        <v>43</v>
      </c>
      <c r="O960" t="s">
        <v>39</v>
      </c>
      <c r="P960" t="s">
        <v>39</v>
      </c>
      <c r="Q960" t="s">
        <v>1255</v>
      </c>
    </row>
    <row r="961" spans="1:17" ht="15.75" x14ac:dyDescent="0.25">
      <c r="A961" s="3" t="str">
        <f>HYPERLINK("https://heavenlyouthouse.com/products/thymes-frasier-fir-pine-needle-candle", "https://heavenlyouthouse.com/products/thymes-frasier-fir-pine-needle-candle")</f>
        <v>https://heavenlyouthouse.com/products/thymes-frasier-fir-pine-needle-candle</v>
      </c>
      <c r="B961" s="3" t="str">
        <f>HYPERLINK("https://heavenlyouthouse.com/products/thymes-frasier-fir-pine-needle-candle", "https://heavenlyouthouse.com/products/thymes-frasier-fir-pine-needle-candle")</f>
        <v>https://heavenlyouthouse.com/products/thymes-frasier-fir-pine-needle-candle</v>
      </c>
      <c r="C961" t="s">
        <v>263</v>
      </c>
      <c r="D961" t="s">
        <v>1553</v>
      </c>
      <c r="E961" s="3" t="str">
        <f>HYPERLINK("https://www.amazon.com/Thymes-Fragrant-Frasier-Votive-15-Hour/dp/B00YPP2UGI/ref=sr_1_2?keywords=Thymes+Frasier+Fir+Pine+Needle+Candle&amp;qid=1695258736&amp;sr=8-2", "https://www.amazon.com/Thymes-Fragrant-Frasier-Votive-15-Hour/dp/B00YPP2UGI/ref=sr_1_2?keywords=Thymes+Frasier+Fir+Pine+Needle+Candle&amp;qid=1695258736&amp;sr=8-2")</f>
        <v>https://www.amazon.com/Thymes-Fragrant-Frasier-Votive-15-Hour/dp/B00YPP2UGI/ref=sr_1_2?keywords=Thymes+Frasier+Fir+Pine+Needle+Candle&amp;qid=1695258736&amp;sr=8-2</v>
      </c>
      <c r="F961" t="s">
        <v>1554</v>
      </c>
      <c r="G961" t="e">
        <f ca="1">IMAGE("https://heavenlyouthouse.com/cdn/shop/products/thymesfrasierfirpineneedlecandle6.5oz.jpg?v=1619632712")</f>
        <v>#NAME?</v>
      </c>
      <c r="H961" t="e">
        <f ca="1">IMAGE("https://m.media-amazon.com/images/I/614aXIOl78L._AC_UL320_.jpg")</f>
        <v>#NAME?</v>
      </c>
      <c r="I961" t="s">
        <v>264</v>
      </c>
      <c r="J961">
        <v>16</v>
      </c>
      <c r="K961" s="2" t="s">
        <v>2216</v>
      </c>
      <c r="L961">
        <v>4.5</v>
      </c>
      <c r="M961">
        <v>994</v>
      </c>
      <c r="O961" t="s">
        <v>39</v>
      </c>
      <c r="P961" t="s">
        <v>266</v>
      </c>
      <c r="Q961" t="s">
        <v>267</v>
      </c>
    </row>
    <row r="962" spans="1:17" ht="15.75" x14ac:dyDescent="0.25">
      <c r="A962" s="3" t="str">
        <f>HYPERLINK("https://heavenlyouthouse.com/products/lavender-body-lotion-1", "https://heavenlyouthouse.com/products/lavender-body-lotion-1")</f>
        <v>https://heavenlyouthouse.com/products/lavender-body-lotion-1</v>
      </c>
      <c r="B962" s="3" t="str">
        <f>HYPERLINK("https://heavenlyouthouse.com/products/lavender-body-lotion-1", "https://heavenlyouthouse.com/products/lavender-body-lotion-1")</f>
        <v>https://heavenlyouthouse.com/products/lavender-body-lotion-1</v>
      </c>
      <c r="C962" t="s">
        <v>1256</v>
      </c>
      <c r="D962" t="s">
        <v>2217</v>
      </c>
      <c r="E962" s="3" t="str">
        <f>HYPERLINK("https://www.amazon.com/Thymes-Body-Serum-6-0-Lavender/dp/B0B1G6ZRHZ/ref=sr_1_6?keywords=Thymes+Lavender+Body+Lotion&amp;qid=1695258763&amp;sr=8-6", "https://www.amazon.com/Thymes-Body-Serum-6-0-Lavender/dp/B0B1G6ZRHZ/ref=sr_1_6?keywords=Thymes+Lavender+Body+Lotion&amp;qid=1695258763&amp;sr=8-6")</f>
        <v>https://www.amazon.com/Thymes-Body-Serum-6-0-Lavender/dp/B0B1G6ZRHZ/ref=sr_1_6?keywords=Thymes+Lavender+Body+Lotion&amp;qid=1695258763&amp;sr=8-6</v>
      </c>
      <c r="F962" t="s">
        <v>2218</v>
      </c>
      <c r="G962" t="e">
        <f ca="1">IMAGE("https://heavenlyouthouse.com/cdn/shop/products/thymes-lavender-body-lotion_e8e915be-8de5-46da-8b4f-bb06a778fd96.png?v=1652277182")</f>
        <v>#NAME?</v>
      </c>
      <c r="H962" t="e">
        <f ca="1">IMAGE("https://m.media-amazon.com/images/I/51HZYzqnXaL._AC_UL320_.jpg")</f>
        <v>#NAME?</v>
      </c>
      <c r="I962" t="s">
        <v>1179</v>
      </c>
      <c r="J962">
        <v>13</v>
      </c>
      <c r="K962" s="2" t="s">
        <v>2216</v>
      </c>
      <c r="L962">
        <v>4.4000000000000004</v>
      </c>
      <c r="M962">
        <v>36</v>
      </c>
      <c r="O962" t="s">
        <v>39</v>
      </c>
      <c r="P962" t="s">
        <v>39</v>
      </c>
      <c r="Q962" t="s">
        <v>1257</v>
      </c>
    </row>
    <row r="963" spans="1:17" ht="15.75" x14ac:dyDescent="0.25">
      <c r="A963" s="3" t="str">
        <f>HYPERLINK("https://heavenlyouthouse.com/products/truck-tooth-fairy-pillow-set?variant=40588641894489", "https://heavenlyouthouse.com/products/truck-tooth-fairy-pillow-set?variant=40588641894489")</f>
        <v>https://heavenlyouthouse.com/products/truck-tooth-fairy-pillow-set?variant=40588641894489</v>
      </c>
      <c r="B963" s="3" t="str">
        <f>HYPERLINK("https://heavenlyouthouse.com/products/truck-tooth-fairy-pillow-set", "https://heavenlyouthouse.com/products/truck-tooth-fairy-pillow-set")</f>
        <v>https://heavenlyouthouse.com/products/truck-tooth-fairy-pillow-set</v>
      </c>
      <c r="C963" t="s">
        <v>1928</v>
      </c>
      <c r="D963" t="s">
        <v>2219</v>
      </c>
      <c r="E963" s="3" t="str">
        <f>HYPERLINK("https://www.amazon.com/LAPEQQIOJEJ-Receipts-Hanging-Toothfairy-Keepsake/dp/B0C5CVF3DT/ref=sr_1_4?keywords=Truck+Tooth+Fairy+Pillow+Set&amp;qid=1695258797&amp;sr=8-4", "https://www.amazon.com/LAPEQQIOJEJ-Receipts-Hanging-Toothfairy-Keepsake/dp/B0C5CVF3DT/ref=sr_1_4?keywords=Truck+Tooth+Fairy+Pillow+Set&amp;qid=1695258797&amp;sr=8-4")</f>
        <v>https://www.amazon.com/LAPEQQIOJEJ-Receipts-Hanging-Toothfairy-Keepsake/dp/B0C5CVF3DT/ref=sr_1_4?keywords=Truck+Tooth+Fairy+Pillow+Set&amp;qid=1695258797&amp;sr=8-4</v>
      </c>
      <c r="F963" t="s">
        <v>2220</v>
      </c>
      <c r="G963" t="e">
        <f ca="1">IMAGE("https://heavenlyouthouse.com/cdn/shop/files/TF1008_700x_79e9abbd-3b8d-4144-b3e9-abc54712a488_300x300.webp?v=1694458346")</f>
        <v>#NAME?</v>
      </c>
      <c r="H963" t="e">
        <f ca="1">IMAGE("https://m.media-amazon.com/images/I/71S70zel3yL._AC_UL320_.jpg")</f>
        <v>#NAME?</v>
      </c>
      <c r="I963" t="s">
        <v>336</v>
      </c>
      <c r="J963">
        <v>17.989999999999998</v>
      </c>
      <c r="K963" s="2" t="s">
        <v>2216</v>
      </c>
      <c r="L963">
        <v>4.5999999999999996</v>
      </c>
      <c r="M963">
        <v>10</v>
      </c>
      <c r="O963" t="s">
        <v>136</v>
      </c>
      <c r="P963" t="s">
        <v>1931</v>
      </c>
      <c r="Q963" t="s">
        <v>1932</v>
      </c>
    </row>
    <row r="964" spans="1:17" ht="15.75" x14ac:dyDescent="0.25">
      <c r="A964" s="3" t="str">
        <f>HYPERLINK("https://heavenlyouthouse.com/products/kimono-rose-bubble-bath", "https://heavenlyouthouse.com/products/kimono-rose-bubble-bath")</f>
        <v>https://heavenlyouthouse.com/products/kimono-rose-bubble-bath</v>
      </c>
      <c r="B964" s="3" t="str">
        <f>HYPERLINK("https://heavenlyouthouse.com/products/kimono-rose-bubble-bath", "https://heavenlyouthouse.com/products/kimono-rose-bubble-bath")</f>
        <v>https://heavenlyouthouse.com/products/kimono-rose-bubble-bath</v>
      </c>
      <c r="C964" t="s">
        <v>1830</v>
      </c>
      <c r="D964" t="s">
        <v>1760</v>
      </c>
      <c r="E964" s="3" t="str">
        <f>HYPERLINK("https://www.amazon.com/Thymes-Luxurious-Hydrating-Vanilla-Scented/dp/B0761X1QFF/ref=sr_1_5?keywords=Thymes+Kimono+Rose+Bubble+Bath&amp;qid=1695258760&amp;sr=8-5", "https://www.amazon.com/Thymes-Luxurious-Hydrating-Vanilla-Scented/dp/B0761X1QFF/ref=sr_1_5?keywords=Thymes+Kimono+Rose+Bubble+Bath&amp;qid=1695258760&amp;sr=8-5")</f>
        <v>https://www.amazon.com/Thymes-Luxurious-Hydrating-Vanilla-Scented/dp/B0761X1QFF/ref=sr_1_5?keywords=Thymes+Kimono+Rose+Bubble+Bath&amp;qid=1695258760&amp;sr=8-5</v>
      </c>
      <c r="F964" t="s">
        <v>1761</v>
      </c>
      <c r="G964" t="e">
        <f ca="1">IMAGE("https://heavenlyouthouse.com/cdn/shop/products/bubblebath_ad78b1e3-afd4-4740-b6e9-5d42bc6eef45.jpg?v=1588106432")</f>
        <v>#NAME?</v>
      </c>
      <c r="H964" t="e">
        <f ca="1">IMAGE("https://m.media-amazon.com/images/I/81XVPMctpnL._AC_UL320_.jpg")</f>
        <v>#NAME?</v>
      </c>
      <c r="I964" t="s">
        <v>1211</v>
      </c>
      <c r="J964">
        <v>14</v>
      </c>
      <c r="K964" s="2" t="s">
        <v>2216</v>
      </c>
      <c r="L964">
        <v>4.5999999999999996</v>
      </c>
      <c r="M964">
        <v>765</v>
      </c>
      <c r="O964" t="s">
        <v>39</v>
      </c>
      <c r="P964" t="s">
        <v>39</v>
      </c>
      <c r="Q964" t="s">
        <v>1833</v>
      </c>
    </row>
    <row r="965" spans="1:17" ht="15.75" x14ac:dyDescent="0.25">
      <c r="A965" s="3" t="str">
        <f>HYPERLINK("https://heavenlyouthouse.com/products/lavender-bubble-bath", "https://heavenlyouthouse.com/products/lavender-bubble-bath")</f>
        <v>https://heavenlyouthouse.com/products/lavender-bubble-bath</v>
      </c>
      <c r="B965" s="3" t="str">
        <f>HYPERLINK("https://heavenlyouthouse.com/products/lavender-bubble-bath", "https://heavenlyouthouse.com/products/lavender-bubble-bath")</f>
        <v>https://heavenlyouthouse.com/products/lavender-bubble-bath</v>
      </c>
      <c r="C965" t="s">
        <v>1208</v>
      </c>
      <c r="D965" t="s">
        <v>2221</v>
      </c>
      <c r="E965" s="3" t="str">
        <f>HYPERLINK("https://www.amazon.com/EO-PRODUCTS-Bubble-French-Lavender/dp/B000MVRXA2/ref=sr_1_10?keywords=Thymes+Lavender+Bubble+Bath&amp;qid=1695258760&amp;sr=8-10", "https://www.amazon.com/EO-PRODUCTS-Bubble-French-Lavender/dp/B000MVRXA2/ref=sr_1_10?keywords=Thymes+Lavender+Bubble+Bath&amp;qid=1695258760&amp;sr=8-10")</f>
        <v>https://www.amazon.com/EO-PRODUCTS-Bubble-French-Lavender/dp/B000MVRXA2/ref=sr_1_10?keywords=Thymes+Lavender+Bubble+Bath&amp;qid=1695258760&amp;sr=8-10</v>
      </c>
      <c r="F965" t="s">
        <v>2222</v>
      </c>
      <c r="G965" t="e">
        <f ca="1">IMAGE("https://heavenlyouthouse.com/cdn/shop/products/thymeslavenderbubblebath.jpg?v=1608572028")</f>
        <v>#NAME?</v>
      </c>
      <c r="H965" t="e">
        <f ca="1">IMAGE("https://m.media-amazon.com/images/I/51A5SFYe16L._AC_UL320_.jpg")</f>
        <v>#NAME?</v>
      </c>
      <c r="I965" t="s">
        <v>1211</v>
      </c>
      <c r="J965">
        <v>13.98</v>
      </c>
      <c r="K965" s="2" t="s">
        <v>2216</v>
      </c>
      <c r="L965">
        <v>4.5999999999999996</v>
      </c>
      <c r="M965">
        <v>71</v>
      </c>
      <c r="O965" t="s">
        <v>39</v>
      </c>
      <c r="P965" t="s">
        <v>39</v>
      </c>
      <c r="Q965" t="s">
        <v>1212</v>
      </c>
    </row>
    <row r="966" spans="1:17" ht="15.75" x14ac:dyDescent="0.25">
      <c r="A966" s="3" t="str">
        <f>HYPERLINK("https://heavenlyouthouse.com/products/rose", "https://heavenlyouthouse.com/products/rose")</f>
        <v>https://heavenlyouthouse.com/products/rose</v>
      </c>
      <c r="B966" s="3" t="str">
        <f>HYPERLINK("https://heavenlyouthouse.com/products/rose", "https://heavenlyouthouse.com/products/rose")</f>
        <v>https://heavenlyouthouse.com/products/rose</v>
      </c>
      <c r="C966" t="s">
        <v>2223</v>
      </c>
      <c r="D966" t="s">
        <v>2224</v>
      </c>
      <c r="E966" s="3" t="str">
        <f>HYPERLINK("https://www.amazon.com/Sterling-Creations-Meditation-rose-gold-sterling-silver/dp/B08T1ZRT7J/ref=sr_1_5?keywords=Rose+Meditation+Ring&amp;qid=1695258663&amp;sr=8-5", "https://www.amazon.com/Sterling-Creations-Meditation-rose-gold-sterling-silver/dp/B08T1ZRT7J/ref=sr_1_5?keywords=Rose+Meditation+Ring&amp;qid=1695258663&amp;sr=8-5")</f>
        <v>https://www.amazon.com/Sterling-Creations-Meditation-rose-gold-sterling-silver/dp/B08T1ZRT7J/ref=sr_1_5?keywords=Rose+Meditation+Ring&amp;qid=1695258663&amp;sr=8-5</v>
      </c>
      <c r="F966" t="s">
        <v>2225</v>
      </c>
      <c r="G966" t="e">
        <f ca="1">IMAGE("https://heavenlyouthouse.com/cdn/shop/products/Rose.gif?v=1605127390")</f>
        <v>#NAME?</v>
      </c>
      <c r="H966" t="e">
        <f ca="1">IMAGE("https://m.media-amazon.com/images/I/51kP1e+VooL._AC_UL320_.jpg")</f>
        <v>#NAME?</v>
      </c>
      <c r="I966" t="s">
        <v>2226</v>
      </c>
      <c r="J966">
        <v>59.99</v>
      </c>
      <c r="K966" s="2" t="s">
        <v>2227</v>
      </c>
      <c r="L966">
        <v>4.4000000000000004</v>
      </c>
      <c r="M966">
        <v>164</v>
      </c>
      <c r="O966" t="s">
        <v>39</v>
      </c>
      <c r="P966" t="s">
        <v>39</v>
      </c>
      <c r="Q966" t="s">
        <v>2228</v>
      </c>
    </row>
    <row r="967" spans="1:17" ht="15.75" x14ac:dyDescent="0.25">
      <c r="A967" s="3" t="str">
        <f>HYPERLINK("https://heavenlyouthouse.com/products/the-not-so-scary-dinosaur-book", "https://heavenlyouthouse.com/products/the-not-so-scary-dinosaur-book")</f>
        <v>https://heavenlyouthouse.com/products/the-not-so-scary-dinosaur-book</v>
      </c>
      <c r="B967" s="3" t="str">
        <f>HYPERLINK("https://heavenlyouthouse.com/products/the-not-so-scary-dinosaur-book", "https://heavenlyouthouse.com/products/the-not-so-scary-dinosaur-book")</f>
        <v>https://heavenlyouthouse.com/products/the-not-so-scary-dinosaur-book</v>
      </c>
      <c r="C967" t="s">
        <v>2229</v>
      </c>
      <c r="D967" t="s">
        <v>2230</v>
      </c>
      <c r="E967" s="3" t="str">
        <f>HYPERLINK("https://www.amazon.com/Scary-Monster-Coloring-Book-Entertainment/dp/B0CDFCZ2HW/ref=sr_1_1?keywords=The+Not+So+Scary+Dinosaur+Book&amp;qid=1695258701&amp;sr=8-1", "https://www.amazon.com/Scary-Monster-Coloring-Book-Entertainment/dp/B0CDFCZ2HW/ref=sr_1_1?keywords=The+Not+So+Scary+Dinosaur+Book&amp;qid=1695258701&amp;sr=8-1")</f>
        <v>https://www.amazon.com/Scary-Monster-Coloring-Book-Entertainment/dp/B0CDFCZ2HW/ref=sr_1_1?keywords=The+Not+So+Scary+Dinosaur+Book&amp;qid=1695258701&amp;sr=8-1</v>
      </c>
      <c r="F967" t="s">
        <v>2231</v>
      </c>
      <c r="G967" t="e">
        <f ca="1">IMAGE("https://heavenlyouthouse.com/cdn/shop/products/JellyCatthenotsoscarydinosaurbook.jpg?v=1613576550")</f>
        <v>#NAME?</v>
      </c>
      <c r="H967" t="e">
        <f ca="1">IMAGE("https://m.media-amazon.com/images/I/71YsrM4pAbL._AC_UY218_.jpg")</f>
        <v>#NAME?</v>
      </c>
      <c r="I967" t="s">
        <v>802</v>
      </c>
      <c r="J967">
        <v>6.99</v>
      </c>
      <c r="K967" s="2" t="s">
        <v>2227</v>
      </c>
      <c r="L967">
        <v>5</v>
      </c>
      <c r="M967">
        <v>1</v>
      </c>
      <c r="O967" t="s">
        <v>39</v>
      </c>
      <c r="P967" t="s">
        <v>39</v>
      </c>
      <c r="Q967" t="s">
        <v>2232</v>
      </c>
    </row>
    <row r="968" spans="1:17" ht="15.75" x14ac:dyDescent="0.25">
      <c r="A968" s="3" t="str">
        <f>HYPERLINK("https://heavenlyouthouse.com/products/thymes-lavender-petite-reed-diffuser", "https://heavenlyouthouse.com/products/thymes-lavender-petite-reed-diffuser")</f>
        <v>https://heavenlyouthouse.com/products/thymes-lavender-petite-reed-diffuser</v>
      </c>
      <c r="B968" s="3" t="str">
        <f>HYPERLINK("https://heavenlyouthouse.com/products/thymes-lavender-petite-reed-diffuser", "https://heavenlyouthouse.com/products/thymes-lavender-petite-reed-diffuser")</f>
        <v>https://heavenlyouthouse.com/products/thymes-lavender-petite-reed-diffuser</v>
      </c>
      <c r="C968" t="s">
        <v>1516</v>
      </c>
      <c r="D968" t="s">
        <v>2233</v>
      </c>
      <c r="E968" s="3" t="str">
        <f>HYPERLINK("https://www.amazon.com/Paddywax-Candles-Collection-Scented-1-5-Ounce/dp/B07XLNTMW4/ref=sr_1_1?keywords=Thymes+Lavender+Petite+Reed+Diffuser&amp;qid=1695258768&amp;sr=8-1", "https://www.amazon.com/Paddywax-Candles-Collection-Scented-1-5-Ounce/dp/B07XLNTMW4/ref=sr_1_1?keywords=Thymes+Lavender+Petite+Reed+Diffuser&amp;qid=1695258768&amp;sr=8-1")</f>
        <v>https://www.amazon.com/Paddywax-Candles-Collection-Scented-1-5-Ounce/dp/B07XLNTMW4/ref=sr_1_1?keywords=Thymes+Lavender+Petite+Reed+Diffuser&amp;qid=1695258768&amp;sr=8-1</v>
      </c>
      <c r="F968" t="s">
        <v>2234</v>
      </c>
      <c r="G968" t="e">
        <f ca="1">IMAGE("https://heavenlyouthouse.com/cdn/shop/products/thymes-lavender-petite-reed-diffuser.jpg?v=1635207104")</f>
        <v>#NAME?</v>
      </c>
      <c r="H968" t="e">
        <f ca="1">IMAGE("https://m.media-amazon.com/images/I/71IipQ3zliL._AC_UL320_.jpg")</f>
        <v>#NAME?</v>
      </c>
      <c r="I968" t="s">
        <v>1204</v>
      </c>
      <c r="J968">
        <v>21</v>
      </c>
      <c r="K968" s="2" t="s">
        <v>2227</v>
      </c>
      <c r="L968">
        <v>4.3</v>
      </c>
      <c r="M968">
        <v>575</v>
      </c>
      <c r="O968" t="s">
        <v>39</v>
      </c>
      <c r="P968" t="s">
        <v>39</v>
      </c>
      <c r="Q968" t="s">
        <v>1517</v>
      </c>
    </row>
    <row r="969" spans="1:17" ht="15.75" x14ac:dyDescent="0.25">
      <c r="A969" s="3" t="str">
        <f>HYPERLINK("https://heavenlyouthouse.com/products/thymes-frasier-fir-pura-smart-home-diffuser-kit", "https://heavenlyouthouse.com/products/thymes-frasier-fir-pura-smart-home-diffuser-kit")</f>
        <v>https://heavenlyouthouse.com/products/thymes-frasier-fir-pura-smart-home-diffuser-kit</v>
      </c>
      <c r="B969" s="3" t="str">
        <f>HYPERLINK("https://heavenlyouthouse.com/products/thymes-frasier-fir-pura-smart-home-diffuser-kit", "https://heavenlyouthouse.com/products/thymes-frasier-fir-pura-smart-home-diffuser-kit")</f>
        <v>https://heavenlyouthouse.com/products/thymes-frasier-fir-pura-smart-home-diffuser-kit</v>
      </c>
      <c r="C969" t="s">
        <v>1719</v>
      </c>
      <c r="D969" t="s">
        <v>339</v>
      </c>
      <c r="E969" s="3" t="str">
        <f>HYPERLINK("https://www.amazon.com/Thymes-Frasier-Smart-Diffuser-Refills/dp/B0BWC7VMG5/ref=sr_1_2?keywords=Thymes+Frasier+Fir+Pura+Smart+Home+Diffuser+Kit&amp;qid=1695258740&amp;sr=8-2", "https://www.amazon.com/Thymes-Frasier-Smart-Diffuser-Refills/dp/B0BWC7VMG5/ref=sr_1_2?keywords=Thymes+Frasier+Fir+Pura+Smart+Home+Diffuser+Kit&amp;qid=1695258740&amp;sr=8-2")</f>
        <v>https://www.amazon.com/Thymes-Frasier-Smart-Diffuser-Refills/dp/B0BWC7VMG5/ref=sr_1_2?keywords=Thymes+Frasier+Fir+Pura+Smart+Home+Diffuser+Kit&amp;qid=1695258740&amp;sr=8-2</v>
      </c>
      <c r="F969" t="s">
        <v>340</v>
      </c>
      <c r="G969" t="e">
        <f ca="1">IMAGE("https://heavenlyouthouse.com/cdn/shop/products/Thymes-Frasier-Fir-pura-smart-home-diffuser-set.jpg?v=1632434530")</f>
        <v>#NAME?</v>
      </c>
      <c r="H969" t="e">
        <f ca="1">IMAGE("https://m.media-amazon.com/images/I/719X51fg5uL._AC_UL320_.jpg")</f>
        <v>#NAME?</v>
      </c>
      <c r="I969" t="s">
        <v>1716</v>
      </c>
      <c r="J969">
        <v>40</v>
      </c>
      <c r="K969" s="2" t="s">
        <v>2227</v>
      </c>
      <c r="L969">
        <v>4.2</v>
      </c>
      <c r="M969">
        <v>234</v>
      </c>
      <c r="O969" t="s">
        <v>39</v>
      </c>
      <c r="P969" t="s">
        <v>39</v>
      </c>
      <c r="Q969" t="s">
        <v>1720</v>
      </c>
    </row>
    <row r="970" spans="1:17" ht="15.75" x14ac:dyDescent="0.25">
      <c r="A970" s="3" t="str">
        <f>HYPERLINK("https://heavenlyouthouse.com/products/thymes-frasier-fir-gilded-poured-candle-trio-set", "https://heavenlyouthouse.com/products/thymes-frasier-fir-gilded-poured-candle-trio-set")</f>
        <v>https://heavenlyouthouse.com/products/thymes-frasier-fir-gilded-poured-candle-trio-set</v>
      </c>
      <c r="B970" s="3" t="str">
        <f>HYPERLINK("https://heavenlyouthouse.com/products/thymes-frasier-fir-gilded-poured-candle-trio-set", "https://heavenlyouthouse.com/products/thymes-frasier-fir-gilded-poured-candle-trio-set")</f>
        <v>https://heavenlyouthouse.com/products/thymes-frasier-fir-gilded-poured-candle-trio-set</v>
      </c>
      <c r="C970" t="s">
        <v>1156</v>
      </c>
      <c r="D970" t="s">
        <v>1377</v>
      </c>
      <c r="E970" s="3" t="str">
        <f>HYPERLINK("https://www.amazon.com/Thymes-Frasier-Pine-Needle-Candle/dp/B07PZF7X3K/ref=sr_1_2?keywords=Thymes+Frasier+Fir+Gilded+Poured+Candle+Trio&amp;qid=1695258729&amp;sr=8-2", "https://www.amazon.com/Thymes-Frasier-Pine-Needle-Candle/dp/B07PZF7X3K/ref=sr_1_2?keywords=Thymes+Frasier+Fir+Gilded+Poured+Candle+Trio&amp;qid=1695258729&amp;sr=8-2")</f>
        <v>https://www.amazon.com/Thymes-Frasier-Pine-Needle-Candle/dp/B07PZF7X3K/ref=sr_1_2?keywords=Thymes+Frasier+Fir+Gilded+Poured+Candle+Trio&amp;qid=1695258729&amp;sr=8-2</v>
      </c>
      <c r="F970" t="s">
        <v>1378</v>
      </c>
      <c r="G970" t="e">
        <f ca="1">IMAGE("https://heavenlyouthouse.com/cdn/shop/products/Thymes-Frasier-Fir-Gilded-ceramic-candle-trio-set.jpg?v=1660769749")</f>
        <v>#NAME?</v>
      </c>
      <c r="H970" t="e">
        <f ca="1">IMAGE("https://m.media-amazon.com/images/I/61XeZ2YJ6SL._AC_UL320_.jpg")</f>
        <v>#NAME?</v>
      </c>
      <c r="I970" t="s">
        <v>1157</v>
      </c>
      <c r="J970">
        <v>24</v>
      </c>
      <c r="K970" s="2" t="s">
        <v>2235</v>
      </c>
      <c r="L970">
        <v>4.4000000000000004</v>
      </c>
      <c r="M970">
        <v>29</v>
      </c>
      <c r="O970" t="s">
        <v>39</v>
      </c>
      <c r="P970" t="s">
        <v>39</v>
      </c>
      <c r="Q970" t="s">
        <v>1159</v>
      </c>
    </row>
    <row r="971" spans="1:17" ht="15.75" x14ac:dyDescent="0.25">
      <c r="A971" s="3" t="str">
        <f>HYPERLINK("https://heavenlyouthouse.com/products/thymes-frasier-fir-green-4-wick-candle", "https://heavenlyouthouse.com/products/thymes-frasier-fir-green-4-wick-candle")</f>
        <v>https://heavenlyouthouse.com/products/thymes-frasier-fir-green-4-wick-candle</v>
      </c>
      <c r="B971" s="3" t="str">
        <f>HYPERLINK("https://heavenlyouthouse.com/products/thymes-frasier-fir-green-4-wick-candle", "https://heavenlyouthouse.com/products/thymes-frasier-fir-green-4-wick-candle")</f>
        <v>https://heavenlyouthouse.com/products/thymes-frasier-fir-green-4-wick-candle</v>
      </c>
      <c r="C971" t="s">
        <v>1011</v>
      </c>
      <c r="D971" t="s">
        <v>550</v>
      </c>
      <c r="E971" s="3" t="str">
        <f>HYPERLINK("https://www.amazon.com/Thymes-Frasier-Needle-Decorative-50-Hour/dp/B00YPP2LBM/ref=sr_1_10?keywords=Thymes+Frasier+Fir+Green+4-Wick+Candle&amp;qid=1695258745&amp;sr=8-10", "https://www.amazon.com/Thymes-Frasier-Needle-Decorative-50-Hour/dp/B00YPP2LBM/ref=sr_1_10?keywords=Thymes+Frasier+Fir+Green+4-Wick+Candle&amp;qid=1695258745&amp;sr=8-10")</f>
        <v>https://www.amazon.com/Thymes-Frasier-Needle-Decorative-50-Hour/dp/B00YPP2LBM/ref=sr_1_10?keywords=Thymes+Frasier+Fir+Green+4-Wick+Candle&amp;qid=1695258745&amp;sr=8-10</v>
      </c>
      <c r="F971" t="s">
        <v>551</v>
      </c>
      <c r="G971" t="e">
        <f ca="1">IMAGE("https://heavenlyouthouse.com/cdn/shop/files/thymes-frasier-fir-poured-candle-4-wick-TH03505243607-1_300x300.jpg?v=1693232380")</f>
        <v>#NAME?</v>
      </c>
      <c r="H971" t="e">
        <f ca="1">IMAGE("https://m.media-amazon.com/images/I/61rj1n74esL._AC_UL320_.jpg")</f>
        <v>#NAME?</v>
      </c>
      <c r="I971" t="s">
        <v>1012</v>
      </c>
      <c r="J971">
        <v>34</v>
      </c>
      <c r="K971" s="2" t="s">
        <v>2235</v>
      </c>
      <c r="L971">
        <v>4.7</v>
      </c>
      <c r="M971">
        <v>3739</v>
      </c>
      <c r="O971" t="s">
        <v>39</v>
      </c>
      <c r="P971" t="s">
        <v>1013</v>
      </c>
      <c r="Q971" t="s">
        <v>1014</v>
      </c>
    </row>
    <row r="972" spans="1:17" ht="15.75" x14ac:dyDescent="0.25">
      <c r="A972" s="3" t="str">
        <f>HYPERLINK("https://heavenlyouthouse.com/products/thymes-frasier-fir-green-4-wick-candle", "https://heavenlyouthouse.com/products/thymes-frasier-fir-green-4-wick-candle")</f>
        <v>https://heavenlyouthouse.com/products/thymes-frasier-fir-green-4-wick-candle</v>
      </c>
      <c r="B972" s="3" t="str">
        <f>HYPERLINK("https://heavenlyouthouse.com/products/thymes-frasier-fir-green-4-wick-candle", "https://heavenlyouthouse.com/products/thymes-frasier-fir-green-4-wick-candle")</f>
        <v>https://heavenlyouthouse.com/products/thymes-frasier-fir-green-4-wick-candle</v>
      </c>
      <c r="C972" t="s">
        <v>1011</v>
      </c>
      <c r="D972" t="s">
        <v>1490</v>
      </c>
      <c r="E972" s="3" t="str">
        <f>HYPERLINK("https://www.amazon.com/Thymes-Frasier-Needle-Candle-50-Hour/dp/B00YPP2IY2/ref=sr_1_6?keywords=Thymes+Frasier+Fir+Green+4-Wick+Candle&amp;qid=1695258745&amp;sr=8-6", "https://www.amazon.com/Thymes-Frasier-Needle-Candle-50-Hour/dp/B00YPP2IY2/ref=sr_1_6?keywords=Thymes+Frasier+Fir+Green+4-Wick+Candle&amp;qid=1695258745&amp;sr=8-6")</f>
        <v>https://www.amazon.com/Thymes-Frasier-Needle-Candle-50-Hour/dp/B00YPP2IY2/ref=sr_1_6?keywords=Thymes+Frasier+Fir+Green+4-Wick+Candle&amp;qid=1695258745&amp;sr=8-6</v>
      </c>
      <c r="F972" t="s">
        <v>1491</v>
      </c>
      <c r="G972" t="e">
        <f ca="1">IMAGE("https://heavenlyouthouse.com/cdn/shop/files/thymes-frasier-fir-poured-candle-4-wick-TH03505243607-1_300x300.jpg?v=1693232380")</f>
        <v>#NAME?</v>
      </c>
      <c r="H972" t="e">
        <f ca="1">IMAGE("https://m.media-amazon.com/images/I/71BnsE4smrL._AC_UL320_.jpg")</f>
        <v>#NAME?</v>
      </c>
      <c r="I972" t="s">
        <v>1012</v>
      </c>
      <c r="J972">
        <v>34</v>
      </c>
      <c r="K972" s="2" t="s">
        <v>2235</v>
      </c>
      <c r="L972">
        <v>4.7</v>
      </c>
      <c r="M972">
        <v>322</v>
      </c>
      <c r="O972" t="s">
        <v>39</v>
      </c>
      <c r="P972" t="s">
        <v>1013</v>
      </c>
      <c r="Q972" t="s">
        <v>1014</v>
      </c>
    </row>
    <row r="973" spans="1:17" ht="15.75" x14ac:dyDescent="0.25">
      <c r="A973" s="3" t="str">
        <f>HYPERLINK("https://heavenlyouthouse.com/products/white-sparkle-ball-stud-earrings", "https://heavenlyouthouse.com/products/white-sparkle-ball-stud-earrings")</f>
        <v>https://heavenlyouthouse.com/products/white-sparkle-ball-stud-earrings</v>
      </c>
      <c r="B973" s="3" t="str">
        <f>HYPERLINK("https://heavenlyouthouse.com/products/white-sparkle-ball-stud-earrings", "https://heavenlyouthouse.com/products/white-sparkle-ball-stud-earrings")</f>
        <v>https://heavenlyouthouse.com/products/white-sparkle-ball-stud-earrings</v>
      </c>
      <c r="C973" t="s">
        <v>809</v>
      </c>
      <c r="D973" t="s">
        <v>2236</v>
      </c>
      <c r="E973" s="3" t="str">
        <f>HYPERLINK("https://www.amazon.com/Sterling-Silver-Crystals-Swarovski-Earrings/dp/B077QQS6SL/ref=sr_1_3?keywords=White+Sparkle+Ball+Stud+Earrings&amp;qid=1695258839&amp;sr=8-3", "https://www.amazon.com/Sterling-Silver-Crystals-Swarovski-Earrings/dp/B077QQS6SL/ref=sr_1_3?keywords=White+Sparkle+Ball+Stud+Earrings&amp;qid=1695258839&amp;sr=8-3")</f>
        <v>https://www.amazon.com/Sterling-Silver-Crystals-Swarovski-Earrings/dp/B077QQS6SL/ref=sr_1_3?keywords=White+Sparkle+Ball+Stud+Earrings&amp;qid=1695258839&amp;sr=8-3</v>
      </c>
      <c r="F973" t="s">
        <v>2237</v>
      </c>
      <c r="G973" t="e">
        <f ca="1">IMAGE("https://heavenlyouthouse.com/cdn/shop/products/SB-ES10WHT_1800x1800_7e84f74c-d927-493d-bae8-a2b4d51a8198.jpg?v=1587480879")</f>
        <v>#NAME?</v>
      </c>
      <c r="H973" t="e">
        <f ca="1">IMAGE("https://m.media-amazon.com/images/I/71t0EbIcZlL._AC_UL320_.jpg")</f>
        <v>#NAME?</v>
      </c>
      <c r="I973" t="s">
        <v>812</v>
      </c>
      <c r="J973">
        <v>20.149999999999999</v>
      </c>
      <c r="K973" s="2" t="s">
        <v>2235</v>
      </c>
      <c r="L973">
        <v>4.3</v>
      </c>
      <c r="M973">
        <v>678</v>
      </c>
      <c r="O973" t="s">
        <v>39</v>
      </c>
      <c r="P973" t="s">
        <v>39</v>
      </c>
      <c r="Q973" t="s">
        <v>813</v>
      </c>
    </row>
    <row r="974" spans="1:17" ht="15.75" x14ac:dyDescent="0.25">
      <c r="A974" s="3" t="str">
        <f>HYPERLINK("https://heavenlyouthouse.com/products/serenity", "https://heavenlyouthouse.com/products/serenity")</f>
        <v>https://heavenlyouthouse.com/products/serenity</v>
      </c>
      <c r="B974" s="3" t="str">
        <f>HYPERLINK("https://heavenlyouthouse.com/products/serenity", "https://heavenlyouthouse.com/products/serenity")</f>
        <v>https://heavenlyouthouse.com/products/serenity</v>
      </c>
      <c r="C974" t="s">
        <v>2238</v>
      </c>
      <c r="D974" t="s">
        <v>2239</v>
      </c>
      <c r="E974" s="3" t="str">
        <f>HYPERLINK("https://www.amazon.com/Energy-Stone-Sterling-Meditation-US12/dp/B01FT5QHJ8/ref=sr_1_1?keywords=Serenity+Meditation+Ring&amp;qid=1695258683&amp;sr=8-1", "https://www.amazon.com/Energy-Stone-Sterling-Meditation-US12/dp/B01FT5QHJ8/ref=sr_1_1?keywords=Serenity+Meditation+Ring&amp;qid=1695258683&amp;sr=8-1")</f>
        <v>https://www.amazon.com/Energy-Stone-Sterling-Meditation-US12/dp/B01FT5QHJ8/ref=sr_1_1?keywords=Serenity+Meditation+Ring&amp;qid=1695258683&amp;sr=8-1</v>
      </c>
      <c r="F974" t="s">
        <v>2240</v>
      </c>
      <c r="G974" t="e">
        <f ca="1">IMAGE("https://heavenlyouthouse.com/cdn/shop/products/Serenity.gif?v=1605130763")</f>
        <v>#NAME?</v>
      </c>
      <c r="H974" t="e">
        <f ca="1">IMAGE("https://m.media-amazon.com/images/I/71x54FAPalL._AC_UL320_.jpg")</f>
        <v>#NAME?</v>
      </c>
      <c r="I974" t="s">
        <v>2241</v>
      </c>
      <c r="J974">
        <v>79.989999999999995</v>
      </c>
      <c r="K974" s="2" t="s">
        <v>2242</v>
      </c>
      <c r="L974">
        <v>3.9</v>
      </c>
      <c r="M974">
        <v>81</v>
      </c>
      <c r="O974" t="s">
        <v>39</v>
      </c>
      <c r="P974" t="s">
        <v>39</v>
      </c>
      <c r="Q974" t="s">
        <v>2243</v>
      </c>
    </row>
    <row r="975" spans="1:17" ht="15.75" x14ac:dyDescent="0.25">
      <c r="A975" s="3" t="str">
        <f>HYPERLINK("https://heavenlyouthouse.com/products/eucalyptus-reed-diffuser-refill", "https://heavenlyouthouse.com/products/eucalyptus-reed-diffuser-refill")</f>
        <v>https://heavenlyouthouse.com/products/eucalyptus-reed-diffuser-refill</v>
      </c>
      <c r="B975" s="3" t="str">
        <f>HYPERLINK("https://heavenlyouthouse.com/products/eucalyptus-reed-diffuser-refill", "https://heavenlyouthouse.com/products/eucalyptus-reed-diffuser-refill")</f>
        <v>https://heavenlyouthouse.com/products/eucalyptus-reed-diffuser-refill</v>
      </c>
      <c r="C975" t="s">
        <v>1184</v>
      </c>
      <c r="D975" t="s">
        <v>2244</v>
      </c>
      <c r="E975" s="3" t="str">
        <f>HYPERLINK("https://www.amazon.com/LOVSPA-Eucalyptus-Diffuser-Godmother-Fragrances/dp/B079C7NG5C/ref=sr_1_3?keywords=Thymes+Eucalyptus+Reed+Diffuser+Refill&amp;qid=1695258717&amp;sr=8-3", "https://www.amazon.com/LOVSPA-Eucalyptus-Diffuser-Godmother-Fragrances/dp/B079C7NG5C/ref=sr_1_3?keywords=Thymes+Eucalyptus+Reed+Diffuser+Refill&amp;qid=1695258717&amp;sr=8-3")</f>
        <v>https://www.amazon.com/LOVSPA-Eucalyptus-Diffuser-Godmother-Fragrances/dp/B079C7NG5C/ref=sr_1_3?keywords=Thymes+Eucalyptus+Reed+Diffuser+Refill&amp;qid=1695258717&amp;sr=8-3</v>
      </c>
      <c r="F975" t="s">
        <v>2245</v>
      </c>
      <c r="G975" t="e">
        <f ca="1">IMAGE("https://heavenlyouthouse.com/cdn/shop/products/ThymesEucalyptusreeddiffuseroilrefill.jpg?v=1616434961")</f>
        <v>#NAME?</v>
      </c>
      <c r="H975" t="e">
        <f ca="1">IMAGE("https://m.media-amazon.com/images/I/61uwSJibdHL._AC_UL320_.jpg")</f>
        <v>#NAME?</v>
      </c>
      <c r="I975" t="s">
        <v>829</v>
      </c>
      <c r="J975">
        <v>15.5</v>
      </c>
      <c r="K975" s="2" t="s">
        <v>2242</v>
      </c>
      <c r="L975">
        <v>3.9</v>
      </c>
      <c r="M975">
        <v>3983</v>
      </c>
      <c r="O975" t="s">
        <v>39</v>
      </c>
      <c r="P975" t="s">
        <v>39</v>
      </c>
      <c r="Q975" t="s">
        <v>1187</v>
      </c>
    </row>
    <row r="976" spans="1:17" ht="15.75" x14ac:dyDescent="0.25">
      <c r="A976" s="3" t="str">
        <f>HYPERLINK("https://heavenlyouthouse.com/products/lavender-bar-soap", "https://heavenlyouthouse.com/products/lavender-bar-soap")</f>
        <v>https://heavenlyouthouse.com/products/lavender-bar-soap</v>
      </c>
      <c r="B976" s="3" t="str">
        <f>HYPERLINK("https://heavenlyouthouse.com/products/lavender-bar-soap", "https://heavenlyouthouse.com/products/lavender-bar-soap")</f>
        <v>https://heavenlyouthouse.com/products/lavender-bar-soap</v>
      </c>
      <c r="C976" t="s">
        <v>1251</v>
      </c>
      <c r="D976" t="s">
        <v>2246</v>
      </c>
      <c r="E976" s="3" t="str">
        <f>HYPERLINK("https://www.amazon.com/Handmade-Soap-Floral-Lavender-Soap-360Feel/dp/B07NF7ZMND/ref=sr_1_6?keywords=Thymes+Lavender+Bar+Soap&amp;qid=1695258766&amp;sr=8-6", "https://www.amazon.com/Handmade-Soap-Floral-Lavender-Soap-360Feel/dp/B07NF7ZMND/ref=sr_1_6?keywords=Thymes+Lavender+Bar+Soap&amp;qid=1695258766&amp;sr=8-6")</f>
        <v>https://www.amazon.com/Handmade-Soap-Floral-Lavender-Soap-360Feel/dp/B07NF7ZMND/ref=sr_1_6?keywords=Thymes+Lavender+Bar+Soap&amp;qid=1695258766&amp;sr=8-6</v>
      </c>
      <c r="F976" t="s">
        <v>2247</v>
      </c>
      <c r="G976" t="e">
        <f ca="1">IMAGE("https://heavenlyouthouse.com/cdn/shop/products/thymes-lavender-bar-soap.jpg?v=1628693498")</f>
        <v>#NAME?</v>
      </c>
      <c r="H976" t="e">
        <f ca="1">IMAGE("https://m.media-amazon.com/images/I/91F7bpev1sL._AC_UL320_.jpg")</f>
        <v>#NAME?</v>
      </c>
      <c r="I976" t="s">
        <v>98</v>
      </c>
      <c r="J976">
        <v>6.22</v>
      </c>
      <c r="K976" s="2" t="s">
        <v>2242</v>
      </c>
      <c r="L976">
        <v>4.4000000000000004</v>
      </c>
      <c r="M976">
        <v>4010</v>
      </c>
      <c r="O976" t="s">
        <v>39</v>
      </c>
      <c r="P976" t="s">
        <v>39</v>
      </c>
      <c r="Q976" t="s">
        <v>1255</v>
      </c>
    </row>
    <row r="977" spans="1:17" ht="15.75" x14ac:dyDescent="0.25">
      <c r="A977" s="3" t="str">
        <f>HYPERLINK("https://heavenlyouthouse.com/products/thymes-olive-leaf-cologne", "https://heavenlyouthouse.com/products/thymes-olive-leaf-cologne")</f>
        <v>https://heavenlyouthouse.com/products/thymes-olive-leaf-cologne</v>
      </c>
      <c r="B977" s="3" t="str">
        <f>HYPERLINK("https://heavenlyouthouse.com/products/thymes-olive-leaf-cologne", "https://heavenlyouthouse.com/products/thymes-olive-leaf-cologne")</f>
        <v>https://heavenlyouthouse.com/products/thymes-olive-leaf-cologne</v>
      </c>
      <c r="C977" t="s">
        <v>1973</v>
      </c>
      <c r="D977" t="s">
        <v>1521</v>
      </c>
      <c r="E977" s="3" t="str">
        <f>HYPERLINK("https://www.amazon.com/Thymes-Lotion-Moisturizing-Butter-Vitamin/dp/B002WJHK4Q/ref=sr_1_6?keywords=Thymes+Olive+Leaf+Cologne&amp;qid=1695258786&amp;sr=8-6", "https://www.amazon.com/Thymes-Lotion-Moisturizing-Butter-Vitamin/dp/B002WJHK4Q/ref=sr_1_6?keywords=Thymes+Olive+Leaf+Cologne&amp;qid=1695258786&amp;sr=8-6")</f>
        <v>https://www.amazon.com/Thymes-Lotion-Moisturizing-Butter-Vitamin/dp/B002WJHK4Q/ref=sr_1_6?keywords=Thymes+Olive+Leaf+Cologne&amp;qid=1695258786&amp;sr=8-6</v>
      </c>
      <c r="F977" t="s">
        <v>1522</v>
      </c>
      <c r="G977" t="e">
        <f ca="1">IMAGE("https://heavenlyouthouse.com/cdn/shop/products/Olive-Leaf-Cologne-0540323000.jpg?v=1633124560")</f>
        <v>#NAME?</v>
      </c>
      <c r="H977" t="e">
        <f ca="1">IMAGE("https://m.media-amazon.com/images/I/51NCWtW6ObL._AC_UL320_.jpg")</f>
        <v>#NAME?</v>
      </c>
      <c r="I977" t="s">
        <v>336</v>
      </c>
      <c r="J977">
        <v>16</v>
      </c>
      <c r="K977" s="2" t="s">
        <v>2248</v>
      </c>
      <c r="L977">
        <v>4.5999999999999996</v>
      </c>
      <c r="M977">
        <v>2575</v>
      </c>
      <c r="O977" t="s">
        <v>39</v>
      </c>
      <c r="P977" t="s">
        <v>1204</v>
      </c>
      <c r="Q977" t="s">
        <v>1974</v>
      </c>
    </row>
    <row r="978" spans="1:17" ht="15.75" x14ac:dyDescent="0.25">
      <c r="A978" s="3" t="str">
        <f t="shared" ref="A978:B980" si="9">HYPERLINK("https://heavenlyouthouse.com/products/thymes-frasier-fir-pine-needle-candle-set", "https://heavenlyouthouse.com/products/thymes-frasier-fir-pine-needle-candle-set")</f>
        <v>https://heavenlyouthouse.com/products/thymes-frasier-fir-pine-needle-candle-set</v>
      </c>
      <c r="B978" s="3" t="str">
        <f t="shared" si="9"/>
        <v>https://heavenlyouthouse.com/products/thymes-frasier-fir-pine-needle-candle-set</v>
      </c>
      <c r="C978" t="s">
        <v>335</v>
      </c>
      <c r="D978" t="s">
        <v>1541</v>
      </c>
      <c r="E978" s="3" t="str">
        <f>HYPERLINK("https://www.amazon.com/Thymes-Frasier-Needle-Votive-Candle/dp/B07Q2GWCCQ/ref=sr_1_8?keywords=Thymes+Frasier+Fir+Pine+Needle+Candle+Set&amp;qid=1695258733&amp;sr=8-8", "https://www.amazon.com/Thymes-Frasier-Needle-Votive-Candle/dp/B07Q2GWCCQ/ref=sr_1_8?keywords=Thymes+Frasier+Fir+Pine+Needle+Candle+Set&amp;qid=1695258733&amp;sr=8-8")</f>
        <v>https://www.amazon.com/Thymes-Frasier-Needle-Votive-Candle/dp/B07Q2GWCCQ/ref=sr_1_8?keywords=Thymes+Frasier+Fir+Pine+Needle+Candle+Set&amp;qid=1695258733&amp;sr=8-8</v>
      </c>
      <c r="F978" t="s">
        <v>1542</v>
      </c>
      <c r="G978" t="e">
        <f ca="1">IMAGE("https://heavenlyouthouse.com/cdn/shop/products/thymes-frasier-fir-pine-needle-candle-set.jpg?v=1661983035")</f>
        <v>#NAME?</v>
      </c>
      <c r="H978" t="e">
        <f ca="1">IMAGE("https://m.media-amazon.com/images/I/71ARhUHeOKL._AC_UL320_.jpg")</f>
        <v>#NAME?</v>
      </c>
      <c r="I978" t="s">
        <v>336</v>
      </c>
      <c r="J978">
        <v>16</v>
      </c>
      <c r="K978" s="2" t="s">
        <v>2248</v>
      </c>
      <c r="L978">
        <v>4.0999999999999996</v>
      </c>
      <c r="M978">
        <v>5</v>
      </c>
      <c r="O978" t="s">
        <v>39</v>
      </c>
      <c r="P978" t="s">
        <v>39</v>
      </c>
      <c r="Q978" t="s">
        <v>338</v>
      </c>
    </row>
    <row r="979" spans="1:17" ht="15.75" x14ac:dyDescent="0.25">
      <c r="A979" s="3" t="str">
        <f t="shared" si="9"/>
        <v>https://heavenlyouthouse.com/products/thymes-frasier-fir-pine-needle-candle-set</v>
      </c>
      <c r="B979" s="3" t="str">
        <f t="shared" si="9"/>
        <v>https://heavenlyouthouse.com/products/thymes-frasier-fir-pine-needle-candle-set</v>
      </c>
      <c r="C979" t="s">
        <v>335</v>
      </c>
      <c r="D979" t="s">
        <v>1553</v>
      </c>
      <c r="E979" s="3" t="str">
        <f>HYPERLINK("https://www.amazon.com/Thymes-Fragrant-Frasier-Votive-15-Hour/dp/B00YPP2UGI/ref=sr_1_6?keywords=Thymes+Frasier+Fir+Pine+Needle+Candle+Set&amp;qid=1695258733&amp;sr=8-6", "https://www.amazon.com/Thymes-Fragrant-Frasier-Votive-15-Hour/dp/B00YPP2UGI/ref=sr_1_6?keywords=Thymes+Frasier+Fir+Pine+Needle+Candle+Set&amp;qid=1695258733&amp;sr=8-6")</f>
        <v>https://www.amazon.com/Thymes-Fragrant-Frasier-Votive-15-Hour/dp/B00YPP2UGI/ref=sr_1_6?keywords=Thymes+Frasier+Fir+Pine+Needle+Candle+Set&amp;qid=1695258733&amp;sr=8-6</v>
      </c>
      <c r="F979" t="s">
        <v>1554</v>
      </c>
      <c r="G979" t="e">
        <f ca="1">IMAGE("https://heavenlyouthouse.com/cdn/shop/products/thymes-frasier-fir-pine-needle-candle-set.jpg?v=1661983035")</f>
        <v>#NAME?</v>
      </c>
      <c r="H979" t="e">
        <f ca="1">IMAGE("https://m.media-amazon.com/images/I/614aXIOl78L._AC_UL320_.jpg")</f>
        <v>#NAME?</v>
      </c>
      <c r="I979" t="s">
        <v>336</v>
      </c>
      <c r="J979">
        <v>16</v>
      </c>
      <c r="K979" s="2" t="s">
        <v>2248</v>
      </c>
      <c r="L979">
        <v>4.5</v>
      </c>
      <c r="M979">
        <v>994</v>
      </c>
      <c r="O979" t="s">
        <v>39</v>
      </c>
      <c r="P979" t="s">
        <v>39</v>
      </c>
      <c r="Q979" t="s">
        <v>338</v>
      </c>
    </row>
    <row r="980" spans="1:17" ht="15.75" x14ac:dyDescent="0.25">
      <c r="A980" s="3" t="str">
        <f t="shared" si="9"/>
        <v>https://heavenlyouthouse.com/products/thymes-frasier-fir-pine-needle-candle-set</v>
      </c>
      <c r="B980" s="3" t="str">
        <f t="shared" si="9"/>
        <v>https://heavenlyouthouse.com/products/thymes-frasier-fir-pine-needle-candle-set</v>
      </c>
      <c r="C980" t="s">
        <v>335</v>
      </c>
      <c r="D980" t="s">
        <v>1553</v>
      </c>
      <c r="E980" s="3"/>
      <c r="F980" t="s">
        <v>1554</v>
      </c>
      <c r="G980" t="e">
        <f ca="1">IMAGE("https://heavenlyouthouse.com/cdn/shop/products/thymes-frasier-fir-pine-needle-candle-set.jpg?v=1661983035")</f>
        <v>#NAME?</v>
      </c>
      <c r="H980" t="e">
        <f ca="1">IMAGE("https://m.media-amazon.com/images/I/614aXIOl78L._AC_UL320_.jpg")</f>
        <v>#NAME?</v>
      </c>
      <c r="I980" t="s">
        <v>336</v>
      </c>
      <c r="J980">
        <v>16</v>
      </c>
      <c r="K980" s="2" t="s">
        <v>2248</v>
      </c>
      <c r="L980">
        <v>4.5</v>
      </c>
      <c r="M980">
        <v>994</v>
      </c>
      <c r="O980" t="s">
        <v>39</v>
      </c>
      <c r="P980" t="s">
        <v>39</v>
      </c>
      <c r="Q980" t="s">
        <v>338</v>
      </c>
    </row>
    <row r="981" spans="1:17" ht="15.75" x14ac:dyDescent="0.25">
      <c r="A981" s="3" t="str">
        <f>HYPERLINK("https://heavenlyouthouse.com/products/thymes-olive-leaf-cologne", "https://heavenlyouthouse.com/products/thymes-olive-leaf-cologne")</f>
        <v>https://heavenlyouthouse.com/products/thymes-olive-leaf-cologne</v>
      </c>
      <c r="B981" s="3" t="str">
        <f>HYPERLINK("https://heavenlyouthouse.com/products/thymes-olive-leaf-cologne", "https://heavenlyouthouse.com/products/thymes-olive-leaf-cologne")</f>
        <v>https://heavenlyouthouse.com/products/thymes-olive-leaf-cologne</v>
      </c>
      <c r="C981" t="s">
        <v>1973</v>
      </c>
      <c r="D981" t="s">
        <v>1354</v>
      </c>
      <c r="E981" s="3" t="str">
        <f>HYPERLINK("https://www.amazon.com/Thymes-Olive-Hydrating-Liquid-Natural/dp/B002WJHL54/ref=sr_1_7?keywords=Thymes+Olive+Leaf+Cologne&amp;qid=1695258786&amp;sr=8-7", "https://www.amazon.com/Thymes-Olive-Hydrating-Liquid-Natural/dp/B002WJHL54/ref=sr_1_7?keywords=Thymes+Olive+Leaf+Cologne&amp;qid=1695258786&amp;sr=8-7")</f>
        <v>https://www.amazon.com/Thymes-Olive-Hydrating-Liquid-Natural/dp/B002WJHL54/ref=sr_1_7?keywords=Thymes+Olive+Leaf+Cologne&amp;qid=1695258786&amp;sr=8-7</v>
      </c>
      <c r="F981" t="s">
        <v>1355</v>
      </c>
      <c r="G981" t="e">
        <f ca="1">IMAGE("https://heavenlyouthouse.com/cdn/shop/products/Olive-Leaf-Cologne-0540323000.jpg?v=1633124560")</f>
        <v>#NAME?</v>
      </c>
      <c r="H981" t="e">
        <f ca="1">IMAGE("https://m.media-amazon.com/images/I/6119Dw7kcOL._AC_UL320_.jpg")</f>
        <v>#NAME?</v>
      </c>
      <c r="I981" t="s">
        <v>336</v>
      </c>
      <c r="J981">
        <v>16</v>
      </c>
      <c r="K981" s="2" t="s">
        <v>2248</v>
      </c>
      <c r="L981">
        <v>4.5999999999999996</v>
      </c>
      <c r="M981">
        <v>3441</v>
      </c>
      <c r="O981" t="s">
        <v>39</v>
      </c>
      <c r="P981" t="s">
        <v>1204</v>
      </c>
      <c r="Q981" t="s">
        <v>1974</v>
      </c>
    </row>
    <row r="982" spans="1:17" ht="15.75" x14ac:dyDescent="0.25">
      <c r="A982" s="3" t="str">
        <f>HYPERLINK("https://heavenlyouthouse.com/products/truck-tooth-fairy-pillow-set?variant=40588641894489", "https://heavenlyouthouse.com/products/truck-tooth-fairy-pillow-set?variant=40588641894489")</f>
        <v>https://heavenlyouthouse.com/products/truck-tooth-fairy-pillow-set?variant=40588641894489</v>
      </c>
      <c r="B982" s="3" t="str">
        <f>HYPERLINK("https://heavenlyouthouse.com/products/truck-tooth-fairy-pillow-set", "https://heavenlyouthouse.com/products/truck-tooth-fairy-pillow-set")</f>
        <v>https://heavenlyouthouse.com/products/truck-tooth-fairy-pillow-set</v>
      </c>
      <c r="C982" t="s">
        <v>1928</v>
      </c>
      <c r="D982" t="s">
        <v>2249</v>
      </c>
      <c r="E982" s="3" t="str">
        <f>HYPERLINK("https://www.amazon.com/Truck-Tooth-Fairy-Pillow-Dust/dp/B074SW589R/ref=sr_1_1?keywords=Truck+Tooth+Fairy+Pillow+Set&amp;qid=1695258797&amp;sr=8-1", "https://www.amazon.com/Truck-Tooth-Fairy-Pillow-Dust/dp/B074SW589R/ref=sr_1_1?keywords=Truck+Tooth+Fairy+Pillow+Set&amp;qid=1695258797&amp;sr=8-1")</f>
        <v>https://www.amazon.com/Truck-Tooth-Fairy-Pillow-Dust/dp/B074SW589R/ref=sr_1_1?keywords=Truck+Tooth+Fairy+Pillow+Set&amp;qid=1695258797&amp;sr=8-1</v>
      </c>
      <c r="F982" t="s">
        <v>2250</v>
      </c>
      <c r="G982" t="e">
        <f ca="1">IMAGE("https://heavenlyouthouse.com/cdn/shop/files/TF1008_700x_79e9abbd-3b8d-4144-b3e9-abc54712a488_300x300.webp?v=1694458346")</f>
        <v>#NAME?</v>
      </c>
      <c r="H982" t="e">
        <f ca="1">IMAGE("https://m.media-amazon.com/images/I/81z6sOpr9FL._AC_UL320_.jpg")</f>
        <v>#NAME?</v>
      </c>
      <c r="I982" t="s">
        <v>336</v>
      </c>
      <c r="J982">
        <v>15.95</v>
      </c>
      <c r="K982" s="2" t="s">
        <v>2248</v>
      </c>
      <c r="L982">
        <v>4.5</v>
      </c>
      <c r="M982">
        <v>26</v>
      </c>
      <c r="O982" t="s">
        <v>136</v>
      </c>
      <c r="P982" t="s">
        <v>1931</v>
      </c>
      <c r="Q982" t="s">
        <v>1932</v>
      </c>
    </row>
    <row r="983" spans="1:17" ht="15.75" x14ac:dyDescent="0.25">
      <c r="A983" s="3" t="str">
        <f>HYPERLINK("https://heavenlyouthouse.com/products/lavender-reed-diffuser-refill", "https://heavenlyouthouse.com/products/lavender-reed-diffuser-refill")</f>
        <v>https://heavenlyouthouse.com/products/lavender-reed-diffuser-refill</v>
      </c>
      <c r="B983" s="3" t="str">
        <f>HYPERLINK("https://heavenlyouthouse.com/products/lavender-reed-diffuser-refill", "https://heavenlyouthouse.com/products/lavender-reed-diffuser-refill")</f>
        <v>https://heavenlyouthouse.com/products/lavender-reed-diffuser-refill</v>
      </c>
      <c r="C983" t="s">
        <v>1188</v>
      </c>
      <c r="D983" t="s">
        <v>2251</v>
      </c>
      <c r="E983" s="3" t="str">
        <f>HYPERLINK("https://www.amazon.com/NEVAEHEART-Lavender-Diffuser-Bergamot-Fragrance/dp/B0946SBHFQ/ref=sr_1_7?keywords=Thymes+Lavender+Reed+Diffuser+Refill&amp;qid=1695258763&amp;sr=8-7", "https://www.amazon.com/NEVAEHEART-Lavender-Diffuser-Bergamot-Fragrance/dp/B0946SBHFQ/ref=sr_1_7?keywords=Thymes+Lavender+Reed+Diffuser+Refill&amp;qid=1695258763&amp;sr=8-7")</f>
        <v>https://www.amazon.com/NEVAEHEART-Lavender-Diffuser-Bergamot-Fragrance/dp/B0946SBHFQ/ref=sr_1_7?keywords=Thymes+Lavender+Reed+Diffuser+Refill&amp;qid=1695258763&amp;sr=8-7</v>
      </c>
      <c r="F983" t="s">
        <v>2252</v>
      </c>
      <c r="G983" t="e">
        <f ca="1">IMAGE("https://heavenlyouthouse.com/cdn/shop/products/thymeslavenderreeddiffuserrefill.jpg?v=1606419251")</f>
        <v>#NAME?</v>
      </c>
      <c r="H983" t="e">
        <f ca="1">IMAGE("https://m.media-amazon.com/images/I/41i6cZvUVEL._AC_UL320_.jpg")</f>
        <v>#NAME?</v>
      </c>
      <c r="I983" t="s">
        <v>829</v>
      </c>
      <c r="J983">
        <v>14.99</v>
      </c>
      <c r="K983" s="2" t="s">
        <v>2248</v>
      </c>
      <c r="L983">
        <v>4</v>
      </c>
      <c r="M983">
        <v>415</v>
      </c>
      <c r="O983" t="s">
        <v>39</v>
      </c>
      <c r="P983" t="s">
        <v>39</v>
      </c>
      <c r="Q983" t="s">
        <v>1191</v>
      </c>
    </row>
    <row r="984" spans="1:17" ht="15.75" x14ac:dyDescent="0.25">
      <c r="A984" s="3" t="str">
        <f>HYPERLINK("https://heavenlyouthouse.com/products/eucalyptus-reed-diffuser-refill", "https://heavenlyouthouse.com/products/eucalyptus-reed-diffuser-refill")</f>
        <v>https://heavenlyouthouse.com/products/eucalyptus-reed-diffuser-refill</v>
      </c>
      <c r="B984" s="3" t="str">
        <f>HYPERLINK("https://heavenlyouthouse.com/products/eucalyptus-reed-diffuser-refill", "https://heavenlyouthouse.com/products/eucalyptus-reed-diffuser-refill")</f>
        <v>https://heavenlyouthouse.com/products/eucalyptus-reed-diffuser-refill</v>
      </c>
      <c r="C984" t="s">
        <v>1184</v>
      </c>
      <c r="D984" t="s">
        <v>2253</v>
      </c>
      <c r="E984" s="3" t="str">
        <f>HYPERLINK("https://www.amazon.com/Urban-Naturals-Scented-Diffuser-Refill/dp/B07BWBWC43/ref=sr_1_8?keywords=Thymes+Eucalyptus+Reed+Diffuser+Refill&amp;qid=1695258717&amp;sr=8-8", "https://www.amazon.com/Urban-Naturals-Scented-Diffuser-Refill/dp/B07BWBWC43/ref=sr_1_8?keywords=Thymes+Eucalyptus+Reed+Diffuser+Refill&amp;qid=1695258717&amp;sr=8-8")</f>
        <v>https://www.amazon.com/Urban-Naturals-Scented-Diffuser-Refill/dp/B07BWBWC43/ref=sr_1_8?keywords=Thymes+Eucalyptus+Reed+Diffuser+Refill&amp;qid=1695258717&amp;sr=8-8</v>
      </c>
      <c r="F984" t="s">
        <v>2254</v>
      </c>
      <c r="G984" t="e">
        <f ca="1">IMAGE("https://heavenlyouthouse.com/cdn/shop/products/ThymesEucalyptusreeddiffuseroilrefill.jpg?v=1616434961")</f>
        <v>#NAME?</v>
      </c>
      <c r="H984" t="e">
        <f ca="1">IMAGE("https://m.media-amazon.com/images/I/61+tYXXUO+L._AC_UL320_.jpg")</f>
        <v>#NAME?</v>
      </c>
      <c r="I984" t="s">
        <v>829</v>
      </c>
      <c r="J984">
        <v>14.99</v>
      </c>
      <c r="K984" s="2" t="s">
        <v>2248</v>
      </c>
      <c r="L984">
        <v>3.9</v>
      </c>
      <c r="M984">
        <v>9055</v>
      </c>
      <c r="O984" t="s">
        <v>39</v>
      </c>
      <c r="P984" t="s">
        <v>39</v>
      </c>
      <c r="Q984" t="s">
        <v>1187</v>
      </c>
    </row>
    <row r="985" spans="1:17" ht="15.75" x14ac:dyDescent="0.25">
      <c r="A985" s="3" t="str">
        <f>HYPERLINK("https://heavenlyouthouse.com/products/white-sparkle-ball-stud-earrings", "https://heavenlyouthouse.com/products/white-sparkle-ball-stud-earrings")</f>
        <v>https://heavenlyouthouse.com/products/white-sparkle-ball-stud-earrings</v>
      </c>
      <c r="B985" s="3" t="str">
        <f>HYPERLINK("https://heavenlyouthouse.com/products/white-sparkle-ball-stud-earrings", "https://heavenlyouthouse.com/products/white-sparkle-ball-stud-earrings")</f>
        <v>https://heavenlyouthouse.com/products/white-sparkle-ball-stud-earrings</v>
      </c>
      <c r="C985" t="s">
        <v>809</v>
      </c>
      <c r="D985" t="s">
        <v>2255</v>
      </c>
      <c r="E985" s="3" t="str">
        <f>HYPERLINK("https://www.amazon.com/Pori-Jewelers-Premium-Gold-Earrings/dp/B07N5M6HVN/ref=sr_1_9?keywords=White+Sparkle+Ball+Stud+Earrings&amp;qid=1695258839&amp;sr=8-9", "https://www.amazon.com/Pori-Jewelers-Premium-Gold-Earrings/dp/B07N5M6HVN/ref=sr_1_9?keywords=White+Sparkle+Ball+Stud+Earrings&amp;qid=1695258839&amp;sr=8-9")</f>
        <v>https://www.amazon.com/Pori-Jewelers-Premium-Gold-Earrings/dp/B07N5M6HVN/ref=sr_1_9?keywords=White+Sparkle+Ball+Stud+Earrings&amp;qid=1695258839&amp;sr=8-9</v>
      </c>
      <c r="F985" t="s">
        <v>2256</v>
      </c>
      <c r="G985" t="e">
        <f ca="1">IMAGE("https://heavenlyouthouse.com/cdn/shop/products/SB-ES10WHT_1800x1800_7e84f74c-d927-493d-bae8-a2b4d51a8198.jpg?v=1587480879")</f>
        <v>#NAME?</v>
      </c>
      <c r="H985" t="e">
        <f ca="1">IMAGE("https://m.media-amazon.com/images/I/51hkI7cNemL._AC_UL320_.jpg")</f>
        <v>#NAME?</v>
      </c>
      <c r="I985" t="s">
        <v>812</v>
      </c>
      <c r="J985">
        <v>19</v>
      </c>
      <c r="K985" s="2" t="s">
        <v>2248</v>
      </c>
      <c r="L985">
        <v>4.0999999999999996</v>
      </c>
      <c r="M985">
        <v>2585</v>
      </c>
      <c r="O985" t="s">
        <v>39</v>
      </c>
      <c r="P985" t="s">
        <v>39</v>
      </c>
      <c r="Q985" t="s">
        <v>813</v>
      </c>
    </row>
    <row r="986" spans="1:17" ht="15.75" x14ac:dyDescent="0.25">
      <c r="A986" s="3" t="str">
        <f>HYPERLINK("https://heavenlyouthouse.com/products/usb-rechargeable-led-beanie-black", "https://heavenlyouthouse.com/products/usb-rechargeable-led-beanie-black")</f>
        <v>https://heavenlyouthouse.com/products/usb-rechargeable-led-beanie-black</v>
      </c>
      <c r="B986" s="3" t="str">
        <f>HYPERLINK("https://heavenlyouthouse.com/products/usb-rechargeable-led-beanie-black", "https://heavenlyouthouse.com/products/usb-rechargeable-led-beanie-black")</f>
        <v>https://heavenlyouthouse.com/products/usb-rechargeable-led-beanie-black</v>
      </c>
      <c r="C986" t="s">
        <v>688</v>
      </c>
      <c r="D986" t="s">
        <v>2257</v>
      </c>
      <c r="E986" s="3" t="str">
        <f>HYPERLINK("https://www.amazon.com/Riuog-Rechargeable-Headlight-Lighted-Activities/dp/B0BLN9KM66/ref=sr_1_7?keywords=USB+Rechargeable+LED+Beanie+-+Black&amp;qid=1695258801&amp;sr=8-7", "https://www.amazon.com/Riuog-Rechargeable-Headlight-Lighted-Activities/dp/B0BLN9KM66/ref=sr_1_7?keywords=USB+Rechargeable+LED+Beanie+-+Black&amp;qid=1695258801&amp;sr=8-7")</f>
        <v>https://www.amazon.com/Riuog-Rechargeable-Headlight-Lighted-Activities/dp/B0BLN9KM66/ref=sr_1_7?keywords=USB+Rechargeable+LED+Beanie+-+Black&amp;qid=1695258801&amp;sr=8-7</v>
      </c>
      <c r="F986" t="s">
        <v>2258</v>
      </c>
      <c r="G986" t="e">
        <f ca="1">IMAGE("https://heavenlyouthouse.com/cdn/shop/products/nightscoutrechargeableLEDtoqueblack_951f8ad0-7b76-49f7-ab39-c5624789256a.jpg?v=1669042861")</f>
        <v>#NAME?</v>
      </c>
      <c r="H986" t="e">
        <f ca="1">IMAGE("https://m.media-amazon.com/images/I/71Nq0MryuyL._AC_UL320_.jpg")</f>
        <v>#NAME?</v>
      </c>
      <c r="I986" t="s">
        <v>385</v>
      </c>
      <c r="J986">
        <v>8.99</v>
      </c>
      <c r="K986" s="2" t="s">
        <v>2259</v>
      </c>
      <c r="L986">
        <v>4.4000000000000004</v>
      </c>
      <c r="M986">
        <v>32</v>
      </c>
      <c r="O986" t="s">
        <v>39</v>
      </c>
      <c r="P986" t="s">
        <v>39</v>
      </c>
      <c r="Q986" t="s">
        <v>691</v>
      </c>
    </row>
    <row r="987" spans="1:17" ht="15.75" x14ac:dyDescent="0.25">
      <c r="A987" s="3" t="str">
        <f>HYPERLINK("https://heavenlyouthouse.com/products/thymes-frasier-fir-gilded-gold-pine-needle-candle", "https://heavenlyouthouse.com/products/thymes-frasier-fir-gilded-gold-pine-needle-candle")</f>
        <v>https://heavenlyouthouse.com/products/thymes-frasier-fir-gilded-gold-pine-needle-candle</v>
      </c>
      <c r="B987" s="3" t="str">
        <f>HYPERLINK("https://heavenlyouthouse.com/products/thymes-frasier-fir-gilded-gold-pine-needle-candle", "https://heavenlyouthouse.com/products/thymes-frasier-fir-gilded-gold-pine-needle-candle")</f>
        <v>https://heavenlyouthouse.com/products/thymes-frasier-fir-gilded-gold-pine-needle-candle</v>
      </c>
      <c r="C987" t="s">
        <v>972</v>
      </c>
      <c r="D987" t="s">
        <v>1553</v>
      </c>
      <c r="E987" s="3" t="str">
        <f>HYPERLINK("https://www.amazon.com/Thymes-Fragrant-Frasier-Votive-15-Hour/dp/B00YPP2UGI/ref=sr_1_3?keywords=Thymes+Frasier+Fir+Gilded+Gold+Pine+Needle+Candle&amp;qid=1695258732&amp;sr=8-3", "https://www.amazon.com/Thymes-Fragrant-Frasier-Votive-15-Hour/dp/B00YPP2UGI/ref=sr_1_3?keywords=Thymes+Frasier+Fir+Gilded+Gold+Pine+Needle+Candle&amp;qid=1695258732&amp;sr=8-3")</f>
        <v>https://www.amazon.com/Thymes-Fragrant-Frasier-Votive-15-Hour/dp/B00YPP2UGI/ref=sr_1_3?keywords=Thymes+Frasier+Fir+Gilded+Gold+Pine+Needle+Candle&amp;qid=1695258732&amp;sr=8-3</v>
      </c>
      <c r="F987" t="s">
        <v>1554</v>
      </c>
      <c r="G987" t="e">
        <f ca="1">IMAGE("https://heavenlyouthouse.com/cdn/shop/files/thymes-frasier-fir-gilded-pine-needle-gold-candle_300x300.jpg?v=1692209396")</f>
        <v>#NAME?</v>
      </c>
      <c r="H987" t="e">
        <f ca="1">IMAGE("https://m.media-amazon.com/images/I/614aXIOl78L._AC_UL320_.jpg")</f>
        <v>#NAME?</v>
      </c>
      <c r="I987" t="s">
        <v>973</v>
      </c>
      <c r="J987">
        <v>16</v>
      </c>
      <c r="K987" s="2" t="s">
        <v>2259</v>
      </c>
      <c r="L987">
        <v>4.5</v>
      </c>
      <c r="M987">
        <v>994</v>
      </c>
      <c r="O987" t="s">
        <v>39</v>
      </c>
      <c r="P987" t="s">
        <v>974</v>
      </c>
      <c r="Q987" t="s">
        <v>975</v>
      </c>
    </row>
    <row r="988" spans="1:17" ht="15.75" x14ac:dyDescent="0.25">
      <c r="A988" s="3" t="str">
        <f>HYPERLINK("https://heavenlyouthouse.com/products/thymes-frasier-fir-gilded-gold-pine-needle-candle", "https://heavenlyouthouse.com/products/thymes-frasier-fir-gilded-gold-pine-needle-candle")</f>
        <v>https://heavenlyouthouse.com/products/thymes-frasier-fir-gilded-gold-pine-needle-candle</v>
      </c>
      <c r="B988" s="3" t="str">
        <f>HYPERLINK("https://heavenlyouthouse.com/products/thymes-frasier-fir-gilded-gold-pine-needle-candle", "https://heavenlyouthouse.com/products/thymes-frasier-fir-gilded-gold-pine-needle-candle")</f>
        <v>https://heavenlyouthouse.com/products/thymes-frasier-fir-gilded-gold-pine-needle-candle</v>
      </c>
      <c r="C988" t="s">
        <v>972</v>
      </c>
      <c r="D988" t="s">
        <v>1541</v>
      </c>
      <c r="E988" s="3" t="str">
        <f>HYPERLINK("https://www.amazon.com/Thymes-Frasier-Needle-Votive-Candle/dp/B07Q2GWCCQ/ref=sr_1_10?keywords=Thymes+Frasier+Fir+Gilded+Gold+Pine+Needle+Candle&amp;qid=1695258732&amp;sr=8-10", "https://www.amazon.com/Thymes-Frasier-Needle-Votive-Candle/dp/B07Q2GWCCQ/ref=sr_1_10?keywords=Thymes+Frasier+Fir+Gilded+Gold+Pine+Needle+Candle&amp;qid=1695258732&amp;sr=8-10")</f>
        <v>https://www.amazon.com/Thymes-Frasier-Needle-Votive-Candle/dp/B07Q2GWCCQ/ref=sr_1_10?keywords=Thymes+Frasier+Fir+Gilded+Gold+Pine+Needle+Candle&amp;qid=1695258732&amp;sr=8-10</v>
      </c>
      <c r="F988" t="s">
        <v>1542</v>
      </c>
      <c r="G988" t="e">
        <f ca="1">IMAGE("https://heavenlyouthouse.com/cdn/shop/files/thymes-frasier-fir-gilded-pine-needle-gold-candle_300x300.jpg?v=1692209396")</f>
        <v>#NAME?</v>
      </c>
      <c r="H988" t="e">
        <f ca="1">IMAGE("https://m.media-amazon.com/images/I/71ARhUHeOKL._AC_UL320_.jpg")</f>
        <v>#NAME?</v>
      </c>
      <c r="I988" t="s">
        <v>973</v>
      </c>
      <c r="J988">
        <v>16</v>
      </c>
      <c r="K988" s="2" t="s">
        <v>2259</v>
      </c>
      <c r="L988">
        <v>4.0999999999999996</v>
      </c>
      <c r="M988">
        <v>5</v>
      </c>
      <c r="O988" t="s">
        <v>39</v>
      </c>
      <c r="P988" t="s">
        <v>974</v>
      </c>
      <c r="Q988" t="s">
        <v>975</v>
      </c>
    </row>
    <row r="989" spans="1:17" ht="15.75" x14ac:dyDescent="0.25">
      <c r="A989" s="3" t="str">
        <f>HYPERLINK("https://heavenlyouthouse.com/products/lavender-bubble-bath", "https://heavenlyouthouse.com/products/lavender-bubble-bath")</f>
        <v>https://heavenlyouthouse.com/products/lavender-bubble-bath</v>
      </c>
      <c r="B989" s="3" t="str">
        <f>HYPERLINK("https://heavenlyouthouse.com/products/lavender-bubble-bath", "https://heavenlyouthouse.com/products/lavender-bubble-bath")</f>
        <v>https://heavenlyouthouse.com/products/lavender-bubble-bath</v>
      </c>
      <c r="C989" t="s">
        <v>1208</v>
      </c>
      <c r="D989" t="s">
        <v>2260</v>
      </c>
      <c r="E989" s="3" t="str">
        <f>HYPERLINK("https://www.amazon.com/Relaxing-Bubble-Bath-Sleep-Hypoallergenic/dp/B00DV76LU2/ref=sr_1_3?keywords=Thymes+Lavender+Bubble+Bath&amp;qid=1695258760&amp;sr=8-3", "https://www.amazon.com/Relaxing-Bubble-Bath-Sleep-Hypoallergenic/dp/B00DV76LU2/ref=sr_1_3?keywords=Thymes+Lavender+Bubble+Bath&amp;qid=1695258760&amp;sr=8-3")</f>
        <v>https://www.amazon.com/Relaxing-Bubble-Bath-Sleep-Hypoallergenic/dp/B00DV76LU2/ref=sr_1_3?keywords=Thymes+Lavender+Bubble+Bath&amp;qid=1695258760&amp;sr=8-3</v>
      </c>
      <c r="F989" t="s">
        <v>2261</v>
      </c>
      <c r="G989" t="e">
        <f ca="1">IMAGE("https://heavenlyouthouse.com/cdn/shop/products/thymeslavenderbubblebath.jpg?v=1608572028")</f>
        <v>#NAME?</v>
      </c>
      <c r="H989" t="e">
        <f ca="1">IMAGE("https://m.media-amazon.com/images/I/61JWaFhf+PL._AC_UL320_.jpg")</f>
        <v>#NAME?</v>
      </c>
      <c r="I989" t="s">
        <v>1211</v>
      </c>
      <c r="J989">
        <v>11.95</v>
      </c>
      <c r="K989" s="2" t="s">
        <v>2259</v>
      </c>
      <c r="L989">
        <v>4.4000000000000004</v>
      </c>
      <c r="M989">
        <v>1927</v>
      </c>
      <c r="O989" t="s">
        <v>39</v>
      </c>
      <c r="P989" t="s">
        <v>39</v>
      </c>
      <c r="Q989" t="s">
        <v>1212</v>
      </c>
    </row>
    <row r="990" spans="1:17" ht="15.75" x14ac:dyDescent="0.25">
      <c r="A990" s="3" t="str">
        <f>HYPERLINK("https://heavenlyouthouse.com/products/eucalyptus-bubble-bath", "https://heavenlyouthouse.com/products/eucalyptus-bubble-bath")</f>
        <v>https://heavenlyouthouse.com/products/eucalyptus-bubble-bath</v>
      </c>
      <c r="B990" s="3" t="str">
        <f>HYPERLINK("https://heavenlyouthouse.com/products/eucalyptus-bubble-bath", "https://heavenlyouthouse.com/products/eucalyptus-bubble-bath")</f>
        <v>https://heavenlyouthouse.com/products/eucalyptus-bubble-bath</v>
      </c>
      <c r="C990" t="s">
        <v>1861</v>
      </c>
      <c r="D990" t="s">
        <v>2262</v>
      </c>
      <c r="E990" s="3" t="str">
        <f>HYPERLINK("https://www.amazon.com/Bubbles-Aromatherapy-Eucalyptus-Essential-Blend/dp/B00SRGXY0W/ref=sr_1_6?keywords=Thymes+Eucalyptus+Bubble+Bath&amp;qid=1695258716&amp;sr=8-6", "https://www.amazon.com/Bubbles-Aromatherapy-Eucalyptus-Essential-Blend/dp/B00SRGXY0W/ref=sr_1_6?keywords=Thymes+Eucalyptus+Bubble+Bath&amp;qid=1695258716&amp;sr=8-6")</f>
        <v>https://www.amazon.com/Bubbles-Aromatherapy-Eucalyptus-Essential-Blend/dp/B00SRGXY0W/ref=sr_1_6?keywords=Thymes+Eucalyptus+Bubble+Bath&amp;qid=1695258716&amp;sr=8-6</v>
      </c>
      <c r="F990" t="s">
        <v>2263</v>
      </c>
      <c r="G990" t="e">
        <f ca="1">IMAGE("https://heavenlyouthouse.com/cdn/shop/products/bubblebath.jpg?v=1588103593")</f>
        <v>#NAME?</v>
      </c>
      <c r="H990" t="e">
        <f ca="1">IMAGE("https://m.media-amazon.com/images/I/61tjZUX7VIL._AC_UL320_.jpg")</f>
        <v>#NAME?</v>
      </c>
      <c r="I990" t="s">
        <v>1211</v>
      </c>
      <c r="J990">
        <v>11.95</v>
      </c>
      <c r="K990" s="2" t="s">
        <v>2259</v>
      </c>
      <c r="L990">
        <v>4.4000000000000004</v>
      </c>
      <c r="M990">
        <v>1927</v>
      </c>
      <c r="O990" t="s">
        <v>39</v>
      </c>
      <c r="P990" t="s">
        <v>39</v>
      </c>
      <c r="Q990" t="s">
        <v>1864</v>
      </c>
    </row>
    <row r="991" spans="1:17" ht="15.75" x14ac:dyDescent="0.25">
      <c r="A991" s="3" t="str">
        <f>HYPERLINK("https://heavenlyouthouse.com/products/thymes-lavender-body-scrub", "https://heavenlyouthouse.com/products/thymes-lavender-body-scrub")</f>
        <v>https://heavenlyouthouse.com/products/thymes-lavender-body-scrub</v>
      </c>
      <c r="B991" s="3" t="str">
        <f>HYPERLINK("https://heavenlyouthouse.com/products/thymes-lavender-body-scrub", "https://heavenlyouthouse.com/products/thymes-lavender-body-scrub")</f>
        <v>https://heavenlyouthouse.com/products/thymes-lavender-body-scrub</v>
      </c>
      <c r="C991" t="s">
        <v>1401</v>
      </c>
      <c r="D991" t="s">
        <v>2264</v>
      </c>
      <c r="E991" s="3" t="str">
        <f>HYPERLINK("https://www.amazon.com/Lavender-Exfoliator-Butter-Grapefruit-Majestic/dp/B083F6JJ2Q/ref=sr_1_7?keywords=Thymes+Lavender+Body+Scrub&amp;qid=1695258768&amp;sr=8-7", "https://www.amazon.com/Lavender-Exfoliator-Butter-Grapefruit-Majestic/dp/B083F6JJ2Q/ref=sr_1_7?keywords=Thymes+Lavender+Body+Scrub&amp;qid=1695258768&amp;sr=8-7")</f>
        <v>https://www.amazon.com/Lavender-Exfoliator-Butter-Grapefruit-Majestic/dp/B083F6JJ2Q/ref=sr_1_7?keywords=Thymes+Lavender+Body+Scrub&amp;qid=1695258768&amp;sr=8-7</v>
      </c>
      <c r="F991" t="s">
        <v>2265</v>
      </c>
      <c r="G991" t="e">
        <f ca="1">IMAGE("https://heavenlyouthouse.com/cdn/shop/products/thymes-lavender-body-scrub.jpg?v=1630622694")</f>
        <v>#NAME?</v>
      </c>
      <c r="H991" t="e">
        <f ca="1">IMAGE("https://m.media-amazon.com/images/I/815lhRyUduL._AC_UL320_.jpg")</f>
        <v>#NAME?</v>
      </c>
      <c r="I991" t="s">
        <v>1179</v>
      </c>
      <c r="J991">
        <v>10.95</v>
      </c>
      <c r="K991" s="2" t="s">
        <v>2266</v>
      </c>
      <c r="L991">
        <v>4.3</v>
      </c>
      <c r="M991">
        <v>24639</v>
      </c>
      <c r="O991" t="s">
        <v>39</v>
      </c>
      <c r="P991" t="s">
        <v>39</v>
      </c>
      <c r="Q991" t="s">
        <v>1404</v>
      </c>
    </row>
    <row r="992" spans="1:17" ht="15.75" x14ac:dyDescent="0.25">
      <c r="A992" s="3" t="str">
        <f>HYPERLINK("https://heavenlyouthouse.com/products/ribbon-flower-mothers-day-card", "https://heavenlyouthouse.com/products/ribbon-flower-mothers-day-card")</f>
        <v>https://heavenlyouthouse.com/products/ribbon-flower-mothers-day-card</v>
      </c>
      <c r="B992" s="3" t="str">
        <f>HYPERLINK("https://heavenlyouthouse.com/products/ribbon-flower-mothers-day-card", "https://heavenlyouthouse.com/products/ribbon-flower-mothers-day-card")</f>
        <v>https://heavenlyouthouse.com/products/ribbon-flower-mothers-day-card</v>
      </c>
      <c r="C992" t="s">
        <v>1089</v>
      </c>
      <c r="D992" t="s">
        <v>2267</v>
      </c>
      <c r="E992" s="3" t="str">
        <f>HYPERLINK("https://www.amazon.com/Designer-Greetings-Flowers-Mothers-Daughter/dp/B07RN2DT4J/ref=sr_1_4?keywords=Ribbon+Flower+Mother%27s+Day+Card&amp;qid=1695258662&amp;sr=8-4", "https://www.amazon.com/Designer-Greetings-Flowers-Mothers-Daughter/dp/B07RN2DT4J/ref=sr_1_4?keywords=Ribbon+Flower+Mother%27s+Day+Card&amp;qid=1695258662&amp;sr=8-4")</f>
        <v>https://www.amazon.com/Designer-Greetings-Flowers-Mothers-Daughter/dp/B07RN2DT4J/ref=sr_1_4?keywords=Ribbon+Flower+Mother%27s+Day+Card&amp;qid=1695258662&amp;sr=8-4</v>
      </c>
      <c r="F992" t="s">
        <v>2268</v>
      </c>
      <c r="G992" t="e">
        <f ca="1">IMAGE("https://heavenlyouthouse.com/cdn/shop/products/059584207114papyrusfloralmother_sdaycard.jpg?v=1619454393")</f>
        <v>#NAME?</v>
      </c>
      <c r="H992" t="e">
        <f ca="1">IMAGE("https://m.media-amazon.com/images/I/41sUpzeav1L._AC_UL320_.jpg")</f>
        <v>#NAME?</v>
      </c>
      <c r="I992" t="s">
        <v>955</v>
      </c>
      <c r="J992">
        <v>3.79</v>
      </c>
      <c r="K992" s="2" t="s">
        <v>2269</v>
      </c>
      <c r="L992">
        <v>4.5999999999999996</v>
      </c>
      <c r="M992">
        <v>12</v>
      </c>
      <c r="O992" t="s">
        <v>39</v>
      </c>
      <c r="P992" t="s">
        <v>39</v>
      </c>
      <c r="Q992" t="s">
        <v>1093</v>
      </c>
    </row>
    <row r="993" spans="1:17" ht="15.75" x14ac:dyDescent="0.25">
      <c r="A993" s="3" t="str">
        <f>HYPERLINK("https://heavenlyouthouse.com/products/lavender-reed-diffuser-refill", "https://heavenlyouthouse.com/products/lavender-reed-diffuser-refill")</f>
        <v>https://heavenlyouthouse.com/products/lavender-reed-diffuser-refill</v>
      </c>
      <c r="B993" s="3" t="str">
        <f>HYPERLINK("https://heavenlyouthouse.com/products/lavender-reed-diffuser-refill", "https://heavenlyouthouse.com/products/lavender-reed-diffuser-refill")</f>
        <v>https://heavenlyouthouse.com/products/lavender-reed-diffuser-refill</v>
      </c>
      <c r="C993" t="s">
        <v>1188</v>
      </c>
      <c r="D993" t="s">
        <v>2270</v>
      </c>
      <c r="E993" s="3" t="str">
        <f>HYPERLINK("https://www.amazon.com/Cocorr%C3%ADna-Lavender-Diffuser-Fragrance-Bathroom/dp/B0B4S8W1X8/ref=sr_1_1?keywords=Thymes+Lavender+Reed+Diffuser+Refill&amp;qid=1695258763&amp;sr=8-1", "https://www.amazon.com/Cocorr%C3%ADna-Lavender-Diffuser-Fragrance-Bathroom/dp/B0B4S8W1X8/ref=sr_1_1?keywords=Thymes+Lavender+Reed+Diffuser+Refill&amp;qid=1695258763&amp;sr=8-1")</f>
        <v>https://www.amazon.com/Cocorr%C3%ADna-Lavender-Diffuser-Fragrance-Bathroom/dp/B0B4S8W1X8/ref=sr_1_1?keywords=Thymes+Lavender+Reed+Diffuser+Refill&amp;qid=1695258763&amp;sr=8-1</v>
      </c>
      <c r="F993" t="s">
        <v>2271</v>
      </c>
      <c r="G993" t="e">
        <f ca="1">IMAGE("https://heavenlyouthouse.com/cdn/shop/products/thymeslavenderreeddiffuserrefill.jpg?v=1606419251")</f>
        <v>#NAME?</v>
      </c>
      <c r="H993" t="e">
        <f ca="1">IMAGE("https://m.media-amazon.com/images/I/61fb830r9cL._AC_UL320_.jpg")</f>
        <v>#NAME?</v>
      </c>
      <c r="I993" t="s">
        <v>829</v>
      </c>
      <c r="J993">
        <v>13.49</v>
      </c>
      <c r="K993" s="2" t="s">
        <v>2269</v>
      </c>
      <c r="L993">
        <v>4.3</v>
      </c>
      <c r="M993">
        <v>4505</v>
      </c>
      <c r="O993" t="s">
        <v>39</v>
      </c>
      <c r="P993" t="s">
        <v>39</v>
      </c>
      <c r="Q993" t="s">
        <v>1191</v>
      </c>
    </row>
    <row r="994" spans="1:17" ht="15.75" x14ac:dyDescent="0.25">
      <c r="A994" s="3" t="str">
        <f>HYPERLINK("https://heavenlyouthouse.com/products/thymes-olive-leaf-cologne", "https://heavenlyouthouse.com/products/thymes-olive-leaf-cologne")</f>
        <v>https://heavenlyouthouse.com/products/thymes-olive-leaf-cologne</v>
      </c>
      <c r="B994" s="3" t="str">
        <f>HYPERLINK("https://heavenlyouthouse.com/products/thymes-olive-leaf-cologne", "https://heavenlyouthouse.com/products/thymes-olive-leaf-cologne")</f>
        <v>https://heavenlyouthouse.com/products/thymes-olive-leaf-cologne</v>
      </c>
      <c r="C994" t="s">
        <v>1973</v>
      </c>
      <c r="D994" t="s">
        <v>1756</v>
      </c>
      <c r="E994" s="3" t="str">
        <f>HYPERLINK("https://www.amazon.com/Thymes-Luxurious-Naturally-Conditioning-Moisturizing/dp/B0746QDC9G/ref=sr_1_4?keywords=Thymes+Olive+Leaf+Cologne&amp;qid=1695258786&amp;sr=8-4", "https://www.amazon.com/Thymes-Luxurious-Naturally-Conditioning-Moisturizing/dp/B0746QDC9G/ref=sr_1_4?keywords=Thymes+Olive+Leaf+Cologne&amp;qid=1695258786&amp;sr=8-4")</f>
        <v>https://www.amazon.com/Thymes-Luxurious-Naturally-Conditioning-Moisturizing/dp/B0746QDC9G/ref=sr_1_4?keywords=Thymes+Olive+Leaf+Cologne&amp;qid=1695258786&amp;sr=8-4</v>
      </c>
      <c r="F994" t="s">
        <v>1757</v>
      </c>
      <c r="G994" t="e">
        <f ca="1">IMAGE("https://heavenlyouthouse.com/cdn/shop/products/Olive-Leaf-Cologne-0540323000.jpg?v=1633124560")</f>
        <v>#NAME?</v>
      </c>
      <c r="H994" t="e">
        <f ca="1">IMAGE("https://m.media-amazon.com/images/I/81VGiQs-PAL._AC_UL320_.jpg")</f>
        <v>#NAME?</v>
      </c>
      <c r="I994" t="s">
        <v>336</v>
      </c>
      <c r="J994">
        <v>14</v>
      </c>
      <c r="K994" s="2" t="s">
        <v>2272</v>
      </c>
      <c r="L994">
        <v>4.5999999999999996</v>
      </c>
      <c r="M994">
        <v>765</v>
      </c>
      <c r="O994" t="s">
        <v>39</v>
      </c>
      <c r="P994" t="s">
        <v>1204</v>
      </c>
      <c r="Q994" t="s">
        <v>1974</v>
      </c>
    </row>
    <row r="995" spans="1:17" ht="15.75" x14ac:dyDescent="0.25">
      <c r="A995" s="3" t="str">
        <f>HYPERLINK("https://heavenlyouthouse.com/products/succulent-sparkle-ball-stud-earrings", "https://heavenlyouthouse.com/products/succulent-sparkle-ball-stud-earrings")</f>
        <v>https://heavenlyouthouse.com/products/succulent-sparkle-ball-stud-earrings</v>
      </c>
      <c r="B995" s="3" t="str">
        <f>HYPERLINK("https://heavenlyouthouse.com/products/succulent-sparkle-ball-stud-earrings", "https://heavenlyouthouse.com/products/succulent-sparkle-ball-stud-earrings")</f>
        <v>https://heavenlyouthouse.com/products/succulent-sparkle-ball-stud-earrings</v>
      </c>
      <c r="C995" t="s">
        <v>2273</v>
      </c>
      <c r="D995" t="s">
        <v>2168</v>
      </c>
      <c r="E995" s="3" t="str">
        <f>HYPERLINK("https://www.amazon.com/BAYUEBA-Sterling-Silver-Crystal-Earrings/dp/B01NA9FPSV/ref=sr_1_3?keywords=Succulent+Sparkle+Ball+Stud+Earrings&amp;qid=1695258720&amp;sr=8-3", "https://www.amazon.com/BAYUEBA-Sterling-Silver-Crystal-Earrings/dp/B01NA9FPSV/ref=sr_1_3?keywords=Succulent+Sparkle+Ball+Stud+Earrings&amp;qid=1695258720&amp;sr=8-3")</f>
        <v>https://www.amazon.com/BAYUEBA-Sterling-Silver-Crystal-Earrings/dp/B01NA9FPSV/ref=sr_1_3?keywords=Succulent+Sparkle+Ball+Stud+Earrings&amp;qid=1695258720&amp;sr=8-3</v>
      </c>
      <c r="F995" t="s">
        <v>2169</v>
      </c>
      <c r="G995" t="e">
        <f ca="1">IMAGE("https://heavenlyouthouse.com/cdn/shop/products/hillbergandberksucculentsparkleballearrings10mm.jpg?v=1616507453")</f>
        <v>#NAME?</v>
      </c>
      <c r="H995" t="e">
        <f ca="1">IMAGE("https://m.media-amazon.com/images/I/51+O+StJRFL._AC_UL320_.jpg")</f>
        <v>#NAME?</v>
      </c>
      <c r="I995" t="s">
        <v>2274</v>
      </c>
      <c r="J995">
        <v>24.99</v>
      </c>
      <c r="K995" s="2" t="s">
        <v>2272</v>
      </c>
      <c r="L995">
        <v>4.5</v>
      </c>
      <c r="M995">
        <v>447</v>
      </c>
      <c r="O995" t="s">
        <v>39</v>
      </c>
      <c r="P995" t="s">
        <v>39</v>
      </c>
      <c r="Q995" t="s">
        <v>2275</v>
      </c>
    </row>
    <row r="996" spans="1:17" ht="15.75" x14ac:dyDescent="0.25">
      <c r="A996" s="3" t="str">
        <f>HYPERLINK("https://heavenlyouthouse.com/products/usb-rechargeable-led-beanie-black", "https://heavenlyouthouse.com/products/usb-rechargeable-led-beanie-black")</f>
        <v>https://heavenlyouthouse.com/products/usb-rechargeable-led-beanie-black</v>
      </c>
      <c r="B996" s="3" t="str">
        <f>HYPERLINK("https://heavenlyouthouse.com/products/usb-rechargeable-led-beanie-black", "https://heavenlyouthouse.com/products/usb-rechargeable-led-beanie-black")</f>
        <v>https://heavenlyouthouse.com/products/usb-rechargeable-led-beanie-black</v>
      </c>
      <c r="C996" t="s">
        <v>688</v>
      </c>
      <c r="D996" t="s">
        <v>2276</v>
      </c>
      <c r="E996" s="3" t="str">
        <f>HYPERLINK("https://www.amazon.com/Rechargeable-OMOUP-Lighted-Headlamp-Headlight/dp/B08FBTZLL2/ref=sr_1_1?keywords=USB+Rechargeable+LED+Beanie+-+Black&amp;qid=1695258801&amp;sr=8-1", "https://www.amazon.com/Rechargeable-OMOUP-Lighted-Headlamp-Headlight/dp/B08FBTZLL2/ref=sr_1_1?keywords=USB+Rechargeable+LED+Beanie+-+Black&amp;qid=1695258801&amp;sr=8-1")</f>
        <v>https://www.amazon.com/Rechargeable-OMOUP-Lighted-Headlamp-Headlight/dp/B08FBTZLL2/ref=sr_1_1?keywords=USB+Rechargeable+LED+Beanie+-+Black&amp;qid=1695258801&amp;sr=8-1</v>
      </c>
      <c r="F996" t="s">
        <v>2277</v>
      </c>
      <c r="G996" t="e">
        <f ca="1">IMAGE("https://heavenlyouthouse.com/cdn/shop/products/nightscoutrechargeableLEDtoqueblack_951f8ad0-7b76-49f7-ab39-c5624789256a.jpg?v=1669042861")</f>
        <v>#NAME?</v>
      </c>
      <c r="H996" t="e">
        <f ca="1">IMAGE("https://m.media-amazon.com/images/I/61d4uqM6ENL._AC_UL320_.jpg")</f>
        <v>#NAME?</v>
      </c>
      <c r="I996" t="s">
        <v>385</v>
      </c>
      <c r="J996">
        <v>7.99</v>
      </c>
      <c r="K996" s="2" t="s">
        <v>2272</v>
      </c>
      <c r="L996">
        <v>4.7</v>
      </c>
      <c r="M996">
        <v>322</v>
      </c>
      <c r="O996" t="s">
        <v>39</v>
      </c>
      <c r="P996" t="s">
        <v>39</v>
      </c>
      <c r="Q996" t="s">
        <v>691</v>
      </c>
    </row>
    <row r="997" spans="1:17" ht="15.75" x14ac:dyDescent="0.25">
      <c r="A997" s="3" t="str">
        <f>HYPERLINK("https://heavenlyouthouse.com/products/transformative-cleansing-oil", "https://heavenlyouthouse.com/products/transformative-cleansing-oil")</f>
        <v>https://heavenlyouthouse.com/products/transformative-cleansing-oil</v>
      </c>
      <c r="B997" s="3" t="str">
        <f>HYPERLINK("https://heavenlyouthouse.com/products/transformative-cleansing-oil", "https://heavenlyouthouse.com/products/transformative-cleansing-oil")</f>
        <v>https://heavenlyouthouse.com/products/transformative-cleansing-oil</v>
      </c>
      <c r="C997" t="s">
        <v>1024</v>
      </c>
      <c r="D997" t="s">
        <v>2278</v>
      </c>
      <c r="E997" s="3" t="str">
        <f>HYPERLINK("https://www.amazon.com/Palmers-Therapy-Cleansing-Rosehip-Fragrance/dp/B00W2CTHT4/ref=sr_1_9?keywords=Transformative+Face+Cleansing+Oil&amp;qid=1695258847&amp;sr=8-9", "https://www.amazon.com/Palmers-Therapy-Cleansing-Rosehip-Fragrance/dp/B00W2CTHT4/ref=sr_1_9?keywords=Transformative+Face+Cleansing+Oil&amp;qid=1695258847&amp;sr=8-9")</f>
        <v>https://www.amazon.com/Palmers-Therapy-Cleansing-Rosehip-Fragrance/dp/B00W2CTHT4/ref=sr_1_9?keywords=Transformative+Face+Cleansing+Oil&amp;qid=1695258847&amp;sr=8-9</v>
      </c>
      <c r="F997" t="s">
        <v>2279</v>
      </c>
      <c r="G997" t="e">
        <f ca="1">IMAGE("https://heavenlyouthouse.com/cdn/shop/files/CleansingOil-Large-1_5000x_03b4d51f-376f-4341-baed-c2507c0bcea5_300x300.webp?v=1689283043")</f>
        <v>#NAME?</v>
      </c>
      <c r="H997" t="e">
        <f ca="1">IMAGE("https://m.media-amazon.com/images/I/61Bm6GXDWmL._AC_UL320_.jpg")</f>
        <v>#NAME?</v>
      </c>
      <c r="I997" t="s">
        <v>1027</v>
      </c>
      <c r="J997">
        <v>9.99</v>
      </c>
      <c r="K997" s="2" t="s">
        <v>2280</v>
      </c>
      <c r="L997">
        <v>4.5</v>
      </c>
      <c r="M997">
        <v>7398</v>
      </c>
      <c r="O997" t="s">
        <v>39</v>
      </c>
      <c r="P997" t="s">
        <v>39</v>
      </c>
      <c r="Q997" t="s">
        <v>1029</v>
      </c>
    </row>
    <row r="998" spans="1:17" ht="15.75" x14ac:dyDescent="0.25">
      <c r="A998" s="3" t="str">
        <f>HYPERLINK("https://heavenlyouthouse.com/products/thymes-frasier-fir-molded-pine-cone-candle", "https://heavenlyouthouse.com/products/thymes-frasier-fir-molded-pine-cone-candle")</f>
        <v>https://heavenlyouthouse.com/products/thymes-frasier-fir-molded-pine-cone-candle</v>
      </c>
      <c r="B998" s="3" t="str">
        <f>HYPERLINK("https://heavenlyouthouse.com/products/thymes-frasier-fir-molded-pine-cone-candle", "https://heavenlyouthouse.com/products/thymes-frasier-fir-molded-pine-cone-candle")</f>
        <v>https://heavenlyouthouse.com/products/thymes-frasier-fir-molded-pine-cone-candle</v>
      </c>
      <c r="C998" t="s">
        <v>1203</v>
      </c>
      <c r="D998" t="s">
        <v>1553</v>
      </c>
      <c r="E998" s="3" t="str">
        <f>HYPERLINK("https://www.amazon.com/Thymes-Fragrant-Frasier-Votive-15-Hour/dp/B00YPP2UGI/ref=sr_1_2?keywords=Thymes+Frasier+Fir+Molded+Pine+Cone+Candle&amp;qid=1695258731&amp;sr=8-2", "https://www.amazon.com/Thymes-Fragrant-Frasier-Votive-15-Hour/dp/B00YPP2UGI/ref=sr_1_2?keywords=Thymes+Frasier+Fir+Molded+Pine+Cone+Candle&amp;qid=1695258731&amp;sr=8-2")</f>
        <v>https://www.amazon.com/Thymes-Fragrant-Frasier-Votive-15-Hour/dp/B00YPP2UGI/ref=sr_1_2?keywords=Thymes+Frasier+Fir+Molded+Pine+Cone+Candle&amp;qid=1695258731&amp;sr=8-2</v>
      </c>
      <c r="F998" t="s">
        <v>1554</v>
      </c>
      <c r="G998" t="e">
        <f ca="1">IMAGE("https://heavenlyouthouse.com/cdn/shop/products/Thymes-frasier-fir-pinecone-candle.jpg?v=1662139253")</f>
        <v>#NAME?</v>
      </c>
      <c r="H998" t="e">
        <f ca="1">IMAGE("https://m.media-amazon.com/images/I/614aXIOl78L._AC_UL320_.jpg")</f>
        <v>#NAME?</v>
      </c>
      <c r="I998" t="s">
        <v>1204</v>
      </c>
      <c r="J998">
        <v>16</v>
      </c>
      <c r="K998" s="2" t="s">
        <v>2280</v>
      </c>
      <c r="L998">
        <v>4.5</v>
      </c>
      <c r="M998">
        <v>994</v>
      </c>
      <c r="O998" t="s">
        <v>39</v>
      </c>
      <c r="P998" t="s">
        <v>39</v>
      </c>
      <c r="Q998" t="s">
        <v>1205</v>
      </c>
    </row>
    <row r="999" spans="1:17" ht="15.75" x14ac:dyDescent="0.25">
      <c r="A999" s="3" t="str">
        <f>HYPERLINK("https://heavenlyouthouse.com/products/thymes-frasier-fir-molded-pine-cone-candle", "https://heavenlyouthouse.com/products/thymes-frasier-fir-molded-pine-cone-candle")</f>
        <v>https://heavenlyouthouse.com/products/thymes-frasier-fir-molded-pine-cone-candle</v>
      </c>
      <c r="B999" s="3" t="str">
        <f>HYPERLINK("https://heavenlyouthouse.com/products/thymes-frasier-fir-molded-pine-cone-candle", "https://heavenlyouthouse.com/products/thymes-frasier-fir-molded-pine-cone-candle")</f>
        <v>https://heavenlyouthouse.com/products/thymes-frasier-fir-molded-pine-cone-candle</v>
      </c>
      <c r="C999" t="s">
        <v>1203</v>
      </c>
      <c r="D999" t="s">
        <v>1541</v>
      </c>
      <c r="E999" s="3" t="str">
        <f>HYPERLINK("https://www.amazon.com/Thymes-Frasier-Needle-Votive-Candle/dp/B07Q2GWCCQ/ref=sr_1_8?keywords=Thymes+Frasier+Fir+Molded+Pine+Cone+Candle&amp;qid=1695258731&amp;sr=8-8", "https://www.amazon.com/Thymes-Frasier-Needle-Votive-Candle/dp/B07Q2GWCCQ/ref=sr_1_8?keywords=Thymes+Frasier+Fir+Molded+Pine+Cone+Candle&amp;qid=1695258731&amp;sr=8-8")</f>
        <v>https://www.amazon.com/Thymes-Frasier-Needle-Votive-Candle/dp/B07Q2GWCCQ/ref=sr_1_8?keywords=Thymes+Frasier+Fir+Molded+Pine+Cone+Candle&amp;qid=1695258731&amp;sr=8-8</v>
      </c>
      <c r="F999" t="s">
        <v>1542</v>
      </c>
      <c r="G999" t="e">
        <f ca="1">IMAGE("https://heavenlyouthouse.com/cdn/shop/products/Thymes-frasier-fir-pinecone-candle.jpg?v=1662139253")</f>
        <v>#NAME?</v>
      </c>
      <c r="H999" t="e">
        <f ca="1">IMAGE("https://m.media-amazon.com/images/I/71ARhUHeOKL._AC_UL320_.jpg")</f>
        <v>#NAME?</v>
      </c>
      <c r="I999" t="s">
        <v>1204</v>
      </c>
      <c r="J999">
        <v>16</v>
      </c>
      <c r="K999" s="2" t="s">
        <v>2280</v>
      </c>
      <c r="L999">
        <v>4.0999999999999996</v>
      </c>
      <c r="M999">
        <v>5</v>
      </c>
      <c r="O999" t="s">
        <v>39</v>
      </c>
      <c r="P999" t="s">
        <v>39</v>
      </c>
      <c r="Q999" t="s">
        <v>1205</v>
      </c>
    </row>
    <row r="1000" spans="1:17" ht="15.75" x14ac:dyDescent="0.25">
      <c r="A1000" s="3" t="str">
        <f>HYPERLINK("https://heavenlyouthouse.com/products/lavender-body-lotion-1", "https://heavenlyouthouse.com/products/lavender-body-lotion-1")</f>
        <v>https://heavenlyouthouse.com/products/lavender-body-lotion-1</v>
      </c>
      <c r="B1000" s="3" t="str">
        <f>HYPERLINK("https://heavenlyouthouse.com/products/lavender-body-lotion-1", "https://heavenlyouthouse.com/products/lavender-body-lotion-1")</f>
        <v>https://heavenlyouthouse.com/products/lavender-body-lotion-1</v>
      </c>
      <c r="C1000" t="s">
        <v>1256</v>
      </c>
      <c r="D1000" t="s">
        <v>2281</v>
      </c>
      <c r="E1000" s="3" t="str">
        <f>HYPERLINK("https://www.amazon.com/Aveeno-Moisturizing-Chamomile-Ylang-Ylang-Essential/dp/B0000AJ3PU/ref=sr_1_8?keywords=Thymes+Lavender+Body+Lotion&amp;qid=1695258763&amp;sr=8-8", "https://www.amazon.com/Aveeno-Moisturizing-Chamomile-Ylang-Ylang-Essential/dp/B0000AJ3PU/ref=sr_1_8?keywords=Thymes+Lavender+Body+Lotion&amp;qid=1695258763&amp;sr=8-8")</f>
        <v>https://www.amazon.com/Aveeno-Moisturizing-Chamomile-Ylang-Ylang-Essential/dp/B0000AJ3PU/ref=sr_1_8?keywords=Thymes+Lavender+Body+Lotion&amp;qid=1695258763&amp;sr=8-8</v>
      </c>
      <c r="F1000" t="s">
        <v>2282</v>
      </c>
      <c r="G1000" t="e">
        <f ca="1">IMAGE("https://heavenlyouthouse.com/cdn/shop/products/thymes-lavender-body-lotion_e8e915be-8de5-46da-8b4f-bb06a778fd96.png?v=1652277182")</f>
        <v>#NAME?</v>
      </c>
      <c r="H1000" t="e">
        <f ca="1">IMAGE("https://m.media-amazon.com/images/I/71mUrFrIDqL._AC_UL320_.jpg")</f>
        <v>#NAME?</v>
      </c>
      <c r="I1000" t="s">
        <v>1179</v>
      </c>
      <c r="J1000">
        <v>9.49</v>
      </c>
      <c r="K1000" s="2" t="s">
        <v>2283</v>
      </c>
      <c r="L1000">
        <v>4.7</v>
      </c>
      <c r="M1000">
        <v>15967</v>
      </c>
      <c r="O1000" t="s">
        <v>39</v>
      </c>
      <c r="P1000" t="s">
        <v>39</v>
      </c>
      <c r="Q1000" t="s">
        <v>1257</v>
      </c>
    </row>
    <row r="1001" spans="1:17" ht="15.75" x14ac:dyDescent="0.25">
      <c r="A1001" s="3" t="str">
        <f>HYPERLINK("https://heavenlyouthouse.com/products/poker-unisex-crew-socks-in-a-deck-of-cards-box", "https://heavenlyouthouse.com/products/poker-unisex-crew-socks-in-a-deck-of-cards-box")</f>
        <v>https://heavenlyouthouse.com/products/poker-unisex-crew-socks-in-a-deck-of-cards-box</v>
      </c>
      <c r="B1001" s="3" t="str">
        <f>HYPERLINK("https://heavenlyouthouse.com/products/poker-unisex-crew-socks-in-a-deck-of-cards-box", "https://heavenlyouthouse.com/products/poker-unisex-crew-socks-in-a-deck-of-cards-box")</f>
        <v>https://heavenlyouthouse.com/products/poker-unisex-crew-socks-in-a-deck-of-cards-box</v>
      </c>
      <c r="C1001" t="s">
        <v>2284</v>
      </c>
      <c r="D1001" t="s">
        <v>2285</v>
      </c>
      <c r="E1001" s="3" t="str">
        <f>HYPERLINK("https://www.amazon.com/Black-Spades-Poker-Player-Novelty/dp/B074G682KZ/ref=sr_1_9?keywords=Poker+Unisex+Crew+Socks+In+A+Deck+Of+Cards+Box&amp;qid=1695258646&amp;sr=8-9", "https://www.amazon.com/Black-Spades-Poker-Player-Novelty/dp/B074G682KZ/ref=sr_1_9?keywords=Poker+Unisex+Crew+Socks+In+A+Deck+Of+Cards+Box&amp;qid=1695258646&amp;sr=8-9")</f>
        <v>https://www.amazon.com/Black-Spades-Poker-Player-Novelty/dp/B074G682KZ/ref=sr_1_9?keywords=Poker+Unisex+Crew+Socks+In+A+Deck+Of+Cards+Box&amp;qid=1695258646&amp;sr=8-9</v>
      </c>
      <c r="F1001" t="s">
        <v>2286</v>
      </c>
      <c r="G1001" t="e">
        <f ca="1">IMAGE("https://heavenlyouthouse.com/cdn/shop/products/poker-socks-main-and-local-in-a-card-box.jpg?v=1631548882")</f>
        <v>#NAME?</v>
      </c>
      <c r="H1001" t="e">
        <f ca="1">IMAGE("https://m.media-amazon.com/images/I/71WoGw8tFjL._AC_UL320_.jpg")</f>
        <v>#NAME?</v>
      </c>
      <c r="I1001" t="s">
        <v>188</v>
      </c>
      <c r="J1001">
        <v>5.65</v>
      </c>
      <c r="K1001" s="2" t="s">
        <v>2283</v>
      </c>
      <c r="L1001">
        <v>4.5</v>
      </c>
      <c r="M1001">
        <v>15</v>
      </c>
      <c r="O1001" t="s">
        <v>39</v>
      </c>
      <c r="P1001" t="s">
        <v>39</v>
      </c>
      <c r="Q1001" t="s">
        <v>2287</v>
      </c>
    </row>
    <row r="1002" spans="1:17" ht="15.75" x14ac:dyDescent="0.25">
      <c r="A1002" s="3" t="str">
        <f>HYPERLINK("https://heavenlyouthouse.com/products/goldleaf-body-wash", "https://heavenlyouthouse.com/products/goldleaf-body-wash")</f>
        <v>https://heavenlyouthouse.com/products/goldleaf-body-wash</v>
      </c>
      <c r="B1002" s="3" t="str">
        <f>HYPERLINK("https://heavenlyouthouse.com/products/goldleaf-body-wash", "https://heavenlyouthouse.com/products/goldleaf-body-wash")</f>
        <v>https://heavenlyouthouse.com/products/goldleaf-body-wash</v>
      </c>
      <c r="C1002" t="s">
        <v>1112</v>
      </c>
      <c r="D1002" t="s">
        <v>2288</v>
      </c>
      <c r="E1002" s="3" t="str">
        <f>HYPERLINK("https://www.amazon.com/Thymes-Goldleaf-Petite-Lotion-Moisturizing/dp/B0788CV6T1/ref=sr_1_4?keywords=Thymes+Goldleaf+Body+Wash&amp;qid=1695258751&amp;sr=8-4", "https://www.amazon.com/Thymes-Goldleaf-Petite-Lotion-Moisturizing/dp/B0788CV6T1/ref=sr_1_4?keywords=Thymes+Goldleaf+Body+Wash&amp;qid=1695258751&amp;sr=8-4")</f>
        <v>https://www.amazon.com/Thymes-Goldleaf-Petite-Lotion-Moisturizing/dp/B0788CV6T1/ref=sr_1_4?keywords=Thymes+Goldleaf+Body+Wash&amp;qid=1695258751&amp;sr=8-4</v>
      </c>
      <c r="F1002" t="s">
        <v>2289</v>
      </c>
      <c r="G1002" t="e">
        <f ca="1">IMAGE("https://heavenlyouthouse.com/cdn/shop/products/thymes-goldleaf-perfumed-body-wash_c77d8ae5-0456-44d3-9c0f-fdae5ab83836.png?v=1652277031")</f>
        <v>#NAME?</v>
      </c>
      <c r="H1002" t="e">
        <f ca="1">IMAGE("https://m.media-amazon.com/images/I/71Uc7tMqNQL._AC_UL320_.jpg")</f>
        <v>#NAME?</v>
      </c>
      <c r="I1002" t="s">
        <v>835</v>
      </c>
      <c r="J1002">
        <v>8</v>
      </c>
      <c r="K1002" s="2" t="s">
        <v>2290</v>
      </c>
      <c r="L1002">
        <v>4.5999999999999996</v>
      </c>
      <c r="M1002">
        <v>2417</v>
      </c>
      <c r="O1002" t="s">
        <v>39</v>
      </c>
      <c r="P1002" t="s">
        <v>39</v>
      </c>
      <c r="Q1002" t="s">
        <v>1113</v>
      </c>
    </row>
    <row r="1003" spans="1:17" ht="15.75" x14ac:dyDescent="0.25">
      <c r="A1003" s="3" t="str">
        <f>HYPERLINK("https://heavenlyouthouse.com/products/white-sparkle-ball-stud-earrings", "https://heavenlyouthouse.com/products/white-sparkle-ball-stud-earrings")</f>
        <v>https://heavenlyouthouse.com/products/white-sparkle-ball-stud-earrings</v>
      </c>
      <c r="B1003" s="3" t="str">
        <f>HYPERLINK("https://heavenlyouthouse.com/products/white-sparkle-ball-stud-earrings", "https://heavenlyouthouse.com/products/white-sparkle-ball-stud-earrings")</f>
        <v>https://heavenlyouthouse.com/products/white-sparkle-ball-stud-earrings</v>
      </c>
      <c r="C1003" t="s">
        <v>809</v>
      </c>
      <c r="D1003" t="s">
        <v>2291</v>
      </c>
      <c r="E1003" s="3" t="str">
        <f>HYPERLINK("https://www.amazon.com/Milacolato-Sterling-Earrings-Sparkle-Crystal/dp/B092VQ34YL/ref=sr_1_2?keywords=White+Sparkle+Ball+Stud+Earrings&amp;qid=1695258839&amp;sr=8-2", "https://www.amazon.com/Milacolato-Sterling-Earrings-Sparkle-Crystal/dp/B092VQ34YL/ref=sr_1_2?keywords=White+Sparkle+Ball+Stud+Earrings&amp;qid=1695258839&amp;sr=8-2")</f>
        <v>https://www.amazon.com/Milacolato-Sterling-Earrings-Sparkle-Crystal/dp/B092VQ34YL/ref=sr_1_2?keywords=White+Sparkle+Ball+Stud+Earrings&amp;qid=1695258839&amp;sr=8-2</v>
      </c>
      <c r="F1003" t="s">
        <v>2292</v>
      </c>
      <c r="G1003" t="e">
        <f ca="1">IMAGE("https://heavenlyouthouse.com/cdn/shop/products/SB-ES10WHT_1800x1800_7e84f74c-d927-493d-bae8-a2b4d51a8198.jpg?v=1587480879")</f>
        <v>#NAME?</v>
      </c>
      <c r="H1003" t="e">
        <f ca="1">IMAGE("https://m.media-amazon.com/images/I/814FomxtWNS._AC_UL320_.jpg")</f>
        <v>#NAME?</v>
      </c>
      <c r="I1003" t="s">
        <v>812</v>
      </c>
      <c r="J1003">
        <v>14.99</v>
      </c>
      <c r="K1003" s="2" t="s">
        <v>2290</v>
      </c>
      <c r="L1003">
        <v>4</v>
      </c>
      <c r="M1003">
        <v>127</v>
      </c>
      <c r="O1003" t="s">
        <v>39</v>
      </c>
      <c r="P1003" t="s">
        <v>39</v>
      </c>
      <c r="Q1003" t="s">
        <v>813</v>
      </c>
    </row>
    <row r="1004" spans="1:17" ht="15.75" x14ac:dyDescent="0.25">
      <c r="A1004" s="3" t="str">
        <f>HYPERLINK("https://heavenlyouthouse.com/products/thymes-olive-leaf-cologne", "https://heavenlyouthouse.com/products/thymes-olive-leaf-cologne")</f>
        <v>https://heavenlyouthouse.com/products/thymes-olive-leaf-cologne</v>
      </c>
      <c r="B1004" s="3" t="str">
        <f>HYPERLINK("https://heavenlyouthouse.com/products/thymes-olive-leaf-cologne", "https://heavenlyouthouse.com/products/thymes-olive-leaf-cologne")</f>
        <v>https://heavenlyouthouse.com/products/thymes-olive-leaf-cologne</v>
      </c>
      <c r="C1004" t="s">
        <v>1973</v>
      </c>
      <c r="D1004" t="s">
        <v>2293</v>
      </c>
      <c r="E1004" s="3" t="str">
        <f>HYPERLINK("https://www.amazon.com/Thymes-Petite-Hand-Cream-Olive/dp/B07LFQMZF6/ref=sr_1_10?keywords=Thymes+Olive+Leaf+Cologne&amp;qid=1695258786&amp;sr=8-10", "https://www.amazon.com/Thymes-Petite-Hand-Cream-Olive/dp/B07LFQMZF6/ref=sr_1_10?keywords=Thymes+Olive+Leaf+Cologne&amp;qid=1695258786&amp;sr=8-10")</f>
        <v>https://www.amazon.com/Thymes-Petite-Hand-Cream-Olive/dp/B07LFQMZF6/ref=sr_1_10?keywords=Thymes+Olive+Leaf+Cologne&amp;qid=1695258786&amp;sr=8-10</v>
      </c>
      <c r="F1004" t="s">
        <v>2294</v>
      </c>
      <c r="G1004" t="e">
        <f ca="1">IMAGE("https://heavenlyouthouse.com/cdn/shop/products/Olive-Leaf-Cologne-0540323000.jpg?v=1633124560")</f>
        <v>#NAME?</v>
      </c>
      <c r="H1004" t="e">
        <f ca="1">IMAGE("https://m.media-amazon.com/images/I/619ffyZOBJL._AC_UL320_.jpg")</f>
        <v>#NAME?</v>
      </c>
      <c r="I1004" t="s">
        <v>336</v>
      </c>
      <c r="J1004">
        <v>12</v>
      </c>
      <c r="K1004" s="2" t="s">
        <v>2295</v>
      </c>
      <c r="L1004">
        <v>4.7</v>
      </c>
      <c r="M1004">
        <v>1203</v>
      </c>
      <c r="O1004" t="s">
        <v>39</v>
      </c>
      <c r="P1004" t="s">
        <v>1204</v>
      </c>
      <c r="Q1004" t="s">
        <v>1974</v>
      </c>
    </row>
    <row r="1005" spans="1:17" ht="15.75" x14ac:dyDescent="0.25">
      <c r="A1005" s="3" t="str">
        <f>HYPERLINK("https://heavenlyouthouse.com/products/purifying-face-serum", "https://heavenlyouthouse.com/products/purifying-face-serum")</f>
        <v>https://heavenlyouthouse.com/products/purifying-face-serum</v>
      </c>
      <c r="B1005" s="3" t="str">
        <f>HYPERLINK("https://heavenlyouthouse.com/products/purifying-face-serum", "https://heavenlyouthouse.com/products/purifying-face-serum")</f>
        <v>https://heavenlyouthouse.com/products/purifying-face-serum</v>
      </c>
      <c r="C1005" t="s">
        <v>1067</v>
      </c>
      <c r="D1005" t="s">
        <v>2296</v>
      </c>
      <c r="E1005" s="3" t="str">
        <f>HYPERLINK("https://www.amazon.com/AICHUN-BEAUTY-Anti-Wrinkles-Anti-Freckle-Moisturizing/dp/B09MJNVJ42/ref=sr_1_3?keywords=Purifying+Face+Serum&amp;qid=1695258651&amp;sr=8-3", "https://www.amazon.com/AICHUN-BEAUTY-Anti-Wrinkles-Anti-Freckle-Moisturizing/dp/B09MJNVJ42/ref=sr_1_3?keywords=Purifying+Face+Serum&amp;qid=1695258651&amp;sr=8-3")</f>
        <v>https://www.amazon.com/AICHUN-BEAUTY-Anti-Wrinkles-Anti-Freckle-Moisturizing/dp/B09MJNVJ42/ref=sr_1_3?keywords=Purifying+Face+Serum&amp;qid=1695258651&amp;sr=8-3</v>
      </c>
      <c r="F1005" t="s">
        <v>2297</v>
      </c>
      <c r="G1005" t="e">
        <f ca="1">IMAGE("https://heavenlyouthouse.com/cdn/shop/products/Serum-Purifying-rocky-mountain-soap-co.jpg?v=1636133573")</f>
        <v>#NAME?</v>
      </c>
      <c r="H1005" t="e">
        <f ca="1">IMAGE("https://m.media-amazon.com/images/I/61S8N7W99GL._AC_UL320_.jpg")</f>
        <v>#NAME?</v>
      </c>
      <c r="I1005" t="s">
        <v>175</v>
      </c>
      <c r="J1005">
        <v>8.99</v>
      </c>
      <c r="K1005" s="2" t="s">
        <v>2298</v>
      </c>
      <c r="L1005">
        <v>3.9</v>
      </c>
      <c r="M1005">
        <v>8</v>
      </c>
      <c r="O1005" t="s">
        <v>39</v>
      </c>
      <c r="P1005" t="s">
        <v>177</v>
      </c>
      <c r="Q1005" t="s">
        <v>1070</v>
      </c>
    </row>
    <row r="1006" spans="1:17" ht="15.75" x14ac:dyDescent="0.25">
      <c r="A1006" s="3" t="str">
        <f>HYPERLINK("https://heavenlyouthouse.com/products/thymes-goldleaf-body-serum", "https://heavenlyouthouse.com/products/thymes-goldleaf-body-serum")</f>
        <v>https://heavenlyouthouse.com/products/thymes-goldleaf-body-serum</v>
      </c>
      <c r="B1006" s="3" t="str">
        <f>HYPERLINK("https://heavenlyouthouse.com/products/thymes-goldleaf-body-serum", "https://heavenlyouthouse.com/products/thymes-goldleaf-body-serum")</f>
        <v>https://heavenlyouthouse.com/products/thymes-goldleaf-body-serum</v>
      </c>
      <c r="C1006" t="s">
        <v>1420</v>
      </c>
      <c r="D1006" t="s">
        <v>2288</v>
      </c>
      <c r="E1006" s="3" t="str">
        <f>HYPERLINK("https://www.amazon.com/Thymes-Goldleaf-Petite-Lotion-Moisturizing/dp/B0788CV6T1/ref=sr_1_2?keywords=Thymes+Goldleaf+Body+Serum&amp;qid=1695258751&amp;sr=8-2", "https://www.amazon.com/Thymes-Goldleaf-Petite-Lotion-Moisturizing/dp/B0788CV6T1/ref=sr_1_2?keywords=Thymes+Goldleaf+Body+Serum&amp;qid=1695258751&amp;sr=8-2")</f>
        <v>https://www.amazon.com/Thymes-Goldleaf-Petite-Lotion-Moisturizing/dp/B0788CV6T1/ref=sr_1_2?keywords=Thymes+Goldleaf+Body+Serum&amp;qid=1695258751&amp;sr=8-2</v>
      </c>
      <c r="F1006" t="s">
        <v>2289</v>
      </c>
      <c r="G1006" t="e">
        <f ca="1">IMAGE("https://heavenlyouthouse.com/cdn/shop/products/thymes-goldleaf-body-serum.jpg?v=1648150133")</f>
        <v>#NAME?</v>
      </c>
      <c r="H1006" t="e">
        <f ca="1">IMAGE("https://m.media-amazon.com/images/I/71Uc7tMqNQL._AC_UL320_.jpg")</f>
        <v>#NAME?</v>
      </c>
      <c r="I1006" t="s">
        <v>500</v>
      </c>
      <c r="J1006">
        <v>8</v>
      </c>
      <c r="K1006" s="2" t="s">
        <v>2298</v>
      </c>
      <c r="L1006">
        <v>4.5999999999999996</v>
      </c>
      <c r="M1006">
        <v>2417</v>
      </c>
      <c r="O1006" t="s">
        <v>39</v>
      </c>
      <c r="P1006" t="s">
        <v>39</v>
      </c>
      <c r="Q1006" t="s">
        <v>1423</v>
      </c>
    </row>
    <row r="1007" spans="1:17" ht="15.75" x14ac:dyDescent="0.25">
      <c r="A1007" s="3" t="str">
        <f>HYPERLINK("https://heavenlyouthouse.com/products/thymes-goldleaf-body-scrub", "https://heavenlyouthouse.com/products/thymes-goldleaf-body-scrub")</f>
        <v>https://heavenlyouthouse.com/products/thymes-goldleaf-body-scrub</v>
      </c>
      <c r="B1007" s="3" t="str">
        <f>HYPERLINK("https://heavenlyouthouse.com/products/thymes-goldleaf-body-scrub", "https://heavenlyouthouse.com/products/thymes-goldleaf-body-scrub")</f>
        <v>https://heavenlyouthouse.com/products/thymes-goldleaf-body-scrub</v>
      </c>
      <c r="C1007" t="s">
        <v>1474</v>
      </c>
      <c r="D1007" t="s">
        <v>2288</v>
      </c>
      <c r="E1007" s="3" t="str">
        <f>HYPERLINK("https://www.amazon.com/Thymes-Goldleaf-Petite-Lotion-Moisturizing/dp/B0788CV6T1/ref=sr_1_4?keywords=Thymes+Goldleaf+Body+Scrub&amp;qid=1695258744&amp;sr=8-4", "https://www.amazon.com/Thymes-Goldleaf-Petite-Lotion-Moisturizing/dp/B0788CV6T1/ref=sr_1_4?keywords=Thymes+Goldleaf+Body+Scrub&amp;qid=1695258744&amp;sr=8-4")</f>
        <v>https://www.amazon.com/Thymes-Goldleaf-Petite-Lotion-Moisturizing/dp/B0788CV6T1/ref=sr_1_4?keywords=Thymes+Goldleaf+Body+Scrub&amp;qid=1695258744&amp;sr=8-4</v>
      </c>
      <c r="F1007" t="s">
        <v>2289</v>
      </c>
      <c r="G1007" t="e">
        <f ca="1">IMAGE("https://heavenlyouthouse.com/cdn/shop/products/thymes-goldleaf-body-scrub.jpg?v=1630623556")</f>
        <v>#NAME?</v>
      </c>
      <c r="H1007" t="e">
        <f ca="1">IMAGE("https://m.media-amazon.com/images/I/71Uc7tMqNQL._AC_UL320_.jpg")</f>
        <v>#NAME?</v>
      </c>
      <c r="I1007" t="s">
        <v>1179</v>
      </c>
      <c r="J1007">
        <v>8</v>
      </c>
      <c r="K1007" s="2" t="s">
        <v>2299</v>
      </c>
      <c r="L1007">
        <v>4.5999999999999996</v>
      </c>
      <c r="M1007">
        <v>2417</v>
      </c>
      <c r="O1007" t="s">
        <v>39</v>
      </c>
      <c r="P1007" t="s">
        <v>1475</v>
      </c>
      <c r="Q1007" t="s">
        <v>1476</v>
      </c>
    </row>
    <row r="1008" spans="1:17" ht="15.75" x14ac:dyDescent="0.25">
      <c r="A1008" s="3" t="str">
        <f>HYPERLINK("https://heavenlyouthouse.com/products/lavender-body-lotion-1", "https://heavenlyouthouse.com/products/lavender-body-lotion-1")</f>
        <v>https://heavenlyouthouse.com/products/lavender-body-lotion-1</v>
      </c>
      <c r="B1008" s="3" t="str">
        <f>HYPERLINK("https://heavenlyouthouse.com/products/lavender-body-lotion-1", "https://heavenlyouthouse.com/products/lavender-body-lotion-1")</f>
        <v>https://heavenlyouthouse.com/products/lavender-body-lotion-1</v>
      </c>
      <c r="C1008" t="s">
        <v>1256</v>
      </c>
      <c r="D1008" t="s">
        <v>2207</v>
      </c>
      <c r="E1008" s="3" t="str">
        <f>HYPERLINK("https://www.amazon.com/Jergens-Moisturizer-Essential-Indulgent-Moisturization/dp/B07QBN245V/ref=sr_1_9?keywords=Thymes+Lavender+Body+Lotion&amp;qid=1695258763&amp;rdc=1&amp;sr=8-9", "https://www.amazon.com/Jergens-Moisturizer-Essential-Indulgent-Moisturization/dp/B07QBN245V/ref=sr_1_9?keywords=Thymes+Lavender+Body+Lotion&amp;qid=1695258763&amp;rdc=1&amp;sr=8-9")</f>
        <v>https://www.amazon.com/Jergens-Moisturizer-Essential-Indulgent-Moisturization/dp/B07QBN245V/ref=sr_1_9?keywords=Thymes+Lavender+Body+Lotion&amp;qid=1695258763&amp;rdc=1&amp;sr=8-9</v>
      </c>
      <c r="F1008" t="s">
        <v>2208</v>
      </c>
      <c r="G1008" t="e">
        <f ca="1">IMAGE("https://heavenlyouthouse.com/cdn/shop/products/thymes-lavender-body-lotion_e8e915be-8de5-46da-8b4f-bb06a778fd96.png?v=1652277182")</f>
        <v>#NAME?</v>
      </c>
      <c r="H1008" t="e">
        <f ca="1">IMAGE("https://m.media-amazon.com/images/I/615isQsfhuL._AC_UL320_.jpg")</f>
        <v>#NAME?</v>
      </c>
      <c r="I1008" t="s">
        <v>1179</v>
      </c>
      <c r="J1008">
        <v>7.97</v>
      </c>
      <c r="K1008" s="2" t="s">
        <v>2299</v>
      </c>
      <c r="L1008">
        <v>4.5999999999999996</v>
      </c>
      <c r="M1008">
        <v>7068</v>
      </c>
      <c r="O1008" t="s">
        <v>39</v>
      </c>
      <c r="P1008" t="s">
        <v>39</v>
      </c>
      <c r="Q1008" t="s">
        <v>1257</v>
      </c>
    </row>
    <row r="1009" spans="1:17" ht="15.75" x14ac:dyDescent="0.25">
      <c r="A1009" s="3" t="str">
        <f>HYPERLINK("https://heavenlyouthouse.com/products/thymes-frasier-fir-pine-needle-reed-diffuser", "https://heavenlyouthouse.com/products/thymes-frasier-fir-pine-needle-reed-diffuser")</f>
        <v>https://heavenlyouthouse.com/products/thymes-frasier-fir-pine-needle-reed-diffuser</v>
      </c>
      <c r="B1009" s="3" t="str">
        <f>HYPERLINK("https://heavenlyouthouse.com/products/thymes-frasier-fir-pine-needle-reed-diffuser", "https://heavenlyouthouse.com/products/thymes-frasier-fir-pine-needle-reed-diffuser")</f>
        <v>https://heavenlyouthouse.com/products/thymes-frasier-fir-pine-needle-reed-diffuser</v>
      </c>
      <c r="C1009" t="s">
        <v>654</v>
      </c>
      <c r="D1009" t="s">
        <v>1553</v>
      </c>
      <c r="E1009" s="3" t="str">
        <f>HYPERLINK("https://www.amazon.com/Thymes-Fragrant-Frasier-Votive-15-Hour/dp/B00YPP2UGI/ref=sr_1_4?keywords=Thymes+Frasier+Fir+Pine+Needle+Reed+Diffuser&amp;qid=1695258733&amp;sr=8-4", "https://www.amazon.com/Thymes-Fragrant-Frasier-Votive-15-Hour/dp/B00YPP2UGI/ref=sr_1_4?keywords=Thymes+Frasier+Fir+Pine+Needle+Reed+Diffuser&amp;qid=1695258733&amp;sr=8-4")</f>
        <v>https://www.amazon.com/Thymes-Fragrant-Frasier-Votive-15-Hour/dp/B00YPP2UGI/ref=sr_1_4?keywords=Thymes+Frasier+Fir+Pine+Needle+Reed+Diffuser&amp;qid=1695258733&amp;sr=8-4</v>
      </c>
      <c r="F1009" t="s">
        <v>1554</v>
      </c>
      <c r="G1009" t="e">
        <f ca="1">IMAGE("https://heavenlyouthouse.com/cdn/shop/products/thymesfrasierfirpineneedledesignreeddiffuser.jpg?v=1619197867")</f>
        <v>#NAME?</v>
      </c>
      <c r="H1009" t="e">
        <f ca="1">IMAGE("https://m.media-amazon.com/images/I/614aXIOl78L._AC_UL320_.jpg")</f>
        <v>#NAME?</v>
      </c>
      <c r="I1009" t="s">
        <v>655</v>
      </c>
      <c r="J1009">
        <v>16</v>
      </c>
      <c r="K1009" s="2" t="s">
        <v>2299</v>
      </c>
      <c r="L1009">
        <v>4.5</v>
      </c>
      <c r="M1009">
        <v>994</v>
      </c>
      <c r="O1009" t="s">
        <v>39</v>
      </c>
      <c r="P1009" t="s">
        <v>39</v>
      </c>
      <c r="Q1009" t="s">
        <v>657</v>
      </c>
    </row>
    <row r="1010" spans="1:17" ht="15.75" x14ac:dyDescent="0.25">
      <c r="A1010" s="3" t="str">
        <f>HYPERLINK("https://heavenlyouthouse.com/products/white-sparkle-ball-stud-earrings", "https://heavenlyouthouse.com/products/white-sparkle-ball-stud-earrings")</f>
        <v>https://heavenlyouthouse.com/products/white-sparkle-ball-stud-earrings</v>
      </c>
      <c r="B1010" s="3" t="str">
        <f>HYPERLINK("https://heavenlyouthouse.com/products/white-sparkle-ball-stud-earrings", "https://heavenlyouthouse.com/products/white-sparkle-ball-stud-earrings")</f>
        <v>https://heavenlyouthouse.com/products/white-sparkle-ball-stud-earrings</v>
      </c>
      <c r="C1010" t="s">
        <v>809</v>
      </c>
      <c r="D1010" t="s">
        <v>2300</v>
      </c>
      <c r="E1010" s="3" t="str">
        <f>HYPERLINK("https://www.amazon.com/Shuxy-Earrings-Rhinestone-Zirconia-Shamballa/dp/B083BJSQHK/ref=sr_1_5?keywords=White+Sparkle+Ball+Stud+Earrings&amp;qid=1695258839&amp;sr=8-5", "https://www.amazon.com/Shuxy-Earrings-Rhinestone-Zirconia-Shamballa/dp/B083BJSQHK/ref=sr_1_5?keywords=White+Sparkle+Ball+Stud+Earrings&amp;qid=1695258839&amp;sr=8-5")</f>
        <v>https://www.amazon.com/Shuxy-Earrings-Rhinestone-Zirconia-Shamballa/dp/B083BJSQHK/ref=sr_1_5?keywords=White+Sparkle+Ball+Stud+Earrings&amp;qid=1695258839&amp;sr=8-5</v>
      </c>
      <c r="F1010" t="s">
        <v>2301</v>
      </c>
      <c r="G1010" t="e">
        <f ca="1">IMAGE("https://heavenlyouthouse.com/cdn/shop/products/SB-ES10WHT_1800x1800_7e84f74c-d927-493d-bae8-a2b4d51a8198.jpg?v=1587480879")</f>
        <v>#NAME?</v>
      </c>
      <c r="H1010" t="e">
        <f ca="1">IMAGE("https://m.media-amazon.com/images/I/61Ee+tZWizL._AC_UL320_.jpg")</f>
        <v>#NAME?</v>
      </c>
      <c r="I1010" t="s">
        <v>812</v>
      </c>
      <c r="J1010">
        <v>12.99</v>
      </c>
      <c r="K1010" s="2" t="s">
        <v>2299</v>
      </c>
      <c r="L1010">
        <v>4</v>
      </c>
      <c r="M1010">
        <v>43</v>
      </c>
      <c r="O1010" t="s">
        <v>39</v>
      </c>
      <c r="P1010" t="s">
        <v>39</v>
      </c>
      <c r="Q1010" t="s">
        <v>813</v>
      </c>
    </row>
    <row r="1011" spans="1:17" ht="15.75" x14ac:dyDescent="0.25">
      <c r="A1011" s="3" t="str">
        <f>HYPERLINK("https://heavenlyouthouse.com/products/thymes-eucalyptus-home-fragrance-gift-set", "https://heavenlyouthouse.com/products/thymes-eucalyptus-home-fragrance-gift-set")</f>
        <v>https://heavenlyouthouse.com/products/thymes-eucalyptus-home-fragrance-gift-set</v>
      </c>
      <c r="B1011" s="3" t="str">
        <f>HYPERLINK("https://heavenlyouthouse.com/products/thymes-eucalyptus-home-fragrance-gift-set", "https://heavenlyouthouse.com/products/thymes-eucalyptus-home-fragrance-gift-set")</f>
        <v>https://heavenlyouthouse.com/products/thymes-eucalyptus-home-fragrance-gift-set</v>
      </c>
      <c r="C1011" t="s">
        <v>2302</v>
      </c>
      <c r="D1011" t="s">
        <v>2303</v>
      </c>
      <c r="E1011" s="3" t="str">
        <f>HYPERLINK("https://www.amazon.com/Cocodor-Signature-Diffuser-Eucalyptus-Fragrance/dp/B08H4K5LHS/ref=sr_1_2?keywords=Thymes+Eucalyptus+Home+Fragrance+Gift+Set&amp;qid=1695258714&amp;sr=8-2", "https://www.amazon.com/Cocodor-Signature-Diffuser-Eucalyptus-Fragrance/dp/B08H4K5LHS/ref=sr_1_2?keywords=Thymes+Eucalyptus+Home+Fragrance+Gift+Set&amp;qid=1695258714&amp;sr=8-2")</f>
        <v>https://www.amazon.com/Cocodor-Signature-Diffuser-Eucalyptus-Fragrance/dp/B08H4K5LHS/ref=sr_1_2?keywords=Thymes+Eucalyptus+Home+Fragrance+Gift+Set&amp;qid=1695258714&amp;sr=8-2</v>
      </c>
      <c r="F1011" t="s">
        <v>2304</v>
      </c>
      <c r="G1011" t="e">
        <f ca="1">IMAGE("https://heavenlyouthouse.com/cdn/shop/products/thymes-eucayptus-fragrance-gift-set.jpg?v=1662137393")</f>
        <v>#NAME?</v>
      </c>
      <c r="H1011" t="e">
        <f ca="1">IMAGE("https://m.media-amazon.com/images/I/51yhxwkAo3L._AC_UL320_.jpg")</f>
        <v>#NAME?</v>
      </c>
      <c r="I1011" t="s">
        <v>1157</v>
      </c>
      <c r="J1011">
        <v>14.99</v>
      </c>
      <c r="K1011" s="2" t="s">
        <v>2305</v>
      </c>
      <c r="L1011">
        <v>4</v>
      </c>
      <c r="M1011">
        <v>5272</v>
      </c>
      <c r="O1011" t="s">
        <v>39</v>
      </c>
      <c r="P1011" t="s">
        <v>2306</v>
      </c>
      <c r="Q1011" t="s">
        <v>2307</v>
      </c>
    </row>
    <row r="1012" spans="1:17" ht="15.75" x14ac:dyDescent="0.25">
      <c r="A1012" s="3" t="str">
        <f>HYPERLINK("https://heavenlyouthouse.com/products/rose-gold-sparkle-ball-stud-earrings", "https://heavenlyouthouse.com/products/rose-gold-sparkle-ball-stud-earrings")</f>
        <v>https://heavenlyouthouse.com/products/rose-gold-sparkle-ball-stud-earrings</v>
      </c>
      <c r="B1012" s="3" t="str">
        <f>HYPERLINK("https://heavenlyouthouse.com/products/rose-gold-sparkle-ball-stud-earrings", "https://heavenlyouthouse.com/products/rose-gold-sparkle-ball-stud-earrings")</f>
        <v>https://heavenlyouthouse.com/products/rose-gold-sparkle-ball-stud-earrings</v>
      </c>
      <c r="C1012" t="s">
        <v>1363</v>
      </c>
      <c r="D1012" t="s">
        <v>2308</v>
      </c>
      <c r="E1012" s="3" t="str">
        <f>HYPERLINK("https://www.amazon.com/LOYALLOOK-Earrings-Flower-Stainless-Earring/dp/B07LD56HHY/ref=sr_1_8?keywords=Rose+Gold+Sparkle+Ball+Stud+Earrings&amp;qid=1695258693&amp;sr=8-8", "https://www.amazon.com/LOYALLOOK-Earrings-Flower-Stainless-Earring/dp/B07LD56HHY/ref=sr_1_8?keywords=Rose+Gold+Sparkle+Ball+Stud+Earrings&amp;qid=1695258693&amp;sr=8-8")</f>
        <v>https://www.amazon.com/LOYALLOOK-Earrings-Flower-Stainless-Earring/dp/B07LD56HHY/ref=sr_1_8?keywords=Rose+Gold+Sparkle+Ball+Stud+Earrings&amp;qid=1695258693&amp;sr=8-8</v>
      </c>
      <c r="F1012" t="s">
        <v>2309</v>
      </c>
      <c r="G1012" t="e">
        <f ca="1">IMAGE("https://heavenlyouthouse.com/cdn/shop/products/SB-ES10ROS_1800x1800_abec9089-e5c1-404c-87dd-d015fd8440f6.jpg?v=1587482722")</f>
        <v>#NAME?</v>
      </c>
      <c r="H1012" t="e">
        <f ca="1">IMAGE("https://m.media-amazon.com/images/I/812ySIU75jL._AC_UL320_.jpg")</f>
        <v>#NAME?</v>
      </c>
      <c r="I1012" t="s">
        <v>1366</v>
      </c>
      <c r="J1012">
        <v>14.99</v>
      </c>
      <c r="K1012" s="2" t="s">
        <v>2305</v>
      </c>
      <c r="L1012">
        <v>4.3</v>
      </c>
      <c r="M1012">
        <v>885</v>
      </c>
      <c r="O1012" t="s">
        <v>39</v>
      </c>
      <c r="P1012" t="s">
        <v>39</v>
      </c>
      <c r="Q1012" t="s">
        <v>1367</v>
      </c>
    </row>
    <row r="1013" spans="1:17" ht="15.75" x14ac:dyDescent="0.25">
      <c r="A1013" s="3" t="str">
        <f>HYPERLINK("https://heavenlyouthouse.com/products/thymes-frasier-fir-reed-diffuser-refill", "https://heavenlyouthouse.com/products/thymes-frasier-fir-reed-diffuser-refill")</f>
        <v>https://heavenlyouthouse.com/products/thymes-frasier-fir-reed-diffuser-refill</v>
      </c>
      <c r="B1013" s="3" t="str">
        <f>HYPERLINK("https://heavenlyouthouse.com/products/thymes-frasier-fir-reed-diffuser-refill", "https://heavenlyouthouse.com/products/thymes-frasier-fir-reed-diffuser-refill")</f>
        <v>https://heavenlyouthouse.com/products/thymes-frasier-fir-reed-diffuser-refill</v>
      </c>
      <c r="C1013" t="s">
        <v>1146</v>
      </c>
      <c r="D1013" t="s">
        <v>1869</v>
      </c>
      <c r="E1013" s="3" t="str">
        <f>HYPERLINK("https://www.amazon.com/Thymes-Frasier-Green-Refill-Coloring/dp/B0140PRH7Y/ref=sr_1_2?keywords=Thymes+Frasier+Fir+Reed+Diffuser+Refill&amp;qid=1695258739&amp;sr=8-2", "https://www.amazon.com/Thymes-Frasier-Green-Refill-Coloring/dp/B0140PRH7Y/ref=sr_1_2?keywords=Thymes+Frasier+Fir+Reed+Diffuser+Refill&amp;qid=1695258739&amp;sr=8-2")</f>
        <v>https://www.amazon.com/Thymes-Frasier-Green-Refill-Coloring/dp/B0140PRH7Y/ref=sr_1_2?keywords=Thymes+Frasier+Fir+Reed+Diffuser+Refill&amp;qid=1695258739&amp;sr=8-2</v>
      </c>
      <c r="F1013" t="s">
        <v>1870</v>
      </c>
      <c r="G1013" t="e">
        <f ca="1">IMAGE("https://heavenlyouthouse.com/cdn/shop/products/thymesfrasierfirreeddiffuserrefill.jpg?v=1603998608")</f>
        <v>#NAME?</v>
      </c>
      <c r="H1013" t="e">
        <f ca="1">IMAGE("https://m.media-amazon.com/images/I/71R0HmUGWjL._AC_UL320_.jpg")</f>
        <v>#NAME?</v>
      </c>
      <c r="I1013" t="s">
        <v>829</v>
      </c>
      <c r="J1013">
        <v>10</v>
      </c>
      <c r="K1013" s="2" t="s">
        <v>2305</v>
      </c>
      <c r="L1013">
        <v>4.4000000000000004</v>
      </c>
      <c r="M1013">
        <v>270</v>
      </c>
      <c r="O1013" t="s">
        <v>39</v>
      </c>
      <c r="P1013" t="s">
        <v>39</v>
      </c>
      <c r="Q1013" t="s">
        <v>1147</v>
      </c>
    </row>
    <row r="1014" spans="1:17" ht="15.75" x14ac:dyDescent="0.25">
      <c r="A1014" s="3" t="str">
        <f>HYPERLINK("https://heavenlyouthouse.com/products/lavender-reed-diffuser-refill", "https://heavenlyouthouse.com/products/lavender-reed-diffuser-refill")</f>
        <v>https://heavenlyouthouse.com/products/lavender-reed-diffuser-refill</v>
      </c>
      <c r="B1014" s="3" t="str">
        <f>HYPERLINK("https://heavenlyouthouse.com/products/lavender-reed-diffuser-refill", "https://heavenlyouthouse.com/products/lavender-reed-diffuser-refill")</f>
        <v>https://heavenlyouthouse.com/products/lavender-reed-diffuser-refill</v>
      </c>
      <c r="C1014" t="s">
        <v>1188</v>
      </c>
      <c r="D1014" t="s">
        <v>2310</v>
      </c>
      <c r="E1014" s="3" t="str">
        <f>HYPERLINK("https://www.amazon.com/Cocodor-Diffuser-Refill-Garden-Lavender/dp/B07WFKD7JD/ref=sr_1_6?keywords=Thymes+Lavender+Reed+Diffuser+Refill&amp;qid=1695258763&amp;sr=8-6", "https://www.amazon.com/Cocodor-Diffuser-Refill-Garden-Lavender/dp/B07WFKD7JD/ref=sr_1_6?keywords=Thymes+Lavender+Reed+Diffuser+Refill&amp;qid=1695258763&amp;sr=8-6")</f>
        <v>https://www.amazon.com/Cocodor-Diffuser-Refill-Garden-Lavender/dp/B07WFKD7JD/ref=sr_1_6?keywords=Thymes+Lavender+Reed+Diffuser+Refill&amp;qid=1695258763&amp;sr=8-6</v>
      </c>
      <c r="F1014" t="s">
        <v>2311</v>
      </c>
      <c r="G1014" t="e">
        <f ca="1">IMAGE("https://heavenlyouthouse.com/cdn/shop/products/thymeslavenderreeddiffuserrefill.jpg?v=1606419251")</f>
        <v>#NAME?</v>
      </c>
      <c r="H1014" t="e">
        <f ca="1">IMAGE("https://m.media-amazon.com/images/I/41eDcJbbsRL._AC_UL320_.jpg")</f>
        <v>#NAME?</v>
      </c>
      <c r="I1014" t="s">
        <v>829</v>
      </c>
      <c r="J1014">
        <v>9.99</v>
      </c>
      <c r="K1014" s="2" t="s">
        <v>2305</v>
      </c>
      <c r="L1014">
        <v>4.0999999999999996</v>
      </c>
      <c r="M1014">
        <v>6362</v>
      </c>
      <c r="O1014" t="s">
        <v>39</v>
      </c>
      <c r="P1014" t="s">
        <v>39</v>
      </c>
      <c r="Q1014" t="s">
        <v>1191</v>
      </c>
    </row>
    <row r="1015" spans="1:17" ht="15.75" x14ac:dyDescent="0.25">
      <c r="A1015" s="3" t="str">
        <f>HYPERLINK("https://heavenlyouthouse.com/products/lavender-reed-diffuser-refill", "https://heavenlyouthouse.com/products/lavender-reed-diffuser-refill")</f>
        <v>https://heavenlyouthouse.com/products/lavender-reed-diffuser-refill</v>
      </c>
      <c r="B1015" s="3" t="str">
        <f>HYPERLINK("https://heavenlyouthouse.com/products/lavender-reed-diffuser-refill", "https://heavenlyouthouse.com/products/lavender-reed-diffuser-refill")</f>
        <v>https://heavenlyouthouse.com/products/lavender-reed-diffuser-refill</v>
      </c>
      <c r="C1015" t="s">
        <v>1188</v>
      </c>
      <c r="D1015" t="s">
        <v>2312</v>
      </c>
      <c r="E1015" s="3" t="str">
        <f>HYPERLINK("https://www.amazon.com/Cocorr%C3%ADna-Diffuser-Lavender-Fragrance-Bathroom/dp/B0C33F2KX7/ref=sr_1_3?keywords=Thymes+Lavender+Reed+Diffuser+Refill&amp;qid=1695258763&amp;sr=8-3", "https://www.amazon.com/Cocorr%C3%ADna-Diffuser-Lavender-Fragrance-Bathroom/dp/B0C33F2KX7/ref=sr_1_3?keywords=Thymes+Lavender+Reed+Diffuser+Refill&amp;qid=1695258763&amp;sr=8-3")</f>
        <v>https://www.amazon.com/Cocorr%C3%ADna-Diffuser-Lavender-Fragrance-Bathroom/dp/B0C33F2KX7/ref=sr_1_3?keywords=Thymes+Lavender+Reed+Diffuser+Refill&amp;qid=1695258763&amp;sr=8-3</v>
      </c>
      <c r="F1015" t="s">
        <v>2313</v>
      </c>
      <c r="G1015" t="e">
        <f ca="1">IMAGE("https://heavenlyouthouse.com/cdn/shop/products/thymeslavenderreeddiffuserrefill.jpg?v=1606419251")</f>
        <v>#NAME?</v>
      </c>
      <c r="H1015" t="e">
        <f ca="1">IMAGE("https://m.media-amazon.com/images/I/61Wfg1KHNXL._AC_UL320_.jpg")</f>
        <v>#NAME?</v>
      </c>
      <c r="I1015" t="s">
        <v>829</v>
      </c>
      <c r="J1015">
        <v>9.99</v>
      </c>
      <c r="K1015" s="2" t="s">
        <v>2305</v>
      </c>
      <c r="L1015">
        <v>4</v>
      </c>
      <c r="M1015">
        <v>57</v>
      </c>
      <c r="O1015" t="s">
        <v>39</v>
      </c>
      <c r="P1015" t="s">
        <v>39</v>
      </c>
      <c r="Q1015" t="s">
        <v>1191</v>
      </c>
    </row>
    <row r="1016" spans="1:17" ht="15.75" x14ac:dyDescent="0.25">
      <c r="A1016" s="3" t="str">
        <f>HYPERLINK("https://heavenlyouthouse.com/products/unity", "https://heavenlyouthouse.com/products/unity")</f>
        <v>https://heavenlyouthouse.com/products/unity</v>
      </c>
      <c r="B1016" s="3" t="str">
        <f>HYPERLINK("https://heavenlyouthouse.com/products/unity", "https://heavenlyouthouse.com/products/unity")</f>
        <v>https://heavenlyouthouse.com/products/unity</v>
      </c>
      <c r="C1016" t="s">
        <v>2314</v>
      </c>
      <c r="D1016" t="s">
        <v>2315</v>
      </c>
      <c r="E1016" s="3" t="str">
        <f>HYPERLINK("https://www.amazon.com/Energy-Stone-Sterling-Meditation-Spinner/dp/B08FF8CLS8/ref=sr_1_1?keywords=Unity+Meditation+Ring&amp;qid=1695258799&amp;sr=8-1", "https://www.amazon.com/Energy-Stone-Sterling-Meditation-Spinner/dp/B08FF8CLS8/ref=sr_1_1?keywords=Unity+Meditation+Ring&amp;qid=1695258799&amp;sr=8-1")</f>
        <v>https://www.amazon.com/Energy-Stone-Sterling-Meditation-Spinner/dp/B08FF8CLS8/ref=sr_1_1?keywords=Unity+Meditation+Ring&amp;qid=1695258799&amp;sr=8-1</v>
      </c>
      <c r="F1016" t="s">
        <v>2316</v>
      </c>
      <c r="G1016" t="e">
        <f ca="1">IMAGE("https://heavenlyouthouse.com/cdn/shop/products/Unity.gif?v=1605127255")</f>
        <v>#NAME?</v>
      </c>
      <c r="H1016" t="e">
        <f ca="1">IMAGE("https://m.media-amazon.com/images/I/61On+lYsSDS._AC_UL320_.jpg")</f>
        <v>#NAME?</v>
      </c>
      <c r="I1016" t="s">
        <v>2317</v>
      </c>
      <c r="J1016">
        <v>69.989999999999995</v>
      </c>
      <c r="K1016" s="2" t="s">
        <v>2305</v>
      </c>
      <c r="L1016">
        <v>4</v>
      </c>
      <c r="M1016">
        <v>10</v>
      </c>
      <c r="O1016" t="s">
        <v>39</v>
      </c>
      <c r="P1016" t="s">
        <v>39</v>
      </c>
      <c r="Q1016" t="s">
        <v>2318</v>
      </c>
    </row>
    <row r="1017" spans="1:17" ht="15.75" x14ac:dyDescent="0.25">
      <c r="A1017" s="3" t="str">
        <f>HYPERLINK("https://heavenlyouthouse.com/products/thymes-lavender-body-scrub", "https://heavenlyouthouse.com/products/thymes-lavender-body-scrub")</f>
        <v>https://heavenlyouthouse.com/products/thymes-lavender-body-scrub</v>
      </c>
      <c r="B1017" s="3" t="str">
        <f>HYPERLINK("https://heavenlyouthouse.com/products/thymes-lavender-body-scrub", "https://heavenlyouthouse.com/products/thymes-lavender-body-scrub")</f>
        <v>https://heavenlyouthouse.com/products/thymes-lavender-body-scrub</v>
      </c>
      <c r="C1017" t="s">
        <v>1401</v>
      </c>
      <c r="D1017" t="s">
        <v>2319</v>
      </c>
      <c r="E1017" s="3" t="str">
        <f>HYPERLINK("https://www.amazon.com/SheaMoisture-Lavender-Orchid-Scrub-Ounce/dp/B005C2NARQ/ref=sr_1_8?keywords=Thymes+Lavender+Body+Scrub&amp;qid=1695258768&amp;sr=8-8", "https://www.amazon.com/SheaMoisture-Lavender-Orchid-Scrub-Ounce/dp/B005C2NARQ/ref=sr_1_8?keywords=Thymes+Lavender+Body+Scrub&amp;qid=1695258768&amp;sr=8-8")</f>
        <v>https://www.amazon.com/SheaMoisture-Lavender-Orchid-Scrub-Ounce/dp/B005C2NARQ/ref=sr_1_8?keywords=Thymes+Lavender+Body+Scrub&amp;qid=1695258768&amp;sr=8-8</v>
      </c>
      <c r="F1017" t="s">
        <v>2320</v>
      </c>
      <c r="G1017" t="e">
        <f ca="1">IMAGE("https://heavenlyouthouse.com/cdn/shop/products/thymes-lavender-body-scrub.jpg?v=1630622694")</f>
        <v>#NAME?</v>
      </c>
      <c r="H1017" t="e">
        <f ca="1">IMAGE("https://m.media-amazon.com/images/I/91mko+IUBpL._AC_UL320_.jpg")</f>
        <v>#NAME?</v>
      </c>
      <c r="I1017" t="s">
        <v>1179</v>
      </c>
      <c r="J1017">
        <v>7.19</v>
      </c>
      <c r="K1017" s="2" t="s">
        <v>2321</v>
      </c>
      <c r="L1017">
        <v>4.4000000000000004</v>
      </c>
      <c r="M1017">
        <v>1041</v>
      </c>
      <c r="O1017" t="s">
        <v>39</v>
      </c>
      <c r="P1017" t="s">
        <v>39</v>
      </c>
      <c r="Q1017" t="s">
        <v>1404</v>
      </c>
    </row>
    <row r="1018" spans="1:17" ht="15.75" x14ac:dyDescent="0.25">
      <c r="A1018" s="3" t="str">
        <f>HYPERLINK("https://heavenlyouthouse.com/products/rose-gold-pearl-sparkle-ball-stud-earrings-limited-edition", "https://heavenlyouthouse.com/products/rose-gold-pearl-sparkle-ball-stud-earrings-limited-edition")</f>
        <v>https://heavenlyouthouse.com/products/rose-gold-pearl-sparkle-ball-stud-earrings-limited-edition</v>
      </c>
      <c r="B1018" s="3" t="str">
        <f>HYPERLINK("https://heavenlyouthouse.com/products/rose-gold-pearl-sparkle-ball-stud-earrings-limited-edition", "https://heavenlyouthouse.com/products/rose-gold-pearl-sparkle-ball-stud-earrings-limited-edition")</f>
        <v>https://heavenlyouthouse.com/products/rose-gold-pearl-sparkle-ball-stud-earrings-limited-edition</v>
      </c>
      <c r="C1018" t="s">
        <v>2322</v>
      </c>
      <c r="D1018" t="s">
        <v>2323</v>
      </c>
      <c r="E1018" s="3" t="str">
        <f>HYPERLINK("https://www.amazon.com/Plating-Simulated-Earrings-Cartilage-Piercing/dp/B07TVQSCVF/ref=sr_1_8?keywords=Rose+Gold+Pearl+Sparkle+Ball+Stud+Earrings&amp;qid=1695258662&amp;sr=8-8", "https://www.amazon.com/Plating-Simulated-Earrings-Cartilage-Piercing/dp/B07TVQSCVF/ref=sr_1_8?keywords=Rose+Gold+Pearl+Sparkle+Ball+Stud+Earrings&amp;qid=1695258662&amp;sr=8-8")</f>
        <v>https://www.amazon.com/Plating-Simulated-Earrings-Cartilage-Piercing/dp/B07TVQSCVF/ref=sr_1_8?keywords=Rose+Gold+Pearl+Sparkle+Ball+Stud+Earrings&amp;qid=1695258662&amp;sr=8-8</v>
      </c>
      <c r="F1018" t="s">
        <v>2324</v>
      </c>
      <c r="G1018" t="e">
        <f ca="1">IMAGE("https://heavenlyouthouse.com/cdn/shop/products/SB-ES10PRL-ROS-hillberg-and-berk-rose-gold-pearl-stud-earrings.jpg?v=1643122340")</f>
        <v>#NAME?</v>
      </c>
      <c r="H1018" t="e">
        <f ca="1">IMAGE("https://m.media-amazon.com/images/I/51mJmdB-Q0L._AC_UL320_.jpg")</f>
        <v>#NAME?</v>
      </c>
      <c r="I1018" t="s">
        <v>2325</v>
      </c>
      <c r="J1018">
        <v>12.99</v>
      </c>
      <c r="K1018" s="2" t="s">
        <v>2321</v>
      </c>
      <c r="L1018">
        <v>4.4000000000000004</v>
      </c>
      <c r="M1018">
        <v>4258</v>
      </c>
      <c r="O1018" t="s">
        <v>39</v>
      </c>
      <c r="P1018" t="s">
        <v>1366</v>
      </c>
      <c r="Q1018" t="s">
        <v>2326</v>
      </c>
    </row>
    <row r="1019" spans="1:17" ht="15.75" x14ac:dyDescent="0.25">
      <c r="A1019" s="3" t="str">
        <f>HYPERLINK("https://heavenlyouthouse.com/products/goldleaf-gardenia-body-creme", "https://heavenlyouthouse.com/products/goldleaf-gardenia-body-creme")</f>
        <v>https://heavenlyouthouse.com/products/goldleaf-gardenia-body-creme</v>
      </c>
      <c r="B1019" s="3" t="str">
        <f>HYPERLINK("https://heavenlyouthouse.com/products/goldleaf-gardenia-body-creme", "https://heavenlyouthouse.com/products/goldleaf-gardenia-body-creme")</f>
        <v>https://heavenlyouthouse.com/products/goldleaf-gardenia-body-creme</v>
      </c>
      <c r="C1019" t="s">
        <v>1579</v>
      </c>
      <c r="D1019" t="s">
        <v>2327</v>
      </c>
      <c r="E1019" s="3" t="str">
        <f>HYPERLINK("https://www.amazon.com/Thymes-Goldleaf-Gardenia-Petite-Luxury/dp/B077G6PJ8X/ref=sr_1_9?keywords=Thymes+Goldleaf+Gardenia+Body+Creme&amp;qid=1695258749&amp;sr=8-9", "https://www.amazon.com/Thymes-Goldleaf-Gardenia-Petite-Luxury/dp/B077G6PJ8X/ref=sr_1_9?keywords=Thymes+Goldleaf+Gardenia+Body+Creme&amp;qid=1695258749&amp;sr=8-9")</f>
        <v>https://www.amazon.com/Thymes-Goldleaf-Gardenia-Petite-Luxury/dp/B077G6PJ8X/ref=sr_1_9?keywords=Thymes+Goldleaf+Gardenia+Body+Creme&amp;qid=1695258749&amp;sr=8-9</v>
      </c>
      <c r="F1019" t="s">
        <v>2328</v>
      </c>
      <c r="G1019" t="e">
        <f ca="1">IMAGE("https://heavenlyouthouse.com/cdn/shop/files/thymes-goldleaf-gardenia-body-cream-1.jpg?v=1693600504")</f>
        <v>#NAME?</v>
      </c>
      <c r="H1019" t="e">
        <f ca="1">IMAGE("https://m.media-amazon.com/images/I/71q0WsdO3jL._AC_UL320_.jpg")</f>
        <v>#NAME?</v>
      </c>
      <c r="I1019" t="s">
        <v>1560</v>
      </c>
      <c r="J1019">
        <v>8</v>
      </c>
      <c r="K1019" s="2" t="s">
        <v>2329</v>
      </c>
      <c r="L1019">
        <v>4.5999999999999996</v>
      </c>
      <c r="M1019">
        <v>1742</v>
      </c>
      <c r="O1019" t="s">
        <v>39</v>
      </c>
      <c r="P1019" t="s">
        <v>39</v>
      </c>
      <c r="Q1019" t="s">
        <v>1580</v>
      </c>
    </row>
    <row r="1020" spans="1:17" ht="15.75" x14ac:dyDescent="0.25">
      <c r="A1020" s="3" t="str">
        <f>HYPERLINK("https://heavenlyouthouse.com/products/silver-box-chain-with-removable-extender", "https://heavenlyouthouse.com/products/silver-box-chain-with-removable-extender")</f>
        <v>https://heavenlyouthouse.com/products/silver-box-chain-with-removable-extender</v>
      </c>
      <c r="B1020" s="3" t="str">
        <f>HYPERLINK("https://heavenlyouthouse.com/products/silver-box-chain-with-removable-extender", "https://heavenlyouthouse.com/products/silver-box-chain-with-removable-extender")</f>
        <v>https://heavenlyouthouse.com/products/silver-box-chain-with-removable-extender</v>
      </c>
      <c r="C1020" t="s">
        <v>2330</v>
      </c>
      <c r="D1020" t="s">
        <v>2331</v>
      </c>
      <c r="E1020" s="3" t="str">
        <f>HYPERLINK("https://www.amazon.com/AOBOCO-Extenders-Extension-Adjustable-Removable/dp/B07TWQXVZL/ref=sr_1_5?keywords=Silver+Box+Chain+With+Removable+Extender&amp;qid=1695258688&amp;sr=8-5", "https://www.amazon.com/AOBOCO-Extenders-Extension-Adjustable-Removable/dp/B07TWQXVZL/ref=sr_1_5?keywords=Silver+Box+Chain+With+Removable+Extender&amp;qid=1695258688&amp;sr=8-5")</f>
        <v>https://www.amazon.com/AOBOCO-Extenders-Extension-Adjustable-Removable/dp/B07TWQXVZL/ref=sr_1_5?keywords=Silver+Box+Chain+With+Removable+Extender&amp;qid=1695258688&amp;sr=8-5</v>
      </c>
      <c r="F1020" t="s">
        <v>2332</v>
      </c>
      <c r="G1020" t="e">
        <f ca="1">IMAGE("https://heavenlyouthouse.com/cdn/shop/products/20-BOXCHAIN-SIL_1800x1800_b8f164ed-4e32-4a8f-bc63-fee1858a6406.webp?v=1680628472")</f>
        <v>#NAME?</v>
      </c>
      <c r="H1020" t="e">
        <f ca="1">IMAGE("https://m.media-amazon.com/images/I/61ynSs+mwBL._AC_UL320_.jpg")</f>
        <v>#NAME?</v>
      </c>
      <c r="I1020" t="s">
        <v>2333</v>
      </c>
      <c r="J1020">
        <v>15.99</v>
      </c>
      <c r="K1020" s="2" t="s">
        <v>2329</v>
      </c>
      <c r="L1020">
        <v>4.5</v>
      </c>
      <c r="M1020">
        <v>1655</v>
      </c>
      <c r="O1020" t="s">
        <v>39</v>
      </c>
      <c r="P1020" t="s">
        <v>39</v>
      </c>
      <c r="Q1020" t="s">
        <v>2334</v>
      </c>
    </row>
    <row r="1021" spans="1:17" ht="15.75" x14ac:dyDescent="0.25">
      <c r="A1021" s="3" t="str">
        <f>HYPERLINK("https://heavenlyouthouse.com/products/white-pearl-sparkle-ball-stud-earrings", "https://heavenlyouthouse.com/products/white-pearl-sparkle-ball-stud-earrings")</f>
        <v>https://heavenlyouthouse.com/products/white-pearl-sparkle-ball-stud-earrings</v>
      </c>
      <c r="B1021" s="3" t="str">
        <f>HYPERLINK("https://heavenlyouthouse.com/products/white-pearl-sparkle-ball-stud-earrings", "https://heavenlyouthouse.com/products/white-pearl-sparkle-ball-stud-earrings")</f>
        <v>https://heavenlyouthouse.com/products/white-pearl-sparkle-ball-stud-earrings</v>
      </c>
      <c r="C1021" t="s">
        <v>2335</v>
      </c>
      <c r="D1021" t="s">
        <v>2336</v>
      </c>
      <c r="E1021" s="3" t="str">
        <f>HYPERLINK("https://www.amazon.com/White-Simulated-earrings-Sterling-Silver/dp/B00DMA8V6K/ref=sr_1_2?keywords=White+Pearl+Sparkle+Ball+Stud+Earrings&amp;qid=1695258842&amp;sr=8-2", "https://www.amazon.com/White-Simulated-earrings-Sterling-Silver/dp/B00DMA8V6K/ref=sr_1_2?keywords=White+Pearl+Sparkle+Ball+Stud+Earrings&amp;qid=1695258842&amp;sr=8-2")</f>
        <v>https://www.amazon.com/White-Simulated-earrings-Sterling-Silver/dp/B00DMA8V6K/ref=sr_1_2?keywords=White+Pearl+Sparkle+Ball+Stud+Earrings&amp;qid=1695258842&amp;sr=8-2</v>
      </c>
      <c r="F1021" t="s">
        <v>2337</v>
      </c>
      <c r="G1021" t="e">
        <f ca="1">IMAGE("https://heavenlyouthouse.com/cdn/shop/products/SB-ES10JUN_1800x1800_4e3a8c07-2cda-476b-9d7a-7b36d0cf1c2e.webp?v=1652994219")</f>
        <v>#NAME?</v>
      </c>
      <c r="H1021" t="e">
        <f ca="1">IMAGE("https://m.media-amazon.com/images/I/516vFsnW46L._AC_UL320_.jpg")</f>
        <v>#NAME?</v>
      </c>
      <c r="I1021" t="s">
        <v>1366</v>
      </c>
      <c r="J1021">
        <v>12.99</v>
      </c>
      <c r="K1021" s="2" t="s">
        <v>2329</v>
      </c>
      <c r="L1021">
        <v>4.5999999999999996</v>
      </c>
      <c r="M1021">
        <v>13</v>
      </c>
      <c r="O1021" t="s">
        <v>39</v>
      </c>
      <c r="P1021" t="s">
        <v>39</v>
      </c>
      <c r="Q1021" t="s">
        <v>2338</v>
      </c>
    </row>
    <row r="1022" spans="1:17" ht="15.75" x14ac:dyDescent="0.25">
      <c r="A1022" s="3" t="str">
        <f>HYPERLINK("https://heavenlyouthouse.com/products/prayer", "https://heavenlyouthouse.com/products/prayer")</f>
        <v>https://heavenlyouthouse.com/products/prayer</v>
      </c>
      <c r="B1022" s="3" t="str">
        <f>HYPERLINK("https://heavenlyouthouse.com/products/prayer", "https://heavenlyouthouse.com/products/prayer")</f>
        <v>https://heavenlyouthouse.com/products/prayer</v>
      </c>
      <c r="C1022" t="s">
        <v>2339</v>
      </c>
      <c r="D1022" t="s">
        <v>2340</v>
      </c>
      <c r="E1022" s="3" t="str">
        <f>HYPERLINK("https://www.amazon.com/Energy-Stone-Spinning-Meditation-US24/dp/B01M23YNZ2/ref=sr_1_1?keywords=Prayer+Meditation+Ring&amp;qid=1695258646&amp;sr=8-1", "https://www.amazon.com/Energy-Stone-Spinning-Meditation-US24/dp/B01M23YNZ2/ref=sr_1_1?keywords=Prayer+Meditation+Ring&amp;qid=1695258646&amp;sr=8-1")</f>
        <v>https://www.amazon.com/Energy-Stone-Spinning-Meditation-US24/dp/B01M23YNZ2/ref=sr_1_1?keywords=Prayer+Meditation+Ring&amp;qid=1695258646&amp;sr=8-1</v>
      </c>
      <c r="F1022" t="s">
        <v>2341</v>
      </c>
      <c r="G1022" t="e">
        <f ca="1">IMAGE("https://heavenlyouthouse.com/cdn/shop/products/Prayer.gif?v=1605130167")</f>
        <v>#NAME?</v>
      </c>
      <c r="H1022" t="e">
        <f ca="1">IMAGE("https://m.media-amazon.com/images/I/41y0lgWKZIL._AC_UL320_.jpg")</f>
        <v>#NAME?</v>
      </c>
      <c r="I1022" t="s">
        <v>2342</v>
      </c>
      <c r="J1022">
        <v>74.989999999999995</v>
      </c>
      <c r="K1022" s="2" t="s">
        <v>2343</v>
      </c>
      <c r="L1022">
        <v>4.2</v>
      </c>
      <c r="M1022">
        <v>34</v>
      </c>
      <c r="O1022" t="s">
        <v>39</v>
      </c>
      <c r="P1022" t="s">
        <v>39</v>
      </c>
      <c r="Q1022" t="s">
        <v>2344</v>
      </c>
    </row>
    <row r="1023" spans="1:17" ht="15.75" x14ac:dyDescent="0.25">
      <c r="A1023" s="3" t="str">
        <f>HYPERLINK("https://heavenlyouthouse.com/products/purifying-face-serum", "https://heavenlyouthouse.com/products/purifying-face-serum")</f>
        <v>https://heavenlyouthouse.com/products/purifying-face-serum</v>
      </c>
      <c r="B1023" s="3" t="str">
        <f>HYPERLINK("https://heavenlyouthouse.com/products/purifying-face-serum", "https://heavenlyouthouse.com/products/purifying-face-serum")</f>
        <v>https://heavenlyouthouse.com/products/purifying-face-serum</v>
      </c>
      <c r="C1023" t="s">
        <v>1067</v>
      </c>
      <c r="D1023" t="s">
        <v>2345</v>
      </c>
      <c r="E1023" s="3" t="str">
        <f>HYPERLINK("https://www.amazon.com/Nature-Purify-Purifying-Face-Serum/dp/B073KG4692/ref=sr_1_1?keywords=Purifying+Face+Serum&amp;qid=1695258651&amp;sr=8-1", "https://www.amazon.com/Nature-Purify-Purifying-Face-Serum/dp/B073KG4692/ref=sr_1_1?keywords=Purifying+Face+Serum&amp;qid=1695258651&amp;sr=8-1")</f>
        <v>https://www.amazon.com/Nature-Purify-Purifying-Face-Serum/dp/B073KG4692/ref=sr_1_1?keywords=Purifying+Face+Serum&amp;qid=1695258651&amp;sr=8-1</v>
      </c>
      <c r="F1023" t="s">
        <v>2346</v>
      </c>
      <c r="G1023" t="e">
        <f ca="1">IMAGE("https://heavenlyouthouse.com/cdn/shop/products/Serum-Purifying-rocky-mountain-soap-co.jpg?v=1636133573")</f>
        <v>#NAME?</v>
      </c>
      <c r="H1023" t="e">
        <f ca="1">IMAGE("https://m.media-amazon.com/images/I/71fuUutMCfL._AC_UL320_.jpg")</f>
        <v>#NAME?</v>
      </c>
      <c r="I1023" t="s">
        <v>175</v>
      </c>
      <c r="J1023">
        <v>6.97</v>
      </c>
      <c r="K1023" s="2" t="s">
        <v>2343</v>
      </c>
      <c r="L1023">
        <v>5</v>
      </c>
      <c r="M1023">
        <v>2</v>
      </c>
      <c r="O1023" t="s">
        <v>39</v>
      </c>
      <c r="P1023" t="s">
        <v>177</v>
      </c>
      <c r="Q1023" t="s">
        <v>1070</v>
      </c>
    </row>
    <row r="1024" spans="1:17" ht="15.75" x14ac:dyDescent="0.25">
      <c r="A1024" s="3" t="str">
        <f>HYPERLINK("https://heavenlyouthouse.com/products/vanilla-coconut-foaming-wash-refill", "https://heavenlyouthouse.com/products/vanilla-coconut-foaming-wash-refill")</f>
        <v>https://heavenlyouthouse.com/products/vanilla-coconut-foaming-wash-refill</v>
      </c>
      <c r="B1024" s="3" t="str">
        <f>HYPERLINK("https://heavenlyouthouse.com/products/vanilla-coconut-foaming-wash-refill", "https://heavenlyouthouse.com/products/vanilla-coconut-foaming-wash-refill")</f>
        <v>https://heavenlyouthouse.com/products/vanilla-coconut-foaming-wash-refill</v>
      </c>
      <c r="C1024" t="s">
        <v>1871</v>
      </c>
      <c r="D1024" t="s">
        <v>2347</v>
      </c>
      <c r="E1024" s="3" t="str">
        <f>HYPERLINK("https://www.amazon.com/Nune-Foaming-Hand-Soap-Tablets/dp/B09669622F/ref=sr_1_9?keywords=Vanilla+Coconut+Foaming+Wash+Refill&amp;qid=1695258811&amp;sr=8-9", "https://www.amazon.com/Nune-Foaming-Hand-Soap-Tablets/dp/B09669622F/ref=sr_1_9?keywords=Vanilla+Coconut+Foaming+Wash+Refill&amp;qid=1695258811&amp;sr=8-9")</f>
        <v>https://www.amazon.com/Nune-Foaming-Hand-Soap-Tablets/dp/B09669622F/ref=sr_1_9?keywords=Vanilla+Coconut+Foaming+Wash+Refill&amp;qid=1695258811&amp;sr=8-9</v>
      </c>
      <c r="F1024" t="s">
        <v>2348</v>
      </c>
      <c r="G1024" t="e">
        <f ca="1">IMAGE("https://heavenlyouthouse.com/cdn/shop/products/vanilla-coconut-foaming-wash-refill_2000x_aae80d4b-1145-48a4-a580-2682c1c65014.jpg?v=1586811944")</f>
        <v>#NAME?</v>
      </c>
      <c r="H1024" t="e">
        <f ca="1">IMAGE("https://m.media-amazon.com/images/I/81v6J4PKl4L._AC_UL320_.jpg")</f>
        <v>#NAME?</v>
      </c>
      <c r="I1024" t="s">
        <v>1874</v>
      </c>
      <c r="J1024">
        <v>8</v>
      </c>
      <c r="K1024" s="2" t="s">
        <v>2349</v>
      </c>
      <c r="L1024">
        <v>4</v>
      </c>
      <c r="M1024">
        <v>101</v>
      </c>
      <c r="O1024" t="s">
        <v>39</v>
      </c>
      <c r="P1024" t="s">
        <v>39</v>
      </c>
      <c r="Q1024" t="s">
        <v>1875</v>
      </c>
    </row>
    <row r="1025" spans="1:17" ht="15.75" x14ac:dyDescent="0.25">
      <c r="A1025" s="3" t="str">
        <f>HYPERLINK("https://heavenlyouthouse.com/products/succulent-sparkle-ball-stud-earrings", "https://heavenlyouthouse.com/products/succulent-sparkle-ball-stud-earrings")</f>
        <v>https://heavenlyouthouse.com/products/succulent-sparkle-ball-stud-earrings</v>
      </c>
      <c r="B1025" s="3" t="str">
        <f>HYPERLINK("https://heavenlyouthouse.com/products/succulent-sparkle-ball-stud-earrings", "https://heavenlyouthouse.com/products/succulent-sparkle-ball-stud-earrings")</f>
        <v>https://heavenlyouthouse.com/products/succulent-sparkle-ball-stud-earrings</v>
      </c>
      <c r="C1025" t="s">
        <v>2273</v>
      </c>
      <c r="D1025" t="s">
        <v>2291</v>
      </c>
      <c r="E1025" s="3" t="str">
        <f>HYPERLINK("https://www.amazon.com/Milacolato-Sterling-Earrings-Sparkle-Crystal/dp/B092VQ34YL/ref=sr_1_1?keywords=Succulent+Sparkle+Ball+Stud+Earrings&amp;qid=1695258720&amp;sr=8-1", "https://www.amazon.com/Milacolato-Sterling-Earrings-Sparkle-Crystal/dp/B092VQ34YL/ref=sr_1_1?keywords=Succulent+Sparkle+Ball+Stud+Earrings&amp;qid=1695258720&amp;sr=8-1")</f>
        <v>https://www.amazon.com/Milacolato-Sterling-Earrings-Sparkle-Crystal/dp/B092VQ34YL/ref=sr_1_1?keywords=Succulent+Sparkle+Ball+Stud+Earrings&amp;qid=1695258720&amp;sr=8-1</v>
      </c>
      <c r="F1025" t="s">
        <v>2292</v>
      </c>
      <c r="G1025" t="e">
        <f ca="1">IMAGE("https://heavenlyouthouse.com/cdn/shop/products/hillbergandberksucculentsparkleballearrings10mm.jpg?v=1616507453")</f>
        <v>#NAME?</v>
      </c>
      <c r="H1025" t="e">
        <f ca="1">IMAGE("https://m.media-amazon.com/images/I/814FomxtWNS._AC_UL320_.jpg")</f>
        <v>#NAME?</v>
      </c>
      <c r="I1025" t="s">
        <v>2274</v>
      </c>
      <c r="J1025">
        <v>14.99</v>
      </c>
      <c r="K1025" s="2" t="s">
        <v>2349</v>
      </c>
      <c r="L1025">
        <v>4</v>
      </c>
      <c r="M1025">
        <v>127</v>
      </c>
      <c r="O1025" t="s">
        <v>39</v>
      </c>
      <c r="P1025" t="s">
        <v>39</v>
      </c>
      <c r="Q1025" t="s">
        <v>2275</v>
      </c>
    </row>
    <row r="1026" spans="1:17" ht="15.75" x14ac:dyDescent="0.25">
      <c r="A1026" s="3" t="str">
        <f>HYPERLINK("https://heavenlyouthouse.com/products/vanilla-coconut-foaming-wash-refill", "https://heavenlyouthouse.com/products/vanilla-coconut-foaming-wash-refill")</f>
        <v>https://heavenlyouthouse.com/products/vanilla-coconut-foaming-wash-refill</v>
      </c>
      <c r="B1026" s="3" t="str">
        <f>HYPERLINK("https://heavenlyouthouse.com/products/vanilla-coconut-foaming-wash-refill", "https://heavenlyouthouse.com/products/vanilla-coconut-foaming-wash-refill")</f>
        <v>https://heavenlyouthouse.com/products/vanilla-coconut-foaming-wash-refill</v>
      </c>
      <c r="C1026" t="s">
        <v>1871</v>
      </c>
      <c r="D1026" t="s">
        <v>2110</v>
      </c>
      <c r="E1026" s="3" t="str">
        <f>HYPERLINK("https://www.amazon.com/Deep-Steep-Foaming-Vanilla-Coconut/dp/B073WLNVXL/ref=sr_1_4?keywords=Vanilla+Coconut+Foaming+Wash+Refill&amp;qid=1695258811&amp;sr=8-4", "https://www.amazon.com/Deep-Steep-Foaming-Vanilla-Coconut/dp/B073WLNVXL/ref=sr_1_4?keywords=Vanilla+Coconut+Foaming+Wash+Refill&amp;qid=1695258811&amp;sr=8-4")</f>
        <v>https://www.amazon.com/Deep-Steep-Foaming-Vanilla-Coconut/dp/B073WLNVXL/ref=sr_1_4?keywords=Vanilla+Coconut+Foaming+Wash+Refill&amp;qid=1695258811&amp;sr=8-4</v>
      </c>
      <c r="F1026" t="s">
        <v>2111</v>
      </c>
      <c r="G1026" t="e">
        <f ca="1">IMAGE("https://heavenlyouthouse.com/cdn/shop/products/vanilla-coconut-foaming-wash-refill_2000x_aae80d4b-1145-48a4-a580-2682c1c65014.jpg?v=1586811944")</f>
        <v>#NAME?</v>
      </c>
      <c r="H1026" t="e">
        <f ca="1">IMAGE("https://m.media-amazon.com/images/I/61wWTtwiWXL._AC_UL320_.jpg")</f>
        <v>#NAME?</v>
      </c>
      <c r="I1026" t="s">
        <v>1874</v>
      </c>
      <c r="J1026">
        <v>7.95</v>
      </c>
      <c r="K1026" s="2" t="s">
        <v>2349</v>
      </c>
      <c r="L1026">
        <v>4.3</v>
      </c>
      <c r="M1026">
        <v>463</v>
      </c>
      <c r="O1026" t="s">
        <v>39</v>
      </c>
      <c r="P1026" t="s">
        <v>39</v>
      </c>
      <c r="Q1026" t="s">
        <v>1875</v>
      </c>
    </row>
    <row r="1027" spans="1:17" ht="15.75" x14ac:dyDescent="0.25">
      <c r="A1027" s="3" t="str">
        <f>HYPERLINK("https://heavenlyouthouse.com/products/rose-sparkle-ball-stud-earrings", "https://heavenlyouthouse.com/products/rose-sparkle-ball-stud-earrings")</f>
        <v>https://heavenlyouthouse.com/products/rose-sparkle-ball-stud-earrings</v>
      </c>
      <c r="B1027" s="3" t="str">
        <f>HYPERLINK("https://heavenlyouthouse.com/products/rose-sparkle-ball-stud-earrings", "https://heavenlyouthouse.com/products/rose-sparkle-ball-stud-earrings")</f>
        <v>https://heavenlyouthouse.com/products/rose-sparkle-ball-stud-earrings</v>
      </c>
      <c r="C1027" t="s">
        <v>2350</v>
      </c>
      <c r="D1027" t="s">
        <v>2300</v>
      </c>
      <c r="E1027" s="3" t="str">
        <f>HYPERLINK("https://www.amazon.com/Shuxy-Earrings-Rhinestone-Zirconia-Shamballa/dp/B083BJSQHK/ref=sr_1_7?keywords=Ros%C3%A9+Sparkle+Ball+Stud+Earrings&amp;qid=1695258672&amp;sr=8-7", "https://www.amazon.com/Shuxy-Earrings-Rhinestone-Zirconia-Shamballa/dp/B083BJSQHK/ref=sr_1_7?keywords=Ros%C3%A9+Sparkle+Ball+Stud+Earrings&amp;qid=1695258672&amp;sr=8-7")</f>
        <v>https://www.amazon.com/Shuxy-Earrings-Rhinestone-Zirconia-Shamballa/dp/B083BJSQHK/ref=sr_1_7?keywords=Ros%C3%A9+Sparkle+Ball+Stud+Earrings&amp;qid=1695258672&amp;sr=8-7</v>
      </c>
      <c r="F1027" t="s">
        <v>2301</v>
      </c>
      <c r="G1027" t="e">
        <f ca="1">IMAGE("https://heavenlyouthouse.com/cdn/shop/products/SB-ES10RSE_1800x1800_16828053-b561-4472-86ee-055b45325372.jpg?v=1587479780")</f>
        <v>#NAME?</v>
      </c>
      <c r="H1027" t="e">
        <f ca="1">IMAGE("https://m.media-amazon.com/images/I/61Ee+tZWizL._AC_UL320_.jpg")</f>
        <v>#NAME?</v>
      </c>
      <c r="I1027" t="s">
        <v>2351</v>
      </c>
      <c r="J1027">
        <v>12.99</v>
      </c>
      <c r="K1027" s="2" t="s">
        <v>2352</v>
      </c>
      <c r="L1027">
        <v>4</v>
      </c>
      <c r="M1027">
        <v>43</v>
      </c>
      <c r="O1027" t="s">
        <v>136</v>
      </c>
      <c r="P1027" t="s">
        <v>39</v>
      </c>
      <c r="Q1027" t="s">
        <v>2353</v>
      </c>
    </row>
    <row r="1028" spans="1:17" ht="15.75" x14ac:dyDescent="0.25">
      <c r="A1028" s="3" t="str">
        <f>HYPERLINK("https://heavenlyouthouse.com/products/goldleaf-gardenia-bubble-bath", "https://heavenlyouthouse.com/products/goldleaf-gardenia-bubble-bath")</f>
        <v>https://heavenlyouthouse.com/products/goldleaf-gardenia-bubble-bath</v>
      </c>
      <c r="B1028" s="3" t="str">
        <f>HYPERLINK("https://heavenlyouthouse.com/products/goldleaf-gardenia-bubble-bath", "https://heavenlyouthouse.com/products/goldleaf-gardenia-bubble-bath")</f>
        <v>https://heavenlyouthouse.com/products/goldleaf-gardenia-bubble-bath</v>
      </c>
      <c r="C1028" t="s">
        <v>1838</v>
      </c>
      <c r="D1028" t="s">
        <v>1641</v>
      </c>
      <c r="E1028" s="3" t="str">
        <f>HYPERLINK("https://www.amazon.com/Thymes-Goldleaf-Gardenia-Soothing-Combination/dp/B06X974M9R/ref=sr_1_3?keywords=Thymes+Goldleaf+Gardenia+Bubble+Bath&amp;qid=1695258753&amp;sr=8-3", "https://www.amazon.com/Thymes-Goldleaf-Gardenia-Soothing-Combination/dp/B06X974M9R/ref=sr_1_3?keywords=Thymes+Goldleaf+Gardenia+Bubble+Bath&amp;qid=1695258753&amp;sr=8-3")</f>
        <v>https://www.amazon.com/Thymes-Goldleaf-Gardenia-Soothing-Combination/dp/B06X974M9R/ref=sr_1_3?keywords=Thymes+Goldleaf+Gardenia+Bubble+Bath&amp;qid=1695258753&amp;sr=8-3</v>
      </c>
      <c r="F1028" t="s">
        <v>1642</v>
      </c>
      <c r="G1028" t="e">
        <f ca="1">IMAGE("https://heavenlyouthouse.com/cdn/shop/products/thymesgoldleafgardeniabubblebath.jpg?v=1606408934")</f>
        <v>#NAME?</v>
      </c>
      <c r="H1028" t="e">
        <f ca="1">IMAGE("https://m.media-amazon.com/images/I/91yhsfF+y4L._AC_UL320_.jpg")</f>
        <v>#NAME?</v>
      </c>
      <c r="I1028" t="s">
        <v>1211</v>
      </c>
      <c r="J1028">
        <v>6</v>
      </c>
      <c r="K1028" s="2" t="s">
        <v>2354</v>
      </c>
      <c r="L1028">
        <v>4.5999999999999996</v>
      </c>
      <c r="M1028">
        <v>60</v>
      </c>
      <c r="O1028" t="s">
        <v>39</v>
      </c>
      <c r="P1028" t="s">
        <v>39</v>
      </c>
      <c r="Q1028" t="s">
        <v>1841</v>
      </c>
    </row>
    <row r="1029" spans="1:17" ht="15.75" x14ac:dyDescent="0.25">
      <c r="A1029" s="3" t="str">
        <f>HYPERLINK("https://heavenlyouthouse.com/products/goldleaf-bubble-bath", "https://heavenlyouthouse.com/products/goldleaf-bubble-bath")</f>
        <v>https://heavenlyouthouse.com/products/goldleaf-bubble-bath</v>
      </c>
      <c r="B1029" s="3" t="str">
        <f>HYPERLINK("https://heavenlyouthouse.com/products/goldleaf-bubble-bath", "https://heavenlyouthouse.com/products/goldleaf-bubble-bath")</f>
        <v>https://heavenlyouthouse.com/products/goldleaf-bubble-bath</v>
      </c>
      <c r="C1029" t="s">
        <v>1842</v>
      </c>
      <c r="D1029" t="s">
        <v>2355</v>
      </c>
      <c r="E1029" s="3" t="str">
        <f>HYPERLINK("https://www.amazon.com/Thymes-Goldleaf-Soothing-Combination-Relaxing/dp/B0746Q5RTD/ref=sr_1_2?keywords=Thymes+Goldleaf+Bubble+Bath&amp;qid=1695258777&amp;sr=8-2", "https://www.amazon.com/Thymes-Goldleaf-Soothing-Combination-Relaxing/dp/B0746Q5RTD/ref=sr_1_2?keywords=Thymes+Goldleaf+Bubble+Bath&amp;qid=1695258777&amp;sr=8-2")</f>
        <v>https://www.amazon.com/Thymes-Goldleaf-Soothing-Combination-Relaxing/dp/B0746Q5RTD/ref=sr_1_2?keywords=Thymes+Goldleaf+Bubble+Bath&amp;qid=1695258777&amp;sr=8-2</v>
      </c>
      <c r="F1029" t="s">
        <v>2356</v>
      </c>
      <c r="G1029" t="e">
        <f ca="1">IMAGE("https://heavenlyouthouse.com/cdn/shop/products/bubblebath340ml.jpg?v=1587762474")</f>
        <v>#NAME?</v>
      </c>
      <c r="H1029" t="e">
        <f ca="1">IMAGE("https://m.media-amazon.com/images/I/31d0F2L-0wL._AC_UL320_.jpg")</f>
        <v>#NAME?</v>
      </c>
      <c r="I1029" t="s">
        <v>1211</v>
      </c>
      <c r="J1029">
        <v>6</v>
      </c>
      <c r="K1029" s="2" t="s">
        <v>2354</v>
      </c>
      <c r="L1029">
        <v>4.5</v>
      </c>
      <c r="M1029">
        <v>219</v>
      </c>
      <c r="O1029" t="s">
        <v>39</v>
      </c>
      <c r="P1029" t="s">
        <v>39</v>
      </c>
      <c r="Q1029" t="s">
        <v>1845</v>
      </c>
    </row>
    <row r="1030" spans="1:17" ht="15.75" x14ac:dyDescent="0.25">
      <c r="A1030" s="3" t="str">
        <f>HYPERLINK("https://heavenlyouthouse.com/products/lavender-bubble-bath", "https://heavenlyouthouse.com/products/lavender-bubble-bath")</f>
        <v>https://heavenlyouthouse.com/products/lavender-bubble-bath</v>
      </c>
      <c r="B1030" s="3" t="str">
        <f>HYPERLINK("https://heavenlyouthouse.com/products/lavender-bubble-bath", "https://heavenlyouthouse.com/products/lavender-bubble-bath")</f>
        <v>https://heavenlyouthouse.com/products/lavender-bubble-bath</v>
      </c>
      <c r="C1030" t="s">
        <v>1208</v>
      </c>
      <c r="D1030" t="s">
        <v>1646</v>
      </c>
      <c r="E1030" s="3" t="str">
        <f>HYPERLINK("https://www.amazon.com/Thymes-Lavender-Soothing-Combination-Relaxing/dp/B000FBK4LO/ref=sr_1_4?keywords=Thymes+Lavender+Bubble+Bath&amp;qid=1695258760&amp;sr=8-4", "https://www.amazon.com/Thymes-Lavender-Soothing-Combination-Relaxing/dp/B000FBK4LO/ref=sr_1_4?keywords=Thymes+Lavender+Bubble+Bath&amp;qid=1695258760&amp;sr=8-4")</f>
        <v>https://www.amazon.com/Thymes-Lavender-Soothing-Combination-Relaxing/dp/B000FBK4LO/ref=sr_1_4?keywords=Thymes+Lavender+Bubble+Bath&amp;qid=1695258760&amp;sr=8-4</v>
      </c>
      <c r="F1030" t="s">
        <v>1647</v>
      </c>
      <c r="G1030" t="e">
        <f ca="1">IMAGE("https://heavenlyouthouse.com/cdn/shop/products/thymeslavenderbubblebath.jpg?v=1608572028")</f>
        <v>#NAME?</v>
      </c>
      <c r="H1030" t="e">
        <f ca="1">IMAGE("https://m.media-amazon.com/images/I/61eKuiXgTTL._AC_UL320_.jpg")</f>
        <v>#NAME?</v>
      </c>
      <c r="I1030" t="s">
        <v>1211</v>
      </c>
      <c r="J1030">
        <v>6</v>
      </c>
      <c r="K1030" s="2" t="s">
        <v>2354</v>
      </c>
      <c r="L1030">
        <v>4.5999999999999996</v>
      </c>
      <c r="M1030">
        <v>152</v>
      </c>
      <c r="O1030" t="s">
        <v>39</v>
      </c>
      <c r="P1030" t="s">
        <v>39</v>
      </c>
      <c r="Q1030" t="s">
        <v>1212</v>
      </c>
    </row>
    <row r="1031" spans="1:17" ht="15.75" x14ac:dyDescent="0.25">
      <c r="A1031" s="3" t="str">
        <f>HYPERLINK("https://heavenlyouthouse.com/products/eucalyptus-bubble-bath", "https://heavenlyouthouse.com/products/eucalyptus-bubble-bath")</f>
        <v>https://heavenlyouthouse.com/products/eucalyptus-bubble-bath</v>
      </c>
      <c r="B1031" s="3" t="str">
        <f>HYPERLINK("https://heavenlyouthouse.com/products/eucalyptus-bubble-bath", "https://heavenlyouthouse.com/products/eucalyptus-bubble-bath")</f>
        <v>https://heavenlyouthouse.com/products/eucalyptus-bubble-bath</v>
      </c>
      <c r="C1031" t="s">
        <v>1861</v>
      </c>
      <c r="D1031" t="s">
        <v>2357</v>
      </c>
      <c r="E1031" s="3" t="str">
        <f>HYPERLINK("https://www.amazon.com/Thymes-Eucalyptus-Soothing-Combination-Relaxing/dp/B0746R3T6N/ref=sr_1_8?keywords=Thymes+Eucalyptus+Bubble+Bath&amp;qid=1695258716&amp;sr=8-8", "https://www.amazon.com/Thymes-Eucalyptus-Soothing-Combination-Relaxing/dp/B0746R3T6N/ref=sr_1_8?keywords=Thymes+Eucalyptus+Bubble+Bath&amp;qid=1695258716&amp;sr=8-8")</f>
        <v>https://www.amazon.com/Thymes-Eucalyptus-Soothing-Combination-Relaxing/dp/B0746R3T6N/ref=sr_1_8?keywords=Thymes+Eucalyptus+Bubble+Bath&amp;qid=1695258716&amp;sr=8-8</v>
      </c>
      <c r="F1031" t="s">
        <v>2358</v>
      </c>
      <c r="G1031" t="e">
        <f ca="1">IMAGE("https://heavenlyouthouse.com/cdn/shop/products/bubblebath.jpg?v=1588103593")</f>
        <v>#NAME?</v>
      </c>
      <c r="H1031" t="e">
        <f ca="1">IMAGE("https://m.media-amazon.com/images/I/61r7NO5QbVL._AC_UL320_.jpg")</f>
        <v>#NAME?</v>
      </c>
      <c r="I1031" t="s">
        <v>1211</v>
      </c>
      <c r="J1031">
        <v>6</v>
      </c>
      <c r="K1031" s="2" t="s">
        <v>2354</v>
      </c>
      <c r="L1031">
        <v>4.5</v>
      </c>
      <c r="M1031">
        <v>94</v>
      </c>
      <c r="O1031" t="s">
        <v>39</v>
      </c>
      <c r="P1031" t="s">
        <v>39</v>
      </c>
      <c r="Q1031" t="s">
        <v>1864</v>
      </c>
    </row>
    <row r="1032" spans="1:17" ht="15.75" x14ac:dyDescent="0.25">
      <c r="A1032" s="3" t="str">
        <f>HYPERLINK("https://heavenlyouthouse.com/products/the-courageous-dragon-book", "https://heavenlyouthouse.com/products/the-courageous-dragon-book")</f>
        <v>https://heavenlyouthouse.com/products/the-courageous-dragon-book</v>
      </c>
      <c r="B1032" s="3" t="str">
        <f>HYPERLINK("https://heavenlyouthouse.com/products/the-courageous-dragon-book", "https://heavenlyouthouse.com/products/the-courageous-dragon-book")</f>
        <v>https://heavenlyouthouse.com/products/the-courageous-dragon-book</v>
      </c>
      <c r="C1032" t="s">
        <v>1956</v>
      </c>
      <c r="D1032" t="s">
        <v>2359</v>
      </c>
      <c r="E1032" s="3" t="str">
        <f>HYPERLINK("https://www.amazon.com/Finds-Courage-Courageous-Bearded-Dragon/dp/0578387034/ref=sr_1_2?keywords=The+Courageous+Dragon+Book&amp;qid=1695258700&amp;sr=8-2", "https://www.amazon.com/Finds-Courage-Courageous-Bearded-Dragon/dp/0578387034/ref=sr_1_2?keywords=The+Courageous+Dragon+Book&amp;qid=1695258700&amp;sr=8-2")</f>
        <v>https://www.amazon.com/Finds-Courage-Courageous-Bearded-Dragon/dp/0578387034/ref=sr_1_2?keywords=The+Courageous+Dragon+Book&amp;qid=1695258700&amp;sr=8-2</v>
      </c>
      <c r="F1032" t="s">
        <v>2360</v>
      </c>
      <c r="G1032" t="e">
        <f ca="1">IMAGE("https://heavenlyouthouse.com/cdn/shop/products/BK4CD-the-courageous-dragon-book.jpg?v=1631560796")</f>
        <v>#NAME?</v>
      </c>
      <c r="H1032" t="e">
        <f ca="1">IMAGE("https://m.media-amazon.com/images/I/71S5DdKJEwL._AC_UY218_.jpg")</f>
        <v>#NAME?</v>
      </c>
      <c r="I1032" t="s">
        <v>802</v>
      </c>
      <c r="J1032">
        <v>2.99</v>
      </c>
      <c r="K1032" s="2" t="s">
        <v>2354</v>
      </c>
      <c r="L1032">
        <v>5</v>
      </c>
      <c r="M1032">
        <v>6</v>
      </c>
      <c r="O1032" t="s">
        <v>39</v>
      </c>
      <c r="P1032" t="s">
        <v>39</v>
      </c>
      <c r="Q1032" t="s">
        <v>1959</v>
      </c>
    </row>
    <row r="1033" spans="1:17" ht="15.75" x14ac:dyDescent="0.25">
      <c r="A1033" s="3" t="str">
        <f>HYPERLINK("https://heavenlyouthouse.com/products/the-courageous-dragon-book", "https://heavenlyouthouse.com/products/the-courageous-dragon-book")</f>
        <v>https://heavenlyouthouse.com/products/the-courageous-dragon-book</v>
      </c>
      <c r="B1033" s="3" t="str">
        <f>HYPERLINK("https://heavenlyouthouse.com/products/the-courageous-dragon-book", "https://heavenlyouthouse.com/products/the-courageous-dragon-book")</f>
        <v>https://heavenlyouthouse.com/products/the-courageous-dragon-book</v>
      </c>
      <c r="C1033" t="s">
        <v>1956</v>
      </c>
      <c r="D1033" t="s">
        <v>2361</v>
      </c>
      <c r="E1033" s="3" t="str">
        <f>HYPERLINK("https://www.amazon.com/Unlikely-Friend-Courageous-Bearded-Dragon/dp/B0CFCZF4TJ/ref=sr_1_1?keywords=The+Courageous+Dragon+Book&amp;qid=1695258700&amp;sr=8-1", "https://www.amazon.com/Unlikely-Friend-Courageous-Bearded-Dragon/dp/B0CFCZF4TJ/ref=sr_1_1?keywords=The+Courageous+Dragon+Book&amp;qid=1695258700&amp;sr=8-1")</f>
        <v>https://www.amazon.com/Unlikely-Friend-Courageous-Bearded-Dragon/dp/B0CFCZF4TJ/ref=sr_1_1?keywords=The+Courageous+Dragon+Book&amp;qid=1695258700&amp;sr=8-1</v>
      </c>
      <c r="F1033" t="s">
        <v>2362</v>
      </c>
      <c r="G1033" t="e">
        <f ca="1">IMAGE("https://heavenlyouthouse.com/cdn/shop/products/BK4CD-the-courageous-dragon-book.jpg?v=1631560796")</f>
        <v>#NAME?</v>
      </c>
      <c r="H1033" t="e">
        <f ca="1">IMAGE("https://m.media-amazon.com/images/I/61DtoKcqXyL._AC_UY218_.jpg")</f>
        <v>#NAME?</v>
      </c>
      <c r="I1033" t="s">
        <v>802</v>
      </c>
      <c r="J1033">
        <v>2.99</v>
      </c>
      <c r="K1033" s="2" t="s">
        <v>2354</v>
      </c>
      <c r="L1033">
        <v>5</v>
      </c>
      <c r="M1033">
        <v>1</v>
      </c>
      <c r="O1033" t="s">
        <v>39</v>
      </c>
      <c r="P1033" t="s">
        <v>39</v>
      </c>
      <c r="Q1033" t="s">
        <v>1959</v>
      </c>
    </row>
    <row r="1034" spans="1:17" ht="15.75" x14ac:dyDescent="0.25">
      <c r="A1034" s="3" t="str">
        <f>HYPERLINK("https://heavenlyouthouse.com/products/silver-box-chain-with-removable-extender", "https://heavenlyouthouse.com/products/silver-box-chain-with-removable-extender")</f>
        <v>https://heavenlyouthouse.com/products/silver-box-chain-with-removable-extender</v>
      </c>
      <c r="B1034" s="3" t="str">
        <f>HYPERLINK("https://heavenlyouthouse.com/products/silver-box-chain-with-removable-extender", "https://heavenlyouthouse.com/products/silver-box-chain-with-removable-extender")</f>
        <v>https://heavenlyouthouse.com/products/silver-box-chain-with-removable-extender</v>
      </c>
      <c r="C1034" t="s">
        <v>2330</v>
      </c>
      <c r="D1034" t="s">
        <v>2363</v>
      </c>
      <c r="E1034" s="3" t="str">
        <f>HYPERLINK("https://www.amazon.com/Extenders-Necklaces-Sterling-Necklace-Bracelet/dp/B08B3FNNQ6/ref=sr_1_1?keywords=Silver+Box+Chain+With+Removable+Extender&amp;qid=1695258688&amp;sr=8-1", "https://www.amazon.com/Extenders-Necklaces-Sterling-Necklace-Bracelet/dp/B08B3FNNQ6/ref=sr_1_1?keywords=Silver+Box+Chain+With+Removable+Extender&amp;qid=1695258688&amp;sr=8-1")</f>
        <v>https://www.amazon.com/Extenders-Necklaces-Sterling-Necklace-Bracelet/dp/B08B3FNNQ6/ref=sr_1_1?keywords=Silver+Box+Chain+With+Removable+Extender&amp;qid=1695258688&amp;sr=8-1</v>
      </c>
      <c r="F1034" t="s">
        <v>2364</v>
      </c>
      <c r="G1034" t="e">
        <f ca="1">IMAGE("https://heavenlyouthouse.com/cdn/shop/products/20-BOXCHAIN-SIL_1800x1800_b8f164ed-4e32-4a8f-bc63-fee1858a6406.webp?v=1680628472")</f>
        <v>#NAME?</v>
      </c>
      <c r="H1034" t="e">
        <f ca="1">IMAGE("https://m.media-amazon.com/images/I/61V6HkLTBfL._AC_UL320_.jpg")</f>
        <v>#NAME?</v>
      </c>
      <c r="I1034" t="s">
        <v>2333</v>
      </c>
      <c r="J1034">
        <v>11.99</v>
      </c>
      <c r="K1034" s="2" t="s">
        <v>2365</v>
      </c>
      <c r="L1034">
        <v>4.5</v>
      </c>
      <c r="M1034">
        <v>400</v>
      </c>
      <c r="O1034" t="s">
        <v>39</v>
      </c>
      <c r="P1034" t="s">
        <v>39</v>
      </c>
      <c r="Q1034" t="s">
        <v>2334</v>
      </c>
    </row>
    <row r="1035" spans="1:17" ht="15.75" x14ac:dyDescent="0.25">
      <c r="A1035" s="3" t="str">
        <f>HYPERLINK("https://heavenlyouthouse.com/products/white-sparkle-ball-halo-necklace-pendant-1?variant=39667447824473", "https://heavenlyouthouse.com/products/white-sparkle-ball-halo-necklace-pendant-1?variant=39667447824473")</f>
        <v>https://heavenlyouthouse.com/products/white-sparkle-ball-halo-necklace-pendant-1?variant=39667447824473</v>
      </c>
      <c r="B1035" s="3" t="str">
        <f>HYPERLINK("https://heavenlyouthouse.com/products/white-sparkle-ball-halo-necklace-pendant-1", "https://heavenlyouthouse.com/products/white-sparkle-ball-halo-necklace-pendant-1")</f>
        <v>https://heavenlyouthouse.com/products/white-sparkle-ball-halo-necklace-pendant-1</v>
      </c>
      <c r="C1035" t="s">
        <v>2366</v>
      </c>
      <c r="D1035" t="s">
        <v>2367</v>
      </c>
      <c r="E1035" s="3" t="str">
        <f>HYPERLINK("https://www.amazon.com/Cate-Chloe-Simulated-Sparkling-Anniversary/dp/B074798V4X/ref=sr_1_1?keywords=White+Sparkle+Ball+Halo+Necklace+Pendant&amp;qid=1695258827&amp;sr=8-1", "https://www.amazon.com/Cate-Chloe-Simulated-Sparkling-Anniversary/dp/B074798V4X/ref=sr_1_1?keywords=White+Sparkle+Ball+Halo+Necklace+Pendant&amp;qid=1695258827&amp;sr=8-1")</f>
        <v>https://www.amazon.com/Cate-Chloe-Simulated-Sparkling-Anniversary/dp/B074798V4X/ref=sr_1_1?keywords=White+Sparkle+Ball+Halo+Necklace+Pendant&amp;qid=1695258827&amp;sr=8-1</v>
      </c>
      <c r="F1035" t="s">
        <v>2368</v>
      </c>
      <c r="G1035" t="e">
        <f ca="1">IMAGE("https://heavenlyouthouse.com/cdn/shop/products/21SBNAWHT-hillberg-and-berk_sparkle-ball-halo-pendant-necklace-white.jpg?v=1641422106")</f>
        <v>#NAME?</v>
      </c>
      <c r="H1035" t="e">
        <f ca="1">IMAGE("https://m.media-amazon.com/images/I/61iyvjRFggL._AC_UL320_.jpg")</f>
        <v>#NAME?</v>
      </c>
      <c r="I1035" t="s">
        <v>2369</v>
      </c>
      <c r="J1035">
        <v>20.99</v>
      </c>
      <c r="K1035" s="2" t="s">
        <v>2365</v>
      </c>
      <c r="L1035">
        <v>4.4000000000000004</v>
      </c>
      <c r="M1035">
        <v>14</v>
      </c>
      <c r="O1035" t="s">
        <v>136</v>
      </c>
      <c r="P1035" t="s">
        <v>39</v>
      </c>
      <c r="Q1035" t="s">
        <v>2370</v>
      </c>
    </row>
    <row r="1036" spans="1:17" ht="15.75" x14ac:dyDescent="0.25">
      <c r="A1036" s="3" t="str">
        <f>HYPERLINK("https://heavenlyouthouse.com/products/sun", "https://heavenlyouthouse.com/products/sun")</f>
        <v>https://heavenlyouthouse.com/products/sun</v>
      </c>
      <c r="B1036" s="3" t="str">
        <f>HYPERLINK("https://heavenlyouthouse.com/products/sun", "https://heavenlyouthouse.com/products/sun")</f>
        <v>https://heavenlyouthouse.com/products/sun</v>
      </c>
      <c r="C1036" t="s">
        <v>2371</v>
      </c>
      <c r="D1036" t="s">
        <v>2372</v>
      </c>
      <c r="E1036" s="3" t="str">
        <f>HYPERLINK("https://www.amazon.com/Energy-Stone-Sterling-Meditation-US14/dp/B01MCYR6KP/ref=sr_1_4?keywords=Sun+Meditation+Ring&amp;qid=1695258709&amp;sr=8-4", "https://www.amazon.com/Energy-Stone-Sterling-Meditation-US14/dp/B01MCYR6KP/ref=sr_1_4?keywords=Sun+Meditation+Ring&amp;qid=1695258709&amp;sr=8-4")</f>
        <v>https://www.amazon.com/Energy-Stone-Sterling-Meditation-US14/dp/B01MCYR6KP/ref=sr_1_4?keywords=Sun+Meditation+Ring&amp;qid=1695258709&amp;sr=8-4</v>
      </c>
      <c r="F1036" t="s">
        <v>2373</v>
      </c>
      <c r="G1036" t="e">
        <f ca="1">IMAGE("https://heavenlyouthouse.com/cdn/shop/products/Sun.gif?v=1605130951")</f>
        <v>#NAME?</v>
      </c>
      <c r="H1036" t="e">
        <f ca="1">IMAGE("https://m.media-amazon.com/images/I/614LXCYz1bL._AC_UL320_.jpg")</f>
        <v>#NAME?</v>
      </c>
      <c r="I1036" t="s">
        <v>2374</v>
      </c>
      <c r="J1036">
        <v>55.99</v>
      </c>
      <c r="K1036" s="2" t="s">
        <v>2375</v>
      </c>
      <c r="L1036">
        <v>4.2</v>
      </c>
      <c r="M1036">
        <v>113</v>
      </c>
      <c r="O1036" t="s">
        <v>39</v>
      </c>
      <c r="P1036" t="s">
        <v>39</v>
      </c>
      <c r="Q1036" t="s">
        <v>2376</v>
      </c>
    </row>
    <row r="1037" spans="1:17" ht="15.75" x14ac:dyDescent="0.25">
      <c r="A1037" s="3" t="str">
        <f>HYPERLINK("https://heavenlyouthouse.com/products/sacred", "https://heavenlyouthouse.com/products/sacred")</f>
        <v>https://heavenlyouthouse.com/products/sacred</v>
      </c>
      <c r="B1037" s="3" t="str">
        <f>HYPERLINK("https://heavenlyouthouse.com/products/sacred", "https://heavenlyouthouse.com/products/sacred")</f>
        <v>https://heavenlyouthouse.com/products/sacred</v>
      </c>
      <c r="C1037" t="s">
        <v>2377</v>
      </c>
      <c r="D1037" t="s">
        <v>2378</v>
      </c>
      <c r="E1037" s="3" t="str">
        <f>HYPERLINK("https://www.amazon.com/Roxxy-Crystals-Geometry-Spiritual-Meditation/dp/B08J2MLK4B/ref=sr_1_1?keywords=Sacred+Meditation+Ring&amp;qid=1695258677&amp;sr=8-1", "https://www.amazon.com/Roxxy-Crystals-Geometry-Spiritual-Meditation/dp/B08J2MLK4B/ref=sr_1_1?keywords=Sacred+Meditation+Ring&amp;qid=1695258677&amp;sr=8-1")</f>
        <v>https://www.amazon.com/Roxxy-Crystals-Geometry-Spiritual-Meditation/dp/B08J2MLK4B/ref=sr_1_1?keywords=Sacred+Meditation+Ring&amp;qid=1695258677&amp;sr=8-1</v>
      </c>
      <c r="F1037" t="s">
        <v>2379</v>
      </c>
      <c r="G1037" t="e">
        <f ca="1">IMAGE("https://heavenlyouthouse.com/cdn/shop/products/Sacred.gif?v=1605128096")</f>
        <v>#NAME?</v>
      </c>
      <c r="H1037" t="e">
        <f ca="1">IMAGE("https://m.media-amazon.com/images/I/71TKk66DX8L._AC_UL320_.jpg")</f>
        <v>#NAME?</v>
      </c>
      <c r="I1037" t="s">
        <v>2317</v>
      </c>
      <c r="J1037">
        <v>37.369999999999997</v>
      </c>
      <c r="K1037" s="2" t="s">
        <v>2380</v>
      </c>
      <c r="L1037">
        <v>4.3</v>
      </c>
      <c r="M1037">
        <v>19</v>
      </c>
      <c r="O1037" t="s">
        <v>39</v>
      </c>
      <c r="P1037" t="s">
        <v>39</v>
      </c>
      <c r="Q1037" t="s">
        <v>2381</v>
      </c>
    </row>
    <row r="1038" spans="1:17" ht="15.75" x14ac:dyDescent="0.25">
      <c r="A1038" s="3" t="str">
        <f>HYPERLINK("https://heavenlyouthouse.com/products/treasure", "https://heavenlyouthouse.com/products/treasure")</f>
        <v>https://heavenlyouthouse.com/products/treasure</v>
      </c>
      <c r="B1038" s="3" t="str">
        <f>HYPERLINK("https://heavenlyouthouse.com/products/treasure", "https://heavenlyouthouse.com/products/treasure")</f>
        <v>https://heavenlyouthouse.com/products/treasure</v>
      </c>
      <c r="C1038" t="s">
        <v>2382</v>
      </c>
      <c r="D1038" t="s">
        <v>2383</v>
      </c>
      <c r="E1038" s="3" t="str">
        <f>HYPERLINK("https://www.amazon.com/Gempires-Amethyst-Meditation-Crystals-Birthday/dp/B0B1HV134X/ref=sr_1_10?keywords=Treasure+Meditation+Ring&amp;qid=1695258796&amp;sr=8-10", "https://www.amazon.com/Gempires-Amethyst-Meditation-Crystals-Birthday/dp/B0B1HV134X/ref=sr_1_10?keywords=Treasure+Meditation+Ring&amp;qid=1695258796&amp;sr=8-10")</f>
        <v>https://www.amazon.com/Gempires-Amethyst-Meditation-Crystals-Birthday/dp/B0B1HV134X/ref=sr_1_10?keywords=Treasure+Meditation+Ring&amp;qid=1695258796&amp;sr=8-10</v>
      </c>
      <c r="F1038" t="s">
        <v>2384</v>
      </c>
      <c r="G1038" t="e">
        <f ca="1">IMAGE("https://heavenlyouthouse.com/cdn/shop/products/Treasure-MR1108.gif?v=1605125545")</f>
        <v>#NAME?</v>
      </c>
      <c r="H1038" t="e">
        <f ca="1">IMAGE("https://m.media-amazon.com/images/I/71PmrP1tAHL._AC_UL320_.jpg")</f>
        <v>#NAME?</v>
      </c>
      <c r="I1038" t="s">
        <v>2226</v>
      </c>
      <c r="J1038">
        <v>18.989999999999998</v>
      </c>
      <c r="K1038" s="2" t="s">
        <v>2380</v>
      </c>
      <c r="L1038">
        <v>4.0999999999999996</v>
      </c>
      <c r="M1038">
        <v>41</v>
      </c>
      <c r="O1038" t="s">
        <v>39</v>
      </c>
      <c r="P1038" t="s">
        <v>39</v>
      </c>
      <c r="Q1038" t="s">
        <v>2385</v>
      </c>
    </row>
    <row r="1039" spans="1:17" ht="15.75" x14ac:dyDescent="0.25">
      <c r="A1039" s="3" t="str">
        <f>HYPERLINK("https://heavenlyouthouse.com/products/treasure", "https://heavenlyouthouse.com/products/treasure")</f>
        <v>https://heavenlyouthouse.com/products/treasure</v>
      </c>
      <c r="B1039" s="3" t="str">
        <f>HYPERLINK("https://heavenlyouthouse.com/products/treasure", "https://heavenlyouthouse.com/products/treasure")</f>
        <v>https://heavenlyouthouse.com/products/treasure</v>
      </c>
      <c r="C1039" t="s">
        <v>2382</v>
      </c>
      <c r="D1039" t="s">
        <v>2386</v>
      </c>
      <c r="E1039" s="3" t="str">
        <f>HYPERLINK("https://www.amazon.com/Gempires-Meditation-Crystals-Gemstone-Birthday/dp/B09ZP9VG3L/ref=sr_1_5?keywords=Treasure+Meditation+Ring&amp;qid=1695258796&amp;sr=8-5", "https://www.amazon.com/Gempires-Meditation-Crystals-Gemstone-Birthday/dp/B09ZP9VG3L/ref=sr_1_5?keywords=Treasure+Meditation+Ring&amp;qid=1695258796&amp;sr=8-5")</f>
        <v>https://www.amazon.com/Gempires-Meditation-Crystals-Gemstone-Birthday/dp/B09ZP9VG3L/ref=sr_1_5?keywords=Treasure+Meditation+Ring&amp;qid=1695258796&amp;sr=8-5</v>
      </c>
      <c r="F1039" t="s">
        <v>2387</v>
      </c>
      <c r="G1039" t="e">
        <f ca="1">IMAGE("https://heavenlyouthouse.com/cdn/shop/products/Treasure-MR1108.gif?v=1605125545")</f>
        <v>#NAME?</v>
      </c>
      <c r="H1039" t="e">
        <f ca="1">IMAGE("https://m.media-amazon.com/images/I/51687m6AIpL._AC_UL320_.jpg")</f>
        <v>#NAME?</v>
      </c>
      <c r="I1039" t="s">
        <v>2226</v>
      </c>
      <c r="J1039">
        <v>18.989999999999998</v>
      </c>
      <c r="K1039" s="2" t="s">
        <v>2380</v>
      </c>
      <c r="L1039">
        <v>4.2</v>
      </c>
      <c r="M1039">
        <v>18</v>
      </c>
      <c r="O1039" t="s">
        <v>39</v>
      </c>
      <c r="P1039" t="s">
        <v>39</v>
      </c>
      <c r="Q1039" t="s">
        <v>2385</v>
      </c>
    </row>
    <row r="1040" spans="1:17" ht="15.75" x14ac:dyDescent="0.25">
      <c r="A1040" s="3" t="str">
        <f>HYPERLINK("https://heavenlyouthouse.com/products/scandinavian-flora-kimono-gown?variant=40274571788377", "https://heavenlyouthouse.com/products/scandinavian-flora-kimono-gown?variant=40274571788377")</f>
        <v>https://heavenlyouthouse.com/products/scandinavian-flora-kimono-gown?variant=40274571788377</v>
      </c>
      <c r="B1040" s="3" t="str">
        <f>HYPERLINK("https://heavenlyouthouse.com/products/scandinavian-flora-kimono-gown", "https://heavenlyouthouse.com/products/scandinavian-flora-kimono-gown")</f>
        <v>https://heavenlyouthouse.com/products/scandinavian-flora-kimono-gown</v>
      </c>
      <c r="C1040" t="s">
        <v>2388</v>
      </c>
      <c r="D1040" t="s">
        <v>2389</v>
      </c>
      <c r="E1040" s="3" t="str">
        <f>HYPERLINK("https://www.amazon.com/Womens-Dressing-Wedding-Bridesmaid-Nightgown/dp/B08HD57SJM/ref=sr_1_3?keywords=scandinavian+floral+kimono+gown&amp;qid=1695258699&amp;sr=8-3", "https://www.amazon.com/Womens-Dressing-Wedding-Bridesmaid-Nightgown/dp/B08HD57SJM/ref=sr_1_3?keywords=scandinavian+floral+kimono+gown&amp;qid=1695258699&amp;sr=8-3")</f>
        <v>https://www.amazon.com/Womens-Dressing-Wedding-Bridesmaid-Nightgown/dp/B08HD57SJM/ref=sr_1_3?keywords=scandinavian+floral+kimono+gown&amp;qid=1695258699&amp;sr=8-3</v>
      </c>
      <c r="F1040" t="s">
        <v>2390</v>
      </c>
      <c r="G1040" t="e">
        <f ca="1">IMAGE("https://heavenlyouthouse.com/cdn/shop/products/powder-design-scandinavian-flora-kimono-gown-1663759301PKG15-1.jpg?v=1665182938")</f>
        <v>#NAME?</v>
      </c>
      <c r="H1040" t="e">
        <f ca="1">IMAGE("https://m.media-amazon.com/images/I/71HoE8XCgaL._AC_UL320_.jpg")</f>
        <v>#NAME?</v>
      </c>
      <c r="I1040" t="s">
        <v>2391</v>
      </c>
      <c r="J1040">
        <v>18.989999999999998</v>
      </c>
      <c r="K1040" s="2" t="s">
        <v>2380</v>
      </c>
      <c r="L1040">
        <v>4.4000000000000004</v>
      </c>
      <c r="M1040">
        <v>1291</v>
      </c>
      <c r="O1040" t="s">
        <v>136</v>
      </c>
      <c r="P1040" t="s">
        <v>2392</v>
      </c>
      <c r="Q1040" t="s">
        <v>2393</v>
      </c>
    </row>
    <row r="1041" spans="1:17" ht="15.75" x14ac:dyDescent="0.25">
      <c r="A1041" s="3" t="str">
        <f>HYPERLINK("https://heavenlyouthouse.com/products/scandinavian-flora-kimono-gown?variant=40274571788377", "https://heavenlyouthouse.com/products/scandinavian-flora-kimono-gown?variant=40274571788377")</f>
        <v>https://heavenlyouthouse.com/products/scandinavian-flora-kimono-gown?variant=40274571788377</v>
      </c>
      <c r="B1041" s="3" t="str">
        <f>HYPERLINK("https://heavenlyouthouse.com/products/scandinavian-flora-kimono-gown", "https://heavenlyouthouse.com/products/scandinavian-flora-kimono-gown")</f>
        <v>https://heavenlyouthouse.com/products/scandinavian-flora-kimono-gown</v>
      </c>
      <c r="C1041" t="s">
        <v>2388</v>
      </c>
      <c r="D1041" t="s">
        <v>2394</v>
      </c>
      <c r="E1041" s="3" t="str">
        <f>HYPERLINK("https://www.amazon.com/Valennia-Womens-Peacock-Lightweight-Bridesmaid/dp/B088GLCPD7/ref=sr_1_4?keywords=scandinavian+floral+kimono+gown&amp;qid=1695258699&amp;sr=8-4", "https://www.amazon.com/Valennia-Womens-Peacock-Lightweight-Bridesmaid/dp/B088GLCPD7/ref=sr_1_4?keywords=scandinavian+floral+kimono+gown&amp;qid=1695258699&amp;sr=8-4")</f>
        <v>https://www.amazon.com/Valennia-Womens-Peacock-Lightweight-Bridesmaid/dp/B088GLCPD7/ref=sr_1_4?keywords=scandinavian+floral+kimono+gown&amp;qid=1695258699&amp;sr=8-4</v>
      </c>
      <c r="F1041" t="s">
        <v>2395</v>
      </c>
      <c r="G1041" t="e">
        <f ca="1">IMAGE("https://heavenlyouthouse.com/cdn/shop/products/powder-design-scandinavian-flora-kimono-gown-1663759301PKG15-1.jpg?v=1665182938")</f>
        <v>#NAME?</v>
      </c>
      <c r="H1041" t="e">
        <f ca="1">IMAGE("https://m.media-amazon.com/images/I/71Y-IKS6kWL._AC_UL320_.jpg")</f>
        <v>#NAME?</v>
      </c>
      <c r="I1041" t="s">
        <v>2391</v>
      </c>
      <c r="J1041">
        <v>14.99</v>
      </c>
      <c r="K1041" s="2" t="s">
        <v>2396</v>
      </c>
      <c r="L1041">
        <v>4.5999999999999996</v>
      </c>
      <c r="M1041">
        <v>2997</v>
      </c>
      <c r="O1041" t="s">
        <v>136</v>
      </c>
      <c r="P1041" t="s">
        <v>2392</v>
      </c>
      <c r="Q1041" t="s">
        <v>2393</v>
      </c>
    </row>
    <row r="1042" spans="1:17" ht="15.75" x14ac:dyDescent="0.25">
      <c r="A1042" s="3" t="str">
        <f>HYPERLINK("https://heavenlyouthouse.com/products/prana-yellow-gold-meditation-ring", "https://heavenlyouthouse.com/products/prana-yellow-gold-meditation-ring")</f>
        <v>https://heavenlyouthouse.com/products/prana-yellow-gold-meditation-ring</v>
      </c>
      <c r="B1042" s="3" t="str">
        <f>HYPERLINK("https://heavenlyouthouse.com/products/prana-yellow-gold-meditation-ring", "https://heavenlyouthouse.com/products/prana-yellow-gold-meditation-ring")</f>
        <v>https://heavenlyouthouse.com/products/prana-yellow-gold-meditation-ring</v>
      </c>
      <c r="C1042" t="s">
        <v>846</v>
      </c>
      <c r="D1042" t="s">
        <v>2397</v>
      </c>
      <c r="E1042" s="3" t="str">
        <f>HYPERLINK("https://www.amazon.com/Adjustable-Bohemian-Moonstone-Meditation-Delicate/dp/B0C4Z22WNK/ref=sr_1_9?keywords=Prana+Yellow+Gold+Meditation+Ring&amp;qid=1695258649&amp;sr=8-9", "https://www.amazon.com/Adjustable-Bohemian-Moonstone-Meditation-Delicate/dp/B0C4Z22WNK/ref=sr_1_9?keywords=Prana+Yellow+Gold+Meditation+Ring&amp;qid=1695258649&amp;sr=8-9")</f>
        <v>https://www.amazon.com/Adjustable-Bohemian-Moonstone-Meditation-Delicate/dp/B0C4Z22WNK/ref=sr_1_9?keywords=Prana+Yellow+Gold+Meditation+Ring&amp;qid=1695258649&amp;sr=8-9</v>
      </c>
      <c r="F1042" t="s">
        <v>2398</v>
      </c>
      <c r="G1042" t="e">
        <f ca="1">IMAGE("https://heavenlyouthouse.com/cdn/shop/products/prana-yellow-gold-meditation-ring.gif?v=1634241843")</f>
        <v>#NAME?</v>
      </c>
      <c r="H1042" t="e">
        <f ca="1">IMAGE("https://m.media-amazon.com/images/I/61+DIUmjNKL._AC_UL320_.jpg")</f>
        <v>#NAME?</v>
      </c>
      <c r="I1042" t="s">
        <v>849</v>
      </c>
      <c r="J1042">
        <v>9.99</v>
      </c>
      <c r="K1042" s="2" t="s">
        <v>2399</v>
      </c>
      <c r="L1042">
        <v>4.9000000000000004</v>
      </c>
      <c r="M1042">
        <v>13</v>
      </c>
      <c r="O1042" t="s">
        <v>39</v>
      </c>
      <c r="P1042" t="s">
        <v>39</v>
      </c>
      <c r="Q1042" t="s">
        <v>850</v>
      </c>
    </row>
    <row r="1043" spans="1:17" ht="15.75" x14ac:dyDescent="0.25">
      <c r="A1043" s="3" t="str">
        <f>HYPERLINK("https://heavenlyouthouse.com/products/star-meditation-ring", "https://heavenlyouthouse.com/products/star-meditation-ring")</f>
        <v>https://heavenlyouthouse.com/products/star-meditation-ring</v>
      </c>
      <c r="B1043" s="3" t="str">
        <f>HYPERLINK("https://heavenlyouthouse.com/products/star-meditation-ring", "https://heavenlyouthouse.com/products/star-meditation-ring")</f>
        <v>https://heavenlyouthouse.com/products/star-meditation-ring</v>
      </c>
      <c r="C1043" t="s">
        <v>2400</v>
      </c>
      <c r="D1043" t="s">
        <v>2401</v>
      </c>
      <c r="E1043" s="3" t="str">
        <f>HYPERLINK("https://www.amazon.com/Gemstone-Hammered-Meditation-Customize-birthstone/dp/B09BDG94HJ/ref=sr_1_8?keywords=Star+Meditation+Ring&amp;qid=1695258692&amp;sr=8-8", "https://www.amazon.com/Gemstone-Hammered-Meditation-Customize-birthstone/dp/B09BDG94HJ/ref=sr_1_8?keywords=Star+Meditation+Ring&amp;qid=1695258692&amp;sr=8-8")</f>
        <v>https://www.amazon.com/Gemstone-Hammered-Meditation-Customize-birthstone/dp/B09BDG94HJ/ref=sr_1_8?keywords=Star+Meditation+Ring&amp;qid=1695258692&amp;sr=8-8</v>
      </c>
      <c r="F1043" t="s">
        <v>2402</v>
      </c>
      <c r="G1043" t="e">
        <f ca="1">IMAGE("https://heavenlyouthouse.com/cdn/shop/products/star-meditation-ring.webp?v=1677111299")</f>
        <v>#NAME?</v>
      </c>
      <c r="H1043" t="e">
        <f ca="1">IMAGE("https://m.media-amazon.com/images/I/61Ppo6hVrUL._AC_UL320_.jpg")</f>
        <v>#NAME?</v>
      </c>
      <c r="I1043" t="s">
        <v>2403</v>
      </c>
      <c r="J1043">
        <v>29.99</v>
      </c>
      <c r="K1043" s="2" t="s">
        <v>2399</v>
      </c>
      <c r="L1043">
        <v>4.2</v>
      </c>
      <c r="M1043">
        <v>73</v>
      </c>
      <c r="O1043" t="s">
        <v>39</v>
      </c>
      <c r="P1043" t="s">
        <v>39</v>
      </c>
      <c r="Q1043" t="s">
        <v>2404</v>
      </c>
    </row>
    <row r="1044" spans="1:17" ht="15.75" x14ac:dyDescent="0.25">
      <c r="A1044" s="3" t="str">
        <f>HYPERLINK("https://heavenlyouthouse.com/products/scandinavian-flora-kimono-gown?variant=40274571788377", "https://heavenlyouthouse.com/products/scandinavian-flora-kimono-gown?variant=40274571788377")</f>
        <v>https://heavenlyouthouse.com/products/scandinavian-flora-kimono-gown?variant=40274571788377</v>
      </c>
      <c r="B1044" s="3" t="str">
        <f>HYPERLINK("https://heavenlyouthouse.com/products/scandinavian-flora-kimono-gown", "https://heavenlyouthouse.com/products/scandinavian-flora-kimono-gown")</f>
        <v>https://heavenlyouthouse.com/products/scandinavian-flora-kimono-gown</v>
      </c>
      <c r="C1044" t="s">
        <v>2388</v>
      </c>
      <c r="D1044" t="s">
        <v>2405</v>
      </c>
      <c r="E1044" s="3" t="str">
        <f>HYPERLINK("https://www.amazon.com/Super-Shopping-zone-SSZ-peacoklongrobe-Black-M-Womens-Floral-Long-Kimono-Robes-Satin-Dressing-Gown-Blossoms/dp/B0812CDZ73/ref=sr_1_1?keywords=scandinavian+floral+kimono+gown&amp;qid=1695258699&amp;sr=8-1", "https://www.amazon.com/Super-Shopping-zone-SSZ-peacoklongrobe-Black-M-Womens-Floral-Long-Kimono-Robes-Satin-Dressing-Gown-Blossoms/dp/B0812CDZ73/ref=sr_1_1?keywords=scandinavian+floral+kimono+gown&amp;qid=1695258699&amp;sr=8-1")</f>
        <v>https://www.amazon.com/Super-Shopping-zone-SSZ-peacoklongrobe-Black-M-Womens-Floral-Long-Kimono-Robes-Satin-Dressing-Gown-Blossoms/dp/B0812CDZ73/ref=sr_1_1?keywords=scandinavian+floral+kimono+gown&amp;qid=1695258699&amp;sr=8-1</v>
      </c>
      <c r="F1044" t="s">
        <v>2406</v>
      </c>
      <c r="G1044" t="e">
        <f ca="1">IMAGE("https://heavenlyouthouse.com/cdn/shop/products/powder-design-scandinavian-flora-kimono-gown-1663759301PKG15-1.jpg?v=1665182938")</f>
        <v>#NAME?</v>
      </c>
      <c r="H1044" t="e">
        <f ca="1">IMAGE("https://m.media-amazon.com/images/I/7157ARzDuAL._AC_UL320_.jpg")</f>
        <v>#NAME?</v>
      </c>
      <c r="I1044" t="s">
        <v>2391</v>
      </c>
      <c r="J1044">
        <v>12.99</v>
      </c>
      <c r="K1044" s="2" t="s">
        <v>2399</v>
      </c>
      <c r="L1044">
        <v>4.3</v>
      </c>
      <c r="M1044">
        <v>758</v>
      </c>
      <c r="O1044" t="s">
        <v>136</v>
      </c>
      <c r="P1044" t="s">
        <v>2392</v>
      </c>
      <c r="Q1044" t="s">
        <v>2393</v>
      </c>
    </row>
    <row r="1045" spans="1:17" ht="15.75" x14ac:dyDescent="0.25">
      <c r="A1045" s="3" t="str">
        <f>HYPERLINK("https://heavenlyouthouse.com/products/virtue-ygv", "https://heavenlyouthouse.com/products/virtue-ygv")</f>
        <v>https://heavenlyouthouse.com/products/virtue-ygv</v>
      </c>
      <c r="B1045" s="3" t="str">
        <f>HYPERLINK("https://heavenlyouthouse.com/products/virtue-ygv", "https://heavenlyouthouse.com/products/virtue-ygv")</f>
        <v>https://heavenlyouthouse.com/products/virtue-ygv</v>
      </c>
      <c r="C1045" t="s">
        <v>2407</v>
      </c>
      <c r="D1045" t="s">
        <v>2397</v>
      </c>
      <c r="E1045" s="3" t="str">
        <f>HYPERLINK("https://www.amazon.com/Adjustable-Bohemian-Moonstone-Meditation-Delicate/dp/B0C4Z26DB3/ref=sr_1_1?keywords=Virtue+Yellow+Gold+Meditation+Ring&amp;qid=1695258822&amp;sr=8-1", "https://www.amazon.com/Adjustable-Bohemian-Moonstone-Meditation-Delicate/dp/B0C4Z26DB3/ref=sr_1_1?keywords=Virtue+Yellow+Gold+Meditation+Ring&amp;qid=1695258822&amp;sr=8-1")</f>
        <v>https://www.amazon.com/Adjustable-Bohemian-Moonstone-Meditation-Delicate/dp/B0C4Z26DB3/ref=sr_1_1?keywords=Virtue+Yellow+Gold+Meditation+Ring&amp;qid=1695258822&amp;sr=8-1</v>
      </c>
      <c r="F1045" t="s">
        <v>2408</v>
      </c>
      <c r="G1045" t="e">
        <f ca="1">IMAGE("https://heavenlyouthouse.com/cdn/shop/products/Virtue-14KT-YGP.gif?v=1605124728")</f>
        <v>#NAME?</v>
      </c>
      <c r="H1045" t="e">
        <f ca="1">IMAGE("https://m.media-amazon.com/images/I/61upMymOJ-L._AC_UL320_.jpg")</f>
        <v>#NAME?</v>
      </c>
      <c r="I1045" t="s">
        <v>1079</v>
      </c>
      <c r="J1045">
        <v>9.99</v>
      </c>
      <c r="K1045" s="2" t="s">
        <v>2409</v>
      </c>
      <c r="L1045">
        <v>4.9000000000000004</v>
      </c>
      <c r="M1045">
        <v>13</v>
      </c>
      <c r="O1045" t="s">
        <v>39</v>
      </c>
      <c r="P1045" t="s">
        <v>39</v>
      </c>
      <c r="Q1045" t="s">
        <v>2410</v>
      </c>
    </row>
    <row r="1046" spans="1:17" ht="15.75" x14ac:dyDescent="0.25">
      <c r="A1046" s="3" t="str">
        <f>HYPERLINK("https://heavenlyouthouse.com/products/prayer", "https://heavenlyouthouse.com/products/prayer")</f>
        <v>https://heavenlyouthouse.com/products/prayer</v>
      </c>
      <c r="B1046" s="3" t="str">
        <f>HYPERLINK("https://heavenlyouthouse.com/products/prayer", "https://heavenlyouthouse.com/products/prayer")</f>
        <v>https://heavenlyouthouse.com/products/prayer</v>
      </c>
      <c r="C1046" t="s">
        <v>2339</v>
      </c>
      <c r="D1046" t="s">
        <v>2411</v>
      </c>
      <c r="E1046" s="3" t="str">
        <f>HYPERLINK("https://www.amazon.com/925-Solid-Sterling-Silver-Ring/dp/B07H9FWJX9/ref=sr_1_5?keywords=Prayer+Meditation+Ring&amp;qid=1695258646&amp;sr=8-5", "https://www.amazon.com/925-Solid-Sterling-Silver-Ring/dp/B07H9FWJX9/ref=sr_1_5?keywords=Prayer+Meditation+Ring&amp;qid=1695258646&amp;sr=8-5")</f>
        <v>https://www.amazon.com/925-Solid-Sterling-Silver-Ring/dp/B07H9FWJX9/ref=sr_1_5?keywords=Prayer+Meditation+Ring&amp;qid=1695258646&amp;sr=8-5</v>
      </c>
      <c r="F1046" t="s">
        <v>2412</v>
      </c>
      <c r="G1046" t="e">
        <f ca="1">IMAGE("https://heavenlyouthouse.com/cdn/shop/products/Prayer.gif?v=1605130167")</f>
        <v>#NAME?</v>
      </c>
      <c r="H1046" t="e">
        <f ca="1">IMAGE("https://m.media-amazon.com/images/I/71TdF5Nu5sL._AC_UL320_.jpg")</f>
        <v>#NAME?</v>
      </c>
      <c r="I1046" t="s">
        <v>2342</v>
      </c>
      <c r="J1046">
        <v>24.95</v>
      </c>
      <c r="K1046" s="2" t="s">
        <v>2413</v>
      </c>
      <c r="L1046">
        <v>4.5999999999999996</v>
      </c>
      <c r="M1046">
        <v>3</v>
      </c>
      <c r="O1046" t="s">
        <v>39</v>
      </c>
      <c r="P1046" t="s">
        <v>39</v>
      </c>
      <c r="Q1046" t="s">
        <v>2344</v>
      </c>
    </row>
    <row r="1047" spans="1:17" ht="15.75" x14ac:dyDescent="0.25">
      <c r="A1047" s="3" t="str">
        <f>HYPERLINK("https://heavenlyouthouse.com/products/white-pearl-sparkle-ball-long-necklace-pendant", "https://heavenlyouthouse.com/products/white-pearl-sparkle-ball-long-necklace-pendant")</f>
        <v>https://heavenlyouthouse.com/products/white-pearl-sparkle-ball-long-necklace-pendant</v>
      </c>
      <c r="B1047" s="3" t="str">
        <f>HYPERLINK("https://heavenlyouthouse.com/products/white-pearl-sparkle-ball-long-necklace-pendant", "https://heavenlyouthouse.com/products/white-pearl-sparkle-ball-long-necklace-pendant")</f>
        <v>https://heavenlyouthouse.com/products/white-pearl-sparkle-ball-long-necklace-pendant</v>
      </c>
      <c r="C1047" t="s">
        <v>2414</v>
      </c>
      <c r="D1047" t="s">
        <v>2415</v>
      </c>
      <c r="E1047" s="3" t="str">
        <f>HYPERLINK("https://www.amazon.com/Necklaces-Freshwater-Necklace-Pendant-Birthday/dp/B0C3QQ2CZW/ref=sr_1_10?keywords=White+Pearl+Sparkle+Ball+Long+Necklace+Pendant&amp;qid=1695258828&amp;sr=8-10", "https://www.amazon.com/Necklaces-Freshwater-Necklace-Pendant-Birthday/dp/B0C3QQ2CZW/ref=sr_1_10?keywords=White+Pearl+Sparkle+Ball+Long+Necklace+Pendant&amp;qid=1695258828&amp;sr=8-10")</f>
        <v>https://www.amazon.com/Necklaces-Freshwater-Necklace-Pendant-Birthday/dp/B0C3QQ2CZW/ref=sr_1_10?keywords=White+Pearl+Sparkle+Ball+Long+Necklace+Pendant&amp;qid=1695258828&amp;sr=8-10</v>
      </c>
      <c r="F1047" t="s">
        <v>2416</v>
      </c>
      <c r="G1047" t="e">
        <f ca="1">IMAGE("https://heavenlyouthouse.com/cdn/shop/products/19SBNPLPRL-white-pearl-long-necklace-hillberg-and-berk.webp?v=1652993897")</f>
        <v>#NAME?</v>
      </c>
      <c r="H1047" t="e">
        <f ca="1">IMAGE("https://m.media-amazon.com/images/I/41CfIncpR-L._AC_UL320_.jpg")</f>
        <v>#NAME?</v>
      </c>
      <c r="I1047" t="s">
        <v>2417</v>
      </c>
      <c r="J1047">
        <v>10.99</v>
      </c>
      <c r="K1047" s="2" t="s">
        <v>2413</v>
      </c>
      <c r="L1047">
        <v>5</v>
      </c>
      <c r="M1047">
        <v>1</v>
      </c>
      <c r="O1047" t="s">
        <v>39</v>
      </c>
      <c r="P1047" t="s">
        <v>39</v>
      </c>
      <c r="Q1047" t="s">
        <v>2418</v>
      </c>
    </row>
    <row r="1048" spans="1:17" ht="15.75" x14ac:dyDescent="0.25">
      <c r="A1048" s="3" t="str">
        <f>HYPERLINK("https://heavenlyouthouse.com/products/promise", "https://heavenlyouthouse.com/products/promise")</f>
        <v>https://heavenlyouthouse.com/products/promise</v>
      </c>
      <c r="B1048" s="3" t="str">
        <f>HYPERLINK("https://heavenlyouthouse.com/products/promise", "https://heavenlyouthouse.com/products/promise")</f>
        <v>https://heavenlyouthouse.com/products/promise</v>
      </c>
      <c r="C1048" t="s">
        <v>2419</v>
      </c>
      <c r="D1048" t="s">
        <v>2420</v>
      </c>
      <c r="E1048" s="3" t="str">
        <f>HYPERLINK("https://www.amazon.com/Labradorite-spinner-Meditation-Sterling-gemstone/dp/B09PDR8VRJ/ref=sr_1_7?keywords=Promise+Meditation+Ring&amp;qid=1695258654&amp;sr=8-7", "https://www.amazon.com/Labradorite-spinner-Meditation-Sterling-gemstone/dp/B09PDR8VRJ/ref=sr_1_7?keywords=Promise+Meditation+Ring&amp;qid=1695258654&amp;sr=8-7")</f>
        <v>https://www.amazon.com/Labradorite-spinner-Meditation-Sterling-gemstone/dp/B09PDR8VRJ/ref=sr_1_7?keywords=Promise+Meditation+Ring&amp;qid=1695258654&amp;sr=8-7</v>
      </c>
      <c r="F1048" t="s">
        <v>2421</v>
      </c>
      <c r="G1048" t="e">
        <f ca="1">IMAGE("https://heavenlyouthouse.com/cdn/shop/products/Promise.gif?v=1605131679")</f>
        <v>#NAME?</v>
      </c>
      <c r="H1048" t="e">
        <f ca="1">IMAGE("https://m.media-amazon.com/images/I/31v8XWXDNVL._AC_UL320_.jpg")</f>
        <v>#NAME?</v>
      </c>
      <c r="I1048" t="s">
        <v>2422</v>
      </c>
      <c r="J1048">
        <v>30.5</v>
      </c>
      <c r="K1048" s="2" t="s">
        <v>2423</v>
      </c>
      <c r="L1048">
        <v>5</v>
      </c>
      <c r="M1048">
        <v>1</v>
      </c>
      <c r="O1048" t="s">
        <v>39</v>
      </c>
      <c r="P1048" t="s">
        <v>39</v>
      </c>
      <c r="Q1048" t="s">
        <v>2424</v>
      </c>
    </row>
    <row r="1049" spans="1:17" ht="15.75" x14ac:dyDescent="0.25">
      <c r="A1049" s="3" t="str">
        <f>HYPERLINK("https://heavenlyouthouse.com/products/promise", "https://heavenlyouthouse.com/products/promise")</f>
        <v>https://heavenlyouthouse.com/products/promise</v>
      </c>
      <c r="B1049" s="3" t="str">
        <f>HYPERLINK("https://heavenlyouthouse.com/products/promise", "https://heavenlyouthouse.com/products/promise")</f>
        <v>https://heavenlyouthouse.com/products/promise</v>
      </c>
      <c r="C1049" t="s">
        <v>2419</v>
      </c>
      <c r="D1049" t="s">
        <v>2425</v>
      </c>
      <c r="E1049" s="3" t="str">
        <f>HYPERLINK("https://www.amazon.com/Natural-Moonstone-Meditation-sterling-Handmade/dp/B09LQYPVRL/ref=sr_1_1?keywords=Promise+Meditation+Ring&amp;qid=1695258654&amp;sr=8-1", "https://www.amazon.com/Natural-Moonstone-Meditation-sterling-Handmade/dp/B09LQYPVRL/ref=sr_1_1?keywords=Promise+Meditation+Ring&amp;qid=1695258654&amp;sr=8-1")</f>
        <v>https://www.amazon.com/Natural-Moonstone-Meditation-sterling-Handmade/dp/B09LQYPVRL/ref=sr_1_1?keywords=Promise+Meditation+Ring&amp;qid=1695258654&amp;sr=8-1</v>
      </c>
      <c r="F1049" t="s">
        <v>2426</v>
      </c>
      <c r="G1049" t="e">
        <f ca="1">IMAGE("https://heavenlyouthouse.com/cdn/shop/products/Promise.gif?v=1605131679")</f>
        <v>#NAME?</v>
      </c>
      <c r="H1049" t="e">
        <f ca="1">IMAGE("https://m.media-amazon.com/images/I/31RPBeyxdQL._AC_UL320_.jpg")</f>
        <v>#NAME?</v>
      </c>
      <c r="I1049" t="s">
        <v>2422</v>
      </c>
      <c r="J1049">
        <v>28.99</v>
      </c>
      <c r="K1049" s="2" t="s">
        <v>2423</v>
      </c>
      <c r="L1049">
        <v>3.8</v>
      </c>
      <c r="M1049">
        <v>3</v>
      </c>
      <c r="O1049" t="s">
        <v>39</v>
      </c>
      <c r="P1049" t="s">
        <v>39</v>
      </c>
      <c r="Q1049" t="s">
        <v>2424</v>
      </c>
    </row>
    <row r="1050" spans="1:17" ht="15.75" x14ac:dyDescent="0.25">
      <c r="A1050" s="3" t="str">
        <f>HYPERLINK("https://heavenlyouthouse.com/products/white-pearl-sparkle-ball-long-necklace-pendant", "https://heavenlyouthouse.com/products/white-pearl-sparkle-ball-long-necklace-pendant")</f>
        <v>https://heavenlyouthouse.com/products/white-pearl-sparkle-ball-long-necklace-pendant</v>
      </c>
      <c r="B1050" s="3" t="str">
        <f>HYPERLINK("https://heavenlyouthouse.com/products/white-pearl-sparkle-ball-long-necklace-pendant", "https://heavenlyouthouse.com/products/white-pearl-sparkle-ball-long-necklace-pendant")</f>
        <v>https://heavenlyouthouse.com/products/white-pearl-sparkle-ball-long-necklace-pendant</v>
      </c>
      <c r="C1050" t="s">
        <v>2414</v>
      </c>
      <c r="D1050" t="s">
        <v>2427</v>
      </c>
      <c r="E1050" s="3" t="str">
        <f>HYPERLINK("https://www.amazon.com/Pendant-Necklace-Imitation-Necklaces-Birthday/dp/B095JN18BD/ref=sr_1_1?keywords=White+Pearl+Sparkle+Ball+Long+Necklace+Pendant&amp;qid=1695258828&amp;sr=8-1", "https://www.amazon.com/Pendant-Necklace-Imitation-Necklaces-Birthday/dp/B095JN18BD/ref=sr_1_1?keywords=White+Pearl+Sparkle+Ball+Long+Necklace+Pendant&amp;qid=1695258828&amp;sr=8-1")</f>
        <v>https://www.amazon.com/Pendant-Necklace-Imitation-Necklaces-Birthday/dp/B095JN18BD/ref=sr_1_1?keywords=White+Pearl+Sparkle+Ball+Long+Necklace+Pendant&amp;qid=1695258828&amp;sr=8-1</v>
      </c>
      <c r="F1050" t="s">
        <v>2428</v>
      </c>
      <c r="G1050" t="e">
        <f ca="1">IMAGE("https://heavenlyouthouse.com/cdn/shop/products/19SBNPLPRL-white-pearl-long-necklace-hillberg-and-berk.webp?v=1652993897")</f>
        <v>#NAME?</v>
      </c>
      <c r="H1050" t="e">
        <f ca="1">IMAGE("https://m.media-amazon.com/images/I/317-ImA93-S._AC_UL320_.jpg")</f>
        <v>#NAME?</v>
      </c>
      <c r="I1050" t="s">
        <v>2417</v>
      </c>
      <c r="J1050">
        <v>8.99</v>
      </c>
      <c r="K1050" s="2" t="s">
        <v>2423</v>
      </c>
      <c r="L1050">
        <v>5</v>
      </c>
      <c r="M1050">
        <v>2</v>
      </c>
      <c r="O1050" t="s">
        <v>39</v>
      </c>
      <c r="P1050" t="s">
        <v>39</v>
      </c>
      <c r="Q1050" t="s">
        <v>2418</v>
      </c>
    </row>
    <row r="1051" spans="1:17" ht="15.75" x14ac:dyDescent="0.25">
      <c r="A1051" s="3" t="str">
        <f>HYPERLINK("https://heavenlyouthouse.com/products/prayer", "https://heavenlyouthouse.com/products/prayer")</f>
        <v>https://heavenlyouthouse.com/products/prayer</v>
      </c>
      <c r="B1051" s="3" t="str">
        <f>HYPERLINK("https://heavenlyouthouse.com/products/prayer", "https://heavenlyouthouse.com/products/prayer")</f>
        <v>https://heavenlyouthouse.com/products/prayer</v>
      </c>
      <c r="C1051" t="s">
        <v>2339</v>
      </c>
      <c r="D1051" t="s">
        <v>2429</v>
      </c>
      <c r="E1051" s="3" t="str">
        <f>HYPERLINK("https://www.amazon.com/chuanglian-Bird-Hut-Meditation-Circumstellar-Decompression/dp/B08W251F3R/ref=sr_1_3?keywords=Prayer+Meditation+Ring&amp;qid=1695258646&amp;sr=8-3", "https://www.amazon.com/chuanglian-Bird-Hut-Meditation-Circumstellar-Decompression/dp/B08W251F3R/ref=sr_1_3?keywords=Prayer+Meditation+Ring&amp;qid=1695258646&amp;sr=8-3")</f>
        <v>https://www.amazon.com/chuanglian-Bird-Hut-Meditation-Circumstellar-Decompression/dp/B08W251F3R/ref=sr_1_3?keywords=Prayer+Meditation+Ring&amp;qid=1695258646&amp;sr=8-3</v>
      </c>
      <c r="F1051" t="s">
        <v>2430</v>
      </c>
      <c r="G1051" t="e">
        <f ca="1">IMAGE("https://heavenlyouthouse.com/cdn/shop/products/Prayer.gif?v=1605130167")</f>
        <v>#NAME?</v>
      </c>
      <c r="H1051" t="e">
        <f ca="1">IMAGE("https://m.media-amazon.com/images/I/81cGz09sELL._AC_UL320_.jpg")</f>
        <v>#NAME?</v>
      </c>
      <c r="I1051" t="s">
        <v>2342</v>
      </c>
      <c r="J1051">
        <v>18.22</v>
      </c>
      <c r="K1051" s="2" t="s">
        <v>2431</v>
      </c>
      <c r="L1051">
        <v>4.5</v>
      </c>
      <c r="M1051">
        <v>169</v>
      </c>
      <c r="O1051" t="s">
        <v>39</v>
      </c>
      <c r="P1051" t="s">
        <v>39</v>
      </c>
      <c r="Q1051" t="s">
        <v>2344</v>
      </c>
    </row>
    <row r="1052" spans="1:17" ht="15.75" x14ac:dyDescent="0.25">
      <c r="A1052" s="3" t="str">
        <f>HYPERLINK("https://heavenlyouthouse.com/products/promise", "https://heavenlyouthouse.com/products/promise")</f>
        <v>https://heavenlyouthouse.com/products/promise</v>
      </c>
      <c r="B1052" s="3" t="str">
        <f>HYPERLINK("https://heavenlyouthouse.com/products/promise", "https://heavenlyouthouse.com/products/promise")</f>
        <v>https://heavenlyouthouse.com/products/promise</v>
      </c>
      <c r="C1052" t="s">
        <v>2419</v>
      </c>
      <c r="D1052" t="s">
        <v>2432</v>
      </c>
      <c r="E1052" s="3" t="str">
        <f>HYPERLINK("https://www.amazon.com/Sterling-Spinner-Meditation-Handmade-Promise/dp/B09QL99BJT/ref=sr_1_2?keywords=Promise+Meditation+Ring&amp;qid=1695258654&amp;sr=8-2", "https://www.amazon.com/Sterling-Spinner-Meditation-Handmade-Promise/dp/B09QL99BJT/ref=sr_1_2?keywords=Promise+Meditation+Ring&amp;qid=1695258654&amp;sr=8-2")</f>
        <v>https://www.amazon.com/Sterling-Spinner-Meditation-Handmade-Promise/dp/B09QL99BJT/ref=sr_1_2?keywords=Promise+Meditation+Ring&amp;qid=1695258654&amp;sr=8-2</v>
      </c>
      <c r="F1052" t="s">
        <v>2433</v>
      </c>
      <c r="G1052" t="e">
        <f ca="1">IMAGE("https://heavenlyouthouse.com/cdn/shop/products/Promise.gif?v=1605131679")</f>
        <v>#NAME?</v>
      </c>
      <c r="H1052" t="e">
        <f ca="1">IMAGE("https://m.media-amazon.com/images/I/41xBLhxG+PL._AC_UL320_.jpg")</f>
        <v>#NAME?</v>
      </c>
      <c r="I1052" t="s">
        <v>2422</v>
      </c>
      <c r="J1052">
        <v>24.99</v>
      </c>
      <c r="K1052" s="2" t="s">
        <v>2431</v>
      </c>
      <c r="L1052">
        <v>4.3</v>
      </c>
      <c r="M1052">
        <v>10</v>
      </c>
      <c r="O1052" t="s">
        <v>39</v>
      </c>
      <c r="P1052" t="s">
        <v>39</v>
      </c>
      <c r="Q1052" t="s">
        <v>2424</v>
      </c>
    </row>
    <row r="1053" spans="1:17" ht="15.75" x14ac:dyDescent="0.25">
      <c r="A1053" s="3" t="str">
        <f t="shared" ref="A1053:B1055" si="10">HYPERLINK("https://heavenlyouthouse.com/products/prayer", "https://heavenlyouthouse.com/products/prayer")</f>
        <v>https://heavenlyouthouse.com/products/prayer</v>
      </c>
      <c r="B1053" s="3" t="str">
        <f t="shared" si="10"/>
        <v>https://heavenlyouthouse.com/products/prayer</v>
      </c>
      <c r="C1053" t="s">
        <v>2339</v>
      </c>
      <c r="D1053" t="s">
        <v>2434</v>
      </c>
      <c r="E1053" s="3" t="str">
        <f>HYPERLINK("https://www.amazon.com/Electronic-Counter-Counting-Buddhist-Meditation/dp/B09D7YCD9S/ref=sr_1_4?keywords=Prayer+Meditation+Ring&amp;qid=1695258646&amp;sr=8-4", "https://www.amazon.com/Electronic-Counter-Counting-Buddhist-Meditation/dp/B09D7YCD9S/ref=sr_1_4?keywords=Prayer+Meditation+Ring&amp;qid=1695258646&amp;sr=8-4")</f>
        <v>https://www.amazon.com/Electronic-Counter-Counting-Buddhist-Meditation/dp/B09D7YCD9S/ref=sr_1_4?keywords=Prayer+Meditation+Ring&amp;qid=1695258646&amp;sr=8-4</v>
      </c>
      <c r="F1053" t="s">
        <v>2435</v>
      </c>
      <c r="G1053" t="e">
        <f ca="1">IMAGE("https://heavenlyouthouse.com/cdn/shop/products/Prayer.gif?v=1605130167")</f>
        <v>#NAME?</v>
      </c>
      <c r="H1053" t="e">
        <f ca="1">IMAGE("https://m.media-amazon.com/images/I/61qOmNEGgDL._AC_UL320_.jpg")</f>
        <v>#NAME?</v>
      </c>
      <c r="I1053" t="s">
        <v>2342</v>
      </c>
      <c r="J1053">
        <v>15.73</v>
      </c>
      <c r="K1053" s="2" t="s">
        <v>2431</v>
      </c>
      <c r="L1053">
        <v>4.8</v>
      </c>
      <c r="M1053">
        <v>14</v>
      </c>
      <c r="O1053" t="s">
        <v>39</v>
      </c>
      <c r="P1053" t="s">
        <v>39</v>
      </c>
      <c r="Q1053" t="s">
        <v>2344</v>
      </c>
    </row>
    <row r="1054" spans="1:17" ht="15.75" x14ac:dyDescent="0.25">
      <c r="A1054" s="3" t="str">
        <f t="shared" si="10"/>
        <v>https://heavenlyouthouse.com/products/prayer</v>
      </c>
      <c r="B1054" s="3" t="str">
        <f t="shared" si="10"/>
        <v>https://heavenlyouthouse.com/products/prayer</v>
      </c>
      <c r="C1054" t="s">
        <v>2339</v>
      </c>
      <c r="D1054" t="s">
        <v>2436</v>
      </c>
      <c r="E1054" s="3" t="str">
        <f>HYPERLINK("https://www.amazon.com/Tibetan-Diameter-Meditation-Relaxation-Mindfulness/dp/B08PZFX79B/ref=sr_1_6?keywords=Prayer+Meditation+Ring&amp;qid=1695258646&amp;sr=8-6", "https://www.amazon.com/Tibetan-Diameter-Meditation-Relaxation-Mindfulness/dp/B08PZFX79B/ref=sr_1_6?keywords=Prayer+Meditation+Ring&amp;qid=1695258646&amp;sr=8-6")</f>
        <v>https://www.amazon.com/Tibetan-Diameter-Meditation-Relaxation-Mindfulness/dp/B08PZFX79B/ref=sr_1_6?keywords=Prayer+Meditation+Ring&amp;qid=1695258646&amp;sr=8-6</v>
      </c>
      <c r="F1054" t="s">
        <v>2437</v>
      </c>
      <c r="G1054" t="e">
        <f ca="1">IMAGE("https://heavenlyouthouse.com/cdn/shop/products/Prayer.gif?v=1605130167")</f>
        <v>#NAME?</v>
      </c>
      <c r="H1054" t="e">
        <f ca="1">IMAGE("https://m.media-amazon.com/images/I/71iOlYexYVL._AC_UL320_.jpg")</f>
        <v>#NAME?</v>
      </c>
      <c r="I1054" t="s">
        <v>2342</v>
      </c>
      <c r="J1054">
        <v>12.09</v>
      </c>
      <c r="K1054" s="2" t="s">
        <v>2438</v>
      </c>
      <c r="L1054">
        <v>1</v>
      </c>
      <c r="M1054">
        <v>1</v>
      </c>
      <c r="O1054" t="s">
        <v>39</v>
      </c>
      <c r="P1054" t="s">
        <v>39</v>
      </c>
      <c r="Q1054" t="s">
        <v>2344</v>
      </c>
    </row>
    <row r="1055" spans="1:17" ht="15.75" x14ac:dyDescent="0.25">
      <c r="A1055" s="3" t="str">
        <f t="shared" si="10"/>
        <v>https://heavenlyouthouse.com/products/prayer</v>
      </c>
      <c r="B1055" s="3" t="str">
        <f t="shared" si="10"/>
        <v>https://heavenlyouthouse.com/products/prayer</v>
      </c>
      <c r="C1055" t="s">
        <v>2339</v>
      </c>
      <c r="D1055" t="s">
        <v>2439</v>
      </c>
      <c r="E1055" s="3" t="str">
        <f>HYPERLINK("https://www.amazon.com/Alfalfalulu-Handmade-Meditation-Circumstellar-Decompression/dp/B0C25568QG/ref=sr_1_8?keywords=Prayer+Meditation+Ring&amp;qid=1695258646&amp;sr=8-8", "https://www.amazon.com/Alfalfalulu-Handmade-Meditation-Circumstellar-Decompression/dp/B0C25568QG/ref=sr_1_8?keywords=Prayer+Meditation+Ring&amp;qid=1695258646&amp;sr=8-8")</f>
        <v>https://www.amazon.com/Alfalfalulu-Handmade-Meditation-Circumstellar-Decompression/dp/B0C25568QG/ref=sr_1_8?keywords=Prayer+Meditation+Ring&amp;qid=1695258646&amp;sr=8-8</v>
      </c>
      <c r="F1055" t="s">
        <v>2440</v>
      </c>
      <c r="G1055" t="e">
        <f ca="1">IMAGE("https://heavenlyouthouse.com/cdn/shop/products/Prayer.gif?v=1605130167")</f>
        <v>#NAME?</v>
      </c>
      <c r="H1055" t="e">
        <f ca="1">IMAGE("https://m.media-amazon.com/images/I/610cHq33ELL._AC_UL320_.jpg")</f>
        <v>#NAME?</v>
      </c>
      <c r="I1055" t="s">
        <v>2342</v>
      </c>
      <c r="J1055">
        <v>11.99</v>
      </c>
      <c r="K1055" s="2" t="s">
        <v>2438</v>
      </c>
      <c r="L1055">
        <v>4.2</v>
      </c>
      <c r="M1055">
        <v>3</v>
      </c>
      <c r="O1055" t="s">
        <v>39</v>
      </c>
      <c r="P1055" t="s">
        <v>39</v>
      </c>
      <c r="Q1055" t="s">
        <v>2344</v>
      </c>
    </row>
    <row r="1056" spans="1:17" ht="15.75" x14ac:dyDescent="0.25">
      <c r="A1056" s="3" t="str">
        <f>HYPERLINK("https://heavenlyouthouse.com/products/star-meditation-ring", "https://heavenlyouthouse.com/products/star-meditation-ring")</f>
        <v>https://heavenlyouthouse.com/products/star-meditation-ring</v>
      </c>
      <c r="B1056" s="3" t="str">
        <f>HYPERLINK("https://heavenlyouthouse.com/products/star-meditation-ring", "https://heavenlyouthouse.com/products/star-meditation-ring")</f>
        <v>https://heavenlyouthouse.com/products/star-meditation-ring</v>
      </c>
      <c r="C1056" t="s">
        <v>2400</v>
      </c>
      <c r="D1056" t="s">
        <v>2441</v>
      </c>
      <c r="E1056" s="3" t="str">
        <f>HYPERLINK("https://www.amazon.com/MOROYA-Stainless-Spinner-Relieving-Meditation/dp/B09JSN6L6T/ref=sr_1_2?keywords=Star+Meditation+Ring&amp;qid=1695258692&amp;sr=8-2", "https://www.amazon.com/MOROYA-Stainless-Spinner-Relieving-Meditation/dp/B09JSN6L6T/ref=sr_1_2?keywords=Star+Meditation+Ring&amp;qid=1695258692&amp;sr=8-2")</f>
        <v>https://www.amazon.com/MOROYA-Stainless-Spinner-Relieving-Meditation/dp/B09JSN6L6T/ref=sr_1_2?keywords=Star+Meditation+Ring&amp;qid=1695258692&amp;sr=8-2</v>
      </c>
      <c r="F1056" t="s">
        <v>2442</v>
      </c>
      <c r="G1056" t="e">
        <f ca="1">IMAGE("https://heavenlyouthouse.com/cdn/shop/products/star-meditation-ring.webp?v=1677111299")</f>
        <v>#NAME?</v>
      </c>
      <c r="H1056" t="e">
        <f ca="1">IMAGE("https://m.media-amazon.com/images/I/714VJ7q8Q5L._AC_UL320_.jpg")</f>
        <v>#NAME?</v>
      </c>
      <c r="I1056" t="s">
        <v>2403</v>
      </c>
      <c r="J1056">
        <v>8.9700000000000006</v>
      </c>
      <c r="K1056" s="2" t="s">
        <v>2443</v>
      </c>
      <c r="L1056">
        <v>4.3</v>
      </c>
      <c r="M1056">
        <v>380</v>
      </c>
      <c r="O1056" t="s">
        <v>39</v>
      </c>
      <c r="P1056" t="s">
        <v>39</v>
      </c>
      <c r="Q1056" t="s">
        <v>2404</v>
      </c>
    </row>
    <row r="1057" spans="1:17" ht="15.75" x14ac:dyDescent="0.25">
      <c r="A1057" s="3" t="str">
        <f>HYPERLINK("https://heavenlyouthouse.com/products/sun", "https://heavenlyouthouse.com/products/sun")</f>
        <v>https://heavenlyouthouse.com/products/sun</v>
      </c>
      <c r="B1057" s="3" t="str">
        <f>HYPERLINK("https://heavenlyouthouse.com/products/sun", "https://heavenlyouthouse.com/products/sun")</f>
        <v>https://heavenlyouthouse.com/products/sun</v>
      </c>
      <c r="C1057" t="s">
        <v>2371</v>
      </c>
      <c r="D1057" t="s">
        <v>2397</v>
      </c>
      <c r="E1057" s="3" t="str">
        <f>HYPERLINK("https://www.amazon.com/Adjustable-Bohemian-Moonstone-Meditation-Delicate/dp/B0C4Z26DB3/ref=sr_1_1?keywords=Sun+Meditation+Ring&amp;qid=1695258709&amp;sr=8-1", "https://www.amazon.com/Adjustable-Bohemian-Moonstone-Meditation-Delicate/dp/B0C4Z26DB3/ref=sr_1_1?keywords=Sun+Meditation+Ring&amp;qid=1695258709&amp;sr=8-1")</f>
        <v>https://www.amazon.com/Adjustable-Bohemian-Moonstone-Meditation-Delicate/dp/B0C4Z26DB3/ref=sr_1_1?keywords=Sun+Meditation+Ring&amp;qid=1695258709&amp;sr=8-1</v>
      </c>
      <c r="F1057" t="s">
        <v>2408</v>
      </c>
      <c r="G1057" t="e">
        <f ca="1">IMAGE("https://heavenlyouthouse.com/cdn/shop/products/Sun.gif?v=1605130951")</f>
        <v>#NAME?</v>
      </c>
      <c r="H1057" t="e">
        <f ca="1">IMAGE("https://m.media-amazon.com/images/I/61upMymOJ-L._AC_UL320_.jpg")</f>
        <v>#NAME?</v>
      </c>
      <c r="I1057" t="s">
        <v>2374</v>
      </c>
      <c r="J1057">
        <v>9.99</v>
      </c>
      <c r="K1057" s="2" t="s">
        <v>2443</v>
      </c>
      <c r="L1057">
        <v>4.9000000000000004</v>
      </c>
      <c r="M1057">
        <v>13</v>
      </c>
      <c r="O1057" t="s">
        <v>39</v>
      </c>
      <c r="P1057" t="s">
        <v>39</v>
      </c>
      <c r="Q1057" t="s">
        <v>2376</v>
      </c>
    </row>
    <row r="1058" spans="1:17" ht="15.75" x14ac:dyDescent="0.25">
      <c r="A1058" s="3" t="str">
        <f t="shared" ref="A1058:B1061" si="11">HYPERLINK("https://heavenlyouthouse.com/products/star-meditation-ring", "https://heavenlyouthouse.com/products/star-meditation-ring")</f>
        <v>https://heavenlyouthouse.com/products/star-meditation-ring</v>
      </c>
      <c r="B1058" s="3" t="str">
        <f t="shared" si="11"/>
        <v>https://heavenlyouthouse.com/products/star-meditation-ring</v>
      </c>
      <c r="C1058" t="s">
        <v>2400</v>
      </c>
      <c r="D1058" t="s">
        <v>2444</v>
      </c>
      <c r="E1058" s="3" t="str">
        <f>HYPERLINK("https://www.amazon.com/LOYALLOOK-Stainless-Interlocked-Relieving-Meditation/dp/B08Z36Q4WJ/ref=sr_1_3?keywords=Star+Meditation+Ring&amp;qid=1695258692&amp;sr=8-3", "https://www.amazon.com/LOYALLOOK-Stainless-Interlocked-Relieving-Meditation/dp/B08Z36Q4WJ/ref=sr_1_3?keywords=Star+Meditation+Ring&amp;qid=1695258692&amp;sr=8-3")</f>
        <v>https://www.amazon.com/LOYALLOOK-Stainless-Interlocked-Relieving-Meditation/dp/B08Z36Q4WJ/ref=sr_1_3?keywords=Star+Meditation+Ring&amp;qid=1695258692&amp;sr=8-3</v>
      </c>
      <c r="F1058" t="s">
        <v>2445</v>
      </c>
      <c r="G1058" t="e">
        <f ca="1">IMAGE("https://heavenlyouthouse.com/cdn/shop/products/star-meditation-ring.webp?v=1677111299")</f>
        <v>#NAME?</v>
      </c>
      <c r="H1058" t="e">
        <f ca="1">IMAGE("https://m.media-amazon.com/images/I/81R5jiMjHfL._AC_UL320_.jpg")</f>
        <v>#NAME?</v>
      </c>
      <c r="I1058" t="s">
        <v>2403</v>
      </c>
      <c r="J1058">
        <v>6.99</v>
      </c>
      <c r="K1058" s="2" t="s">
        <v>2443</v>
      </c>
      <c r="L1058">
        <v>3.9</v>
      </c>
      <c r="M1058">
        <v>36</v>
      </c>
      <c r="O1058" t="s">
        <v>39</v>
      </c>
      <c r="P1058" t="s">
        <v>39</v>
      </c>
      <c r="Q1058" t="s">
        <v>2404</v>
      </c>
    </row>
    <row r="1059" spans="1:17" ht="15.75" x14ac:dyDescent="0.25">
      <c r="A1059" s="3" t="str">
        <f t="shared" si="11"/>
        <v>https://heavenlyouthouse.com/products/star-meditation-ring</v>
      </c>
      <c r="B1059" s="3" t="str">
        <f t="shared" si="11"/>
        <v>https://heavenlyouthouse.com/products/star-meditation-ring</v>
      </c>
      <c r="C1059" t="s">
        <v>2400</v>
      </c>
      <c r="D1059" t="s">
        <v>2444</v>
      </c>
      <c r="E1059" s="3" t="str">
        <f>HYPERLINK("https://www.amazon.com/LOYALLOOK-Stainless-Interlocked-Relieving-Meditation/dp/B08Z31FQVR/ref=sr_1_4?keywords=Star+Meditation+Ring&amp;qid=1695258692&amp;sr=8-4", "https://www.amazon.com/LOYALLOOK-Stainless-Interlocked-Relieving-Meditation/dp/B08Z31FQVR/ref=sr_1_4?keywords=Star+Meditation+Ring&amp;qid=1695258692&amp;sr=8-4")</f>
        <v>https://www.amazon.com/LOYALLOOK-Stainless-Interlocked-Relieving-Meditation/dp/B08Z31FQVR/ref=sr_1_4?keywords=Star+Meditation+Ring&amp;qid=1695258692&amp;sr=8-4</v>
      </c>
      <c r="F1059" t="s">
        <v>2446</v>
      </c>
      <c r="G1059" t="e">
        <f ca="1">IMAGE("https://heavenlyouthouse.com/cdn/shop/products/star-meditation-ring.webp?v=1677111299")</f>
        <v>#NAME?</v>
      </c>
      <c r="H1059" t="e">
        <f ca="1">IMAGE("https://m.media-amazon.com/images/I/81R5jiMjHfL._AC_UL320_.jpg")</f>
        <v>#NAME?</v>
      </c>
      <c r="I1059" t="s">
        <v>2403</v>
      </c>
      <c r="J1059">
        <v>6.99</v>
      </c>
      <c r="K1059" s="2" t="s">
        <v>2443</v>
      </c>
      <c r="L1059">
        <v>4.3</v>
      </c>
      <c r="M1059">
        <v>57</v>
      </c>
      <c r="O1059" t="s">
        <v>39</v>
      </c>
      <c r="P1059" t="s">
        <v>39</v>
      </c>
      <c r="Q1059" t="s">
        <v>2404</v>
      </c>
    </row>
    <row r="1060" spans="1:17" ht="15.75" x14ac:dyDescent="0.25">
      <c r="A1060" s="3" t="str">
        <f t="shared" si="11"/>
        <v>https://heavenlyouthouse.com/products/star-meditation-ring</v>
      </c>
      <c r="B1060" s="3" t="str">
        <f t="shared" si="11"/>
        <v>https://heavenlyouthouse.com/products/star-meditation-ring</v>
      </c>
      <c r="C1060" t="s">
        <v>2400</v>
      </c>
      <c r="D1060" t="s">
        <v>2444</v>
      </c>
      <c r="E1060" s="3" t="str">
        <f>HYPERLINK("https://www.amazon.com/LOYALLOOK-Stainless-Interlocked-Relieving-Meditation/dp/B08Z3BFK9S/ref=sr_1_6?keywords=Star+Meditation+Ring&amp;qid=1695258692&amp;sr=8-6", "https://www.amazon.com/LOYALLOOK-Stainless-Interlocked-Relieving-Meditation/dp/B08Z3BFK9S/ref=sr_1_6?keywords=Star+Meditation+Ring&amp;qid=1695258692&amp;sr=8-6")</f>
        <v>https://www.amazon.com/LOYALLOOK-Stainless-Interlocked-Relieving-Meditation/dp/B08Z3BFK9S/ref=sr_1_6?keywords=Star+Meditation+Ring&amp;qid=1695258692&amp;sr=8-6</v>
      </c>
      <c r="F1060" t="s">
        <v>2447</v>
      </c>
      <c r="G1060" t="e">
        <f ca="1">IMAGE("https://heavenlyouthouse.com/cdn/shop/products/star-meditation-ring.webp?v=1677111299")</f>
        <v>#NAME?</v>
      </c>
      <c r="H1060" t="e">
        <f ca="1">IMAGE("https://m.media-amazon.com/images/I/81R5jiMjHfL._AC_UL320_.jpg")</f>
        <v>#NAME?</v>
      </c>
      <c r="I1060" t="s">
        <v>2403</v>
      </c>
      <c r="J1060">
        <v>5.99</v>
      </c>
      <c r="K1060" s="2" t="s">
        <v>2443</v>
      </c>
      <c r="L1060">
        <v>4.0999999999999996</v>
      </c>
      <c r="M1060">
        <v>16</v>
      </c>
      <c r="O1060" t="s">
        <v>39</v>
      </c>
      <c r="P1060" t="s">
        <v>39</v>
      </c>
      <c r="Q1060" t="s">
        <v>2404</v>
      </c>
    </row>
    <row r="1061" spans="1:17" ht="15.75" x14ac:dyDescent="0.25">
      <c r="A1061" s="3" t="str">
        <f t="shared" si="11"/>
        <v>https://heavenlyouthouse.com/products/star-meditation-ring</v>
      </c>
      <c r="B1061" s="3" t="str">
        <f t="shared" si="11"/>
        <v>https://heavenlyouthouse.com/products/star-meditation-ring</v>
      </c>
      <c r="C1061" t="s">
        <v>2400</v>
      </c>
      <c r="D1061" t="s">
        <v>2448</v>
      </c>
      <c r="E1061" s="3" t="str">
        <f>HYPERLINK("https://www.amazon.com/FIBO-STEEL-Stainless-Meditation-Relieving/dp/B08Z7LJBYR/ref=sr_1_1?keywords=Star+Meditation+Ring&amp;qid=1695258692&amp;sr=8-1", "https://www.amazon.com/FIBO-STEEL-Stainless-Meditation-Relieving/dp/B08Z7LJBYR/ref=sr_1_1?keywords=Star+Meditation+Ring&amp;qid=1695258692&amp;sr=8-1")</f>
        <v>https://www.amazon.com/FIBO-STEEL-Stainless-Meditation-Relieving/dp/B08Z7LJBYR/ref=sr_1_1?keywords=Star+Meditation+Ring&amp;qid=1695258692&amp;sr=8-1</v>
      </c>
      <c r="F1061" t="s">
        <v>2449</v>
      </c>
      <c r="G1061" t="e">
        <f ca="1">IMAGE("https://heavenlyouthouse.com/cdn/shop/products/star-meditation-ring.webp?v=1677111299")</f>
        <v>#NAME?</v>
      </c>
      <c r="H1061" t="e">
        <f ca="1">IMAGE("https://m.media-amazon.com/images/I/81p-7-ZV5gL._AC_UL320_.jpg")</f>
        <v>#NAME?</v>
      </c>
      <c r="I1061" t="s">
        <v>2403</v>
      </c>
      <c r="J1061">
        <v>5.99</v>
      </c>
      <c r="K1061" s="2" t="s">
        <v>2443</v>
      </c>
      <c r="L1061">
        <v>4.2</v>
      </c>
      <c r="M1061">
        <v>159</v>
      </c>
      <c r="O1061" t="s">
        <v>39</v>
      </c>
      <c r="P1061" t="s">
        <v>39</v>
      </c>
      <c r="Q1061" t="s">
        <v>2404</v>
      </c>
    </row>
    <row r="1062" spans="1:17" ht="15.75" x14ac:dyDescent="0.25">
      <c r="A1062" s="3" t="str">
        <f>HYPERLINK("https://heavenlyouthouse.com/products/promise", "https://heavenlyouthouse.com/products/promise")</f>
        <v>https://heavenlyouthouse.com/products/promise</v>
      </c>
      <c r="B1062" s="3" t="str">
        <f>HYPERLINK("https://heavenlyouthouse.com/products/promise", "https://heavenlyouthouse.com/products/promise")</f>
        <v>https://heavenlyouthouse.com/products/promise</v>
      </c>
      <c r="C1062" t="s">
        <v>2419</v>
      </c>
      <c r="D1062" t="s">
        <v>2441</v>
      </c>
      <c r="E1062" s="3" t="str">
        <f>HYPERLINK("https://www.amazon.com/MOROYA-Stainless-Spinner-Relieving-Meditation/dp/B09JSN6L6T/ref=sr_1_6?keywords=Promise+Meditation+Ring&amp;qid=1695258654&amp;sr=8-6", "https://www.amazon.com/MOROYA-Stainless-Spinner-Relieving-Meditation/dp/B09JSN6L6T/ref=sr_1_6?keywords=Promise+Meditation+Ring&amp;qid=1695258654&amp;sr=8-6")</f>
        <v>https://www.amazon.com/MOROYA-Stainless-Spinner-Relieving-Meditation/dp/B09JSN6L6T/ref=sr_1_6?keywords=Promise+Meditation+Ring&amp;qid=1695258654&amp;sr=8-6</v>
      </c>
      <c r="F1062" t="s">
        <v>2442</v>
      </c>
      <c r="G1062" t="e">
        <f ca="1">IMAGE("https://heavenlyouthouse.com/cdn/shop/products/Promise.gif?v=1605131679")</f>
        <v>#NAME?</v>
      </c>
      <c r="H1062" t="e">
        <f ca="1">IMAGE("https://m.media-amazon.com/images/I/714VJ7q8Q5L._AC_UL320_.jpg")</f>
        <v>#NAME?</v>
      </c>
      <c r="I1062" t="s">
        <v>2422</v>
      </c>
      <c r="J1062">
        <v>8.9700000000000006</v>
      </c>
      <c r="K1062" s="2" t="s">
        <v>2443</v>
      </c>
      <c r="L1062">
        <v>4.3</v>
      </c>
      <c r="M1062">
        <v>380</v>
      </c>
      <c r="O1062" t="s">
        <v>39</v>
      </c>
      <c r="P1062" t="s">
        <v>39</v>
      </c>
      <c r="Q1062" t="s">
        <v>2424</v>
      </c>
    </row>
    <row r="1063" spans="1:17" ht="15.75" x14ac:dyDescent="0.25">
      <c r="A1063" s="3" t="str">
        <f>HYPERLINK("https://heavenlyouthouse.com/products/star-meditation-ring", "https://heavenlyouthouse.com/products/star-meditation-ring")</f>
        <v>https://heavenlyouthouse.com/products/star-meditation-ring</v>
      </c>
      <c r="B1063" s="3" t="str">
        <f>HYPERLINK("https://heavenlyouthouse.com/products/star-meditation-ring", "https://heavenlyouthouse.com/products/star-meditation-ring")</f>
        <v>https://heavenlyouthouse.com/products/star-meditation-ring</v>
      </c>
      <c r="C1063" t="s">
        <v>2400</v>
      </c>
      <c r="D1063" t="s">
        <v>2450</v>
      </c>
      <c r="E1063" s="3" t="str">
        <f>HYPERLINK("https://www.amazon.com/UBGICIG-Stainless-Spinner-Meditation-Relieving/dp/B091CDJ46V/ref=sr_1_7?keywords=Star+Meditation+Ring&amp;qid=1695258692&amp;sr=8-7", "https://www.amazon.com/UBGICIG-Stainless-Spinner-Meditation-Relieving/dp/B091CDJ46V/ref=sr_1_7?keywords=Star+Meditation+Ring&amp;qid=1695258692&amp;sr=8-7")</f>
        <v>https://www.amazon.com/UBGICIG-Stainless-Spinner-Meditation-Relieving/dp/B091CDJ46V/ref=sr_1_7?keywords=Star+Meditation+Ring&amp;qid=1695258692&amp;sr=8-7</v>
      </c>
      <c r="F1063" t="s">
        <v>2451</v>
      </c>
      <c r="G1063" t="e">
        <f ca="1">IMAGE("https://heavenlyouthouse.com/cdn/shop/products/star-meditation-ring.webp?v=1677111299")</f>
        <v>#NAME?</v>
      </c>
      <c r="H1063" t="e">
        <f ca="1">IMAGE("https://m.media-amazon.com/images/I/71uuUnY3TIL._AC_UL320_.jpg")</f>
        <v>#NAME?</v>
      </c>
      <c r="I1063" t="s">
        <v>2403</v>
      </c>
      <c r="J1063">
        <v>3.99</v>
      </c>
      <c r="K1063" s="2" t="s">
        <v>2452</v>
      </c>
      <c r="L1063">
        <v>3.5</v>
      </c>
      <c r="M1063">
        <v>9</v>
      </c>
      <c r="O1063" t="s">
        <v>39</v>
      </c>
      <c r="P1063" t="s">
        <v>39</v>
      </c>
      <c r="Q1063" t="s">
        <v>2404</v>
      </c>
    </row>
    <row r="1064" spans="1:17" ht="15.75" x14ac:dyDescent="0.25">
      <c r="A1064" s="3" t="str">
        <f>HYPERLINK("https://heavenlyouthouse.com/products/sun", "https://heavenlyouthouse.com/products/sun")</f>
        <v>https://heavenlyouthouse.com/products/sun</v>
      </c>
      <c r="B1064" s="3" t="str">
        <f>HYPERLINK("https://heavenlyouthouse.com/products/sun", "https://heavenlyouthouse.com/products/sun")</f>
        <v>https://heavenlyouthouse.com/products/sun</v>
      </c>
      <c r="C1064" t="s">
        <v>2371</v>
      </c>
      <c r="D1064" t="s">
        <v>2450</v>
      </c>
      <c r="E1064" s="3" t="str">
        <f>HYPERLINK("https://www.amazon.com/UBGICIG-Stainless-Spinner-Meditation-Relieving/dp/B091CDJ46V/ref=sr_1_5?keywords=Sun+Meditation+Ring&amp;qid=1695258709&amp;sr=8-5", "https://www.amazon.com/UBGICIG-Stainless-Spinner-Meditation-Relieving/dp/B091CDJ46V/ref=sr_1_5?keywords=Sun+Meditation+Ring&amp;qid=1695258709&amp;sr=8-5")</f>
        <v>https://www.amazon.com/UBGICIG-Stainless-Spinner-Meditation-Relieving/dp/B091CDJ46V/ref=sr_1_5?keywords=Sun+Meditation+Ring&amp;qid=1695258709&amp;sr=8-5</v>
      </c>
      <c r="F1064" t="s">
        <v>2451</v>
      </c>
      <c r="G1064" t="e">
        <f ca="1">IMAGE("https://heavenlyouthouse.com/cdn/shop/products/Sun.gif?v=1605130951")</f>
        <v>#NAME?</v>
      </c>
      <c r="H1064" t="e">
        <f ca="1">IMAGE("https://m.media-amazon.com/images/I/71uuUnY3TIL._AC_UL320_.jpg")</f>
        <v>#NAME?</v>
      </c>
      <c r="I1064" t="s">
        <v>2374</v>
      </c>
      <c r="J1064">
        <v>3.99</v>
      </c>
      <c r="K1064" s="2" t="s">
        <v>2452</v>
      </c>
      <c r="L1064">
        <v>3.5</v>
      </c>
      <c r="M1064">
        <v>9</v>
      </c>
      <c r="O1064" t="s">
        <v>39</v>
      </c>
      <c r="P1064" t="s">
        <v>39</v>
      </c>
      <c r="Q1064" t="s">
        <v>2376</v>
      </c>
    </row>
    <row r="1065" spans="1:17" ht="15.75" x14ac:dyDescent="0.25">
      <c r="A1065" s="3" t="str">
        <f>HYPERLINK("https://mbrstore.com/products/vital-liquid-mask/", "https://mbrstore.com/products/vital-liquid-mask/")</f>
        <v>https://mbrstore.com/products/vital-liquid-mask/</v>
      </c>
      <c r="B1065" s="3" t="str">
        <f>HYPERLINK("https://mbrstore.com/products/vital-liquid-mask/", "https://mbrstore.com/products/vital-liquid-mask/")</f>
        <v>https://mbrstore.com/products/vital-liquid-mask/</v>
      </c>
      <c r="C1065" t="s">
        <v>2453</v>
      </c>
      <c r="D1065" t="s">
        <v>2454</v>
      </c>
      <c r="E1065" s="3" t="str">
        <f>HYPERLINK("https://www.amazon.com/BOSS-ME-90-Multi-Effects-Multi-Function-Footswitches/dp/B0CB95FW31/ref=sr_1_8?keywords=Effects&amp;qid=1695258874&amp;sr=8-8", "https://www.amazon.com/BOSS-ME-90-Multi-Effects-Multi-Function-Footswitches/dp/B0CB95FW31/ref=sr_1_8?keywords=Effects&amp;qid=1695258874&amp;sr=8-8")</f>
        <v>https://www.amazon.com/BOSS-ME-90-Multi-Effects-Multi-Function-Footswitches/dp/B0CB95FW31/ref=sr_1_8?keywords=Effects&amp;qid=1695258874&amp;sr=8-8</v>
      </c>
      <c r="F1065" t="s">
        <v>2455</v>
      </c>
      <c r="G1065" t="e">
        <f ca="1">IMAGE("https://mbrstore.com/wp-content/uploads/2022/03/01234_VitalLiquidMask-copy-460x460.jpg")</f>
        <v>#NAME?</v>
      </c>
      <c r="H1065" t="e">
        <f ca="1">IMAGE("https://m.media-amazon.com/images/I/617SJJIeDWL._AC_UL320_.jpg")</f>
        <v>#NAME?</v>
      </c>
      <c r="I1065" t="s">
        <v>748</v>
      </c>
      <c r="J1065">
        <v>347.99</v>
      </c>
      <c r="K1065" s="2" t="s">
        <v>2456</v>
      </c>
      <c r="L1065">
        <v>5</v>
      </c>
      <c r="M1065">
        <v>2</v>
      </c>
      <c r="O1065" t="s">
        <v>26</v>
      </c>
      <c r="P1065" t="s">
        <v>39</v>
      </c>
      <c r="Q1065" t="s">
        <v>2457</v>
      </c>
    </row>
    <row r="1066" spans="1:17" ht="15.75" x14ac:dyDescent="0.25">
      <c r="A1066" s="3" t="str">
        <f>HYPERLINK("https://mbrstore.com/products/vital-liquid-mask/", "https://mbrstore.com/products/vital-liquid-mask/")</f>
        <v>https://mbrstore.com/products/vital-liquid-mask/</v>
      </c>
      <c r="B1066" s="3" t="str">
        <f>HYPERLINK("https://mbrstore.com/products/vital-liquid-mask/", "https://mbrstore.com/products/vital-liquid-mask/")</f>
        <v>https://mbrstore.com/products/vital-liquid-mask/</v>
      </c>
      <c r="C1066" t="s">
        <v>2453</v>
      </c>
      <c r="D1066" t="s">
        <v>2458</v>
      </c>
      <c r="E1066" s="3" t="str">
        <f>HYPERLINK("https://www.amazon.com/Fender-Mustang-LT-25-Digital-Amplifier/dp/B07N29M92M/ref=sr_1_4?keywords=Effects&amp;qid=1695258874&amp;sr=8-4", "https://www.amazon.com/Fender-Mustang-LT-25-Digital-Amplifier/dp/B07N29M92M/ref=sr_1_4?keywords=Effects&amp;qid=1695258874&amp;sr=8-4")</f>
        <v>https://www.amazon.com/Fender-Mustang-LT-25-Digital-Amplifier/dp/B07N29M92M/ref=sr_1_4?keywords=Effects&amp;qid=1695258874&amp;sr=8-4</v>
      </c>
      <c r="F1066" t="s">
        <v>2459</v>
      </c>
      <c r="G1066" t="e">
        <f ca="1">IMAGE("https://mbrstore.com/wp-content/uploads/2022/03/01234_VitalLiquidMask-copy-460x460.jpg")</f>
        <v>#NAME?</v>
      </c>
      <c r="H1066" t="e">
        <f ca="1">IMAGE("https://m.media-amazon.com/images/I/81oKmWyFJPL._AC_UL320_.jpg")</f>
        <v>#NAME?</v>
      </c>
      <c r="I1066" t="s">
        <v>748</v>
      </c>
      <c r="J1066">
        <v>159.99</v>
      </c>
      <c r="K1066" s="2" t="s">
        <v>2460</v>
      </c>
      <c r="L1066">
        <v>4.8</v>
      </c>
      <c r="M1066">
        <v>3110</v>
      </c>
      <c r="O1066" t="s">
        <v>26</v>
      </c>
      <c r="P1066" t="s">
        <v>39</v>
      </c>
      <c r="Q1066" t="s">
        <v>2457</v>
      </c>
    </row>
    <row r="1067" spans="1:17" ht="15.75" x14ac:dyDescent="0.25">
      <c r="A1067" s="3" t="str">
        <f>HYPERLINK("https://mbrstore.com/products/sensitive-liquid-mask/", "https://mbrstore.com/products/sensitive-liquid-mask/")</f>
        <v>https://mbrstore.com/products/sensitive-liquid-mask/</v>
      </c>
      <c r="B1067" s="3" t="str">
        <f>HYPERLINK("https://mbrstore.com/products/sensitive-liquid-mask/", "https://mbrstore.com/products/sensitive-liquid-mask/")</f>
        <v>https://mbrstore.com/products/sensitive-liquid-mask/</v>
      </c>
      <c r="C1067" t="s">
        <v>2453</v>
      </c>
      <c r="D1067" t="s">
        <v>2458</v>
      </c>
      <c r="E1067" s="3" t="str">
        <f>HYPERLINK("https://www.amazon.com/Fender-Mustang-LT-25-Digital-Amplifier/dp/B07N29M92M/ref=sr_1_3?keywords=Effects&amp;qid=1695258877&amp;sr=8-3", "https://www.amazon.com/Fender-Mustang-LT-25-Digital-Amplifier/dp/B07N29M92M/ref=sr_1_3?keywords=Effects&amp;qid=1695258877&amp;sr=8-3")</f>
        <v>https://www.amazon.com/Fender-Mustang-LT-25-Digital-Amplifier/dp/B07N29M92M/ref=sr_1_3?keywords=Effects&amp;qid=1695258877&amp;sr=8-3</v>
      </c>
      <c r="F1067" t="s">
        <v>2459</v>
      </c>
      <c r="G1067" t="e">
        <f ca="1">IMAGE("https://mbrstore.com/wp-content/uploads/2022/03/01527_SensitiveLiquidMask-copy-460x460.jpg")</f>
        <v>#NAME?</v>
      </c>
      <c r="H1067" t="e">
        <f ca="1">IMAGE("https://m.media-amazon.com/images/I/81oKmWyFJPL._AC_UL320_.jpg")</f>
        <v>#NAME?</v>
      </c>
      <c r="I1067" t="s">
        <v>2461</v>
      </c>
      <c r="J1067">
        <v>159.99</v>
      </c>
      <c r="K1067" s="2" t="s">
        <v>2462</v>
      </c>
      <c r="L1067">
        <v>4.8</v>
      </c>
      <c r="M1067">
        <v>3110</v>
      </c>
      <c r="O1067" t="s">
        <v>26</v>
      </c>
      <c r="P1067" t="s">
        <v>39</v>
      </c>
      <c r="Q1067" t="s">
        <v>2463</v>
      </c>
    </row>
    <row r="1068" spans="1:17" ht="15.75" x14ac:dyDescent="0.25">
      <c r="A1068" s="3" t="str">
        <f>HYPERLINK("https://mbrstore.com/products/vital-liquid-mask/", "https://mbrstore.com/products/vital-liquid-mask/")</f>
        <v>https://mbrstore.com/products/vital-liquid-mask/</v>
      </c>
      <c r="B1068" s="3" t="str">
        <f>HYPERLINK("https://mbrstore.com/products/vital-liquid-mask/", "https://mbrstore.com/products/vital-liquid-mask/")</f>
        <v>https://mbrstore.com/products/vital-liquid-mask/</v>
      </c>
      <c r="C1068" t="s">
        <v>2453</v>
      </c>
      <c r="D1068" t="s">
        <v>2464</v>
      </c>
      <c r="E1068" s="3" t="str">
        <f>HYPERLINK("https://www.amazon.com/Zoom-Electric-Guitar-G1X-FOUR/dp/B07MZPR5GP/ref=sr_1_1?keywords=Effects&amp;qid=1695258874&amp;sr=8-1", "https://www.amazon.com/Zoom-Electric-Guitar-G1X-FOUR/dp/B07MZPR5GP/ref=sr_1_1?keywords=Effects&amp;qid=1695258874&amp;sr=8-1")</f>
        <v>https://www.amazon.com/Zoom-Electric-Guitar-G1X-FOUR/dp/B07MZPR5GP/ref=sr_1_1?keywords=Effects&amp;qid=1695258874&amp;sr=8-1</v>
      </c>
      <c r="F1068" t="s">
        <v>2465</v>
      </c>
      <c r="G1068" t="e">
        <f ca="1">IMAGE("https://mbrstore.com/wp-content/uploads/2022/03/01234_VitalLiquidMask-copy-460x460.jpg")</f>
        <v>#NAME?</v>
      </c>
      <c r="H1068" t="e">
        <f ca="1">IMAGE("https://m.media-amazon.com/images/I/81lPUPAo-SL._AC_UL320_.jpg")</f>
        <v>#NAME?</v>
      </c>
      <c r="I1068" t="s">
        <v>748</v>
      </c>
      <c r="J1068">
        <v>119.99</v>
      </c>
      <c r="K1068" s="2" t="s">
        <v>2466</v>
      </c>
      <c r="L1068">
        <v>4.5</v>
      </c>
      <c r="M1068">
        <v>6902</v>
      </c>
      <c r="O1068" t="s">
        <v>26</v>
      </c>
      <c r="P1068" t="s">
        <v>39</v>
      </c>
      <c r="Q1068" t="s">
        <v>2457</v>
      </c>
    </row>
    <row r="1069" spans="1:17" ht="15.75" x14ac:dyDescent="0.25">
      <c r="A1069" s="3" t="str">
        <f>HYPERLINK("https://mbrstore.com/products/sensitive-liquid-mask/", "https://mbrstore.com/products/sensitive-liquid-mask/")</f>
        <v>https://mbrstore.com/products/sensitive-liquid-mask/</v>
      </c>
      <c r="B1069" s="3" t="str">
        <f>HYPERLINK("https://mbrstore.com/products/sensitive-liquid-mask/", "https://mbrstore.com/products/sensitive-liquid-mask/")</f>
        <v>https://mbrstore.com/products/sensitive-liquid-mask/</v>
      </c>
      <c r="C1069" t="s">
        <v>2453</v>
      </c>
      <c r="D1069" t="s">
        <v>2464</v>
      </c>
      <c r="E1069" s="3" t="str">
        <f>HYPERLINK("https://www.amazon.com/Zoom-Electric-Guitar-G1X-FOUR/dp/B07MZPR5GP/ref=sr_1_1?keywords=Effects&amp;qid=1695258877&amp;sr=8-1", "https://www.amazon.com/Zoom-Electric-Guitar-G1X-FOUR/dp/B07MZPR5GP/ref=sr_1_1?keywords=Effects&amp;qid=1695258877&amp;sr=8-1")</f>
        <v>https://www.amazon.com/Zoom-Electric-Guitar-G1X-FOUR/dp/B07MZPR5GP/ref=sr_1_1?keywords=Effects&amp;qid=1695258877&amp;sr=8-1</v>
      </c>
      <c r="F1069" t="s">
        <v>2465</v>
      </c>
      <c r="G1069" t="e">
        <f ca="1">IMAGE("https://mbrstore.com/wp-content/uploads/2022/03/01527_SensitiveLiquidMask-copy-460x460.jpg")</f>
        <v>#NAME?</v>
      </c>
      <c r="H1069" t="e">
        <f ca="1">IMAGE("https://m.media-amazon.com/images/I/81lPUPAo-SL._AC_UL320_.jpg")</f>
        <v>#NAME?</v>
      </c>
      <c r="I1069" t="s">
        <v>2461</v>
      </c>
      <c r="J1069">
        <v>119.99</v>
      </c>
      <c r="K1069" s="2" t="s">
        <v>2467</v>
      </c>
      <c r="L1069">
        <v>4.5</v>
      </c>
      <c r="M1069">
        <v>6902</v>
      </c>
      <c r="O1069" t="s">
        <v>26</v>
      </c>
      <c r="P1069" t="s">
        <v>39</v>
      </c>
      <c r="Q1069" t="s">
        <v>2463</v>
      </c>
    </row>
    <row r="1070" spans="1:17" ht="15.75" x14ac:dyDescent="0.25">
      <c r="A1070" s="3" t="str">
        <f>HYPERLINK("https://mbrstore.com/products/perfect-liquid-mask/", "https://mbrstore.com/products/perfect-liquid-mask/")</f>
        <v>https://mbrstore.com/products/perfect-liquid-mask/</v>
      </c>
      <c r="B1070" s="3" t="str">
        <f>HYPERLINK("https://mbrstore.com/products/perfect-liquid-mask/", "https://mbrstore.com/products/perfect-liquid-mask/")</f>
        <v>https://mbrstore.com/products/perfect-liquid-mask/</v>
      </c>
      <c r="C1070" t="s">
        <v>2453</v>
      </c>
      <c r="D1070" t="s">
        <v>2458</v>
      </c>
      <c r="E1070" s="3" t="str">
        <f>HYPERLINK("https://www.amazon.com/Fender-Mustang-LT-25-Digital-Amplifier/dp/B07N29M92M/ref=sr_1_7?keywords=Effects&amp;qid=1695258875&amp;sr=8-7", "https://www.amazon.com/Fender-Mustang-LT-25-Digital-Amplifier/dp/B07N29M92M/ref=sr_1_7?keywords=Effects&amp;qid=1695258875&amp;sr=8-7")</f>
        <v>https://www.amazon.com/Fender-Mustang-LT-25-Digital-Amplifier/dp/B07N29M92M/ref=sr_1_7?keywords=Effects&amp;qid=1695258875&amp;sr=8-7</v>
      </c>
      <c r="F1070" t="s">
        <v>2459</v>
      </c>
      <c r="G1070" t="e">
        <f ca="1">IMAGE("https://mbrstore.com/wp-content/uploads/2022/03/01456_PerfectLiquidMask-copy-460x460.jpg")</f>
        <v>#NAME?</v>
      </c>
      <c r="H1070" t="e">
        <f ca="1">IMAGE("https://m.media-amazon.com/images/I/81oKmWyFJPL._AC_UL320_.jpg")</f>
        <v>#NAME?</v>
      </c>
      <c r="I1070" t="s">
        <v>2468</v>
      </c>
      <c r="J1070">
        <v>159.99</v>
      </c>
      <c r="K1070" s="2" t="s">
        <v>2469</v>
      </c>
      <c r="L1070">
        <v>4.8</v>
      </c>
      <c r="M1070">
        <v>3110</v>
      </c>
      <c r="O1070" t="s">
        <v>26</v>
      </c>
      <c r="P1070" t="s">
        <v>39</v>
      </c>
      <c r="Q1070" t="s">
        <v>2470</v>
      </c>
    </row>
    <row r="1071" spans="1:17" ht="15.75" x14ac:dyDescent="0.25">
      <c r="A1071" s="3" t="str">
        <f>HYPERLINK("https://mbrstore.com/products/perfect-liquid-mask/", "https://mbrstore.com/products/perfect-liquid-mask/")</f>
        <v>https://mbrstore.com/products/perfect-liquid-mask/</v>
      </c>
      <c r="B1071" s="3" t="str">
        <f>HYPERLINK("https://mbrstore.com/products/perfect-liquid-mask/", "https://mbrstore.com/products/perfect-liquid-mask/")</f>
        <v>https://mbrstore.com/products/perfect-liquid-mask/</v>
      </c>
      <c r="C1071" t="s">
        <v>2453</v>
      </c>
      <c r="D1071" t="s">
        <v>2464</v>
      </c>
      <c r="E1071" s="3" t="str">
        <f>HYPERLINK("https://www.amazon.com/Zoom-Electric-Guitar-G1X-FOUR/dp/B07MZPR5GP/ref=sr_1_5?keywords=Effects&amp;qid=1695258875&amp;sr=8-5", "https://www.amazon.com/Zoom-Electric-Guitar-G1X-FOUR/dp/B07MZPR5GP/ref=sr_1_5?keywords=Effects&amp;qid=1695258875&amp;sr=8-5")</f>
        <v>https://www.amazon.com/Zoom-Electric-Guitar-G1X-FOUR/dp/B07MZPR5GP/ref=sr_1_5?keywords=Effects&amp;qid=1695258875&amp;sr=8-5</v>
      </c>
      <c r="F1071" t="s">
        <v>2465</v>
      </c>
      <c r="G1071" t="e">
        <f ca="1">IMAGE("https://mbrstore.com/wp-content/uploads/2022/03/01456_PerfectLiquidMask-copy-460x460.jpg")</f>
        <v>#NAME?</v>
      </c>
      <c r="H1071" t="e">
        <f ca="1">IMAGE("https://m.media-amazon.com/images/I/81lPUPAo-SL._AC_UL320_.jpg")</f>
        <v>#NAME?</v>
      </c>
      <c r="I1071" t="s">
        <v>2468</v>
      </c>
      <c r="J1071">
        <v>119.99</v>
      </c>
      <c r="K1071" s="2" t="s">
        <v>2471</v>
      </c>
      <c r="L1071">
        <v>4.5</v>
      </c>
      <c r="M1071">
        <v>6902</v>
      </c>
      <c r="O1071" t="s">
        <v>26</v>
      </c>
      <c r="P1071" t="s">
        <v>39</v>
      </c>
      <c r="Q1071" t="s">
        <v>2470</v>
      </c>
    </row>
    <row r="1072" spans="1:17" ht="15.75" x14ac:dyDescent="0.25">
      <c r="A1072" s="3" t="str">
        <f>HYPERLINK("https://mbrstore.com/products/shower-care/", "https://mbrstore.com/products/shower-care/")</f>
        <v>https://mbrstore.com/products/shower-care/</v>
      </c>
      <c r="B1072" s="3" t="str">
        <f>HYPERLINK("https://mbrstore.com/products/shower-care/", "https://mbrstore.com/products/shower-care/")</f>
        <v>https://mbrstore.com/products/shower-care/</v>
      </c>
      <c r="C1072" t="s">
        <v>2453</v>
      </c>
      <c r="D1072" t="s">
        <v>2458</v>
      </c>
      <c r="E1072" s="3" t="str">
        <f>HYPERLINK("https://www.amazon.com/Fender-Mustang-LT-25-Digital-Amplifier/dp/B07N29M92M/ref=sr_1_8?keywords=Effects&amp;qid=1695258887&amp;sr=8-8", "https://www.amazon.com/Fender-Mustang-LT-25-Digital-Amplifier/dp/B07N29M92M/ref=sr_1_8?keywords=Effects&amp;qid=1695258887&amp;sr=8-8")</f>
        <v>https://www.amazon.com/Fender-Mustang-LT-25-Digital-Amplifier/dp/B07N29M92M/ref=sr_1_8?keywords=Effects&amp;qid=1695258887&amp;sr=8-8</v>
      </c>
      <c r="F1072" t="s">
        <v>2459</v>
      </c>
      <c r="G1072" t="e">
        <f ca="1">IMAGE("https://mbrstore.com/wp-content/uploads/2022/06/01712_ShowerCare_200ml-copy-460x460.jpg")</f>
        <v>#NAME?</v>
      </c>
      <c r="H1072" t="e">
        <f ca="1">IMAGE("https://m.media-amazon.com/images/I/81oKmWyFJPL._AC_UL320_.jpg")</f>
        <v>#NAME?</v>
      </c>
      <c r="I1072" t="s">
        <v>2472</v>
      </c>
      <c r="J1072">
        <v>159.99</v>
      </c>
      <c r="K1072" s="2" t="s">
        <v>2473</v>
      </c>
      <c r="L1072">
        <v>4.8</v>
      </c>
      <c r="M1072">
        <v>3110</v>
      </c>
      <c r="O1072" t="s">
        <v>26</v>
      </c>
      <c r="P1072" t="s">
        <v>39</v>
      </c>
      <c r="Q1072" t="s">
        <v>2474</v>
      </c>
    </row>
    <row r="1073" spans="1:17" ht="15.75" x14ac:dyDescent="0.25">
      <c r="A1073" s="3" t="str">
        <f>HYPERLINK("https://mbrstore.com/products/mild-deo-cream/", "https://mbrstore.com/products/mild-deo-cream/")</f>
        <v>https://mbrstore.com/products/mild-deo-cream/</v>
      </c>
      <c r="B1073" s="3" t="str">
        <f>HYPERLINK("https://mbrstore.com/products/mild-deo-cream/", "https://mbrstore.com/products/mild-deo-cream/")</f>
        <v>https://mbrstore.com/products/mild-deo-cream/</v>
      </c>
      <c r="C1073" t="s">
        <v>2453</v>
      </c>
      <c r="D1073" t="s">
        <v>2458</v>
      </c>
      <c r="E1073" s="3" t="str">
        <f>HYPERLINK("https://www.amazon.com/Fender-Mustang-LT-25-Digital-Amplifier/dp/B07N29M92M/ref=sr_1_6?keywords=Effects&amp;qid=1695258890&amp;sr=8-6", "https://www.amazon.com/Fender-Mustang-LT-25-Digital-Amplifier/dp/B07N29M92M/ref=sr_1_6?keywords=Effects&amp;qid=1695258890&amp;sr=8-6")</f>
        <v>https://www.amazon.com/Fender-Mustang-LT-25-Digital-Amplifier/dp/B07N29M92M/ref=sr_1_6?keywords=Effects&amp;qid=1695258890&amp;sr=8-6</v>
      </c>
      <c r="F1073" t="s">
        <v>2459</v>
      </c>
      <c r="G1073" t="e">
        <f ca="1">IMAGE("https://mbrstore.com/wp-content/uploads/2022/06/01713_MildDeoCream_50ml-copy-460x460.jpg")</f>
        <v>#NAME?</v>
      </c>
      <c r="H1073" t="e">
        <f ca="1">IMAGE("https://m.media-amazon.com/images/I/81oKmWyFJPL._AC_UL320_.jpg")</f>
        <v>#NAME?</v>
      </c>
      <c r="I1073" t="s">
        <v>2475</v>
      </c>
      <c r="J1073">
        <v>159.99</v>
      </c>
      <c r="K1073" s="2" t="s">
        <v>2476</v>
      </c>
      <c r="L1073">
        <v>4.8</v>
      </c>
      <c r="M1073">
        <v>3110</v>
      </c>
      <c r="O1073" t="s">
        <v>26</v>
      </c>
      <c r="P1073" t="s">
        <v>39</v>
      </c>
      <c r="Q1073" t="s">
        <v>2477</v>
      </c>
    </row>
    <row r="1074" spans="1:17" ht="15.75" x14ac:dyDescent="0.25">
      <c r="A1074" s="3" t="str">
        <f>HYPERLINK("https://mbrstore.com/products/cell-power-cream-deodorant/", "https://mbrstore.com/products/cell-power-cream-deodorant/")</f>
        <v>https://mbrstore.com/products/cell-power-cream-deodorant/</v>
      </c>
      <c r="B1074" s="3" t="str">
        <f>HYPERLINK("https://mbrstore.com/products/cell-power-cream-deodorant/", "https://mbrstore.com/products/cell-power-cream-deodorant/")</f>
        <v>https://mbrstore.com/products/cell-power-cream-deodorant/</v>
      </c>
      <c r="C1074" t="s">
        <v>2453</v>
      </c>
      <c r="D1074" t="s">
        <v>2458</v>
      </c>
      <c r="E1074" s="3" t="str">
        <f>HYPERLINK("https://www.amazon.com/Fender-Mustang-LT-25-Digital-Amplifier/dp/B07N29M92M/ref=sr_1_3?keywords=Effects&amp;qid=1695258895&amp;sr=8-3", "https://www.amazon.com/Fender-Mustang-LT-25-Digital-Amplifier/dp/B07N29M92M/ref=sr_1_3?keywords=Effects&amp;qid=1695258895&amp;sr=8-3")</f>
        <v>https://www.amazon.com/Fender-Mustang-LT-25-Digital-Amplifier/dp/B07N29M92M/ref=sr_1_3?keywords=Effects&amp;qid=1695258895&amp;sr=8-3</v>
      </c>
      <c r="F1074" t="s">
        <v>2459</v>
      </c>
      <c r="G1074" t="e">
        <f ca="1">IMAGE("https://mbrstore.com/wp-content/uploads/2022/03/01607_CreamDeodorant_50ml-copy-460x460.jpg")</f>
        <v>#NAME?</v>
      </c>
      <c r="H1074" t="e">
        <f ca="1">IMAGE("https://m.media-amazon.com/images/I/81oKmWyFJPL._AC_UL320_.jpg")</f>
        <v>#NAME?</v>
      </c>
      <c r="I1074" t="s">
        <v>2478</v>
      </c>
      <c r="J1074">
        <v>159.99</v>
      </c>
      <c r="K1074" s="2" t="s">
        <v>2479</v>
      </c>
      <c r="L1074">
        <v>4.8</v>
      </c>
      <c r="M1074">
        <v>3110</v>
      </c>
      <c r="O1074" t="s">
        <v>26</v>
      </c>
      <c r="P1074" t="s">
        <v>39</v>
      </c>
      <c r="Q1074" t="s">
        <v>2480</v>
      </c>
    </row>
    <row r="1075" spans="1:17" ht="15.75" x14ac:dyDescent="0.25">
      <c r="A1075" s="3" t="str">
        <f>HYPERLINK("https://mbrstore.com/products/hair-care/", "https://mbrstore.com/products/hair-care/")</f>
        <v>https://mbrstore.com/products/hair-care/</v>
      </c>
      <c r="B1075" s="3" t="str">
        <f>HYPERLINK("https://mbrstore.com/products/hair-care/", "https://mbrstore.com/products/hair-care/")</f>
        <v>https://mbrstore.com/products/hair-care/</v>
      </c>
      <c r="C1075" t="s">
        <v>2453</v>
      </c>
      <c r="D1075" t="s">
        <v>2458</v>
      </c>
      <c r="E1075" s="3" t="str">
        <f>HYPERLINK("https://www.amazon.com/Fender-Mustang-LT-25-Digital-Amplifier/dp/B07N29M92M/ref=sr_1_8?keywords=Effects&amp;qid=1695258881&amp;sr=8-8", "https://www.amazon.com/Fender-Mustang-LT-25-Digital-Amplifier/dp/B07N29M92M/ref=sr_1_8?keywords=Effects&amp;qid=1695258881&amp;sr=8-8")</f>
        <v>https://www.amazon.com/Fender-Mustang-LT-25-Digital-Amplifier/dp/B07N29M92M/ref=sr_1_8?keywords=Effects&amp;qid=1695258881&amp;sr=8-8</v>
      </c>
      <c r="F1075" t="s">
        <v>2459</v>
      </c>
      <c r="G1075" t="e">
        <f ca="1">IMAGE("https://mbrstore.com/wp-content/uploads/2022/06/01715_HairCare_200ml-copy-460x460.jpg")</f>
        <v>#NAME?</v>
      </c>
      <c r="H1075" t="e">
        <f ca="1">IMAGE("https://m.media-amazon.com/images/I/81oKmWyFJPL._AC_UL320_.jpg")</f>
        <v>#NAME?</v>
      </c>
      <c r="I1075" t="s">
        <v>2478</v>
      </c>
      <c r="J1075">
        <v>159.99</v>
      </c>
      <c r="K1075" s="2" t="s">
        <v>2479</v>
      </c>
      <c r="L1075">
        <v>4.8</v>
      </c>
      <c r="M1075">
        <v>3110</v>
      </c>
      <c r="O1075" t="s">
        <v>26</v>
      </c>
      <c r="P1075" t="s">
        <v>39</v>
      </c>
      <c r="Q1075" t="s">
        <v>2481</v>
      </c>
    </row>
    <row r="1076" spans="1:17" ht="15.75" x14ac:dyDescent="0.25">
      <c r="A1076" s="3" t="str">
        <f>HYPERLINK("https://mbrstore.com/products/basic-lip-id/", "https://mbrstore.com/products/basic-lip-id/")</f>
        <v>https://mbrstore.com/products/basic-lip-id/</v>
      </c>
      <c r="B1076" s="3" t="str">
        <f>HYPERLINK("https://mbrstore.com/products/basic-lip-id/", "https://mbrstore.com/products/basic-lip-id/")</f>
        <v>https://mbrstore.com/products/basic-lip-id/</v>
      </c>
      <c r="C1076" t="s">
        <v>2453</v>
      </c>
      <c r="D1076" t="s">
        <v>2458</v>
      </c>
      <c r="E1076" s="3" t="str">
        <f>HYPERLINK("https://www.amazon.com/Fender-Mustang-LT-25-Digital-Amplifier/dp/B07N29M92M/ref=sr_1_4?keywords=Effects&amp;qid=1695258872&amp;sr=8-4", "https://www.amazon.com/Fender-Mustang-LT-25-Digital-Amplifier/dp/B07N29M92M/ref=sr_1_4?keywords=Effects&amp;qid=1695258872&amp;sr=8-4")</f>
        <v>https://www.amazon.com/Fender-Mustang-LT-25-Digital-Amplifier/dp/B07N29M92M/ref=sr_1_4?keywords=Effects&amp;qid=1695258872&amp;sr=8-4</v>
      </c>
      <c r="F1076" t="s">
        <v>2459</v>
      </c>
      <c r="G1076" t="e">
        <f ca="1">IMAGE("https://mbrstore.com/wp-content/uploads/2022/03/01228_BasicLipID_7-5ml-copy-460x460.jpg")</f>
        <v>#NAME?</v>
      </c>
      <c r="H1076" t="e">
        <f ca="1">IMAGE("https://m.media-amazon.com/images/I/81oKmWyFJPL._AC_UL320_.jpg")</f>
        <v>#NAME?</v>
      </c>
      <c r="I1076" t="s">
        <v>2482</v>
      </c>
      <c r="J1076">
        <v>159.99</v>
      </c>
      <c r="K1076" s="2" t="s">
        <v>2483</v>
      </c>
      <c r="L1076">
        <v>4.8</v>
      </c>
      <c r="M1076">
        <v>3110</v>
      </c>
      <c r="O1076" t="s">
        <v>26</v>
      </c>
      <c r="P1076" t="s">
        <v>39</v>
      </c>
      <c r="Q1076" t="s">
        <v>2484</v>
      </c>
    </row>
    <row r="1077" spans="1:17" ht="15.75" x14ac:dyDescent="0.25">
      <c r="A1077" s="3" t="str">
        <f>HYPERLINK("https://mbrstore.com/products/continueline-enzyme-specialist/", "https://mbrstore.com/products/continueline-enzyme-specialist/")</f>
        <v>https://mbrstore.com/products/continueline-enzyme-specialist/</v>
      </c>
      <c r="B1077" s="3" t="str">
        <f>HYPERLINK("https://mbrstore.com/products/continueline-enzyme-specialist/", "https://mbrstore.com/products/continueline-enzyme-specialist/")</f>
        <v>https://mbrstore.com/products/continueline-enzyme-specialist/</v>
      </c>
      <c r="C1077" t="s">
        <v>2453</v>
      </c>
      <c r="D1077" t="s">
        <v>2454</v>
      </c>
      <c r="E1077" s="3" t="str">
        <f>HYPERLINK("https://www.amazon.com/BOSS-ME-90-Multi-Effects-Multi-Function-Footswitches/dp/B0CB95FW31/ref=sr_1_8?keywords=Effects&amp;qid=1695258878&amp;sr=8-8", "https://www.amazon.com/BOSS-ME-90-Multi-Effects-Multi-Function-Footswitches/dp/B0CB95FW31/ref=sr_1_8?keywords=Effects&amp;qid=1695258878&amp;sr=8-8")</f>
        <v>https://www.amazon.com/BOSS-ME-90-Multi-Effects-Multi-Function-Footswitches/dp/B0CB95FW31/ref=sr_1_8?keywords=Effects&amp;qid=1695258878&amp;sr=8-8</v>
      </c>
      <c r="F1077" t="s">
        <v>2455</v>
      </c>
      <c r="G1077" t="e">
        <f ca="1">IMAGE("https://mbrstore.com/wp-content/uploads/2022/03/01512_EnzymeSpecialist_50ml-copy-460x460.jpg")</f>
        <v>#NAME?</v>
      </c>
      <c r="H1077" t="e">
        <f ca="1">IMAGE("https://m.media-amazon.com/images/I/617SJJIeDWL._AC_UL320_.jpg")</f>
        <v>#NAME?</v>
      </c>
      <c r="I1077" t="s">
        <v>2485</v>
      </c>
      <c r="J1077">
        <v>347.99</v>
      </c>
      <c r="K1077" s="2" t="s">
        <v>2486</v>
      </c>
      <c r="L1077">
        <v>5</v>
      </c>
      <c r="M1077">
        <v>2</v>
      </c>
      <c r="O1077" t="s">
        <v>26</v>
      </c>
      <c r="P1077" t="s">
        <v>2487</v>
      </c>
      <c r="Q1077" t="s">
        <v>2488</v>
      </c>
    </row>
    <row r="1078" spans="1:17" ht="15.75" x14ac:dyDescent="0.25">
      <c r="A1078" s="3" t="str">
        <f>HYPERLINK("https://mbrstore.com/products/shower-care/", "https://mbrstore.com/products/shower-care/")</f>
        <v>https://mbrstore.com/products/shower-care/</v>
      </c>
      <c r="B1078" s="3" t="str">
        <f>HYPERLINK("https://mbrstore.com/products/shower-care/", "https://mbrstore.com/products/shower-care/")</f>
        <v>https://mbrstore.com/products/shower-care/</v>
      </c>
      <c r="C1078" t="s">
        <v>2453</v>
      </c>
      <c r="D1078" t="s">
        <v>2464</v>
      </c>
      <c r="E1078" s="3" t="str">
        <f>HYPERLINK("https://www.amazon.com/Zoom-Electric-Guitar-G1X-FOUR/dp/B07MZPR5GP/ref=sr_1_1?keywords=Effects&amp;qid=1695258887&amp;sr=8-1", "https://www.amazon.com/Zoom-Electric-Guitar-G1X-FOUR/dp/B07MZPR5GP/ref=sr_1_1?keywords=Effects&amp;qid=1695258887&amp;sr=8-1")</f>
        <v>https://www.amazon.com/Zoom-Electric-Guitar-G1X-FOUR/dp/B07MZPR5GP/ref=sr_1_1?keywords=Effects&amp;qid=1695258887&amp;sr=8-1</v>
      </c>
      <c r="F1078" t="s">
        <v>2465</v>
      </c>
      <c r="G1078" t="e">
        <f ca="1">IMAGE("https://mbrstore.com/wp-content/uploads/2022/06/01712_ShowerCare_200ml-copy-460x460.jpg")</f>
        <v>#NAME?</v>
      </c>
      <c r="H1078" t="e">
        <f ca="1">IMAGE("https://m.media-amazon.com/images/I/81lPUPAo-SL._AC_UL320_.jpg")</f>
        <v>#NAME?</v>
      </c>
      <c r="I1078" t="s">
        <v>2472</v>
      </c>
      <c r="J1078">
        <v>119.99</v>
      </c>
      <c r="K1078" s="2" t="s">
        <v>2489</v>
      </c>
      <c r="L1078">
        <v>4.5</v>
      </c>
      <c r="M1078">
        <v>6902</v>
      </c>
      <c r="O1078" t="s">
        <v>26</v>
      </c>
      <c r="P1078" t="s">
        <v>39</v>
      </c>
      <c r="Q1078" t="s">
        <v>2474</v>
      </c>
    </row>
    <row r="1079" spans="1:17" ht="15.75" x14ac:dyDescent="0.25">
      <c r="A1079" s="3" t="str">
        <f>HYPERLINK("https://mbrstore.com/products/continueline-soft-tonic/", "https://mbrstore.com/products/continueline-soft-tonic/")</f>
        <v>https://mbrstore.com/products/continueline-soft-tonic/</v>
      </c>
      <c r="B1079" s="3" t="str">
        <f>HYPERLINK("https://mbrstore.com/products/continueline-soft-tonic/", "https://mbrstore.com/products/continueline-soft-tonic/")</f>
        <v>https://mbrstore.com/products/continueline-soft-tonic/</v>
      </c>
      <c r="C1079" t="s">
        <v>2453</v>
      </c>
      <c r="D1079" t="s">
        <v>2490</v>
      </c>
      <c r="E1079" s="3"/>
      <c r="F1079" t="s">
        <v>2491</v>
      </c>
      <c r="G1079" t="e">
        <f ca="1">IMAGE("https://mbrstore.com/wp-content/uploads/2022/03/01514_SoftTonic_150ml-copy-460x460.jpg")</f>
        <v>#NAME?</v>
      </c>
      <c r="H1079" t="e">
        <f ca="1">IMAGE("https://m.media-amazon.com/images/I/71n53VVee0L._AC_UL320_.jpg")</f>
        <v>#NAME?</v>
      </c>
      <c r="I1079" t="s">
        <v>2492</v>
      </c>
      <c r="J1079">
        <v>215.99</v>
      </c>
      <c r="K1079" s="2" t="s">
        <v>2493</v>
      </c>
      <c r="L1079">
        <v>4.3</v>
      </c>
      <c r="M1079">
        <v>130</v>
      </c>
      <c r="O1079" t="s">
        <v>26</v>
      </c>
      <c r="P1079" t="s">
        <v>39</v>
      </c>
      <c r="Q1079" t="s">
        <v>2494</v>
      </c>
    </row>
    <row r="1080" spans="1:17" ht="15.75" x14ac:dyDescent="0.25">
      <c r="A1080" s="3" t="str">
        <f>HYPERLINK("https://mbrstore.com/products/mild-deo-cream/", "https://mbrstore.com/products/mild-deo-cream/")</f>
        <v>https://mbrstore.com/products/mild-deo-cream/</v>
      </c>
      <c r="B1080" s="3" t="str">
        <f>HYPERLINK("https://mbrstore.com/products/mild-deo-cream/", "https://mbrstore.com/products/mild-deo-cream/")</f>
        <v>https://mbrstore.com/products/mild-deo-cream/</v>
      </c>
      <c r="C1080" t="s">
        <v>2453</v>
      </c>
      <c r="D1080" t="s">
        <v>2464</v>
      </c>
      <c r="E1080" s="3" t="str">
        <f>HYPERLINK("https://www.amazon.com/Zoom-Electric-Guitar-G1X-FOUR/dp/B07MZPR5GP/ref=sr_1_1?keywords=Effects&amp;qid=1695258890&amp;sr=8-1", "https://www.amazon.com/Zoom-Electric-Guitar-G1X-FOUR/dp/B07MZPR5GP/ref=sr_1_1?keywords=Effects&amp;qid=1695258890&amp;sr=8-1")</f>
        <v>https://www.amazon.com/Zoom-Electric-Guitar-G1X-FOUR/dp/B07MZPR5GP/ref=sr_1_1?keywords=Effects&amp;qid=1695258890&amp;sr=8-1</v>
      </c>
      <c r="F1080" t="s">
        <v>2465</v>
      </c>
      <c r="G1080" t="e">
        <f ca="1">IMAGE("https://mbrstore.com/wp-content/uploads/2022/06/01713_MildDeoCream_50ml-copy-460x460.jpg")</f>
        <v>#NAME?</v>
      </c>
      <c r="H1080" t="e">
        <f ca="1">IMAGE("https://m.media-amazon.com/images/I/81lPUPAo-SL._AC_UL320_.jpg")</f>
        <v>#NAME?</v>
      </c>
      <c r="I1080" t="s">
        <v>2475</v>
      </c>
      <c r="J1080">
        <v>119.99</v>
      </c>
      <c r="K1080" s="2" t="s">
        <v>2495</v>
      </c>
      <c r="L1080">
        <v>4.5</v>
      </c>
      <c r="M1080">
        <v>6902</v>
      </c>
      <c r="O1080" t="s">
        <v>26</v>
      </c>
      <c r="P1080" t="s">
        <v>39</v>
      </c>
      <c r="Q1080" t="s">
        <v>2477</v>
      </c>
    </row>
    <row r="1081" spans="1:17" ht="15.75" x14ac:dyDescent="0.25">
      <c r="A1081" s="3" t="str">
        <f>HYPERLINK("https://mbrstore.com/products/mild-deo-cream/", "https://mbrstore.com/products/mild-deo-cream/")</f>
        <v>https://mbrstore.com/products/mild-deo-cream/</v>
      </c>
      <c r="B1081" s="3" t="str">
        <f>HYPERLINK("https://mbrstore.com/products/mild-deo-cream/", "https://mbrstore.com/products/mild-deo-cream/")</f>
        <v>https://mbrstore.com/products/mild-deo-cream/</v>
      </c>
      <c r="C1081" t="s">
        <v>2453</v>
      </c>
      <c r="D1081" t="s">
        <v>2496</v>
      </c>
      <c r="E1081" s="3" t="str">
        <f>HYPERLINK("https://www.amazon.com/Zoom-Multi-Effects-Pedal-B1X-FOUR/dp/B07MZQNKYQ/ref=sr_1_10?keywords=Effects&amp;qid=1695258890&amp;sr=8-10", "https://www.amazon.com/Zoom-Multi-Effects-Pedal-B1X-FOUR/dp/B07MZQNKYQ/ref=sr_1_10?keywords=Effects&amp;qid=1695258890&amp;sr=8-10")</f>
        <v>https://www.amazon.com/Zoom-Multi-Effects-Pedal-B1X-FOUR/dp/B07MZQNKYQ/ref=sr_1_10?keywords=Effects&amp;qid=1695258890&amp;sr=8-10</v>
      </c>
      <c r="F1081" t="s">
        <v>2497</v>
      </c>
      <c r="G1081" t="e">
        <f ca="1">IMAGE("https://mbrstore.com/wp-content/uploads/2022/06/01713_MildDeoCream_50ml-copy-460x460.jpg")</f>
        <v>#NAME?</v>
      </c>
      <c r="H1081" t="e">
        <f ca="1">IMAGE("https://m.media-amazon.com/images/I/81cA-alqJnL._AC_UL320_.jpg")</f>
        <v>#NAME?</v>
      </c>
      <c r="I1081" t="s">
        <v>2475</v>
      </c>
      <c r="J1081">
        <v>119.99</v>
      </c>
      <c r="K1081" s="2" t="s">
        <v>2495</v>
      </c>
      <c r="L1081">
        <v>4.5999999999999996</v>
      </c>
      <c r="M1081">
        <v>1484</v>
      </c>
      <c r="O1081" t="s">
        <v>26</v>
      </c>
      <c r="P1081" t="s">
        <v>39</v>
      </c>
      <c r="Q1081" t="s">
        <v>2477</v>
      </c>
    </row>
    <row r="1082" spans="1:17" ht="15.75" x14ac:dyDescent="0.25">
      <c r="A1082" s="3" t="str">
        <f>HYPERLINK("https://mbrstore.com/products/cell-power-lipo-peel/", "https://mbrstore.com/products/cell-power-lipo-peel/")</f>
        <v>https://mbrstore.com/products/cell-power-lipo-peel/</v>
      </c>
      <c r="B1082" s="3" t="str">
        <f>HYPERLINK("https://mbrstore.com/products/cell-power-lipo-peel/", "https://mbrstore.com/products/cell-power-lipo-peel/")</f>
        <v>https://mbrstore.com/products/cell-power-lipo-peel/</v>
      </c>
      <c r="C1082" t="s">
        <v>2453</v>
      </c>
      <c r="D1082" t="s">
        <v>2458</v>
      </c>
      <c r="E1082" s="3" t="str">
        <f>HYPERLINK("https://www.amazon.com/Fender-Mustang-LT-25-Digital-Amplifier/dp/B07N29M92M/ref=sr_1_8?keywords=Effects&amp;qid=1695258869&amp;sr=8-8", "https://www.amazon.com/Fender-Mustang-LT-25-Digital-Amplifier/dp/B07N29M92M/ref=sr_1_8?keywords=Effects&amp;qid=1695258869&amp;sr=8-8")</f>
        <v>https://www.amazon.com/Fender-Mustang-LT-25-Digital-Amplifier/dp/B07N29M92M/ref=sr_1_8?keywords=Effects&amp;qid=1695258869&amp;sr=8-8</v>
      </c>
      <c r="F1082" t="s">
        <v>2459</v>
      </c>
      <c r="G1082" t="e">
        <f ca="1">IMAGE("https://mbrstore.com/wp-content/uploads/2022/03/01614_LipoPeel_200ml-copy-460x460.jpg")</f>
        <v>#NAME?</v>
      </c>
      <c r="H1082" t="e">
        <f ca="1">IMAGE("https://m.media-amazon.com/images/I/81oKmWyFJPL._AC_UL320_.jpg")</f>
        <v>#NAME?</v>
      </c>
      <c r="I1082" t="s">
        <v>2498</v>
      </c>
      <c r="J1082">
        <v>159.99</v>
      </c>
      <c r="K1082" s="2" t="s">
        <v>2499</v>
      </c>
      <c r="L1082">
        <v>4.8</v>
      </c>
      <c r="M1082">
        <v>3110</v>
      </c>
      <c r="O1082" t="s">
        <v>26</v>
      </c>
      <c r="P1082" t="s">
        <v>39</v>
      </c>
      <c r="Q1082" t="s">
        <v>2500</v>
      </c>
    </row>
    <row r="1083" spans="1:17" ht="15.75" x14ac:dyDescent="0.25">
      <c r="A1083" s="3" t="str">
        <f>HYPERLINK("https://mbrstore.com/products/beta-enzyme/", "https://mbrstore.com/products/beta-enzyme/")</f>
        <v>https://mbrstore.com/products/beta-enzyme/</v>
      </c>
      <c r="B1083" s="3" t="str">
        <f>HYPERLINK("https://mbrstore.com/products/beta-enzyme/", "https://mbrstore.com/products/beta-enzyme/")</f>
        <v>https://mbrstore.com/products/beta-enzyme/</v>
      </c>
      <c r="C1083" t="s">
        <v>2453</v>
      </c>
      <c r="D1083" t="s">
        <v>2458</v>
      </c>
      <c r="E1083" s="3" t="str">
        <f>HYPERLINK("https://www.amazon.com/Fender-Mustang-LT-25-Digital-Amplifier/dp/B07N29M92M/ref=sr_1_8?keywords=Effects&amp;qid=1695258869&amp;sr=8-8", "https://www.amazon.com/Fender-Mustang-LT-25-Digital-Amplifier/dp/B07N29M92M/ref=sr_1_8?keywords=Effects&amp;qid=1695258869&amp;sr=8-8")</f>
        <v>https://www.amazon.com/Fender-Mustang-LT-25-Digital-Amplifier/dp/B07N29M92M/ref=sr_1_8?keywords=Effects&amp;qid=1695258869&amp;sr=8-8</v>
      </c>
      <c r="F1083" t="s">
        <v>2459</v>
      </c>
      <c r="G1083" t="e">
        <f ca="1">IMAGE("https://mbrstore.com/wp-content/uploads/2022/03/01121_BetaEnzyme_30ml-copy-460x460.jpg")</f>
        <v>#NAME?</v>
      </c>
      <c r="H1083" t="e">
        <f ca="1">IMAGE("https://m.media-amazon.com/images/I/81oKmWyFJPL._AC_UL320_.jpg")</f>
        <v>#NAME?</v>
      </c>
      <c r="I1083" t="s">
        <v>2501</v>
      </c>
      <c r="J1083">
        <v>159.99</v>
      </c>
      <c r="K1083" s="2" t="s">
        <v>2502</v>
      </c>
      <c r="L1083">
        <v>4.8</v>
      </c>
      <c r="M1083">
        <v>3110</v>
      </c>
      <c r="O1083" t="s">
        <v>26</v>
      </c>
      <c r="P1083" t="s">
        <v>39</v>
      </c>
      <c r="Q1083" t="s">
        <v>2503</v>
      </c>
    </row>
    <row r="1084" spans="1:17" ht="15.75" x14ac:dyDescent="0.25">
      <c r="A1084" s="3" t="str">
        <f>HYPERLINK("https://mbrstore.com/products/vital-liquid-mask/", "https://mbrstore.com/products/vital-liquid-mask/")</f>
        <v>https://mbrstore.com/products/vital-liquid-mask/</v>
      </c>
      <c r="B1084" s="3" t="str">
        <f>HYPERLINK("https://mbrstore.com/products/vital-liquid-mask/", "https://mbrstore.com/products/vital-liquid-mask/")</f>
        <v>https://mbrstore.com/products/vital-liquid-mask/</v>
      </c>
      <c r="C1084" t="s">
        <v>2453</v>
      </c>
      <c r="D1084" t="s">
        <v>2504</v>
      </c>
      <c r="E1084" s="3" t="str">
        <f>HYPERLINK("https://www.amazon.com/Clinical-Effects-Multi-Collagen-Supplement-Quality-Sourced/dp/B085F3PSPB/ref=sr_1_10?keywords=Effects&amp;qid=1695258874&amp;rdc=1&amp;sr=8-10", "https://www.amazon.com/Clinical-Effects-Multi-Collagen-Supplement-Quality-Sourced/dp/B085F3PSPB/ref=sr_1_10?keywords=Effects&amp;qid=1695258874&amp;rdc=1&amp;sr=8-10")</f>
        <v>https://www.amazon.com/Clinical-Effects-Multi-Collagen-Supplement-Quality-Sourced/dp/B085F3PSPB/ref=sr_1_10?keywords=Effects&amp;qid=1695258874&amp;rdc=1&amp;sr=8-10</v>
      </c>
      <c r="F1084" t="s">
        <v>2505</v>
      </c>
      <c r="G1084" t="e">
        <f ca="1">IMAGE("https://mbrstore.com/wp-content/uploads/2022/03/01234_VitalLiquidMask-copy-460x460.jpg")</f>
        <v>#NAME?</v>
      </c>
      <c r="H1084" t="e">
        <f ca="1">IMAGE("https://m.media-amazon.com/images/I/71YnIfUehJS._AC_UL320_.jpg")</f>
        <v>#NAME?</v>
      </c>
      <c r="I1084" t="s">
        <v>748</v>
      </c>
      <c r="J1084">
        <v>43.95</v>
      </c>
      <c r="K1084" s="2" t="s">
        <v>2506</v>
      </c>
      <c r="L1084">
        <v>4.2</v>
      </c>
      <c r="M1084">
        <v>468</v>
      </c>
      <c r="O1084" t="s">
        <v>26</v>
      </c>
      <c r="P1084" t="s">
        <v>39</v>
      </c>
      <c r="Q1084" t="s">
        <v>2457</v>
      </c>
    </row>
    <row r="1085" spans="1:17" ht="15.75" x14ac:dyDescent="0.25">
      <c r="A1085" s="3" t="str">
        <f>HYPERLINK("https://mbrstore.com/products/cell-power-cream-deodorant/", "https://mbrstore.com/products/cell-power-cream-deodorant/")</f>
        <v>https://mbrstore.com/products/cell-power-cream-deodorant/</v>
      </c>
      <c r="B1085" s="3" t="str">
        <f>HYPERLINK("https://mbrstore.com/products/cell-power-cream-deodorant/", "https://mbrstore.com/products/cell-power-cream-deodorant/")</f>
        <v>https://mbrstore.com/products/cell-power-cream-deodorant/</v>
      </c>
      <c r="C1085" t="s">
        <v>2453</v>
      </c>
      <c r="D1085" t="s">
        <v>2464</v>
      </c>
      <c r="E1085" s="3" t="str">
        <f>HYPERLINK("https://www.amazon.com/Zoom-Electric-Guitar-G1X-FOUR/dp/B07MZPR5GP/ref=sr_1_1?keywords=Effects&amp;qid=1695258895&amp;sr=8-1", "https://www.amazon.com/Zoom-Electric-Guitar-G1X-FOUR/dp/B07MZPR5GP/ref=sr_1_1?keywords=Effects&amp;qid=1695258895&amp;sr=8-1")</f>
        <v>https://www.amazon.com/Zoom-Electric-Guitar-G1X-FOUR/dp/B07MZPR5GP/ref=sr_1_1?keywords=Effects&amp;qid=1695258895&amp;sr=8-1</v>
      </c>
      <c r="F1085" t="s">
        <v>2465</v>
      </c>
      <c r="G1085" t="e">
        <f ca="1">IMAGE("https://mbrstore.com/wp-content/uploads/2022/03/01607_CreamDeodorant_50ml-copy-460x460.jpg")</f>
        <v>#NAME?</v>
      </c>
      <c r="H1085" t="e">
        <f ca="1">IMAGE("https://m.media-amazon.com/images/I/81lPUPAo-SL._AC_UL320_.jpg")</f>
        <v>#NAME?</v>
      </c>
      <c r="I1085" t="s">
        <v>2478</v>
      </c>
      <c r="J1085">
        <v>119.99</v>
      </c>
      <c r="K1085" s="2" t="s">
        <v>2507</v>
      </c>
      <c r="L1085">
        <v>4.5</v>
      </c>
      <c r="M1085">
        <v>6902</v>
      </c>
      <c r="O1085" t="s">
        <v>26</v>
      </c>
      <c r="P1085" t="s">
        <v>39</v>
      </c>
      <c r="Q1085" t="s">
        <v>2480</v>
      </c>
    </row>
    <row r="1086" spans="1:17" ht="15.75" x14ac:dyDescent="0.25">
      <c r="A1086" s="3" t="str">
        <f>HYPERLINK("https://mbrstore.com/products/hair-care/", "https://mbrstore.com/products/hair-care/")</f>
        <v>https://mbrstore.com/products/hair-care/</v>
      </c>
      <c r="B1086" s="3" t="str">
        <f>HYPERLINK("https://mbrstore.com/products/hair-care/", "https://mbrstore.com/products/hair-care/")</f>
        <v>https://mbrstore.com/products/hair-care/</v>
      </c>
      <c r="C1086" t="s">
        <v>2453</v>
      </c>
      <c r="D1086" t="s">
        <v>2464</v>
      </c>
      <c r="E1086" s="3" t="str">
        <f>HYPERLINK("https://www.amazon.com/Zoom-Electric-Guitar-G1X-FOUR/dp/B07MZPR5GP/ref=sr_1_1?keywords=Effects&amp;qid=1695258881&amp;sr=8-1", "https://www.amazon.com/Zoom-Electric-Guitar-G1X-FOUR/dp/B07MZPR5GP/ref=sr_1_1?keywords=Effects&amp;qid=1695258881&amp;sr=8-1")</f>
        <v>https://www.amazon.com/Zoom-Electric-Guitar-G1X-FOUR/dp/B07MZPR5GP/ref=sr_1_1?keywords=Effects&amp;qid=1695258881&amp;sr=8-1</v>
      </c>
      <c r="F1086" t="s">
        <v>2465</v>
      </c>
      <c r="G1086" t="e">
        <f ca="1">IMAGE("https://mbrstore.com/wp-content/uploads/2022/06/01715_HairCare_200ml-copy-460x460.jpg")</f>
        <v>#NAME?</v>
      </c>
      <c r="H1086" t="e">
        <f ca="1">IMAGE("https://m.media-amazon.com/images/I/81lPUPAo-SL._AC_UL320_.jpg")</f>
        <v>#NAME?</v>
      </c>
      <c r="I1086" t="s">
        <v>2478</v>
      </c>
      <c r="J1086">
        <v>119.99</v>
      </c>
      <c r="K1086" s="2" t="s">
        <v>2507</v>
      </c>
      <c r="L1086">
        <v>4.5</v>
      </c>
      <c r="M1086">
        <v>6902</v>
      </c>
      <c r="O1086" t="s">
        <v>26</v>
      </c>
      <c r="P1086" t="s">
        <v>39</v>
      </c>
      <c r="Q1086" t="s">
        <v>2481</v>
      </c>
    </row>
    <row r="1087" spans="1:17" ht="15.75" x14ac:dyDescent="0.25">
      <c r="A1087" s="3" t="str">
        <f>HYPERLINK("https://mbrstore.com/products/vital-liquid-mask/", "https://mbrstore.com/products/vital-liquid-mask/")</f>
        <v>https://mbrstore.com/products/vital-liquid-mask/</v>
      </c>
      <c r="B1087" s="3" t="str">
        <f>HYPERLINK("https://mbrstore.com/products/vital-liquid-mask/", "https://mbrstore.com/products/vital-liquid-mask/")</f>
        <v>https://mbrstore.com/products/vital-liquid-mask/</v>
      </c>
      <c r="C1087" t="s">
        <v>2453</v>
      </c>
      <c r="D1087" t="s">
        <v>2508</v>
      </c>
      <c r="E1087" s="3" t="str">
        <f>HYPERLINK("https://www.amazon.com/Westmore-Beauty-Tightening-Temporarily-Puffiness/dp/B07BYG7D2V/ref=sr_1_3?keywords=Effects&amp;qid=1695258874&amp;sr=8-3", "https://www.amazon.com/Westmore-Beauty-Tightening-Temporarily-Puffiness/dp/B07BYG7D2V/ref=sr_1_3?keywords=Effects&amp;qid=1695258874&amp;sr=8-3")</f>
        <v>https://www.amazon.com/Westmore-Beauty-Tightening-Temporarily-Puffiness/dp/B07BYG7D2V/ref=sr_1_3?keywords=Effects&amp;qid=1695258874&amp;sr=8-3</v>
      </c>
      <c r="F1087" t="s">
        <v>2509</v>
      </c>
      <c r="G1087" t="e">
        <f ca="1">IMAGE("https://mbrstore.com/wp-content/uploads/2022/03/01234_VitalLiquidMask-copy-460x460.jpg")</f>
        <v>#NAME?</v>
      </c>
      <c r="H1087" t="e">
        <f ca="1">IMAGE("https://m.media-amazon.com/images/I/51YkzEMtyCL._AC_UL320_.jpg")</f>
        <v>#NAME?</v>
      </c>
      <c r="I1087" t="s">
        <v>748</v>
      </c>
      <c r="J1087">
        <v>43.45</v>
      </c>
      <c r="K1087" s="2" t="s">
        <v>2510</v>
      </c>
      <c r="L1087">
        <v>3.6</v>
      </c>
      <c r="M1087">
        <v>1214</v>
      </c>
      <c r="O1087" t="s">
        <v>26</v>
      </c>
      <c r="P1087" t="s">
        <v>39</v>
      </c>
      <c r="Q1087" t="s">
        <v>2457</v>
      </c>
    </row>
    <row r="1088" spans="1:17" ht="15.75" x14ac:dyDescent="0.25">
      <c r="A1088" s="3" t="str">
        <f>HYPERLINK("https://mbrstore.com/products/basic-lip-id/", "https://mbrstore.com/products/basic-lip-id/")</f>
        <v>https://mbrstore.com/products/basic-lip-id/</v>
      </c>
      <c r="B1088" s="3" t="str">
        <f>HYPERLINK("https://mbrstore.com/products/basic-lip-id/", "https://mbrstore.com/products/basic-lip-id/")</f>
        <v>https://mbrstore.com/products/basic-lip-id/</v>
      </c>
      <c r="C1088" t="s">
        <v>2453</v>
      </c>
      <c r="D1088" t="s">
        <v>2464</v>
      </c>
      <c r="E1088" s="3" t="str">
        <f>HYPERLINK("https://www.amazon.com/Zoom-Electric-Guitar-G1X-FOUR/dp/B07MZPR5GP/ref=sr_1_1?keywords=Effects&amp;qid=1695258872&amp;sr=8-1", "https://www.amazon.com/Zoom-Electric-Guitar-G1X-FOUR/dp/B07MZPR5GP/ref=sr_1_1?keywords=Effects&amp;qid=1695258872&amp;sr=8-1")</f>
        <v>https://www.amazon.com/Zoom-Electric-Guitar-G1X-FOUR/dp/B07MZPR5GP/ref=sr_1_1?keywords=Effects&amp;qid=1695258872&amp;sr=8-1</v>
      </c>
      <c r="F1088" t="s">
        <v>2465</v>
      </c>
      <c r="G1088" t="e">
        <f ca="1">IMAGE("https://mbrstore.com/wp-content/uploads/2022/03/01228_BasicLipID_7-5ml-copy-460x460.jpg")</f>
        <v>#NAME?</v>
      </c>
      <c r="H1088" t="e">
        <f ca="1">IMAGE("https://m.media-amazon.com/images/I/81lPUPAo-SL._AC_UL320_.jpg")</f>
        <v>#NAME?</v>
      </c>
      <c r="I1088" t="s">
        <v>2482</v>
      </c>
      <c r="J1088">
        <v>119.99</v>
      </c>
      <c r="K1088" s="2" t="s">
        <v>2511</v>
      </c>
      <c r="L1088">
        <v>4.5</v>
      </c>
      <c r="M1088">
        <v>6902</v>
      </c>
      <c r="O1088" t="s">
        <v>26</v>
      </c>
      <c r="P1088" t="s">
        <v>39</v>
      </c>
      <c r="Q1088" t="s">
        <v>2484</v>
      </c>
    </row>
    <row r="1089" spans="1:17" ht="15.75" x14ac:dyDescent="0.25">
      <c r="A1089" s="3" t="str">
        <f>HYPERLINK("https://mbrstore.com/products/two-in-one-cleanser/", "https://mbrstore.com/products/two-in-one-cleanser/")</f>
        <v>https://mbrstore.com/products/two-in-one-cleanser/</v>
      </c>
      <c r="B1089" s="3" t="str">
        <f>HYPERLINK("https://mbrstore.com/products/two-in-one-cleanser/", "https://mbrstore.com/products/two-in-one-cleanser/")</f>
        <v>https://mbrstore.com/products/two-in-one-cleanser/</v>
      </c>
      <c r="C1089" t="s">
        <v>2453</v>
      </c>
      <c r="D1089" t="s">
        <v>2458</v>
      </c>
      <c r="E1089" s="3" t="str">
        <f>HYPERLINK("https://www.amazon.com/Fender-Mustang-LT-25-Digital-Amplifier/dp/B07N29M92M/ref=sr_1_3?keywords=Effects&amp;qid=1695258878&amp;sr=8-3", "https://www.amazon.com/Fender-Mustang-LT-25-Digital-Amplifier/dp/B07N29M92M/ref=sr_1_3?keywords=Effects&amp;qid=1695258878&amp;sr=8-3")</f>
        <v>https://www.amazon.com/Fender-Mustang-LT-25-Digital-Amplifier/dp/B07N29M92M/ref=sr_1_3?keywords=Effects&amp;qid=1695258878&amp;sr=8-3</v>
      </c>
      <c r="F1089" t="s">
        <v>2459</v>
      </c>
      <c r="G1089" t="e">
        <f ca="1">IMAGE("https://mbrstore.com/wp-content/uploads/2022/03/01102_Two_In_One_Cleanser_200ml-copy-460x460.jpg")</f>
        <v>#NAME?</v>
      </c>
      <c r="H1089" t="e">
        <f ca="1">IMAGE("https://m.media-amazon.com/images/I/81oKmWyFJPL._AC_UL320_.jpg")</f>
        <v>#NAME?</v>
      </c>
      <c r="I1089" t="s">
        <v>2512</v>
      </c>
      <c r="J1089">
        <v>159.99</v>
      </c>
      <c r="K1089" s="2" t="s">
        <v>2513</v>
      </c>
      <c r="L1089">
        <v>4.8</v>
      </c>
      <c r="M1089">
        <v>3110</v>
      </c>
      <c r="O1089" t="s">
        <v>26</v>
      </c>
      <c r="P1089" t="s">
        <v>39</v>
      </c>
      <c r="Q1089" t="s">
        <v>2514</v>
      </c>
    </row>
    <row r="1090" spans="1:17" ht="15.75" x14ac:dyDescent="0.25">
      <c r="A1090" s="3" t="str">
        <f>HYPERLINK("https://mbrstore.com/products/sensitive-liquid-mask/", "https://mbrstore.com/products/sensitive-liquid-mask/")</f>
        <v>https://mbrstore.com/products/sensitive-liquid-mask/</v>
      </c>
      <c r="B1090" s="3" t="str">
        <f>HYPERLINK("https://mbrstore.com/products/sensitive-liquid-mask/", "https://mbrstore.com/products/sensitive-liquid-mask/")</f>
        <v>https://mbrstore.com/products/sensitive-liquid-mask/</v>
      </c>
      <c r="C1090" t="s">
        <v>2453</v>
      </c>
      <c r="D1090" t="s">
        <v>2515</v>
      </c>
      <c r="E1090" s="3" t="str">
        <f>HYPERLINK("https://www.amazon.com/Crest-Professional-Whitestrips-Whitening-Treatments/dp/B00AHAWWO0/ref=sr_1_10?keywords=Effects&amp;qid=1695258877&amp;sr=8-10", "https://www.amazon.com/Crest-Professional-Whitestrips-Whitening-Treatments/dp/B00AHAWWO0/ref=sr_1_10?keywords=Effects&amp;qid=1695258877&amp;sr=8-10")</f>
        <v>https://www.amazon.com/Crest-Professional-Whitestrips-Whitening-Treatments/dp/B00AHAWWO0/ref=sr_1_10?keywords=Effects&amp;qid=1695258877&amp;sr=8-10</v>
      </c>
      <c r="F1090" t="s">
        <v>2516</v>
      </c>
      <c r="G1090" t="e">
        <f ca="1">IMAGE("https://mbrstore.com/wp-content/uploads/2022/03/01527_SensitiveLiquidMask-copy-460x460.jpg")</f>
        <v>#NAME?</v>
      </c>
      <c r="H1090" t="e">
        <f ca="1">IMAGE("https://m.media-amazon.com/images/I/61IylKAap-L._AC_UL320_.jpg")</f>
        <v>#NAME?</v>
      </c>
      <c r="I1090" t="s">
        <v>2461</v>
      </c>
      <c r="J1090">
        <v>45.99</v>
      </c>
      <c r="K1090" s="2" t="s">
        <v>2517</v>
      </c>
      <c r="L1090">
        <v>4.5999999999999996</v>
      </c>
      <c r="M1090">
        <v>112972</v>
      </c>
      <c r="O1090" t="s">
        <v>26</v>
      </c>
      <c r="P1090" t="s">
        <v>39</v>
      </c>
      <c r="Q1090" t="s">
        <v>2463</v>
      </c>
    </row>
    <row r="1091" spans="1:17" ht="15.75" x14ac:dyDescent="0.25">
      <c r="A1091" s="3" t="str">
        <f>HYPERLINK("https://mbrstore.com/products/continueline-soft-tonic/", "https://mbrstore.com/products/continueline-soft-tonic/")</f>
        <v>https://mbrstore.com/products/continueline-soft-tonic/</v>
      </c>
      <c r="B1091" s="3" t="str">
        <f>HYPERLINK("https://mbrstore.com/products/continueline-soft-tonic/", "https://mbrstore.com/products/continueline-soft-tonic/")</f>
        <v>https://mbrstore.com/products/continueline-soft-tonic/</v>
      </c>
      <c r="C1091" t="s">
        <v>2453</v>
      </c>
      <c r="D1091" t="s">
        <v>2458</v>
      </c>
      <c r="E1091" s="3" t="str">
        <f>HYPERLINK("https://www.amazon.com/Fender-Mustang-LT-25-Digital-Amplifier/dp/B07N29M92M/ref=sr_1_6?keywords=Effects&amp;qid=1695258870&amp;sr=8-6", "https://www.amazon.com/Fender-Mustang-LT-25-Digital-Amplifier/dp/B07N29M92M/ref=sr_1_6?keywords=Effects&amp;qid=1695258870&amp;sr=8-6")</f>
        <v>https://www.amazon.com/Fender-Mustang-LT-25-Digital-Amplifier/dp/B07N29M92M/ref=sr_1_6?keywords=Effects&amp;qid=1695258870&amp;sr=8-6</v>
      </c>
      <c r="F1091" t="s">
        <v>2459</v>
      </c>
      <c r="G1091" t="e">
        <f ca="1">IMAGE("https://mbrstore.com/wp-content/uploads/2022/03/01514_SoftTonic_150ml-copy-460x460.jpg")</f>
        <v>#NAME?</v>
      </c>
      <c r="H1091" t="e">
        <f ca="1">IMAGE("https://m.media-amazon.com/images/I/81oKmWyFJPL._AC_UL320_.jpg")</f>
        <v>#NAME?</v>
      </c>
      <c r="I1091" t="s">
        <v>2492</v>
      </c>
      <c r="J1091">
        <v>159.99</v>
      </c>
      <c r="K1091" s="2" t="s">
        <v>2518</v>
      </c>
      <c r="L1091">
        <v>4.8</v>
      </c>
      <c r="M1091">
        <v>3110</v>
      </c>
      <c r="O1091" t="s">
        <v>26</v>
      </c>
      <c r="P1091" t="s">
        <v>39</v>
      </c>
      <c r="Q1091" t="s">
        <v>2494</v>
      </c>
    </row>
    <row r="1092" spans="1:17" ht="15.75" x14ac:dyDescent="0.25">
      <c r="A1092" s="3" t="str">
        <f>HYPERLINK("https://mbrstore.com/products/sensitive-liquid-mask/", "https://mbrstore.com/products/sensitive-liquid-mask/")</f>
        <v>https://mbrstore.com/products/sensitive-liquid-mask/</v>
      </c>
      <c r="B1092" s="3" t="str">
        <f>HYPERLINK("https://mbrstore.com/products/sensitive-liquid-mask/", "https://mbrstore.com/products/sensitive-liquid-mask/")</f>
        <v>https://mbrstore.com/products/sensitive-liquid-mask/</v>
      </c>
      <c r="C1092" t="s">
        <v>2453</v>
      </c>
      <c r="D1092" t="s">
        <v>2508</v>
      </c>
      <c r="E1092" s="3" t="str">
        <f>HYPERLINK("https://www.amazon.com/Westmore-Beauty-Tightening-Temporarily-Puffiness/dp/B07BYG7D2V/ref=sr_1_5?keywords=Effects&amp;qid=1695258877&amp;sr=8-5", "https://www.amazon.com/Westmore-Beauty-Tightening-Temporarily-Puffiness/dp/B07BYG7D2V/ref=sr_1_5?keywords=Effects&amp;qid=1695258877&amp;sr=8-5")</f>
        <v>https://www.amazon.com/Westmore-Beauty-Tightening-Temporarily-Puffiness/dp/B07BYG7D2V/ref=sr_1_5?keywords=Effects&amp;qid=1695258877&amp;sr=8-5</v>
      </c>
      <c r="F1092" t="s">
        <v>2509</v>
      </c>
      <c r="G1092" t="e">
        <f ca="1">IMAGE("https://mbrstore.com/wp-content/uploads/2022/03/01527_SensitiveLiquidMask-copy-460x460.jpg")</f>
        <v>#NAME?</v>
      </c>
      <c r="H1092" t="e">
        <f ca="1">IMAGE("https://m.media-amazon.com/images/I/51YkzEMtyCL._AC_UL320_.jpg")</f>
        <v>#NAME?</v>
      </c>
      <c r="I1092" t="s">
        <v>2461</v>
      </c>
      <c r="J1092">
        <v>43.75</v>
      </c>
      <c r="K1092" s="2" t="s">
        <v>2519</v>
      </c>
      <c r="L1092">
        <v>3.6</v>
      </c>
      <c r="M1092">
        <v>1214</v>
      </c>
      <c r="O1092" t="s">
        <v>26</v>
      </c>
      <c r="P1092" t="s">
        <v>39</v>
      </c>
      <c r="Q1092" t="s">
        <v>2463</v>
      </c>
    </row>
    <row r="1093" spans="1:17" ht="15.75" x14ac:dyDescent="0.25">
      <c r="A1093" s="3" t="str">
        <f>HYPERLINK("https://mbrstore.com/products/cell-power-lipo-peel/", "https://mbrstore.com/products/cell-power-lipo-peel/")</f>
        <v>https://mbrstore.com/products/cell-power-lipo-peel/</v>
      </c>
      <c r="B1093" s="3" t="str">
        <f>HYPERLINK("https://mbrstore.com/products/cell-power-lipo-peel/", "https://mbrstore.com/products/cell-power-lipo-peel/")</f>
        <v>https://mbrstore.com/products/cell-power-lipo-peel/</v>
      </c>
      <c r="C1093" t="s">
        <v>2453</v>
      </c>
      <c r="D1093" t="s">
        <v>2464</v>
      </c>
      <c r="E1093" s="3" t="str">
        <f>HYPERLINK("https://www.amazon.com/Zoom-Electric-Guitar-G1X-FOUR/dp/B07MZPR5GP/ref=sr_1_1?keywords=Effects&amp;qid=1695258869&amp;sr=8-1", "https://www.amazon.com/Zoom-Electric-Guitar-G1X-FOUR/dp/B07MZPR5GP/ref=sr_1_1?keywords=Effects&amp;qid=1695258869&amp;sr=8-1")</f>
        <v>https://www.amazon.com/Zoom-Electric-Guitar-G1X-FOUR/dp/B07MZPR5GP/ref=sr_1_1?keywords=Effects&amp;qid=1695258869&amp;sr=8-1</v>
      </c>
      <c r="F1093" t="s">
        <v>2465</v>
      </c>
      <c r="G1093" t="e">
        <f ca="1">IMAGE("https://mbrstore.com/wp-content/uploads/2022/03/01614_LipoPeel_200ml-copy-460x460.jpg")</f>
        <v>#NAME?</v>
      </c>
      <c r="H1093" t="e">
        <f ca="1">IMAGE("https://m.media-amazon.com/images/I/81lPUPAo-SL._AC_UL320_.jpg")</f>
        <v>#NAME?</v>
      </c>
      <c r="I1093" t="s">
        <v>2498</v>
      </c>
      <c r="J1093">
        <v>119.99</v>
      </c>
      <c r="K1093" s="2" t="s">
        <v>2520</v>
      </c>
      <c r="L1093">
        <v>4.5</v>
      </c>
      <c r="M1093">
        <v>6902</v>
      </c>
      <c r="O1093" t="s">
        <v>26</v>
      </c>
      <c r="P1093" t="s">
        <v>39</v>
      </c>
      <c r="Q1093" t="s">
        <v>2500</v>
      </c>
    </row>
    <row r="1094" spans="1:17" ht="15.75" x14ac:dyDescent="0.25">
      <c r="A1094" s="3" t="str">
        <f>HYPERLINK("https://mbrstore.com/products/hand-body/", "https://mbrstore.com/products/hand-body/")</f>
        <v>https://mbrstore.com/products/hand-body/</v>
      </c>
      <c r="B1094" s="3" t="str">
        <f>HYPERLINK("https://mbrstore.com/products/hand-body/", "https://mbrstore.com/products/hand-body/")</f>
        <v>https://mbrstore.com/products/hand-body/</v>
      </c>
      <c r="C1094" t="s">
        <v>2453</v>
      </c>
      <c r="D1094" t="s">
        <v>2458</v>
      </c>
      <c r="E1094" s="3" t="str">
        <f>HYPERLINK("https://www.amazon.com/Fender-Mustang-LT-25-Digital-Amplifier/dp/B07N29M92M/ref=sr_1_3?keywords=Effects&amp;qid=1695258883&amp;sr=8-3", "https://www.amazon.com/Fender-Mustang-LT-25-Digital-Amplifier/dp/B07N29M92M/ref=sr_1_3?keywords=Effects&amp;qid=1695258883&amp;sr=8-3")</f>
        <v>https://www.amazon.com/Fender-Mustang-LT-25-Digital-Amplifier/dp/B07N29M92M/ref=sr_1_3?keywords=Effects&amp;qid=1695258883&amp;sr=8-3</v>
      </c>
      <c r="F1094" t="s">
        <v>2459</v>
      </c>
      <c r="G1094" t="e">
        <f ca="1">IMAGE("https://mbrstore.com/wp-content/uploads/2022/06/01714_HandBody_200ml-copy-460x460.jpg")</f>
        <v>#NAME?</v>
      </c>
      <c r="H1094" t="e">
        <f ca="1">IMAGE("https://m.media-amazon.com/images/I/81oKmWyFJPL._AC_UL320_.jpg")</f>
        <v>#NAME?</v>
      </c>
      <c r="I1094" t="s">
        <v>2521</v>
      </c>
      <c r="J1094">
        <v>159.99</v>
      </c>
      <c r="K1094" s="2" t="s">
        <v>2522</v>
      </c>
      <c r="L1094">
        <v>4.8</v>
      </c>
      <c r="M1094">
        <v>3110</v>
      </c>
      <c r="O1094" t="s">
        <v>26</v>
      </c>
      <c r="P1094" t="s">
        <v>39</v>
      </c>
      <c r="Q1094" t="s">
        <v>2523</v>
      </c>
    </row>
    <row r="1095" spans="1:17" ht="15.75" x14ac:dyDescent="0.25">
      <c r="A1095" s="3" t="str">
        <f>HYPERLINK("https://mbrstore.com/products/the-best-foot/", "https://mbrstore.com/products/the-best-foot/")</f>
        <v>https://mbrstore.com/products/the-best-foot/</v>
      </c>
      <c r="B1095" s="3" t="str">
        <f>HYPERLINK("https://mbrstore.com/products/the-best-foot/", "https://mbrstore.com/products/the-best-foot/")</f>
        <v>https://mbrstore.com/products/the-best-foot/</v>
      </c>
      <c r="C1095" t="s">
        <v>2453</v>
      </c>
      <c r="D1095" t="s">
        <v>2454</v>
      </c>
      <c r="E1095" s="3" t="str">
        <f>HYPERLINK("https://www.amazon.com/BOSS-ME-90-Multi-Effects-Multi-Function-Footswitches/dp/B0CB95FW31/ref=sr_1_8?keywords=Effects&amp;qid=1695258892&amp;sr=8-8", "https://www.amazon.com/BOSS-ME-90-Multi-Effects-Multi-Function-Footswitches/dp/B0CB95FW31/ref=sr_1_8?keywords=Effects&amp;qid=1695258892&amp;sr=8-8")</f>
        <v>https://www.amazon.com/BOSS-ME-90-Multi-Effects-Multi-Function-Footswitches/dp/B0CB95FW31/ref=sr_1_8?keywords=Effects&amp;qid=1695258892&amp;sr=8-8</v>
      </c>
      <c r="F1095" t="s">
        <v>2455</v>
      </c>
      <c r="G1095" t="e">
        <f ca="1">IMAGE("https://mbrstore.com/wp-content/uploads/2022/12/01458_TheBestFoot_100ml_01-460x460.png")</f>
        <v>#NAME?</v>
      </c>
      <c r="H1095" t="e">
        <f ca="1">IMAGE("https://m.media-amazon.com/images/I/617SJJIeDWL._AC_UL320_.jpg")</f>
        <v>#NAME?</v>
      </c>
      <c r="I1095" t="s">
        <v>2524</v>
      </c>
      <c r="J1095">
        <v>347.99</v>
      </c>
      <c r="K1095" s="2" t="s">
        <v>2525</v>
      </c>
      <c r="L1095">
        <v>5</v>
      </c>
      <c r="M1095">
        <v>2</v>
      </c>
      <c r="O1095" t="s">
        <v>26</v>
      </c>
      <c r="P1095" t="s">
        <v>39</v>
      </c>
      <c r="Q1095" t="s">
        <v>2526</v>
      </c>
    </row>
    <row r="1096" spans="1:17" ht="15.75" x14ac:dyDescent="0.25">
      <c r="A1096" s="3" t="str">
        <f>HYPERLINK("https://mbrstore.com/products/perfect-lip-id/", "https://mbrstore.com/products/perfect-lip-id/")</f>
        <v>https://mbrstore.com/products/perfect-lip-id/</v>
      </c>
      <c r="B1096" s="3" t="str">
        <f>HYPERLINK("https://mbrstore.com/products/perfect-lip-id/", "https://mbrstore.com/products/perfect-lip-id/")</f>
        <v>https://mbrstore.com/products/perfect-lip-id/</v>
      </c>
      <c r="C1096" t="s">
        <v>2453</v>
      </c>
      <c r="D1096" t="s">
        <v>2458</v>
      </c>
      <c r="E1096" s="3" t="str">
        <f>HYPERLINK("https://www.amazon.com/Fender-Mustang-LT-25-Digital-Amplifier/dp/B07N29M92M/ref=sr_1_8?keywords=Effects&amp;qid=1695258878&amp;sr=8-8", "https://www.amazon.com/Fender-Mustang-LT-25-Digital-Amplifier/dp/B07N29M92M/ref=sr_1_8?keywords=Effects&amp;qid=1695258878&amp;sr=8-8")</f>
        <v>https://www.amazon.com/Fender-Mustang-LT-25-Digital-Amplifier/dp/B07N29M92M/ref=sr_1_8?keywords=Effects&amp;qid=1695258878&amp;sr=8-8</v>
      </c>
      <c r="F1096" t="s">
        <v>2459</v>
      </c>
      <c r="G1096" t="e">
        <f ca="1">IMAGE("https://mbrstore.com/wp-content/uploads/2022/03/01409_Perfect_Lip_Id_7ml-copy-460x460.jpg")</f>
        <v>#NAME?</v>
      </c>
      <c r="H1096" t="e">
        <f ca="1">IMAGE("https://m.media-amazon.com/images/I/81oKmWyFJPL._AC_UL320_.jpg")</f>
        <v>#NAME?</v>
      </c>
      <c r="I1096" t="s">
        <v>2527</v>
      </c>
      <c r="J1096">
        <v>159.99</v>
      </c>
      <c r="K1096" s="2" t="s">
        <v>2528</v>
      </c>
      <c r="L1096">
        <v>4.8</v>
      </c>
      <c r="M1096">
        <v>3110</v>
      </c>
      <c r="O1096" t="s">
        <v>26</v>
      </c>
      <c r="P1096" t="s">
        <v>39</v>
      </c>
      <c r="Q1096" t="s">
        <v>2529</v>
      </c>
    </row>
    <row r="1097" spans="1:17" ht="15.75" x14ac:dyDescent="0.25">
      <c r="A1097" s="3" t="str">
        <f>HYPERLINK("https://mbrstore.com/products/beta-enzyme/", "https://mbrstore.com/products/beta-enzyme/")</f>
        <v>https://mbrstore.com/products/beta-enzyme/</v>
      </c>
      <c r="B1097" s="3" t="str">
        <f>HYPERLINK("https://mbrstore.com/products/beta-enzyme/", "https://mbrstore.com/products/beta-enzyme/")</f>
        <v>https://mbrstore.com/products/beta-enzyme/</v>
      </c>
      <c r="C1097" t="s">
        <v>2453</v>
      </c>
      <c r="D1097" t="s">
        <v>2464</v>
      </c>
      <c r="E1097" s="3" t="str">
        <f>HYPERLINK("https://www.amazon.com/Zoom-Electric-Guitar-G1X-FOUR/dp/B07MZPR5GP/ref=sr_1_5?keywords=Effects&amp;qid=1695258869&amp;sr=8-5", "https://www.amazon.com/Zoom-Electric-Guitar-G1X-FOUR/dp/B07MZPR5GP/ref=sr_1_5?keywords=Effects&amp;qid=1695258869&amp;sr=8-5")</f>
        <v>https://www.amazon.com/Zoom-Electric-Guitar-G1X-FOUR/dp/B07MZPR5GP/ref=sr_1_5?keywords=Effects&amp;qid=1695258869&amp;sr=8-5</v>
      </c>
      <c r="F1097" t="s">
        <v>2465</v>
      </c>
      <c r="G1097" t="e">
        <f ca="1">IMAGE("https://mbrstore.com/wp-content/uploads/2022/03/01121_BetaEnzyme_30ml-copy-460x460.jpg")</f>
        <v>#NAME?</v>
      </c>
      <c r="H1097" t="e">
        <f ca="1">IMAGE("https://m.media-amazon.com/images/I/81lPUPAo-SL._AC_UL320_.jpg")</f>
        <v>#NAME?</v>
      </c>
      <c r="I1097" t="s">
        <v>2501</v>
      </c>
      <c r="J1097">
        <v>119.99</v>
      </c>
      <c r="K1097" s="2" t="s">
        <v>2530</v>
      </c>
      <c r="L1097">
        <v>4.5</v>
      </c>
      <c r="M1097">
        <v>6902</v>
      </c>
      <c r="O1097" t="s">
        <v>26</v>
      </c>
      <c r="P1097" t="s">
        <v>39</v>
      </c>
      <c r="Q1097" t="s">
        <v>2503</v>
      </c>
    </row>
    <row r="1098" spans="1:17" ht="15.75" x14ac:dyDescent="0.25">
      <c r="A1098" s="3" t="str">
        <f>HYPERLINK("https://mbrstore.com/products/foam-cleanser/", "https://mbrstore.com/products/foam-cleanser/")</f>
        <v>https://mbrstore.com/products/foam-cleanser/</v>
      </c>
      <c r="B1098" s="3" t="str">
        <f>HYPERLINK("https://mbrstore.com/products/foam-cleanser/", "https://mbrstore.com/products/foam-cleanser/")</f>
        <v>https://mbrstore.com/products/foam-cleanser/</v>
      </c>
      <c r="C1098" t="s">
        <v>2453</v>
      </c>
      <c r="D1098" t="s">
        <v>2464</v>
      </c>
      <c r="E1098" s="3" t="str">
        <f>HYPERLINK("https://www.amazon.com/Zoom-Electric-Guitar-G1X-FOUR/dp/B07MZPR5GP/ref=sr_1_1?keywords=Effects&amp;qid=1695258869&amp;sr=8-1", "https://www.amazon.com/Zoom-Electric-Guitar-G1X-FOUR/dp/B07MZPR5GP/ref=sr_1_1?keywords=Effects&amp;qid=1695258869&amp;sr=8-1")</f>
        <v>https://www.amazon.com/Zoom-Electric-Guitar-G1X-FOUR/dp/B07MZPR5GP/ref=sr_1_1?keywords=Effects&amp;qid=1695258869&amp;sr=8-1</v>
      </c>
      <c r="F1098" t="s">
        <v>2465</v>
      </c>
      <c r="G1098" t="e">
        <f ca="1">IMAGE("https://mbrstore.com/wp-content/uploads/2022/03/01104_FoamCleanser_100ml-copy-460x460.jpg")</f>
        <v>#NAME?</v>
      </c>
      <c r="H1098" t="e">
        <f ca="1">IMAGE("https://m.media-amazon.com/images/I/81lPUPAo-SL._AC_UL320_.jpg")</f>
        <v>#NAME?</v>
      </c>
      <c r="I1098" t="s">
        <v>2531</v>
      </c>
      <c r="J1098">
        <v>119.99</v>
      </c>
      <c r="K1098" s="2" t="s">
        <v>2532</v>
      </c>
      <c r="L1098">
        <v>4.5</v>
      </c>
      <c r="M1098">
        <v>6902</v>
      </c>
      <c r="O1098" t="s">
        <v>26</v>
      </c>
      <c r="P1098" t="s">
        <v>39</v>
      </c>
      <c r="Q1098" t="s">
        <v>2533</v>
      </c>
    </row>
    <row r="1099" spans="1:17" ht="15.75" x14ac:dyDescent="0.25">
      <c r="A1099" s="3" t="str">
        <f>HYPERLINK("https://mbrstore.com/products/lip-contour-refiner/", "https://mbrstore.com/products/lip-contour-refiner/")</f>
        <v>https://mbrstore.com/products/lip-contour-refiner/</v>
      </c>
      <c r="B1099" s="3" t="str">
        <f>HYPERLINK("https://mbrstore.com/products/lip-contour-refiner/", "https://mbrstore.com/products/lip-contour-refiner/")</f>
        <v>https://mbrstore.com/products/lip-contour-refiner/</v>
      </c>
      <c r="C1099" t="s">
        <v>2453</v>
      </c>
      <c r="D1099" t="s">
        <v>2458</v>
      </c>
      <c r="E1099" s="3" t="str">
        <f>HYPERLINK("https://www.amazon.com/Fender-Mustang-LT-25-Digital-Amplifier/dp/B07N29M92M/ref=sr_1_3?keywords=Effects&amp;qid=1695258884&amp;sr=8-3", "https://www.amazon.com/Fender-Mustang-LT-25-Digital-Amplifier/dp/B07N29M92M/ref=sr_1_3?keywords=Effects&amp;qid=1695258884&amp;sr=8-3")</f>
        <v>https://www.amazon.com/Fender-Mustang-LT-25-Digital-Amplifier/dp/B07N29M92M/ref=sr_1_3?keywords=Effects&amp;qid=1695258884&amp;sr=8-3</v>
      </c>
      <c r="F1099" t="s">
        <v>2459</v>
      </c>
      <c r="G1099" t="e">
        <f ca="1">IMAGE("https://mbrstore.com/wp-content/uploads/2022/03/01227_Lip_Contour_Refiner_15ml-copy-460x460.jpg")</f>
        <v>#NAME?</v>
      </c>
      <c r="H1099" t="e">
        <f ca="1">IMAGE("https://m.media-amazon.com/images/I/81oKmWyFJPL._AC_UL320_.jpg")</f>
        <v>#NAME?</v>
      </c>
      <c r="I1099" t="s">
        <v>2534</v>
      </c>
      <c r="J1099">
        <v>159.99</v>
      </c>
      <c r="K1099" s="2" t="s">
        <v>2535</v>
      </c>
      <c r="L1099">
        <v>4.8</v>
      </c>
      <c r="M1099">
        <v>3110</v>
      </c>
      <c r="O1099" t="s">
        <v>26</v>
      </c>
      <c r="P1099" t="s">
        <v>39</v>
      </c>
      <c r="Q1099" t="s">
        <v>2536</v>
      </c>
    </row>
    <row r="1100" spans="1:17" ht="15.75" x14ac:dyDescent="0.25">
      <c r="A1100" s="3" t="str">
        <f>HYPERLINK("https://mbrstore.com/products/two-in-one-cleanser/", "https://mbrstore.com/products/two-in-one-cleanser/")</f>
        <v>https://mbrstore.com/products/two-in-one-cleanser/</v>
      </c>
      <c r="B1100" s="3" t="str">
        <f>HYPERLINK("https://mbrstore.com/products/two-in-one-cleanser/", "https://mbrstore.com/products/two-in-one-cleanser/")</f>
        <v>https://mbrstore.com/products/two-in-one-cleanser/</v>
      </c>
      <c r="C1100" t="s">
        <v>2453</v>
      </c>
      <c r="D1100" t="s">
        <v>2464</v>
      </c>
      <c r="E1100" s="3" t="str">
        <f>HYPERLINK("https://www.amazon.com/Zoom-Electric-Guitar-G1X-FOUR/dp/B07MZPR5GP/ref=sr_1_1?keywords=Effects&amp;qid=1695258878&amp;sr=8-1", "https://www.amazon.com/Zoom-Electric-Guitar-G1X-FOUR/dp/B07MZPR5GP/ref=sr_1_1?keywords=Effects&amp;qid=1695258878&amp;sr=8-1")</f>
        <v>https://www.amazon.com/Zoom-Electric-Guitar-G1X-FOUR/dp/B07MZPR5GP/ref=sr_1_1?keywords=Effects&amp;qid=1695258878&amp;sr=8-1</v>
      </c>
      <c r="F1100" t="s">
        <v>2465</v>
      </c>
      <c r="G1100" t="e">
        <f ca="1">IMAGE("https://mbrstore.com/wp-content/uploads/2022/03/01102_Two_In_One_Cleanser_200ml-copy-460x460.jpg")</f>
        <v>#NAME?</v>
      </c>
      <c r="H1100" t="e">
        <f ca="1">IMAGE("https://m.media-amazon.com/images/I/81lPUPAo-SL._AC_UL320_.jpg")</f>
        <v>#NAME?</v>
      </c>
      <c r="I1100" t="s">
        <v>2512</v>
      </c>
      <c r="J1100">
        <v>119.99</v>
      </c>
      <c r="K1100" s="2" t="s">
        <v>2537</v>
      </c>
      <c r="L1100">
        <v>4.5</v>
      </c>
      <c r="M1100">
        <v>6902</v>
      </c>
      <c r="O1100" t="s">
        <v>26</v>
      </c>
      <c r="P1100" t="s">
        <v>39</v>
      </c>
      <c r="Q1100" t="s">
        <v>2514</v>
      </c>
    </row>
    <row r="1101" spans="1:17" ht="15.75" x14ac:dyDescent="0.25">
      <c r="A1101" s="3" t="str">
        <f>HYPERLINK("https://mbrstore.com/products/normalizing-lipid-sebum-care/", "https://mbrstore.com/products/normalizing-lipid-sebum-care/")</f>
        <v>https://mbrstore.com/products/normalizing-lipid-sebum-care/</v>
      </c>
      <c r="B1101" s="3" t="str">
        <f>HYPERLINK("https://mbrstore.com/products/normalizing-lipid-sebum-care/", "https://mbrstore.com/products/normalizing-lipid-sebum-care/")</f>
        <v>https://mbrstore.com/products/normalizing-lipid-sebum-care/</v>
      </c>
      <c r="C1101" t="s">
        <v>2453</v>
      </c>
      <c r="D1101" t="s">
        <v>2458</v>
      </c>
      <c r="E1101" s="3" t="str">
        <f>HYPERLINK("https://www.amazon.com/Fender-Mustang-LT-25-Digital-Amplifier/dp/B07N29M92M/ref=sr_1_3?keywords=Effects&amp;qid=1695258880&amp;sr=8-3", "https://www.amazon.com/Fender-Mustang-LT-25-Digital-Amplifier/dp/B07N29M92M/ref=sr_1_3?keywords=Effects&amp;qid=1695258880&amp;sr=8-3")</f>
        <v>https://www.amazon.com/Fender-Mustang-LT-25-Digital-Amplifier/dp/B07N29M92M/ref=sr_1_3?keywords=Effects&amp;qid=1695258880&amp;sr=8-3</v>
      </c>
      <c r="F1101" t="s">
        <v>2459</v>
      </c>
      <c r="G1101" t="e">
        <f ca="1">IMAGE("https://mbrstore.com/wp-content/uploads/2022/03/01511_NormalizingLipidSebumCare_30ml-copy-460x460.jpg")</f>
        <v>#NAME?</v>
      </c>
      <c r="H1101" t="e">
        <f ca="1">IMAGE("https://m.media-amazon.com/images/I/81oKmWyFJPL._AC_UL320_.jpg")</f>
        <v>#NAME?</v>
      </c>
      <c r="I1101" t="s">
        <v>2538</v>
      </c>
      <c r="J1101">
        <v>159.99</v>
      </c>
      <c r="K1101" s="2" t="s">
        <v>2539</v>
      </c>
      <c r="L1101">
        <v>4.8</v>
      </c>
      <c r="M1101">
        <v>3110</v>
      </c>
      <c r="O1101" t="s">
        <v>26</v>
      </c>
      <c r="P1101" t="s">
        <v>39</v>
      </c>
      <c r="Q1101" t="s">
        <v>2540</v>
      </c>
    </row>
    <row r="1102" spans="1:17" ht="15.75" x14ac:dyDescent="0.25">
      <c r="A1102" s="3" t="str">
        <f>HYPERLINK("https://mbrstore.com/products/eye-make-up-remover/", "https://mbrstore.com/products/eye-make-up-remover/")</f>
        <v>https://mbrstore.com/products/eye-make-up-remover/</v>
      </c>
      <c r="B1102" s="3" t="str">
        <f>HYPERLINK("https://mbrstore.com/products/eye-make-up-remover/", "https://mbrstore.com/products/eye-make-up-remover/")</f>
        <v>https://mbrstore.com/products/eye-make-up-remover/</v>
      </c>
      <c r="C1102" t="s">
        <v>2453</v>
      </c>
      <c r="D1102" t="s">
        <v>2458</v>
      </c>
      <c r="E1102" s="3" t="str">
        <f>HYPERLINK("https://www.amazon.com/Fender-Mustang-LT-25-Digital-Amplifier/dp/B07N29M92M/ref=sr_1_3?keywords=Effects&amp;qid=1695258886&amp;sr=8-3", "https://www.amazon.com/Fender-Mustang-LT-25-Digital-Amplifier/dp/B07N29M92M/ref=sr_1_3?keywords=Effects&amp;qid=1695258886&amp;sr=8-3")</f>
        <v>https://www.amazon.com/Fender-Mustang-LT-25-Digital-Amplifier/dp/B07N29M92M/ref=sr_1_3?keywords=Effects&amp;qid=1695258886&amp;sr=8-3</v>
      </c>
      <c r="F1102" t="s">
        <v>2459</v>
      </c>
      <c r="G1102" t="e">
        <f ca="1">IMAGE("https://mbrstore.com/wp-content/uploads/2022/03/01103_EyeMakeupRemover_200ml-copy-460x460.jpg")</f>
        <v>#NAME?</v>
      </c>
      <c r="H1102" t="e">
        <f ca="1">IMAGE("https://m.media-amazon.com/images/I/81oKmWyFJPL._AC_UL320_.jpg")</f>
        <v>#NAME?</v>
      </c>
      <c r="I1102" t="s">
        <v>2541</v>
      </c>
      <c r="J1102">
        <v>159.99</v>
      </c>
      <c r="K1102" s="2" t="s">
        <v>2542</v>
      </c>
      <c r="L1102">
        <v>4.8</v>
      </c>
      <c r="M1102">
        <v>3110</v>
      </c>
      <c r="O1102" t="s">
        <v>26</v>
      </c>
      <c r="P1102" t="s">
        <v>39</v>
      </c>
      <c r="Q1102" t="s">
        <v>2543</v>
      </c>
    </row>
    <row r="1103" spans="1:17" ht="15.75" x14ac:dyDescent="0.25">
      <c r="A1103" s="3" t="str">
        <f>HYPERLINK("https://mbrstore.com/products/starter-facial-booster/", "https://mbrstore.com/products/starter-facial-booster/")</f>
        <v>https://mbrstore.com/products/starter-facial-booster/</v>
      </c>
      <c r="B1103" s="3" t="str">
        <f>HYPERLINK("https://mbrstore.com/products/starter-facial-booster/", "https://mbrstore.com/products/starter-facial-booster/")</f>
        <v>https://mbrstore.com/products/starter-facial-booster/</v>
      </c>
      <c r="C1103" t="s">
        <v>2453</v>
      </c>
      <c r="D1103" t="s">
        <v>2458</v>
      </c>
      <c r="E1103" s="3" t="str">
        <f>HYPERLINK("https://www.amazon.com/Fender-Mustang-LT-25-Digital-Amplifier/dp/B07N29M92M/ref=sr_1_1?keywords=Effects&amp;qid=1695258869&amp;sr=8-1", "https://www.amazon.com/Fender-Mustang-LT-25-Digital-Amplifier/dp/B07N29M92M/ref=sr_1_1?keywords=Effects&amp;qid=1695258869&amp;sr=8-1")</f>
        <v>https://www.amazon.com/Fender-Mustang-LT-25-Digital-Amplifier/dp/B07N29M92M/ref=sr_1_1?keywords=Effects&amp;qid=1695258869&amp;sr=8-1</v>
      </c>
      <c r="F1103" t="s">
        <v>2459</v>
      </c>
      <c r="G1103" t="e">
        <f ca="1">IMAGE("https://mbrstore.com/wp-content/uploads/2022/03/01100_StarterFacialBooster_200ml-460x460.jpg")</f>
        <v>#NAME?</v>
      </c>
      <c r="H1103" t="e">
        <f ca="1">IMAGE("https://m.media-amazon.com/images/I/81oKmWyFJPL._AC_UL320_.jpg")</f>
        <v>#NAME?</v>
      </c>
      <c r="I1103" t="s">
        <v>2544</v>
      </c>
      <c r="J1103">
        <v>159.99</v>
      </c>
      <c r="K1103" s="2" t="s">
        <v>2545</v>
      </c>
      <c r="L1103">
        <v>4.8</v>
      </c>
      <c r="M1103">
        <v>3110</v>
      </c>
      <c r="O1103" t="s">
        <v>26</v>
      </c>
      <c r="P1103" t="s">
        <v>39</v>
      </c>
      <c r="Q1103" t="s">
        <v>2546</v>
      </c>
    </row>
    <row r="1104" spans="1:17" ht="15.75" x14ac:dyDescent="0.25">
      <c r="A1104" s="3" t="str">
        <f>HYPERLINK("https://mbrstore.com/products/continueline-soft-tonic/", "https://mbrstore.com/products/continueline-soft-tonic/")</f>
        <v>https://mbrstore.com/products/continueline-soft-tonic/</v>
      </c>
      <c r="B1104" s="3" t="str">
        <f>HYPERLINK("https://mbrstore.com/products/continueline-soft-tonic/", "https://mbrstore.com/products/continueline-soft-tonic/")</f>
        <v>https://mbrstore.com/products/continueline-soft-tonic/</v>
      </c>
      <c r="C1104" t="s">
        <v>2453</v>
      </c>
      <c r="D1104" t="s">
        <v>2464</v>
      </c>
      <c r="E1104" s="3" t="str">
        <f>HYPERLINK("https://www.amazon.com/Zoom-Electric-Guitar-G1X-FOUR/dp/B07MZPR5GP/ref=sr_1_5?keywords=Effects&amp;qid=1695258870&amp;sr=8-5", "https://www.amazon.com/Zoom-Electric-Guitar-G1X-FOUR/dp/B07MZPR5GP/ref=sr_1_5?keywords=Effects&amp;qid=1695258870&amp;sr=8-5")</f>
        <v>https://www.amazon.com/Zoom-Electric-Guitar-G1X-FOUR/dp/B07MZPR5GP/ref=sr_1_5?keywords=Effects&amp;qid=1695258870&amp;sr=8-5</v>
      </c>
      <c r="F1104" t="s">
        <v>2465</v>
      </c>
      <c r="G1104" t="e">
        <f ca="1">IMAGE("https://mbrstore.com/wp-content/uploads/2022/03/01514_SoftTonic_150ml-copy-460x460.jpg")</f>
        <v>#NAME?</v>
      </c>
      <c r="H1104" t="e">
        <f ca="1">IMAGE("https://m.media-amazon.com/images/I/81lPUPAo-SL._AC_UL320_.jpg")</f>
        <v>#NAME?</v>
      </c>
      <c r="I1104" t="s">
        <v>2492</v>
      </c>
      <c r="J1104">
        <v>119.99</v>
      </c>
      <c r="K1104" s="2" t="s">
        <v>2547</v>
      </c>
      <c r="L1104">
        <v>4.5</v>
      </c>
      <c r="M1104">
        <v>6902</v>
      </c>
      <c r="O1104" t="s">
        <v>26</v>
      </c>
      <c r="P1104" t="s">
        <v>39</v>
      </c>
      <c r="Q1104" t="s">
        <v>2494</v>
      </c>
    </row>
    <row r="1105" spans="1:17" ht="15.75" x14ac:dyDescent="0.25">
      <c r="A1105" s="3" t="str">
        <f>HYPERLINK("https://mbrstore.com/products/perfect-liquid-mask/", "https://mbrstore.com/products/perfect-liquid-mask/")</f>
        <v>https://mbrstore.com/products/perfect-liquid-mask/</v>
      </c>
      <c r="B1105" s="3" t="str">
        <f>HYPERLINK("https://mbrstore.com/products/perfect-liquid-mask/", "https://mbrstore.com/products/perfect-liquid-mask/")</f>
        <v>https://mbrstore.com/products/perfect-liquid-mask/</v>
      </c>
      <c r="C1105" t="s">
        <v>2453</v>
      </c>
      <c r="D1105" t="s">
        <v>2508</v>
      </c>
      <c r="E1105" s="3" t="str">
        <f>HYPERLINK("https://www.amazon.com/Westmore-Beauty-Tightening-Temporarily-Puffiness/dp/B07BYG7D2V/ref=sr_1_9?keywords=Effects&amp;qid=1695258875&amp;sr=8-9", "https://www.amazon.com/Westmore-Beauty-Tightening-Temporarily-Puffiness/dp/B07BYG7D2V/ref=sr_1_9?keywords=Effects&amp;qid=1695258875&amp;sr=8-9")</f>
        <v>https://www.amazon.com/Westmore-Beauty-Tightening-Temporarily-Puffiness/dp/B07BYG7D2V/ref=sr_1_9?keywords=Effects&amp;qid=1695258875&amp;sr=8-9</v>
      </c>
      <c r="F1105" t="s">
        <v>2509</v>
      </c>
      <c r="G1105" t="e">
        <f ca="1">IMAGE("https://mbrstore.com/wp-content/uploads/2022/03/01456_PerfectLiquidMask-copy-460x460.jpg")</f>
        <v>#NAME?</v>
      </c>
      <c r="H1105" t="e">
        <f ca="1">IMAGE("https://m.media-amazon.com/images/I/51YkzEMtyCL._AC_UL320_.jpg")</f>
        <v>#NAME?</v>
      </c>
      <c r="I1105" t="s">
        <v>2468</v>
      </c>
      <c r="J1105">
        <v>43.45</v>
      </c>
      <c r="K1105" s="2" t="s">
        <v>2548</v>
      </c>
      <c r="L1105">
        <v>3.6</v>
      </c>
      <c r="M1105">
        <v>1214</v>
      </c>
      <c r="O1105" t="s">
        <v>26</v>
      </c>
      <c r="P1105" t="s">
        <v>39</v>
      </c>
      <c r="Q1105" t="s">
        <v>2470</v>
      </c>
    </row>
    <row r="1106" spans="1:17" ht="15.75" x14ac:dyDescent="0.25">
      <c r="A1106" s="3" t="str">
        <f>HYPERLINK("https://mbrstore.com/products/hand-body/", "https://mbrstore.com/products/hand-body/")</f>
        <v>https://mbrstore.com/products/hand-body/</v>
      </c>
      <c r="B1106" s="3" t="str">
        <f>HYPERLINK("https://mbrstore.com/products/hand-body/", "https://mbrstore.com/products/hand-body/")</f>
        <v>https://mbrstore.com/products/hand-body/</v>
      </c>
      <c r="C1106" t="s">
        <v>2453</v>
      </c>
      <c r="D1106" t="s">
        <v>2464</v>
      </c>
      <c r="E1106" s="3" t="str">
        <f>HYPERLINK("https://www.amazon.com/Zoom-Electric-Guitar-G1X-FOUR/dp/B07MZPR5GP/ref=sr_1_1?keywords=Effects&amp;qid=1695258883&amp;sr=8-1", "https://www.amazon.com/Zoom-Electric-Guitar-G1X-FOUR/dp/B07MZPR5GP/ref=sr_1_1?keywords=Effects&amp;qid=1695258883&amp;sr=8-1")</f>
        <v>https://www.amazon.com/Zoom-Electric-Guitar-G1X-FOUR/dp/B07MZPR5GP/ref=sr_1_1?keywords=Effects&amp;qid=1695258883&amp;sr=8-1</v>
      </c>
      <c r="F1106" t="s">
        <v>2465</v>
      </c>
      <c r="G1106" t="e">
        <f ca="1">IMAGE("https://mbrstore.com/wp-content/uploads/2022/06/01714_HandBody_200ml-copy-460x460.jpg")</f>
        <v>#NAME?</v>
      </c>
      <c r="H1106" t="e">
        <f ca="1">IMAGE("https://m.media-amazon.com/images/I/81lPUPAo-SL._AC_UL320_.jpg")</f>
        <v>#NAME?</v>
      </c>
      <c r="I1106" t="s">
        <v>2521</v>
      </c>
      <c r="J1106">
        <v>119.99</v>
      </c>
      <c r="K1106" s="2" t="s">
        <v>2549</v>
      </c>
      <c r="L1106">
        <v>4.5</v>
      </c>
      <c r="M1106">
        <v>6902</v>
      </c>
      <c r="O1106" t="s">
        <v>26</v>
      </c>
      <c r="P1106" t="s">
        <v>39</v>
      </c>
      <c r="Q1106" t="s">
        <v>2523</v>
      </c>
    </row>
    <row r="1107" spans="1:17" ht="15.75" x14ac:dyDescent="0.25">
      <c r="A1107" s="3" t="str">
        <f>HYPERLINK("https://mbrstore.com/products/perfect-lip-id/", "https://mbrstore.com/products/perfect-lip-id/")</f>
        <v>https://mbrstore.com/products/perfect-lip-id/</v>
      </c>
      <c r="B1107" s="3" t="str">
        <f>HYPERLINK("https://mbrstore.com/products/perfect-lip-id/", "https://mbrstore.com/products/perfect-lip-id/")</f>
        <v>https://mbrstore.com/products/perfect-lip-id/</v>
      </c>
      <c r="C1107" t="s">
        <v>2453</v>
      </c>
      <c r="D1107" t="s">
        <v>2464</v>
      </c>
      <c r="E1107" s="3" t="str">
        <f>HYPERLINK("https://www.amazon.com/Zoom-Electric-Guitar-G1X-FOUR/dp/B07MZPR5GP/ref=sr_1_1?keywords=Effects&amp;qid=1695258878&amp;sr=8-1", "https://www.amazon.com/Zoom-Electric-Guitar-G1X-FOUR/dp/B07MZPR5GP/ref=sr_1_1?keywords=Effects&amp;qid=1695258878&amp;sr=8-1")</f>
        <v>https://www.amazon.com/Zoom-Electric-Guitar-G1X-FOUR/dp/B07MZPR5GP/ref=sr_1_1?keywords=Effects&amp;qid=1695258878&amp;sr=8-1</v>
      </c>
      <c r="F1107" t="s">
        <v>2465</v>
      </c>
      <c r="G1107" t="e">
        <f ca="1">IMAGE("https://mbrstore.com/wp-content/uploads/2022/03/01409_Perfect_Lip_Id_7ml-copy-460x460.jpg")</f>
        <v>#NAME?</v>
      </c>
      <c r="H1107" t="e">
        <f ca="1">IMAGE("https://m.media-amazon.com/images/I/81lPUPAo-SL._AC_UL320_.jpg")</f>
        <v>#NAME?</v>
      </c>
      <c r="I1107" t="s">
        <v>2527</v>
      </c>
      <c r="J1107">
        <v>119.99</v>
      </c>
      <c r="K1107" s="2" t="s">
        <v>2550</v>
      </c>
      <c r="L1107">
        <v>4.5</v>
      </c>
      <c r="M1107">
        <v>6902</v>
      </c>
      <c r="O1107" t="s">
        <v>26</v>
      </c>
      <c r="P1107" t="s">
        <v>39</v>
      </c>
      <c r="Q1107" t="s">
        <v>2529</v>
      </c>
    </row>
    <row r="1108" spans="1:17" ht="15.75" x14ac:dyDescent="0.25">
      <c r="A1108" s="3" t="str">
        <f>HYPERLINK("https://mbrstore.com/products/continueline-enzyme-specialist/", "https://mbrstore.com/products/continueline-enzyme-specialist/")</f>
        <v>https://mbrstore.com/products/continueline-enzyme-specialist/</v>
      </c>
      <c r="B1108" s="3" t="str">
        <f>HYPERLINK("https://mbrstore.com/products/continueline-enzyme-specialist/", "https://mbrstore.com/products/continueline-enzyme-specialist/")</f>
        <v>https://mbrstore.com/products/continueline-enzyme-specialist/</v>
      </c>
      <c r="C1108" t="s">
        <v>2453</v>
      </c>
      <c r="D1108" t="s">
        <v>2458</v>
      </c>
      <c r="E1108" s="3" t="str">
        <f>HYPERLINK("https://www.amazon.com/Fender-Mustang-LT-25-Digital-Amplifier/dp/B07N29M92M/ref=sr_1_4?keywords=Effects&amp;qid=1695258878&amp;sr=8-4", "https://www.amazon.com/Fender-Mustang-LT-25-Digital-Amplifier/dp/B07N29M92M/ref=sr_1_4?keywords=Effects&amp;qid=1695258878&amp;sr=8-4")</f>
        <v>https://www.amazon.com/Fender-Mustang-LT-25-Digital-Amplifier/dp/B07N29M92M/ref=sr_1_4?keywords=Effects&amp;qid=1695258878&amp;sr=8-4</v>
      </c>
      <c r="F1108" t="s">
        <v>2459</v>
      </c>
      <c r="G1108" t="e">
        <f ca="1">IMAGE("https://mbrstore.com/wp-content/uploads/2022/03/01512_EnzymeSpecialist_50ml-copy-460x460.jpg")</f>
        <v>#NAME?</v>
      </c>
      <c r="H1108" t="e">
        <f ca="1">IMAGE("https://m.media-amazon.com/images/I/81oKmWyFJPL._AC_UL320_.jpg")</f>
        <v>#NAME?</v>
      </c>
      <c r="I1108" t="s">
        <v>2485</v>
      </c>
      <c r="J1108">
        <v>159.99</v>
      </c>
      <c r="K1108" s="2" t="s">
        <v>2551</v>
      </c>
      <c r="L1108">
        <v>4.8</v>
      </c>
      <c r="M1108">
        <v>3110</v>
      </c>
      <c r="O1108" t="s">
        <v>26</v>
      </c>
      <c r="P1108" t="s">
        <v>2487</v>
      </c>
      <c r="Q1108" t="s">
        <v>2488</v>
      </c>
    </row>
    <row r="1109" spans="1:17" ht="15.75" x14ac:dyDescent="0.25">
      <c r="A1109" s="3" t="str">
        <f>HYPERLINK("https://mbrstore.com/products/hyaluron-mask/", "https://mbrstore.com/products/hyaluron-mask/")</f>
        <v>https://mbrstore.com/products/hyaluron-mask/</v>
      </c>
      <c r="B1109" s="3" t="str">
        <f>HYPERLINK("https://mbrstore.com/products/hyaluron-mask/", "https://mbrstore.com/products/hyaluron-mask/")</f>
        <v>https://mbrstore.com/products/hyaluron-mask/</v>
      </c>
      <c r="C1109" t="s">
        <v>2453</v>
      </c>
      <c r="D1109" t="s">
        <v>2454</v>
      </c>
      <c r="E1109" s="3" t="str">
        <f>HYPERLINK("https://www.amazon.com/BOSS-ME-90-Multi-Effects-Multi-Function-Footswitches/dp/B0CB95FW31/ref=sr_1_4?keywords=Effects&amp;qid=1695258871&amp;sr=8-4", "https://www.amazon.com/BOSS-ME-90-Multi-Effects-Multi-Function-Footswitches/dp/B0CB95FW31/ref=sr_1_4?keywords=Effects&amp;qid=1695258871&amp;sr=8-4")</f>
        <v>https://www.amazon.com/BOSS-ME-90-Multi-Effects-Multi-Function-Footswitches/dp/B0CB95FW31/ref=sr_1_4?keywords=Effects&amp;qid=1695258871&amp;sr=8-4</v>
      </c>
      <c r="F1109" t="s">
        <v>2455</v>
      </c>
      <c r="G1109" t="e">
        <f ca="1">IMAGE("https://mbrstore.com/wp-content/uploads/2022/03/01232_HyaluronMask_100ml-copy-460x460.jpg")</f>
        <v>#NAME?</v>
      </c>
      <c r="H1109" t="e">
        <f ca="1">IMAGE("https://m.media-amazon.com/images/I/617SJJIeDWL._AC_UL320_.jpg")</f>
        <v>#NAME?</v>
      </c>
      <c r="I1109" t="s">
        <v>2552</v>
      </c>
      <c r="J1109">
        <v>349.99</v>
      </c>
      <c r="K1109" s="2" t="s">
        <v>2553</v>
      </c>
      <c r="L1109">
        <v>5</v>
      </c>
      <c r="M1109">
        <v>2</v>
      </c>
      <c r="O1109" t="s">
        <v>26</v>
      </c>
      <c r="P1109" t="s">
        <v>39</v>
      </c>
      <c r="Q1109" t="s">
        <v>2554</v>
      </c>
    </row>
    <row r="1110" spans="1:17" ht="15.75" x14ac:dyDescent="0.25">
      <c r="A1110" s="3" t="str">
        <f>HYPERLINK("https://mbrstore.com/products/cea-twentyfour-hours-extreme/", "https://mbrstore.com/products/cea-twentyfour-hours-extreme/")</f>
        <v>https://mbrstore.com/products/cea-twentyfour-hours-extreme/</v>
      </c>
      <c r="B1110" s="3" t="str">
        <f>HYPERLINK("https://mbrstore.com/products/cea-twentyfour-hours-extreme/", "https://mbrstore.com/products/cea-twentyfour-hours-extreme/")</f>
        <v>https://mbrstore.com/products/cea-twentyfour-hours-extreme/</v>
      </c>
      <c r="C1110" t="s">
        <v>2453</v>
      </c>
      <c r="D1110" t="s">
        <v>2454</v>
      </c>
      <c r="E1110" s="3" t="str">
        <f>HYPERLINK("https://www.amazon.com/BOSS-ME-90-Multi-Effects-Multi-Function-Footswitches/dp/B0CB95FW31/ref=sr_1_7?keywords=Effects&amp;qid=1695258887&amp;sr=8-7", "https://www.amazon.com/BOSS-ME-90-Multi-Effects-Multi-Function-Footswitches/dp/B0CB95FW31/ref=sr_1_7?keywords=Effects&amp;qid=1695258887&amp;sr=8-7")</f>
        <v>https://www.amazon.com/BOSS-ME-90-Multi-Effects-Multi-Function-Footswitches/dp/B0CB95FW31/ref=sr_1_7?keywords=Effects&amp;qid=1695258887&amp;sr=8-7</v>
      </c>
      <c r="F1110" t="s">
        <v>2455</v>
      </c>
      <c r="G1110" t="e">
        <f ca="1">IMAGE("https://mbrstore.com/wp-content/uploads/2022/03/01241_24HoursExtreme_50ml-copy-460x460.jpg")</f>
        <v>#NAME?</v>
      </c>
      <c r="H1110" t="e">
        <f ca="1">IMAGE("https://m.media-amazon.com/images/I/617SJJIeDWL._AC_UL320_.jpg")</f>
        <v>#NAME?</v>
      </c>
      <c r="I1110" t="s">
        <v>2555</v>
      </c>
      <c r="J1110">
        <v>347.99</v>
      </c>
      <c r="K1110" s="2" t="s">
        <v>2556</v>
      </c>
      <c r="L1110">
        <v>5</v>
      </c>
      <c r="M1110">
        <v>2</v>
      </c>
      <c r="O1110" t="s">
        <v>26</v>
      </c>
      <c r="P1110" t="s">
        <v>39</v>
      </c>
      <c r="Q1110" t="s">
        <v>2557</v>
      </c>
    </row>
    <row r="1111" spans="1:17" ht="15.75" x14ac:dyDescent="0.25">
      <c r="A1111" s="3" t="str">
        <f>HYPERLINK("https://mbrstore.com/products/after-sun-face/", "https://mbrstore.com/products/after-sun-face/")</f>
        <v>https://mbrstore.com/products/after-sun-face/</v>
      </c>
      <c r="B1111" s="3" t="str">
        <f>HYPERLINK("https://mbrstore.com/products/after-sun-face/", "https://mbrstore.com/products/after-sun-face/")</f>
        <v>https://mbrstore.com/products/after-sun-face/</v>
      </c>
      <c r="C1111" t="s">
        <v>2453</v>
      </c>
      <c r="D1111" t="s">
        <v>2458</v>
      </c>
      <c r="E1111" s="3" t="str">
        <f>HYPERLINK("https://www.amazon.com/Fender-Mustang-LT-25-Digital-Amplifier/dp/B07N29M92M/ref=sr_1_3?keywords=Effects&amp;qid=1695258892&amp;sr=8-3", "https://www.amazon.com/Fender-Mustang-LT-25-Digital-Amplifier/dp/B07N29M92M/ref=sr_1_3?keywords=Effects&amp;qid=1695258892&amp;sr=8-3")</f>
        <v>https://www.amazon.com/Fender-Mustang-LT-25-Digital-Amplifier/dp/B07N29M92M/ref=sr_1_3?keywords=Effects&amp;qid=1695258892&amp;sr=8-3</v>
      </c>
      <c r="F1111" t="s">
        <v>2459</v>
      </c>
      <c r="G1111" t="e">
        <f ca="1">IMAGE("https://mbrstore.com/wp-content/uploads/2023/05/01830_AfterSUNFace_100ml-1-460x460.png")</f>
        <v>#NAME?</v>
      </c>
      <c r="H1111" t="e">
        <f ca="1">IMAGE("https://m.media-amazon.com/images/I/81oKmWyFJPL._AC_UL320_.jpg")</f>
        <v>#NAME?</v>
      </c>
      <c r="I1111" t="s">
        <v>2558</v>
      </c>
      <c r="J1111">
        <v>159.99</v>
      </c>
      <c r="K1111" s="2" t="s">
        <v>2559</v>
      </c>
      <c r="L1111">
        <v>4.8</v>
      </c>
      <c r="M1111">
        <v>3110</v>
      </c>
      <c r="O1111" t="s">
        <v>26</v>
      </c>
      <c r="P1111" t="s">
        <v>39</v>
      </c>
      <c r="Q1111" t="s">
        <v>2560</v>
      </c>
    </row>
    <row r="1112" spans="1:17" ht="15.75" x14ac:dyDescent="0.25">
      <c r="A1112" s="3" t="str">
        <f>HYPERLINK("https://mbrstore.com/products/lip-contour-refiner/", "https://mbrstore.com/products/lip-contour-refiner/")</f>
        <v>https://mbrstore.com/products/lip-contour-refiner/</v>
      </c>
      <c r="B1112" s="3" t="str">
        <f>HYPERLINK("https://mbrstore.com/products/lip-contour-refiner/", "https://mbrstore.com/products/lip-contour-refiner/")</f>
        <v>https://mbrstore.com/products/lip-contour-refiner/</v>
      </c>
      <c r="C1112" t="s">
        <v>2453</v>
      </c>
      <c r="D1112" t="s">
        <v>2464</v>
      </c>
      <c r="E1112" s="3" t="str">
        <f>HYPERLINK("https://www.amazon.com/Zoom-Electric-Guitar-G1X-FOUR/dp/B07MZPR5GP/ref=sr_1_1?keywords=Effects&amp;qid=1695258884&amp;sr=8-1", "https://www.amazon.com/Zoom-Electric-Guitar-G1X-FOUR/dp/B07MZPR5GP/ref=sr_1_1?keywords=Effects&amp;qid=1695258884&amp;sr=8-1")</f>
        <v>https://www.amazon.com/Zoom-Electric-Guitar-G1X-FOUR/dp/B07MZPR5GP/ref=sr_1_1?keywords=Effects&amp;qid=1695258884&amp;sr=8-1</v>
      </c>
      <c r="F1112" t="s">
        <v>2465</v>
      </c>
      <c r="G1112" t="e">
        <f ca="1">IMAGE("https://mbrstore.com/wp-content/uploads/2022/03/01227_Lip_Contour_Refiner_15ml-copy-460x460.jpg")</f>
        <v>#NAME?</v>
      </c>
      <c r="H1112" t="e">
        <f ca="1">IMAGE("https://m.media-amazon.com/images/I/81lPUPAo-SL._AC_UL320_.jpg")</f>
        <v>#NAME?</v>
      </c>
      <c r="I1112" t="s">
        <v>2534</v>
      </c>
      <c r="J1112">
        <v>119.99</v>
      </c>
      <c r="K1112" s="2" t="s">
        <v>2561</v>
      </c>
      <c r="L1112">
        <v>4.5</v>
      </c>
      <c r="M1112">
        <v>6902</v>
      </c>
      <c r="O1112" t="s">
        <v>26</v>
      </c>
      <c r="P1112" t="s">
        <v>39</v>
      </c>
      <c r="Q1112" t="s">
        <v>2536</v>
      </c>
    </row>
    <row r="1113" spans="1:17" ht="15.75" x14ac:dyDescent="0.25">
      <c r="A1113" s="3" t="str">
        <f>HYPERLINK("https://mbrstore.com/products/the-best-hand/", "https://mbrstore.com/products/the-best-hand/")</f>
        <v>https://mbrstore.com/products/the-best-hand/</v>
      </c>
      <c r="B1113" s="3" t="str">
        <f>HYPERLINK("https://mbrstore.com/products/the-best-hand/", "https://mbrstore.com/products/the-best-hand/")</f>
        <v>https://mbrstore.com/products/the-best-hand/</v>
      </c>
      <c r="C1113" t="s">
        <v>2453</v>
      </c>
      <c r="D1113" t="s">
        <v>2458</v>
      </c>
      <c r="E1113" s="3" t="str">
        <f>HYPERLINK("https://www.amazon.com/Fender-Mustang-LT-25-Digital-Amplifier/dp/B07N29M92M/ref=sr_1_3?keywords=Effects&amp;qid=1695258873&amp;sr=8-3", "https://www.amazon.com/Fender-Mustang-LT-25-Digital-Amplifier/dp/B07N29M92M/ref=sr_1_3?keywords=Effects&amp;qid=1695258873&amp;sr=8-3")</f>
        <v>https://www.amazon.com/Fender-Mustang-LT-25-Digital-Amplifier/dp/B07N29M92M/ref=sr_1_3?keywords=Effects&amp;qid=1695258873&amp;sr=8-3</v>
      </c>
      <c r="F1113" t="s">
        <v>2459</v>
      </c>
      <c r="G1113" t="e">
        <f ca="1">IMAGE("https://mbrstore.com/wp-content/uploads/2022/03/01447_TheBestHand_15ml-copy-460x460.jpg")</f>
        <v>#NAME?</v>
      </c>
      <c r="H1113" t="e">
        <f ca="1">IMAGE("https://m.media-amazon.com/images/I/81oKmWyFJPL._AC_UL320_.jpg")</f>
        <v>#NAME?</v>
      </c>
      <c r="I1113" t="s">
        <v>2562</v>
      </c>
      <c r="J1113">
        <v>159.99</v>
      </c>
      <c r="K1113" s="2" t="s">
        <v>2563</v>
      </c>
      <c r="L1113">
        <v>4.8</v>
      </c>
      <c r="M1113">
        <v>3110</v>
      </c>
      <c r="O1113" t="s">
        <v>26</v>
      </c>
      <c r="P1113" t="s">
        <v>39</v>
      </c>
      <c r="Q1113" t="s">
        <v>2564</v>
      </c>
    </row>
    <row r="1114" spans="1:17" ht="15.75" x14ac:dyDescent="0.25">
      <c r="A1114" s="3" t="str">
        <f>HYPERLINK("https://mbrstore.com/products/cell-power-hand-treatment/", "https://mbrstore.com/products/cell-power-hand-treatment/")</f>
        <v>https://mbrstore.com/products/cell-power-hand-treatment/</v>
      </c>
      <c r="B1114" s="3" t="str">
        <f>HYPERLINK("https://mbrstore.com/products/cell-power-hand-treatment/", "https://mbrstore.com/products/cell-power-hand-treatment/")</f>
        <v>https://mbrstore.com/products/cell-power-hand-treatment/</v>
      </c>
      <c r="C1114" t="s">
        <v>2453</v>
      </c>
      <c r="D1114" t="s">
        <v>2464</v>
      </c>
      <c r="E1114" s="3" t="str">
        <f>HYPERLINK("https://www.amazon.com/Zoom-Electric-Guitar-G1X-FOUR/dp/B07MZPR5GP/ref=sr_1_4?keywords=Effects&amp;qid=1695258891&amp;sr=8-4", "https://www.amazon.com/Zoom-Electric-Guitar-G1X-FOUR/dp/B07MZPR5GP/ref=sr_1_4?keywords=Effects&amp;qid=1695258891&amp;sr=8-4")</f>
        <v>https://www.amazon.com/Zoom-Electric-Guitar-G1X-FOUR/dp/B07MZPR5GP/ref=sr_1_4?keywords=Effects&amp;qid=1695258891&amp;sr=8-4</v>
      </c>
      <c r="F1114" t="s">
        <v>2465</v>
      </c>
      <c r="G1114" t="e">
        <f ca="1">IMAGE("https://mbrstore.com/wp-content/uploads/2022/03/01608_HandTreatment_100ml-copy-460x460.jpg")</f>
        <v>#NAME?</v>
      </c>
      <c r="H1114" t="e">
        <f ca="1">IMAGE("https://m.media-amazon.com/images/I/81lPUPAo-SL._AC_UL320_.jpg")</f>
        <v>#NAME?</v>
      </c>
      <c r="I1114" t="s">
        <v>2565</v>
      </c>
      <c r="J1114">
        <v>119.99</v>
      </c>
      <c r="K1114" s="2" t="s">
        <v>2566</v>
      </c>
      <c r="L1114">
        <v>4.5</v>
      </c>
      <c r="M1114">
        <v>6902</v>
      </c>
      <c r="O1114" t="s">
        <v>26</v>
      </c>
      <c r="P1114" t="s">
        <v>39</v>
      </c>
      <c r="Q1114" t="s">
        <v>2567</v>
      </c>
    </row>
    <row r="1115" spans="1:17" ht="15.75" x14ac:dyDescent="0.25">
      <c r="A1115" s="3" t="str">
        <f>HYPERLINK("https://mbrstore.com/products/eye-injection/", "https://mbrstore.com/products/eye-injection/")</f>
        <v>https://mbrstore.com/products/eye-injection/</v>
      </c>
      <c r="B1115" s="3" t="str">
        <f>HYPERLINK("https://mbrstore.com/products/eye-injection/", "https://mbrstore.com/products/eye-injection/")</f>
        <v>https://mbrstore.com/products/eye-injection/</v>
      </c>
      <c r="C1115" t="s">
        <v>2453</v>
      </c>
      <c r="D1115" t="s">
        <v>2458</v>
      </c>
      <c r="E1115" s="3" t="str">
        <f>HYPERLINK("https://www.amazon.com/Fender-Mustang-LT-25-Digital-Amplifier/dp/B07N29M92M/ref=sr_1_3?keywords=Effects&amp;qid=1695258895&amp;sr=8-3", "https://www.amazon.com/Fender-Mustang-LT-25-Digital-Amplifier/dp/B07N29M92M/ref=sr_1_3?keywords=Effects&amp;qid=1695258895&amp;sr=8-3")</f>
        <v>https://www.amazon.com/Fender-Mustang-LT-25-Digital-Amplifier/dp/B07N29M92M/ref=sr_1_3?keywords=Effects&amp;qid=1695258895&amp;sr=8-3</v>
      </c>
      <c r="F1115" t="s">
        <v>2459</v>
      </c>
      <c r="G1115" t="e">
        <f ca="1">IMAGE("https://mbrstore.com/wp-content/uploads/2022/06/01708_EyeInjection_15ml-copy-460x460.jpg")</f>
        <v>#NAME?</v>
      </c>
      <c r="H1115" t="e">
        <f ca="1">IMAGE("https://m.media-amazon.com/images/I/81oKmWyFJPL._AC_UL320_.jpg")</f>
        <v>#NAME?</v>
      </c>
      <c r="I1115" t="s">
        <v>2568</v>
      </c>
      <c r="J1115">
        <v>159.99</v>
      </c>
      <c r="K1115" s="2" t="s">
        <v>2569</v>
      </c>
      <c r="L1115">
        <v>4.8</v>
      </c>
      <c r="M1115">
        <v>3110</v>
      </c>
      <c r="O1115" t="s">
        <v>26</v>
      </c>
      <c r="P1115" t="s">
        <v>39</v>
      </c>
      <c r="Q1115" t="s">
        <v>2570</v>
      </c>
    </row>
    <row r="1116" spans="1:17" ht="15.75" x14ac:dyDescent="0.25">
      <c r="A1116" s="3" t="str">
        <f>HYPERLINK("https://mbrstore.com/products/eyelift-cream/", "https://mbrstore.com/products/eyelift-cream/")</f>
        <v>https://mbrstore.com/products/eyelift-cream/</v>
      </c>
      <c r="B1116" s="3" t="str">
        <f>HYPERLINK("https://mbrstore.com/products/eyelift-cream/", "https://mbrstore.com/products/eyelift-cream/")</f>
        <v>https://mbrstore.com/products/eyelift-cream/</v>
      </c>
      <c r="C1116" t="s">
        <v>2453</v>
      </c>
      <c r="D1116" t="s">
        <v>2458</v>
      </c>
      <c r="E1116" s="3" t="str">
        <f>HYPERLINK("https://www.amazon.com/Fender-Mustang-LT-25-Digital-Amplifier/dp/B07N29M92M/ref=sr_1_1?keywords=Effects&amp;qid=1695258884&amp;sr=8-1", "https://www.amazon.com/Fender-Mustang-LT-25-Digital-Amplifier/dp/B07N29M92M/ref=sr_1_1?keywords=Effects&amp;qid=1695258884&amp;sr=8-1")</f>
        <v>https://www.amazon.com/Fender-Mustang-LT-25-Digital-Amplifier/dp/B07N29M92M/ref=sr_1_1?keywords=Effects&amp;qid=1695258884&amp;sr=8-1</v>
      </c>
      <c r="F1116" t="s">
        <v>2459</v>
      </c>
      <c r="G1116" t="e">
        <f ca="1">IMAGE("https://mbrstore.com/wp-content/uploads/2022/03/01219_MBR_Eye_Lift_Cream_30ml-copy-460x460.jpg")</f>
        <v>#NAME?</v>
      </c>
      <c r="H1116" t="e">
        <f ca="1">IMAGE("https://m.media-amazon.com/images/I/81oKmWyFJPL._AC_UL320_.jpg")</f>
        <v>#NAME?</v>
      </c>
      <c r="I1116" t="s">
        <v>2568</v>
      </c>
      <c r="J1116">
        <v>159.99</v>
      </c>
      <c r="K1116" s="2" t="s">
        <v>2569</v>
      </c>
      <c r="L1116">
        <v>4.8</v>
      </c>
      <c r="M1116">
        <v>3110</v>
      </c>
      <c r="O1116" t="s">
        <v>26</v>
      </c>
      <c r="P1116" t="s">
        <v>39</v>
      </c>
      <c r="Q1116" t="s">
        <v>2571</v>
      </c>
    </row>
    <row r="1117" spans="1:17" ht="15.75" x14ac:dyDescent="0.25">
      <c r="A1117" s="3" t="str">
        <f>HYPERLINK("https://mbrstore.com/products/tissue-activator-serum/", "https://mbrstore.com/products/tissue-activator-serum/")</f>
        <v>https://mbrstore.com/products/tissue-activator-serum/</v>
      </c>
      <c r="B1117" s="3" t="str">
        <f>HYPERLINK("https://mbrstore.com/products/tissue-activator-serum/", "https://mbrstore.com/products/tissue-activator-serum/")</f>
        <v>https://mbrstore.com/products/tissue-activator-serum/</v>
      </c>
      <c r="C1117" t="s">
        <v>2453</v>
      </c>
      <c r="D1117" t="s">
        <v>2458</v>
      </c>
      <c r="E1117" s="3" t="str">
        <f>HYPERLINK("https://www.amazon.com/Fender-Mustang-LT-25-Digital-Amplifier/dp/B07N29M92M/ref=sr_1_7?keywords=Effects&amp;qid=1695258873&amp;sr=8-7", "https://www.amazon.com/Fender-Mustang-LT-25-Digital-Amplifier/dp/B07N29M92M/ref=sr_1_7?keywords=Effects&amp;qid=1695258873&amp;sr=8-7")</f>
        <v>https://www.amazon.com/Fender-Mustang-LT-25-Digital-Amplifier/dp/B07N29M92M/ref=sr_1_7?keywords=Effects&amp;qid=1695258873&amp;sr=8-7</v>
      </c>
      <c r="F1117" t="s">
        <v>2459</v>
      </c>
      <c r="G1117" t="e">
        <f ca="1">IMAGE("https://mbrstore.com/wp-content/uploads/2022/03/01222_TissueActivatorSerum_30ml-copy-460x460.jpg")</f>
        <v>#NAME?</v>
      </c>
      <c r="H1117" t="e">
        <f ca="1">IMAGE("https://m.media-amazon.com/images/I/81oKmWyFJPL._AC_UL320_.jpg")</f>
        <v>#NAME?</v>
      </c>
      <c r="I1117" t="s">
        <v>2572</v>
      </c>
      <c r="J1117">
        <v>159.99</v>
      </c>
      <c r="K1117" s="2" t="s">
        <v>2573</v>
      </c>
      <c r="L1117">
        <v>4.8</v>
      </c>
      <c r="M1117">
        <v>3110</v>
      </c>
      <c r="O1117" t="s">
        <v>26</v>
      </c>
      <c r="P1117" t="s">
        <v>2574</v>
      </c>
      <c r="Q1117" t="s">
        <v>2575</v>
      </c>
    </row>
    <row r="1118" spans="1:17" ht="15.75" x14ac:dyDescent="0.25">
      <c r="A1118" s="3" t="str">
        <f>HYPERLINK("https://mbrstore.com/products/normalizing-lipid-sebum-care/", "https://mbrstore.com/products/normalizing-lipid-sebum-care/")</f>
        <v>https://mbrstore.com/products/normalizing-lipid-sebum-care/</v>
      </c>
      <c r="B1118" s="3" t="str">
        <f>HYPERLINK("https://mbrstore.com/products/normalizing-lipid-sebum-care/", "https://mbrstore.com/products/normalizing-lipid-sebum-care/")</f>
        <v>https://mbrstore.com/products/normalizing-lipid-sebum-care/</v>
      </c>
      <c r="C1118" t="s">
        <v>2453</v>
      </c>
      <c r="D1118" t="s">
        <v>2464</v>
      </c>
      <c r="E1118" s="3" t="str">
        <f>HYPERLINK("https://www.amazon.com/Zoom-Electric-Guitar-G1X-FOUR/dp/B07MZPR5GP/ref=sr_1_1?keywords=Effects&amp;qid=1695258880&amp;sr=8-1", "https://www.amazon.com/Zoom-Electric-Guitar-G1X-FOUR/dp/B07MZPR5GP/ref=sr_1_1?keywords=Effects&amp;qid=1695258880&amp;sr=8-1")</f>
        <v>https://www.amazon.com/Zoom-Electric-Guitar-G1X-FOUR/dp/B07MZPR5GP/ref=sr_1_1?keywords=Effects&amp;qid=1695258880&amp;sr=8-1</v>
      </c>
      <c r="F1118" t="s">
        <v>2465</v>
      </c>
      <c r="G1118" t="e">
        <f ca="1">IMAGE("https://mbrstore.com/wp-content/uploads/2022/03/01511_NormalizingLipidSebumCare_30ml-copy-460x460.jpg")</f>
        <v>#NAME?</v>
      </c>
      <c r="H1118" t="e">
        <f ca="1">IMAGE("https://m.media-amazon.com/images/I/81lPUPAo-SL._AC_UL320_.jpg")</f>
        <v>#NAME?</v>
      </c>
      <c r="I1118" t="s">
        <v>2538</v>
      </c>
      <c r="J1118">
        <v>119.99</v>
      </c>
      <c r="K1118" s="2" t="s">
        <v>2576</v>
      </c>
      <c r="L1118">
        <v>4.5</v>
      </c>
      <c r="M1118">
        <v>6902</v>
      </c>
      <c r="O1118" t="s">
        <v>26</v>
      </c>
      <c r="P1118" t="s">
        <v>39</v>
      </c>
      <c r="Q1118" t="s">
        <v>2540</v>
      </c>
    </row>
    <row r="1119" spans="1:17" ht="15.75" x14ac:dyDescent="0.25">
      <c r="A1119" s="3" t="str">
        <f>HYPERLINK("https://mbrstore.com/products/eye-make-up-remover/", "https://mbrstore.com/products/eye-make-up-remover/")</f>
        <v>https://mbrstore.com/products/eye-make-up-remover/</v>
      </c>
      <c r="B1119" s="3" t="str">
        <f>HYPERLINK("https://mbrstore.com/products/eye-make-up-remover/", "https://mbrstore.com/products/eye-make-up-remover/")</f>
        <v>https://mbrstore.com/products/eye-make-up-remover/</v>
      </c>
      <c r="C1119" t="s">
        <v>2453</v>
      </c>
      <c r="D1119" t="s">
        <v>2464</v>
      </c>
      <c r="E1119" s="3" t="str">
        <f>HYPERLINK("https://www.amazon.com/Zoom-Electric-Guitar-G1X-FOUR/dp/B07MZPR5GP/ref=sr_1_1?keywords=Effects&amp;qid=1695258886&amp;sr=8-1", "https://www.amazon.com/Zoom-Electric-Guitar-G1X-FOUR/dp/B07MZPR5GP/ref=sr_1_1?keywords=Effects&amp;qid=1695258886&amp;sr=8-1")</f>
        <v>https://www.amazon.com/Zoom-Electric-Guitar-G1X-FOUR/dp/B07MZPR5GP/ref=sr_1_1?keywords=Effects&amp;qid=1695258886&amp;sr=8-1</v>
      </c>
      <c r="F1119" t="s">
        <v>2465</v>
      </c>
      <c r="G1119" t="e">
        <f ca="1">IMAGE("https://mbrstore.com/wp-content/uploads/2022/03/01103_EyeMakeupRemover_200ml-copy-460x460.jpg")</f>
        <v>#NAME?</v>
      </c>
      <c r="H1119" t="e">
        <f ca="1">IMAGE("https://m.media-amazon.com/images/I/81lPUPAo-SL._AC_UL320_.jpg")</f>
        <v>#NAME?</v>
      </c>
      <c r="I1119" t="s">
        <v>2541</v>
      </c>
      <c r="J1119">
        <v>119.99</v>
      </c>
      <c r="K1119" s="2" t="s">
        <v>2577</v>
      </c>
      <c r="L1119">
        <v>4.5</v>
      </c>
      <c r="M1119">
        <v>6902</v>
      </c>
      <c r="O1119" t="s">
        <v>26</v>
      </c>
      <c r="P1119" t="s">
        <v>39</v>
      </c>
      <c r="Q1119" t="s">
        <v>2543</v>
      </c>
    </row>
    <row r="1120" spans="1:17" ht="15.75" x14ac:dyDescent="0.25">
      <c r="A1120" s="3" t="str">
        <f>HYPERLINK("https://mbrstore.com/products/starter-facial-booster/", "https://mbrstore.com/products/starter-facial-booster/")</f>
        <v>https://mbrstore.com/products/starter-facial-booster/</v>
      </c>
      <c r="B1120" s="3" t="str">
        <f>HYPERLINK("https://mbrstore.com/products/starter-facial-booster/", "https://mbrstore.com/products/starter-facial-booster/")</f>
        <v>https://mbrstore.com/products/starter-facial-booster/</v>
      </c>
      <c r="C1120" t="s">
        <v>2453</v>
      </c>
      <c r="D1120" t="s">
        <v>2464</v>
      </c>
      <c r="E1120" s="3" t="str">
        <f>HYPERLINK("https://www.amazon.com/Zoom-Electric-Guitar-G1X-FOUR/dp/B07MZPR5GP/ref=sr_1_4?keywords=Effects&amp;qid=1695258869&amp;sr=8-4", "https://www.amazon.com/Zoom-Electric-Guitar-G1X-FOUR/dp/B07MZPR5GP/ref=sr_1_4?keywords=Effects&amp;qid=1695258869&amp;sr=8-4")</f>
        <v>https://www.amazon.com/Zoom-Electric-Guitar-G1X-FOUR/dp/B07MZPR5GP/ref=sr_1_4?keywords=Effects&amp;qid=1695258869&amp;sr=8-4</v>
      </c>
      <c r="F1120" t="s">
        <v>2465</v>
      </c>
      <c r="G1120" t="e">
        <f ca="1">IMAGE("https://mbrstore.com/wp-content/uploads/2022/03/01100_StarterFacialBooster_200ml-460x460.jpg")</f>
        <v>#NAME?</v>
      </c>
      <c r="H1120" t="e">
        <f ca="1">IMAGE("https://m.media-amazon.com/images/I/81lPUPAo-SL._AC_UL320_.jpg")</f>
        <v>#NAME?</v>
      </c>
      <c r="I1120" t="s">
        <v>2544</v>
      </c>
      <c r="J1120">
        <v>119.99</v>
      </c>
      <c r="K1120" s="2" t="s">
        <v>2578</v>
      </c>
      <c r="L1120">
        <v>4.5</v>
      </c>
      <c r="M1120">
        <v>6902</v>
      </c>
      <c r="O1120" t="s">
        <v>26</v>
      </c>
      <c r="P1120" t="s">
        <v>39</v>
      </c>
      <c r="Q1120" t="s">
        <v>2546</v>
      </c>
    </row>
    <row r="1121" spans="1:17" ht="15.75" x14ac:dyDescent="0.25">
      <c r="A1121" s="3" t="str">
        <f>HYPERLINK("https://mbrstore.com/products/starter-facial-booster/", "https://mbrstore.com/products/starter-facial-booster/")</f>
        <v>https://mbrstore.com/products/starter-facial-booster/</v>
      </c>
      <c r="B1121" s="3" t="str">
        <f>HYPERLINK("https://mbrstore.com/products/starter-facial-booster/", "https://mbrstore.com/products/starter-facial-booster/")</f>
        <v>https://mbrstore.com/products/starter-facial-booster/</v>
      </c>
      <c r="C1121" t="s">
        <v>2453</v>
      </c>
      <c r="D1121" t="s">
        <v>2496</v>
      </c>
      <c r="E1121" s="3" t="str">
        <f>HYPERLINK("https://www.amazon.com/Zoom-Multi-Effects-Pedal-B1X-FOUR/dp/B07MZQNKYQ/ref=sr_1_9?keywords=Effects&amp;qid=1695258869&amp;sr=8-9", "https://www.amazon.com/Zoom-Multi-Effects-Pedal-B1X-FOUR/dp/B07MZQNKYQ/ref=sr_1_9?keywords=Effects&amp;qid=1695258869&amp;sr=8-9")</f>
        <v>https://www.amazon.com/Zoom-Multi-Effects-Pedal-B1X-FOUR/dp/B07MZQNKYQ/ref=sr_1_9?keywords=Effects&amp;qid=1695258869&amp;sr=8-9</v>
      </c>
      <c r="F1121" t="s">
        <v>2497</v>
      </c>
      <c r="G1121" t="e">
        <f ca="1">IMAGE("https://mbrstore.com/wp-content/uploads/2022/03/01100_StarterFacialBooster_200ml-460x460.jpg")</f>
        <v>#NAME?</v>
      </c>
      <c r="H1121" t="e">
        <f ca="1">IMAGE("https://m.media-amazon.com/images/I/81cA-alqJnL._AC_UL320_.jpg")</f>
        <v>#NAME?</v>
      </c>
      <c r="I1121" t="s">
        <v>2544</v>
      </c>
      <c r="J1121">
        <v>119.99</v>
      </c>
      <c r="K1121" s="2" t="s">
        <v>2578</v>
      </c>
      <c r="L1121">
        <v>4.5999999999999996</v>
      </c>
      <c r="M1121">
        <v>1484</v>
      </c>
      <c r="O1121" t="s">
        <v>26</v>
      </c>
      <c r="P1121" t="s">
        <v>39</v>
      </c>
      <c r="Q1121" t="s">
        <v>2546</v>
      </c>
    </row>
    <row r="1122" spans="1:17" ht="15.75" x14ac:dyDescent="0.25">
      <c r="A1122" s="3" t="str">
        <f>HYPERLINK("https://mbrstore.com/products/shower-care/", "https://mbrstore.com/products/shower-care/")</f>
        <v>https://mbrstore.com/products/shower-care/</v>
      </c>
      <c r="B1122" s="3" t="str">
        <f>HYPERLINK("https://mbrstore.com/products/shower-care/", "https://mbrstore.com/products/shower-care/")</f>
        <v>https://mbrstore.com/products/shower-care/</v>
      </c>
      <c r="C1122" t="s">
        <v>2453</v>
      </c>
      <c r="D1122" t="s">
        <v>2579</v>
      </c>
      <c r="E1122" s="3" t="str">
        <f>HYPERLINK("https://www.amazon.com/Crest-Professional-Whitestrips-Whitening-Treatments/dp/B00AHAWWO0/ref=sr_1_10?keywords=Effects&amp;qid=1695258887&amp;sr=8-10", "https://www.amazon.com/Crest-Professional-Whitestrips-Whitening-Treatments/dp/B00AHAWWO0/ref=sr_1_10?keywords=Effects&amp;qid=1695258887&amp;sr=8-10")</f>
        <v>https://www.amazon.com/Crest-Professional-Whitestrips-Whitening-Treatments/dp/B00AHAWWO0/ref=sr_1_10?keywords=Effects&amp;qid=1695258887&amp;sr=8-10</v>
      </c>
      <c r="F1122" t="s">
        <v>2516</v>
      </c>
      <c r="G1122" t="e">
        <f ca="1">IMAGE("https://mbrstore.com/wp-content/uploads/2022/06/01712_ShowerCare_200ml-copy-460x460.jpg")</f>
        <v>#NAME?</v>
      </c>
      <c r="H1122" t="e">
        <f ca="1">IMAGE("https://m.media-amazon.com/images/I/61IylKAap-L._AC_UL320_.jpg")</f>
        <v>#NAME?</v>
      </c>
      <c r="I1122" t="s">
        <v>2472</v>
      </c>
      <c r="J1122">
        <v>45.99</v>
      </c>
      <c r="K1122" s="2" t="s">
        <v>2580</v>
      </c>
      <c r="L1122">
        <v>4.5999999999999996</v>
      </c>
      <c r="M1122">
        <v>112972</v>
      </c>
      <c r="O1122" t="s">
        <v>26</v>
      </c>
      <c r="P1122" t="s">
        <v>39</v>
      </c>
      <c r="Q1122" t="s">
        <v>2474</v>
      </c>
    </row>
    <row r="1123" spans="1:17" ht="15.75" x14ac:dyDescent="0.25">
      <c r="A1123" s="3" t="str">
        <f>HYPERLINK("https://mbrstore.com/products/hair-scalp-conditioner/", "https://mbrstore.com/products/hair-scalp-conditioner/")</f>
        <v>https://mbrstore.com/products/hair-scalp-conditioner/</v>
      </c>
      <c r="B1123" s="3" t="str">
        <f>HYPERLINK("https://mbrstore.com/products/hair-scalp-conditioner/", "https://mbrstore.com/products/hair-scalp-conditioner/")</f>
        <v>https://mbrstore.com/products/hair-scalp-conditioner/</v>
      </c>
      <c r="C1123" t="s">
        <v>2453</v>
      </c>
      <c r="D1123" t="s">
        <v>2458</v>
      </c>
      <c r="E1123" s="3" t="str">
        <f>HYPERLINK("https://www.amazon.com/Fender-Mustang-LT-25-Digital-Amplifier/dp/B07N29M92M/ref=sr_1_8?keywords=Effects&amp;qid=1695258875&amp;sr=8-8", "https://www.amazon.com/Fender-Mustang-LT-25-Digital-Amplifier/dp/B07N29M92M/ref=sr_1_8?keywords=Effects&amp;qid=1695258875&amp;sr=8-8")</f>
        <v>https://www.amazon.com/Fender-Mustang-LT-25-Digital-Amplifier/dp/B07N29M92M/ref=sr_1_8?keywords=Effects&amp;qid=1695258875&amp;sr=8-8</v>
      </c>
      <c r="F1123" t="s">
        <v>2459</v>
      </c>
      <c r="G1123" t="e">
        <f ca="1">IMAGE("https://mbrstore.com/wp-content/uploads/2022/03/01461_HairScalpConditioner_200ml-copy-460x460.jpg")</f>
        <v>#NAME?</v>
      </c>
      <c r="H1123" t="e">
        <f ca="1">IMAGE("https://m.media-amazon.com/images/I/81oKmWyFJPL._AC_UL320_.jpg")</f>
        <v>#NAME?</v>
      </c>
      <c r="I1123" t="s">
        <v>2581</v>
      </c>
      <c r="J1123">
        <v>159.99</v>
      </c>
      <c r="K1123" s="2" t="s">
        <v>2582</v>
      </c>
      <c r="L1123">
        <v>4.8</v>
      </c>
      <c r="M1123">
        <v>3110</v>
      </c>
      <c r="O1123" t="s">
        <v>26</v>
      </c>
      <c r="P1123" t="s">
        <v>39</v>
      </c>
      <c r="Q1123" t="s">
        <v>2583</v>
      </c>
    </row>
    <row r="1124" spans="1:17" ht="15.75" x14ac:dyDescent="0.25">
      <c r="A1124" s="3" t="str">
        <f>HYPERLINK("https://mbrstore.com/products/overnight-refiner/", "https://mbrstore.com/products/overnight-refiner/")</f>
        <v>https://mbrstore.com/products/overnight-refiner/</v>
      </c>
      <c r="B1124" s="3" t="str">
        <f>HYPERLINK("https://mbrstore.com/products/overnight-refiner/", "https://mbrstore.com/products/overnight-refiner/")</f>
        <v>https://mbrstore.com/products/overnight-refiner/</v>
      </c>
      <c r="C1124" t="s">
        <v>2453</v>
      </c>
      <c r="D1124" t="s">
        <v>2464</v>
      </c>
      <c r="E1124" s="3" t="str">
        <f>HYPERLINK("https://www.amazon.com/Zoom-Electric-Guitar-G1X-FOUR/dp/B07MZPR5GP/ref=sr_1_1?keywords=Effects&amp;qid=1695258876&amp;sr=8-1", "https://www.amazon.com/Zoom-Electric-Guitar-G1X-FOUR/dp/B07MZPR5GP/ref=sr_1_1?keywords=Effects&amp;qid=1695258876&amp;sr=8-1")</f>
        <v>https://www.amazon.com/Zoom-Electric-Guitar-G1X-FOUR/dp/B07MZPR5GP/ref=sr_1_1?keywords=Effects&amp;qid=1695258876&amp;sr=8-1</v>
      </c>
      <c r="F1124" t="s">
        <v>2465</v>
      </c>
      <c r="G1124" t="e">
        <f ca="1">IMAGE("https://mbrstore.com/wp-content/uploads/2022/03/01122_OvernightRefiner_50ml-copy-460x460.jpg")</f>
        <v>#NAME?</v>
      </c>
      <c r="H1124" t="e">
        <f ca="1">IMAGE("https://m.media-amazon.com/images/I/81lPUPAo-SL._AC_UL320_.jpg")</f>
        <v>#NAME?</v>
      </c>
      <c r="I1124" t="s">
        <v>2584</v>
      </c>
      <c r="J1124">
        <v>119.99</v>
      </c>
      <c r="K1124" s="2" t="s">
        <v>2582</v>
      </c>
      <c r="L1124">
        <v>4.5</v>
      </c>
      <c r="M1124">
        <v>6902</v>
      </c>
      <c r="O1124" t="s">
        <v>26</v>
      </c>
      <c r="P1124" t="s">
        <v>39</v>
      </c>
      <c r="Q1124" t="s">
        <v>2585</v>
      </c>
    </row>
    <row r="1125" spans="1:17" ht="15.75" x14ac:dyDescent="0.25">
      <c r="A1125" s="3" t="str">
        <f>HYPERLINK("https://mbrstore.com/products/shower-care/", "https://mbrstore.com/products/shower-care/")</f>
        <v>https://mbrstore.com/products/shower-care/</v>
      </c>
      <c r="B1125" s="3" t="str">
        <f>HYPERLINK("https://mbrstore.com/products/shower-care/", "https://mbrstore.com/products/shower-care/")</f>
        <v>https://mbrstore.com/products/shower-care/</v>
      </c>
      <c r="C1125" t="s">
        <v>2453</v>
      </c>
      <c r="D1125" t="s">
        <v>2508</v>
      </c>
      <c r="E1125" s="3" t="str">
        <f>HYPERLINK("https://www.amazon.com/Westmore-Beauty-Tightening-Temporarily-Puffiness/dp/B07BYG7D2V/ref=sr_1_3?keywords=Effects&amp;qid=1695258887&amp;sr=8-3", "https://www.amazon.com/Westmore-Beauty-Tightening-Temporarily-Puffiness/dp/B07BYG7D2V/ref=sr_1_3?keywords=Effects&amp;qid=1695258887&amp;sr=8-3")</f>
        <v>https://www.amazon.com/Westmore-Beauty-Tightening-Temporarily-Puffiness/dp/B07BYG7D2V/ref=sr_1_3?keywords=Effects&amp;qid=1695258887&amp;sr=8-3</v>
      </c>
      <c r="F1125" t="s">
        <v>2509</v>
      </c>
      <c r="G1125" t="e">
        <f ca="1">IMAGE("https://mbrstore.com/wp-content/uploads/2022/06/01712_ShowerCare_200ml-copy-460x460.jpg")</f>
        <v>#NAME?</v>
      </c>
      <c r="H1125" t="e">
        <f ca="1">IMAGE("https://m.media-amazon.com/images/I/51YkzEMtyCL._AC_UL320_.jpg")</f>
        <v>#NAME?</v>
      </c>
      <c r="I1125" t="s">
        <v>2472</v>
      </c>
      <c r="J1125">
        <v>43.45</v>
      </c>
      <c r="K1125" s="2" t="s">
        <v>2586</v>
      </c>
      <c r="L1125">
        <v>3.6</v>
      </c>
      <c r="M1125">
        <v>1214</v>
      </c>
      <c r="O1125" t="s">
        <v>26</v>
      </c>
      <c r="P1125" t="s">
        <v>39</v>
      </c>
      <c r="Q1125" t="s">
        <v>2474</v>
      </c>
    </row>
    <row r="1126" spans="1:17" ht="15.75" x14ac:dyDescent="0.25">
      <c r="A1126" s="3" t="str">
        <f>HYPERLINK("https://mbrstore.com/products/continueline-enzyme-specialist/", "https://mbrstore.com/products/continueline-enzyme-specialist/")</f>
        <v>https://mbrstore.com/products/continueline-enzyme-specialist/</v>
      </c>
      <c r="B1126" s="3" t="str">
        <f>HYPERLINK("https://mbrstore.com/products/continueline-enzyme-specialist/", "https://mbrstore.com/products/continueline-enzyme-specialist/")</f>
        <v>https://mbrstore.com/products/continueline-enzyme-specialist/</v>
      </c>
      <c r="C1126" t="s">
        <v>2453</v>
      </c>
      <c r="D1126" t="s">
        <v>2464</v>
      </c>
      <c r="E1126" s="3" t="str">
        <f>HYPERLINK("https://www.amazon.com/Zoom-Electric-Guitar-G1X-FOUR/dp/B07MZPR5GP/ref=sr_1_1?keywords=Effects&amp;qid=1695258878&amp;sr=8-1", "https://www.amazon.com/Zoom-Electric-Guitar-G1X-FOUR/dp/B07MZPR5GP/ref=sr_1_1?keywords=Effects&amp;qid=1695258878&amp;sr=8-1")</f>
        <v>https://www.amazon.com/Zoom-Electric-Guitar-G1X-FOUR/dp/B07MZPR5GP/ref=sr_1_1?keywords=Effects&amp;qid=1695258878&amp;sr=8-1</v>
      </c>
      <c r="F1126" t="s">
        <v>2465</v>
      </c>
      <c r="G1126" t="e">
        <f ca="1">IMAGE("https://mbrstore.com/wp-content/uploads/2022/03/01512_EnzymeSpecialist_50ml-copy-460x460.jpg")</f>
        <v>#NAME?</v>
      </c>
      <c r="H1126" t="e">
        <f ca="1">IMAGE("https://m.media-amazon.com/images/I/81lPUPAo-SL._AC_UL320_.jpg")</f>
        <v>#NAME?</v>
      </c>
      <c r="I1126" t="s">
        <v>2485</v>
      </c>
      <c r="J1126">
        <v>119.99</v>
      </c>
      <c r="K1126" s="2" t="s">
        <v>2587</v>
      </c>
      <c r="L1126">
        <v>4.5</v>
      </c>
      <c r="M1126">
        <v>6902</v>
      </c>
      <c r="O1126" t="s">
        <v>26</v>
      </c>
      <c r="P1126" t="s">
        <v>2487</v>
      </c>
      <c r="Q1126" t="s">
        <v>2488</v>
      </c>
    </row>
    <row r="1127" spans="1:17" ht="15.75" x14ac:dyDescent="0.25">
      <c r="A1127" s="3" t="str">
        <f>HYPERLINK("https://mbrstore.com/products/face-concentrate/", "https://mbrstore.com/products/face-concentrate/")</f>
        <v>https://mbrstore.com/products/face-concentrate/</v>
      </c>
      <c r="B1127" s="3" t="str">
        <f>HYPERLINK("https://mbrstore.com/products/face-concentrate/", "https://mbrstore.com/products/face-concentrate/")</f>
        <v>https://mbrstore.com/products/face-concentrate/</v>
      </c>
      <c r="C1127" t="s">
        <v>2453</v>
      </c>
      <c r="D1127" t="s">
        <v>2458</v>
      </c>
      <c r="E1127" s="3" t="str">
        <f>HYPERLINK("https://www.amazon.com/Fender-Mustang-LT-25-Digital-Amplifier/dp/B07N29M92M/ref=sr_1_8?keywords=Effects&amp;qid=1695258892&amp;sr=8-8", "https://www.amazon.com/Fender-Mustang-LT-25-Digital-Amplifier/dp/B07N29M92M/ref=sr_1_8?keywords=Effects&amp;qid=1695258892&amp;sr=8-8")</f>
        <v>https://www.amazon.com/Fender-Mustang-LT-25-Digital-Amplifier/dp/B07N29M92M/ref=sr_1_8?keywords=Effects&amp;qid=1695258892&amp;sr=8-8</v>
      </c>
      <c r="F1127" t="s">
        <v>2459</v>
      </c>
      <c r="G1127" t="e">
        <f ca="1">IMAGE("https://mbrstore.com/wp-content/uploads/2022/06/01705_FaceConcentrate_50ml-copy-460x460.jpg")</f>
        <v>#NAME?</v>
      </c>
      <c r="H1127" t="e">
        <f ca="1">IMAGE("https://m.media-amazon.com/images/I/81oKmWyFJPL._AC_UL320_.jpg")</f>
        <v>#NAME?</v>
      </c>
      <c r="I1127" t="s">
        <v>2588</v>
      </c>
      <c r="J1127">
        <v>159.99</v>
      </c>
      <c r="K1127" s="2" t="s">
        <v>2589</v>
      </c>
      <c r="L1127">
        <v>4.8</v>
      </c>
      <c r="M1127">
        <v>3110</v>
      </c>
      <c r="O1127" t="s">
        <v>26</v>
      </c>
      <c r="P1127" t="s">
        <v>39</v>
      </c>
      <c r="Q1127" t="s">
        <v>2590</v>
      </c>
    </row>
    <row r="1128" spans="1:17" ht="15.75" x14ac:dyDescent="0.25">
      <c r="A1128" s="3" t="str">
        <f>HYPERLINK("https://mbrstore.com/products/after-sun-body/", "https://mbrstore.com/products/after-sun-body/")</f>
        <v>https://mbrstore.com/products/after-sun-body/</v>
      </c>
      <c r="B1128" s="3" t="str">
        <f>HYPERLINK("https://mbrstore.com/products/after-sun-body/", "https://mbrstore.com/products/after-sun-body/")</f>
        <v>https://mbrstore.com/products/after-sun-body/</v>
      </c>
      <c r="C1128" t="s">
        <v>2453</v>
      </c>
      <c r="D1128" t="s">
        <v>2464</v>
      </c>
      <c r="E1128" s="3" t="str">
        <f>HYPERLINK("https://www.amazon.com/Zoom-Electric-Guitar-G1X-FOUR/dp/B07MZPR5GP/ref=sr_1_5?keywords=Effects&amp;qid=1695258892&amp;sr=8-5", "https://www.amazon.com/Zoom-Electric-Guitar-G1X-FOUR/dp/B07MZPR5GP/ref=sr_1_5?keywords=Effects&amp;qid=1695258892&amp;sr=8-5")</f>
        <v>https://www.amazon.com/Zoom-Electric-Guitar-G1X-FOUR/dp/B07MZPR5GP/ref=sr_1_5?keywords=Effects&amp;qid=1695258892&amp;sr=8-5</v>
      </c>
      <c r="F1128" t="s">
        <v>2465</v>
      </c>
      <c r="G1128" t="e">
        <f ca="1">IMAGE("https://mbrstore.com/wp-content/uploads/2023/05/01831_AfterSUNBody_200ml-460x460.png")</f>
        <v>#NAME?</v>
      </c>
      <c r="H1128" t="e">
        <f ca="1">IMAGE("https://m.media-amazon.com/images/I/81lPUPAo-SL._AC_UL320_.jpg")</f>
        <v>#NAME?</v>
      </c>
      <c r="I1128" t="s">
        <v>2558</v>
      </c>
      <c r="J1128">
        <v>119.99</v>
      </c>
      <c r="K1128" s="2" t="s">
        <v>2591</v>
      </c>
      <c r="L1128">
        <v>4.5</v>
      </c>
      <c r="M1128">
        <v>6902</v>
      </c>
      <c r="O1128" t="s">
        <v>26</v>
      </c>
      <c r="P1128" t="s">
        <v>39</v>
      </c>
      <c r="Q1128" t="s">
        <v>2592</v>
      </c>
    </row>
    <row r="1129" spans="1:17" ht="15.75" x14ac:dyDescent="0.25">
      <c r="A1129" s="3" t="str">
        <f>HYPERLINK("https://mbrstore.com/products/after-sun-face/", "https://mbrstore.com/products/after-sun-face/")</f>
        <v>https://mbrstore.com/products/after-sun-face/</v>
      </c>
      <c r="B1129" s="3" t="str">
        <f>HYPERLINK("https://mbrstore.com/products/after-sun-face/", "https://mbrstore.com/products/after-sun-face/")</f>
        <v>https://mbrstore.com/products/after-sun-face/</v>
      </c>
      <c r="C1129" t="s">
        <v>2453</v>
      </c>
      <c r="D1129" t="s">
        <v>2464</v>
      </c>
      <c r="E1129" s="3" t="str">
        <f>HYPERLINK("https://www.amazon.com/Zoom-Electric-Guitar-G1X-FOUR/dp/B07MZPR5GP/ref=sr_1_1?keywords=Effects&amp;qid=1695258892&amp;sr=8-1", "https://www.amazon.com/Zoom-Electric-Guitar-G1X-FOUR/dp/B07MZPR5GP/ref=sr_1_1?keywords=Effects&amp;qid=1695258892&amp;sr=8-1")</f>
        <v>https://www.amazon.com/Zoom-Electric-Guitar-G1X-FOUR/dp/B07MZPR5GP/ref=sr_1_1?keywords=Effects&amp;qid=1695258892&amp;sr=8-1</v>
      </c>
      <c r="F1129" t="s">
        <v>2465</v>
      </c>
      <c r="G1129" t="e">
        <f ca="1">IMAGE("https://mbrstore.com/wp-content/uploads/2023/05/01830_AfterSUNFace_100ml-1-460x460.png")</f>
        <v>#NAME?</v>
      </c>
      <c r="H1129" t="e">
        <f ca="1">IMAGE("https://m.media-amazon.com/images/I/81lPUPAo-SL._AC_UL320_.jpg")</f>
        <v>#NAME?</v>
      </c>
      <c r="I1129" t="s">
        <v>2558</v>
      </c>
      <c r="J1129">
        <v>119.99</v>
      </c>
      <c r="K1129" s="2" t="s">
        <v>2591</v>
      </c>
      <c r="L1129">
        <v>4.5</v>
      </c>
      <c r="M1129">
        <v>6902</v>
      </c>
      <c r="O1129" t="s">
        <v>26</v>
      </c>
      <c r="P1129" t="s">
        <v>39</v>
      </c>
      <c r="Q1129" t="s">
        <v>2560</v>
      </c>
    </row>
    <row r="1130" spans="1:17" ht="15.75" x14ac:dyDescent="0.25">
      <c r="A1130" s="3" t="str">
        <f>HYPERLINK("https://mbrstore.com/products/mild-deo-cream/", "https://mbrstore.com/products/mild-deo-cream/")</f>
        <v>https://mbrstore.com/products/mild-deo-cream/</v>
      </c>
      <c r="B1130" s="3" t="str">
        <f>HYPERLINK("https://mbrstore.com/products/mild-deo-cream/", "https://mbrstore.com/products/mild-deo-cream/")</f>
        <v>https://mbrstore.com/products/mild-deo-cream/</v>
      </c>
      <c r="C1130" t="s">
        <v>2453</v>
      </c>
      <c r="D1130" t="s">
        <v>2508</v>
      </c>
      <c r="E1130" s="3" t="str">
        <f>HYPERLINK("https://www.amazon.com/Westmore-Beauty-Tightening-Temporarily-Puffiness/dp/B07BYG7D2V/ref=sr_1_3?keywords=Effects&amp;qid=1695258890&amp;sr=8-3", "https://www.amazon.com/Westmore-Beauty-Tightening-Temporarily-Puffiness/dp/B07BYG7D2V/ref=sr_1_3?keywords=Effects&amp;qid=1695258890&amp;sr=8-3")</f>
        <v>https://www.amazon.com/Westmore-Beauty-Tightening-Temporarily-Puffiness/dp/B07BYG7D2V/ref=sr_1_3?keywords=Effects&amp;qid=1695258890&amp;sr=8-3</v>
      </c>
      <c r="F1130" t="s">
        <v>2509</v>
      </c>
      <c r="G1130" t="e">
        <f ca="1">IMAGE("https://mbrstore.com/wp-content/uploads/2022/06/01713_MildDeoCream_50ml-copy-460x460.jpg")</f>
        <v>#NAME?</v>
      </c>
      <c r="H1130" t="e">
        <f ca="1">IMAGE("https://m.media-amazon.com/images/I/51YkzEMtyCL._AC_UL320_.jpg")</f>
        <v>#NAME?</v>
      </c>
      <c r="I1130" t="s">
        <v>2475</v>
      </c>
      <c r="J1130">
        <v>43.45</v>
      </c>
      <c r="K1130" s="2" t="s">
        <v>2593</v>
      </c>
      <c r="L1130">
        <v>3.6</v>
      </c>
      <c r="M1130">
        <v>1214</v>
      </c>
      <c r="O1130" t="s">
        <v>26</v>
      </c>
      <c r="P1130" t="s">
        <v>39</v>
      </c>
      <c r="Q1130" t="s">
        <v>2477</v>
      </c>
    </row>
    <row r="1131" spans="1:17" ht="15.75" x14ac:dyDescent="0.25">
      <c r="A1131" s="3" t="str">
        <f>HYPERLINK("https://mbrstore.com/products/skin-whitening-cream/", "https://mbrstore.com/products/skin-whitening-cream/")</f>
        <v>https://mbrstore.com/products/skin-whitening-cream/</v>
      </c>
      <c r="B1131" s="3" t="str">
        <f>HYPERLINK("https://mbrstore.com/products/skin-whitening-cream/", "https://mbrstore.com/products/skin-whitening-cream/")</f>
        <v>https://mbrstore.com/products/skin-whitening-cream/</v>
      </c>
      <c r="C1131" t="s">
        <v>2453</v>
      </c>
      <c r="D1131" t="s">
        <v>2458</v>
      </c>
      <c r="E1131" s="3" t="str">
        <f>HYPERLINK("https://www.amazon.com/Fender-Mustang-LT-25-Digital-Amplifier/dp/B07N29M92M/ref=sr_1_8?keywords=Effects&amp;qid=1695258891&amp;sr=8-8", "https://www.amazon.com/Fender-Mustang-LT-25-Digital-Amplifier/dp/B07N29M92M/ref=sr_1_8?keywords=Effects&amp;qid=1695258891&amp;sr=8-8")</f>
        <v>https://www.amazon.com/Fender-Mustang-LT-25-Digital-Amplifier/dp/B07N29M92M/ref=sr_1_8?keywords=Effects&amp;qid=1695258891&amp;sr=8-8</v>
      </c>
      <c r="F1131" t="s">
        <v>2459</v>
      </c>
      <c r="G1131" t="e">
        <f ca="1">IMAGE("https://mbrstore.com/wp-content/uploads/2022/03/02010_SkinWhiteningCream_50ml-copy-460x460.jpg")</f>
        <v>#NAME?</v>
      </c>
      <c r="H1131" t="e">
        <f ca="1">IMAGE("https://m.media-amazon.com/images/I/81oKmWyFJPL._AC_UL320_.jpg")</f>
        <v>#NAME?</v>
      </c>
      <c r="I1131" t="s">
        <v>2594</v>
      </c>
      <c r="J1131">
        <v>159.99</v>
      </c>
      <c r="K1131" s="2" t="s">
        <v>2595</v>
      </c>
      <c r="L1131">
        <v>4.8</v>
      </c>
      <c r="M1131">
        <v>3110</v>
      </c>
      <c r="O1131" t="s">
        <v>26</v>
      </c>
      <c r="P1131" t="s">
        <v>39</v>
      </c>
      <c r="Q1131" t="s">
        <v>2596</v>
      </c>
    </row>
    <row r="1132" spans="1:17" ht="15.75" x14ac:dyDescent="0.25">
      <c r="A1132" s="3" t="str">
        <f>HYPERLINK("https://mbrstore.com/products/the-best-hand/", "https://mbrstore.com/products/the-best-hand/")</f>
        <v>https://mbrstore.com/products/the-best-hand/</v>
      </c>
      <c r="B1132" s="3" t="str">
        <f>HYPERLINK("https://mbrstore.com/products/the-best-hand/", "https://mbrstore.com/products/the-best-hand/")</f>
        <v>https://mbrstore.com/products/the-best-hand/</v>
      </c>
      <c r="C1132" t="s">
        <v>2453</v>
      </c>
      <c r="D1132" t="s">
        <v>2464</v>
      </c>
      <c r="E1132" s="3" t="str">
        <f>HYPERLINK("https://www.amazon.com/Zoom-Electric-Guitar-G1X-FOUR/dp/B07MZPR5GP/ref=sr_1_1?keywords=Effects&amp;qid=1695258873&amp;sr=8-1", "https://www.amazon.com/Zoom-Electric-Guitar-G1X-FOUR/dp/B07MZPR5GP/ref=sr_1_1?keywords=Effects&amp;qid=1695258873&amp;sr=8-1")</f>
        <v>https://www.amazon.com/Zoom-Electric-Guitar-G1X-FOUR/dp/B07MZPR5GP/ref=sr_1_1?keywords=Effects&amp;qid=1695258873&amp;sr=8-1</v>
      </c>
      <c r="F1132" t="s">
        <v>2465</v>
      </c>
      <c r="G1132" t="e">
        <f ca="1">IMAGE("https://mbrstore.com/wp-content/uploads/2022/03/01447_TheBestHand_15ml-copy-460x460.jpg")</f>
        <v>#NAME?</v>
      </c>
      <c r="H1132" t="e">
        <f ca="1">IMAGE("https://m.media-amazon.com/images/I/81lPUPAo-SL._AC_UL320_.jpg")</f>
        <v>#NAME?</v>
      </c>
      <c r="I1132" t="s">
        <v>2562</v>
      </c>
      <c r="J1132">
        <v>119.99</v>
      </c>
      <c r="K1132" s="2" t="s">
        <v>2597</v>
      </c>
      <c r="L1132">
        <v>4.5</v>
      </c>
      <c r="M1132">
        <v>6902</v>
      </c>
      <c r="O1132" t="s">
        <v>26</v>
      </c>
      <c r="P1132" t="s">
        <v>39</v>
      </c>
      <c r="Q1132" t="s">
        <v>2564</v>
      </c>
    </row>
    <row r="1133" spans="1:17" ht="15.75" x14ac:dyDescent="0.25">
      <c r="A1133" s="3" t="str">
        <f>HYPERLINK("https://mbrstore.com/products/continueline-soft-tonic/", "https://mbrstore.com/products/continueline-soft-tonic/")</f>
        <v>https://mbrstore.com/products/continueline-soft-tonic/</v>
      </c>
      <c r="B1133" s="3" t="str">
        <f>HYPERLINK("https://mbrstore.com/products/continueline-soft-tonic/", "https://mbrstore.com/products/continueline-soft-tonic/")</f>
        <v>https://mbrstore.com/products/continueline-soft-tonic/</v>
      </c>
      <c r="C1133" t="s">
        <v>2453</v>
      </c>
      <c r="D1133" t="s">
        <v>2598</v>
      </c>
      <c r="E1133" s="3"/>
      <c r="F1133" t="s">
        <v>2599</v>
      </c>
      <c r="G1133" t="e">
        <f ca="1">IMAGE("https://mbrstore.com/wp-content/uploads/2022/03/01514_SoftTonic_150ml-copy-460x460.jpg")</f>
        <v>#NAME?</v>
      </c>
      <c r="H1133" t="e">
        <f ca="1">IMAGE("https://m.media-amazon.com/images/I/51Lhlxd-rJL._AC_UL320_.jpg")</f>
        <v>#NAME?</v>
      </c>
      <c r="I1133" t="s">
        <v>2492</v>
      </c>
      <c r="J1133">
        <v>74</v>
      </c>
      <c r="K1133" s="2" t="s">
        <v>2600</v>
      </c>
      <c r="L1133">
        <v>4.5999999999999996</v>
      </c>
      <c r="M1133">
        <v>449</v>
      </c>
      <c r="O1133" t="s">
        <v>26</v>
      </c>
      <c r="P1133" t="s">
        <v>39</v>
      </c>
      <c r="Q1133" t="s">
        <v>2494</v>
      </c>
    </row>
    <row r="1134" spans="1:17" ht="15.75" x14ac:dyDescent="0.25">
      <c r="A1134" s="3" t="str">
        <f>HYPERLINK("https://mbrstore.com/products/continueline-protection-shield-eye/", "https://mbrstore.com/products/continueline-protection-shield-eye/")</f>
        <v>https://mbrstore.com/products/continueline-protection-shield-eye/</v>
      </c>
      <c r="B1134" s="3" t="str">
        <f>HYPERLINK("https://mbrstore.com/products/continueline-protection-shield-eye/", "https://mbrstore.com/products/continueline-protection-shield-eye/")</f>
        <v>https://mbrstore.com/products/continueline-protection-shield-eye/</v>
      </c>
      <c r="C1134" t="s">
        <v>2453</v>
      </c>
      <c r="D1134" t="s">
        <v>2458</v>
      </c>
      <c r="E1134" s="3" t="str">
        <f>HYPERLINK("https://www.amazon.com/Fender-Mustang-LT-25-Digital-Amplifier/dp/B07N29M92M/ref=sr_1_3?keywords=Effects&amp;qid=1695258881&amp;sr=8-3", "https://www.amazon.com/Fender-Mustang-LT-25-Digital-Amplifier/dp/B07N29M92M/ref=sr_1_3?keywords=Effects&amp;qid=1695258881&amp;sr=8-3")</f>
        <v>https://www.amazon.com/Fender-Mustang-LT-25-Digital-Amplifier/dp/B07N29M92M/ref=sr_1_3?keywords=Effects&amp;qid=1695258881&amp;sr=8-3</v>
      </c>
      <c r="F1134" t="s">
        <v>2459</v>
      </c>
      <c r="G1134" t="e">
        <f ca="1">IMAGE("https://mbrstore.com/wp-content/uploads/2022/03/01526_ProtectionShieldEye_30ml-copy-460x460.jpg")</f>
        <v>#NAME?</v>
      </c>
      <c r="H1134" t="e">
        <f ca="1">IMAGE("https://m.media-amazon.com/images/I/81oKmWyFJPL._AC_UL320_.jpg")</f>
        <v>#NAME?</v>
      </c>
      <c r="I1134" t="s">
        <v>2601</v>
      </c>
      <c r="J1134">
        <v>159.99</v>
      </c>
      <c r="K1134" s="2" t="s">
        <v>2602</v>
      </c>
      <c r="L1134">
        <v>4.8</v>
      </c>
      <c r="M1134">
        <v>3110</v>
      </c>
      <c r="O1134" t="s">
        <v>26</v>
      </c>
      <c r="P1134" t="s">
        <v>39</v>
      </c>
      <c r="Q1134" t="s">
        <v>2603</v>
      </c>
    </row>
    <row r="1135" spans="1:17" ht="15.75" x14ac:dyDescent="0.25">
      <c r="A1135" s="3" t="str">
        <f>HYPERLINK("https://mbrstore.com/products/after-sun-liquid-mask/", "https://mbrstore.com/products/after-sun-liquid-mask/")</f>
        <v>https://mbrstore.com/products/after-sun-liquid-mask/</v>
      </c>
      <c r="B1135" s="3" t="str">
        <f>HYPERLINK("https://mbrstore.com/products/after-sun-liquid-mask/", "https://mbrstore.com/products/after-sun-liquid-mask/")</f>
        <v>https://mbrstore.com/products/after-sun-liquid-mask/</v>
      </c>
      <c r="C1135" t="s">
        <v>2453</v>
      </c>
      <c r="D1135" t="s">
        <v>2458</v>
      </c>
      <c r="E1135" s="3" t="str">
        <f>HYPERLINK("https://www.amazon.com/Fender-Mustang-LT-25-Digital-Amplifier/dp/B07N29M92M/ref=sr_1_3?keywords=Effects&amp;qid=1695258877&amp;sr=8-3", "https://www.amazon.com/Fender-Mustang-LT-25-Digital-Amplifier/dp/B07N29M92M/ref=sr_1_3?keywords=Effects&amp;qid=1695258877&amp;sr=8-3")</f>
        <v>https://www.amazon.com/Fender-Mustang-LT-25-Digital-Amplifier/dp/B07N29M92M/ref=sr_1_3?keywords=Effects&amp;qid=1695258877&amp;sr=8-3</v>
      </c>
      <c r="F1135" t="s">
        <v>2459</v>
      </c>
      <c r="G1135" t="e">
        <f ca="1">IMAGE("https://mbrstore.com/wp-content/uploads/2023/06/01833_AfterSUNLiquidMask-Large-460x460.png")</f>
        <v>#NAME?</v>
      </c>
      <c r="H1135" t="e">
        <f ca="1">IMAGE("https://m.media-amazon.com/images/I/81oKmWyFJPL._AC_UL320_.jpg")</f>
        <v>#NAME?</v>
      </c>
      <c r="I1135" t="s">
        <v>2601</v>
      </c>
      <c r="J1135">
        <v>159.99</v>
      </c>
      <c r="K1135" s="2" t="s">
        <v>2602</v>
      </c>
      <c r="L1135">
        <v>4.8</v>
      </c>
      <c r="M1135">
        <v>3110</v>
      </c>
      <c r="O1135" t="s">
        <v>26</v>
      </c>
      <c r="P1135" t="s">
        <v>39</v>
      </c>
      <c r="Q1135" t="s">
        <v>2604</v>
      </c>
    </row>
    <row r="1136" spans="1:17" ht="15.75" x14ac:dyDescent="0.25">
      <c r="A1136" s="3" t="str">
        <f>HYPERLINK("https://mbrstore.com/products/skin-lightening-serum/", "https://mbrstore.com/products/skin-lightening-serum/")</f>
        <v>https://mbrstore.com/products/skin-lightening-serum/</v>
      </c>
      <c r="B1136" s="3" t="str">
        <f>HYPERLINK("https://mbrstore.com/products/skin-lightening-serum/", "https://mbrstore.com/products/skin-lightening-serum/")</f>
        <v>https://mbrstore.com/products/skin-lightening-serum/</v>
      </c>
      <c r="C1136" t="s">
        <v>2453</v>
      </c>
      <c r="D1136" t="s">
        <v>2458</v>
      </c>
      <c r="E1136" s="3" t="str">
        <f>HYPERLINK("https://www.amazon.com/Fender-Mustang-LT-25-Digital-Amplifier/dp/B07N29M92M/ref=sr_1_1?keywords=Effects&amp;qid=1695258881&amp;sr=8-1", "https://www.amazon.com/Fender-Mustang-LT-25-Digital-Amplifier/dp/B07N29M92M/ref=sr_1_1?keywords=Effects&amp;qid=1695258881&amp;sr=8-1")</f>
        <v>https://www.amazon.com/Fender-Mustang-LT-25-Digital-Amplifier/dp/B07N29M92M/ref=sr_1_1?keywords=Effects&amp;qid=1695258881&amp;sr=8-1</v>
      </c>
      <c r="F1136" t="s">
        <v>2459</v>
      </c>
      <c r="G1136" t="e">
        <f ca="1">IMAGE("https://mbrstore.com/wp-content/uploads/2022/03/01225_Skin_Lightening_Serum_30ml-copy-460x460.jpg")</f>
        <v>#NAME?</v>
      </c>
      <c r="H1136" t="e">
        <f ca="1">IMAGE("https://m.media-amazon.com/images/I/81oKmWyFJPL._AC_UL320_.jpg")</f>
        <v>#NAME?</v>
      </c>
      <c r="I1136" t="s">
        <v>2601</v>
      </c>
      <c r="J1136">
        <v>159.99</v>
      </c>
      <c r="K1136" s="2" t="s">
        <v>2602</v>
      </c>
      <c r="L1136">
        <v>4.8</v>
      </c>
      <c r="M1136">
        <v>3110</v>
      </c>
      <c r="O1136" t="s">
        <v>26</v>
      </c>
      <c r="P1136" t="s">
        <v>39</v>
      </c>
      <c r="Q1136" t="s">
        <v>2605</v>
      </c>
    </row>
    <row r="1137" spans="1:17" ht="15.75" x14ac:dyDescent="0.25">
      <c r="A1137" s="3" t="str">
        <f>HYPERLINK("https://mbrstore.com/products/continueline-cell-tissue-activator/", "https://mbrstore.com/products/continueline-cell-tissue-activator/")</f>
        <v>https://mbrstore.com/products/continueline-cell-tissue-activator/</v>
      </c>
      <c r="B1137" s="3" t="str">
        <f>HYPERLINK("https://mbrstore.com/products/continueline-cell-tissue-activator/", "https://mbrstore.com/products/continueline-cell-tissue-activator/")</f>
        <v>https://mbrstore.com/products/continueline-cell-tissue-activator/</v>
      </c>
      <c r="C1137" t="s">
        <v>2453</v>
      </c>
      <c r="D1137" t="s">
        <v>2458</v>
      </c>
      <c r="E1137" s="3" t="str">
        <f>HYPERLINK("https://www.amazon.com/Fender-Mustang-LT-25-Digital-Amplifier/dp/B07N29M92M/ref=sr_1_3?keywords=Effects&amp;qid=1695258908&amp;sr=8-3", "https://www.amazon.com/Fender-Mustang-LT-25-Digital-Amplifier/dp/B07N29M92M/ref=sr_1_3?keywords=Effects&amp;qid=1695258908&amp;sr=8-3")</f>
        <v>https://www.amazon.com/Fender-Mustang-LT-25-Digital-Amplifier/dp/B07N29M92M/ref=sr_1_3?keywords=Effects&amp;qid=1695258908&amp;sr=8-3</v>
      </c>
      <c r="F1137" t="s">
        <v>2459</v>
      </c>
      <c r="G1137" t="e">
        <f ca="1">IMAGE("https://mbrstore.com/wp-content/uploads/2022/03/01517_CellTissueActivator_50ml-copy-460x460.jpg")</f>
        <v>#NAME?</v>
      </c>
      <c r="H1137" t="e">
        <f ca="1">IMAGE("https://m.media-amazon.com/images/I/81oKmWyFJPL._AC_UL320_.jpg")</f>
        <v>#NAME?</v>
      </c>
      <c r="I1137" t="s">
        <v>2601</v>
      </c>
      <c r="J1137">
        <v>159.99</v>
      </c>
      <c r="K1137" s="2" t="s">
        <v>2602</v>
      </c>
      <c r="L1137">
        <v>4.8</v>
      </c>
      <c r="M1137">
        <v>3110</v>
      </c>
      <c r="O1137" t="s">
        <v>26</v>
      </c>
      <c r="P1137" t="s">
        <v>39</v>
      </c>
      <c r="Q1137" t="s">
        <v>2606</v>
      </c>
    </row>
    <row r="1138" spans="1:17" ht="15.75" x14ac:dyDescent="0.25">
      <c r="A1138" s="3" t="str">
        <f>HYPERLINK("https://mbrstore.com/products/cell-power-neck-decollete-cream/", "https://mbrstore.com/products/cell-power-neck-decollete-cream/")</f>
        <v>https://mbrstore.com/products/cell-power-neck-decollete-cream/</v>
      </c>
      <c r="B1138" s="3" t="str">
        <f>HYPERLINK("https://mbrstore.com/products/cell-power-neck-decollete-cream/", "https://mbrstore.com/products/cell-power-neck-decollete-cream/")</f>
        <v>https://mbrstore.com/products/cell-power-neck-decollete-cream/</v>
      </c>
      <c r="C1138" t="s">
        <v>2453</v>
      </c>
      <c r="D1138" t="s">
        <v>2458</v>
      </c>
      <c r="E1138" s="3" t="str">
        <f>HYPERLINK("https://www.amazon.com/Fender-Mustang-LT-25-Digital-Amplifier/dp/B07N29M92M/ref=sr_1_8?keywords=Effects&amp;qid=1695258887&amp;sr=8-8", "https://www.amazon.com/Fender-Mustang-LT-25-Digital-Amplifier/dp/B07N29M92M/ref=sr_1_8?keywords=Effects&amp;qid=1695258887&amp;sr=8-8")</f>
        <v>https://www.amazon.com/Fender-Mustang-LT-25-Digital-Amplifier/dp/B07N29M92M/ref=sr_1_8?keywords=Effects&amp;qid=1695258887&amp;sr=8-8</v>
      </c>
      <c r="F1138" t="s">
        <v>2459</v>
      </c>
      <c r="G1138" t="e">
        <f ca="1">IMAGE("https://mbrstore.com/wp-content/uploads/2022/03/01611_Neck_And_Decoltee_Cream_100ml-copy-460x460.jpg")</f>
        <v>#NAME?</v>
      </c>
      <c r="H1138" t="e">
        <f ca="1">IMAGE("https://m.media-amazon.com/images/I/81oKmWyFJPL._AC_UL320_.jpg")</f>
        <v>#NAME?</v>
      </c>
      <c r="I1138" t="s">
        <v>2601</v>
      </c>
      <c r="J1138">
        <v>159.99</v>
      </c>
      <c r="K1138" s="2" t="s">
        <v>2602</v>
      </c>
      <c r="L1138">
        <v>4.8</v>
      </c>
      <c r="M1138">
        <v>3110</v>
      </c>
      <c r="O1138" t="s">
        <v>26</v>
      </c>
      <c r="P1138" t="s">
        <v>39</v>
      </c>
      <c r="Q1138" t="s">
        <v>2607</v>
      </c>
    </row>
    <row r="1139" spans="1:17" ht="15.75" x14ac:dyDescent="0.25">
      <c r="A1139" s="3" t="str">
        <f>HYPERLINK("https://mbrstore.com/products/eyelift-cream/", "https://mbrstore.com/products/eyelift-cream/")</f>
        <v>https://mbrstore.com/products/eyelift-cream/</v>
      </c>
      <c r="B1139" s="3" t="str">
        <f>HYPERLINK("https://mbrstore.com/products/eyelift-cream/", "https://mbrstore.com/products/eyelift-cream/")</f>
        <v>https://mbrstore.com/products/eyelift-cream/</v>
      </c>
      <c r="C1139" t="s">
        <v>2453</v>
      </c>
      <c r="D1139" t="s">
        <v>2464</v>
      </c>
      <c r="E1139" s="3" t="str">
        <f>HYPERLINK("https://www.amazon.com/Zoom-Electric-Guitar-G1X-FOUR/dp/B07MZPR5GP/ref=sr_1_4?keywords=Effects&amp;qid=1695258884&amp;sr=8-4", "https://www.amazon.com/Zoom-Electric-Guitar-G1X-FOUR/dp/B07MZPR5GP/ref=sr_1_4?keywords=Effects&amp;qid=1695258884&amp;sr=8-4")</f>
        <v>https://www.amazon.com/Zoom-Electric-Guitar-G1X-FOUR/dp/B07MZPR5GP/ref=sr_1_4?keywords=Effects&amp;qid=1695258884&amp;sr=8-4</v>
      </c>
      <c r="F1139" t="s">
        <v>2465</v>
      </c>
      <c r="G1139" t="e">
        <f ca="1">IMAGE("https://mbrstore.com/wp-content/uploads/2022/03/01219_MBR_Eye_Lift_Cream_30ml-copy-460x460.jpg")</f>
        <v>#NAME?</v>
      </c>
      <c r="H1139" t="e">
        <f ca="1">IMAGE("https://m.media-amazon.com/images/I/81lPUPAo-SL._AC_UL320_.jpg")</f>
        <v>#NAME?</v>
      </c>
      <c r="I1139" t="s">
        <v>2568</v>
      </c>
      <c r="J1139">
        <v>119.99</v>
      </c>
      <c r="K1139" s="2" t="s">
        <v>2608</v>
      </c>
      <c r="L1139">
        <v>4.5</v>
      </c>
      <c r="M1139">
        <v>6902</v>
      </c>
      <c r="O1139" t="s">
        <v>26</v>
      </c>
      <c r="P1139" t="s">
        <v>39</v>
      </c>
      <c r="Q1139" t="s">
        <v>2571</v>
      </c>
    </row>
    <row r="1140" spans="1:17" ht="15.75" x14ac:dyDescent="0.25">
      <c r="A1140" s="3" t="str">
        <f>HYPERLINK("https://mbrstore.com/products/eye-injection/", "https://mbrstore.com/products/eye-injection/")</f>
        <v>https://mbrstore.com/products/eye-injection/</v>
      </c>
      <c r="B1140" s="3" t="str">
        <f>HYPERLINK("https://mbrstore.com/products/eye-injection/", "https://mbrstore.com/products/eye-injection/")</f>
        <v>https://mbrstore.com/products/eye-injection/</v>
      </c>
      <c r="C1140" t="s">
        <v>2453</v>
      </c>
      <c r="D1140" t="s">
        <v>2464</v>
      </c>
      <c r="E1140" s="3" t="str">
        <f>HYPERLINK("https://www.amazon.com/Zoom-Electric-Guitar-G1X-FOUR/dp/B07MZPR5GP/ref=sr_1_1?keywords=Effects&amp;qid=1695258895&amp;sr=8-1", "https://www.amazon.com/Zoom-Electric-Guitar-G1X-FOUR/dp/B07MZPR5GP/ref=sr_1_1?keywords=Effects&amp;qid=1695258895&amp;sr=8-1")</f>
        <v>https://www.amazon.com/Zoom-Electric-Guitar-G1X-FOUR/dp/B07MZPR5GP/ref=sr_1_1?keywords=Effects&amp;qid=1695258895&amp;sr=8-1</v>
      </c>
      <c r="F1140" t="s">
        <v>2465</v>
      </c>
      <c r="G1140" t="e">
        <f ca="1">IMAGE("https://mbrstore.com/wp-content/uploads/2022/06/01708_EyeInjection_15ml-copy-460x460.jpg")</f>
        <v>#NAME?</v>
      </c>
      <c r="H1140" t="e">
        <f ca="1">IMAGE("https://m.media-amazon.com/images/I/81lPUPAo-SL._AC_UL320_.jpg")</f>
        <v>#NAME?</v>
      </c>
      <c r="I1140" t="s">
        <v>2568</v>
      </c>
      <c r="J1140">
        <v>119.99</v>
      </c>
      <c r="K1140" s="2" t="s">
        <v>2608</v>
      </c>
      <c r="L1140">
        <v>4.5</v>
      </c>
      <c r="M1140">
        <v>6902</v>
      </c>
      <c r="O1140" t="s">
        <v>26</v>
      </c>
      <c r="P1140" t="s">
        <v>39</v>
      </c>
      <c r="Q1140" t="s">
        <v>2570</v>
      </c>
    </row>
    <row r="1141" spans="1:17" ht="15.75" x14ac:dyDescent="0.25">
      <c r="A1141" s="3" t="str">
        <f>HYPERLINK("https://mbrstore.com/products/eyelift-cream/", "https://mbrstore.com/products/eyelift-cream/")</f>
        <v>https://mbrstore.com/products/eyelift-cream/</v>
      </c>
      <c r="B1141" s="3" t="str">
        <f>HYPERLINK("https://mbrstore.com/products/eyelift-cream/", "https://mbrstore.com/products/eyelift-cream/")</f>
        <v>https://mbrstore.com/products/eyelift-cream/</v>
      </c>
      <c r="C1141" t="s">
        <v>2453</v>
      </c>
      <c r="D1141" t="s">
        <v>2496</v>
      </c>
      <c r="E1141" s="3" t="str">
        <f>HYPERLINK("https://www.amazon.com/Zoom-Multi-Effects-Pedal-B1X-FOUR/dp/B07MZQNKYQ/ref=sr_1_9?keywords=Effects&amp;qid=1695258884&amp;sr=8-9", "https://www.amazon.com/Zoom-Multi-Effects-Pedal-B1X-FOUR/dp/B07MZQNKYQ/ref=sr_1_9?keywords=Effects&amp;qid=1695258884&amp;sr=8-9")</f>
        <v>https://www.amazon.com/Zoom-Multi-Effects-Pedal-B1X-FOUR/dp/B07MZQNKYQ/ref=sr_1_9?keywords=Effects&amp;qid=1695258884&amp;sr=8-9</v>
      </c>
      <c r="F1141" t="s">
        <v>2497</v>
      </c>
      <c r="G1141" t="e">
        <f ca="1">IMAGE("https://mbrstore.com/wp-content/uploads/2022/03/01219_MBR_Eye_Lift_Cream_30ml-copy-460x460.jpg")</f>
        <v>#NAME?</v>
      </c>
      <c r="H1141" t="e">
        <f ca="1">IMAGE("https://m.media-amazon.com/images/I/81cA-alqJnL._AC_UL320_.jpg")</f>
        <v>#NAME?</v>
      </c>
      <c r="I1141" t="s">
        <v>2568</v>
      </c>
      <c r="J1141">
        <v>119.99</v>
      </c>
      <c r="K1141" s="2" t="s">
        <v>2608</v>
      </c>
      <c r="L1141">
        <v>4.5999999999999996</v>
      </c>
      <c r="M1141">
        <v>1484</v>
      </c>
      <c r="O1141" t="s">
        <v>26</v>
      </c>
      <c r="P1141" t="s">
        <v>39</v>
      </c>
      <c r="Q1141" t="s">
        <v>2571</v>
      </c>
    </row>
    <row r="1142" spans="1:17" ht="15.75" x14ac:dyDescent="0.25">
      <c r="A1142" s="3" t="str">
        <f>HYPERLINK("https://mbrstore.com/products/cell-power-cream-deodorant/", "https://mbrstore.com/products/cell-power-cream-deodorant/")</f>
        <v>https://mbrstore.com/products/cell-power-cream-deodorant/</v>
      </c>
      <c r="B1142" s="3" t="str">
        <f>HYPERLINK("https://mbrstore.com/products/cell-power-cream-deodorant/", "https://mbrstore.com/products/cell-power-cream-deodorant/")</f>
        <v>https://mbrstore.com/products/cell-power-cream-deodorant/</v>
      </c>
      <c r="C1142" t="s">
        <v>2453</v>
      </c>
      <c r="D1142" t="s">
        <v>2579</v>
      </c>
      <c r="E1142" s="3" t="str">
        <f>HYPERLINK("https://www.amazon.com/Crest-Professional-Whitestrips-Whitening-Treatments/dp/B00AHAWWO0/ref=sr_1_10?keywords=Effects&amp;qid=1695258895&amp;sr=8-10", "https://www.amazon.com/Crest-Professional-Whitestrips-Whitening-Treatments/dp/B00AHAWWO0/ref=sr_1_10?keywords=Effects&amp;qid=1695258895&amp;sr=8-10")</f>
        <v>https://www.amazon.com/Crest-Professional-Whitestrips-Whitening-Treatments/dp/B00AHAWWO0/ref=sr_1_10?keywords=Effects&amp;qid=1695258895&amp;sr=8-10</v>
      </c>
      <c r="F1142" t="s">
        <v>2516</v>
      </c>
      <c r="G1142" t="e">
        <f ca="1">IMAGE("https://mbrstore.com/wp-content/uploads/2022/03/01607_CreamDeodorant_50ml-copy-460x460.jpg")</f>
        <v>#NAME?</v>
      </c>
      <c r="H1142" t="e">
        <f ca="1">IMAGE("https://m.media-amazon.com/images/I/61IylKAap-L._AC_UL320_.jpg")</f>
        <v>#NAME?</v>
      </c>
      <c r="I1142" t="s">
        <v>2478</v>
      </c>
      <c r="J1142">
        <v>45.99</v>
      </c>
      <c r="K1142" s="2" t="s">
        <v>2609</v>
      </c>
      <c r="L1142">
        <v>4.5999999999999996</v>
      </c>
      <c r="M1142">
        <v>112972</v>
      </c>
      <c r="O1142" t="s">
        <v>26</v>
      </c>
      <c r="P1142" t="s">
        <v>39</v>
      </c>
      <c r="Q1142" t="s">
        <v>2480</v>
      </c>
    </row>
    <row r="1143" spans="1:17" ht="15.75" x14ac:dyDescent="0.25">
      <c r="A1143" s="3" t="str">
        <f>HYPERLINK("https://mbrstore.com/products/hair-care/", "https://mbrstore.com/products/hair-care/")</f>
        <v>https://mbrstore.com/products/hair-care/</v>
      </c>
      <c r="B1143" s="3" t="str">
        <f>HYPERLINK("https://mbrstore.com/products/hair-care/", "https://mbrstore.com/products/hair-care/")</f>
        <v>https://mbrstore.com/products/hair-care/</v>
      </c>
      <c r="C1143" t="s">
        <v>2453</v>
      </c>
      <c r="D1143" t="s">
        <v>2515</v>
      </c>
      <c r="E1143" s="3" t="str">
        <f>HYPERLINK("https://www.amazon.com/Crest-Professional-Whitestrips-Whitening-Treatments/dp/B00AHAWWO0/ref=sr_1_10?keywords=Effects&amp;qid=1695258881&amp;sr=8-10", "https://www.amazon.com/Crest-Professional-Whitestrips-Whitening-Treatments/dp/B00AHAWWO0/ref=sr_1_10?keywords=Effects&amp;qid=1695258881&amp;sr=8-10")</f>
        <v>https://www.amazon.com/Crest-Professional-Whitestrips-Whitening-Treatments/dp/B00AHAWWO0/ref=sr_1_10?keywords=Effects&amp;qid=1695258881&amp;sr=8-10</v>
      </c>
      <c r="F1143" t="s">
        <v>2516</v>
      </c>
      <c r="G1143" t="e">
        <f ca="1">IMAGE("https://mbrstore.com/wp-content/uploads/2022/06/01715_HairCare_200ml-copy-460x460.jpg")</f>
        <v>#NAME?</v>
      </c>
      <c r="H1143" t="e">
        <f ca="1">IMAGE("https://m.media-amazon.com/images/I/61IylKAap-L._AC_UL320_.jpg")</f>
        <v>#NAME?</v>
      </c>
      <c r="I1143" t="s">
        <v>2478</v>
      </c>
      <c r="J1143">
        <v>45.99</v>
      </c>
      <c r="K1143" s="2" t="s">
        <v>2609</v>
      </c>
      <c r="L1143">
        <v>4.5999999999999996</v>
      </c>
      <c r="M1143">
        <v>112972</v>
      </c>
      <c r="O1143" t="s">
        <v>26</v>
      </c>
      <c r="P1143" t="s">
        <v>39</v>
      </c>
      <c r="Q1143" t="s">
        <v>2481</v>
      </c>
    </row>
    <row r="1144" spans="1:17" ht="15.75" x14ac:dyDescent="0.25">
      <c r="A1144" s="3" t="str">
        <f>HYPERLINK("https://mbrstore.com/products/optimal-lift-serum/", "https://mbrstore.com/products/optimal-lift-serum/")</f>
        <v>https://mbrstore.com/products/optimal-lift-serum/</v>
      </c>
      <c r="B1144" s="3" t="str">
        <f>HYPERLINK("https://mbrstore.com/products/optimal-lift-serum/", "https://mbrstore.com/products/optimal-lift-serum/")</f>
        <v>https://mbrstore.com/products/optimal-lift-serum/</v>
      </c>
      <c r="C1144" t="s">
        <v>2453</v>
      </c>
      <c r="D1144" t="s">
        <v>2458</v>
      </c>
      <c r="E1144" s="3" t="str">
        <f>HYPERLINK("https://www.amazon.com/Fender-Mustang-LT-25-Digital-Amplifier/dp/B07N29M92M/ref=sr_1_3?keywords=Effects&amp;qid=1695258881&amp;sr=8-3", "https://www.amazon.com/Fender-Mustang-LT-25-Digital-Amplifier/dp/B07N29M92M/ref=sr_1_3?keywords=Effects&amp;qid=1695258881&amp;sr=8-3")</f>
        <v>https://www.amazon.com/Fender-Mustang-LT-25-Digital-Amplifier/dp/B07N29M92M/ref=sr_1_3?keywords=Effects&amp;qid=1695258881&amp;sr=8-3</v>
      </c>
      <c r="F1144" t="s">
        <v>2459</v>
      </c>
      <c r="G1144" t="e">
        <f ca="1">IMAGE("https://mbrstore.com/wp-content/uploads/2022/03/01224_OptimalLiftSerum_30ml-copy-460x460.jpg")</f>
        <v>#NAME?</v>
      </c>
      <c r="H1144" t="e">
        <f ca="1">IMAGE("https://m.media-amazon.com/images/I/81oKmWyFJPL._AC_UL320_.jpg")</f>
        <v>#NAME?</v>
      </c>
      <c r="I1144" t="s">
        <v>2610</v>
      </c>
      <c r="J1144">
        <v>159.99</v>
      </c>
      <c r="K1144" s="2" t="s">
        <v>2611</v>
      </c>
      <c r="L1144">
        <v>4.8</v>
      </c>
      <c r="M1144">
        <v>3110</v>
      </c>
      <c r="O1144" t="s">
        <v>26</v>
      </c>
      <c r="P1144" t="s">
        <v>39</v>
      </c>
      <c r="Q1144" t="s">
        <v>2612</v>
      </c>
    </row>
    <row r="1145" spans="1:17" ht="15.75" x14ac:dyDescent="0.25">
      <c r="A1145" s="3" t="str">
        <f>HYPERLINK("https://mbrstore.com/products/tissue-activator-serum/", "https://mbrstore.com/products/tissue-activator-serum/")</f>
        <v>https://mbrstore.com/products/tissue-activator-serum/</v>
      </c>
      <c r="B1145" s="3" t="str">
        <f>HYPERLINK("https://mbrstore.com/products/tissue-activator-serum/", "https://mbrstore.com/products/tissue-activator-serum/")</f>
        <v>https://mbrstore.com/products/tissue-activator-serum/</v>
      </c>
      <c r="C1145" t="s">
        <v>2453</v>
      </c>
      <c r="D1145" t="s">
        <v>2464</v>
      </c>
      <c r="E1145" s="3" t="str">
        <f>HYPERLINK("https://www.amazon.com/Zoom-Electric-Guitar-G1X-FOUR/dp/B07MZPR5GP/ref=sr_1_5?keywords=Effects&amp;qid=1695258873&amp;sr=8-5", "https://www.amazon.com/Zoom-Electric-Guitar-G1X-FOUR/dp/B07MZPR5GP/ref=sr_1_5?keywords=Effects&amp;qid=1695258873&amp;sr=8-5")</f>
        <v>https://www.amazon.com/Zoom-Electric-Guitar-G1X-FOUR/dp/B07MZPR5GP/ref=sr_1_5?keywords=Effects&amp;qid=1695258873&amp;sr=8-5</v>
      </c>
      <c r="F1145" t="s">
        <v>2465</v>
      </c>
      <c r="G1145" t="e">
        <f ca="1">IMAGE("https://mbrstore.com/wp-content/uploads/2022/03/01222_TissueActivatorSerum_30ml-copy-460x460.jpg")</f>
        <v>#NAME?</v>
      </c>
      <c r="H1145" t="e">
        <f ca="1">IMAGE("https://m.media-amazon.com/images/I/81lPUPAo-SL._AC_UL320_.jpg")</f>
        <v>#NAME?</v>
      </c>
      <c r="I1145" t="s">
        <v>2572</v>
      </c>
      <c r="J1145">
        <v>119.99</v>
      </c>
      <c r="K1145" s="2" t="s">
        <v>2613</v>
      </c>
      <c r="L1145">
        <v>4.5</v>
      </c>
      <c r="M1145">
        <v>6902</v>
      </c>
      <c r="O1145" t="s">
        <v>26</v>
      </c>
      <c r="P1145" t="s">
        <v>2574</v>
      </c>
      <c r="Q1145" t="s">
        <v>2575</v>
      </c>
    </row>
    <row r="1146" spans="1:17" ht="15.75" x14ac:dyDescent="0.25">
      <c r="A1146" s="3" t="str">
        <f>HYPERLINK("https://mbrstore.com/products/continueline-protection-shield-mask/", "https://mbrstore.com/products/continueline-protection-shield-mask/")</f>
        <v>https://mbrstore.com/products/continueline-protection-shield-mask/</v>
      </c>
      <c r="B1146" s="3" t="str">
        <f>HYPERLINK("https://mbrstore.com/products/continueline-protection-shield-mask/", "https://mbrstore.com/products/continueline-protection-shield-mask/")</f>
        <v>https://mbrstore.com/products/continueline-protection-shield-mask/</v>
      </c>
      <c r="C1146" t="s">
        <v>2453</v>
      </c>
      <c r="D1146" t="s">
        <v>2458</v>
      </c>
      <c r="E1146" s="3" t="str">
        <f>HYPERLINK("https://www.amazon.com/Fender-Mustang-LT-25-Digital-Amplifier/dp/B07N29M92M/ref=sr_1_8?keywords=Effects&amp;qid=1695258878&amp;sr=8-8", "https://www.amazon.com/Fender-Mustang-LT-25-Digital-Amplifier/dp/B07N29M92M/ref=sr_1_8?keywords=Effects&amp;qid=1695258878&amp;sr=8-8")</f>
        <v>https://www.amazon.com/Fender-Mustang-LT-25-Digital-Amplifier/dp/B07N29M92M/ref=sr_1_8?keywords=Effects&amp;qid=1695258878&amp;sr=8-8</v>
      </c>
      <c r="F1146" t="s">
        <v>2459</v>
      </c>
      <c r="G1146" t="e">
        <f ca="1">IMAGE("https://mbrstore.com/wp-content/uploads/2022/03/01525_ProtectionShieldMask_50ml-copy-460x460.jpg")</f>
        <v>#NAME?</v>
      </c>
      <c r="H1146" t="e">
        <f ca="1">IMAGE("https://m.media-amazon.com/images/I/81oKmWyFJPL._AC_UL320_.jpg")</f>
        <v>#NAME?</v>
      </c>
      <c r="I1146" t="s">
        <v>2614</v>
      </c>
      <c r="J1146">
        <v>159.99</v>
      </c>
      <c r="K1146" s="2" t="s">
        <v>2615</v>
      </c>
      <c r="L1146">
        <v>4.8</v>
      </c>
      <c r="M1146">
        <v>3110</v>
      </c>
      <c r="O1146" t="s">
        <v>26</v>
      </c>
      <c r="P1146" t="s">
        <v>39</v>
      </c>
      <c r="Q1146" t="s">
        <v>2616</v>
      </c>
    </row>
    <row r="1147" spans="1:17" ht="15.75" x14ac:dyDescent="0.25">
      <c r="A1147" s="3" t="str">
        <f>HYPERLINK("https://mbrstore.com/products/the-best-foam-cleanser/", "https://mbrstore.com/products/the-best-foam-cleanser/")</f>
        <v>https://mbrstore.com/products/the-best-foam-cleanser/</v>
      </c>
      <c r="B1147" s="3" t="str">
        <f>HYPERLINK("https://mbrstore.com/products/the-best-foam-cleanser/", "https://mbrstore.com/products/the-best-foam-cleanser/")</f>
        <v>https://mbrstore.com/products/the-best-foam-cleanser/</v>
      </c>
      <c r="C1147" t="s">
        <v>2453</v>
      </c>
      <c r="D1147" t="s">
        <v>2458</v>
      </c>
      <c r="E1147" s="3" t="str">
        <f>HYPERLINK("https://www.amazon.com/Fender-Mustang-LT-25-Digital-Amplifier/dp/B07N29M92M/ref=sr_1_1?keywords=Effects&amp;qid=1695258869&amp;sr=8-1", "https://www.amazon.com/Fender-Mustang-LT-25-Digital-Amplifier/dp/B07N29M92M/ref=sr_1_1?keywords=Effects&amp;qid=1695258869&amp;sr=8-1")</f>
        <v>https://www.amazon.com/Fender-Mustang-LT-25-Digital-Amplifier/dp/B07N29M92M/ref=sr_1_1?keywords=Effects&amp;qid=1695258869&amp;sr=8-1</v>
      </c>
      <c r="F1147" t="s">
        <v>2459</v>
      </c>
      <c r="G1147" t="e">
        <f ca="1">IMAGE("https://mbrstore.com/wp-content/uploads/2023/08/01438_TheBestFoamCleanser_100ml-460x460.png")</f>
        <v>#NAME?</v>
      </c>
      <c r="H1147" t="e">
        <f ca="1">IMAGE("https://m.media-amazon.com/images/I/81oKmWyFJPL._AC_UL320_.jpg")</f>
        <v>#NAME?</v>
      </c>
      <c r="I1147" t="s">
        <v>2617</v>
      </c>
      <c r="J1147">
        <v>159.99</v>
      </c>
      <c r="K1147" s="2" t="s">
        <v>2618</v>
      </c>
      <c r="L1147">
        <v>4.8</v>
      </c>
      <c r="M1147">
        <v>3110</v>
      </c>
      <c r="O1147" t="s">
        <v>26</v>
      </c>
      <c r="P1147" t="s">
        <v>39</v>
      </c>
      <c r="Q1147" t="s">
        <v>2619</v>
      </c>
    </row>
    <row r="1148" spans="1:17" ht="15.75" x14ac:dyDescent="0.25">
      <c r="A1148" s="3" t="str">
        <f>HYPERLINK("https://mbrstore.com/products/enzyme-cleansing-booster/", "https://mbrstore.com/products/enzyme-cleansing-booster/")</f>
        <v>https://mbrstore.com/products/enzyme-cleansing-booster/</v>
      </c>
      <c r="B1148" s="3" t="str">
        <f>HYPERLINK("https://mbrstore.com/products/enzyme-cleansing-booster/", "https://mbrstore.com/products/enzyme-cleansing-booster/")</f>
        <v>https://mbrstore.com/products/enzyme-cleansing-booster/</v>
      </c>
      <c r="C1148" t="s">
        <v>2453</v>
      </c>
      <c r="D1148" t="s">
        <v>2458</v>
      </c>
      <c r="E1148" s="3" t="str">
        <f>HYPERLINK("https://www.amazon.com/Fender-Mustang-LT-25-Digital-Amplifier/dp/B07N29M92M/ref=sr_1_1?keywords=Effects&amp;qid=1695258879&amp;sr=8-1", "https://www.amazon.com/Fender-Mustang-LT-25-Digital-Amplifier/dp/B07N29M92M/ref=sr_1_1?keywords=Effects&amp;qid=1695258879&amp;sr=8-1")</f>
        <v>https://www.amazon.com/Fender-Mustang-LT-25-Digital-Amplifier/dp/B07N29M92M/ref=sr_1_1?keywords=Effects&amp;qid=1695258879&amp;sr=8-1</v>
      </c>
      <c r="F1148" t="s">
        <v>2459</v>
      </c>
      <c r="G1148" t="e">
        <f ca="1">IMAGE("https://mbrstore.com/wp-content/uploads/2022/03/01400_EnzymeCleansingBooster_80g_1221-copy-460x460.jpg")</f>
        <v>#NAME?</v>
      </c>
      <c r="H1148" t="e">
        <f ca="1">IMAGE("https://m.media-amazon.com/images/I/81oKmWyFJPL._AC_UL320_.jpg")</f>
        <v>#NAME?</v>
      </c>
      <c r="I1148" t="s">
        <v>2620</v>
      </c>
      <c r="J1148">
        <v>159.99</v>
      </c>
      <c r="K1148" s="2" t="s">
        <v>2621</v>
      </c>
      <c r="L1148">
        <v>4.8</v>
      </c>
      <c r="M1148">
        <v>3110</v>
      </c>
      <c r="O1148" t="s">
        <v>26</v>
      </c>
      <c r="P1148" t="s">
        <v>39</v>
      </c>
      <c r="Q1148" t="s">
        <v>2622</v>
      </c>
    </row>
    <row r="1149" spans="1:17" ht="15.75" x14ac:dyDescent="0.25">
      <c r="A1149" s="3" t="str">
        <f>HYPERLINK("https://mbrstore.com/products/night-oil/", "https://mbrstore.com/products/night-oil/")</f>
        <v>https://mbrstore.com/products/night-oil/</v>
      </c>
      <c r="B1149" s="3" t="str">
        <f>HYPERLINK("https://mbrstore.com/products/night-oil/", "https://mbrstore.com/products/night-oil/")</f>
        <v>https://mbrstore.com/products/night-oil/</v>
      </c>
      <c r="C1149" t="s">
        <v>2453</v>
      </c>
      <c r="D1149" t="s">
        <v>2458</v>
      </c>
      <c r="E1149" s="3" t="str">
        <f>HYPERLINK("https://www.amazon.com/Fender-Mustang-LT-25-Digital-Amplifier/dp/B07N29M92M/ref=sr_1_6?keywords=Effects&amp;qid=1695258883&amp;sr=8-6", "https://www.amazon.com/Fender-Mustang-LT-25-Digital-Amplifier/dp/B07N29M92M/ref=sr_1_6?keywords=Effects&amp;qid=1695258883&amp;sr=8-6")</f>
        <v>https://www.amazon.com/Fender-Mustang-LT-25-Digital-Amplifier/dp/B07N29M92M/ref=sr_1_6?keywords=Effects&amp;qid=1695258883&amp;sr=8-6</v>
      </c>
      <c r="F1149" t="s">
        <v>2459</v>
      </c>
      <c r="G1149" t="e">
        <f ca="1">IMAGE("https://mbrstore.com/wp-content/uploads/2022/03/01235_NightOil_15ml_1121-460x460.jpg")</f>
        <v>#NAME?</v>
      </c>
      <c r="H1149" t="e">
        <f ca="1">IMAGE("https://m.media-amazon.com/images/I/81oKmWyFJPL._AC_UL320_.jpg")</f>
        <v>#NAME?</v>
      </c>
      <c r="I1149" t="s">
        <v>2524</v>
      </c>
      <c r="J1149">
        <v>159.99</v>
      </c>
      <c r="K1149" s="2" t="s">
        <v>2623</v>
      </c>
      <c r="L1149">
        <v>4.8</v>
      </c>
      <c r="M1149">
        <v>3110</v>
      </c>
      <c r="O1149" t="s">
        <v>26</v>
      </c>
      <c r="P1149" t="s">
        <v>39</v>
      </c>
      <c r="Q1149" t="s">
        <v>2624</v>
      </c>
    </row>
    <row r="1150" spans="1:17" ht="15.75" x14ac:dyDescent="0.25">
      <c r="A1150" s="3" t="str">
        <f>HYPERLINK("https://mbrstore.com/products/the-best-foot/", "https://mbrstore.com/products/the-best-foot/")</f>
        <v>https://mbrstore.com/products/the-best-foot/</v>
      </c>
      <c r="B1150" s="3" t="str">
        <f>HYPERLINK("https://mbrstore.com/products/the-best-foot/", "https://mbrstore.com/products/the-best-foot/")</f>
        <v>https://mbrstore.com/products/the-best-foot/</v>
      </c>
      <c r="C1150" t="s">
        <v>2453</v>
      </c>
      <c r="D1150" t="s">
        <v>2458</v>
      </c>
      <c r="E1150" s="3" t="str">
        <f>HYPERLINK("https://www.amazon.com/Fender-Mustang-LT-25-Digital-Amplifier/dp/B07N29M92M/ref=sr_1_4?keywords=Effects&amp;qid=1695258892&amp;sr=8-4", "https://www.amazon.com/Fender-Mustang-LT-25-Digital-Amplifier/dp/B07N29M92M/ref=sr_1_4?keywords=Effects&amp;qid=1695258892&amp;sr=8-4")</f>
        <v>https://www.amazon.com/Fender-Mustang-LT-25-Digital-Amplifier/dp/B07N29M92M/ref=sr_1_4?keywords=Effects&amp;qid=1695258892&amp;sr=8-4</v>
      </c>
      <c r="F1150" t="s">
        <v>2459</v>
      </c>
      <c r="G1150" t="e">
        <f ca="1">IMAGE("https://mbrstore.com/wp-content/uploads/2022/12/01458_TheBestFoot_100ml_01-460x460.png")</f>
        <v>#NAME?</v>
      </c>
      <c r="H1150" t="e">
        <f ca="1">IMAGE("https://m.media-amazon.com/images/I/81oKmWyFJPL._AC_UL320_.jpg")</f>
        <v>#NAME?</v>
      </c>
      <c r="I1150" t="s">
        <v>2524</v>
      </c>
      <c r="J1150">
        <v>159.99</v>
      </c>
      <c r="K1150" s="2" t="s">
        <v>2623</v>
      </c>
      <c r="L1150">
        <v>4.8</v>
      </c>
      <c r="M1150">
        <v>3110</v>
      </c>
      <c r="O1150" t="s">
        <v>26</v>
      </c>
      <c r="P1150" t="s">
        <v>39</v>
      </c>
      <c r="Q1150" t="s">
        <v>2526</v>
      </c>
    </row>
    <row r="1151" spans="1:17" ht="15.75" x14ac:dyDescent="0.25">
      <c r="A1151" s="3" t="str">
        <f>HYPERLINK("https://mbrstore.com/products/hair-care/", "https://mbrstore.com/products/hair-care/")</f>
        <v>https://mbrstore.com/products/hair-care/</v>
      </c>
      <c r="B1151" s="3" t="str">
        <f>HYPERLINK("https://mbrstore.com/products/hair-care/", "https://mbrstore.com/products/hair-care/")</f>
        <v>https://mbrstore.com/products/hair-care/</v>
      </c>
      <c r="C1151" t="s">
        <v>2453</v>
      </c>
      <c r="D1151" t="s">
        <v>2508</v>
      </c>
      <c r="E1151" s="3" t="str">
        <f>HYPERLINK("https://www.amazon.com/Westmore-Beauty-Tightening-Temporarily-Puffiness/dp/B07BYG7D2V/ref=sr_1_3?keywords=Effects&amp;qid=1695258881&amp;sr=8-3", "https://www.amazon.com/Westmore-Beauty-Tightening-Temporarily-Puffiness/dp/B07BYG7D2V/ref=sr_1_3?keywords=Effects&amp;qid=1695258881&amp;sr=8-3")</f>
        <v>https://www.amazon.com/Westmore-Beauty-Tightening-Temporarily-Puffiness/dp/B07BYG7D2V/ref=sr_1_3?keywords=Effects&amp;qid=1695258881&amp;sr=8-3</v>
      </c>
      <c r="F1151" t="s">
        <v>2509</v>
      </c>
      <c r="G1151" t="e">
        <f ca="1">IMAGE("https://mbrstore.com/wp-content/uploads/2022/06/01715_HairCare_200ml-copy-460x460.jpg")</f>
        <v>#NAME?</v>
      </c>
      <c r="H1151" t="e">
        <f ca="1">IMAGE("https://m.media-amazon.com/images/I/51YkzEMtyCL._AC_UL320_.jpg")</f>
        <v>#NAME?</v>
      </c>
      <c r="I1151" t="s">
        <v>2478</v>
      </c>
      <c r="J1151">
        <v>43.45</v>
      </c>
      <c r="K1151" s="2" t="s">
        <v>2625</v>
      </c>
      <c r="L1151">
        <v>3.6</v>
      </c>
      <c r="M1151">
        <v>1214</v>
      </c>
      <c r="O1151" t="s">
        <v>26</v>
      </c>
      <c r="P1151" t="s">
        <v>39</v>
      </c>
      <c r="Q1151" t="s">
        <v>2481</v>
      </c>
    </row>
    <row r="1152" spans="1:17" ht="15.75" x14ac:dyDescent="0.25">
      <c r="A1152" s="3" t="str">
        <f>HYPERLINK("https://mbrstore.com/products/cell-power-cream-deodorant/", "https://mbrstore.com/products/cell-power-cream-deodorant/")</f>
        <v>https://mbrstore.com/products/cell-power-cream-deodorant/</v>
      </c>
      <c r="B1152" s="3" t="str">
        <f>HYPERLINK("https://mbrstore.com/products/cell-power-cream-deodorant/", "https://mbrstore.com/products/cell-power-cream-deodorant/")</f>
        <v>https://mbrstore.com/products/cell-power-cream-deodorant/</v>
      </c>
      <c r="C1152" t="s">
        <v>2453</v>
      </c>
      <c r="D1152" t="s">
        <v>2508</v>
      </c>
      <c r="E1152" s="3" t="str">
        <f>HYPERLINK("https://www.amazon.com/Westmore-Beauty-Tightening-Temporarily-Puffiness/dp/B07BYG7D2V/ref=sr_1_5?keywords=Effects&amp;qid=1695258895&amp;sr=8-5", "https://www.amazon.com/Westmore-Beauty-Tightening-Temporarily-Puffiness/dp/B07BYG7D2V/ref=sr_1_5?keywords=Effects&amp;qid=1695258895&amp;sr=8-5")</f>
        <v>https://www.amazon.com/Westmore-Beauty-Tightening-Temporarily-Puffiness/dp/B07BYG7D2V/ref=sr_1_5?keywords=Effects&amp;qid=1695258895&amp;sr=8-5</v>
      </c>
      <c r="F1152" t="s">
        <v>2509</v>
      </c>
      <c r="G1152" t="e">
        <f ca="1">IMAGE("https://mbrstore.com/wp-content/uploads/2022/03/01607_CreamDeodorant_50ml-copy-460x460.jpg")</f>
        <v>#NAME?</v>
      </c>
      <c r="H1152" t="e">
        <f ca="1">IMAGE("https://m.media-amazon.com/images/I/51YkzEMtyCL._AC_UL320_.jpg")</f>
        <v>#NAME?</v>
      </c>
      <c r="I1152" t="s">
        <v>2478</v>
      </c>
      <c r="J1152">
        <v>43.45</v>
      </c>
      <c r="K1152" s="2" t="s">
        <v>2625</v>
      </c>
      <c r="L1152">
        <v>3.6</v>
      </c>
      <c r="M1152">
        <v>1214</v>
      </c>
      <c r="O1152" t="s">
        <v>26</v>
      </c>
      <c r="P1152" t="s">
        <v>39</v>
      </c>
      <c r="Q1152" t="s">
        <v>2480</v>
      </c>
    </row>
    <row r="1153" spans="1:17" ht="15.75" x14ac:dyDescent="0.25">
      <c r="A1153" s="3" t="str">
        <f>HYPERLINK("https://mbrstore.com/products/basic-lip-id/", "https://mbrstore.com/products/basic-lip-id/")</f>
        <v>https://mbrstore.com/products/basic-lip-id/</v>
      </c>
      <c r="B1153" s="3" t="str">
        <f>HYPERLINK("https://mbrstore.com/products/basic-lip-id/", "https://mbrstore.com/products/basic-lip-id/")</f>
        <v>https://mbrstore.com/products/basic-lip-id/</v>
      </c>
      <c r="C1153" t="s">
        <v>2453</v>
      </c>
      <c r="D1153" t="s">
        <v>2508</v>
      </c>
      <c r="E1153" s="3" t="str">
        <f>HYPERLINK("https://www.amazon.com/Westmore-Beauty-Tightening-Temporarily-Puffiness/dp/B07BYG7D2V/ref=sr_1_3?keywords=Effects&amp;qid=1695258872&amp;sr=8-3", "https://www.amazon.com/Westmore-Beauty-Tightening-Temporarily-Puffiness/dp/B07BYG7D2V/ref=sr_1_3?keywords=Effects&amp;qid=1695258872&amp;sr=8-3")</f>
        <v>https://www.amazon.com/Westmore-Beauty-Tightening-Temporarily-Puffiness/dp/B07BYG7D2V/ref=sr_1_3?keywords=Effects&amp;qid=1695258872&amp;sr=8-3</v>
      </c>
      <c r="F1153" t="s">
        <v>2509</v>
      </c>
      <c r="G1153" t="e">
        <f ca="1">IMAGE("https://mbrstore.com/wp-content/uploads/2022/03/01228_BasicLipID_7-5ml-copy-460x460.jpg")</f>
        <v>#NAME?</v>
      </c>
      <c r="H1153" t="e">
        <f ca="1">IMAGE("https://m.media-amazon.com/images/I/51YkzEMtyCL._AC_UL320_.jpg")</f>
        <v>#NAME?</v>
      </c>
      <c r="I1153" t="s">
        <v>2482</v>
      </c>
      <c r="J1153">
        <v>43.45</v>
      </c>
      <c r="K1153" s="2" t="s">
        <v>2626</v>
      </c>
      <c r="L1153">
        <v>3.6</v>
      </c>
      <c r="M1153">
        <v>1214</v>
      </c>
      <c r="O1153" t="s">
        <v>26</v>
      </c>
      <c r="P1153" t="s">
        <v>39</v>
      </c>
      <c r="Q1153" t="s">
        <v>2484</v>
      </c>
    </row>
    <row r="1154" spans="1:17" ht="15.75" x14ac:dyDescent="0.25">
      <c r="A1154" s="3" t="str">
        <f>HYPERLINK("https://mbrstore.com/products/magic-pigments/", "https://mbrstore.com/products/magic-pigments/")</f>
        <v>https://mbrstore.com/products/magic-pigments/</v>
      </c>
      <c r="B1154" s="3" t="str">
        <f>HYPERLINK("https://mbrstore.com/products/magic-pigments/", "https://mbrstore.com/products/magic-pigments/")</f>
        <v>https://mbrstore.com/products/magic-pigments/</v>
      </c>
      <c r="C1154" t="s">
        <v>2453</v>
      </c>
      <c r="D1154" t="s">
        <v>2458</v>
      </c>
      <c r="E1154" s="3" t="str">
        <f>HYPERLINK("https://www.amazon.com/Fender-Mustang-LT-25-Digital-Amplifier/dp/B07N29M92M/ref=sr_1_1?keywords=Effects&amp;qid=1695258901&amp;sr=8-1", "https://www.amazon.com/Fender-Mustang-LT-25-Digital-Amplifier/dp/B07N29M92M/ref=sr_1_1?keywords=Effects&amp;qid=1695258901&amp;sr=8-1")</f>
        <v>https://www.amazon.com/Fender-Mustang-LT-25-Digital-Amplifier/dp/B07N29M92M/ref=sr_1_1?keywords=Effects&amp;qid=1695258901&amp;sr=8-1</v>
      </c>
      <c r="F1154" t="s">
        <v>2459</v>
      </c>
      <c r="G1154" t="e">
        <f ca="1">IMAGE("https://mbrstore.com/wp-content/uploads/2022/03/01450_MagicPigmentsLightMedium_30ml-copy-460x460.jpg")</f>
        <v>#NAME?</v>
      </c>
      <c r="H1154" t="e">
        <f ca="1">IMAGE("https://m.media-amazon.com/images/I/81oKmWyFJPL._AC_UL320_.jpg")</f>
        <v>#NAME?</v>
      </c>
      <c r="I1154" t="s">
        <v>2627</v>
      </c>
      <c r="J1154">
        <v>159.99</v>
      </c>
      <c r="K1154" s="2" t="s">
        <v>2628</v>
      </c>
      <c r="L1154">
        <v>4.8</v>
      </c>
      <c r="M1154">
        <v>3110</v>
      </c>
      <c r="O1154" t="s">
        <v>26</v>
      </c>
      <c r="P1154" t="s">
        <v>39</v>
      </c>
      <c r="Q1154" t="s">
        <v>2629</v>
      </c>
    </row>
    <row r="1155" spans="1:17" ht="15.75" x14ac:dyDescent="0.25">
      <c r="A1155" s="3" t="str">
        <f>HYPERLINK("https://mbrstore.com/products/hair-scalp-conditioner/", "https://mbrstore.com/products/hair-scalp-conditioner/")</f>
        <v>https://mbrstore.com/products/hair-scalp-conditioner/</v>
      </c>
      <c r="B1155" s="3" t="str">
        <f>HYPERLINK("https://mbrstore.com/products/hair-scalp-conditioner/", "https://mbrstore.com/products/hair-scalp-conditioner/")</f>
        <v>https://mbrstore.com/products/hair-scalp-conditioner/</v>
      </c>
      <c r="C1155" t="s">
        <v>2453</v>
      </c>
      <c r="D1155" t="s">
        <v>2464</v>
      </c>
      <c r="E1155" s="3" t="str">
        <f>HYPERLINK("https://www.amazon.com/Zoom-Electric-Guitar-G1X-FOUR/dp/B07MZPR5GP/ref=sr_1_4?keywords=Effects&amp;qid=1695258875&amp;sr=8-4", "https://www.amazon.com/Zoom-Electric-Guitar-G1X-FOUR/dp/B07MZPR5GP/ref=sr_1_4?keywords=Effects&amp;qid=1695258875&amp;sr=8-4")</f>
        <v>https://www.amazon.com/Zoom-Electric-Guitar-G1X-FOUR/dp/B07MZPR5GP/ref=sr_1_4?keywords=Effects&amp;qid=1695258875&amp;sr=8-4</v>
      </c>
      <c r="F1155" t="s">
        <v>2465</v>
      </c>
      <c r="G1155" t="e">
        <f ca="1">IMAGE("https://mbrstore.com/wp-content/uploads/2022/03/01461_HairScalpConditioner_200ml-copy-460x460.jpg")</f>
        <v>#NAME?</v>
      </c>
      <c r="H1155" t="e">
        <f ca="1">IMAGE("https://m.media-amazon.com/images/I/81lPUPAo-SL._AC_UL320_.jpg")</f>
        <v>#NAME?</v>
      </c>
      <c r="I1155" t="s">
        <v>2581</v>
      </c>
      <c r="J1155">
        <v>119.99</v>
      </c>
      <c r="K1155" s="2" t="s">
        <v>2630</v>
      </c>
      <c r="L1155">
        <v>4.5</v>
      </c>
      <c r="M1155">
        <v>6902</v>
      </c>
      <c r="O1155" t="s">
        <v>26</v>
      </c>
      <c r="P1155" t="s">
        <v>39</v>
      </c>
      <c r="Q1155" t="s">
        <v>2583</v>
      </c>
    </row>
    <row r="1156" spans="1:17" ht="15.75" x14ac:dyDescent="0.25">
      <c r="A1156" s="3" t="str">
        <f>HYPERLINK("https://mbrstore.com/products/face-concentrate/", "https://mbrstore.com/products/face-concentrate/")</f>
        <v>https://mbrstore.com/products/face-concentrate/</v>
      </c>
      <c r="B1156" s="3" t="str">
        <f>HYPERLINK("https://mbrstore.com/products/face-concentrate/", "https://mbrstore.com/products/face-concentrate/")</f>
        <v>https://mbrstore.com/products/face-concentrate/</v>
      </c>
      <c r="C1156" t="s">
        <v>2453</v>
      </c>
      <c r="D1156" t="s">
        <v>2464</v>
      </c>
      <c r="E1156" s="3" t="str">
        <f>HYPERLINK("https://www.amazon.com/Zoom-Electric-Guitar-G1X-FOUR/dp/B07MZPR5GP/ref=sr_1_4?keywords=Effects&amp;qid=1695258892&amp;sr=8-4", "https://www.amazon.com/Zoom-Electric-Guitar-G1X-FOUR/dp/B07MZPR5GP/ref=sr_1_4?keywords=Effects&amp;qid=1695258892&amp;sr=8-4")</f>
        <v>https://www.amazon.com/Zoom-Electric-Guitar-G1X-FOUR/dp/B07MZPR5GP/ref=sr_1_4?keywords=Effects&amp;qid=1695258892&amp;sr=8-4</v>
      </c>
      <c r="F1156" t="s">
        <v>2465</v>
      </c>
      <c r="G1156" t="e">
        <f ca="1">IMAGE("https://mbrstore.com/wp-content/uploads/2022/06/01705_FaceConcentrate_50ml-copy-460x460.jpg")</f>
        <v>#NAME?</v>
      </c>
      <c r="H1156" t="e">
        <f ca="1">IMAGE("https://m.media-amazon.com/images/I/81lPUPAo-SL._AC_UL320_.jpg")</f>
        <v>#NAME?</v>
      </c>
      <c r="I1156" t="s">
        <v>2588</v>
      </c>
      <c r="J1156">
        <v>119.99</v>
      </c>
      <c r="K1156" s="2" t="s">
        <v>2631</v>
      </c>
      <c r="L1156">
        <v>4.5</v>
      </c>
      <c r="M1156">
        <v>6902</v>
      </c>
      <c r="O1156" t="s">
        <v>26</v>
      </c>
      <c r="P1156" t="s">
        <v>39</v>
      </c>
      <c r="Q1156" t="s">
        <v>2590</v>
      </c>
    </row>
    <row r="1157" spans="1:17" ht="15.75" x14ac:dyDescent="0.25">
      <c r="A1157" s="3" t="str">
        <f>HYPERLINK("https://mbrstore.com/products/eye-cream-smooth-100/", "https://mbrstore.com/products/eye-cream-smooth-100/")</f>
        <v>https://mbrstore.com/products/eye-cream-smooth-100/</v>
      </c>
      <c r="B1157" s="3" t="str">
        <f>HYPERLINK("https://mbrstore.com/products/eye-cream-smooth-100/", "https://mbrstore.com/products/eye-cream-smooth-100/")</f>
        <v>https://mbrstore.com/products/eye-cream-smooth-100/</v>
      </c>
      <c r="C1157" t="s">
        <v>2453</v>
      </c>
      <c r="D1157" t="s">
        <v>2454</v>
      </c>
      <c r="E1157" s="3" t="str">
        <f>HYPERLINK("https://www.amazon.com/BOSS-ME-90-Multi-Effects-Multi-Function-Footswitches/dp/B0CB95FW31/ref=sr_1_8?keywords=Effects&amp;qid=1695258872&amp;sr=8-8", "https://www.amazon.com/BOSS-ME-90-Multi-Effects-Multi-Function-Footswitches/dp/B0CB95FW31/ref=sr_1_8?keywords=Effects&amp;qid=1695258872&amp;sr=8-8")</f>
        <v>https://www.amazon.com/BOSS-ME-90-Multi-Effects-Multi-Function-Footswitches/dp/B0CB95FW31/ref=sr_1_8?keywords=Effects&amp;qid=1695258872&amp;sr=8-8</v>
      </c>
      <c r="F1157" t="s">
        <v>2455</v>
      </c>
      <c r="G1157" t="e">
        <f ca="1">IMAGE("https://mbrstore.com/wp-content/uploads/2022/03/01403_EyeCreamSmooth_15ml-copy-460x460.jpg")</f>
        <v>#NAME?</v>
      </c>
      <c r="H1157" t="e">
        <f ca="1">IMAGE("https://m.media-amazon.com/images/I/617SJJIeDWL._AC_UL320_.jpg")</f>
        <v>#NAME?</v>
      </c>
      <c r="I1157" t="s">
        <v>2632</v>
      </c>
      <c r="J1157">
        <v>347.99</v>
      </c>
      <c r="K1157" s="2" t="s">
        <v>2633</v>
      </c>
      <c r="L1157">
        <v>5</v>
      </c>
      <c r="M1157">
        <v>2</v>
      </c>
      <c r="O1157" t="s">
        <v>26</v>
      </c>
      <c r="P1157" t="s">
        <v>39</v>
      </c>
      <c r="Q1157" t="s">
        <v>2634</v>
      </c>
    </row>
    <row r="1158" spans="1:17" ht="15.75" x14ac:dyDescent="0.25">
      <c r="A1158" s="3" t="str">
        <f>HYPERLINK("https://mbrstore.com/products/modukine-serum/", "https://mbrstore.com/products/modukine-serum/")</f>
        <v>https://mbrstore.com/products/modukine-serum/</v>
      </c>
      <c r="B1158" s="3" t="str">
        <f>HYPERLINK("https://mbrstore.com/products/modukine-serum/", "https://mbrstore.com/products/modukine-serum/")</f>
        <v>https://mbrstore.com/products/modukine-serum/</v>
      </c>
      <c r="C1158" t="s">
        <v>2453</v>
      </c>
      <c r="D1158" t="s">
        <v>2464</v>
      </c>
      <c r="E1158" s="3" t="str">
        <f>HYPERLINK("https://www.amazon.com/Zoom-Electric-Guitar-G1X-FOUR/dp/B07MZPR5GP/ref=sr_1_5?keywords=Effects&amp;qid=1695258875&amp;sr=8-5", "https://www.amazon.com/Zoom-Electric-Guitar-G1X-FOUR/dp/B07MZPR5GP/ref=sr_1_5?keywords=Effects&amp;qid=1695258875&amp;sr=8-5")</f>
        <v>https://www.amazon.com/Zoom-Electric-Guitar-G1X-FOUR/dp/B07MZPR5GP/ref=sr_1_5?keywords=Effects&amp;qid=1695258875&amp;sr=8-5</v>
      </c>
      <c r="F1158" t="s">
        <v>2465</v>
      </c>
      <c r="G1158" t="e">
        <f ca="1">IMAGE("https://mbrstore.com/wp-content/uploads/2022/03/01530_MBR_ModukineSerum_50ml-copy-460x460.jpg")</f>
        <v>#NAME?</v>
      </c>
      <c r="H1158" t="e">
        <f ca="1">IMAGE("https://m.media-amazon.com/images/I/81lPUPAo-SL._AC_UL320_.jpg")</f>
        <v>#NAME?</v>
      </c>
      <c r="I1158" t="s">
        <v>2635</v>
      </c>
      <c r="J1158">
        <v>119.99</v>
      </c>
      <c r="K1158" s="2" t="s">
        <v>2636</v>
      </c>
      <c r="L1158">
        <v>4.5</v>
      </c>
      <c r="M1158">
        <v>6902</v>
      </c>
      <c r="O1158" t="s">
        <v>26</v>
      </c>
      <c r="P1158" t="s">
        <v>39</v>
      </c>
      <c r="Q1158" t="s">
        <v>2637</v>
      </c>
    </row>
    <row r="1159" spans="1:17" ht="15.75" x14ac:dyDescent="0.25">
      <c r="A1159" s="3" t="str">
        <f>HYPERLINK("https://mbrstore.com/products/cytoline-face-mask/", "https://mbrstore.com/products/cytoline-face-mask/")</f>
        <v>https://mbrstore.com/products/cytoline-face-mask/</v>
      </c>
      <c r="B1159" s="3" t="str">
        <f>HYPERLINK("https://mbrstore.com/products/cytoline-face-mask/", "https://mbrstore.com/products/cytoline-face-mask/")</f>
        <v>https://mbrstore.com/products/cytoline-face-mask/</v>
      </c>
      <c r="C1159" t="s">
        <v>2453</v>
      </c>
      <c r="D1159" t="s">
        <v>2458</v>
      </c>
      <c r="E1159" s="3" t="str">
        <f>HYPERLINK("https://www.amazon.com/Fender-Mustang-LT-25-Digital-Amplifier/dp/B07N29M92M/ref=sr_1_1?keywords=Effects&amp;qid=1695258876&amp;sr=8-1", "https://www.amazon.com/Fender-Mustang-LT-25-Digital-Amplifier/dp/B07N29M92M/ref=sr_1_1?keywords=Effects&amp;qid=1695258876&amp;sr=8-1")</f>
        <v>https://www.amazon.com/Fender-Mustang-LT-25-Digital-Amplifier/dp/B07N29M92M/ref=sr_1_1?keywords=Effects&amp;qid=1695258876&amp;sr=8-1</v>
      </c>
      <c r="F1159" t="s">
        <v>2459</v>
      </c>
      <c r="G1159" t="e">
        <f ca="1">IMAGE("https://mbrstore.com/wp-content/uploads/2022/03/01305_CytoLineFaceMask100_50ml-copy-460x460.jpg")</f>
        <v>#NAME?</v>
      </c>
      <c r="H1159" t="e">
        <f ca="1">IMAGE("https://m.media-amazon.com/images/I/81oKmWyFJPL._AC_UL320_.jpg")</f>
        <v>#NAME?</v>
      </c>
      <c r="I1159" t="s">
        <v>2638</v>
      </c>
      <c r="J1159">
        <v>159.99</v>
      </c>
      <c r="K1159" s="2" t="s">
        <v>2639</v>
      </c>
      <c r="L1159">
        <v>4.8</v>
      </c>
      <c r="M1159">
        <v>3110</v>
      </c>
      <c r="O1159" t="s">
        <v>26</v>
      </c>
      <c r="P1159" t="s">
        <v>39</v>
      </c>
      <c r="Q1159" t="s">
        <v>2640</v>
      </c>
    </row>
    <row r="1160" spans="1:17" ht="15.75" x14ac:dyDescent="0.25">
      <c r="A1160" s="3" t="str">
        <f>HYPERLINK("https://mbrstore.com/products/cell-power-lipo-peel/", "https://mbrstore.com/products/cell-power-lipo-peel/")</f>
        <v>https://mbrstore.com/products/cell-power-lipo-peel/</v>
      </c>
      <c r="B1160" s="3" t="str">
        <f>HYPERLINK("https://mbrstore.com/products/cell-power-lipo-peel/", "https://mbrstore.com/products/cell-power-lipo-peel/")</f>
        <v>https://mbrstore.com/products/cell-power-lipo-peel/</v>
      </c>
      <c r="C1160" t="s">
        <v>2453</v>
      </c>
      <c r="D1160" t="s">
        <v>2579</v>
      </c>
      <c r="E1160" s="3" t="str">
        <f>HYPERLINK("https://www.amazon.com/Crest-Professional-Whitestrips-Whitening-Treatments/dp/B00AHAWWO0/ref=sr_1_10?keywords=Effects&amp;qid=1695258869&amp;sr=8-10", "https://www.amazon.com/Crest-Professional-Whitestrips-Whitening-Treatments/dp/B00AHAWWO0/ref=sr_1_10?keywords=Effects&amp;qid=1695258869&amp;sr=8-10")</f>
        <v>https://www.amazon.com/Crest-Professional-Whitestrips-Whitening-Treatments/dp/B00AHAWWO0/ref=sr_1_10?keywords=Effects&amp;qid=1695258869&amp;sr=8-10</v>
      </c>
      <c r="F1160" t="s">
        <v>2516</v>
      </c>
      <c r="G1160" t="e">
        <f ca="1">IMAGE("https://mbrstore.com/wp-content/uploads/2022/03/01614_LipoPeel_200ml-copy-460x460.jpg")</f>
        <v>#NAME?</v>
      </c>
      <c r="H1160" t="e">
        <f ca="1">IMAGE("https://m.media-amazon.com/images/I/61IylKAap-L._AC_UL320_.jpg")</f>
        <v>#NAME?</v>
      </c>
      <c r="I1160" t="s">
        <v>2498</v>
      </c>
      <c r="J1160">
        <v>45.99</v>
      </c>
      <c r="K1160" s="2" t="s">
        <v>2641</v>
      </c>
      <c r="L1160">
        <v>4.5999999999999996</v>
      </c>
      <c r="M1160">
        <v>112972</v>
      </c>
      <c r="O1160" t="s">
        <v>26</v>
      </c>
      <c r="P1160" t="s">
        <v>39</v>
      </c>
      <c r="Q1160" t="s">
        <v>2500</v>
      </c>
    </row>
    <row r="1161" spans="1:17" ht="15.75" x14ac:dyDescent="0.25">
      <c r="A1161" s="3" t="str">
        <f>HYPERLINK("https://mbrstore.com/products/skin-whitening-cream/", "https://mbrstore.com/products/skin-whitening-cream/")</f>
        <v>https://mbrstore.com/products/skin-whitening-cream/</v>
      </c>
      <c r="B1161" s="3" t="str">
        <f>HYPERLINK("https://mbrstore.com/products/skin-whitening-cream/", "https://mbrstore.com/products/skin-whitening-cream/")</f>
        <v>https://mbrstore.com/products/skin-whitening-cream/</v>
      </c>
      <c r="C1161" t="s">
        <v>2453</v>
      </c>
      <c r="D1161" t="s">
        <v>2464</v>
      </c>
      <c r="E1161" s="3" t="str">
        <f>HYPERLINK("https://www.amazon.com/Zoom-Electric-Guitar-G1X-FOUR/dp/B07MZPR5GP/ref=sr_1_1?keywords=Effects&amp;qid=1695258891&amp;sr=8-1", "https://www.amazon.com/Zoom-Electric-Guitar-G1X-FOUR/dp/B07MZPR5GP/ref=sr_1_1?keywords=Effects&amp;qid=1695258891&amp;sr=8-1")</f>
        <v>https://www.amazon.com/Zoom-Electric-Guitar-G1X-FOUR/dp/B07MZPR5GP/ref=sr_1_1?keywords=Effects&amp;qid=1695258891&amp;sr=8-1</v>
      </c>
      <c r="F1161" t="s">
        <v>2465</v>
      </c>
      <c r="G1161" t="e">
        <f ca="1">IMAGE("https://mbrstore.com/wp-content/uploads/2022/03/02010_SkinWhiteningCream_50ml-copy-460x460.jpg")</f>
        <v>#NAME?</v>
      </c>
      <c r="H1161" t="e">
        <f t="shared" ref="H1161:H1167" ca="1" si="12">IMAGE("https://m.media-amazon.com/images/I/81lPUPAo-SL._AC_UL320_.jpg")</f>
        <v>#NAME?</v>
      </c>
      <c r="I1161" t="s">
        <v>2594</v>
      </c>
      <c r="J1161">
        <v>119.99</v>
      </c>
      <c r="K1161" s="2" t="s">
        <v>2642</v>
      </c>
      <c r="L1161">
        <v>4.5</v>
      </c>
      <c r="M1161">
        <v>6902</v>
      </c>
      <c r="O1161" t="s">
        <v>26</v>
      </c>
      <c r="P1161" t="s">
        <v>39</v>
      </c>
      <c r="Q1161" t="s">
        <v>2596</v>
      </c>
    </row>
    <row r="1162" spans="1:17" ht="15.75" x14ac:dyDescent="0.25">
      <c r="A1162" s="3" t="str">
        <f>HYPERLINK("https://mbrstore.com/products/continueline-cell-tissue-activator/", "https://mbrstore.com/products/continueline-cell-tissue-activator/")</f>
        <v>https://mbrstore.com/products/continueline-cell-tissue-activator/</v>
      </c>
      <c r="B1162" s="3" t="str">
        <f>HYPERLINK("https://mbrstore.com/products/continueline-cell-tissue-activator/", "https://mbrstore.com/products/continueline-cell-tissue-activator/")</f>
        <v>https://mbrstore.com/products/continueline-cell-tissue-activator/</v>
      </c>
      <c r="C1162" t="s">
        <v>2453</v>
      </c>
      <c r="D1162" t="s">
        <v>2464</v>
      </c>
      <c r="E1162" s="3" t="str">
        <f>HYPERLINK("https://www.amazon.com/Zoom-Electric-Guitar-G1X-FOUR/dp/B07MZPR5GP/ref=sr_1_1?keywords=Effects&amp;qid=1695258908&amp;sr=8-1", "https://www.amazon.com/Zoom-Electric-Guitar-G1X-FOUR/dp/B07MZPR5GP/ref=sr_1_1?keywords=Effects&amp;qid=1695258908&amp;sr=8-1")</f>
        <v>https://www.amazon.com/Zoom-Electric-Guitar-G1X-FOUR/dp/B07MZPR5GP/ref=sr_1_1?keywords=Effects&amp;qid=1695258908&amp;sr=8-1</v>
      </c>
      <c r="F1162" t="s">
        <v>2465</v>
      </c>
      <c r="G1162" t="e">
        <f ca="1">IMAGE("https://mbrstore.com/wp-content/uploads/2022/03/01517_CellTissueActivator_50ml-copy-460x460.jpg")</f>
        <v>#NAME?</v>
      </c>
      <c r="H1162" t="e">
        <f t="shared" ca="1" si="12"/>
        <v>#NAME?</v>
      </c>
      <c r="I1162" t="s">
        <v>2601</v>
      </c>
      <c r="J1162">
        <v>119.99</v>
      </c>
      <c r="K1162" s="2" t="s">
        <v>2643</v>
      </c>
      <c r="L1162">
        <v>4.5</v>
      </c>
      <c r="M1162">
        <v>6902</v>
      </c>
      <c r="O1162" t="s">
        <v>26</v>
      </c>
      <c r="P1162" t="s">
        <v>39</v>
      </c>
      <c r="Q1162" t="s">
        <v>2606</v>
      </c>
    </row>
    <row r="1163" spans="1:17" ht="15.75" x14ac:dyDescent="0.25">
      <c r="A1163" s="3" t="str">
        <f>HYPERLINK("https://mbrstore.com/products/continueline-protection-shield-eye/", "https://mbrstore.com/products/continueline-protection-shield-eye/")</f>
        <v>https://mbrstore.com/products/continueline-protection-shield-eye/</v>
      </c>
      <c r="B1163" s="3" t="str">
        <f>HYPERLINK("https://mbrstore.com/products/continueline-protection-shield-eye/", "https://mbrstore.com/products/continueline-protection-shield-eye/")</f>
        <v>https://mbrstore.com/products/continueline-protection-shield-eye/</v>
      </c>
      <c r="C1163" t="s">
        <v>2453</v>
      </c>
      <c r="D1163" t="s">
        <v>2464</v>
      </c>
      <c r="E1163" s="3" t="str">
        <f>HYPERLINK("https://www.amazon.com/Zoom-Electric-Guitar-G1X-FOUR/dp/B07MZPR5GP/ref=sr_1_1?keywords=Effects&amp;qid=1695258881&amp;sr=8-1", "https://www.amazon.com/Zoom-Electric-Guitar-G1X-FOUR/dp/B07MZPR5GP/ref=sr_1_1?keywords=Effects&amp;qid=1695258881&amp;sr=8-1")</f>
        <v>https://www.amazon.com/Zoom-Electric-Guitar-G1X-FOUR/dp/B07MZPR5GP/ref=sr_1_1?keywords=Effects&amp;qid=1695258881&amp;sr=8-1</v>
      </c>
      <c r="F1163" t="s">
        <v>2465</v>
      </c>
      <c r="G1163" t="e">
        <f ca="1">IMAGE("https://mbrstore.com/wp-content/uploads/2022/03/01526_ProtectionShieldEye_30ml-copy-460x460.jpg")</f>
        <v>#NAME?</v>
      </c>
      <c r="H1163" t="e">
        <f t="shared" ca="1" si="12"/>
        <v>#NAME?</v>
      </c>
      <c r="I1163" t="s">
        <v>2601</v>
      </c>
      <c r="J1163">
        <v>119.99</v>
      </c>
      <c r="K1163" s="2" t="s">
        <v>2643</v>
      </c>
      <c r="L1163">
        <v>4.5</v>
      </c>
      <c r="M1163">
        <v>6902</v>
      </c>
      <c r="O1163" t="s">
        <v>26</v>
      </c>
      <c r="P1163" t="s">
        <v>39</v>
      </c>
      <c r="Q1163" t="s">
        <v>2603</v>
      </c>
    </row>
    <row r="1164" spans="1:17" ht="15.75" x14ac:dyDescent="0.25">
      <c r="A1164" s="3" t="str">
        <f>HYPERLINK("https://mbrstore.com/products/after-sun-liquid-mask/", "https://mbrstore.com/products/after-sun-liquid-mask/")</f>
        <v>https://mbrstore.com/products/after-sun-liquid-mask/</v>
      </c>
      <c r="B1164" s="3" t="str">
        <f>HYPERLINK("https://mbrstore.com/products/after-sun-liquid-mask/", "https://mbrstore.com/products/after-sun-liquid-mask/")</f>
        <v>https://mbrstore.com/products/after-sun-liquid-mask/</v>
      </c>
      <c r="C1164" t="s">
        <v>2453</v>
      </c>
      <c r="D1164" t="s">
        <v>2464</v>
      </c>
      <c r="E1164" s="3" t="str">
        <f>HYPERLINK("https://www.amazon.com/Zoom-Electric-Guitar-G1X-FOUR/dp/B07MZPR5GP/ref=sr_1_1?keywords=Effects&amp;qid=1695258877&amp;sr=8-1", "https://www.amazon.com/Zoom-Electric-Guitar-G1X-FOUR/dp/B07MZPR5GP/ref=sr_1_1?keywords=Effects&amp;qid=1695258877&amp;sr=8-1")</f>
        <v>https://www.amazon.com/Zoom-Electric-Guitar-G1X-FOUR/dp/B07MZPR5GP/ref=sr_1_1?keywords=Effects&amp;qid=1695258877&amp;sr=8-1</v>
      </c>
      <c r="F1164" t="s">
        <v>2465</v>
      </c>
      <c r="G1164" t="e">
        <f ca="1">IMAGE("https://mbrstore.com/wp-content/uploads/2023/06/01833_AfterSUNLiquidMask-Large-460x460.png")</f>
        <v>#NAME?</v>
      </c>
      <c r="H1164" t="e">
        <f t="shared" ca="1" si="12"/>
        <v>#NAME?</v>
      </c>
      <c r="I1164" t="s">
        <v>2601</v>
      </c>
      <c r="J1164">
        <v>119.99</v>
      </c>
      <c r="K1164" s="2" t="s">
        <v>2643</v>
      </c>
      <c r="L1164">
        <v>4.5</v>
      </c>
      <c r="M1164">
        <v>6902</v>
      </c>
      <c r="O1164" t="s">
        <v>26</v>
      </c>
      <c r="P1164" t="s">
        <v>39</v>
      </c>
      <c r="Q1164" t="s">
        <v>2604</v>
      </c>
    </row>
    <row r="1165" spans="1:17" ht="15.75" x14ac:dyDescent="0.25">
      <c r="A1165" s="3" t="str">
        <f>HYPERLINK("https://mbrstore.com/products/after-sun-cream-mask/", "https://mbrstore.com/products/after-sun-cream-mask/")</f>
        <v>https://mbrstore.com/products/after-sun-cream-mask/</v>
      </c>
      <c r="B1165" s="3" t="str">
        <f>HYPERLINK("https://mbrstore.com/products/after-sun-cream-mask/", "https://mbrstore.com/products/after-sun-cream-mask/")</f>
        <v>https://mbrstore.com/products/after-sun-cream-mask/</v>
      </c>
      <c r="C1165" t="s">
        <v>2453</v>
      </c>
      <c r="D1165" t="s">
        <v>2464</v>
      </c>
      <c r="E1165" s="3" t="str">
        <f>HYPERLINK("https://www.amazon.com/Zoom-Electric-Guitar-G1X-FOUR/dp/B07MZPR5GP/ref=sr_1_1?keywords=Effects&amp;qid=1695258889&amp;sr=8-1", "https://www.amazon.com/Zoom-Electric-Guitar-G1X-FOUR/dp/B07MZPR5GP/ref=sr_1_1?keywords=Effects&amp;qid=1695258889&amp;sr=8-1")</f>
        <v>https://www.amazon.com/Zoom-Electric-Guitar-G1X-FOUR/dp/B07MZPR5GP/ref=sr_1_1?keywords=Effects&amp;qid=1695258889&amp;sr=8-1</v>
      </c>
      <c r="F1165" t="s">
        <v>2465</v>
      </c>
      <c r="G1165" t="e">
        <f ca="1">IMAGE("https://mbrstore.com/wp-content/uploads/2023/05/01834_AfterSunCreamMask_100ml-460x460.png")</f>
        <v>#NAME?</v>
      </c>
      <c r="H1165" t="e">
        <f t="shared" ca="1" si="12"/>
        <v>#NAME?</v>
      </c>
      <c r="I1165" t="s">
        <v>2601</v>
      </c>
      <c r="J1165">
        <v>119.99</v>
      </c>
      <c r="K1165" s="2" t="s">
        <v>2643</v>
      </c>
      <c r="L1165">
        <v>4.5</v>
      </c>
      <c r="M1165">
        <v>6902</v>
      </c>
      <c r="O1165" t="s">
        <v>26</v>
      </c>
      <c r="P1165" t="s">
        <v>39</v>
      </c>
      <c r="Q1165" t="s">
        <v>2644</v>
      </c>
    </row>
    <row r="1166" spans="1:17" ht="15.75" x14ac:dyDescent="0.25">
      <c r="A1166" s="3" t="str">
        <f>HYPERLINK("https://mbrstore.com/products/skin-lightening-serum/", "https://mbrstore.com/products/skin-lightening-serum/")</f>
        <v>https://mbrstore.com/products/skin-lightening-serum/</v>
      </c>
      <c r="B1166" s="3" t="str">
        <f>HYPERLINK("https://mbrstore.com/products/skin-lightening-serum/", "https://mbrstore.com/products/skin-lightening-serum/")</f>
        <v>https://mbrstore.com/products/skin-lightening-serum/</v>
      </c>
      <c r="C1166" t="s">
        <v>2453</v>
      </c>
      <c r="D1166" t="s">
        <v>2464</v>
      </c>
      <c r="E1166" s="3" t="str">
        <f>HYPERLINK("https://www.amazon.com/Zoom-Electric-Guitar-G1X-FOUR/dp/B07MZPR5GP/ref=sr_1_4?keywords=Effects&amp;qid=1695258881&amp;sr=8-4", "https://www.amazon.com/Zoom-Electric-Guitar-G1X-FOUR/dp/B07MZPR5GP/ref=sr_1_4?keywords=Effects&amp;qid=1695258881&amp;sr=8-4")</f>
        <v>https://www.amazon.com/Zoom-Electric-Guitar-G1X-FOUR/dp/B07MZPR5GP/ref=sr_1_4?keywords=Effects&amp;qid=1695258881&amp;sr=8-4</v>
      </c>
      <c r="F1166" t="s">
        <v>2465</v>
      </c>
      <c r="G1166" t="e">
        <f ca="1">IMAGE("https://mbrstore.com/wp-content/uploads/2022/03/01225_Skin_Lightening_Serum_30ml-copy-460x460.jpg")</f>
        <v>#NAME?</v>
      </c>
      <c r="H1166" t="e">
        <f t="shared" ca="1" si="12"/>
        <v>#NAME?</v>
      </c>
      <c r="I1166" t="s">
        <v>2601</v>
      </c>
      <c r="J1166">
        <v>119.99</v>
      </c>
      <c r="K1166" s="2" t="s">
        <v>2643</v>
      </c>
      <c r="L1166">
        <v>4.5</v>
      </c>
      <c r="M1166">
        <v>6902</v>
      </c>
      <c r="O1166" t="s">
        <v>26</v>
      </c>
      <c r="P1166" t="s">
        <v>39</v>
      </c>
      <c r="Q1166" t="s">
        <v>2605</v>
      </c>
    </row>
    <row r="1167" spans="1:17" ht="15.75" x14ac:dyDescent="0.25">
      <c r="A1167" s="3" t="str">
        <f>HYPERLINK("https://mbrstore.com/products/cell-power-neck-decollete-cream/", "https://mbrstore.com/products/cell-power-neck-decollete-cream/")</f>
        <v>https://mbrstore.com/products/cell-power-neck-decollete-cream/</v>
      </c>
      <c r="B1167" s="3" t="str">
        <f>HYPERLINK("https://mbrstore.com/products/cell-power-neck-decollete-cream/", "https://mbrstore.com/products/cell-power-neck-decollete-cream/")</f>
        <v>https://mbrstore.com/products/cell-power-neck-decollete-cream/</v>
      </c>
      <c r="C1167" t="s">
        <v>2453</v>
      </c>
      <c r="D1167" t="s">
        <v>2464</v>
      </c>
      <c r="E1167" s="3" t="str">
        <f>HYPERLINK("https://www.amazon.com/Zoom-Electric-Guitar-G1X-FOUR/dp/B07MZPR5GP/ref=sr_1_1?keywords=Effects&amp;qid=1695258887&amp;sr=8-1", "https://www.amazon.com/Zoom-Electric-Guitar-G1X-FOUR/dp/B07MZPR5GP/ref=sr_1_1?keywords=Effects&amp;qid=1695258887&amp;sr=8-1")</f>
        <v>https://www.amazon.com/Zoom-Electric-Guitar-G1X-FOUR/dp/B07MZPR5GP/ref=sr_1_1?keywords=Effects&amp;qid=1695258887&amp;sr=8-1</v>
      </c>
      <c r="F1167" t="s">
        <v>2465</v>
      </c>
      <c r="G1167" t="e">
        <f ca="1">IMAGE("https://mbrstore.com/wp-content/uploads/2022/03/01611_Neck_And_Decoltee_Cream_100ml-copy-460x460.jpg")</f>
        <v>#NAME?</v>
      </c>
      <c r="H1167" t="e">
        <f t="shared" ca="1" si="12"/>
        <v>#NAME?</v>
      </c>
      <c r="I1167" t="s">
        <v>2601</v>
      </c>
      <c r="J1167">
        <v>119.99</v>
      </c>
      <c r="K1167" s="2" t="s">
        <v>2643</v>
      </c>
      <c r="L1167">
        <v>4.5</v>
      </c>
      <c r="M1167">
        <v>6902</v>
      </c>
      <c r="O1167" t="s">
        <v>26</v>
      </c>
      <c r="P1167" t="s">
        <v>39</v>
      </c>
      <c r="Q1167" t="s">
        <v>2607</v>
      </c>
    </row>
    <row r="1168" spans="1:17" ht="15.75" x14ac:dyDescent="0.25">
      <c r="A1168" s="3" t="str">
        <f>HYPERLINK("https://mbrstore.com/products/cell-power-lipo-peel/", "https://mbrstore.com/products/cell-power-lipo-peel/")</f>
        <v>https://mbrstore.com/products/cell-power-lipo-peel/</v>
      </c>
      <c r="B1168" s="3" t="str">
        <f>HYPERLINK("https://mbrstore.com/products/cell-power-lipo-peel/", "https://mbrstore.com/products/cell-power-lipo-peel/")</f>
        <v>https://mbrstore.com/products/cell-power-lipo-peel/</v>
      </c>
      <c r="C1168" t="s">
        <v>2453</v>
      </c>
      <c r="D1168" t="s">
        <v>2508</v>
      </c>
      <c r="E1168" s="3" t="str">
        <f>HYPERLINK("https://www.amazon.com/Westmore-Beauty-Tightening-Temporarily-Puffiness/dp/B07BYG7D2V/ref=sr_1_3?keywords=Effects&amp;qid=1695258869&amp;sr=8-3", "https://www.amazon.com/Westmore-Beauty-Tightening-Temporarily-Puffiness/dp/B07BYG7D2V/ref=sr_1_3?keywords=Effects&amp;qid=1695258869&amp;sr=8-3")</f>
        <v>https://www.amazon.com/Westmore-Beauty-Tightening-Temporarily-Puffiness/dp/B07BYG7D2V/ref=sr_1_3?keywords=Effects&amp;qid=1695258869&amp;sr=8-3</v>
      </c>
      <c r="F1168" t="s">
        <v>2509</v>
      </c>
      <c r="G1168" t="e">
        <f ca="1">IMAGE("https://mbrstore.com/wp-content/uploads/2022/03/01614_LipoPeel_200ml-copy-460x460.jpg")</f>
        <v>#NAME?</v>
      </c>
      <c r="H1168" t="e">
        <f ca="1">IMAGE("https://m.media-amazon.com/images/I/51YkzEMtyCL._AC_UL320_.jpg")</f>
        <v>#NAME?</v>
      </c>
      <c r="I1168" t="s">
        <v>2498</v>
      </c>
      <c r="J1168">
        <v>43.45</v>
      </c>
      <c r="K1168" s="2" t="s">
        <v>2645</v>
      </c>
      <c r="L1168">
        <v>3.6</v>
      </c>
      <c r="M1168">
        <v>1214</v>
      </c>
      <c r="O1168" t="s">
        <v>26</v>
      </c>
      <c r="P1168" t="s">
        <v>39</v>
      </c>
      <c r="Q1168" t="s">
        <v>2500</v>
      </c>
    </row>
    <row r="1169" spans="1:17" ht="15.75" x14ac:dyDescent="0.25">
      <c r="A1169" s="3" t="str">
        <f>HYPERLINK("https://mbrstore.com/products/basic-lip-id/", "https://mbrstore.com/products/basic-lip-id/")</f>
        <v>https://mbrstore.com/products/basic-lip-id/</v>
      </c>
      <c r="B1169" s="3" t="str">
        <f>HYPERLINK("https://mbrstore.com/products/basic-lip-id/", "https://mbrstore.com/products/basic-lip-id/")</f>
        <v>https://mbrstore.com/products/basic-lip-id/</v>
      </c>
      <c r="C1169" t="s">
        <v>2453</v>
      </c>
      <c r="D1169" t="s">
        <v>2646</v>
      </c>
      <c r="E1169" s="3" t="str">
        <f>HYPERLINK("https://www.amazon.com/Clinical-Effects-All-Natural-Supplement-Digestive/dp/B08QDMGYV2/ref=sr_1_8?keywords=Effects&amp;qid=1695258872&amp;sr=8-8", "https://www.amazon.com/Clinical-Effects-All-Natural-Supplement-Digestive/dp/B08QDMGYV2/ref=sr_1_8?keywords=Effects&amp;qid=1695258872&amp;sr=8-8")</f>
        <v>https://www.amazon.com/Clinical-Effects-All-Natural-Supplement-Digestive/dp/B08QDMGYV2/ref=sr_1_8?keywords=Effects&amp;qid=1695258872&amp;sr=8-8</v>
      </c>
      <c r="F1169" t="s">
        <v>2647</v>
      </c>
      <c r="G1169" t="e">
        <f ca="1">IMAGE("https://mbrstore.com/wp-content/uploads/2022/03/01228_BasicLipID_7-5ml-copy-460x460.jpg")</f>
        <v>#NAME?</v>
      </c>
      <c r="H1169" t="e">
        <f ca="1">IMAGE("https://m.media-amazon.com/images/I/71nmXZe49eL._AC_UL320_.jpg")</f>
        <v>#NAME?</v>
      </c>
      <c r="I1169" t="s">
        <v>2482</v>
      </c>
      <c r="J1169">
        <v>35</v>
      </c>
      <c r="K1169" s="2" t="s">
        <v>2648</v>
      </c>
      <c r="L1169">
        <v>4.4000000000000004</v>
      </c>
      <c r="M1169">
        <v>200</v>
      </c>
      <c r="O1169" t="s">
        <v>26</v>
      </c>
      <c r="P1169" t="s">
        <v>39</v>
      </c>
      <c r="Q1169" t="s">
        <v>2484</v>
      </c>
    </row>
    <row r="1170" spans="1:17" ht="15.75" x14ac:dyDescent="0.25">
      <c r="A1170" s="3" t="str">
        <f>HYPERLINK("https://mbrstore.com/products/optimal-lift-serum/", "https://mbrstore.com/products/optimal-lift-serum/")</f>
        <v>https://mbrstore.com/products/optimal-lift-serum/</v>
      </c>
      <c r="B1170" s="3" t="str">
        <f>HYPERLINK("https://mbrstore.com/products/optimal-lift-serum/", "https://mbrstore.com/products/optimal-lift-serum/")</f>
        <v>https://mbrstore.com/products/optimal-lift-serum/</v>
      </c>
      <c r="C1170" t="s">
        <v>2453</v>
      </c>
      <c r="D1170" t="s">
        <v>2464</v>
      </c>
      <c r="E1170" s="3" t="str">
        <f>HYPERLINK("https://www.amazon.com/Zoom-Electric-Guitar-G1X-FOUR/dp/B07MZPR5GP/ref=sr_1_1?keywords=Effects&amp;qid=1695258881&amp;sr=8-1", "https://www.amazon.com/Zoom-Electric-Guitar-G1X-FOUR/dp/B07MZPR5GP/ref=sr_1_1?keywords=Effects&amp;qid=1695258881&amp;sr=8-1")</f>
        <v>https://www.amazon.com/Zoom-Electric-Guitar-G1X-FOUR/dp/B07MZPR5GP/ref=sr_1_1?keywords=Effects&amp;qid=1695258881&amp;sr=8-1</v>
      </c>
      <c r="F1170" t="s">
        <v>2465</v>
      </c>
      <c r="G1170" t="e">
        <f ca="1">IMAGE("https://mbrstore.com/wp-content/uploads/2022/03/01224_OptimalLiftSerum_30ml-copy-460x460.jpg")</f>
        <v>#NAME?</v>
      </c>
      <c r="H1170" t="e">
        <f ca="1">IMAGE("https://m.media-amazon.com/images/I/81lPUPAo-SL._AC_UL320_.jpg")</f>
        <v>#NAME?</v>
      </c>
      <c r="I1170" t="s">
        <v>2610</v>
      </c>
      <c r="J1170">
        <v>119.99</v>
      </c>
      <c r="K1170" s="2" t="s">
        <v>2649</v>
      </c>
      <c r="L1170">
        <v>4.5</v>
      </c>
      <c r="M1170">
        <v>6902</v>
      </c>
      <c r="O1170" t="s">
        <v>26</v>
      </c>
      <c r="P1170" t="s">
        <v>39</v>
      </c>
      <c r="Q1170" t="s">
        <v>2612</v>
      </c>
    </row>
    <row r="1171" spans="1:17" ht="15.75" x14ac:dyDescent="0.25">
      <c r="A1171" s="3" t="str">
        <f>HYPERLINK("https://mbrstore.com/products/beta-enzyme/", "https://mbrstore.com/products/beta-enzyme/")</f>
        <v>https://mbrstore.com/products/beta-enzyme/</v>
      </c>
      <c r="B1171" s="3" t="str">
        <f>HYPERLINK("https://mbrstore.com/products/beta-enzyme/", "https://mbrstore.com/products/beta-enzyme/")</f>
        <v>https://mbrstore.com/products/beta-enzyme/</v>
      </c>
      <c r="C1171" t="s">
        <v>2453</v>
      </c>
      <c r="D1171" t="s">
        <v>2508</v>
      </c>
      <c r="E1171" s="3" t="str">
        <f>HYPERLINK("https://www.amazon.com/Westmore-Beauty-Tightening-Temporarily-Puffiness/dp/B07BYG7D2V/ref=sr_1_7?keywords=Effects&amp;qid=1695258869&amp;sr=8-7", "https://www.amazon.com/Westmore-Beauty-Tightening-Temporarily-Puffiness/dp/B07BYG7D2V/ref=sr_1_7?keywords=Effects&amp;qid=1695258869&amp;sr=8-7")</f>
        <v>https://www.amazon.com/Westmore-Beauty-Tightening-Temporarily-Puffiness/dp/B07BYG7D2V/ref=sr_1_7?keywords=Effects&amp;qid=1695258869&amp;sr=8-7</v>
      </c>
      <c r="F1171" t="s">
        <v>2509</v>
      </c>
      <c r="G1171" t="e">
        <f ca="1">IMAGE("https://mbrstore.com/wp-content/uploads/2022/03/01121_BetaEnzyme_30ml-copy-460x460.jpg")</f>
        <v>#NAME?</v>
      </c>
      <c r="H1171" t="e">
        <f ca="1">IMAGE("https://m.media-amazon.com/images/I/51YkzEMtyCL._AC_UL320_.jpg")</f>
        <v>#NAME?</v>
      </c>
      <c r="I1171" t="s">
        <v>2501</v>
      </c>
      <c r="J1171">
        <v>43.45</v>
      </c>
      <c r="K1171" s="2" t="s">
        <v>2650</v>
      </c>
      <c r="L1171">
        <v>3.6</v>
      </c>
      <c r="M1171">
        <v>1214</v>
      </c>
      <c r="O1171" t="s">
        <v>26</v>
      </c>
      <c r="P1171" t="s">
        <v>39</v>
      </c>
      <c r="Q1171" t="s">
        <v>2503</v>
      </c>
    </row>
    <row r="1172" spans="1:17" ht="15.75" x14ac:dyDescent="0.25">
      <c r="A1172" s="3" t="str">
        <f>HYPERLINK("https://mbrstore.com/products/continueline-protection-shield-mask/", "https://mbrstore.com/products/continueline-protection-shield-mask/")</f>
        <v>https://mbrstore.com/products/continueline-protection-shield-mask/</v>
      </c>
      <c r="B1172" s="3" t="str">
        <f>HYPERLINK("https://mbrstore.com/products/continueline-protection-shield-mask/", "https://mbrstore.com/products/continueline-protection-shield-mask/")</f>
        <v>https://mbrstore.com/products/continueline-protection-shield-mask/</v>
      </c>
      <c r="C1172" t="s">
        <v>2453</v>
      </c>
      <c r="D1172" t="s">
        <v>2464</v>
      </c>
      <c r="E1172" s="3" t="str">
        <f>HYPERLINK("https://www.amazon.com/Zoom-Electric-Guitar-G1X-FOUR/dp/B07MZPR5GP/ref=sr_1_4?keywords=Effects&amp;qid=1695258878&amp;sr=8-4", "https://www.amazon.com/Zoom-Electric-Guitar-G1X-FOUR/dp/B07MZPR5GP/ref=sr_1_4?keywords=Effects&amp;qid=1695258878&amp;sr=8-4")</f>
        <v>https://www.amazon.com/Zoom-Electric-Guitar-G1X-FOUR/dp/B07MZPR5GP/ref=sr_1_4?keywords=Effects&amp;qid=1695258878&amp;sr=8-4</v>
      </c>
      <c r="F1172" t="s">
        <v>2465</v>
      </c>
      <c r="G1172" t="e">
        <f ca="1">IMAGE("https://mbrstore.com/wp-content/uploads/2022/03/01525_ProtectionShieldMask_50ml-copy-460x460.jpg")</f>
        <v>#NAME?</v>
      </c>
      <c r="H1172" t="e">
        <f ca="1">IMAGE("https://m.media-amazon.com/images/I/81lPUPAo-SL._AC_UL320_.jpg")</f>
        <v>#NAME?</v>
      </c>
      <c r="I1172" t="s">
        <v>2614</v>
      </c>
      <c r="J1172">
        <v>119.99</v>
      </c>
      <c r="K1172" s="2" t="s">
        <v>2651</v>
      </c>
      <c r="L1172">
        <v>4.5</v>
      </c>
      <c r="M1172">
        <v>6902</v>
      </c>
      <c r="O1172" t="s">
        <v>26</v>
      </c>
      <c r="P1172" t="s">
        <v>39</v>
      </c>
      <c r="Q1172" t="s">
        <v>2616</v>
      </c>
    </row>
    <row r="1173" spans="1:17" ht="15.75" x14ac:dyDescent="0.25">
      <c r="A1173" s="3" t="str">
        <f>HYPERLINK("https://mbrstore.com/products/the-best-foam-cleanser/", "https://mbrstore.com/products/the-best-foam-cleanser/")</f>
        <v>https://mbrstore.com/products/the-best-foam-cleanser/</v>
      </c>
      <c r="B1173" s="3" t="str">
        <f>HYPERLINK("https://mbrstore.com/products/the-best-foam-cleanser/", "https://mbrstore.com/products/the-best-foam-cleanser/")</f>
        <v>https://mbrstore.com/products/the-best-foam-cleanser/</v>
      </c>
      <c r="C1173" t="s">
        <v>2453</v>
      </c>
      <c r="D1173" t="s">
        <v>2464</v>
      </c>
      <c r="E1173" s="3" t="str">
        <f>HYPERLINK("https://www.amazon.com/Zoom-Electric-Guitar-G1X-FOUR/dp/B07MZPR5GP/ref=sr_1_4?keywords=Effects&amp;qid=1695258869&amp;sr=8-4", "https://www.amazon.com/Zoom-Electric-Guitar-G1X-FOUR/dp/B07MZPR5GP/ref=sr_1_4?keywords=Effects&amp;qid=1695258869&amp;sr=8-4")</f>
        <v>https://www.amazon.com/Zoom-Electric-Guitar-G1X-FOUR/dp/B07MZPR5GP/ref=sr_1_4?keywords=Effects&amp;qid=1695258869&amp;sr=8-4</v>
      </c>
      <c r="F1173" t="s">
        <v>2465</v>
      </c>
      <c r="G1173" t="e">
        <f ca="1">IMAGE("https://mbrstore.com/wp-content/uploads/2023/08/01438_TheBestFoamCleanser_100ml-460x460.png")</f>
        <v>#NAME?</v>
      </c>
      <c r="H1173" t="e">
        <f ca="1">IMAGE("https://m.media-amazon.com/images/I/81lPUPAo-SL._AC_UL320_.jpg")</f>
        <v>#NAME?</v>
      </c>
      <c r="I1173" t="s">
        <v>2617</v>
      </c>
      <c r="J1173">
        <v>119.99</v>
      </c>
      <c r="K1173" s="2" t="s">
        <v>2652</v>
      </c>
      <c r="L1173">
        <v>4.5</v>
      </c>
      <c r="M1173">
        <v>6902</v>
      </c>
      <c r="O1173" t="s">
        <v>26</v>
      </c>
      <c r="P1173" t="s">
        <v>39</v>
      </c>
      <c r="Q1173" t="s">
        <v>2619</v>
      </c>
    </row>
    <row r="1174" spans="1:17" ht="15.75" x14ac:dyDescent="0.25">
      <c r="A1174" s="3" t="str">
        <f>HYPERLINK("https://mbrstore.com/products/enzyme-cleansing-booster/", "https://mbrstore.com/products/enzyme-cleansing-booster/")</f>
        <v>https://mbrstore.com/products/enzyme-cleansing-booster/</v>
      </c>
      <c r="B1174" s="3" t="str">
        <f>HYPERLINK("https://mbrstore.com/products/enzyme-cleansing-booster/", "https://mbrstore.com/products/enzyme-cleansing-booster/")</f>
        <v>https://mbrstore.com/products/enzyme-cleansing-booster/</v>
      </c>
      <c r="C1174" t="s">
        <v>2453</v>
      </c>
      <c r="D1174" t="s">
        <v>2496</v>
      </c>
      <c r="E1174" s="3" t="str">
        <f>HYPERLINK("https://www.amazon.com/Zoom-Multi-Effects-Pedal-B1X-FOUR/dp/B07MZQNKYQ/ref=sr_1_9?keywords=Effects&amp;qid=1695258879&amp;sr=8-9", "https://www.amazon.com/Zoom-Multi-Effects-Pedal-B1X-FOUR/dp/B07MZQNKYQ/ref=sr_1_9?keywords=Effects&amp;qid=1695258879&amp;sr=8-9")</f>
        <v>https://www.amazon.com/Zoom-Multi-Effects-Pedal-B1X-FOUR/dp/B07MZQNKYQ/ref=sr_1_9?keywords=Effects&amp;qid=1695258879&amp;sr=8-9</v>
      </c>
      <c r="F1174" t="s">
        <v>2497</v>
      </c>
      <c r="G1174" t="e">
        <f ca="1">IMAGE("https://mbrstore.com/wp-content/uploads/2022/03/01400_EnzymeCleansingBooster_80g_1221-copy-460x460.jpg")</f>
        <v>#NAME?</v>
      </c>
      <c r="H1174" t="e">
        <f ca="1">IMAGE("https://m.media-amazon.com/images/I/81cA-alqJnL._AC_UL320_.jpg")</f>
        <v>#NAME?</v>
      </c>
      <c r="I1174" t="s">
        <v>2620</v>
      </c>
      <c r="J1174">
        <v>119.99</v>
      </c>
      <c r="K1174" s="2" t="s">
        <v>2653</v>
      </c>
      <c r="L1174">
        <v>4.5999999999999996</v>
      </c>
      <c r="M1174">
        <v>1484</v>
      </c>
      <c r="O1174" t="s">
        <v>26</v>
      </c>
      <c r="P1174" t="s">
        <v>39</v>
      </c>
      <c r="Q1174" t="s">
        <v>2622</v>
      </c>
    </row>
    <row r="1175" spans="1:17" ht="15.75" x14ac:dyDescent="0.25">
      <c r="A1175" s="3" t="str">
        <f>HYPERLINK("https://mbrstore.com/products/enzyme-cleansing-booster/", "https://mbrstore.com/products/enzyme-cleansing-booster/")</f>
        <v>https://mbrstore.com/products/enzyme-cleansing-booster/</v>
      </c>
      <c r="B1175" s="3" t="str">
        <f>HYPERLINK("https://mbrstore.com/products/enzyme-cleansing-booster/", "https://mbrstore.com/products/enzyme-cleansing-booster/")</f>
        <v>https://mbrstore.com/products/enzyme-cleansing-booster/</v>
      </c>
      <c r="C1175" t="s">
        <v>2453</v>
      </c>
      <c r="D1175" t="s">
        <v>2464</v>
      </c>
      <c r="E1175" s="3" t="str">
        <f>HYPERLINK("https://www.amazon.com/Zoom-Electric-Guitar-G1X-FOUR/dp/B07MZPR5GP/ref=sr_1_4?keywords=Effects&amp;qid=1695258879&amp;sr=8-4", "https://www.amazon.com/Zoom-Electric-Guitar-G1X-FOUR/dp/B07MZPR5GP/ref=sr_1_4?keywords=Effects&amp;qid=1695258879&amp;sr=8-4")</f>
        <v>https://www.amazon.com/Zoom-Electric-Guitar-G1X-FOUR/dp/B07MZPR5GP/ref=sr_1_4?keywords=Effects&amp;qid=1695258879&amp;sr=8-4</v>
      </c>
      <c r="F1175" t="s">
        <v>2465</v>
      </c>
      <c r="G1175" t="e">
        <f ca="1">IMAGE("https://mbrstore.com/wp-content/uploads/2022/03/01400_EnzymeCleansingBooster_80g_1221-copy-460x460.jpg")</f>
        <v>#NAME?</v>
      </c>
      <c r="H1175" t="e">
        <f ca="1">IMAGE("https://m.media-amazon.com/images/I/81lPUPAo-SL._AC_UL320_.jpg")</f>
        <v>#NAME?</v>
      </c>
      <c r="I1175" t="s">
        <v>2620</v>
      </c>
      <c r="J1175">
        <v>119.99</v>
      </c>
      <c r="K1175" s="2" t="s">
        <v>2653</v>
      </c>
      <c r="L1175">
        <v>4.5</v>
      </c>
      <c r="M1175">
        <v>6902</v>
      </c>
      <c r="O1175" t="s">
        <v>26</v>
      </c>
      <c r="P1175" t="s">
        <v>39</v>
      </c>
      <c r="Q1175" t="s">
        <v>2622</v>
      </c>
    </row>
    <row r="1176" spans="1:17" ht="15.75" x14ac:dyDescent="0.25">
      <c r="A1176" s="3" t="str">
        <f>HYPERLINK("https://mbrstore.com/products/two-in-one-cleanser/", "https://mbrstore.com/products/two-in-one-cleanser/")</f>
        <v>https://mbrstore.com/products/two-in-one-cleanser/</v>
      </c>
      <c r="B1176" s="3" t="str">
        <f>HYPERLINK("https://mbrstore.com/products/two-in-one-cleanser/", "https://mbrstore.com/products/two-in-one-cleanser/")</f>
        <v>https://mbrstore.com/products/two-in-one-cleanser/</v>
      </c>
      <c r="C1176" t="s">
        <v>2453</v>
      </c>
      <c r="D1176" t="s">
        <v>2515</v>
      </c>
      <c r="E1176" s="3" t="str">
        <f>HYPERLINK("https://www.amazon.com/Crest-Professional-Whitestrips-Whitening-Treatments/dp/B00AHAWWO0/ref=sr_1_10?keywords=Effects&amp;qid=1695258878&amp;sr=8-10", "https://www.amazon.com/Crest-Professional-Whitestrips-Whitening-Treatments/dp/B00AHAWWO0/ref=sr_1_10?keywords=Effects&amp;qid=1695258878&amp;sr=8-10")</f>
        <v>https://www.amazon.com/Crest-Professional-Whitestrips-Whitening-Treatments/dp/B00AHAWWO0/ref=sr_1_10?keywords=Effects&amp;qid=1695258878&amp;sr=8-10</v>
      </c>
      <c r="F1176" t="s">
        <v>2516</v>
      </c>
      <c r="G1176" t="e">
        <f ca="1">IMAGE("https://mbrstore.com/wp-content/uploads/2022/03/01102_Two_In_One_Cleanser_200ml-copy-460x460.jpg")</f>
        <v>#NAME?</v>
      </c>
      <c r="H1176" t="e">
        <f ca="1">IMAGE("https://m.media-amazon.com/images/I/61IylKAap-L._AC_UL320_.jpg")</f>
        <v>#NAME?</v>
      </c>
      <c r="I1176" t="s">
        <v>2512</v>
      </c>
      <c r="J1176">
        <v>45.99</v>
      </c>
      <c r="K1176" s="2" t="s">
        <v>2654</v>
      </c>
      <c r="L1176">
        <v>4.5999999999999996</v>
      </c>
      <c r="M1176">
        <v>112972</v>
      </c>
      <c r="O1176" t="s">
        <v>26</v>
      </c>
      <c r="P1176" t="s">
        <v>39</v>
      </c>
      <c r="Q1176" t="s">
        <v>2514</v>
      </c>
    </row>
    <row r="1177" spans="1:17" ht="15.75" x14ac:dyDescent="0.25">
      <c r="A1177" s="3" t="str">
        <f>HYPERLINK("https://mbrstore.com/products/the-best-foot/", "https://mbrstore.com/products/the-best-foot/")</f>
        <v>https://mbrstore.com/products/the-best-foot/</v>
      </c>
      <c r="B1177" s="3" t="str">
        <f>HYPERLINK("https://mbrstore.com/products/the-best-foot/", "https://mbrstore.com/products/the-best-foot/")</f>
        <v>https://mbrstore.com/products/the-best-foot/</v>
      </c>
      <c r="C1177" t="s">
        <v>2453</v>
      </c>
      <c r="D1177" t="s">
        <v>2464</v>
      </c>
      <c r="E1177" s="3" t="str">
        <f>HYPERLINK("https://www.amazon.com/Zoom-Electric-Guitar-G1X-FOUR/dp/B07MZPR5GP/ref=sr_1_1?keywords=Effects&amp;qid=1695258892&amp;sr=8-1", "https://www.amazon.com/Zoom-Electric-Guitar-G1X-FOUR/dp/B07MZPR5GP/ref=sr_1_1?keywords=Effects&amp;qid=1695258892&amp;sr=8-1")</f>
        <v>https://www.amazon.com/Zoom-Electric-Guitar-G1X-FOUR/dp/B07MZPR5GP/ref=sr_1_1?keywords=Effects&amp;qid=1695258892&amp;sr=8-1</v>
      </c>
      <c r="F1177" t="s">
        <v>2465</v>
      </c>
      <c r="G1177" t="e">
        <f ca="1">IMAGE("https://mbrstore.com/wp-content/uploads/2022/12/01458_TheBestFoot_100ml_01-460x460.png")</f>
        <v>#NAME?</v>
      </c>
      <c r="H1177" t="e">
        <f ca="1">IMAGE("https://m.media-amazon.com/images/I/81lPUPAo-SL._AC_UL320_.jpg")</f>
        <v>#NAME?</v>
      </c>
      <c r="I1177" t="s">
        <v>2524</v>
      </c>
      <c r="J1177">
        <v>119.99</v>
      </c>
      <c r="K1177" s="2" t="s">
        <v>2655</v>
      </c>
      <c r="L1177">
        <v>4.5</v>
      </c>
      <c r="M1177">
        <v>6902</v>
      </c>
      <c r="O1177" t="s">
        <v>26</v>
      </c>
      <c r="P1177" t="s">
        <v>39</v>
      </c>
      <c r="Q1177" t="s">
        <v>2526</v>
      </c>
    </row>
    <row r="1178" spans="1:17" ht="15.75" x14ac:dyDescent="0.25">
      <c r="A1178" s="3" t="str">
        <f>HYPERLINK("https://mbrstore.com/products/night-oil/", "https://mbrstore.com/products/night-oil/")</f>
        <v>https://mbrstore.com/products/night-oil/</v>
      </c>
      <c r="B1178" s="3" t="str">
        <f>HYPERLINK("https://mbrstore.com/products/night-oil/", "https://mbrstore.com/products/night-oil/")</f>
        <v>https://mbrstore.com/products/night-oil/</v>
      </c>
      <c r="C1178" t="s">
        <v>2453</v>
      </c>
      <c r="D1178" t="s">
        <v>2464</v>
      </c>
      <c r="E1178" s="3" t="str">
        <f>HYPERLINK("https://www.amazon.com/Zoom-Electric-Guitar-G1X-FOUR/dp/B07MZPR5GP/ref=sr_1_1?keywords=Effects&amp;qid=1695258883&amp;sr=8-1", "https://www.amazon.com/Zoom-Electric-Guitar-G1X-FOUR/dp/B07MZPR5GP/ref=sr_1_1?keywords=Effects&amp;qid=1695258883&amp;sr=8-1")</f>
        <v>https://www.amazon.com/Zoom-Electric-Guitar-G1X-FOUR/dp/B07MZPR5GP/ref=sr_1_1?keywords=Effects&amp;qid=1695258883&amp;sr=8-1</v>
      </c>
      <c r="F1178" t="s">
        <v>2465</v>
      </c>
      <c r="G1178" t="e">
        <f ca="1">IMAGE("https://mbrstore.com/wp-content/uploads/2022/03/01235_NightOil_15ml_1121-460x460.jpg")</f>
        <v>#NAME?</v>
      </c>
      <c r="H1178" t="e">
        <f ca="1">IMAGE("https://m.media-amazon.com/images/I/81lPUPAo-SL._AC_UL320_.jpg")</f>
        <v>#NAME?</v>
      </c>
      <c r="I1178" t="s">
        <v>2524</v>
      </c>
      <c r="J1178">
        <v>119.99</v>
      </c>
      <c r="K1178" s="2" t="s">
        <v>2655</v>
      </c>
      <c r="L1178">
        <v>4.5</v>
      </c>
      <c r="M1178">
        <v>6902</v>
      </c>
      <c r="O1178" t="s">
        <v>26</v>
      </c>
      <c r="P1178" t="s">
        <v>39</v>
      </c>
      <c r="Q1178" t="s">
        <v>2624</v>
      </c>
    </row>
    <row r="1179" spans="1:17" ht="15.75" x14ac:dyDescent="0.25">
      <c r="A1179" s="3" t="str">
        <f>HYPERLINK("https://mbrstore.com/products/night-oil/", "https://mbrstore.com/products/night-oil/")</f>
        <v>https://mbrstore.com/products/night-oil/</v>
      </c>
      <c r="B1179" s="3" t="str">
        <f>HYPERLINK("https://mbrstore.com/products/night-oil/", "https://mbrstore.com/products/night-oil/")</f>
        <v>https://mbrstore.com/products/night-oil/</v>
      </c>
      <c r="C1179" t="s">
        <v>2453</v>
      </c>
      <c r="D1179" t="s">
        <v>2496</v>
      </c>
      <c r="E1179" s="3" t="str">
        <f>HYPERLINK("https://www.amazon.com/Zoom-Multi-Effects-Pedal-B1X-FOUR/dp/B07MZQNKYQ/ref=sr_1_10?keywords=Effects&amp;qid=1695258883&amp;sr=8-10", "https://www.amazon.com/Zoom-Multi-Effects-Pedal-B1X-FOUR/dp/B07MZQNKYQ/ref=sr_1_10?keywords=Effects&amp;qid=1695258883&amp;sr=8-10")</f>
        <v>https://www.amazon.com/Zoom-Multi-Effects-Pedal-B1X-FOUR/dp/B07MZQNKYQ/ref=sr_1_10?keywords=Effects&amp;qid=1695258883&amp;sr=8-10</v>
      </c>
      <c r="F1179" t="s">
        <v>2497</v>
      </c>
      <c r="G1179" t="e">
        <f ca="1">IMAGE("https://mbrstore.com/wp-content/uploads/2022/03/01235_NightOil_15ml_1121-460x460.jpg")</f>
        <v>#NAME?</v>
      </c>
      <c r="H1179" t="e">
        <f ca="1">IMAGE("https://m.media-amazon.com/images/I/81cA-alqJnL._AC_UL320_.jpg")</f>
        <v>#NAME?</v>
      </c>
      <c r="I1179" t="s">
        <v>2524</v>
      </c>
      <c r="J1179">
        <v>119.99</v>
      </c>
      <c r="K1179" s="2" t="s">
        <v>2655</v>
      </c>
      <c r="L1179">
        <v>4.5999999999999996</v>
      </c>
      <c r="M1179">
        <v>1484</v>
      </c>
      <c r="O1179" t="s">
        <v>26</v>
      </c>
      <c r="P1179" t="s">
        <v>39</v>
      </c>
      <c r="Q1179" t="s">
        <v>2624</v>
      </c>
    </row>
    <row r="1180" spans="1:17" ht="15.75" x14ac:dyDescent="0.25">
      <c r="A1180" s="3" t="str">
        <f>HYPERLINK("https://mbrstore.com/products/scalp-reanimation/", "https://mbrstore.com/products/scalp-reanimation/")</f>
        <v>https://mbrstore.com/products/scalp-reanimation/</v>
      </c>
      <c r="B1180" s="3" t="str">
        <f>HYPERLINK("https://mbrstore.com/products/scalp-reanimation/", "https://mbrstore.com/products/scalp-reanimation/")</f>
        <v>https://mbrstore.com/products/scalp-reanimation/</v>
      </c>
      <c r="C1180" t="s">
        <v>2453</v>
      </c>
      <c r="D1180" t="s">
        <v>2464</v>
      </c>
      <c r="E1180" s="3" t="str">
        <f>HYPERLINK("https://www.amazon.com/Zoom-Electric-Guitar-G1X-FOUR/dp/B07MZPR5GP/ref=sr_1_1?keywords=Effects&amp;qid=1695258883&amp;sr=8-1", "https://www.amazon.com/Zoom-Electric-Guitar-G1X-FOUR/dp/B07MZPR5GP/ref=sr_1_1?keywords=Effects&amp;qid=1695258883&amp;sr=8-1")</f>
        <v>https://www.amazon.com/Zoom-Electric-Guitar-G1X-FOUR/dp/B07MZPR5GP/ref=sr_1_1?keywords=Effects&amp;qid=1695258883&amp;sr=8-1</v>
      </c>
      <c r="F1180" t="s">
        <v>2465</v>
      </c>
      <c r="G1180" t="e">
        <f ca="1">IMAGE("https://mbrstore.com/wp-content/uploads/2022/06/01711_ScalpReanimation_100ml-copy-460x460.jpg")</f>
        <v>#NAME?</v>
      </c>
      <c r="H1180" t="e">
        <f ca="1">IMAGE("https://m.media-amazon.com/images/I/81lPUPAo-SL._AC_UL320_.jpg")</f>
        <v>#NAME?</v>
      </c>
      <c r="I1180" t="s">
        <v>2656</v>
      </c>
      <c r="J1180">
        <v>119.99</v>
      </c>
      <c r="K1180" s="2" t="s">
        <v>2657</v>
      </c>
      <c r="L1180">
        <v>4.5</v>
      </c>
      <c r="M1180">
        <v>6902</v>
      </c>
      <c r="O1180" t="s">
        <v>26</v>
      </c>
      <c r="P1180" t="s">
        <v>39</v>
      </c>
      <c r="Q1180" t="s">
        <v>2658</v>
      </c>
    </row>
    <row r="1181" spans="1:17" ht="15.75" x14ac:dyDescent="0.25">
      <c r="A1181" s="3" t="str">
        <f>HYPERLINK("https://mbrstore.com/products/magic-pigments/", "https://mbrstore.com/products/magic-pigments/")</f>
        <v>https://mbrstore.com/products/magic-pigments/</v>
      </c>
      <c r="B1181" s="3" t="str">
        <f>HYPERLINK("https://mbrstore.com/products/magic-pigments/", "https://mbrstore.com/products/magic-pigments/")</f>
        <v>https://mbrstore.com/products/magic-pigments/</v>
      </c>
      <c r="C1181" t="s">
        <v>2453</v>
      </c>
      <c r="D1181" t="s">
        <v>2464</v>
      </c>
      <c r="E1181" s="3" t="str">
        <f>HYPERLINK("https://www.amazon.com/Zoom-Electric-Guitar-G1X-FOUR/dp/B07MZPR5GP/ref=sr_1_4?keywords=Effects&amp;qid=1695258901&amp;sr=8-4", "https://www.amazon.com/Zoom-Electric-Guitar-G1X-FOUR/dp/B07MZPR5GP/ref=sr_1_4?keywords=Effects&amp;qid=1695258901&amp;sr=8-4")</f>
        <v>https://www.amazon.com/Zoom-Electric-Guitar-G1X-FOUR/dp/B07MZPR5GP/ref=sr_1_4?keywords=Effects&amp;qid=1695258901&amp;sr=8-4</v>
      </c>
      <c r="F1181" t="s">
        <v>2465</v>
      </c>
      <c r="G1181" t="e">
        <f ca="1">IMAGE("https://mbrstore.com/wp-content/uploads/2022/03/01450_MagicPigmentsLightMedium_30ml-copy-460x460.jpg")</f>
        <v>#NAME?</v>
      </c>
      <c r="H1181" t="e">
        <f ca="1">IMAGE("https://m.media-amazon.com/images/I/81lPUPAo-SL._AC_UL320_.jpg")</f>
        <v>#NAME?</v>
      </c>
      <c r="I1181" t="s">
        <v>2627</v>
      </c>
      <c r="J1181">
        <v>119.99</v>
      </c>
      <c r="K1181" s="2" t="s">
        <v>2659</v>
      </c>
      <c r="L1181">
        <v>4.5</v>
      </c>
      <c r="M1181">
        <v>6902</v>
      </c>
      <c r="O1181" t="s">
        <v>26</v>
      </c>
      <c r="P1181" t="s">
        <v>39</v>
      </c>
      <c r="Q1181" t="s">
        <v>2629</v>
      </c>
    </row>
    <row r="1182" spans="1:17" ht="15.75" x14ac:dyDescent="0.25">
      <c r="A1182" s="3" t="str">
        <f>HYPERLINK("https://mbrstore.com/products/magic-pigments/", "https://mbrstore.com/products/magic-pigments/")</f>
        <v>https://mbrstore.com/products/magic-pigments/</v>
      </c>
      <c r="B1182" s="3" t="str">
        <f>HYPERLINK("https://mbrstore.com/products/magic-pigments/", "https://mbrstore.com/products/magic-pigments/")</f>
        <v>https://mbrstore.com/products/magic-pigments/</v>
      </c>
      <c r="C1182" t="s">
        <v>2453</v>
      </c>
      <c r="D1182" t="s">
        <v>2496</v>
      </c>
      <c r="E1182" s="3" t="str">
        <f>HYPERLINK("https://www.amazon.com/Zoom-Multi-Effects-Pedal-B1X-FOUR/dp/B07MZQNKYQ/ref=sr_1_9?keywords=Effects&amp;qid=1695258901&amp;sr=8-9", "https://www.amazon.com/Zoom-Multi-Effects-Pedal-B1X-FOUR/dp/B07MZQNKYQ/ref=sr_1_9?keywords=Effects&amp;qid=1695258901&amp;sr=8-9")</f>
        <v>https://www.amazon.com/Zoom-Multi-Effects-Pedal-B1X-FOUR/dp/B07MZQNKYQ/ref=sr_1_9?keywords=Effects&amp;qid=1695258901&amp;sr=8-9</v>
      </c>
      <c r="F1182" t="s">
        <v>2497</v>
      </c>
      <c r="G1182" t="e">
        <f ca="1">IMAGE("https://mbrstore.com/wp-content/uploads/2022/03/01450_MagicPigmentsLightMedium_30ml-copy-460x460.jpg")</f>
        <v>#NAME?</v>
      </c>
      <c r="H1182" t="e">
        <f ca="1">IMAGE("https://m.media-amazon.com/images/I/81cA-alqJnL._AC_UL320_.jpg")</f>
        <v>#NAME?</v>
      </c>
      <c r="I1182" t="s">
        <v>2627</v>
      </c>
      <c r="J1182">
        <v>119.99</v>
      </c>
      <c r="K1182" s="2" t="s">
        <v>2659</v>
      </c>
      <c r="L1182">
        <v>4.5999999999999996</v>
      </c>
      <c r="M1182">
        <v>1484</v>
      </c>
      <c r="O1182" t="s">
        <v>26</v>
      </c>
      <c r="P1182" t="s">
        <v>39</v>
      </c>
      <c r="Q1182" t="s">
        <v>2629</v>
      </c>
    </row>
    <row r="1183" spans="1:17" ht="15.75" x14ac:dyDescent="0.25">
      <c r="A1183" s="3" t="str">
        <f>HYPERLINK("https://mbrstore.com/products/two-in-one-cleanser/", "https://mbrstore.com/products/two-in-one-cleanser/")</f>
        <v>https://mbrstore.com/products/two-in-one-cleanser/</v>
      </c>
      <c r="B1183" s="3" t="str">
        <f>HYPERLINK("https://mbrstore.com/products/two-in-one-cleanser/", "https://mbrstore.com/products/two-in-one-cleanser/")</f>
        <v>https://mbrstore.com/products/two-in-one-cleanser/</v>
      </c>
      <c r="C1183" t="s">
        <v>2453</v>
      </c>
      <c r="D1183" t="s">
        <v>2508</v>
      </c>
      <c r="E1183" s="3" t="str">
        <f>HYPERLINK("https://www.amazon.com/Westmore-Beauty-Tightening-Temporarily-Puffiness/dp/B07BYG7D2V/ref=sr_1_5?keywords=Effects&amp;qid=1695258878&amp;sr=8-5", "https://www.amazon.com/Westmore-Beauty-Tightening-Temporarily-Puffiness/dp/B07BYG7D2V/ref=sr_1_5?keywords=Effects&amp;qid=1695258878&amp;sr=8-5")</f>
        <v>https://www.amazon.com/Westmore-Beauty-Tightening-Temporarily-Puffiness/dp/B07BYG7D2V/ref=sr_1_5?keywords=Effects&amp;qid=1695258878&amp;sr=8-5</v>
      </c>
      <c r="F1183" t="s">
        <v>2509</v>
      </c>
      <c r="G1183" t="e">
        <f ca="1">IMAGE("https://mbrstore.com/wp-content/uploads/2022/03/01102_Two_In_One_Cleanser_200ml-copy-460x460.jpg")</f>
        <v>#NAME?</v>
      </c>
      <c r="H1183" t="e">
        <f ca="1">IMAGE("https://m.media-amazon.com/images/I/51YkzEMtyCL._AC_UL320_.jpg")</f>
        <v>#NAME?</v>
      </c>
      <c r="I1183" t="s">
        <v>2512</v>
      </c>
      <c r="J1183">
        <v>43.45</v>
      </c>
      <c r="K1183" s="2" t="s">
        <v>2660</v>
      </c>
      <c r="L1183">
        <v>3.6</v>
      </c>
      <c r="M1183">
        <v>1214</v>
      </c>
      <c r="O1183" t="s">
        <v>26</v>
      </c>
      <c r="P1183" t="s">
        <v>39</v>
      </c>
      <c r="Q1183" t="s">
        <v>2514</v>
      </c>
    </row>
    <row r="1184" spans="1:17" ht="15.75" x14ac:dyDescent="0.25">
      <c r="A1184" s="3" t="str">
        <f>HYPERLINK("https://mbrstore.com/products/cea-city-sky/", "https://mbrstore.com/products/cea-city-sky/")</f>
        <v>https://mbrstore.com/products/cea-city-sky/</v>
      </c>
      <c r="B1184" s="3" t="str">
        <f>HYPERLINK("https://mbrstore.com/products/cea-city-sky/", "https://mbrstore.com/products/cea-city-sky/")</f>
        <v>https://mbrstore.com/products/cea-city-sky/</v>
      </c>
      <c r="C1184" t="s">
        <v>2453</v>
      </c>
      <c r="D1184" t="s">
        <v>2458</v>
      </c>
      <c r="E1184" s="3" t="str">
        <f>HYPERLINK("https://www.amazon.com/Fender-Mustang-LT-25-Digital-Amplifier/dp/B07N29M92M/ref=sr_1_8?keywords=Effects&amp;qid=1695258928&amp;sr=8-8", "https://www.amazon.com/Fender-Mustang-LT-25-Digital-Amplifier/dp/B07N29M92M/ref=sr_1_8?keywords=Effects&amp;qid=1695258928&amp;sr=8-8")</f>
        <v>https://www.amazon.com/Fender-Mustang-LT-25-Digital-Amplifier/dp/B07N29M92M/ref=sr_1_8?keywords=Effects&amp;qid=1695258928&amp;sr=8-8</v>
      </c>
      <c r="F1184" t="s">
        <v>2459</v>
      </c>
      <c r="G1184" t="e">
        <f ca="1">IMAGE("https://mbrstore.com/wp-content/uploads/2022/03/01240_CitySky_50ml-copy-460x460.jpg")</f>
        <v>#NAME?</v>
      </c>
      <c r="H1184" t="e">
        <f ca="1">IMAGE("https://m.media-amazon.com/images/I/81oKmWyFJPL._AC_UL320_.jpg")</f>
        <v>#NAME?</v>
      </c>
      <c r="I1184" t="s">
        <v>2661</v>
      </c>
      <c r="J1184">
        <v>159.99</v>
      </c>
      <c r="K1184" s="2" t="s">
        <v>2662</v>
      </c>
      <c r="L1184">
        <v>4.8</v>
      </c>
      <c r="M1184">
        <v>3110</v>
      </c>
      <c r="O1184" t="s">
        <v>26</v>
      </c>
      <c r="P1184" t="s">
        <v>39</v>
      </c>
      <c r="Q1184" t="s">
        <v>2663</v>
      </c>
    </row>
    <row r="1185" spans="1:17" ht="15.75" x14ac:dyDescent="0.25">
      <c r="A1185" s="3" t="str">
        <f>HYPERLINK("https://mbrstore.com/products/after-sun-body/", "https://mbrstore.com/products/after-sun-body/")</f>
        <v>https://mbrstore.com/products/after-sun-body/</v>
      </c>
      <c r="B1185" s="3" t="str">
        <f>HYPERLINK("https://mbrstore.com/products/after-sun-body/", "https://mbrstore.com/products/after-sun-body/")</f>
        <v>https://mbrstore.com/products/after-sun-body/</v>
      </c>
      <c r="C1185" t="s">
        <v>2453</v>
      </c>
      <c r="D1185" t="s">
        <v>2598</v>
      </c>
      <c r="E1185" s="3"/>
      <c r="F1185" t="s">
        <v>2599</v>
      </c>
      <c r="G1185" t="e">
        <f ca="1">IMAGE("https://mbrstore.com/wp-content/uploads/2023/05/01831_AfterSUNBody_200ml-460x460.png")</f>
        <v>#NAME?</v>
      </c>
      <c r="H1185" t="e">
        <f ca="1">IMAGE("https://m.media-amazon.com/images/I/51Lhlxd-rJL._AC_UL320_.jpg")</f>
        <v>#NAME?</v>
      </c>
      <c r="I1185" t="s">
        <v>2558</v>
      </c>
      <c r="J1185">
        <v>74</v>
      </c>
      <c r="K1185" s="2" t="s">
        <v>2664</v>
      </c>
      <c r="L1185">
        <v>4.5999999999999996</v>
      </c>
      <c r="M1185">
        <v>449</v>
      </c>
      <c r="O1185" t="s">
        <v>26</v>
      </c>
      <c r="P1185" t="s">
        <v>39</v>
      </c>
      <c r="Q1185" t="s">
        <v>2592</v>
      </c>
    </row>
    <row r="1186" spans="1:17" ht="15.75" x14ac:dyDescent="0.25">
      <c r="A1186" s="3" t="str">
        <f>HYPERLINK("https://mbrstore.com/products/cea-twentyfour-hours-extreme/", "https://mbrstore.com/products/cea-twentyfour-hours-extreme/")</f>
        <v>https://mbrstore.com/products/cea-twentyfour-hours-extreme/</v>
      </c>
      <c r="B1186" s="3" t="str">
        <f>HYPERLINK("https://mbrstore.com/products/cea-twentyfour-hours-extreme/", "https://mbrstore.com/products/cea-twentyfour-hours-extreme/")</f>
        <v>https://mbrstore.com/products/cea-twentyfour-hours-extreme/</v>
      </c>
      <c r="C1186" t="s">
        <v>2453</v>
      </c>
      <c r="D1186" t="s">
        <v>2458</v>
      </c>
      <c r="E1186" s="3" t="str">
        <f>HYPERLINK("https://www.amazon.com/Fender-Mustang-LT-25-Digital-Amplifier/dp/B07N29M92M/ref=sr_1_4?keywords=Effects&amp;qid=1695258887&amp;sr=8-4", "https://www.amazon.com/Fender-Mustang-LT-25-Digital-Amplifier/dp/B07N29M92M/ref=sr_1_4?keywords=Effects&amp;qid=1695258887&amp;sr=8-4")</f>
        <v>https://www.amazon.com/Fender-Mustang-LT-25-Digital-Amplifier/dp/B07N29M92M/ref=sr_1_4?keywords=Effects&amp;qid=1695258887&amp;sr=8-4</v>
      </c>
      <c r="F1186" t="s">
        <v>2459</v>
      </c>
      <c r="G1186" t="e">
        <f ca="1">IMAGE("https://mbrstore.com/wp-content/uploads/2022/03/01241_24HoursExtreme_50ml-copy-460x460.jpg")</f>
        <v>#NAME?</v>
      </c>
      <c r="H1186" t="e">
        <f ca="1">IMAGE("https://m.media-amazon.com/images/I/81oKmWyFJPL._AC_UL320_.jpg")</f>
        <v>#NAME?</v>
      </c>
      <c r="I1186" t="s">
        <v>2555</v>
      </c>
      <c r="J1186">
        <v>159.99</v>
      </c>
      <c r="K1186" s="2" t="s">
        <v>2665</v>
      </c>
      <c r="L1186">
        <v>4.8</v>
      </c>
      <c r="M1186">
        <v>3110</v>
      </c>
      <c r="O1186" t="s">
        <v>26</v>
      </c>
      <c r="P1186" t="s">
        <v>39</v>
      </c>
      <c r="Q1186" t="s">
        <v>2557</v>
      </c>
    </row>
    <row r="1187" spans="1:17" ht="15.75" x14ac:dyDescent="0.25">
      <c r="A1187" s="3" t="str">
        <f>HYPERLINK("https://mbrstore.com/products/hydrating-lifting-toner/", "https://mbrstore.com/products/hydrating-lifting-toner/")</f>
        <v>https://mbrstore.com/products/hydrating-lifting-toner/</v>
      </c>
      <c r="B1187" s="3" t="str">
        <f>HYPERLINK("https://mbrstore.com/products/hydrating-lifting-toner/", "https://mbrstore.com/products/hydrating-lifting-toner/")</f>
        <v>https://mbrstore.com/products/hydrating-lifting-toner/</v>
      </c>
      <c r="C1187" t="s">
        <v>2453</v>
      </c>
      <c r="D1187" t="s">
        <v>2458</v>
      </c>
      <c r="E1187" s="3" t="str">
        <f>HYPERLINK("https://www.amazon.com/Fender-Mustang-LT-25-Digital-Amplifier/dp/B07N29M92M/ref=sr_1_8?keywords=Effects&amp;qid=1695258874&amp;sr=8-8", "https://www.amazon.com/Fender-Mustang-LT-25-Digital-Amplifier/dp/B07N29M92M/ref=sr_1_8?keywords=Effects&amp;qid=1695258874&amp;sr=8-8")</f>
        <v>https://www.amazon.com/Fender-Mustang-LT-25-Digital-Amplifier/dp/B07N29M92M/ref=sr_1_8?keywords=Effects&amp;qid=1695258874&amp;sr=8-8</v>
      </c>
      <c r="F1187" t="s">
        <v>2459</v>
      </c>
      <c r="G1187" t="e">
        <f ca="1">IMAGE("https://mbrstore.com/wp-content/uploads/2022/04/01430_MBR_Hydrating_and_Lifting_Toner_150ml-460x460.jpg")</f>
        <v>#NAME?</v>
      </c>
      <c r="H1187" t="e">
        <f ca="1">IMAGE("https://m.media-amazon.com/images/I/81oKmWyFJPL._AC_UL320_.jpg")</f>
        <v>#NAME?</v>
      </c>
      <c r="I1187" t="s">
        <v>2666</v>
      </c>
      <c r="J1187">
        <v>159.99</v>
      </c>
      <c r="K1187" s="2" t="s">
        <v>2667</v>
      </c>
      <c r="L1187">
        <v>4.8</v>
      </c>
      <c r="M1187">
        <v>3110</v>
      </c>
      <c r="O1187" t="s">
        <v>26</v>
      </c>
      <c r="P1187" t="s">
        <v>39</v>
      </c>
      <c r="Q1187" t="s">
        <v>2668</v>
      </c>
    </row>
    <row r="1188" spans="1:17" ht="15.75" x14ac:dyDescent="0.25">
      <c r="A1188" s="3" t="str">
        <f>HYPERLINK("https://mbrstore.com/products/hair-scalp-booster/", "https://mbrstore.com/products/hair-scalp-booster/")</f>
        <v>https://mbrstore.com/products/hair-scalp-booster/</v>
      </c>
      <c r="B1188" s="3" t="str">
        <f>HYPERLINK("https://mbrstore.com/products/hair-scalp-booster/", "https://mbrstore.com/products/hair-scalp-booster/")</f>
        <v>https://mbrstore.com/products/hair-scalp-booster/</v>
      </c>
      <c r="C1188" t="s">
        <v>2453</v>
      </c>
      <c r="D1188" t="s">
        <v>2458</v>
      </c>
      <c r="E1188" s="3" t="str">
        <f>HYPERLINK("https://www.amazon.com/Fender-Mustang-LT-25-Digital-Amplifier/dp/B07N29M92M/ref=sr_1_3?keywords=Effects&amp;qid=1695258870&amp;sr=8-3", "https://www.amazon.com/Fender-Mustang-LT-25-Digital-Amplifier/dp/B07N29M92M/ref=sr_1_3?keywords=Effects&amp;qid=1695258870&amp;sr=8-3")</f>
        <v>https://www.amazon.com/Fender-Mustang-LT-25-Digital-Amplifier/dp/B07N29M92M/ref=sr_1_3?keywords=Effects&amp;qid=1695258870&amp;sr=8-3</v>
      </c>
      <c r="F1188" t="s">
        <v>2459</v>
      </c>
      <c r="G1188" t="e">
        <f ca="1">IMAGE("https://mbrstore.com/wp-content/uploads/2022/03/01452_HairScalpBooster_5ml_alle-460x460.jpg")</f>
        <v>#NAME?</v>
      </c>
      <c r="H1188" t="e">
        <f ca="1">IMAGE("https://m.media-amazon.com/images/I/81oKmWyFJPL._AC_UL320_.jpg")</f>
        <v>#NAME?</v>
      </c>
      <c r="I1188" t="s">
        <v>2669</v>
      </c>
      <c r="J1188">
        <v>159.99</v>
      </c>
      <c r="K1188" s="2" t="s">
        <v>2670</v>
      </c>
      <c r="L1188">
        <v>4.8</v>
      </c>
      <c r="M1188">
        <v>3110</v>
      </c>
      <c r="O1188" t="s">
        <v>26</v>
      </c>
      <c r="P1188" t="s">
        <v>39</v>
      </c>
      <c r="Q1188" t="s">
        <v>2671</v>
      </c>
    </row>
    <row r="1189" spans="1:17" ht="15.75" x14ac:dyDescent="0.25">
      <c r="A1189" s="3" t="str">
        <f>HYPERLINK("https://mbrstore.com/products/after-sun-body/", "https://mbrstore.com/products/after-sun-body/")</f>
        <v>https://mbrstore.com/products/after-sun-body/</v>
      </c>
      <c r="B1189" s="3" t="str">
        <f>HYPERLINK("https://mbrstore.com/products/after-sun-body/", "https://mbrstore.com/products/after-sun-body/")</f>
        <v>https://mbrstore.com/products/after-sun-body/</v>
      </c>
      <c r="C1189" t="s">
        <v>2453</v>
      </c>
      <c r="D1189" t="s">
        <v>2672</v>
      </c>
      <c r="E1189" s="3"/>
      <c r="F1189" t="s">
        <v>2673</v>
      </c>
      <c r="G1189" t="e">
        <f ca="1">IMAGE("https://mbrstore.com/wp-content/uploads/2023/05/01831_AfterSUNBody_200ml-460x460.png")</f>
        <v>#NAME?</v>
      </c>
      <c r="H1189" t="e">
        <f ca="1">IMAGE("https://m.media-amazon.com/images/I/51OLR7vz0JL._AC_UL320_.jpg")</f>
        <v>#NAME?</v>
      </c>
      <c r="I1189" t="s">
        <v>2558</v>
      </c>
      <c r="J1189">
        <v>68.989999999999995</v>
      </c>
      <c r="K1189" s="2" t="s">
        <v>2674</v>
      </c>
      <c r="L1189">
        <v>5</v>
      </c>
      <c r="M1189">
        <v>9</v>
      </c>
      <c r="O1189" t="s">
        <v>26</v>
      </c>
      <c r="P1189" t="s">
        <v>39</v>
      </c>
      <c r="Q1189" t="s">
        <v>2592</v>
      </c>
    </row>
    <row r="1190" spans="1:17" ht="15.75" x14ac:dyDescent="0.25">
      <c r="A1190" s="3" t="str">
        <f>HYPERLINK("https://mbrstore.com/products/cytoline-face-mask/", "https://mbrstore.com/products/cytoline-face-mask/")</f>
        <v>https://mbrstore.com/products/cytoline-face-mask/</v>
      </c>
      <c r="B1190" s="3" t="str">
        <f>HYPERLINK("https://mbrstore.com/products/cytoline-face-mask/", "https://mbrstore.com/products/cytoline-face-mask/")</f>
        <v>https://mbrstore.com/products/cytoline-face-mask/</v>
      </c>
      <c r="C1190" t="s">
        <v>2453</v>
      </c>
      <c r="D1190" t="s">
        <v>2464</v>
      </c>
      <c r="E1190" s="3" t="str">
        <f>HYPERLINK("https://www.amazon.com/Zoom-Electric-Guitar-G1X-FOUR/dp/B07MZPR5GP/ref=sr_1_4?keywords=Effects&amp;qid=1695258876&amp;sr=8-4", "https://www.amazon.com/Zoom-Electric-Guitar-G1X-FOUR/dp/B07MZPR5GP/ref=sr_1_4?keywords=Effects&amp;qid=1695258876&amp;sr=8-4")</f>
        <v>https://www.amazon.com/Zoom-Electric-Guitar-G1X-FOUR/dp/B07MZPR5GP/ref=sr_1_4?keywords=Effects&amp;qid=1695258876&amp;sr=8-4</v>
      </c>
      <c r="F1190" t="s">
        <v>2465</v>
      </c>
      <c r="G1190" t="e">
        <f ca="1">IMAGE("https://mbrstore.com/wp-content/uploads/2022/03/01305_CytoLineFaceMask100_50ml-copy-460x460.jpg")</f>
        <v>#NAME?</v>
      </c>
      <c r="H1190" t="e">
        <f ca="1">IMAGE("https://m.media-amazon.com/images/I/81lPUPAo-SL._AC_UL320_.jpg")</f>
        <v>#NAME?</v>
      </c>
      <c r="I1190" t="s">
        <v>2638</v>
      </c>
      <c r="J1190">
        <v>119.99</v>
      </c>
      <c r="K1190" s="2" t="s">
        <v>2675</v>
      </c>
      <c r="L1190">
        <v>4.5</v>
      </c>
      <c r="M1190">
        <v>6902</v>
      </c>
      <c r="O1190" t="s">
        <v>26</v>
      </c>
      <c r="P1190" t="s">
        <v>39</v>
      </c>
      <c r="Q1190" t="s">
        <v>2640</v>
      </c>
    </row>
    <row r="1191" spans="1:17" ht="15.75" x14ac:dyDescent="0.25">
      <c r="A1191" s="3" t="str">
        <f>HYPERLINK("https://mbrstore.com/products/cytoline-face-mask/", "https://mbrstore.com/products/cytoline-face-mask/")</f>
        <v>https://mbrstore.com/products/cytoline-face-mask/</v>
      </c>
      <c r="B1191" s="3" t="str">
        <f>HYPERLINK("https://mbrstore.com/products/cytoline-face-mask/", "https://mbrstore.com/products/cytoline-face-mask/")</f>
        <v>https://mbrstore.com/products/cytoline-face-mask/</v>
      </c>
      <c r="C1191" t="s">
        <v>2453</v>
      </c>
      <c r="D1191" t="s">
        <v>2496</v>
      </c>
      <c r="E1191" s="3" t="str">
        <f>HYPERLINK("https://www.amazon.com/Zoom-Multi-Effects-Pedal-B1X-FOUR/dp/B07MZQNKYQ/ref=sr_1_9?keywords=Effects&amp;qid=1695258876&amp;sr=8-9", "https://www.amazon.com/Zoom-Multi-Effects-Pedal-B1X-FOUR/dp/B07MZQNKYQ/ref=sr_1_9?keywords=Effects&amp;qid=1695258876&amp;sr=8-9")</f>
        <v>https://www.amazon.com/Zoom-Multi-Effects-Pedal-B1X-FOUR/dp/B07MZQNKYQ/ref=sr_1_9?keywords=Effects&amp;qid=1695258876&amp;sr=8-9</v>
      </c>
      <c r="F1191" t="s">
        <v>2497</v>
      </c>
      <c r="G1191" t="e">
        <f ca="1">IMAGE("https://mbrstore.com/wp-content/uploads/2022/03/01305_CytoLineFaceMask100_50ml-copy-460x460.jpg")</f>
        <v>#NAME?</v>
      </c>
      <c r="H1191" t="e">
        <f ca="1">IMAGE("https://m.media-amazon.com/images/I/81cA-alqJnL._AC_UL320_.jpg")</f>
        <v>#NAME?</v>
      </c>
      <c r="I1191" t="s">
        <v>2638</v>
      </c>
      <c r="J1191">
        <v>119.99</v>
      </c>
      <c r="K1191" s="2" t="s">
        <v>2675</v>
      </c>
      <c r="L1191">
        <v>4.5999999999999996</v>
      </c>
      <c r="M1191">
        <v>1484</v>
      </c>
      <c r="O1191" t="s">
        <v>26</v>
      </c>
      <c r="P1191" t="s">
        <v>39</v>
      </c>
      <c r="Q1191" t="s">
        <v>2640</v>
      </c>
    </row>
    <row r="1192" spans="1:17" ht="15.75" x14ac:dyDescent="0.25">
      <c r="A1192" s="3" t="str">
        <f>HYPERLINK("https://mbrstore.com/products/eyecare-smoothing-gelmask/", "https://mbrstore.com/products/eyecare-smoothing-gelmask/")</f>
        <v>https://mbrstore.com/products/eyecare-smoothing-gelmask/</v>
      </c>
      <c r="B1192" s="3" t="str">
        <f>HYPERLINK("https://mbrstore.com/products/eyecare-smoothing-gelmask/", "https://mbrstore.com/products/eyecare-smoothing-gelmask/")</f>
        <v>https://mbrstore.com/products/eyecare-smoothing-gelmask/</v>
      </c>
      <c r="C1192" t="s">
        <v>2453</v>
      </c>
      <c r="D1192" t="s">
        <v>2458</v>
      </c>
      <c r="E1192" s="3" t="str">
        <f>HYPERLINK("https://www.amazon.com/Fender-Mustang-LT-25-Digital-Amplifier/dp/B07N29M92M/ref=sr_1_3?keywords=Effects&amp;qid=1695258869&amp;sr=8-3", "https://www.amazon.com/Fender-Mustang-LT-25-Digital-Amplifier/dp/B07N29M92M/ref=sr_1_3?keywords=Effects&amp;qid=1695258869&amp;sr=8-3")</f>
        <v>https://www.amazon.com/Fender-Mustang-LT-25-Digital-Amplifier/dp/B07N29M92M/ref=sr_1_3?keywords=Effects&amp;qid=1695258869&amp;sr=8-3</v>
      </c>
      <c r="F1192" t="s">
        <v>2459</v>
      </c>
      <c r="G1192" t="e">
        <f ca="1">IMAGE("https://mbrstore.com/wp-content/uploads/2022/03/01406_Mask_EyecareSmoothingGelmask_30ml-copy-460x460.jpg")</f>
        <v>#NAME?</v>
      </c>
      <c r="H1192" t="e">
        <f ca="1">IMAGE("https://m.media-amazon.com/images/I/81oKmWyFJPL._AC_UL320_.jpg")</f>
        <v>#NAME?</v>
      </c>
      <c r="I1192" t="s">
        <v>2676</v>
      </c>
      <c r="J1192">
        <v>159.99</v>
      </c>
      <c r="K1192" s="2" t="s">
        <v>2677</v>
      </c>
      <c r="L1192">
        <v>4.8</v>
      </c>
      <c r="M1192">
        <v>3110</v>
      </c>
      <c r="O1192" t="s">
        <v>26</v>
      </c>
      <c r="P1192" t="s">
        <v>39</v>
      </c>
      <c r="Q1192" t="s">
        <v>2678</v>
      </c>
    </row>
    <row r="1193" spans="1:17" ht="15.75" x14ac:dyDescent="0.25">
      <c r="A1193" s="3" t="str">
        <f>HYPERLINK("https://mbrstore.com/products/continueline-soft-tonic/", "https://mbrstore.com/products/continueline-soft-tonic/")</f>
        <v>https://mbrstore.com/products/continueline-soft-tonic/</v>
      </c>
      <c r="B1193" s="3" t="str">
        <f>HYPERLINK("https://mbrstore.com/products/continueline-soft-tonic/", "https://mbrstore.com/products/continueline-soft-tonic/")</f>
        <v>https://mbrstore.com/products/continueline-soft-tonic/</v>
      </c>
      <c r="C1193" t="s">
        <v>2453</v>
      </c>
      <c r="D1193" t="s">
        <v>2508</v>
      </c>
      <c r="E1193" s="3" t="str">
        <f>HYPERLINK("https://www.amazon.com/Westmore-Beauty-Tightening-Temporarily-Puffiness/dp/B07BYG7D2V/ref=sr_1_9?keywords=Effects&amp;qid=1695258870&amp;sr=8-9", "https://www.amazon.com/Westmore-Beauty-Tightening-Temporarily-Puffiness/dp/B07BYG7D2V/ref=sr_1_9?keywords=Effects&amp;qid=1695258870&amp;sr=8-9")</f>
        <v>https://www.amazon.com/Westmore-Beauty-Tightening-Temporarily-Puffiness/dp/B07BYG7D2V/ref=sr_1_9?keywords=Effects&amp;qid=1695258870&amp;sr=8-9</v>
      </c>
      <c r="F1193" t="s">
        <v>2509</v>
      </c>
      <c r="G1193" t="e">
        <f ca="1">IMAGE("https://mbrstore.com/wp-content/uploads/2022/03/01514_SoftTonic_150ml-copy-460x460.jpg")</f>
        <v>#NAME?</v>
      </c>
      <c r="H1193" t="e">
        <f ca="1">IMAGE("https://m.media-amazon.com/images/I/51YkzEMtyCL._AC_UL320_.jpg")</f>
        <v>#NAME?</v>
      </c>
      <c r="I1193" t="s">
        <v>2492</v>
      </c>
      <c r="J1193">
        <v>43.45</v>
      </c>
      <c r="K1193" s="2" t="s">
        <v>2679</v>
      </c>
      <c r="L1193">
        <v>3.6</v>
      </c>
      <c r="M1193">
        <v>1214</v>
      </c>
      <c r="O1193" t="s">
        <v>26</v>
      </c>
      <c r="P1193" t="s">
        <v>39</v>
      </c>
      <c r="Q1193" t="s">
        <v>2494</v>
      </c>
    </row>
    <row r="1194" spans="1:17" ht="15.75" x14ac:dyDescent="0.25">
      <c r="A1194" s="3" t="str">
        <f>HYPERLINK("https://mbrstore.com/products/tissue-activator-serum/", "https://mbrstore.com/products/tissue-activator-serum/")</f>
        <v>https://mbrstore.com/products/tissue-activator-serum/</v>
      </c>
      <c r="B1194" s="3" t="str">
        <f>HYPERLINK("https://mbrstore.com/products/tissue-activator-serum/", "https://mbrstore.com/products/tissue-activator-serum/")</f>
        <v>https://mbrstore.com/products/tissue-activator-serum/</v>
      </c>
      <c r="C1194" t="s">
        <v>2453</v>
      </c>
      <c r="D1194" t="s">
        <v>2598</v>
      </c>
      <c r="E1194" s="3"/>
      <c r="F1194" t="s">
        <v>2599</v>
      </c>
      <c r="G1194" t="e">
        <f ca="1">IMAGE("https://mbrstore.com/wp-content/uploads/2022/03/01222_TissueActivatorSerum_30ml-copy-460x460.jpg")</f>
        <v>#NAME?</v>
      </c>
      <c r="H1194" t="e">
        <f ca="1">IMAGE("https://m.media-amazon.com/images/I/51Lhlxd-rJL._AC_UL320_.jpg")</f>
        <v>#NAME?</v>
      </c>
      <c r="I1194" t="s">
        <v>2572</v>
      </c>
      <c r="J1194">
        <v>74</v>
      </c>
      <c r="K1194" s="2" t="s">
        <v>2680</v>
      </c>
      <c r="L1194">
        <v>4.5999999999999996</v>
      </c>
      <c r="M1194">
        <v>449</v>
      </c>
      <c r="O1194" t="s">
        <v>26</v>
      </c>
      <c r="P1194" t="s">
        <v>2574</v>
      </c>
      <c r="Q1194" t="s">
        <v>2575</v>
      </c>
    </row>
    <row r="1195" spans="1:17" ht="15.75" x14ac:dyDescent="0.25">
      <c r="A1195" s="3" t="str">
        <f>HYPERLINK("https://mbrstore.com/products/hand-body/", "https://mbrstore.com/products/hand-body/")</f>
        <v>https://mbrstore.com/products/hand-body/</v>
      </c>
      <c r="B1195" s="3" t="str">
        <f>HYPERLINK("https://mbrstore.com/products/hand-body/", "https://mbrstore.com/products/hand-body/")</f>
        <v>https://mbrstore.com/products/hand-body/</v>
      </c>
      <c r="C1195" t="s">
        <v>2453</v>
      </c>
      <c r="D1195" t="s">
        <v>2515</v>
      </c>
      <c r="E1195" s="3" t="str">
        <f>HYPERLINK("https://www.amazon.com/Crest-Professional-Whitestrips-Whitening-Treatments/dp/B00AHAWWO0/ref=sr_1_10?keywords=Effects&amp;qid=1695258883&amp;sr=8-10", "https://www.amazon.com/Crest-Professional-Whitestrips-Whitening-Treatments/dp/B00AHAWWO0/ref=sr_1_10?keywords=Effects&amp;qid=1695258883&amp;sr=8-10")</f>
        <v>https://www.amazon.com/Crest-Professional-Whitestrips-Whitening-Treatments/dp/B00AHAWWO0/ref=sr_1_10?keywords=Effects&amp;qid=1695258883&amp;sr=8-10</v>
      </c>
      <c r="F1195" t="s">
        <v>2516</v>
      </c>
      <c r="G1195" t="e">
        <f ca="1">IMAGE("https://mbrstore.com/wp-content/uploads/2022/06/01714_HandBody_200ml-copy-460x460.jpg")</f>
        <v>#NAME?</v>
      </c>
      <c r="H1195" t="e">
        <f ca="1">IMAGE("https://m.media-amazon.com/images/I/61IylKAap-L._AC_UL320_.jpg")</f>
        <v>#NAME?</v>
      </c>
      <c r="I1195" t="s">
        <v>2521</v>
      </c>
      <c r="J1195">
        <v>45.99</v>
      </c>
      <c r="K1195" s="2" t="s">
        <v>2681</v>
      </c>
      <c r="L1195">
        <v>4.5999999999999996</v>
      </c>
      <c r="M1195">
        <v>112972</v>
      </c>
      <c r="O1195" t="s">
        <v>26</v>
      </c>
      <c r="P1195" t="s">
        <v>39</v>
      </c>
      <c r="Q1195" t="s">
        <v>2523</v>
      </c>
    </row>
    <row r="1196" spans="1:17" ht="15.75" x14ac:dyDescent="0.25">
      <c r="A1196" s="3" t="str">
        <f>HYPERLINK("https://mbrstore.com/products/cytoline-concentrate-100/", "https://mbrstore.com/products/cytoline-concentrate-100/")</f>
        <v>https://mbrstore.com/products/cytoline-concentrate-100/</v>
      </c>
      <c r="B1196" s="3" t="str">
        <f>HYPERLINK("https://mbrstore.com/products/cytoline-concentrate-100/", "https://mbrstore.com/products/cytoline-concentrate-100/")</f>
        <v>https://mbrstore.com/products/cytoline-concentrate-100/</v>
      </c>
      <c r="C1196" t="s">
        <v>2453</v>
      </c>
      <c r="D1196" t="s">
        <v>2458</v>
      </c>
      <c r="E1196" s="3" t="str">
        <f>HYPERLINK("https://www.amazon.com/Fender-Mustang-LT-25-Digital-Amplifier/dp/B07N29M92M/ref=sr_1_3?keywords=Effects&amp;qid=1695258894&amp;sr=8-3", "https://www.amazon.com/Fender-Mustang-LT-25-Digital-Amplifier/dp/B07N29M92M/ref=sr_1_3?keywords=Effects&amp;qid=1695258894&amp;sr=8-3")</f>
        <v>https://www.amazon.com/Fender-Mustang-LT-25-Digital-Amplifier/dp/B07N29M92M/ref=sr_1_3?keywords=Effects&amp;qid=1695258894&amp;sr=8-3</v>
      </c>
      <c r="F1196" t="s">
        <v>2459</v>
      </c>
      <c r="G1196" t="e">
        <f ca="1">IMAGE("https://mbrstore.com/wp-content/uploads/2023/08/01311_CytoLineConcentrate100_50ml-460x460.png")</f>
        <v>#NAME?</v>
      </c>
      <c r="H1196" t="e">
        <f ca="1">IMAGE("https://m.media-amazon.com/images/I/81oKmWyFJPL._AC_UL320_.jpg")</f>
        <v>#NAME?</v>
      </c>
      <c r="I1196" t="s">
        <v>2682</v>
      </c>
      <c r="J1196">
        <v>159.99</v>
      </c>
      <c r="K1196" s="2" t="s">
        <v>2683</v>
      </c>
      <c r="L1196">
        <v>4.8</v>
      </c>
      <c r="M1196">
        <v>3110</v>
      </c>
      <c r="O1196" t="s">
        <v>26</v>
      </c>
      <c r="P1196" t="s">
        <v>39</v>
      </c>
      <c r="Q1196" t="s">
        <v>2684</v>
      </c>
    </row>
    <row r="1197" spans="1:17" ht="15.75" x14ac:dyDescent="0.25">
      <c r="A1197" s="3" t="str">
        <f>HYPERLINK("https://mbrstore.com/products/perfect-lip-id/", "https://mbrstore.com/products/perfect-lip-id/")</f>
        <v>https://mbrstore.com/products/perfect-lip-id/</v>
      </c>
      <c r="B1197" s="3" t="str">
        <f>HYPERLINK("https://mbrstore.com/products/perfect-lip-id/", "https://mbrstore.com/products/perfect-lip-id/")</f>
        <v>https://mbrstore.com/products/perfect-lip-id/</v>
      </c>
      <c r="C1197" t="s">
        <v>2453</v>
      </c>
      <c r="D1197" t="s">
        <v>2515</v>
      </c>
      <c r="E1197" s="3" t="str">
        <f>HYPERLINK("https://www.amazon.com/Crest-Professional-Whitestrips-Whitening-Treatments/dp/B00AHAWWO0/ref=sr_1_10?keywords=Effects&amp;qid=1695258878&amp;sr=8-10", "https://www.amazon.com/Crest-Professional-Whitestrips-Whitening-Treatments/dp/B00AHAWWO0/ref=sr_1_10?keywords=Effects&amp;qid=1695258878&amp;sr=8-10")</f>
        <v>https://www.amazon.com/Crest-Professional-Whitestrips-Whitening-Treatments/dp/B00AHAWWO0/ref=sr_1_10?keywords=Effects&amp;qid=1695258878&amp;sr=8-10</v>
      </c>
      <c r="F1197" t="s">
        <v>2516</v>
      </c>
      <c r="G1197" t="e">
        <f ca="1">IMAGE("https://mbrstore.com/wp-content/uploads/2022/03/01409_Perfect_Lip_Id_7ml-copy-460x460.jpg")</f>
        <v>#NAME?</v>
      </c>
      <c r="H1197" t="e">
        <f ca="1">IMAGE("https://m.media-amazon.com/images/I/61IylKAap-L._AC_UL320_.jpg")</f>
        <v>#NAME?</v>
      </c>
      <c r="I1197" t="s">
        <v>2527</v>
      </c>
      <c r="J1197">
        <v>45.99</v>
      </c>
      <c r="K1197" s="2" t="s">
        <v>2685</v>
      </c>
      <c r="L1197">
        <v>4.5999999999999996</v>
      </c>
      <c r="M1197">
        <v>112972</v>
      </c>
      <c r="O1197" t="s">
        <v>26</v>
      </c>
      <c r="P1197" t="s">
        <v>39</v>
      </c>
      <c r="Q1197" t="s">
        <v>2529</v>
      </c>
    </row>
    <row r="1198" spans="1:17" ht="15.75" x14ac:dyDescent="0.25">
      <c r="A1198" s="3" t="str">
        <f>HYPERLINK("https://mbrstore.com/products/cream-extraordinary/", "https://mbrstore.com/products/cream-extraordinary/")</f>
        <v>https://mbrstore.com/products/cream-extraordinary/</v>
      </c>
      <c r="B1198" s="3" t="str">
        <f>HYPERLINK("https://mbrstore.com/products/cream-extraordinary/", "https://mbrstore.com/products/cream-extraordinary/")</f>
        <v>https://mbrstore.com/products/cream-extraordinary/</v>
      </c>
      <c r="C1198" t="s">
        <v>2453</v>
      </c>
      <c r="D1198" t="s">
        <v>2458</v>
      </c>
      <c r="E1198" s="3" t="str">
        <f>HYPERLINK("https://www.amazon.com/Fender-Mustang-LT-25-Digital-Amplifier/dp/B07N29M92M/ref=sr_1_4?keywords=Effects&amp;qid=1695258870&amp;sr=8-4", "https://www.amazon.com/Fender-Mustang-LT-25-Digital-Amplifier/dp/B07N29M92M/ref=sr_1_4?keywords=Effects&amp;qid=1695258870&amp;sr=8-4")</f>
        <v>https://www.amazon.com/Fender-Mustang-LT-25-Digital-Amplifier/dp/B07N29M92M/ref=sr_1_4?keywords=Effects&amp;qid=1695258870&amp;sr=8-4</v>
      </c>
      <c r="F1198" t="s">
        <v>2459</v>
      </c>
      <c r="G1198" t="e">
        <f ca="1">IMAGE("https://mbrstore.com/wp-content/uploads/2022/03/01408_Cream_Extraordinary_50ml-copy-460x460.jpg")</f>
        <v>#NAME?</v>
      </c>
      <c r="H1198" t="e">
        <f ca="1">IMAGE("https://m.media-amazon.com/images/I/81oKmWyFJPL._AC_UL320_.jpg")</f>
        <v>#NAME?</v>
      </c>
      <c r="I1198" t="s">
        <v>2686</v>
      </c>
      <c r="J1198">
        <v>159.99</v>
      </c>
      <c r="K1198" s="2" t="s">
        <v>2687</v>
      </c>
      <c r="L1198">
        <v>4.8</v>
      </c>
      <c r="M1198">
        <v>3110</v>
      </c>
      <c r="O1198" t="s">
        <v>26</v>
      </c>
      <c r="P1198" t="s">
        <v>39</v>
      </c>
      <c r="Q1198" t="s">
        <v>2688</v>
      </c>
    </row>
    <row r="1199" spans="1:17" ht="15.75" x14ac:dyDescent="0.25">
      <c r="A1199" s="3" t="str">
        <f>HYPERLINK("https://mbrstore.com/products/hand-body/", "https://mbrstore.com/products/hand-body/")</f>
        <v>https://mbrstore.com/products/hand-body/</v>
      </c>
      <c r="B1199" s="3" t="str">
        <f>HYPERLINK("https://mbrstore.com/products/hand-body/", "https://mbrstore.com/products/hand-body/")</f>
        <v>https://mbrstore.com/products/hand-body/</v>
      </c>
      <c r="C1199" t="s">
        <v>2453</v>
      </c>
      <c r="D1199" t="s">
        <v>2508</v>
      </c>
      <c r="E1199" s="3" t="str">
        <f>HYPERLINK("https://www.amazon.com/Westmore-Beauty-Tightening-Temporarily-Puffiness/dp/B07BYG7D2V/ref=sr_1_5?keywords=Effects&amp;qid=1695258883&amp;sr=8-5", "https://www.amazon.com/Westmore-Beauty-Tightening-Temporarily-Puffiness/dp/B07BYG7D2V/ref=sr_1_5?keywords=Effects&amp;qid=1695258883&amp;sr=8-5")</f>
        <v>https://www.amazon.com/Westmore-Beauty-Tightening-Temporarily-Puffiness/dp/B07BYG7D2V/ref=sr_1_5?keywords=Effects&amp;qid=1695258883&amp;sr=8-5</v>
      </c>
      <c r="F1199" t="s">
        <v>2509</v>
      </c>
      <c r="G1199" t="e">
        <f ca="1">IMAGE("https://mbrstore.com/wp-content/uploads/2022/06/01714_HandBody_200ml-copy-460x460.jpg")</f>
        <v>#NAME?</v>
      </c>
      <c r="H1199" t="e">
        <f ca="1">IMAGE("https://m.media-amazon.com/images/I/51YkzEMtyCL._AC_UL320_.jpg")</f>
        <v>#NAME?</v>
      </c>
      <c r="I1199" t="s">
        <v>2521</v>
      </c>
      <c r="J1199">
        <v>43.45</v>
      </c>
      <c r="K1199" s="2" t="s">
        <v>2689</v>
      </c>
      <c r="L1199">
        <v>3.6</v>
      </c>
      <c r="M1199">
        <v>1214</v>
      </c>
      <c r="O1199" t="s">
        <v>26</v>
      </c>
      <c r="P1199" t="s">
        <v>39</v>
      </c>
      <c r="Q1199" t="s">
        <v>2523</v>
      </c>
    </row>
    <row r="1200" spans="1:17" ht="15.75" x14ac:dyDescent="0.25">
      <c r="A1200" s="3" t="str">
        <f>HYPERLINK("https://mbrstore.com/products/tissue-activator-serum/", "https://mbrstore.com/products/tissue-activator-serum/")</f>
        <v>https://mbrstore.com/products/tissue-activator-serum/</v>
      </c>
      <c r="B1200" s="3" t="str">
        <f>HYPERLINK("https://mbrstore.com/products/tissue-activator-serum/", "https://mbrstore.com/products/tissue-activator-serum/")</f>
        <v>https://mbrstore.com/products/tissue-activator-serum/</v>
      </c>
      <c r="C1200" t="s">
        <v>2453</v>
      </c>
      <c r="D1200" t="s">
        <v>2672</v>
      </c>
      <c r="E1200" s="3"/>
      <c r="F1200" t="s">
        <v>2673</v>
      </c>
      <c r="G1200" t="e">
        <f ca="1">IMAGE("https://mbrstore.com/wp-content/uploads/2022/03/01222_TissueActivatorSerum_30ml-copy-460x460.jpg")</f>
        <v>#NAME?</v>
      </c>
      <c r="H1200" t="e">
        <f ca="1">IMAGE("https://m.media-amazon.com/images/I/51OLR7vz0JL._AC_UL320_.jpg")</f>
        <v>#NAME?</v>
      </c>
      <c r="I1200" t="s">
        <v>2572</v>
      </c>
      <c r="J1200">
        <v>68.989999999999995</v>
      </c>
      <c r="K1200" s="2" t="s">
        <v>2690</v>
      </c>
      <c r="L1200">
        <v>5</v>
      </c>
      <c r="M1200">
        <v>9</v>
      </c>
      <c r="O1200" t="s">
        <v>26</v>
      </c>
      <c r="P1200" t="s">
        <v>2574</v>
      </c>
      <c r="Q1200" t="s">
        <v>2575</v>
      </c>
    </row>
    <row r="1201" spans="1:17" ht="15.75" x14ac:dyDescent="0.25">
      <c r="A1201" s="3" t="str">
        <f>HYPERLINK("https://mbrstore.com/products/perfect-lip-id/", "https://mbrstore.com/products/perfect-lip-id/")</f>
        <v>https://mbrstore.com/products/perfect-lip-id/</v>
      </c>
      <c r="B1201" s="3" t="str">
        <f>HYPERLINK("https://mbrstore.com/products/perfect-lip-id/", "https://mbrstore.com/products/perfect-lip-id/")</f>
        <v>https://mbrstore.com/products/perfect-lip-id/</v>
      </c>
      <c r="C1201" t="s">
        <v>2453</v>
      </c>
      <c r="D1201" t="s">
        <v>2508</v>
      </c>
      <c r="E1201" s="3" t="str">
        <f>HYPERLINK("https://www.amazon.com/Westmore-Beauty-Tightening-Temporarily-Puffiness/dp/B07BYG7D2V/ref=sr_1_3?keywords=Effects&amp;qid=1695258878&amp;sr=8-3", "https://www.amazon.com/Westmore-Beauty-Tightening-Temporarily-Puffiness/dp/B07BYG7D2V/ref=sr_1_3?keywords=Effects&amp;qid=1695258878&amp;sr=8-3")</f>
        <v>https://www.amazon.com/Westmore-Beauty-Tightening-Temporarily-Puffiness/dp/B07BYG7D2V/ref=sr_1_3?keywords=Effects&amp;qid=1695258878&amp;sr=8-3</v>
      </c>
      <c r="F1201" t="s">
        <v>2509</v>
      </c>
      <c r="G1201" t="e">
        <f ca="1">IMAGE("https://mbrstore.com/wp-content/uploads/2022/03/01409_Perfect_Lip_Id_7ml-copy-460x460.jpg")</f>
        <v>#NAME?</v>
      </c>
      <c r="H1201" t="e">
        <f ca="1">IMAGE("https://m.media-amazon.com/images/I/51YkzEMtyCL._AC_UL320_.jpg")</f>
        <v>#NAME?</v>
      </c>
      <c r="I1201" t="s">
        <v>2527</v>
      </c>
      <c r="J1201">
        <v>43.45</v>
      </c>
      <c r="K1201" s="2" t="s">
        <v>2691</v>
      </c>
      <c r="L1201">
        <v>3.6</v>
      </c>
      <c r="M1201">
        <v>1214</v>
      </c>
      <c r="O1201" t="s">
        <v>26</v>
      </c>
      <c r="P1201" t="s">
        <v>39</v>
      </c>
      <c r="Q1201" t="s">
        <v>2529</v>
      </c>
    </row>
    <row r="1202" spans="1:17" ht="15.75" x14ac:dyDescent="0.25">
      <c r="A1202" s="3" t="str">
        <f>HYPERLINK("https://mbrstore.com/products/cream-mask-smooth/", "https://mbrstore.com/products/cream-mask-smooth/")</f>
        <v>https://mbrstore.com/products/cream-mask-smooth/</v>
      </c>
      <c r="B1202" s="3" t="str">
        <f>HYPERLINK("https://mbrstore.com/products/cream-mask-smooth/", "https://mbrstore.com/products/cream-mask-smooth/")</f>
        <v>https://mbrstore.com/products/cream-mask-smooth/</v>
      </c>
      <c r="C1202" t="s">
        <v>2453</v>
      </c>
      <c r="D1202" t="s">
        <v>2458</v>
      </c>
      <c r="E1202" s="3" t="str">
        <f>HYPERLINK("https://www.amazon.com/Fender-Mustang-LT-25-Digital-Amplifier/dp/B07N29M92M/ref=sr_1_8?keywords=Effects&amp;qid=1695258879&amp;sr=8-8", "https://www.amazon.com/Fender-Mustang-LT-25-Digital-Amplifier/dp/B07N29M92M/ref=sr_1_8?keywords=Effects&amp;qid=1695258879&amp;sr=8-8")</f>
        <v>https://www.amazon.com/Fender-Mustang-LT-25-Digital-Amplifier/dp/B07N29M92M/ref=sr_1_8?keywords=Effects&amp;qid=1695258879&amp;sr=8-8</v>
      </c>
      <c r="F1202" t="s">
        <v>2459</v>
      </c>
      <c r="G1202" t="e">
        <f ca="1">IMAGE("https://mbrstore.com/wp-content/uploads/2022/03/01402_CreamMaskSmooth100_30ml_1121-460x460.jpg")</f>
        <v>#NAME?</v>
      </c>
      <c r="H1202" t="e">
        <f ca="1">IMAGE("https://m.media-amazon.com/images/I/81oKmWyFJPL._AC_UL320_.jpg")</f>
        <v>#NAME?</v>
      </c>
      <c r="I1202" t="s">
        <v>2692</v>
      </c>
      <c r="J1202">
        <v>159.99</v>
      </c>
      <c r="K1202" s="2" t="s">
        <v>2693</v>
      </c>
      <c r="L1202">
        <v>4.8</v>
      </c>
      <c r="M1202">
        <v>3110</v>
      </c>
      <c r="O1202" t="s">
        <v>26</v>
      </c>
      <c r="P1202" t="s">
        <v>39</v>
      </c>
      <c r="Q1202" t="s">
        <v>2694</v>
      </c>
    </row>
    <row r="1203" spans="1:17" ht="15.75" x14ac:dyDescent="0.25">
      <c r="A1203" s="3" t="str">
        <f>HYPERLINK("https://mbrstore.com/products/hyaluron-mask/", "https://mbrstore.com/products/hyaluron-mask/")</f>
        <v>https://mbrstore.com/products/hyaluron-mask/</v>
      </c>
      <c r="B1203" s="3" t="str">
        <f>HYPERLINK("https://mbrstore.com/products/hyaluron-mask/", "https://mbrstore.com/products/hyaluron-mask/")</f>
        <v>https://mbrstore.com/products/hyaluron-mask/</v>
      </c>
      <c r="C1203" t="s">
        <v>2453</v>
      </c>
      <c r="D1203" t="s">
        <v>2464</v>
      </c>
      <c r="E1203" s="3" t="str">
        <f>HYPERLINK("https://www.amazon.com/Zoom-Electric-Guitar-G1X-FOUR/dp/B07MZPR5GP/ref=sr_1_1?keywords=Effects&amp;qid=1695258871&amp;sr=8-1", "https://www.amazon.com/Zoom-Electric-Guitar-G1X-FOUR/dp/B07MZPR5GP/ref=sr_1_1?keywords=Effects&amp;qid=1695258871&amp;sr=8-1")</f>
        <v>https://www.amazon.com/Zoom-Electric-Guitar-G1X-FOUR/dp/B07MZPR5GP/ref=sr_1_1?keywords=Effects&amp;qid=1695258871&amp;sr=8-1</v>
      </c>
      <c r="F1203" t="s">
        <v>2465</v>
      </c>
      <c r="G1203" t="e">
        <f ca="1">IMAGE("https://mbrstore.com/wp-content/uploads/2022/03/01232_HyaluronMask_100ml-copy-460x460.jpg")</f>
        <v>#NAME?</v>
      </c>
      <c r="H1203" t="e">
        <f ca="1">IMAGE("https://m.media-amazon.com/images/I/81lPUPAo-SL._AC_UL320_.jpg")</f>
        <v>#NAME?</v>
      </c>
      <c r="I1203" t="s">
        <v>2552</v>
      </c>
      <c r="J1203">
        <v>119.99</v>
      </c>
      <c r="K1203" s="2" t="s">
        <v>2695</v>
      </c>
      <c r="L1203">
        <v>4.5</v>
      </c>
      <c r="M1203">
        <v>6902</v>
      </c>
      <c r="O1203" t="s">
        <v>26</v>
      </c>
      <c r="P1203" t="s">
        <v>39</v>
      </c>
      <c r="Q1203" t="s">
        <v>2554</v>
      </c>
    </row>
    <row r="1204" spans="1:17" ht="15.75" x14ac:dyDescent="0.25">
      <c r="A1204" s="3" t="str">
        <f>HYPERLINK("https://mbrstore.com/products/modukine-serum/", "https://mbrstore.com/products/modukine-serum/")</f>
        <v>https://mbrstore.com/products/modukine-serum/</v>
      </c>
      <c r="B1204" s="3" t="str">
        <f>HYPERLINK("https://mbrstore.com/products/modukine-serum/", "https://mbrstore.com/products/modukine-serum/")</f>
        <v>https://mbrstore.com/products/modukine-serum/</v>
      </c>
      <c r="C1204" t="s">
        <v>2453</v>
      </c>
      <c r="D1204" t="s">
        <v>2598</v>
      </c>
      <c r="E1204" s="3"/>
      <c r="F1204" t="s">
        <v>2599</v>
      </c>
      <c r="G1204" t="e">
        <f ca="1">IMAGE("https://mbrstore.com/wp-content/uploads/2022/03/01530_MBR_ModukineSerum_50ml-copy-460x460.jpg")</f>
        <v>#NAME?</v>
      </c>
      <c r="H1204" t="e">
        <f ca="1">IMAGE("https://m.media-amazon.com/images/I/51Lhlxd-rJL._AC_UL320_.jpg")</f>
        <v>#NAME?</v>
      </c>
      <c r="I1204" t="s">
        <v>2635</v>
      </c>
      <c r="J1204">
        <v>74</v>
      </c>
      <c r="K1204" s="2" t="s">
        <v>2696</v>
      </c>
      <c r="L1204">
        <v>4.5999999999999996</v>
      </c>
      <c r="M1204">
        <v>449</v>
      </c>
      <c r="O1204" t="s">
        <v>26</v>
      </c>
      <c r="P1204" t="s">
        <v>39</v>
      </c>
      <c r="Q1204" t="s">
        <v>2637</v>
      </c>
    </row>
    <row r="1205" spans="1:17" ht="15.75" x14ac:dyDescent="0.25">
      <c r="A1205" s="3" t="str">
        <f>HYPERLINK("https://mbrstore.com/products/lip-contour-refiner/", "https://mbrstore.com/products/lip-contour-refiner/")</f>
        <v>https://mbrstore.com/products/lip-contour-refiner/</v>
      </c>
      <c r="B1205" s="3" t="str">
        <f>HYPERLINK("https://mbrstore.com/products/lip-contour-refiner/", "https://mbrstore.com/products/lip-contour-refiner/")</f>
        <v>https://mbrstore.com/products/lip-contour-refiner/</v>
      </c>
      <c r="C1205" t="s">
        <v>2453</v>
      </c>
      <c r="D1205" t="s">
        <v>2508</v>
      </c>
      <c r="E1205" s="3" t="str">
        <f>HYPERLINK("https://www.amazon.com/Westmore-Beauty-Tightening-Temporarily-Puffiness/dp/B07BYG7D2V/ref=sr_1_9?keywords=Effects&amp;qid=1695258884&amp;sr=8-9", "https://www.amazon.com/Westmore-Beauty-Tightening-Temporarily-Puffiness/dp/B07BYG7D2V/ref=sr_1_9?keywords=Effects&amp;qid=1695258884&amp;sr=8-9")</f>
        <v>https://www.amazon.com/Westmore-Beauty-Tightening-Temporarily-Puffiness/dp/B07BYG7D2V/ref=sr_1_9?keywords=Effects&amp;qid=1695258884&amp;sr=8-9</v>
      </c>
      <c r="F1205" t="s">
        <v>2509</v>
      </c>
      <c r="G1205" t="e">
        <f ca="1">IMAGE("https://mbrstore.com/wp-content/uploads/2022/03/01227_Lip_Contour_Refiner_15ml-copy-460x460.jpg")</f>
        <v>#NAME?</v>
      </c>
      <c r="H1205" t="e">
        <f ca="1">IMAGE("https://m.media-amazon.com/images/I/51YkzEMtyCL._AC_UL320_.jpg")</f>
        <v>#NAME?</v>
      </c>
      <c r="I1205" t="s">
        <v>2534</v>
      </c>
      <c r="J1205">
        <v>43.45</v>
      </c>
      <c r="K1205" s="2" t="s">
        <v>2697</v>
      </c>
      <c r="L1205">
        <v>3.6</v>
      </c>
      <c r="M1205">
        <v>1214</v>
      </c>
      <c r="O1205" t="s">
        <v>26</v>
      </c>
      <c r="P1205" t="s">
        <v>39</v>
      </c>
      <c r="Q1205" t="s">
        <v>2536</v>
      </c>
    </row>
    <row r="1206" spans="1:17" ht="15.75" x14ac:dyDescent="0.25">
      <c r="A1206" s="3" t="str">
        <f>HYPERLINK("https://mbrstore.com/products/cea-city-sky/", "https://mbrstore.com/products/cea-city-sky/")</f>
        <v>https://mbrstore.com/products/cea-city-sky/</v>
      </c>
      <c r="B1206" s="3" t="str">
        <f>HYPERLINK("https://mbrstore.com/products/cea-city-sky/", "https://mbrstore.com/products/cea-city-sky/")</f>
        <v>https://mbrstore.com/products/cea-city-sky/</v>
      </c>
      <c r="C1206" t="s">
        <v>2453</v>
      </c>
      <c r="D1206" t="s">
        <v>2464</v>
      </c>
      <c r="E1206" s="3" t="str">
        <f>HYPERLINK("https://www.amazon.com/Zoom-Electric-Guitar-G1X-FOUR/dp/B07MZPR5GP/ref=sr_1_1?keywords=Effects&amp;qid=1695258928&amp;sr=8-1", "https://www.amazon.com/Zoom-Electric-Guitar-G1X-FOUR/dp/B07MZPR5GP/ref=sr_1_1?keywords=Effects&amp;qid=1695258928&amp;sr=8-1")</f>
        <v>https://www.amazon.com/Zoom-Electric-Guitar-G1X-FOUR/dp/B07MZPR5GP/ref=sr_1_1?keywords=Effects&amp;qid=1695258928&amp;sr=8-1</v>
      </c>
      <c r="F1206" t="s">
        <v>2465</v>
      </c>
      <c r="G1206" t="e">
        <f ca="1">IMAGE("https://mbrstore.com/wp-content/uploads/2022/03/01240_CitySky_50ml-copy-460x460.jpg")</f>
        <v>#NAME?</v>
      </c>
      <c r="H1206" t="e">
        <f ca="1">IMAGE("https://m.media-amazon.com/images/I/81lPUPAo-SL._AC_UL320_.jpg")</f>
        <v>#NAME?</v>
      </c>
      <c r="I1206" t="s">
        <v>2661</v>
      </c>
      <c r="J1206">
        <v>119.99</v>
      </c>
      <c r="K1206" s="2" t="s">
        <v>2698</v>
      </c>
      <c r="L1206">
        <v>4.5</v>
      </c>
      <c r="M1206">
        <v>6902</v>
      </c>
      <c r="O1206" t="s">
        <v>26</v>
      </c>
      <c r="P1206" t="s">
        <v>39</v>
      </c>
      <c r="Q1206" t="s">
        <v>2663</v>
      </c>
    </row>
    <row r="1207" spans="1:17" ht="15.75" x14ac:dyDescent="0.25">
      <c r="A1207" s="3" t="str">
        <f>HYPERLINK("https://mbrstore.com/products/cell-power-hand-treatment/", "https://mbrstore.com/products/cell-power-hand-treatment/")</f>
        <v>https://mbrstore.com/products/cell-power-hand-treatment/</v>
      </c>
      <c r="B1207" s="3" t="str">
        <f>HYPERLINK("https://mbrstore.com/products/cell-power-hand-treatment/", "https://mbrstore.com/products/cell-power-hand-treatment/")</f>
        <v>https://mbrstore.com/products/cell-power-hand-treatment/</v>
      </c>
      <c r="C1207" t="s">
        <v>2453</v>
      </c>
      <c r="D1207" t="s">
        <v>2508</v>
      </c>
      <c r="E1207" s="3" t="str">
        <f>HYPERLINK("https://www.amazon.com/Westmore-Beauty-Tightening-Temporarily-Puffiness/dp/B07BYG7D2V/ref=sr_1_6?keywords=Effects&amp;qid=1695258891&amp;sr=8-6", "https://www.amazon.com/Westmore-Beauty-Tightening-Temporarily-Puffiness/dp/B07BYG7D2V/ref=sr_1_6?keywords=Effects&amp;qid=1695258891&amp;sr=8-6")</f>
        <v>https://www.amazon.com/Westmore-Beauty-Tightening-Temporarily-Puffiness/dp/B07BYG7D2V/ref=sr_1_6?keywords=Effects&amp;qid=1695258891&amp;sr=8-6</v>
      </c>
      <c r="F1207" t="s">
        <v>2509</v>
      </c>
      <c r="G1207" t="e">
        <f ca="1">IMAGE("https://mbrstore.com/wp-content/uploads/2022/03/01608_HandTreatment_100ml-copy-460x460.jpg")</f>
        <v>#NAME?</v>
      </c>
      <c r="H1207" t="e">
        <f ca="1">IMAGE("https://m.media-amazon.com/images/I/51YkzEMtyCL._AC_UL320_.jpg")</f>
        <v>#NAME?</v>
      </c>
      <c r="I1207" t="s">
        <v>2565</v>
      </c>
      <c r="J1207">
        <v>43.45</v>
      </c>
      <c r="K1207" s="2" t="s">
        <v>2699</v>
      </c>
      <c r="L1207">
        <v>3.6</v>
      </c>
      <c r="M1207">
        <v>1214</v>
      </c>
      <c r="O1207" t="s">
        <v>26</v>
      </c>
      <c r="P1207" t="s">
        <v>39</v>
      </c>
      <c r="Q1207" t="s">
        <v>2567</v>
      </c>
    </row>
    <row r="1208" spans="1:17" ht="15.75" x14ac:dyDescent="0.25">
      <c r="A1208" s="3" t="str">
        <f>HYPERLINK("https://mbrstore.com/products/cross-lift-serum-ultrapeptide/", "https://mbrstore.com/products/cross-lift-serum-ultrapeptide/")</f>
        <v>https://mbrstore.com/products/cross-lift-serum-ultrapeptide/</v>
      </c>
      <c r="B1208" s="3" t="str">
        <f>HYPERLINK("https://mbrstore.com/products/cross-lift-serum-ultrapeptide/", "https://mbrstore.com/products/cross-lift-serum-ultrapeptide/")</f>
        <v>https://mbrstore.com/products/cross-lift-serum-ultrapeptide/</v>
      </c>
      <c r="C1208" t="s">
        <v>2453</v>
      </c>
      <c r="D1208" t="s">
        <v>2458</v>
      </c>
      <c r="E1208" s="3" t="str">
        <f>HYPERLINK("https://www.amazon.com/Fender-Mustang-LT-25-Digital-Amplifier/dp/B07N29M92M/ref=sr_1_3?keywords=Effects&amp;qid=1695258911&amp;sr=8-3", "https://www.amazon.com/Fender-Mustang-LT-25-Digital-Amplifier/dp/B07N29M92M/ref=sr_1_3?keywords=Effects&amp;qid=1695258911&amp;sr=8-3")</f>
        <v>https://www.amazon.com/Fender-Mustang-LT-25-Digital-Amplifier/dp/B07N29M92M/ref=sr_1_3?keywords=Effects&amp;qid=1695258911&amp;sr=8-3</v>
      </c>
      <c r="F1208" t="s">
        <v>2459</v>
      </c>
      <c r="G1208" t="e">
        <f ca="1">IMAGE("https://mbrstore.com/wp-content/uploads/2022/03/01407_MBR_Cross_Lift_Serum_Ultrapeptide_30ml-copy-460x460.jpg")</f>
        <v>#NAME?</v>
      </c>
      <c r="H1208" t="e">
        <f ca="1">IMAGE("https://m.media-amazon.com/images/I/81oKmWyFJPL._AC_UL320_.jpg")</f>
        <v>#NAME?</v>
      </c>
      <c r="I1208" t="s">
        <v>2700</v>
      </c>
      <c r="J1208">
        <v>159.99</v>
      </c>
      <c r="K1208" s="2" t="s">
        <v>2701</v>
      </c>
      <c r="L1208">
        <v>4.8</v>
      </c>
      <c r="M1208">
        <v>3110</v>
      </c>
      <c r="O1208" t="s">
        <v>26</v>
      </c>
      <c r="P1208" t="s">
        <v>39</v>
      </c>
      <c r="Q1208" t="s">
        <v>2702</v>
      </c>
    </row>
    <row r="1209" spans="1:17" ht="15.75" x14ac:dyDescent="0.25">
      <c r="A1209" s="3" t="str">
        <f>HYPERLINK("https://mbrstore.com/products/cea-twentyfour-hours-extreme/", "https://mbrstore.com/products/cea-twentyfour-hours-extreme/")</f>
        <v>https://mbrstore.com/products/cea-twentyfour-hours-extreme/</v>
      </c>
      <c r="B1209" s="3" t="str">
        <f>HYPERLINK("https://mbrstore.com/products/cea-twentyfour-hours-extreme/", "https://mbrstore.com/products/cea-twentyfour-hours-extreme/")</f>
        <v>https://mbrstore.com/products/cea-twentyfour-hours-extreme/</v>
      </c>
      <c r="C1209" t="s">
        <v>2453</v>
      </c>
      <c r="D1209" t="s">
        <v>2464</v>
      </c>
      <c r="E1209" s="3" t="str">
        <f>HYPERLINK("https://www.amazon.com/Zoom-Electric-Guitar-G1X-FOUR/dp/B07MZPR5GP/ref=sr_1_1?keywords=Effects&amp;qid=1695258887&amp;sr=8-1", "https://www.amazon.com/Zoom-Electric-Guitar-G1X-FOUR/dp/B07MZPR5GP/ref=sr_1_1?keywords=Effects&amp;qid=1695258887&amp;sr=8-1")</f>
        <v>https://www.amazon.com/Zoom-Electric-Guitar-G1X-FOUR/dp/B07MZPR5GP/ref=sr_1_1?keywords=Effects&amp;qid=1695258887&amp;sr=8-1</v>
      </c>
      <c r="F1209" t="s">
        <v>2465</v>
      </c>
      <c r="G1209" t="e">
        <f ca="1">IMAGE("https://mbrstore.com/wp-content/uploads/2022/03/01241_24HoursExtreme_50ml-copy-460x460.jpg")</f>
        <v>#NAME?</v>
      </c>
      <c r="H1209" t="e">
        <f ca="1">IMAGE("https://m.media-amazon.com/images/I/81lPUPAo-SL._AC_UL320_.jpg")</f>
        <v>#NAME?</v>
      </c>
      <c r="I1209" t="s">
        <v>2555</v>
      </c>
      <c r="J1209">
        <v>119.99</v>
      </c>
      <c r="K1209" s="2" t="s">
        <v>2703</v>
      </c>
      <c r="L1209">
        <v>4.5</v>
      </c>
      <c r="M1209">
        <v>6902</v>
      </c>
      <c r="O1209" t="s">
        <v>26</v>
      </c>
      <c r="P1209" t="s">
        <v>39</v>
      </c>
      <c r="Q1209" t="s">
        <v>2557</v>
      </c>
    </row>
    <row r="1210" spans="1:17" ht="15.75" x14ac:dyDescent="0.25">
      <c r="A1210" s="3" t="str">
        <f>HYPERLINK("https://mbrstore.com/products/hydrating-lifting-toner/", "https://mbrstore.com/products/hydrating-lifting-toner/")</f>
        <v>https://mbrstore.com/products/hydrating-lifting-toner/</v>
      </c>
      <c r="B1210" s="3" t="str">
        <f>HYPERLINK("https://mbrstore.com/products/hydrating-lifting-toner/", "https://mbrstore.com/products/hydrating-lifting-toner/")</f>
        <v>https://mbrstore.com/products/hydrating-lifting-toner/</v>
      </c>
      <c r="C1210" t="s">
        <v>2453</v>
      </c>
      <c r="D1210" t="s">
        <v>2464</v>
      </c>
      <c r="E1210" s="3" t="str">
        <f>HYPERLINK("https://www.amazon.com/Zoom-Electric-Guitar-G1X-FOUR/dp/B07MZPR5GP/ref=sr_1_1?keywords=Effects&amp;qid=1695258874&amp;sr=8-1", "https://www.amazon.com/Zoom-Electric-Guitar-G1X-FOUR/dp/B07MZPR5GP/ref=sr_1_1?keywords=Effects&amp;qid=1695258874&amp;sr=8-1")</f>
        <v>https://www.amazon.com/Zoom-Electric-Guitar-G1X-FOUR/dp/B07MZPR5GP/ref=sr_1_1?keywords=Effects&amp;qid=1695258874&amp;sr=8-1</v>
      </c>
      <c r="F1210" t="s">
        <v>2465</v>
      </c>
      <c r="G1210" t="e">
        <f ca="1">IMAGE("https://mbrstore.com/wp-content/uploads/2022/04/01430_MBR_Hydrating_and_Lifting_Toner_150ml-460x460.jpg")</f>
        <v>#NAME?</v>
      </c>
      <c r="H1210" t="e">
        <f ca="1">IMAGE("https://m.media-amazon.com/images/I/81lPUPAo-SL._AC_UL320_.jpg")</f>
        <v>#NAME?</v>
      </c>
      <c r="I1210" t="s">
        <v>2666</v>
      </c>
      <c r="J1210">
        <v>119.99</v>
      </c>
      <c r="K1210" s="2" t="s">
        <v>2704</v>
      </c>
      <c r="L1210">
        <v>4.5</v>
      </c>
      <c r="M1210">
        <v>6902</v>
      </c>
      <c r="O1210" t="s">
        <v>26</v>
      </c>
      <c r="P1210" t="s">
        <v>39</v>
      </c>
      <c r="Q1210" t="s">
        <v>2668</v>
      </c>
    </row>
    <row r="1211" spans="1:17" ht="15.75" x14ac:dyDescent="0.25">
      <c r="A1211" s="3" t="str">
        <f>HYPERLINK("https://mbrstore.com/products/modukine-serum/", "https://mbrstore.com/products/modukine-serum/")</f>
        <v>https://mbrstore.com/products/modukine-serum/</v>
      </c>
      <c r="B1211" s="3" t="str">
        <f>HYPERLINK("https://mbrstore.com/products/modukine-serum/", "https://mbrstore.com/products/modukine-serum/")</f>
        <v>https://mbrstore.com/products/modukine-serum/</v>
      </c>
      <c r="C1211" t="s">
        <v>2453</v>
      </c>
      <c r="D1211" t="s">
        <v>2672</v>
      </c>
      <c r="E1211" s="3"/>
      <c r="F1211" t="s">
        <v>2673</v>
      </c>
      <c r="G1211" t="e">
        <f ca="1">IMAGE("https://mbrstore.com/wp-content/uploads/2022/03/01530_MBR_ModukineSerum_50ml-copy-460x460.jpg")</f>
        <v>#NAME?</v>
      </c>
      <c r="H1211" t="e">
        <f ca="1">IMAGE("https://m.media-amazon.com/images/I/51OLR7vz0JL._AC_UL320_.jpg")</f>
        <v>#NAME?</v>
      </c>
      <c r="I1211" t="s">
        <v>2635</v>
      </c>
      <c r="J1211">
        <v>68.989999999999995</v>
      </c>
      <c r="K1211" s="2" t="s">
        <v>2705</v>
      </c>
      <c r="L1211">
        <v>5</v>
      </c>
      <c r="M1211">
        <v>9</v>
      </c>
      <c r="O1211" t="s">
        <v>26</v>
      </c>
      <c r="P1211" t="s">
        <v>39</v>
      </c>
      <c r="Q1211" t="s">
        <v>2637</v>
      </c>
    </row>
    <row r="1212" spans="1:17" ht="15.75" x14ac:dyDescent="0.25">
      <c r="A1212" s="3" t="str">
        <f>HYPERLINK("https://mbrstore.com/products/hair-scalp-booster/", "https://mbrstore.com/products/hair-scalp-booster/")</f>
        <v>https://mbrstore.com/products/hair-scalp-booster/</v>
      </c>
      <c r="B1212" s="3" t="str">
        <f>HYPERLINK("https://mbrstore.com/products/hair-scalp-booster/", "https://mbrstore.com/products/hair-scalp-booster/")</f>
        <v>https://mbrstore.com/products/hair-scalp-booster/</v>
      </c>
      <c r="C1212" t="s">
        <v>2453</v>
      </c>
      <c r="D1212" t="s">
        <v>2464</v>
      </c>
      <c r="E1212" s="3" t="str">
        <f>HYPERLINK("https://www.amazon.com/Zoom-Electric-Guitar-G1X-FOUR/dp/B07MZPR5GP/ref=sr_1_1?keywords=Effects&amp;qid=1695258870&amp;sr=8-1", "https://www.amazon.com/Zoom-Electric-Guitar-G1X-FOUR/dp/B07MZPR5GP/ref=sr_1_1?keywords=Effects&amp;qid=1695258870&amp;sr=8-1")</f>
        <v>https://www.amazon.com/Zoom-Electric-Guitar-G1X-FOUR/dp/B07MZPR5GP/ref=sr_1_1?keywords=Effects&amp;qid=1695258870&amp;sr=8-1</v>
      </c>
      <c r="F1212" t="s">
        <v>2465</v>
      </c>
      <c r="G1212" t="e">
        <f ca="1">IMAGE("https://mbrstore.com/wp-content/uploads/2022/03/01452_HairScalpBooster_5ml_alle-460x460.jpg")</f>
        <v>#NAME?</v>
      </c>
      <c r="H1212" t="e">
        <f ca="1">IMAGE("https://m.media-amazon.com/images/I/81lPUPAo-SL._AC_UL320_.jpg")</f>
        <v>#NAME?</v>
      </c>
      <c r="I1212" t="s">
        <v>2669</v>
      </c>
      <c r="J1212">
        <v>119.99</v>
      </c>
      <c r="K1212" s="2" t="s">
        <v>2706</v>
      </c>
      <c r="L1212">
        <v>4.5</v>
      </c>
      <c r="M1212">
        <v>6902</v>
      </c>
      <c r="O1212" t="s">
        <v>26</v>
      </c>
      <c r="P1212" t="s">
        <v>39</v>
      </c>
      <c r="Q1212" t="s">
        <v>2671</v>
      </c>
    </row>
    <row r="1213" spans="1:17" ht="15.75" x14ac:dyDescent="0.25">
      <c r="A1213" s="3" t="str">
        <f>HYPERLINK("https://mbrstore.com/products/normalizing-lipid-sebum-care/", "https://mbrstore.com/products/normalizing-lipid-sebum-care/")</f>
        <v>https://mbrstore.com/products/normalizing-lipid-sebum-care/</v>
      </c>
      <c r="B1213" s="3" t="str">
        <f>HYPERLINK("https://mbrstore.com/products/normalizing-lipid-sebum-care/", "https://mbrstore.com/products/normalizing-lipid-sebum-care/")</f>
        <v>https://mbrstore.com/products/normalizing-lipid-sebum-care/</v>
      </c>
      <c r="C1213" t="s">
        <v>2453</v>
      </c>
      <c r="D1213" t="s">
        <v>2508</v>
      </c>
      <c r="E1213" s="3" t="str">
        <f>HYPERLINK("https://www.amazon.com/Westmore-Beauty-Tightening-Temporarily-Puffiness/dp/B07BYG7D2V/ref=sr_1_9?keywords=Effects&amp;qid=1695258880&amp;sr=8-9", "https://www.amazon.com/Westmore-Beauty-Tightening-Temporarily-Puffiness/dp/B07BYG7D2V/ref=sr_1_9?keywords=Effects&amp;qid=1695258880&amp;sr=8-9")</f>
        <v>https://www.amazon.com/Westmore-Beauty-Tightening-Temporarily-Puffiness/dp/B07BYG7D2V/ref=sr_1_9?keywords=Effects&amp;qid=1695258880&amp;sr=8-9</v>
      </c>
      <c r="F1213" t="s">
        <v>2509</v>
      </c>
      <c r="G1213" t="e">
        <f ca="1">IMAGE("https://mbrstore.com/wp-content/uploads/2022/03/01511_NormalizingLipidSebumCare_30ml-copy-460x460.jpg")</f>
        <v>#NAME?</v>
      </c>
      <c r="H1213" t="e">
        <f ca="1">IMAGE("https://m.media-amazon.com/images/I/51YkzEMtyCL._AC_UL320_.jpg")</f>
        <v>#NAME?</v>
      </c>
      <c r="I1213" t="s">
        <v>2538</v>
      </c>
      <c r="J1213">
        <v>43.45</v>
      </c>
      <c r="K1213" s="2" t="s">
        <v>2707</v>
      </c>
      <c r="L1213">
        <v>3.6</v>
      </c>
      <c r="M1213">
        <v>1214</v>
      </c>
      <c r="O1213" t="s">
        <v>26</v>
      </c>
      <c r="P1213" t="s">
        <v>39</v>
      </c>
      <c r="Q1213" t="s">
        <v>2540</v>
      </c>
    </row>
    <row r="1214" spans="1:17" ht="15.75" x14ac:dyDescent="0.25">
      <c r="A1214" s="3" t="str">
        <f>HYPERLINK("https://mbrstore.com/products/eye-make-up-remover/", "https://mbrstore.com/products/eye-make-up-remover/")</f>
        <v>https://mbrstore.com/products/eye-make-up-remover/</v>
      </c>
      <c r="B1214" s="3" t="str">
        <f>HYPERLINK("https://mbrstore.com/products/eye-make-up-remover/", "https://mbrstore.com/products/eye-make-up-remover/")</f>
        <v>https://mbrstore.com/products/eye-make-up-remover/</v>
      </c>
      <c r="C1214" t="s">
        <v>2453</v>
      </c>
      <c r="D1214" t="s">
        <v>2508</v>
      </c>
      <c r="E1214" s="3" t="str">
        <f>HYPERLINK("https://www.amazon.com/Westmore-Beauty-Tightening-Temporarily-Puffiness/dp/B07BYG7D2V/ref=sr_1_9?keywords=Effects&amp;qid=1695258886&amp;sr=8-9", "https://www.amazon.com/Westmore-Beauty-Tightening-Temporarily-Puffiness/dp/B07BYG7D2V/ref=sr_1_9?keywords=Effects&amp;qid=1695258886&amp;sr=8-9")</f>
        <v>https://www.amazon.com/Westmore-Beauty-Tightening-Temporarily-Puffiness/dp/B07BYG7D2V/ref=sr_1_9?keywords=Effects&amp;qid=1695258886&amp;sr=8-9</v>
      </c>
      <c r="F1214" t="s">
        <v>2509</v>
      </c>
      <c r="G1214" t="e">
        <f ca="1">IMAGE("https://mbrstore.com/wp-content/uploads/2022/03/01103_EyeMakeupRemover_200ml-copy-460x460.jpg")</f>
        <v>#NAME?</v>
      </c>
      <c r="H1214" t="e">
        <f ca="1">IMAGE("https://m.media-amazon.com/images/I/51YkzEMtyCL._AC_UL320_.jpg")</f>
        <v>#NAME?</v>
      </c>
      <c r="I1214" t="s">
        <v>2541</v>
      </c>
      <c r="J1214">
        <v>43.45</v>
      </c>
      <c r="K1214" s="2" t="s">
        <v>2708</v>
      </c>
      <c r="L1214">
        <v>3.6</v>
      </c>
      <c r="M1214">
        <v>1214</v>
      </c>
      <c r="O1214" t="s">
        <v>26</v>
      </c>
      <c r="P1214" t="s">
        <v>39</v>
      </c>
      <c r="Q1214" t="s">
        <v>2543</v>
      </c>
    </row>
    <row r="1215" spans="1:17" ht="15.75" x14ac:dyDescent="0.25">
      <c r="A1215" s="3" t="str">
        <f>HYPERLINK("https://mbrstore.com/products/starter-facial-booster/", "https://mbrstore.com/products/starter-facial-booster/")</f>
        <v>https://mbrstore.com/products/starter-facial-booster/</v>
      </c>
      <c r="B1215" s="3" t="str">
        <f>HYPERLINK("https://mbrstore.com/products/starter-facial-booster/", "https://mbrstore.com/products/starter-facial-booster/")</f>
        <v>https://mbrstore.com/products/starter-facial-booster/</v>
      </c>
      <c r="C1215" t="s">
        <v>2453</v>
      </c>
      <c r="D1215" t="s">
        <v>2508</v>
      </c>
      <c r="E1215" s="3" t="str">
        <f>HYPERLINK("https://www.amazon.com/Westmore-Beauty-Tightening-Temporarily-Puffiness/dp/B07BYG7D2V/ref=sr_1_5?keywords=Effects&amp;qid=1695258869&amp;sr=8-5", "https://www.amazon.com/Westmore-Beauty-Tightening-Temporarily-Puffiness/dp/B07BYG7D2V/ref=sr_1_5?keywords=Effects&amp;qid=1695258869&amp;sr=8-5")</f>
        <v>https://www.amazon.com/Westmore-Beauty-Tightening-Temporarily-Puffiness/dp/B07BYG7D2V/ref=sr_1_5?keywords=Effects&amp;qid=1695258869&amp;sr=8-5</v>
      </c>
      <c r="F1215" t="s">
        <v>2509</v>
      </c>
      <c r="G1215" t="e">
        <f ca="1">IMAGE("https://mbrstore.com/wp-content/uploads/2022/03/01100_StarterFacialBooster_200ml-460x460.jpg")</f>
        <v>#NAME?</v>
      </c>
      <c r="H1215" t="e">
        <f ca="1">IMAGE("https://m.media-amazon.com/images/I/51YkzEMtyCL._AC_UL320_.jpg")</f>
        <v>#NAME?</v>
      </c>
      <c r="I1215" t="s">
        <v>2544</v>
      </c>
      <c r="J1215">
        <v>43.45</v>
      </c>
      <c r="K1215" s="2" t="s">
        <v>2709</v>
      </c>
      <c r="L1215">
        <v>3.6</v>
      </c>
      <c r="M1215">
        <v>1214</v>
      </c>
      <c r="O1215" t="s">
        <v>26</v>
      </c>
      <c r="P1215" t="s">
        <v>39</v>
      </c>
      <c r="Q1215" t="s">
        <v>2546</v>
      </c>
    </row>
    <row r="1216" spans="1:17" ht="15.75" x14ac:dyDescent="0.25">
      <c r="A1216" s="3" t="str">
        <f>HYPERLINK("https://mbrstore.com/products/eyecare-smoothing-gelmask/", "https://mbrstore.com/products/eyecare-smoothing-gelmask/")</f>
        <v>https://mbrstore.com/products/eyecare-smoothing-gelmask/</v>
      </c>
      <c r="B1216" s="3" t="str">
        <f>HYPERLINK("https://mbrstore.com/products/eyecare-smoothing-gelmask/", "https://mbrstore.com/products/eyecare-smoothing-gelmask/")</f>
        <v>https://mbrstore.com/products/eyecare-smoothing-gelmask/</v>
      </c>
      <c r="C1216" t="s">
        <v>2453</v>
      </c>
      <c r="D1216" t="s">
        <v>2464</v>
      </c>
      <c r="E1216" s="3" t="str">
        <f>HYPERLINK("https://www.amazon.com/Zoom-Electric-Guitar-G1X-FOUR/dp/B07MZPR5GP/ref=sr_1_1?keywords=Effects&amp;qid=1695258869&amp;sr=8-1", "https://www.amazon.com/Zoom-Electric-Guitar-G1X-FOUR/dp/B07MZPR5GP/ref=sr_1_1?keywords=Effects&amp;qid=1695258869&amp;sr=8-1")</f>
        <v>https://www.amazon.com/Zoom-Electric-Guitar-G1X-FOUR/dp/B07MZPR5GP/ref=sr_1_1?keywords=Effects&amp;qid=1695258869&amp;sr=8-1</v>
      </c>
      <c r="F1216" t="s">
        <v>2465</v>
      </c>
      <c r="G1216" t="e">
        <f ca="1">IMAGE("https://mbrstore.com/wp-content/uploads/2022/03/01406_Mask_EyecareSmoothingGelmask_30ml-copy-460x460.jpg")</f>
        <v>#NAME?</v>
      </c>
      <c r="H1216" t="e">
        <f ca="1">IMAGE("https://m.media-amazon.com/images/I/81lPUPAo-SL._AC_UL320_.jpg")</f>
        <v>#NAME?</v>
      </c>
      <c r="I1216" t="s">
        <v>2676</v>
      </c>
      <c r="J1216">
        <v>119.99</v>
      </c>
      <c r="K1216" s="2" t="s">
        <v>2710</v>
      </c>
      <c r="L1216">
        <v>4.5</v>
      </c>
      <c r="M1216">
        <v>6902</v>
      </c>
      <c r="O1216" t="s">
        <v>26</v>
      </c>
      <c r="P1216" t="s">
        <v>39</v>
      </c>
      <c r="Q1216" t="s">
        <v>2678</v>
      </c>
    </row>
    <row r="1217" spans="1:17" ht="15.75" x14ac:dyDescent="0.25">
      <c r="A1217" s="3" t="str">
        <f>HYPERLINK("https://mbrstore.com/products/overnight-refiner/", "https://mbrstore.com/products/overnight-refiner/")</f>
        <v>https://mbrstore.com/products/overnight-refiner/</v>
      </c>
      <c r="B1217" s="3" t="str">
        <f>HYPERLINK("https://mbrstore.com/products/overnight-refiner/", "https://mbrstore.com/products/overnight-refiner/")</f>
        <v>https://mbrstore.com/products/overnight-refiner/</v>
      </c>
      <c r="C1217" t="s">
        <v>2453</v>
      </c>
      <c r="D1217" t="s">
        <v>2515</v>
      </c>
      <c r="E1217" s="3" t="str">
        <f>HYPERLINK("https://www.amazon.com/Crest-Professional-Whitestrips-Whitening-Treatments/dp/B00AHAWWO0/ref=sr_1_7?keywords=Effects&amp;qid=1695258876&amp;sr=8-7", "https://www.amazon.com/Crest-Professional-Whitestrips-Whitening-Treatments/dp/B00AHAWWO0/ref=sr_1_7?keywords=Effects&amp;qid=1695258876&amp;sr=8-7")</f>
        <v>https://www.amazon.com/Crest-Professional-Whitestrips-Whitening-Treatments/dp/B00AHAWWO0/ref=sr_1_7?keywords=Effects&amp;qid=1695258876&amp;sr=8-7</v>
      </c>
      <c r="F1217" t="s">
        <v>2516</v>
      </c>
      <c r="G1217" t="e">
        <f ca="1">IMAGE("https://mbrstore.com/wp-content/uploads/2022/03/01122_OvernightRefiner_50ml-copy-460x460.jpg")</f>
        <v>#NAME?</v>
      </c>
      <c r="H1217" t="e">
        <f ca="1">IMAGE("https://m.media-amazon.com/images/I/61IylKAap-L._AC_UL320_.jpg")</f>
        <v>#NAME?</v>
      </c>
      <c r="I1217" t="s">
        <v>2584</v>
      </c>
      <c r="J1217">
        <v>45.99</v>
      </c>
      <c r="K1217" s="2" t="s">
        <v>2711</v>
      </c>
      <c r="L1217">
        <v>4.5999999999999996</v>
      </c>
      <c r="M1217">
        <v>112972</v>
      </c>
      <c r="O1217" t="s">
        <v>26</v>
      </c>
      <c r="P1217" t="s">
        <v>39</v>
      </c>
      <c r="Q1217" t="s">
        <v>2585</v>
      </c>
    </row>
    <row r="1218" spans="1:17" ht="15.75" x14ac:dyDescent="0.25">
      <c r="A1218" s="3" t="str">
        <f>HYPERLINK("https://mbrstore.com/products/the-best-night-mask/", "https://mbrstore.com/products/the-best-night-mask/")</f>
        <v>https://mbrstore.com/products/the-best-night-mask/</v>
      </c>
      <c r="B1218" s="3" t="str">
        <f>HYPERLINK("https://mbrstore.com/products/the-best-night-mask/", "https://mbrstore.com/products/the-best-night-mask/")</f>
        <v>https://mbrstore.com/products/the-best-night-mask/</v>
      </c>
      <c r="C1218" t="s">
        <v>2453</v>
      </c>
      <c r="D1218" t="s">
        <v>2454</v>
      </c>
      <c r="E1218" s="3" t="str">
        <f>HYPERLINK("https://www.amazon.com/BOSS-ME-90-Multi-Effects-Multi-Function-Footswitches/dp/B0CB95FW31/ref=sr_1_4?keywords=Effects&amp;qid=1695258896&amp;sr=8-4", "https://www.amazon.com/BOSS-ME-90-Multi-Effects-Multi-Function-Footswitches/dp/B0CB95FW31/ref=sr_1_4?keywords=Effects&amp;qid=1695258896&amp;sr=8-4")</f>
        <v>https://www.amazon.com/BOSS-ME-90-Multi-Effects-Multi-Function-Footswitches/dp/B0CB95FW31/ref=sr_1_4?keywords=Effects&amp;qid=1695258896&amp;sr=8-4</v>
      </c>
      <c r="F1218" t="s">
        <v>2455</v>
      </c>
      <c r="G1218" t="e">
        <f ca="1">IMAGE("https://mbrstore.com/wp-content/uploads/2022/03/01431_TheBest_Night_Mask_100ml-copy-460x460.jpg")</f>
        <v>#NAME?</v>
      </c>
      <c r="H1218" t="e">
        <f ca="1">IMAGE("https://m.media-amazon.com/images/I/617SJJIeDWL._AC_UL320_.jpg")</f>
        <v>#NAME?</v>
      </c>
      <c r="I1218" t="s">
        <v>2712</v>
      </c>
      <c r="J1218">
        <v>349.99</v>
      </c>
      <c r="K1218" s="2" t="s">
        <v>2713</v>
      </c>
      <c r="L1218">
        <v>5</v>
      </c>
      <c r="M1218">
        <v>2</v>
      </c>
      <c r="O1218" t="s">
        <v>26</v>
      </c>
      <c r="P1218" t="s">
        <v>39</v>
      </c>
      <c r="Q1218" t="s">
        <v>2714</v>
      </c>
    </row>
    <row r="1219" spans="1:17" ht="15.75" x14ac:dyDescent="0.25">
      <c r="A1219" s="3" t="str">
        <f>HYPERLINK("https://mbrstore.com/products/cytoline-concentrate-100/", "https://mbrstore.com/products/cytoline-concentrate-100/")</f>
        <v>https://mbrstore.com/products/cytoline-concentrate-100/</v>
      </c>
      <c r="B1219" s="3" t="str">
        <f>HYPERLINK("https://mbrstore.com/products/cytoline-concentrate-100/", "https://mbrstore.com/products/cytoline-concentrate-100/")</f>
        <v>https://mbrstore.com/products/cytoline-concentrate-100/</v>
      </c>
      <c r="C1219" t="s">
        <v>2453</v>
      </c>
      <c r="D1219" t="s">
        <v>2464</v>
      </c>
      <c r="E1219" s="3" t="str">
        <f>HYPERLINK("https://www.amazon.com/Zoom-Electric-Guitar-G1X-FOUR/dp/B07MZPR5GP/ref=sr_1_1?keywords=Effects&amp;qid=1695258894&amp;sr=8-1", "https://www.amazon.com/Zoom-Electric-Guitar-G1X-FOUR/dp/B07MZPR5GP/ref=sr_1_1?keywords=Effects&amp;qid=1695258894&amp;sr=8-1")</f>
        <v>https://www.amazon.com/Zoom-Electric-Guitar-G1X-FOUR/dp/B07MZPR5GP/ref=sr_1_1?keywords=Effects&amp;qid=1695258894&amp;sr=8-1</v>
      </c>
      <c r="F1219" t="s">
        <v>2465</v>
      </c>
      <c r="G1219" t="e">
        <f ca="1">IMAGE("https://mbrstore.com/wp-content/uploads/2023/08/01311_CytoLineConcentrate100_50ml-460x460.png")</f>
        <v>#NAME?</v>
      </c>
      <c r="H1219" t="e">
        <f ca="1">IMAGE("https://m.media-amazon.com/images/I/81lPUPAo-SL._AC_UL320_.jpg")</f>
        <v>#NAME?</v>
      </c>
      <c r="I1219" t="s">
        <v>2682</v>
      </c>
      <c r="J1219">
        <v>119.99</v>
      </c>
      <c r="K1219" s="2" t="s">
        <v>2713</v>
      </c>
      <c r="L1219">
        <v>4.5</v>
      </c>
      <c r="M1219">
        <v>6902</v>
      </c>
      <c r="O1219" t="s">
        <v>26</v>
      </c>
      <c r="P1219" t="s">
        <v>39</v>
      </c>
      <c r="Q1219" t="s">
        <v>2684</v>
      </c>
    </row>
    <row r="1220" spans="1:17" ht="15.75" x14ac:dyDescent="0.25">
      <c r="A1220" s="3" t="str">
        <f>HYPERLINK("https://mbrstore.com/products/cream-extraordinary/", "https://mbrstore.com/products/cream-extraordinary/")</f>
        <v>https://mbrstore.com/products/cream-extraordinary/</v>
      </c>
      <c r="B1220" s="3" t="str">
        <f>HYPERLINK("https://mbrstore.com/products/cream-extraordinary/", "https://mbrstore.com/products/cream-extraordinary/")</f>
        <v>https://mbrstore.com/products/cream-extraordinary/</v>
      </c>
      <c r="C1220" t="s">
        <v>2453</v>
      </c>
      <c r="D1220" t="s">
        <v>2464</v>
      </c>
      <c r="E1220" s="3" t="str">
        <f>HYPERLINK("https://www.amazon.com/Zoom-Electric-Guitar-G1X-FOUR/dp/B07MZPR5GP/ref=sr_1_1?keywords=Effects&amp;qid=1695258870&amp;sr=8-1", "https://www.amazon.com/Zoom-Electric-Guitar-G1X-FOUR/dp/B07MZPR5GP/ref=sr_1_1?keywords=Effects&amp;qid=1695258870&amp;sr=8-1")</f>
        <v>https://www.amazon.com/Zoom-Electric-Guitar-G1X-FOUR/dp/B07MZPR5GP/ref=sr_1_1?keywords=Effects&amp;qid=1695258870&amp;sr=8-1</v>
      </c>
      <c r="F1220" t="s">
        <v>2465</v>
      </c>
      <c r="G1220" t="e">
        <f ca="1">IMAGE("https://mbrstore.com/wp-content/uploads/2022/03/01408_Cream_Extraordinary_50ml-copy-460x460.jpg")</f>
        <v>#NAME?</v>
      </c>
      <c r="H1220" t="e">
        <f ca="1">IMAGE("https://m.media-amazon.com/images/I/81lPUPAo-SL._AC_UL320_.jpg")</f>
        <v>#NAME?</v>
      </c>
      <c r="I1220" t="s">
        <v>2686</v>
      </c>
      <c r="J1220">
        <v>119.99</v>
      </c>
      <c r="K1220" s="2" t="s">
        <v>2715</v>
      </c>
      <c r="L1220">
        <v>4.5</v>
      </c>
      <c r="M1220">
        <v>6902</v>
      </c>
      <c r="O1220" t="s">
        <v>26</v>
      </c>
      <c r="P1220" t="s">
        <v>39</v>
      </c>
      <c r="Q1220" t="s">
        <v>2688</v>
      </c>
    </row>
    <row r="1221" spans="1:17" ht="15.75" x14ac:dyDescent="0.25">
      <c r="A1221" s="3" t="str">
        <f>HYPERLINK("https://mbrstore.com/products/eyelash-booster-serum/", "https://mbrstore.com/products/eyelash-booster-serum/")</f>
        <v>https://mbrstore.com/products/eyelash-booster-serum/</v>
      </c>
      <c r="B1221" s="3" t="str">
        <f>HYPERLINK("https://mbrstore.com/products/eyelash-booster-serum/", "https://mbrstore.com/products/eyelash-booster-serum/")</f>
        <v>https://mbrstore.com/products/eyelash-booster-serum/</v>
      </c>
      <c r="C1221" t="s">
        <v>2716</v>
      </c>
      <c r="D1221" t="s">
        <v>2717</v>
      </c>
      <c r="E1221" s="3" t="str">
        <f>HYPERLINK("https://www.amazon.com/Toplash-Enhancer-Promotes-Healthier-Botanicals/dp/B083MZTTB7/ref=sr_1_6?keywords=Eyelash+Booster+Serum&amp;qid=1695258872&amp;sr=8-6", "https://www.amazon.com/Toplash-Enhancer-Promotes-Healthier-Botanicals/dp/B083MZTTB7/ref=sr_1_6?keywords=Eyelash+Booster+Serum&amp;qid=1695258872&amp;sr=8-6")</f>
        <v>https://www.amazon.com/Toplash-Enhancer-Promotes-Healthier-Botanicals/dp/B083MZTTB7/ref=sr_1_6?keywords=Eyelash+Booster+Serum&amp;qid=1695258872&amp;sr=8-6</v>
      </c>
      <c r="F1221" t="s">
        <v>2718</v>
      </c>
      <c r="G1221" t="e">
        <f ca="1">IMAGE("https://mbrstore.com/wp-content/uploads/2022/03/01250_EyelashBooster_3ml-460x460.jpg")</f>
        <v>#NAME?</v>
      </c>
      <c r="H1221" t="e">
        <f ca="1">IMAGE("https://m.media-amazon.com/images/I/71Ct8zvlQGL._AC_UL320_.jpg")</f>
        <v>#NAME?</v>
      </c>
      <c r="I1221" t="s">
        <v>2719</v>
      </c>
      <c r="J1221">
        <v>49.99</v>
      </c>
      <c r="K1221" s="2" t="s">
        <v>2720</v>
      </c>
      <c r="L1221">
        <v>4.5</v>
      </c>
      <c r="M1221">
        <v>491</v>
      </c>
      <c r="O1221" t="s">
        <v>26</v>
      </c>
      <c r="P1221" t="s">
        <v>39</v>
      </c>
      <c r="Q1221" t="s">
        <v>2721</v>
      </c>
    </row>
    <row r="1222" spans="1:17" ht="15.75" x14ac:dyDescent="0.25">
      <c r="A1222" s="3" t="str">
        <f>HYPERLINK("https://mbrstore.com/products/eyelash-booster-serum/", "https://mbrstore.com/products/eyelash-booster-serum/")</f>
        <v>https://mbrstore.com/products/eyelash-booster-serum/</v>
      </c>
      <c r="B1222" s="3" t="str">
        <f>HYPERLINK("https://mbrstore.com/products/eyelash-booster-serum/", "https://mbrstore.com/products/eyelash-booster-serum/")</f>
        <v>https://mbrstore.com/products/eyelash-booster-serum/</v>
      </c>
      <c r="C1222" t="s">
        <v>2716</v>
      </c>
      <c r="D1222" t="s">
        <v>2722</v>
      </c>
      <c r="E1222" s="3" t="str">
        <f>HYPERLINK("https://www.amazon.com/Booster-Nourishing-Thicker-Gorgeous-Alluring/dp/B0915XLLPJ/ref=sr_1_3?keywords=Eyelash+Booster+Serum&amp;qid=1695258872&amp;sr=8-3", "https://www.amazon.com/Booster-Nourishing-Thicker-Gorgeous-Alluring/dp/B0915XLLPJ/ref=sr_1_3?keywords=Eyelash+Booster+Serum&amp;qid=1695258872&amp;sr=8-3")</f>
        <v>https://www.amazon.com/Booster-Nourishing-Thicker-Gorgeous-Alluring/dp/B0915XLLPJ/ref=sr_1_3?keywords=Eyelash+Booster+Serum&amp;qid=1695258872&amp;sr=8-3</v>
      </c>
      <c r="F1222" t="s">
        <v>2723</v>
      </c>
      <c r="G1222" t="e">
        <f ca="1">IMAGE("https://mbrstore.com/wp-content/uploads/2022/03/01250_EyelashBooster_3ml-460x460.jpg")</f>
        <v>#NAME?</v>
      </c>
      <c r="H1222" t="e">
        <f ca="1">IMAGE("https://m.media-amazon.com/images/I/71eQ+ZDGIVL._AC_UL320_.jpg")</f>
        <v>#NAME?</v>
      </c>
      <c r="I1222" t="s">
        <v>2719</v>
      </c>
      <c r="J1222">
        <v>49.97</v>
      </c>
      <c r="K1222" s="2" t="s">
        <v>2724</v>
      </c>
      <c r="L1222">
        <v>4</v>
      </c>
      <c r="M1222">
        <v>121</v>
      </c>
      <c r="O1222" t="s">
        <v>26</v>
      </c>
      <c r="P1222" t="s">
        <v>39</v>
      </c>
      <c r="Q1222" t="s">
        <v>2721</v>
      </c>
    </row>
    <row r="1223" spans="1:17" ht="15.75" x14ac:dyDescent="0.25">
      <c r="A1223" s="3" t="str">
        <f>HYPERLINK("https://mbrstore.com/products/the-best-neck-bust/", "https://mbrstore.com/products/the-best-neck-bust/")</f>
        <v>https://mbrstore.com/products/the-best-neck-bust/</v>
      </c>
      <c r="B1223" s="3" t="str">
        <f>HYPERLINK("https://mbrstore.com/products/the-best-neck-bust/", "https://mbrstore.com/products/the-best-neck-bust/")</f>
        <v>https://mbrstore.com/products/the-best-neck-bust/</v>
      </c>
      <c r="C1223" t="s">
        <v>2453</v>
      </c>
      <c r="D1223" t="s">
        <v>2458</v>
      </c>
      <c r="E1223" s="3" t="str">
        <f>HYPERLINK("https://www.amazon.com/Fender-Mustang-LT-25-Digital-Amplifier/dp/B07N29M92M/ref=sr_1_3?keywords=Effects&amp;qid=1695258906&amp;sr=8-3", "https://www.amazon.com/Fender-Mustang-LT-25-Digital-Amplifier/dp/B07N29M92M/ref=sr_1_3?keywords=Effects&amp;qid=1695258906&amp;sr=8-3")</f>
        <v>https://www.amazon.com/Fender-Mustang-LT-25-Digital-Amplifier/dp/B07N29M92M/ref=sr_1_3?keywords=Effects&amp;qid=1695258906&amp;sr=8-3</v>
      </c>
      <c r="F1223" t="s">
        <v>2459</v>
      </c>
      <c r="G1223" t="e">
        <f ca="1">IMAGE("https://mbrstore.com/wp-content/uploads/2022/03/01449_TheBestNeckBust_100ml-copy-460x460.jpg")</f>
        <v>#NAME?</v>
      </c>
      <c r="H1223" t="e">
        <f ca="1">IMAGE("https://m.media-amazon.com/images/I/81oKmWyFJPL._AC_UL320_.jpg")</f>
        <v>#NAME?</v>
      </c>
      <c r="I1223" t="s">
        <v>2725</v>
      </c>
      <c r="J1223">
        <v>159.99</v>
      </c>
      <c r="K1223" s="2" t="s">
        <v>2726</v>
      </c>
      <c r="L1223">
        <v>4.8</v>
      </c>
      <c r="M1223">
        <v>3110</v>
      </c>
      <c r="O1223" t="s">
        <v>26</v>
      </c>
      <c r="P1223" t="s">
        <v>39</v>
      </c>
      <c r="Q1223" t="s">
        <v>2727</v>
      </c>
    </row>
    <row r="1224" spans="1:17" ht="15.75" x14ac:dyDescent="0.25">
      <c r="A1224" s="3" t="str">
        <f>HYPERLINK("https://mbrstore.com/products/overnight-refiner/", "https://mbrstore.com/products/overnight-refiner/")</f>
        <v>https://mbrstore.com/products/overnight-refiner/</v>
      </c>
      <c r="B1224" s="3" t="str">
        <f>HYPERLINK("https://mbrstore.com/products/overnight-refiner/", "https://mbrstore.com/products/overnight-refiner/")</f>
        <v>https://mbrstore.com/products/overnight-refiner/</v>
      </c>
      <c r="C1224" t="s">
        <v>2453</v>
      </c>
      <c r="D1224" t="s">
        <v>2508</v>
      </c>
      <c r="E1224" s="3" t="str">
        <f>HYPERLINK("https://www.amazon.com/Westmore-Beauty-Tightening-Temporarily-Puffiness/dp/B07BYG7D2V/ref=sr_1_3?keywords=Effects&amp;qid=1695258876&amp;sr=8-3", "https://www.amazon.com/Westmore-Beauty-Tightening-Temporarily-Puffiness/dp/B07BYG7D2V/ref=sr_1_3?keywords=Effects&amp;qid=1695258876&amp;sr=8-3")</f>
        <v>https://www.amazon.com/Westmore-Beauty-Tightening-Temporarily-Puffiness/dp/B07BYG7D2V/ref=sr_1_3?keywords=Effects&amp;qid=1695258876&amp;sr=8-3</v>
      </c>
      <c r="F1224" t="s">
        <v>2509</v>
      </c>
      <c r="G1224" t="e">
        <f ca="1">IMAGE("https://mbrstore.com/wp-content/uploads/2022/03/01122_OvernightRefiner_50ml-copy-460x460.jpg")</f>
        <v>#NAME?</v>
      </c>
      <c r="H1224" t="e">
        <f ca="1">IMAGE("https://m.media-amazon.com/images/I/51YkzEMtyCL._AC_UL320_.jpg")</f>
        <v>#NAME?</v>
      </c>
      <c r="I1224" t="s">
        <v>2584</v>
      </c>
      <c r="J1224">
        <v>43.45</v>
      </c>
      <c r="K1224" s="2" t="s">
        <v>2728</v>
      </c>
      <c r="L1224">
        <v>3.6</v>
      </c>
      <c r="M1224">
        <v>1214</v>
      </c>
      <c r="O1224" t="s">
        <v>26</v>
      </c>
      <c r="P1224" t="s">
        <v>39</v>
      </c>
      <c r="Q1224" t="s">
        <v>2585</v>
      </c>
    </row>
    <row r="1225" spans="1:17" ht="15.75" x14ac:dyDescent="0.25">
      <c r="A1225" s="3" t="str">
        <f>HYPERLINK("https://mbrstore.com/products/continueline-enzyme-specialist/", "https://mbrstore.com/products/continueline-enzyme-specialist/")</f>
        <v>https://mbrstore.com/products/continueline-enzyme-specialist/</v>
      </c>
      <c r="B1225" s="3" t="str">
        <f>HYPERLINK("https://mbrstore.com/products/continueline-enzyme-specialist/", "https://mbrstore.com/products/continueline-enzyme-specialist/")</f>
        <v>https://mbrstore.com/products/continueline-enzyme-specialist/</v>
      </c>
      <c r="C1225" t="s">
        <v>2453</v>
      </c>
      <c r="D1225" t="s">
        <v>2504</v>
      </c>
      <c r="E1225" s="3" t="str">
        <f>HYPERLINK("https://www.amazon.com/Clinical-Effects-Multi-Collagen-Supplement-Quality-Sourced/dp/B085F3PSPB/ref=sr_1_10?keywords=Effects&amp;qid=1695258878&amp;rdc=1&amp;sr=8-10", "https://www.amazon.com/Clinical-Effects-Multi-Collagen-Supplement-Quality-Sourced/dp/B085F3PSPB/ref=sr_1_10?keywords=Effects&amp;qid=1695258878&amp;rdc=1&amp;sr=8-10")</f>
        <v>https://www.amazon.com/Clinical-Effects-Multi-Collagen-Supplement-Quality-Sourced/dp/B085F3PSPB/ref=sr_1_10?keywords=Effects&amp;qid=1695258878&amp;rdc=1&amp;sr=8-10</v>
      </c>
      <c r="F1225" t="s">
        <v>2505</v>
      </c>
      <c r="G1225" t="e">
        <f ca="1">IMAGE("https://mbrstore.com/wp-content/uploads/2022/03/01512_EnzymeSpecialist_50ml-copy-460x460.jpg")</f>
        <v>#NAME?</v>
      </c>
      <c r="H1225" t="e">
        <f ca="1">IMAGE("https://m.media-amazon.com/images/I/71YnIfUehJS._AC_UL320_.jpg")</f>
        <v>#NAME?</v>
      </c>
      <c r="I1225" t="s">
        <v>2485</v>
      </c>
      <c r="J1225">
        <v>43.95</v>
      </c>
      <c r="K1225" s="2" t="s">
        <v>2729</v>
      </c>
      <c r="L1225">
        <v>4.2</v>
      </c>
      <c r="M1225">
        <v>468</v>
      </c>
      <c r="O1225" t="s">
        <v>26</v>
      </c>
      <c r="P1225" t="s">
        <v>2487</v>
      </c>
      <c r="Q1225" t="s">
        <v>2488</v>
      </c>
    </row>
    <row r="1226" spans="1:17" ht="15.75" x14ac:dyDescent="0.25">
      <c r="A1226" s="3" t="str">
        <f>HYPERLINK("https://mbrstore.com/products/continueline-enzyme-specialist/", "https://mbrstore.com/products/continueline-enzyme-specialist/")</f>
        <v>https://mbrstore.com/products/continueline-enzyme-specialist/</v>
      </c>
      <c r="B1226" s="3" t="str">
        <f>HYPERLINK("https://mbrstore.com/products/continueline-enzyme-specialist/", "https://mbrstore.com/products/continueline-enzyme-specialist/")</f>
        <v>https://mbrstore.com/products/continueline-enzyme-specialist/</v>
      </c>
      <c r="C1226" t="s">
        <v>2453</v>
      </c>
      <c r="D1226" t="s">
        <v>2508</v>
      </c>
      <c r="E1226" s="3" t="str">
        <f>HYPERLINK("https://www.amazon.com/Westmore-Beauty-Tightening-Temporarily-Puffiness/dp/B07BYG7D2V/ref=sr_1_3?keywords=Effects&amp;qid=1695258878&amp;sr=8-3", "https://www.amazon.com/Westmore-Beauty-Tightening-Temporarily-Puffiness/dp/B07BYG7D2V/ref=sr_1_3?keywords=Effects&amp;qid=1695258878&amp;sr=8-3")</f>
        <v>https://www.amazon.com/Westmore-Beauty-Tightening-Temporarily-Puffiness/dp/B07BYG7D2V/ref=sr_1_3?keywords=Effects&amp;qid=1695258878&amp;sr=8-3</v>
      </c>
      <c r="F1226" t="s">
        <v>2509</v>
      </c>
      <c r="G1226" t="e">
        <f ca="1">IMAGE("https://mbrstore.com/wp-content/uploads/2022/03/01512_EnzymeSpecialist_50ml-copy-460x460.jpg")</f>
        <v>#NAME?</v>
      </c>
      <c r="H1226" t="e">
        <f ca="1">IMAGE("https://m.media-amazon.com/images/I/51YkzEMtyCL._AC_UL320_.jpg")</f>
        <v>#NAME?</v>
      </c>
      <c r="I1226" t="s">
        <v>2485</v>
      </c>
      <c r="J1226">
        <v>43.45</v>
      </c>
      <c r="K1226" s="2" t="s">
        <v>2730</v>
      </c>
      <c r="L1226">
        <v>3.6</v>
      </c>
      <c r="M1226">
        <v>1214</v>
      </c>
      <c r="O1226" t="s">
        <v>26</v>
      </c>
      <c r="P1226" t="s">
        <v>2487</v>
      </c>
      <c r="Q1226" t="s">
        <v>2488</v>
      </c>
    </row>
    <row r="1227" spans="1:17" ht="15.75" x14ac:dyDescent="0.25">
      <c r="A1227" s="3" t="str">
        <f>HYPERLINK("https://mbrstore.com/products/after-sun-face/", "https://mbrstore.com/products/after-sun-face/")</f>
        <v>https://mbrstore.com/products/after-sun-face/</v>
      </c>
      <c r="B1227" s="3" t="str">
        <f>HYPERLINK("https://mbrstore.com/products/after-sun-face/", "https://mbrstore.com/products/after-sun-face/")</f>
        <v>https://mbrstore.com/products/after-sun-face/</v>
      </c>
      <c r="C1227" t="s">
        <v>2453</v>
      </c>
      <c r="D1227" t="s">
        <v>2515</v>
      </c>
      <c r="E1227" s="3" t="str">
        <f>HYPERLINK("https://www.amazon.com/Crest-Professional-Whitestrips-Whitening-Treatments/dp/B00AHAWWO0/ref=sr_1_10?keywords=Effects&amp;qid=1695258892&amp;sr=8-10", "https://www.amazon.com/Crest-Professional-Whitestrips-Whitening-Treatments/dp/B00AHAWWO0/ref=sr_1_10?keywords=Effects&amp;qid=1695258892&amp;sr=8-10")</f>
        <v>https://www.amazon.com/Crest-Professional-Whitestrips-Whitening-Treatments/dp/B00AHAWWO0/ref=sr_1_10?keywords=Effects&amp;qid=1695258892&amp;sr=8-10</v>
      </c>
      <c r="F1227" t="s">
        <v>2516</v>
      </c>
      <c r="G1227" t="e">
        <f ca="1">IMAGE("https://mbrstore.com/wp-content/uploads/2023/05/01830_AfterSUNFace_100ml-1-460x460.png")</f>
        <v>#NAME?</v>
      </c>
      <c r="H1227" t="e">
        <f ca="1">IMAGE("https://m.media-amazon.com/images/I/61IylKAap-L._AC_UL320_.jpg")</f>
        <v>#NAME?</v>
      </c>
      <c r="I1227" t="s">
        <v>2558</v>
      </c>
      <c r="J1227">
        <v>45.99</v>
      </c>
      <c r="K1227" s="2" t="s">
        <v>2731</v>
      </c>
      <c r="L1227">
        <v>4.5999999999999996</v>
      </c>
      <c r="M1227">
        <v>112972</v>
      </c>
      <c r="O1227" t="s">
        <v>26</v>
      </c>
      <c r="P1227" t="s">
        <v>39</v>
      </c>
      <c r="Q1227" t="s">
        <v>2560</v>
      </c>
    </row>
    <row r="1228" spans="1:17" ht="15.75" x14ac:dyDescent="0.25">
      <c r="A1228" s="3" t="str">
        <f>HYPERLINK("https://mbrstore.com/products/the-best-hand/", "https://mbrstore.com/products/the-best-hand/")</f>
        <v>https://mbrstore.com/products/the-best-hand/</v>
      </c>
      <c r="B1228" s="3" t="str">
        <f>HYPERLINK("https://mbrstore.com/products/the-best-hand/", "https://mbrstore.com/products/the-best-hand/")</f>
        <v>https://mbrstore.com/products/the-best-hand/</v>
      </c>
      <c r="C1228" t="s">
        <v>2453</v>
      </c>
      <c r="D1228" t="s">
        <v>2579</v>
      </c>
      <c r="E1228" s="3" t="str">
        <f>HYPERLINK("https://www.amazon.com/Crest-Professional-Whitestrips-Whitening-Treatments/dp/B00AHAWWO0/ref=sr_1_10?keywords=Effects&amp;qid=1695258873&amp;sr=8-10", "https://www.amazon.com/Crest-Professional-Whitestrips-Whitening-Treatments/dp/B00AHAWWO0/ref=sr_1_10?keywords=Effects&amp;qid=1695258873&amp;sr=8-10")</f>
        <v>https://www.amazon.com/Crest-Professional-Whitestrips-Whitening-Treatments/dp/B00AHAWWO0/ref=sr_1_10?keywords=Effects&amp;qid=1695258873&amp;sr=8-10</v>
      </c>
      <c r="F1228" t="s">
        <v>2516</v>
      </c>
      <c r="G1228" t="e">
        <f ca="1">IMAGE("https://mbrstore.com/wp-content/uploads/2022/03/01447_TheBestHand_15ml-copy-460x460.jpg")</f>
        <v>#NAME?</v>
      </c>
      <c r="H1228" t="e">
        <f ca="1">IMAGE("https://m.media-amazon.com/images/I/61IylKAap-L._AC_UL320_.jpg")</f>
        <v>#NAME?</v>
      </c>
      <c r="I1228" t="s">
        <v>2562</v>
      </c>
      <c r="J1228">
        <v>45.99</v>
      </c>
      <c r="K1228" s="2" t="s">
        <v>2732</v>
      </c>
      <c r="L1228">
        <v>4.5999999999999996</v>
      </c>
      <c r="M1228">
        <v>112972</v>
      </c>
      <c r="O1228" t="s">
        <v>26</v>
      </c>
      <c r="P1228" t="s">
        <v>39</v>
      </c>
      <c r="Q1228" t="s">
        <v>2564</v>
      </c>
    </row>
    <row r="1229" spans="1:17" ht="15.75" x14ac:dyDescent="0.25">
      <c r="A1229" s="3" t="str">
        <f>HYPERLINK("https://mbrstore.com/products/cream-mask-smooth/", "https://mbrstore.com/products/cream-mask-smooth/")</f>
        <v>https://mbrstore.com/products/cream-mask-smooth/</v>
      </c>
      <c r="B1229" s="3" t="str">
        <f>HYPERLINK("https://mbrstore.com/products/cream-mask-smooth/", "https://mbrstore.com/products/cream-mask-smooth/")</f>
        <v>https://mbrstore.com/products/cream-mask-smooth/</v>
      </c>
      <c r="C1229" t="s">
        <v>2453</v>
      </c>
      <c r="D1229" t="s">
        <v>2464</v>
      </c>
      <c r="E1229" s="3" t="str">
        <f>HYPERLINK("https://www.amazon.com/Zoom-Electric-Guitar-G1X-FOUR/dp/B07MZPR5GP/ref=sr_1_4?keywords=Effects&amp;qid=1695258879&amp;sr=8-4", "https://www.amazon.com/Zoom-Electric-Guitar-G1X-FOUR/dp/B07MZPR5GP/ref=sr_1_4?keywords=Effects&amp;qid=1695258879&amp;sr=8-4")</f>
        <v>https://www.amazon.com/Zoom-Electric-Guitar-G1X-FOUR/dp/B07MZPR5GP/ref=sr_1_4?keywords=Effects&amp;qid=1695258879&amp;sr=8-4</v>
      </c>
      <c r="F1229" t="s">
        <v>2465</v>
      </c>
      <c r="G1229" t="e">
        <f ca="1">IMAGE("https://mbrstore.com/wp-content/uploads/2022/03/01402_CreamMaskSmooth100_30ml_1121-460x460.jpg")</f>
        <v>#NAME?</v>
      </c>
      <c r="H1229" t="e">
        <f ca="1">IMAGE("https://m.media-amazon.com/images/I/81lPUPAo-SL._AC_UL320_.jpg")</f>
        <v>#NAME?</v>
      </c>
      <c r="I1229" t="s">
        <v>2692</v>
      </c>
      <c r="J1229">
        <v>119.99</v>
      </c>
      <c r="K1229" s="2" t="s">
        <v>2733</v>
      </c>
      <c r="L1229">
        <v>4.5</v>
      </c>
      <c r="M1229">
        <v>6902</v>
      </c>
      <c r="O1229" t="s">
        <v>26</v>
      </c>
      <c r="P1229" t="s">
        <v>39</v>
      </c>
      <c r="Q1229" t="s">
        <v>2694</v>
      </c>
    </row>
    <row r="1230" spans="1:17" ht="15.75" x14ac:dyDescent="0.25">
      <c r="A1230" s="3" t="str">
        <f>HYPERLINK("https://mbrstore.com/products/eye-injection/", "https://mbrstore.com/products/eye-injection/")</f>
        <v>https://mbrstore.com/products/eye-injection/</v>
      </c>
      <c r="B1230" s="3" t="str">
        <f>HYPERLINK("https://mbrstore.com/products/eye-injection/", "https://mbrstore.com/products/eye-injection/")</f>
        <v>https://mbrstore.com/products/eye-injection/</v>
      </c>
      <c r="C1230" t="s">
        <v>2453</v>
      </c>
      <c r="D1230" t="s">
        <v>2515</v>
      </c>
      <c r="E1230" s="3" t="str">
        <f>HYPERLINK("https://www.amazon.com/Crest-Professional-Whitestrips-Whitening-Treatments/dp/B00AHAWWO0/ref=sr_1_10?keywords=Effects&amp;qid=1695258895&amp;sr=8-10", "https://www.amazon.com/Crest-Professional-Whitestrips-Whitening-Treatments/dp/B00AHAWWO0/ref=sr_1_10?keywords=Effects&amp;qid=1695258895&amp;sr=8-10")</f>
        <v>https://www.amazon.com/Crest-Professional-Whitestrips-Whitening-Treatments/dp/B00AHAWWO0/ref=sr_1_10?keywords=Effects&amp;qid=1695258895&amp;sr=8-10</v>
      </c>
      <c r="F1230" t="s">
        <v>2516</v>
      </c>
      <c r="G1230" t="e">
        <f ca="1">IMAGE("https://mbrstore.com/wp-content/uploads/2022/06/01708_EyeInjection_15ml-copy-460x460.jpg")</f>
        <v>#NAME?</v>
      </c>
      <c r="H1230" t="e">
        <f ca="1">IMAGE("https://m.media-amazon.com/images/I/61IylKAap-L._AC_UL320_.jpg")</f>
        <v>#NAME?</v>
      </c>
      <c r="I1230" t="s">
        <v>2568</v>
      </c>
      <c r="J1230">
        <v>45.99</v>
      </c>
      <c r="K1230" s="2" t="s">
        <v>2734</v>
      </c>
      <c r="L1230">
        <v>4.5999999999999996</v>
      </c>
      <c r="M1230">
        <v>112972</v>
      </c>
      <c r="O1230" t="s">
        <v>26</v>
      </c>
      <c r="P1230" t="s">
        <v>39</v>
      </c>
      <c r="Q1230" t="s">
        <v>2570</v>
      </c>
    </row>
    <row r="1231" spans="1:17" ht="15.75" x14ac:dyDescent="0.25">
      <c r="A1231" s="3" t="str">
        <f>HYPERLINK("https://mbrstore.com/products/after-sun-face/", "https://mbrstore.com/products/after-sun-face/")</f>
        <v>https://mbrstore.com/products/after-sun-face/</v>
      </c>
      <c r="B1231" s="3" t="str">
        <f>HYPERLINK("https://mbrstore.com/products/after-sun-face/", "https://mbrstore.com/products/after-sun-face/")</f>
        <v>https://mbrstore.com/products/after-sun-face/</v>
      </c>
      <c r="C1231" t="s">
        <v>2453</v>
      </c>
      <c r="D1231" t="s">
        <v>2508</v>
      </c>
      <c r="E1231" s="3" t="str">
        <f>HYPERLINK("https://www.amazon.com/Westmore-Beauty-Tightening-Temporarily-Puffiness/dp/B07BYG7D2V/ref=sr_1_5?keywords=Effects&amp;qid=1695258892&amp;sr=8-5", "https://www.amazon.com/Westmore-Beauty-Tightening-Temporarily-Puffiness/dp/B07BYG7D2V/ref=sr_1_5?keywords=Effects&amp;qid=1695258892&amp;sr=8-5")</f>
        <v>https://www.amazon.com/Westmore-Beauty-Tightening-Temporarily-Puffiness/dp/B07BYG7D2V/ref=sr_1_5?keywords=Effects&amp;qid=1695258892&amp;sr=8-5</v>
      </c>
      <c r="F1231" t="s">
        <v>2509</v>
      </c>
      <c r="G1231" t="e">
        <f ca="1">IMAGE("https://mbrstore.com/wp-content/uploads/2023/05/01830_AfterSUNFace_100ml-1-460x460.png")</f>
        <v>#NAME?</v>
      </c>
      <c r="H1231" t="e">
        <f ca="1">IMAGE("https://m.media-amazon.com/images/I/51YkzEMtyCL._AC_UL320_.jpg")</f>
        <v>#NAME?</v>
      </c>
      <c r="I1231" t="s">
        <v>2558</v>
      </c>
      <c r="J1231">
        <v>43.45</v>
      </c>
      <c r="K1231" s="2" t="s">
        <v>2735</v>
      </c>
      <c r="L1231">
        <v>3.6</v>
      </c>
      <c r="M1231">
        <v>1214</v>
      </c>
      <c r="O1231" t="s">
        <v>26</v>
      </c>
      <c r="P1231" t="s">
        <v>39</v>
      </c>
      <c r="Q1231" t="s">
        <v>2560</v>
      </c>
    </row>
    <row r="1232" spans="1:17" ht="15.75" x14ac:dyDescent="0.25">
      <c r="A1232" s="3" t="str">
        <f>HYPERLINK("https://mbrstore.com/products/after-sun-body/", "https://mbrstore.com/products/after-sun-body/")</f>
        <v>https://mbrstore.com/products/after-sun-body/</v>
      </c>
      <c r="B1232" s="3" t="str">
        <f>HYPERLINK("https://mbrstore.com/products/after-sun-body/", "https://mbrstore.com/products/after-sun-body/")</f>
        <v>https://mbrstore.com/products/after-sun-body/</v>
      </c>
      <c r="C1232" t="s">
        <v>2453</v>
      </c>
      <c r="D1232" t="s">
        <v>2508</v>
      </c>
      <c r="E1232" s="3" t="str">
        <f>HYPERLINK("https://www.amazon.com/Westmore-Beauty-Tightening-Temporarily-Puffiness/dp/B07BYG7D2V/ref=sr_1_7?keywords=Effects&amp;qid=1695258892&amp;sr=8-7", "https://www.amazon.com/Westmore-Beauty-Tightening-Temporarily-Puffiness/dp/B07BYG7D2V/ref=sr_1_7?keywords=Effects&amp;qid=1695258892&amp;sr=8-7")</f>
        <v>https://www.amazon.com/Westmore-Beauty-Tightening-Temporarily-Puffiness/dp/B07BYG7D2V/ref=sr_1_7?keywords=Effects&amp;qid=1695258892&amp;sr=8-7</v>
      </c>
      <c r="F1232" t="s">
        <v>2509</v>
      </c>
      <c r="G1232" t="e">
        <f ca="1">IMAGE("https://mbrstore.com/wp-content/uploads/2023/05/01831_AfterSUNBody_200ml-460x460.png")</f>
        <v>#NAME?</v>
      </c>
      <c r="H1232" t="e">
        <f ca="1">IMAGE("https://m.media-amazon.com/images/I/51YkzEMtyCL._AC_UL320_.jpg")</f>
        <v>#NAME?</v>
      </c>
      <c r="I1232" t="s">
        <v>2558</v>
      </c>
      <c r="J1232">
        <v>43.45</v>
      </c>
      <c r="K1232" s="2" t="s">
        <v>2735</v>
      </c>
      <c r="L1232">
        <v>3.6</v>
      </c>
      <c r="M1232">
        <v>1214</v>
      </c>
      <c r="O1232" t="s">
        <v>26</v>
      </c>
      <c r="P1232" t="s">
        <v>39</v>
      </c>
      <c r="Q1232" t="s">
        <v>2592</v>
      </c>
    </row>
    <row r="1233" spans="1:17" ht="15.75" x14ac:dyDescent="0.25">
      <c r="A1233" s="3" t="str">
        <f>HYPERLINK("https://mbrstore.com/products/eye-cream-smooth-100/", "https://mbrstore.com/products/eye-cream-smooth-100/")</f>
        <v>https://mbrstore.com/products/eye-cream-smooth-100/</v>
      </c>
      <c r="B1233" s="3" t="str">
        <f>HYPERLINK("https://mbrstore.com/products/eye-cream-smooth-100/", "https://mbrstore.com/products/eye-cream-smooth-100/")</f>
        <v>https://mbrstore.com/products/eye-cream-smooth-100/</v>
      </c>
      <c r="C1233" t="s">
        <v>2453</v>
      </c>
      <c r="D1233" t="s">
        <v>2458</v>
      </c>
      <c r="E1233" s="3" t="str">
        <f>HYPERLINK("https://www.amazon.com/Fender-Mustang-LT-25-Digital-Amplifier/dp/B07N29M92M/ref=sr_1_4?keywords=Effects&amp;qid=1695258872&amp;sr=8-4", "https://www.amazon.com/Fender-Mustang-LT-25-Digital-Amplifier/dp/B07N29M92M/ref=sr_1_4?keywords=Effects&amp;qid=1695258872&amp;sr=8-4")</f>
        <v>https://www.amazon.com/Fender-Mustang-LT-25-Digital-Amplifier/dp/B07N29M92M/ref=sr_1_4?keywords=Effects&amp;qid=1695258872&amp;sr=8-4</v>
      </c>
      <c r="F1233" t="s">
        <v>2459</v>
      </c>
      <c r="G1233" t="e">
        <f ca="1">IMAGE("https://mbrstore.com/wp-content/uploads/2022/03/01403_EyeCreamSmooth_15ml-copy-460x460.jpg")</f>
        <v>#NAME?</v>
      </c>
      <c r="H1233" t="e">
        <f ca="1">IMAGE("https://m.media-amazon.com/images/I/81oKmWyFJPL._AC_UL320_.jpg")</f>
        <v>#NAME?</v>
      </c>
      <c r="I1233" t="s">
        <v>2632</v>
      </c>
      <c r="J1233">
        <v>159.99</v>
      </c>
      <c r="K1233" s="2" t="s">
        <v>2736</v>
      </c>
      <c r="L1233">
        <v>4.8</v>
      </c>
      <c r="M1233">
        <v>3110</v>
      </c>
      <c r="O1233" t="s">
        <v>26</v>
      </c>
      <c r="P1233" t="s">
        <v>39</v>
      </c>
      <c r="Q1233" t="s">
        <v>2634</v>
      </c>
    </row>
    <row r="1234" spans="1:17" ht="15.75" x14ac:dyDescent="0.25">
      <c r="A1234" s="3" t="str">
        <f>HYPERLINK("https://mbrstore.com/products/the-best-hand/", "https://mbrstore.com/products/the-best-hand/")</f>
        <v>https://mbrstore.com/products/the-best-hand/</v>
      </c>
      <c r="B1234" s="3" t="str">
        <f>HYPERLINK("https://mbrstore.com/products/the-best-hand/", "https://mbrstore.com/products/the-best-hand/")</f>
        <v>https://mbrstore.com/products/the-best-hand/</v>
      </c>
      <c r="C1234" t="s">
        <v>2453</v>
      </c>
      <c r="D1234" t="s">
        <v>2508</v>
      </c>
      <c r="E1234" s="3" t="str">
        <f>HYPERLINK("https://www.amazon.com/Westmore-Beauty-Tightening-Temporarily-Puffiness/dp/B07BYG7D2V/ref=sr_1_5?keywords=Effects&amp;qid=1695258873&amp;sr=8-5", "https://www.amazon.com/Westmore-Beauty-Tightening-Temporarily-Puffiness/dp/B07BYG7D2V/ref=sr_1_5?keywords=Effects&amp;qid=1695258873&amp;sr=8-5")</f>
        <v>https://www.amazon.com/Westmore-Beauty-Tightening-Temporarily-Puffiness/dp/B07BYG7D2V/ref=sr_1_5?keywords=Effects&amp;qid=1695258873&amp;sr=8-5</v>
      </c>
      <c r="F1234" t="s">
        <v>2509</v>
      </c>
      <c r="G1234" t="e">
        <f ca="1">IMAGE("https://mbrstore.com/wp-content/uploads/2022/03/01447_TheBestHand_15ml-copy-460x460.jpg")</f>
        <v>#NAME?</v>
      </c>
      <c r="H1234" t="e">
        <f ca="1">IMAGE("https://m.media-amazon.com/images/I/51YkzEMtyCL._AC_UL320_.jpg")</f>
        <v>#NAME?</v>
      </c>
      <c r="I1234" t="s">
        <v>2562</v>
      </c>
      <c r="J1234">
        <v>43.45</v>
      </c>
      <c r="K1234" s="2" t="s">
        <v>2737</v>
      </c>
      <c r="L1234">
        <v>3.6</v>
      </c>
      <c r="M1234">
        <v>1214</v>
      </c>
      <c r="O1234" t="s">
        <v>26</v>
      </c>
      <c r="P1234" t="s">
        <v>39</v>
      </c>
      <c r="Q1234" t="s">
        <v>2564</v>
      </c>
    </row>
    <row r="1235" spans="1:17" ht="15.75" x14ac:dyDescent="0.25">
      <c r="A1235" s="3" t="str">
        <f>HYPERLINK("https://mbrstore.com/products/cross-lift-serum-ultrapeptide/", "https://mbrstore.com/products/cross-lift-serum-ultrapeptide/")</f>
        <v>https://mbrstore.com/products/cross-lift-serum-ultrapeptide/</v>
      </c>
      <c r="B1235" s="3" t="str">
        <f>HYPERLINK("https://mbrstore.com/products/cross-lift-serum-ultrapeptide/", "https://mbrstore.com/products/cross-lift-serum-ultrapeptide/")</f>
        <v>https://mbrstore.com/products/cross-lift-serum-ultrapeptide/</v>
      </c>
      <c r="C1235" t="s">
        <v>2453</v>
      </c>
      <c r="D1235" t="s">
        <v>2464</v>
      </c>
      <c r="E1235" s="3" t="str">
        <f>HYPERLINK("https://www.amazon.com/Zoom-Electric-Guitar-G1X-FOUR/dp/B07MZPR5GP/ref=sr_1_1?keywords=Effects&amp;qid=1695258911&amp;sr=8-1", "https://www.amazon.com/Zoom-Electric-Guitar-G1X-FOUR/dp/B07MZPR5GP/ref=sr_1_1?keywords=Effects&amp;qid=1695258911&amp;sr=8-1")</f>
        <v>https://www.amazon.com/Zoom-Electric-Guitar-G1X-FOUR/dp/B07MZPR5GP/ref=sr_1_1?keywords=Effects&amp;qid=1695258911&amp;sr=8-1</v>
      </c>
      <c r="F1235" t="s">
        <v>2465</v>
      </c>
      <c r="G1235" t="e">
        <f ca="1">IMAGE("https://mbrstore.com/wp-content/uploads/2022/03/01407_MBR_Cross_Lift_Serum_Ultrapeptide_30ml-copy-460x460.jpg")</f>
        <v>#NAME?</v>
      </c>
      <c r="H1235" t="e">
        <f ca="1">IMAGE("https://m.media-amazon.com/images/I/81lPUPAo-SL._AC_UL320_.jpg")</f>
        <v>#NAME?</v>
      </c>
      <c r="I1235" t="s">
        <v>2700</v>
      </c>
      <c r="J1235">
        <v>119.99</v>
      </c>
      <c r="K1235" s="2" t="s">
        <v>2738</v>
      </c>
      <c r="L1235">
        <v>4.5</v>
      </c>
      <c r="M1235">
        <v>6902</v>
      </c>
      <c r="O1235" t="s">
        <v>26</v>
      </c>
      <c r="P1235" t="s">
        <v>39</v>
      </c>
      <c r="Q1235" t="s">
        <v>2702</v>
      </c>
    </row>
    <row r="1236" spans="1:17" ht="15.75" x14ac:dyDescent="0.25">
      <c r="A1236" s="3" t="str">
        <f>HYPERLINK("https://mbrstore.com/products/eyelift-cream/", "https://mbrstore.com/products/eyelift-cream/")</f>
        <v>https://mbrstore.com/products/eyelift-cream/</v>
      </c>
      <c r="B1236" s="3" t="str">
        <f>HYPERLINK("https://mbrstore.com/products/eyelift-cream/", "https://mbrstore.com/products/eyelift-cream/")</f>
        <v>https://mbrstore.com/products/eyelift-cream/</v>
      </c>
      <c r="C1236" t="s">
        <v>2453</v>
      </c>
      <c r="D1236" t="s">
        <v>2508</v>
      </c>
      <c r="E1236" s="3" t="str">
        <f>HYPERLINK("https://www.amazon.com/Westmore-Beauty-Tightening-Temporarily-Puffiness/dp/B07BYG7D2V/ref=sr_1_5?keywords=Effects&amp;qid=1695258884&amp;sr=8-5", "https://www.amazon.com/Westmore-Beauty-Tightening-Temporarily-Puffiness/dp/B07BYG7D2V/ref=sr_1_5?keywords=Effects&amp;qid=1695258884&amp;sr=8-5")</f>
        <v>https://www.amazon.com/Westmore-Beauty-Tightening-Temporarily-Puffiness/dp/B07BYG7D2V/ref=sr_1_5?keywords=Effects&amp;qid=1695258884&amp;sr=8-5</v>
      </c>
      <c r="F1236" t="s">
        <v>2509</v>
      </c>
      <c r="G1236" t="e">
        <f ca="1">IMAGE("https://mbrstore.com/wp-content/uploads/2022/03/01219_MBR_Eye_Lift_Cream_30ml-copy-460x460.jpg")</f>
        <v>#NAME?</v>
      </c>
      <c r="H1236" t="e">
        <f ca="1">IMAGE("https://m.media-amazon.com/images/I/51YkzEMtyCL._AC_UL320_.jpg")</f>
        <v>#NAME?</v>
      </c>
      <c r="I1236" t="s">
        <v>2568</v>
      </c>
      <c r="J1236">
        <v>43.45</v>
      </c>
      <c r="K1236" s="2" t="s">
        <v>2739</v>
      </c>
      <c r="L1236">
        <v>3.6</v>
      </c>
      <c r="M1236">
        <v>1214</v>
      </c>
      <c r="O1236" t="s">
        <v>26</v>
      </c>
      <c r="P1236" t="s">
        <v>39</v>
      </c>
      <c r="Q1236" t="s">
        <v>2571</v>
      </c>
    </row>
    <row r="1237" spans="1:17" ht="15.75" x14ac:dyDescent="0.25">
      <c r="A1237" s="3" t="str">
        <f>HYPERLINK("https://mbrstore.com/products/eye-injection/", "https://mbrstore.com/products/eye-injection/")</f>
        <v>https://mbrstore.com/products/eye-injection/</v>
      </c>
      <c r="B1237" s="3" t="str">
        <f>HYPERLINK("https://mbrstore.com/products/eye-injection/", "https://mbrstore.com/products/eye-injection/")</f>
        <v>https://mbrstore.com/products/eye-injection/</v>
      </c>
      <c r="C1237" t="s">
        <v>2453</v>
      </c>
      <c r="D1237" t="s">
        <v>2508</v>
      </c>
      <c r="E1237" s="3" t="str">
        <f>HYPERLINK("https://www.amazon.com/Westmore-Beauty-Tightening-Temporarily-Puffiness/dp/B07BYG7D2V/ref=sr_1_5?keywords=Effects&amp;qid=1695258895&amp;sr=8-5", "https://www.amazon.com/Westmore-Beauty-Tightening-Temporarily-Puffiness/dp/B07BYG7D2V/ref=sr_1_5?keywords=Effects&amp;qid=1695258895&amp;sr=8-5")</f>
        <v>https://www.amazon.com/Westmore-Beauty-Tightening-Temporarily-Puffiness/dp/B07BYG7D2V/ref=sr_1_5?keywords=Effects&amp;qid=1695258895&amp;sr=8-5</v>
      </c>
      <c r="F1237" t="s">
        <v>2509</v>
      </c>
      <c r="G1237" t="e">
        <f ca="1">IMAGE("https://mbrstore.com/wp-content/uploads/2022/06/01708_EyeInjection_15ml-copy-460x460.jpg")</f>
        <v>#NAME?</v>
      </c>
      <c r="H1237" t="e">
        <f ca="1">IMAGE("https://m.media-amazon.com/images/I/51YkzEMtyCL._AC_UL320_.jpg")</f>
        <v>#NAME?</v>
      </c>
      <c r="I1237" t="s">
        <v>2568</v>
      </c>
      <c r="J1237">
        <v>43.45</v>
      </c>
      <c r="K1237" s="2" t="s">
        <v>2739</v>
      </c>
      <c r="L1237">
        <v>3.6</v>
      </c>
      <c r="M1237">
        <v>1214</v>
      </c>
      <c r="O1237" t="s">
        <v>26</v>
      </c>
      <c r="P1237" t="s">
        <v>39</v>
      </c>
      <c r="Q1237" t="s">
        <v>2570</v>
      </c>
    </row>
    <row r="1238" spans="1:17" ht="15.75" x14ac:dyDescent="0.25">
      <c r="A1238" s="3" t="str">
        <f>HYPERLINK("https://mbrstore.com/products/tissue-activator-serum/", "https://mbrstore.com/products/tissue-activator-serum/")</f>
        <v>https://mbrstore.com/products/tissue-activator-serum/</v>
      </c>
      <c r="B1238" s="3" t="str">
        <f>HYPERLINK("https://mbrstore.com/products/tissue-activator-serum/", "https://mbrstore.com/products/tissue-activator-serum/")</f>
        <v>https://mbrstore.com/products/tissue-activator-serum/</v>
      </c>
      <c r="C1238" t="s">
        <v>2453</v>
      </c>
      <c r="D1238" t="s">
        <v>2508</v>
      </c>
      <c r="E1238" s="3" t="str">
        <f>HYPERLINK("https://www.amazon.com/Westmore-Beauty-Tightening-Temporarily-Puffiness/dp/B07BYG7D2V/ref=sr_1_9?keywords=Effects&amp;qid=1695258873&amp;sr=8-9", "https://www.amazon.com/Westmore-Beauty-Tightening-Temporarily-Puffiness/dp/B07BYG7D2V/ref=sr_1_9?keywords=Effects&amp;qid=1695258873&amp;sr=8-9")</f>
        <v>https://www.amazon.com/Westmore-Beauty-Tightening-Temporarily-Puffiness/dp/B07BYG7D2V/ref=sr_1_9?keywords=Effects&amp;qid=1695258873&amp;sr=8-9</v>
      </c>
      <c r="F1238" t="s">
        <v>2509</v>
      </c>
      <c r="G1238" t="e">
        <f ca="1">IMAGE("https://mbrstore.com/wp-content/uploads/2022/03/01222_TissueActivatorSerum_30ml-copy-460x460.jpg")</f>
        <v>#NAME?</v>
      </c>
      <c r="H1238" t="e">
        <f ca="1">IMAGE("https://m.media-amazon.com/images/I/51YkzEMtyCL._AC_UL320_.jpg")</f>
        <v>#NAME?</v>
      </c>
      <c r="I1238" t="s">
        <v>2572</v>
      </c>
      <c r="J1238">
        <v>43.45</v>
      </c>
      <c r="K1238" s="2" t="s">
        <v>2740</v>
      </c>
      <c r="L1238">
        <v>3.6</v>
      </c>
      <c r="M1238">
        <v>1214</v>
      </c>
      <c r="O1238" t="s">
        <v>26</v>
      </c>
      <c r="P1238" t="s">
        <v>2574</v>
      </c>
      <c r="Q1238" t="s">
        <v>2575</v>
      </c>
    </row>
    <row r="1239" spans="1:17" ht="15.75" x14ac:dyDescent="0.25">
      <c r="A1239" s="3" t="str">
        <f>HYPERLINK("https://mbrstore.com/products/face-cream-smooth/", "https://mbrstore.com/products/face-cream-smooth/")</f>
        <v>https://mbrstore.com/products/face-cream-smooth/</v>
      </c>
      <c r="B1239" s="3" t="str">
        <f>HYPERLINK("https://mbrstore.com/products/face-cream-smooth/", "https://mbrstore.com/products/face-cream-smooth/")</f>
        <v>https://mbrstore.com/products/face-cream-smooth/</v>
      </c>
      <c r="C1239" t="s">
        <v>2453</v>
      </c>
      <c r="D1239" t="s">
        <v>2458</v>
      </c>
      <c r="E1239" s="3" t="str">
        <f>HYPERLINK("https://www.amazon.com/Fender-Mustang-LT-25-Digital-Amplifier/dp/B07N29M92M/ref=sr_1_8?keywords=Effects&amp;qid=1695258894&amp;sr=8-8", "https://www.amazon.com/Fender-Mustang-LT-25-Digital-Amplifier/dp/B07N29M92M/ref=sr_1_8?keywords=Effects&amp;qid=1695258894&amp;sr=8-8")</f>
        <v>https://www.amazon.com/Fender-Mustang-LT-25-Digital-Amplifier/dp/B07N29M92M/ref=sr_1_8?keywords=Effects&amp;qid=1695258894&amp;sr=8-8</v>
      </c>
      <c r="F1239" t="s">
        <v>2459</v>
      </c>
      <c r="G1239" t="e">
        <f ca="1">IMAGE("https://mbrstore.com/wp-content/uploads/2022/03/01401_Face_Cream_Smooth_50ml-copy-460x460.jpg")</f>
        <v>#NAME?</v>
      </c>
      <c r="H1239" t="e">
        <f ca="1">IMAGE("https://m.media-amazon.com/images/I/81oKmWyFJPL._AC_UL320_.jpg")</f>
        <v>#NAME?</v>
      </c>
      <c r="I1239" t="s">
        <v>2741</v>
      </c>
      <c r="J1239">
        <v>159.99</v>
      </c>
      <c r="K1239" s="2" t="s">
        <v>2742</v>
      </c>
      <c r="L1239">
        <v>4.8</v>
      </c>
      <c r="M1239">
        <v>3110</v>
      </c>
      <c r="O1239" t="s">
        <v>26</v>
      </c>
      <c r="P1239" t="s">
        <v>39</v>
      </c>
      <c r="Q1239" t="s">
        <v>2743</v>
      </c>
    </row>
    <row r="1240" spans="1:17" ht="15.75" x14ac:dyDescent="0.25">
      <c r="A1240" s="3" t="str">
        <f>HYPERLINK("https://mbrstore.com/products/foam-cleanser/", "https://mbrstore.com/products/foam-cleanser/")</f>
        <v>https://mbrstore.com/products/foam-cleanser/</v>
      </c>
      <c r="B1240" s="3" t="str">
        <f>HYPERLINK("https://mbrstore.com/products/foam-cleanser/", "https://mbrstore.com/products/foam-cleanser/")</f>
        <v>https://mbrstore.com/products/foam-cleanser/</v>
      </c>
      <c r="C1240" t="s">
        <v>2453</v>
      </c>
      <c r="D1240" t="s">
        <v>2744</v>
      </c>
      <c r="E1240" s="3" t="str">
        <f>HYPERLINK("https://www.amazon.com/Moisturizer-Olay-Effects-Mature-Therapy/dp/B0012J30KU/ref=sr_1_9?keywords=Effects&amp;qid=1695258869&amp;sr=8-9", "https://www.amazon.com/Moisturizer-Olay-Effects-Mature-Therapy/dp/B0012J30KU/ref=sr_1_9?keywords=Effects&amp;qid=1695258869&amp;sr=8-9")</f>
        <v>https://www.amazon.com/Moisturizer-Olay-Effects-Mature-Therapy/dp/B0012J30KU/ref=sr_1_9?keywords=Effects&amp;qid=1695258869&amp;sr=8-9</v>
      </c>
      <c r="F1240" t="s">
        <v>2745</v>
      </c>
      <c r="G1240" t="e">
        <f ca="1">IMAGE("https://mbrstore.com/wp-content/uploads/2022/03/01104_FoamCleanser_100ml-copy-460x460.jpg")</f>
        <v>#NAME?</v>
      </c>
      <c r="H1240" t="e">
        <f ca="1">IMAGE("https://m.media-amazon.com/images/I/71VBUUX+vsL._AC_UL320_.jpg")</f>
        <v>#NAME?</v>
      </c>
      <c r="I1240" t="s">
        <v>2531</v>
      </c>
      <c r="J1240">
        <v>21</v>
      </c>
      <c r="K1240" s="2" t="s">
        <v>2746</v>
      </c>
      <c r="L1240">
        <v>4.5999999999999996</v>
      </c>
      <c r="M1240">
        <v>2860</v>
      </c>
      <c r="O1240" t="s">
        <v>26</v>
      </c>
      <c r="P1240" t="s">
        <v>39</v>
      </c>
      <c r="Q1240" t="s">
        <v>2533</v>
      </c>
    </row>
    <row r="1241" spans="1:17" ht="15.75" x14ac:dyDescent="0.25">
      <c r="A1241" s="3" t="str">
        <f>HYPERLINK("https://mbrstore.com/products/overnight-refiner/", "https://mbrstore.com/products/overnight-refiner/")</f>
        <v>https://mbrstore.com/products/overnight-refiner/</v>
      </c>
      <c r="B1241" s="3" t="str">
        <f>HYPERLINK("https://mbrstore.com/products/overnight-refiner/", "https://mbrstore.com/products/overnight-refiner/")</f>
        <v>https://mbrstore.com/products/overnight-refiner/</v>
      </c>
      <c r="C1241" t="s">
        <v>2453</v>
      </c>
      <c r="D1241" t="s">
        <v>2646</v>
      </c>
      <c r="E1241" s="3" t="str">
        <f>HYPERLINK("https://www.amazon.com/Clinical-Effects-All-Natural-Supplement-Digestive/dp/B08QDMGYV2/ref=sr_1_10?keywords=Effects&amp;qid=1695258876&amp;sr=8-10", "https://www.amazon.com/Clinical-Effects-All-Natural-Supplement-Digestive/dp/B08QDMGYV2/ref=sr_1_10?keywords=Effects&amp;qid=1695258876&amp;sr=8-10")</f>
        <v>https://www.amazon.com/Clinical-Effects-All-Natural-Supplement-Digestive/dp/B08QDMGYV2/ref=sr_1_10?keywords=Effects&amp;qid=1695258876&amp;sr=8-10</v>
      </c>
      <c r="F1241" t="s">
        <v>2647</v>
      </c>
      <c r="G1241" t="e">
        <f ca="1">IMAGE("https://mbrstore.com/wp-content/uploads/2022/03/01122_OvernightRefiner_50ml-copy-460x460.jpg")</f>
        <v>#NAME?</v>
      </c>
      <c r="H1241" t="e">
        <f ca="1">IMAGE("https://m.media-amazon.com/images/I/71nmXZe49eL._AC_UL320_.jpg")</f>
        <v>#NAME?</v>
      </c>
      <c r="I1241" t="s">
        <v>2584</v>
      </c>
      <c r="J1241">
        <v>35</v>
      </c>
      <c r="K1241" s="2" t="s">
        <v>2746</v>
      </c>
      <c r="L1241">
        <v>4.4000000000000004</v>
      </c>
      <c r="M1241">
        <v>200</v>
      </c>
      <c r="O1241" t="s">
        <v>26</v>
      </c>
      <c r="P1241" t="s">
        <v>39</v>
      </c>
      <c r="Q1241" t="s">
        <v>2585</v>
      </c>
    </row>
    <row r="1242" spans="1:17" ht="15.75" x14ac:dyDescent="0.25">
      <c r="A1242" s="3" t="str">
        <f>HYPERLINK("https://mbrstore.com/products/the-best-face-extra-rich/", "https://mbrstore.com/products/the-best-face-extra-rich/")</f>
        <v>https://mbrstore.com/products/the-best-face-extra-rich/</v>
      </c>
      <c r="B1242" s="3" t="str">
        <f>HYPERLINK("https://mbrstore.com/products/the-best-face-extra-rich/", "https://mbrstore.com/products/the-best-face-extra-rich/")</f>
        <v>https://mbrstore.com/products/the-best-face-extra-rich/</v>
      </c>
      <c r="C1242" t="s">
        <v>2453</v>
      </c>
      <c r="D1242" t="s">
        <v>2454</v>
      </c>
      <c r="E1242" s="3" t="str">
        <f>HYPERLINK("https://www.amazon.com/BOSS-ME-90-Multi-Effects-Multi-Function-Footswitches/dp/B0CB95FW31/ref=sr_1_4?keywords=Effects&amp;qid=1695258911&amp;sr=8-4", "https://www.amazon.com/BOSS-ME-90-Multi-Effects-Multi-Function-Footswitches/dp/B0CB95FW31/ref=sr_1_4?keywords=Effects&amp;qid=1695258911&amp;sr=8-4")</f>
        <v>https://www.amazon.com/BOSS-ME-90-Multi-Effects-Multi-Function-Footswitches/dp/B0CB95FW31/ref=sr_1_4?keywords=Effects&amp;qid=1695258911&amp;sr=8-4</v>
      </c>
      <c r="F1242" t="s">
        <v>2455</v>
      </c>
      <c r="G1242" t="e">
        <f ca="1">IMAGE("https://mbrstore.com/wp-content/uploads/2022/03/01446_TheBest_Face_Extra_Rich_50ml-copy-460x460.jpg")</f>
        <v>#NAME?</v>
      </c>
      <c r="H1242" t="e">
        <f ca="1">IMAGE("https://m.media-amazon.com/images/I/617SJJIeDWL._AC_UL320_.jpg")</f>
        <v>#NAME?</v>
      </c>
      <c r="I1242" t="s">
        <v>2747</v>
      </c>
      <c r="J1242">
        <v>349.99</v>
      </c>
      <c r="K1242" s="2" t="s">
        <v>2748</v>
      </c>
      <c r="L1242">
        <v>5</v>
      </c>
      <c r="M1242">
        <v>2</v>
      </c>
      <c r="O1242" t="s">
        <v>26</v>
      </c>
      <c r="P1242" t="s">
        <v>39</v>
      </c>
      <c r="Q1242" t="s">
        <v>2749</v>
      </c>
    </row>
    <row r="1243" spans="1:17" ht="15.75" x14ac:dyDescent="0.25">
      <c r="A1243" s="3" t="str">
        <f>HYPERLINK("https://mbrstore.com/products/hair-scalp-conditioner/", "https://mbrstore.com/products/hair-scalp-conditioner/")</f>
        <v>https://mbrstore.com/products/hair-scalp-conditioner/</v>
      </c>
      <c r="B1243" s="3" t="str">
        <f>HYPERLINK("https://mbrstore.com/products/hair-scalp-conditioner/", "https://mbrstore.com/products/hair-scalp-conditioner/")</f>
        <v>https://mbrstore.com/products/hair-scalp-conditioner/</v>
      </c>
      <c r="C1243" t="s">
        <v>2453</v>
      </c>
      <c r="D1243" t="s">
        <v>2504</v>
      </c>
      <c r="E1243" s="3" t="str">
        <f>HYPERLINK("https://www.amazon.com/Clinical-Effects-Multi-Collagen-Supplement-Quality-Sourced/dp/B085F3PSPB/ref=sr_1_10?keywords=Effects&amp;qid=1695258875&amp;rdc=1&amp;sr=8-10", "https://www.amazon.com/Clinical-Effects-Multi-Collagen-Supplement-Quality-Sourced/dp/B085F3PSPB/ref=sr_1_10?keywords=Effects&amp;qid=1695258875&amp;rdc=1&amp;sr=8-10")</f>
        <v>https://www.amazon.com/Clinical-Effects-Multi-Collagen-Supplement-Quality-Sourced/dp/B085F3PSPB/ref=sr_1_10?keywords=Effects&amp;qid=1695258875&amp;rdc=1&amp;sr=8-10</v>
      </c>
      <c r="F1243" t="s">
        <v>2505</v>
      </c>
      <c r="G1243" t="e">
        <f ca="1">IMAGE("https://mbrstore.com/wp-content/uploads/2022/03/01461_HairScalpConditioner_200ml-copy-460x460.jpg")</f>
        <v>#NAME?</v>
      </c>
      <c r="H1243" t="e">
        <f ca="1">IMAGE("https://m.media-amazon.com/images/I/71YnIfUehJS._AC_UL320_.jpg")</f>
        <v>#NAME?</v>
      </c>
      <c r="I1243" t="s">
        <v>2581</v>
      </c>
      <c r="J1243">
        <v>43.95</v>
      </c>
      <c r="K1243" s="2" t="s">
        <v>2750</v>
      </c>
      <c r="L1243">
        <v>4.2</v>
      </c>
      <c r="M1243">
        <v>468</v>
      </c>
      <c r="O1243" t="s">
        <v>26</v>
      </c>
      <c r="P1243" t="s">
        <v>39</v>
      </c>
      <c r="Q1243" t="s">
        <v>2583</v>
      </c>
    </row>
    <row r="1244" spans="1:17" ht="15.75" x14ac:dyDescent="0.25">
      <c r="A1244" s="3" t="str">
        <f>HYPERLINK("https://mbrstore.com/products/the-best-neck-bust/", "https://mbrstore.com/products/the-best-neck-bust/")</f>
        <v>https://mbrstore.com/products/the-best-neck-bust/</v>
      </c>
      <c r="B1244" s="3" t="str">
        <f>HYPERLINK("https://mbrstore.com/products/the-best-neck-bust/", "https://mbrstore.com/products/the-best-neck-bust/")</f>
        <v>https://mbrstore.com/products/the-best-neck-bust/</v>
      </c>
      <c r="C1244" t="s">
        <v>2453</v>
      </c>
      <c r="D1244" t="s">
        <v>2464</v>
      </c>
      <c r="E1244" s="3" t="str">
        <f>HYPERLINK("https://www.amazon.com/Zoom-Electric-Guitar-G1X-FOUR/dp/B07MZPR5GP/ref=sr_1_1?keywords=Effects&amp;qid=1695258906&amp;sr=8-1", "https://www.amazon.com/Zoom-Electric-Guitar-G1X-FOUR/dp/B07MZPR5GP/ref=sr_1_1?keywords=Effects&amp;qid=1695258906&amp;sr=8-1")</f>
        <v>https://www.amazon.com/Zoom-Electric-Guitar-G1X-FOUR/dp/B07MZPR5GP/ref=sr_1_1?keywords=Effects&amp;qid=1695258906&amp;sr=8-1</v>
      </c>
      <c r="F1244" t="s">
        <v>2465</v>
      </c>
      <c r="G1244" t="e">
        <f ca="1">IMAGE("https://mbrstore.com/wp-content/uploads/2022/03/01449_TheBestNeckBust_100ml-copy-460x460.jpg")</f>
        <v>#NAME?</v>
      </c>
      <c r="H1244" t="e">
        <f ca="1">IMAGE("https://m.media-amazon.com/images/I/81lPUPAo-SL._AC_UL320_.jpg")</f>
        <v>#NAME?</v>
      </c>
      <c r="I1244" t="s">
        <v>2725</v>
      </c>
      <c r="J1244">
        <v>119.99</v>
      </c>
      <c r="K1244" s="2" t="s">
        <v>2751</v>
      </c>
      <c r="L1244">
        <v>4.5</v>
      </c>
      <c r="M1244">
        <v>6902</v>
      </c>
      <c r="O1244" t="s">
        <v>26</v>
      </c>
      <c r="P1244" t="s">
        <v>39</v>
      </c>
      <c r="Q1244" t="s">
        <v>2727</v>
      </c>
    </row>
    <row r="1245" spans="1:17" ht="15.75" x14ac:dyDescent="0.25">
      <c r="A1245" s="3" t="str">
        <f>HYPERLINK("https://mbrstore.com/products/hair-scalp-conditioner/", "https://mbrstore.com/products/hair-scalp-conditioner/")</f>
        <v>https://mbrstore.com/products/hair-scalp-conditioner/</v>
      </c>
      <c r="B1245" s="3" t="str">
        <f>HYPERLINK("https://mbrstore.com/products/hair-scalp-conditioner/", "https://mbrstore.com/products/hair-scalp-conditioner/")</f>
        <v>https://mbrstore.com/products/hair-scalp-conditioner/</v>
      </c>
      <c r="C1245" t="s">
        <v>2453</v>
      </c>
      <c r="D1245" t="s">
        <v>2508</v>
      </c>
      <c r="E1245" s="3" t="str">
        <f>HYPERLINK("https://www.amazon.com/Westmore-Beauty-Tightening-Temporarily-Puffiness/dp/B07BYG7D2V/ref=sr_1_1?keywords=Effects&amp;qid=1695258875&amp;sr=8-1", "https://www.amazon.com/Westmore-Beauty-Tightening-Temporarily-Puffiness/dp/B07BYG7D2V/ref=sr_1_1?keywords=Effects&amp;qid=1695258875&amp;sr=8-1")</f>
        <v>https://www.amazon.com/Westmore-Beauty-Tightening-Temporarily-Puffiness/dp/B07BYG7D2V/ref=sr_1_1?keywords=Effects&amp;qid=1695258875&amp;sr=8-1</v>
      </c>
      <c r="F1245" t="s">
        <v>2509</v>
      </c>
      <c r="G1245" t="e">
        <f ca="1">IMAGE("https://mbrstore.com/wp-content/uploads/2022/03/01461_HairScalpConditioner_200ml-copy-460x460.jpg")</f>
        <v>#NAME?</v>
      </c>
      <c r="H1245" t="e">
        <f ca="1">IMAGE("https://m.media-amazon.com/images/I/51YkzEMtyCL._AC_UL320_.jpg")</f>
        <v>#NAME?</v>
      </c>
      <c r="I1245" t="s">
        <v>2581</v>
      </c>
      <c r="J1245">
        <v>43.45</v>
      </c>
      <c r="K1245" s="2" t="s">
        <v>2752</v>
      </c>
      <c r="L1245">
        <v>3.6</v>
      </c>
      <c r="M1245">
        <v>1214</v>
      </c>
      <c r="O1245" t="s">
        <v>26</v>
      </c>
      <c r="P1245" t="s">
        <v>39</v>
      </c>
      <c r="Q1245" t="s">
        <v>2583</v>
      </c>
    </row>
    <row r="1246" spans="1:17" ht="15.75" x14ac:dyDescent="0.25">
      <c r="A1246" s="3" t="str">
        <f>HYPERLINK("https://mbrstore.com/products/face-concentrate/", "https://mbrstore.com/products/face-concentrate/")</f>
        <v>https://mbrstore.com/products/face-concentrate/</v>
      </c>
      <c r="B1246" s="3" t="str">
        <f>HYPERLINK("https://mbrstore.com/products/face-concentrate/", "https://mbrstore.com/products/face-concentrate/")</f>
        <v>https://mbrstore.com/products/face-concentrate/</v>
      </c>
      <c r="C1246" t="s">
        <v>2453</v>
      </c>
      <c r="D1246" t="s">
        <v>2504</v>
      </c>
      <c r="E1246" s="3" t="str">
        <f>HYPERLINK("https://www.amazon.com/Clinical-Effects-Multi-Collagen-Supplement-Quality-Sourced/dp/B085F3PSPB/ref=sr_1_10?keywords=Effects&amp;qid=1695258892&amp;rdc=1&amp;sr=8-10", "https://www.amazon.com/Clinical-Effects-Multi-Collagen-Supplement-Quality-Sourced/dp/B085F3PSPB/ref=sr_1_10?keywords=Effects&amp;qid=1695258892&amp;rdc=1&amp;sr=8-10")</f>
        <v>https://www.amazon.com/Clinical-Effects-Multi-Collagen-Supplement-Quality-Sourced/dp/B085F3PSPB/ref=sr_1_10?keywords=Effects&amp;qid=1695258892&amp;rdc=1&amp;sr=8-10</v>
      </c>
      <c r="F1246" t="s">
        <v>2505</v>
      </c>
      <c r="G1246" t="e">
        <f ca="1">IMAGE("https://mbrstore.com/wp-content/uploads/2022/06/01705_FaceConcentrate_50ml-copy-460x460.jpg")</f>
        <v>#NAME?</v>
      </c>
      <c r="H1246" t="e">
        <f ca="1">IMAGE("https://m.media-amazon.com/images/I/71YnIfUehJS._AC_UL320_.jpg")</f>
        <v>#NAME?</v>
      </c>
      <c r="I1246" t="s">
        <v>2588</v>
      </c>
      <c r="J1246">
        <v>43.95</v>
      </c>
      <c r="K1246" s="2" t="s">
        <v>2753</v>
      </c>
      <c r="L1246">
        <v>4.2</v>
      </c>
      <c r="M1246">
        <v>468</v>
      </c>
      <c r="O1246" t="s">
        <v>26</v>
      </c>
      <c r="P1246" t="s">
        <v>39</v>
      </c>
      <c r="Q1246" t="s">
        <v>2590</v>
      </c>
    </row>
    <row r="1247" spans="1:17" ht="15.75" x14ac:dyDescent="0.25">
      <c r="A1247" s="3" t="str">
        <f>HYPERLINK("https://mbrstore.com/products/face-concentrate/", "https://mbrstore.com/products/face-concentrate/")</f>
        <v>https://mbrstore.com/products/face-concentrate/</v>
      </c>
      <c r="B1247" s="3" t="str">
        <f>HYPERLINK("https://mbrstore.com/products/face-concentrate/", "https://mbrstore.com/products/face-concentrate/")</f>
        <v>https://mbrstore.com/products/face-concentrate/</v>
      </c>
      <c r="C1247" t="s">
        <v>2453</v>
      </c>
      <c r="D1247" t="s">
        <v>2508</v>
      </c>
      <c r="E1247" s="3" t="str">
        <f>HYPERLINK("https://www.amazon.com/Westmore-Beauty-Tightening-Temporarily-Puffiness/dp/B07BYG7D2V/ref=sr_1_1?keywords=Effects&amp;qid=1695258892&amp;sr=8-1", "https://www.amazon.com/Westmore-Beauty-Tightening-Temporarily-Puffiness/dp/B07BYG7D2V/ref=sr_1_1?keywords=Effects&amp;qid=1695258892&amp;sr=8-1")</f>
        <v>https://www.amazon.com/Westmore-Beauty-Tightening-Temporarily-Puffiness/dp/B07BYG7D2V/ref=sr_1_1?keywords=Effects&amp;qid=1695258892&amp;sr=8-1</v>
      </c>
      <c r="F1247" t="s">
        <v>2509</v>
      </c>
      <c r="G1247" t="e">
        <f ca="1">IMAGE("https://mbrstore.com/wp-content/uploads/2022/06/01705_FaceConcentrate_50ml-copy-460x460.jpg")</f>
        <v>#NAME?</v>
      </c>
      <c r="H1247" t="e">
        <f ca="1">IMAGE("https://m.media-amazon.com/images/I/51YkzEMtyCL._AC_UL320_.jpg")</f>
        <v>#NAME?</v>
      </c>
      <c r="I1247" t="s">
        <v>2588</v>
      </c>
      <c r="J1247">
        <v>43.45</v>
      </c>
      <c r="K1247" s="2" t="s">
        <v>2754</v>
      </c>
      <c r="L1247">
        <v>3.6</v>
      </c>
      <c r="M1247">
        <v>1214</v>
      </c>
      <c r="O1247" t="s">
        <v>26</v>
      </c>
      <c r="P1247" t="s">
        <v>39</v>
      </c>
      <c r="Q1247" t="s">
        <v>2590</v>
      </c>
    </row>
    <row r="1248" spans="1:17" ht="15.75" x14ac:dyDescent="0.25">
      <c r="A1248" s="3" t="str">
        <f>HYPERLINK("https://mbrstore.com/products/the-best-concentrate/", "https://mbrstore.com/products/the-best-concentrate/")</f>
        <v>https://mbrstore.com/products/the-best-concentrate/</v>
      </c>
      <c r="B1248" s="3" t="str">
        <f>HYPERLINK("https://mbrstore.com/products/the-best-concentrate/", "https://mbrstore.com/products/the-best-concentrate/")</f>
        <v>https://mbrstore.com/products/the-best-concentrate/</v>
      </c>
      <c r="C1248" t="s">
        <v>2453</v>
      </c>
      <c r="D1248" t="s">
        <v>2458</v>
      </c>
      <c r="E1248" s="3" t="str">
        <f>HYPERLINK("https://www.amazon.com/Fender-Mustang-LT-25-Digital-Amplifier/dp/B07N29M92M/ref=sr_1_3?keywords=Effects&amp;qid=1695258891&amp;sr=8-3", "https://www.amazon.com/Fender-Mustang-LT-25-Digital-Amplifier/dp/B07N29M92M/ref=sr_1_3?keywords=Effects&amp;qid=1695258891&amp;sr=8-3")</f>
        <v>https://www.amazon.com/Fender-Mustang-LT-25-Digital-Amplifier/dp/B07N29M92M/ref=sr_1_3?keywords=Effects&amp;qid=1695258891&amp;sr=8-3</v>
      </c>
      <c r="F1248" t="s">
        <v>2459</v>
      </c>
      <c r="G1248" t="e">
        <f ca="1">IMAGE("https://mbrstore.com/wp-content/uploads/2022/03/01443_The_Best_Concentrate_15ml-copy-460x460.jpg")</f>
        <v>#NAME?</v>
      </c>
      <c r="H1248" t="e">
        <f ca="1">IMAGE("https://m.media-amazon.com/images/I/81oKmWyFJPL._AC_UL320_.jpg")</f>
        <v>#NAME?</v>
      </c>
      <c r="I1248" t="s">
        <v>2755</v>
      </c>
      <c r="J1248">
        <v>159.99</v>
      </c>
      <c r="K1248" s="2" t="s">
        <v>2756</v>
      </c>
      <c r="L1248">
        <v>4.8</v>
      </c>
      <c r="M1248">
        <v>3110</v>
      </c>
      <c r="O1248" t="s">
        <v>26</v>
      </c>
      <c r="P1248" t="s">
        <v>39</v>
      </c>
      <c r="Q1248" t="s">
        <v>2757</v>
      </c>
    </row>
    <row r="1249" spans="1:17" ht="15.75" x14ac:dyDescent="0.25">
      <c r="A1249" s="3" t="str">
        <f>HYPERLINK("https://mbrstore.com/products/skin-whitening-cream/", "https://mbrstore.com/products/skin-whitening-cream/")</f>
        <v>https://mbrstore.com/products/skin-whitening-cream/</v>
      </c>
      <c r="B1249" s="3" t="str">
        <f>HYPERLINK("https://mbrstore.com/products/skin-whitening-cream/", "https://mbrstore.com/products/skin-whitening-cream/")</f>
        <v>https://mbrstore.com/products/skin-whitening-cream/</v>
      </c>
      <c r="C1249" t="s">
        <v>2453</v>
      </c>
      <c r="D1249" t="s">
        <v>2515</v>
      </c>
      <c r="E1249" s="3" t="str">
        <f>HYPERLINK("https://www.amazon.com/Crest-Professional-Whitestrips-Whitening-Treatments/dp/B00AHAWWO0/ref=sr_1_10?keywords=Effects&amp;qid=1695258891&amp;sr=8-10", "https://www.amazon.com/Crest-Professional-Whitestrips-Whitening-Treatments/dp/B00AHAWWO0/ref=sr_1_10?keywords=Effects&amp;qid=1695258891&amp;sr=8-10")</f>
        <v>https://www.amazon.com/Crest-Professional-Whitestrips-Whitening-Treatments/dp/B00AHAWWO0/ref=sr_1_10?keywords=Effects&amp;qid=1695258891&amp;sr=8-10</v>
      </c>
      <c r="F1249" t="s">
        <v>2516</v>
      </c>
      <c r="G1249" t="e">
        <f ca="1">IMAGE("https://mbrstore.com/wp-content/uploads/2022/03/02010_SkinWhiteningCream_50ml-copy-460x460.jpg")</f>
        <v>#NAME?</v>
      </c>
      <c r="H1249" t="e">
        <f ca="1">IMAGE("https://m.media-amazon.com/images/I/61IylKAap-L._AC_UL320_.jpg")</f>
        <v>#NAME?</v>
      </c>
      <c r="I1249" t="s">
        <v>2594</v>
      </c>
      <c r="J1249">
        <v>45.99</v>
      </c>
      <c r="K1249" s="2" t="s">
        <v>2758</v>
      </c>
      <c r="L1249">
        <v>4.5999999999999996</v>
      </c>
      <c r="M1249">
        <v>112972</v>
      </c>
      <c r="O1249" t="s">
        <v>26</v>
      </c>
      <c r="P1249" t="s">
        <v>39</v>
      </c>
      <c r="Q1249" t="s">
        <v>2596</v>
      </c>
    </row>
    <row r="1250" spans="1:17" ht="15.75" x14ac:dyDescent="0.25">
      <c r="A1250" s="3" t="str">
        <f>HYPERLINK("https://mbrstore.com/products/modukine-serum/", "https://mbrstore.com/products/modukine-serum/")</f>
        <v>https://mbrstore.com/products/modukine-serum/</v>
      </c>
      <c r="B1250" s="3" t="str">
        <f>HYPERLINK("https://mbrstore.com/products/modukine-serum/", "https://mbrstore.com/products/modukine-serum/")</f>
        <v>https://mbrstore.com/products/modukine-serum/</v>
      </c>
      <c r="C1250" t="s">
        <v>2453</v>
      </c>
      <c r="D1250" t="s">
        <v>2508</v>
      </c>
      <c r="E1250" s="3" t="str">
        <f>HYPERLINK("https://www.amazon.com/Westmore-Beauty-Tightening-Temporarily-Puffiness/dp/B07BYG7D2V/ref=sr_1_7?keywords=Effects&amp;qid=1695258875&amp;sr=8-7", "https://www.amazon.com/Westmore-Beauty-Tightening-Temporarily-Puffiness/dp/B07BYG7D2V/ref=sr_1_7?keywords=Effects&amp;qid=1695258875&amp;sr=8-7")</f>
        <v>https://www.amazon.com/Westmore-Beauty-Tightening-Temporarily-Puffiness/dp/B07BYG7D2V/ref=sr_1_7?keywords=Effects&amp;qid=1695258875&amp;sr=8-7</v>
      </c>
      <c r="F1250" t="s">
        <v>2509</v>
      </c>
      <c r="G1250" t="e">
        <f ca="1">IMAGE("https://mbrstore.com/wp-content/uploads/2022/03/01530_MBR_ModukineSerum_50ml-copy-460x460.jpg")</f>
        <v>#NAME?</v>
      </c>
      <c r="H1250" t="e">
        <f ca="1">IMAGE("https://m.media-amazon.com/images/I/51YkzEMtyCL._AC_UL320_.jpg")</f>
        <v>#NAME?</v>
      </c>
      <c r="I1250" t="s">
        <v>2635</v>
      </c>
      <c r="J1250">
        <v>43.45</v>
      </c>
      <c r="K1250" s="2" t="s">
        <v>2759</v>
      </c>
      <c r="L1250">
        <v>3.6</v>
      </c>
      <c r="M1250">
        <v>1214</v>
      </c>
      <c r="O1250" t="s">
        <v>26</v>
      </c>
      <c r="P1250" t="s">
        <v>39</v>
      </c>
      <c r="Q1250" t="s">
        <v>2637</v>
      </c>
    </row>
    <row r="1251" spans="1:17" ht="15.75" x14ac:dyDescent="0.25">
      <c r="A1251" s="3" t="str">
        <f>HYPERLINK("https://mbrstore.com/products/continueline-cell-tissue-activator/", "https://mbrstore.com/products/continueline-cell-tissue-activator/")</f>
        <v>https://mbrstore.com/products/continueline-cell-tissue-activator/</v>
      </c>
      <c r="B1251" s="3" t="str">
        <f>HYPERLINK("https://mbrstore.com/products/continueline-cell-tissue-activator/", "https://mbrstore.com/products/continueline-cell-tissue-activator/")</f>
        <v>https://mbrstore.com/products/continueline-cell-tissue-activator/</v>
      </c>
      <c r="C1251" t="s">
        <v>2453</v>
      </c>
      <c r="D1251" t="s">
        <v>2579</v>
      </c>
      <c r="E1251" s="3" t="str">
        <f>HYPERLINK("https://www.amazon.com/Crest-Professional-Whitestrips-Whitening-Treatments/dp/B00AHAWWO0/ref=sr_1_10?keywords=Effects&amp;qid=1695258908&amp;sr=8-10", "https://www.amazon.com/Crest-Professional-Whitestrips-Whitening-Treatments/dp/B00AHAWWO0/ref=sr_1_10?keywords=Effects&amp;qid=1695258908&amp;sr=8-10")</f>
        <v>https://www.amazon.com/Crest-Professional-Whitestrips-Whitening-Treatments/dp/B00AHAWWO0/ref=sr_1_10?keywords=Effects&amp;qid=1695258908&amp;sr=8-10</v>
      </c>
      <c r="F1251" t="s">
        <v>2516</v>
      </c>
      <c r="G1251" t="e">
        <f ca="1">IMAGE("https://mbrstore.com/wp-content/uploads/2022/03/01517_CellTissueActivator_50ml-copy-460x460.jpg")</f>
        <v>#NAME?</v>
      </c>
      <c r="H1251" t="e">
        <f ca="1">IMAGE("https://m.media-amazon.com/images/I/61IylKAap-L._AC_UL320_.jpg")</f>
        <v>#NAME?</v>
      </c>
      <c r="I1251" t="s">
        <v>2601</v>
      </c>
      <c r="J1251">
        <v>45.99</v>
      </c>
      <c r="K1251" s="2" t="s">
        <v>2760</v>
      </c>
      <c r="L1251">
        <v>4.5999999999999996</v>
      </c>
      <c r="M1251">
        <v>112972</v>
      </c>
      <c r="O1251" t="s">
        <v>26</v>
      </c>
      <c r="P1251" t="s">
        <v>39</v>
      </c>
      <c r="Q1251" t="s">
        <v>2606</v>
      </c>
    </row>
    <row r="1252" spans="1:17" ht="15.75" x14ac:dyDescent="0.25">
      <c r="A1252" s="3" t="str">
        <f>HYPERLINK("https://mbrstore.com/products/after-sun-liquid-mask/", "https://mbrstore.com/products/after-sun-liquid-mask/")</f>
        <v>https://mbrstore.com/products/after-sun-liquid-mask/</v>
      </c>
      <c r="B1252" s="3" t="str">
        <f>HYPERLINK("https://mbrstore.com/products/after-sun-liquid-mask/", "https://mbrstore.com/products/after-sun-liquid-mask/")</f>
        <v>https://mbrstore.com/products/after-sun-liquid-mask/</v>
      </c>
      <c r="C1252" t="s">
        <v>2453</v>
      </c>
      <c r="D1252" t="s">
        <v>2579</v>
      </c>
      <c r="E1252" s="3" t="str">
        <f>HYPERLINK("https://www.amazon.com/Crest-Professional-Whitestrips-Whitening-Treatments/dp/B00AHAWWO0/ref=sr_1_10?keywords=Effects&amp;qid=1695258877&amp;sr=8-10", "https://www.amazon.com/Crest-Professional-Whitestrips-Whitening-Treatments/dp/B00AHAWWO0/ref=sr_1_10?keywords=Effects&amp;qid=1695258877&amp;sr=8-10")</f>
        <v>https://www.amazon.com/Crest-Professional-Whitestrips-Whitening-Treatments/dp/B00AHAWWO0/ref=sr_1_10?keywords=Effects&amp;qid=1695258877&amp;sr=8-10</v>
      </c>
      <c r="F1252" t="s">
        <v>2516</v>
      </c>
      <c r="G1252" t="e">
        <f ca="1">IMAGE("https://mbrstore.com/wp-content/uploads/2023/06/01833_AfterSUNLiquidMask-Large-460x460.png")</f>
        <v>#NAME?</v>
      </c>
      <c r="H1252" t="e">
        <f ca="1">IMAGE("https://m.media-amazon.com/images/I/61IylKAap-L._AC_UL320_.jpg")</f>
        <v>#NAME?</v>
      </c>
      <c r="I1252" t="s">
        <v>2601</v>
      </c>
      <c r="J1252">
        <v>45.99</v>
      </c>
      <c r="K1252" s="2" t="s">
        <v>2760</v>
      </c>
      <c r="L1252">
        <v>4.5999999999999996</v>
      </c>
      <c r="M1252">
        <v>112972</v>
      </c>
      <c r="O1252" t="s">
        <v>26</v>
      </c>
      <c r="P1252" t="s">
        <v>39</v>
      </c>
      <c r="Q1252" t="s">
        <v>2604</v>
      </c>
    </row>
    <row r="1253" spans="1:17" ht="15.75" x14ac:dyDescent="0.25">
      <c r="A1253" s="3" t="str">
        <f>HYPERLINK("https://mbrstore.com/products/cell-power-neck-decollete-cream/", "https://mbrstore.com/products/cell-power-neck-decollete-cream/")</f>
        <v>https://mbrstore.com/products/cell-power-neck-decollete-cream/</v>
      </c>
      <c r="B1253" s="3" t="str">
        <f>HYPERLINK("https://mbrstore.com/products/cell-power-neck-decollete-cream/", "https://mbrstore.com/products/cell-power-neck-decollete-cream/")</f>
        <v>https://mbrstore.com/products/cell-power-neck-decollete-cream/</v>
      </c>
      <c r="C1253" t="s">
        <v>2453</v>
      </c>
      <c r="D1253" t="s">
        <v>2515</v>
      </c>
      <c r="E1253" s="3" t="str">
        <f>HYPERLINK("https://www.amazon.com/Crest-Professional-Whitestrips-Whitening-Treatments/dp/B00AHAWWO0/ref=sr_1_10?keywords=Effects&amp;qid=1695258887&amp;sr=8-10", "https://www.amazon.com/Crest-Professional-Whitestrips-Whitening-Treatments/dp/B00AHAWWO0/ref=sr_1_10?keywords=Effects&amp;qid=1695258887&amp;sr=8-10")</f>
        <v>https://www.amazon.com/Crest-Professional-Whitestrips-Whitening-Treatments/dp/B00AHAWWO0/ref=sr_1_10?keywords=Effects&amp;qid=1695258887&amp;sr=8-10</v>
      </c>
      <c r="F1253" t="s">
        <v>2516</v>
      </c>
      <c r="G1253" t="e">
        <f ca="1">IMAGE("https://mbrstore.com/wp-content/uploads/2022/03/01611_Neck_And_Decoltee_Cream_100ml-copy-460x460.jpg")</f>
        <v>#NAME?</v>
      </c>
      <c r="H1253" t="e">
        <f ca="1">IMAGE("https://m.media-amazon.com/images/I/61IylKAap-L._AC_UL320_.jpg")</f>
        <v>#NAME?</v>
      </c>
      <c r="I1253" t="s">
        <v>2601</v>
      </c>
      <c r="J1253">
        <v>45.99</v>
      </c>
      <c r="K1253" s="2" t="s">
        <v>2760</v>
      </c>
      <c r="L1253">
        <v>4.5999999999999996</v>
      </c>
      <c r="M1253">
        <v>112972</v>
      </c>
      <c r="O1253" t="s">
        <v>26</v>
      </c>
      <c r="P1253" t="s">
        <v>39</v>
      </c>
      <c r="Q1253" t="s">
        <v>2607</v>
      </c>
    </row>
    <row r="1254" spans="1:17" ht="15.75" x14ac:dyDescent="0.25">
      <c r="A1254" s="3" t="str">
        <f>HYPERLINK("https://mbrstore.com/products/continueline-protection-shield-eye/", "https://mbrstore.com/products/continueline-protection-shield-eye/")</f>
        <v>https://mbrstore.com/products/continueline-protection-shield-eye/</v>
      </c>
      <c r="B1254" s="3" t="str">
        <f>HYPERLINK("https://mbrstore.com/products/continueline-protection-shield-eye/", "https://mbrstore.com/products/continueline-protection-shield-eye/")</f>
        <v>https://mbrstore.com/products/continueline-protection-shield-eye/</v>
      </c>
      <c r="C1254" t="s">
        <v>2453</v>
      </c>
      <c r="D1254" t="s">
        <v>2515</v>
      </c>
      <c r="E1254" s="3" t="str">
        <f>HYPERLINK("https://www.amazon.com/Crest-Professional-Whitestrips-Whitening-Treatments/dp/B00AHAWWO0/ref=sr_1_10?keywords=Effects&amp;qid=1695258881&amp;sr=8-10", "https://www.amazon.com/Crest-Professional-Whitestrips-Whitening-Treatments/dp/B00AHAWWO0/ref=sr_1_10?keywords=Effects&amp;qid=1695258881&amp;sr=8-10")</f>
        <v>https://www.amazon.com/Crest-Professional-Whitestrips-Whitening-Treatments/dp/B00AHAWWO0/ref=sr_1_10?keywords=Effects&amp;qid=1695258881&amp;sr=8-10</v>
      </c>
      <c r="F1254" t="s">
        <v>2516</v>
      </c>
      <c r="G1254" t="e">
        <f ca="1">IMAGE("https://mbrstore.com/wp-content/uploads/2022/03/01526_ProtectionShieldEye_30ml-copy-460x460.jpg")</f>
        <v>#NAME?</v>
      </c>
      <c r="H1254" t="e">
        <f ca="1">IMAGE("https://m.media-amazon.com/images/I/61IylKAap-L._AC_UL320_.jpg")</f>
        <v>#NAME?</v>
      </c>
      <c r="I1254" t="s">
        <v>2601</v>
      </c>
      <c r="J1254">
        <v>45.99</v>
      </c>
      <c r="K1254" s="2" t="s">
        <v>2760</v>
      </c>
      <c r="L1254">
        <v>4.5999999999999996</v>
      </c>
      <c r="M1254">
        <v>112972</v>
      </c>
      <c r="O1254" t="s">
        <v>26</v>
      </c>
      <c r="P1254" t="s">
        <v>39</v>
      </c>
      <c r="Q1254" t="s">
        <v>2603</v>
      </c>
    </row>
    <row r="1255" spans="1:17" ht="15.75" x14ac:dyDescent="0.25">
      <c r="A1255" s="3" t="str">
        <f>HYPERLINK("https://mbrstore.com/products/eye-cream-smooth-100/", "https://mbrstore.com/products/eye-cream-smooth-100/")</f>
        <v>https://mbrstore.com/products/eye-cream-smooth-100/</v>
      </c>
      <c r="B1255" s="3" t="str">
        <f>HYPERLINK("https://mbrstore.com/products/eye-cream-smooth-100/", "https://mbrstore.com/products/eye-cream-smooth-100/")</f>
        <v>https://mbrstore.com/products/eye-cream-smooth-100/</v>
      </c>
      <c r="C1255" t="s">
        <v>2453</v>
      </c>
      <c r="D1255" t="s">
        <v>2464</v>
      </c>
      <c r="E1255" s="3" t="str">
        <f>HYPERLINK("https://www.amazon.com/Zoom-Electric-Guitar-G1X-FOUR/dp/B07MZPR5GP/ref=sr_1_1?keywords=Effects&amp;qid=1695258872&amp;sr=8-1", "https://www.amazon.com/Zoom-Electric-Guitar-G1X-FOUR/dp/B07MZPR5GP/ref=sr_1_1?keywords=Effects&amp;qid=1695258872&amp;sr=8-1")</f>
        <v>https://www.amazon.com/Zoom-Electric-Guitar-G1X-FOUR/dp/B07MZPR5GP/ref=sr_1_1?keywords=Effects&amp;qid=1695258872&amp;sr=8-1</v>
      </c>
      <c r="F1255" t="s">
        <v>2465</v>
      </c>
      <c r="G1255" t="e">
        <f ca="1">IMAGE("https://mbrstore.com/wp-content/uploads/2022/03/01403_EyeCreamSmooth_15ml-copy-460x460.jpg")</f>
        <v>#NAME?</v>
      </c>
      <c r="H1255" t="e">
        <f ca="1">IMAGE("https://m.media-amazon.com/images/I/81lPUPAo-SL._AC_UL320_.jpg")</f>
        <v>#NAME?</v>
      </c>
      <c r="I1255" t="s">
        <v>2632</v>
      </c>
      <c r="J1255">
        <v>119.99</v>
      </c>
      <c r="K1255" s="2" t="s">
        <v>2761</v>
      </c>
      <c r="L1255">
        <v>4.5</v>
      </c>
      <c r="M1255">
        <v>6902</v>
      </c>
      <c r="O1255" t="s">
        <v>26</v>
      </c>
      <c r="P1255" t="s">
        <v>39</v>
      </c>
      <c r="Q1255" t="s">
        <v>2634</v>
      </c>
    </row>
    <row r="1256" spans="1:17" ht="15.75" x14ac:dyDescent="0.25">
      <c r="A1256" s="3" t="str">
        <f>HYPERLINK("https://mbrstore.com/products/skin-whitening-cream/", "https://mbrstore.com/products/skin-whitening-cream/")</f>
        <v>https://mbrstore.com/products/skin-whitening-cream/</v>
      </c>
      <c r="B1256" s="3" t="str">
        <f>HYPERLINK("https://mbrstore.com/products/skin-whitening-cream/", "https://mbrstore.com/products/skin-whitening-cream/")</f>
        <v>https://mbrstore.com/products/skin-whitening-cream/</v>
      </c>
      <c r="C1256" t="s">
        <v>2453</v>
      </c>
      <c r="D1256" t="s">
        <v>2508</v>
      </c>
      <c r="E1256" s="3" t="str">
        <f>HYPERLINK("https://www.amazon.com/Westmore-Beauty-Tightening-Temporarily-Puffiness/dp/B07BYG7D2V/ref=sr_1_3?keywords=Effects&amp;qid=1695258891&amp;sr=8-3", "https://www.amazon.com/Westmore-Beauty-Tightening-Temporarily-Puffiness/dp/B07BYG7D2V/ref=sr_1_3?keywords=Effects&amp;qid=1695258891&amp;sr=8-3")</f>
        <v>https://www.amazon.com/Westmore-Beauty-Tightening-Temporarily-Puffiness/dp/B07BYG7D2V/ref=sr_1_3?keywords=Effects&amp;qid=1695258891&amp;sr=8-3</v>
      </c>
      <c r="F1256" t="s">
        <v>2509</v>
      </c>
      <c r="G1256" t="e">
        <f ca="1">IMAGE("https://mbrstore.com/wp-content/uploads/2022/03/02010_SkinWhiteningCream_50ml-copy-460x460.jpg")</f>
        <v>#NAME?</v>
      </c>
      <c r="H1256" t="e">
        <f ca="1">IMAGE("https://m.media-amazon.com/images/I/51YkzEMtyCL._AC_UL320_.jpg")</f>
        <v>#NAME?</v>
      </c>
      <c r="I1256" t="s">
        <v>2594</v>
      </c>
      <c r="J1256">
        <v>43.45</v>
      </c>
      <c r="K1256" s="2" t="s">
        <v>2762</v>
      </c>
      <c r="L1256">
        <v>3.6</v>
      </c>
      <c r="M1256">
        <v>1214</v>
      </c>
      <c r="O1256" t="s">
        <v>26</v>
      </c>
      <c r="P1256" t="s">
        <v>39</v>
      </c>
      <c r="Q1256" t="s">
        <v>2596</v>
      </c>
    </row>
    <row r="1257" spans="1:17" ht="15.75" x14ac:dyDescent="0.25">
      <c r="A1257" s="3" t="str">
        <f>HYPERLINK("https://mbrstore.com/products/skin-lightening-serum/", "https://mbrstore.com/products/skin-lightening-serum/")</f>
        <v>https://mbrstore.com/products/skin-lightening-serum/</v>
      </c>
      <c r="B1257" s="3" t="str">
        <f>HYPERLINK("https://mbrstore.com/products/skin-lightening-serum/", "https://mbrstore.com/products/skin-lightening-serum/")</f>
        <v>https://mbrstore.com/products/skin-lightening-serum/</v>
      </c>
      <c r="C1257" t="s">
        <v>2453</v>
      </c>
      <c r="D1257" t="s">
        <v>2504</v>
      </c>
      <c r="E1257" s="3" t="str">
        <f>HYPERLINK("https://www.amazon.com/Clinical-Effects-Multi-Collagen-Supplement-Quality-Sourced/dp/B085F3PSPB/ref=sr_1_10?keywords=Effects&amp;qid=1695258881&amp;rdc=1&amp;sr=8-10", "https://www.amazon.com/Clinical-Effects-Multi-Collagen-Supplement-Quality-Sourced/dp/B085F3PSPB/ref=sr_1_10?keywords=Effects&amp;qid=1695258881&amp;rdc=1&amp;sr=8-10")</f>
        <v>https://www.amazon.com/Clinical-Effects-Multi-Collagen-Supplement-Quality-Sourced/dp/B085F3PSPB/ref=sr_1_10?keywords=Effects&amp;qid=1695258881&amp;rdc=1&amp;sr=8-10</v>
      </c>
      <c r="F1257" t="s">
        <v>2505</v>
      </c>
      <c r="G1257" t="e">
        <f ca="1">IMAGE("https://mbrstore.com/wp-content/uploads/2022/03/01225_Skin_Lightening_Serum_30ml-copy-460x460.jpg")</f>
        <v>#NAME?</v>
      </c>
      <c r="H1257" t="e">
        <f ca="1">IMAGE("https://m.media-amazon.com/images/I/71YnIfUehJS._AC_UL320_.jpg")</f>
        <v>#NAME?</v>
      </c>
      <c r="I1257" t="s">
        <v>2601</v>
      </c>
      <c r="J1257">
        <v>43.95</v>
      </c>
      <c r="K1257" s="2" t="s">
        <v>2763</v>
      </c>
      <c r="L1257">
        <v>4.2</v>
      </c>
      <c r="M1257">
        <v>468</v>
      </c>
      <c r="O1257" t="s">
        <v>26</v>
      </c>
      <c r="P1257" t="s">
        <v>39</v>
      </c>
      <c r="Q1257" t="s">
        <v>2605</v>
      </c>
    </row>
    <row r="1258" spans="1:17" ht="15.75" x14ac:dyDescent="0.25">
      <c r="A1258" s="3" t="str">
        <f>HYPERLINK("https://mbrstore.com/products/optimal-lift-serum/", "https://mbrstore.com/products/optimal-lift-serum/")</f>
        <v>https://mbrstore.com/products/optimal-lift-serum/</v>
      </c>
      <c r="B1258" s="3" t="str">
        <f>HYPERLINK("https://mbrstore.com/products/optimal-lift-serum/", "https://mbrstore.com/products/optimal-lift-serum/")</f>
        <v>https://mbrstore.com/products/optimal-lift-serum/</v>
      </c>
      <c r="C1258" t="s">
        <v>2453</v>
      </c>
      <c r="D1258" t="s">
        <v>2579</v>
      </c>
      <c r="E1258" s="3" t="str">
        <f>HYPERLINK("https://www.amazon.com/Crest-Professional-Whitestrips-Whitening-Treatments/dp/B00AHAWWO0/ref=sr_1_10?keywords=Effects&amp;qid=1695258881&amp;sr=8-10", "https://www.amazon.com/Crest-Professional-Whitestrips-Whitening-Treatments/dp/B00AHAWWO0/ref=sr_1_10?keywords=Effects&amp;qid=1695258881&amp;sr=8-10")</f>
        <v>https://www.amazon.com/Crest-Professional-Whitestrips-Whitening-Treatments/dp/B00AHAWWO0/ref=sr_1_10?keywords=Effects&amp;qid=1695258881&amp;sr=8-10</v>
      </c>
      <c r="F1258" t="s">
        <v>2516</v>
      </c>
      <c r="G1258" t="e">
        <f ca="1">IMAGE("https://mbrstore.com/wp-content/uploads/2022/03/01224_OptimalLiftSerum_30ml-copy-460x460.jpg")</f>
        <v>#NAME?</v>
      </c>
      <c r="H1258" t="e">
        <f ca="1">IMAGE("https://m.media-amazon.com/images/I/61IylKAap-L._AC_UL320_.jpg")</f>
        <v>#NAME?</v>
      </c>
      <c r="I1258" t="s">
        <v>2610</v>
      </c>
      <c r="J1258">
        <v>45.99</v>
      </c>
      <c r="K1258" s="2" t="s">
        <v>2764</v>
      </c>
      <c r="L1258">
        <v>4.5999999999999996</v>
      </c>
      <c r="M1258">
        <v>112972</v>
      </c>
      <c r="O1258" t="s">
        <v>26</v>
      </c>
      <c r="P1258" t="s">
        <v>39</v>
      </c>
      <c r="Q1258" t="s">
        <v>2612</v>
      </c>
    </row>
    <row r="1259" spans="1:17" ht="15.75" x14ac:dyDescent="0.25">
      <c r="A1259" s="3" t="str">
        <f>HYPERLINK("https://mbrstore.com/products/continueline-protection-shield-eye/", "https://mbrstore.com/products/continueline-protection-shield-eye/")</f>
        <v>https://mbrstore.com/products/continueline-protection-shield-eye/</v>
      </c>
      <c r="B1259" s="3" t="str">
        <f>HYPERLINK("https://mbrstore.com/products/continueline-protection-shield-eye/", "https://mbrstore.com/products/continueline-protection-shield-eye/")</f>
        <v>https://mbrstore.com/products/continueline-protection-shield-eye/</v>
      </c>
      <c r="C1259" t="s">
        <v>2453</v>
      </c>
      <c r="D1259" t="s">
        <v>2508</v>
      </c>
      <c r="E1259" s="3" t="str">
        <f>HYPERLINK("https://www.amazon.com/Westmore-Beauty-Tightening-Temporarily-Puffiness/dp/B07BYG7D2V/ref=sr_1_5?keywords=Effects&amp;qid=1695258881&amp;sr=8-5", "https://www.amazon.com/Westmore-Beauty-Tightening-Temporarily-Puffiness/dp/B07BYG7D2V/ref=sr_1_5?keywords=Effects&amp;qid=1695258881&amp;sr=8-5")</f>
        <v>https://www.amazon.com/Westmore-Beauty-Tightening-Temporarily-Puffiness/dp/B07BYG7D2V/ref=sr_1_5?keywords=Effects&amp;qid=1695258881&amp;sr=8-5</v>
      </c>
      <c r="F1259" t="s">
        <v>2509</v>
      </c>
      <c r="G1259" t="e">
        <f ca="1">IMAGE("https://mbrstore.com/wp-content/uploads/2022/03/01526_ProtectionShieldEye_30ml-copy-460x460.jpg")</f>
        <v>#NAME?</v>
      </c>
      <c r="H1259" t="e">
        <f t="shared" ref="H1259:H1264" ca="1" si="13">IMAGE("https://m.media-amazon.com/images/I/51YkzEMtyCL._AC_UL320_.jpg")</f>
        <v>#NAME?</v>
      </c>
      <c r="I1259" t="s">
        <v>2601</v>
      </c>
      <c r="J1259">
        <v>43.75</v>
      </c>
      <c r="K1259" s="2" t="s">
        <v>2765</v>
      </c>
      <c r="L1259">
        <v>3.6</v>
      </c>
      <c r="M1259">
        <v>1214</v>
      </c>
      <c r="O1259" t="s">
        <v>26</v>
      </c>
      <c r="P1259" t="s">
        <v>39</v>
      </c>
      <c r="Q1259" t="s">
        <v>2603</v>
      </c>
    </row>
    <row r="1260" spans="1:17" ht="15.75" x14ac:dyDescent="0.25">
      <c r="A1260" s="3" t="str">
        <f>HYPERLINK("https://mbrstore.com/products/after-sun-cream-mask/", "https://mbrstore.com/products/after-sun-cream-mask/")</f>
        <v>https://mbrstore.com/products/after-sun-cream-mask/</v>
      </c>
      <c r="B1260" s="3" t="str">
        <f>HYPERLINK("https://mbrstore.com/products/after-sun-cream-mask/", "https://mbrstore.com/products/after-sun-cream-mask/")</f>
        <v>https://mbrstore.com/products/after-sun-cream-mask/</v>
      </c>
      <c r="C1260" t="s">
        <v>2453</v>
      </c>
      <c r="D1260" t="s">
        <v>2508</v>
      </c>
      <c r="E1260" s="3" t="str">
        <f>HYPERLINK("https://www.amazon.com/Westmore-Beauty-Tightening-Temporarily-Puffiness/dp/B07BYG7D2V/ref=sr_1_8?keywords=Effects&amp;qid=1695258889&amp;sr=8-8", "https://www.amazon.com/Westmore-Beauty-Tightening-Temporarily-Puffiness/dp/B07BYG7D2V/ref=sr_1_8?keywords=Effects&amp;qid=1695258889&amp;sr=8-8")</f>
        <v>https://www.amazon.com/Westmore-Beauty-Tightening-Temporarily-Puffiness/dp/B07BYG7D2V/ref=sr_1_8?keywords=Effects&amp;qid=1695258889&amp;sr=8-8</v>
      </c>
      <c r="F1260" t="s">
        <v>2509</v>
      </c>
      <c r="G1260" t="e">
        <f ca="1">IMAGE("https://mbrstore.com/wp-content/uploads/2023/05/01834_AfterSunCreamMask_100ml-460x460.png")</f>
        <v>#NAME?</v>
      </c>
      <c r="H1260" t="e">
        <f t="shared" ca="1" si="13"/>
        <v>#NAME?</v>
      </c>
      <c r="I1260" t="s">
        <v>2601</v>
      </c>
      <c r="J1260">
        <v>43.45</v>
      </c>
      <c r="K1260" s="2" t="s">
        <v>2766</v>
      </c>
      <c r="L1260">
        <v>3.6</v>
      </c>
      <c r="M1260">
        <v>1214</v>
      </c>
      <c r="O1260" t="s">
        <v>26</v>
      </c>
      <c r="P1260" t="s">
        <v>39</v>
      </c>
      <c r="Q1260" t="s">
        <v>2644</v>
      </c>
    </row>
    <row r="1261" spans="1:17" ht="15.75" x14ac:dyDescent="0.25">
      <c r="A1261" s="3" t="str">
        <f>HYPERLINK("https://mbrstore.com/products/after-sun-liquid-mask/", "https://mbrstore.com/products/after-sun-liquid-mask/")</f>
        <v>https://mbrstore.com/products/after-sun-liquid-mask/</v>
      </c>
      <c r="B1261" s="3" t="str">
        <f>HYPERLINK("https://mbrstore.com/products/after-sun-liquid-mask/", "https://mbrstore.com/products/after-sun-liquid-mask/")</f>
        <v>https://mbrstore.com/products/after-sun-liquid-mask/</v>
      </c>
      <c r="C1261" t="s">
        <v>2453</v>
      </c>
      <c r="D1261" t="s">
        <v>2508</v>
      </c>
      <c r="E1261" s="3" t="str">
        <f>HYPERLINK("https://www.amazon.com/Westmore-Beauty-Tightening-Temporarily-Puffiness/dp/B07BYG7D2V/ref=sr_1_5?keywords=Effects&amp;qid=1695258877&amp;sr=8-5", "https://www.amazon.com/Westmore-Beauty-Tightening-Temporarily-Puffiness/dp/B07BYG7D2V/ref=sr_1_5?keywords=Effects&amp;qid=1695258877&amp;sr=8-5")</f>
        <v>https://www.amazon.com/Westmore-Beauty-Tightening-Temporarily-Puffiness/dp/B07BYG7D2V/ref=sr_1_5?keywords=Effects&amp;qid=1695258877&amp;sr=8-5</v>
      </c>
      <c r="F1261" t="s">
        <v>2509</v>
      </c>
      <c r="G1261" t="e">
        <f ca="1">IMAGE("https://mbrstore.com/wp-content/uploads/2023/06/01833_AfterSUNLiquidMask-Large-460x460.png")</f>
        <v>#NAME?</v>
      </c>
      <c r="H1261" t="e">
        <f t="shared" ca="1" si="13"/>
        <v>#NAME?</v>
      </c>
      <c r="I1261" t="s">
        <v>2601</v>
      </c>
      <c r="J1261">
        <v>43.45</v>
      </c>
      <c r="K1261" s="2" t="s">
        <v>2766</v>
      </c>
      <c r="L1261">
        <v>3.6</v>
      </c>
      <c r="M1261">
        <v>1214</v>
      </c>
      <c r="O1261" t="s">
        <v>26</v>
      </c>
      <c r="P1261" t="s">
        <v>39</v>
      </c>
      <c r="Q1261" t="s">
        <v>2604</v>
      </c>
    </row>
    <row r="1262" spans="1:17" ht="15.75" x14ac:dyDescent="0.25">
      <c r="A1262" s="3" t="str">
        <f>HYPERLINK("https://mbrstore.com/products/skin-lightening-serum/", "https://mbrstore.com/products/skin-lightening-serum/")</f>
        <v>https://mbrstore.com/products/skin-lightening-serum/</v>
      </c>
      <c r="B1262" s="3" t="str">
        <f>HYPERLINK("https://mbrstore.com/products/skin-lightening-serum/", "https://mbrstore.com/products/skin-lightening-serum/")</f>
        <v>https://mbrstore.com/products/skin-lightening-serum/</v>
      </c>
      <c r="C1262" t="s">
        <v>2453</v>
      </c>
      <c r="D1262" t="s">
        <v>2508</v>
      </c>
      <c r="E1262" s="3" t="str">
        <f>HYPERLINK("https://www.amazon.com/Westmore-Beauty-Tightening-Temporarily-Puffiness/dp/B07BYG7D2V/ref=sr_1_5?keywords=Effects&amp;qid=1695258881&amp;sr=8-5", "https://www.amazon.com/Westmore-Beauty-Tightening-Temporarily-Puffiness/dp/B07BYG7D2V/ref=sr_1_5?keywords=Effects&amp;qid=1695258881&amp;sr=8-5")</f>
        <v>https://www.amazon.com/Westmore-Beauty-Tightening-Temporarily-Puffiness/dp/B07BYG7D2V/ref=sr_1_5?keywords=Effects&amp;qid=1695258881&amp;sr=8-5</v>
      </c>
      <c r="F1262" t="s">
        <v>2509</v>
      </c>
      <c r="G1262" t="e">
        <f ca="1">IMAGE("https://mbrstore.com/wp-content/uploads/2022/03/01225_Skin_Lightening_Serum_30ml-copy-460x460.jpg")</f>
        <v>#NAME?</v>
      </c>
      <c r="H1262" t="e">
        <f t="shared" ca="1" si="13"/>
        <v>#NAME?</v>
      </c>
      <c r="I1262" t="s">
        <v>2601</v>
      </c>
      <c r="J1262">
        <v>43.45</v>
      </c>
      <c r="K1262" s="2" t="s">
        <v>2766</v>
      </c>
      <c r="L1262">
        <v>3.6</v>
      </c>
      <c r="M1262">
        <v>1214</v>
      </c>
      <c r="O1262" t="s">
        <v>26</v>
      </c>
      <c r="P1262" t="s">
        <v>39</v>
      </c>
      <c r="Q1262" t="s">
        <v>2605</v>
      </c>
    </row>
    <row r="1263" spans="1:17" ht="15.75" x14ac:dyDescent="0.25">
      <c r="A1263" s="3" t="str">
        <f>HYPERLINK("https://mbrstore.com/products/continueline-cell-tissue-activator/", "https://mbrstore.com/products/continueline-cell-tissue-activator/")</f>
        <v>https://mbrstore.com/products/continueline-cell-tissue-activator/</v>
      </c>
      <c r="B1263" s="3" t="str">
        <f>HYPERLINK("https://mbrstore.com/products/continueline-cell-tissue-activator/", "https://mbrstore.com/products/continueline-cell-tissue-activator/")</f>
        <v>https://mbrstore.com/products/continueline-cell-tissue-activator/</v>
      </c>
      <c r="C1263" t="s">
        <v>2453</v>
      </c>
      <c r="D1263" t="s">
        <v>2508</v>
      </c>
      <c r="E1263" s="3" t="str">
        <f>HYPERLINK("https://www.amazon.com/Westmore-Beauty-Tightening-Temporarily-Puffiness/dp/B07BYG7D2V/ref=sr_1_5?keywords=Effects&amp;qid=1695258908&amp;sr=8-5", "https://www.amazon.com/Westmore-Beauty-Tightening-Temporarily-Puffiness/dp/B07BYG7D2V/ref=sr_1_5?keywords=Effects&amp;qid=1695258908&amp;sr=8-5")</f>
        <v>https://www.amazon.com/Westmore-Beauty-Tightening-Temporarily-Puffiness/dp/B07BYG7D2V/ref=sr_1_5?keywords=Effects&amp;qid=1695258908&amp;sr=8-5</v>
      </c>
      <c r="F1263" t="s">
        <v>2509</v>
      </c>
      <c r="G1263" t="e">
        <f ca="1">IMAGE("https://mbrstore.com/wp-content/uploads/2022/03/01517_CellTissueActivator_50ml-copy-460x460.jpg")</f>
        <v>#NAME?</v>
      </c>
      <c r="H1263" t="e">
        <f t="shared" ca="1" si="13"/>
        <v>#NAME?</v>
      </c>
      <c r="I1263" t="s">
        <v>2601</v>
      </c>
      <c r="J1263">
        <v>43.45</v>
      </c>
      <c r="K1263" s="2" t="s">
        <v>2766</v>
      </c>
      <c r="L1263">
        <v>3.6</v>
      </c>
      <c r="M1263">
        <v>1214</v>
      </c>
      <c r="O1263" t="s">
        <v>26</v>
      </c>
      <c r="P1263" t="s">
        <v>39</v>
      </c>
      <c r="Q1263" t="s">
        <v>2606</v>
      </c>
    </row>
    <row r="1264" spans="1:17" ht="15.75" x14ac:dyDescent="0.25">
      <c r="A1264" s="3" t="str">
        <f>HYPERLINK("https://mbrstore.com/products/cell-power-neck-decollete-cream/", "https://mbrstore.com/products/cell-power-neck-decollete-cream/")</f>
        <v>https://mbrstore.com/products/cell-power-neck-decollete-cream/</v>
      </c>
      <c r="B1264" s="3" t="str">
        <f>HYPERLINK("https://mbrstore.com/products/cell-power-neck-decollete-cream/", "https://mbrstore.com/products/cell-power-neck-decollete-cream/")</f>
        <v>https://mbrstore.com/products/cell-power-neck-decollete-cream/</v>
      </c>
      <c r="C1264" t="s">
        <v>2453</v>
      </c>
      <c r="D1264" t="s">
        <v>2508</v>
      </c>
      <c r="E1264" s="3" t="str">
        <f>HYPERLINK("https://www.amazon.com/Westmore-Beauty-Tightening-Temporarily-Puffiness/dp/B07BYG7D2V/ref=sr_1_3?keywords=Effects&amp;qid=1695258887&amp;sr=8-3", "https://www.amazon.com/Westmore-Beauty-Tightening-Temporarily-Puffiness/dp/B07BYG7D2V/ref=sr_1_3?keywords=Effects&amp;qid=1695258887&amp;sr=8-3")</f>
        <v>https://www.amazon.com/Westmore-Beauty-Tightening-Temporarily-Puffiness/dp/B07BYG7D2V/ref=sr_1_3?keywords=Effects&amp;qid=1695258887&amp;sr=8-3</v>
      </c>
      <c r="F1264" t="s">
        <v>2509</v>
      </c>
      <c r="G1264" t="e">
        <f ca="1">IMAGE("https://mbrstore.com/wp-content/uploads/2022/03/01611_Neck_And_Decoltee_Cream_100ml-copy-460x460.jpg")</f>
        <v>#NAME?</v>
      </c>
      <c r="H1264" t="e">
        <f t="shared" ca="1" si="13"/>
        <v>#NAME?</v>
      </c>
      <c r="I1264" t="s">
        <v>2601</v>
      </c>
      <c r="J1264">
        <v>43.45</v>
      </c>
      <c r="K1264" s="2" t="s">
        <v>2766</v>
      </c>
      <c r="L1264">
        <v>3.6</v>
      </c>
      <c r="M1264">
        <v>1214</v>
      </c>
      <c r="O1264" t="s">
        <v>26</v>
      </c>
      <c r="P1264" t="s">
        <v>39</v>
      </c>
      <c r="Q1264" t="s">
        <v>2607</v>
      </c>
    </row>
    <row r="1265" spans="1:17" ht="15.75" x14ac:dyDescent="0.25">
      <c r="A1265" s="3" t="str">
        <f>HYPERLINK("https://mbrstore.com/products/cell-power-firming-body-lotion/", "https://mbrstore.com/products/cell-power-firming-body-lotion/")</f>
        <v>https://mbrstore.com/products/cell-power-firming-body-lotion/</v>
      </c>
      <c r="B1265" s="3" t="str">
        <f>HYPERLINK("https://mbrstore.com/products/cell-power-firming-body-lotion/", "https://mbrstore.com/products/cell-power-firming-body-lotion/")</f>
        <v>https://mbrstore.com/products/cell-power-firming-body-lotion/</v>
      </c>
      <c r="C1265" t="s">
        <v>2767</v>
      </c>
      <c r="D1265" t="s">
        <v>2768</v>
      </c>
      <c r="E1265" s="3" t="str">
        <f>HYPERLINK("https://www.amazon.com/Tightening-ShapePerfection-Cellulite-Moisturizing-Collagen/dp/B0CB71J33F/ref=sr_1_5?keywords=Cell-Power+Firming+Body+Lotion&amp;qid=1695258891&amp;sr=8-5", "https://www.amazon.com/Tightening-ShapePerfection-Cellulite-Moisturizing-Collagen/dp/B0CB71J33F/ref=sr_1_5?keywords=Cell-Power+Firming+Body+Lotion&amp;qid=1695258891&amp;sr=8-5")</f>
        <v>https://www.amazon.com/Tightening-ShapePerfection-Cellulite-Moisturizing-Collagen/dp/B0CB71J33F/ref=sr_1_5?keywords=Cell-Power+Firming+Body+Lotion&amp;qid=1695258891&amp;sr=8-5</v>
      </c>
      <c r="F1265" t="s">
        <v>2769</v>
      </c>
      <c r="G1265" t="e">
        <f ca="1">IMAGE("https://mbrstore.com/wp-content/uploads/2022/03/01605_FirmingBodyLotion_200ml-copy-460x460.jpg")</f>
        <v>#NAME?</v>
      </c>
      <c r="H1265" t="e">
        <f ca="1">IMAGE("https://m.media-amazon.com/images/I/713LHBpclpL._AC_UL320_.jpg")</f>
        <v>#NAME?</v>
      </c>
      <c r="I1265" t="s">
        <v>2770</v>
      </c>
      <c r="J1265">
        <v>39.99</v>
      </c>
      <c r="K1265" s="2" t="s">
        <v>2771</v>
      </c>
      <c r="L1265">
        <v>4.3</v>
      </c>
      <c r="M1265">
        <v>26</v>
      </c>
      <c r="O1265" t="s">
        <v>26</v>
      </c>
      <c r="P1265" t="s">
        <v>39</v>
      </c>
      <c r="Q1265" t="s">
        <v>2772</v>
      </c>
    </row>
    <row r="1266" spans="1:17" ht="15.75" x14ac:dyDescent="0.25">
      <c r="A1266" s="3" t="str">
        <f>HYPERLINK("https://mbrstore.com/products/vitamin-c-power-cure/", "https://mbrstore.com/products/vitamin-c-power-cure/")</f>
        <v>https://mbrstore.com/products/vitamin-c-power-cure/</v>
      </c>
      <c r="B1266" s="3" t="str">
        <f>HYPERLINK("https://mbrstore.com/products/vitamin-c-power-cure/", "https://mbrstore.com/products/vitamin-c-power-cure/")</f>
        <v>https://mbrstore.com/products/vitamin-c-power-cure/</v>
      </c>
      <c r="C1266" t="s">
        <v>2453</v>
      </c>
      <c r="D1266" t="s">
        <v>2464</v>
      </c>
      <c r="E1266" s="3" t="str">
        <f>HYPERLINK("https://www.amazon.com/Zoom-Electric-Guitar-G1X-FOUR/dp/B07MZPR5GP/ref=sr_1_1?keywords=Effects&amp;qid=1695258892&amp;sr=8-1", "https://www.amazon.com/Zoom-Electric-Guitar-G1X-FOUR/dp/B07MZPR5GP/ref=sr_1_1?keywords=Effects&amp;qid=1695258892&amp;sr=8-1")</f>
        <v>https://www.amazon.com/Zoom-Electric-Guitar-G1X-FOUR/dp/B07MZPR5GP/ref=sr_1_1?keywords=Effects&amp;qid=1695258892&amp;sr=8-1</v>
      </c>
      <c r="F1266" t="s">
        <v>2465</v>
      </c>
      <c r="G1266" t="e">
        <f ca="1">IMAGE("https://mbrstore.com/wp-content/uploads/2022/03/01243_VitaminCPowerCure_Set-460x460.jpg")</f>
        <v>#NAME?</v>
      </c>
      <c r="H1266" t="e">
        <f ca="1">IMAGE("https://m.media-amazon.com/images/I/81lPUPAo-SL._AC_UL320_.jpg")</f>
        <v>#NAME?</v>
      </c>
      <c r="I1266" t="s">
        <v>2773</v>
      </c>
      <c r="J1266">
        <v>119.99</v>
      </c>
      <c r="K1266" s="2" t="s">
        <v>2774</v>
      </c>
      <c r="L1266">
        <v>4.5</v>
      </c>
      <c r="M1266">
        <v>6902</v>
      </c>
      <c r="O1266" t="s">
        <v>26</v>
      </c>
      <c r="P1266" t="s">
        <v>39</v>
      </c>
      <c r="Q1266" t="s">
        <v>2775</v>
      </c>
    </row>
    <row r="1267" spans="1:17" ht="15.75" x14ac:dyDescent="0.25">
      <c r="A1267" s="3" t="str">
        <f>HYPERLINK("https://mbrstore.com/products/continueline-protection-shield-mask/", "https://mbrstore.com/products/continueline-protection-shield-mask/")</f>
        <v>https://mbrstore.com/products/continueline-protection-shield-mask/</v>
      </c>
      <c r="B1267" s="3" t="str">
        <f>HYPERLINK("https://mbrstore.com/products/continueline-protection-shield-mask/", "https://mbrstore.com/products/continueline-protection-shield-mask/")</f>
        <v>https://mbrstore.com/products/continueline-protection-shield-mask/</v>
      </c>
      <c r="C1267" t="s">
        <v>2453</v>
      </c>
      <c r="D1267" t="s">
        <v>2504</v>
      </c>
      <c r="E1267" s="3" t="str">
        <f>HYPERLINK("https://www.amazon.com/Clinical-Effects-Multi-Collagen-Supplement-Quality-Sourced/dp/B085F3PSPB/ref=sr_1_10?keywords=Effects&amp;qid=1695258878&amp;rdc=1&amp;sr=8-10", "https://www.amazon.com/Clinical-Effects-Multi-Collagen-Supplement-Quality-Sourced/dp/B085F3PSPB/ref=sr_1_10?keywords=Effects&amp;qid=1695258878&amp;rdc=1&amp;sr=8-10")</f>
        <v>https://www.amazon.com/Clinical-Effects-Multi-Collagen-Supplement-Quality-Sourced/dp/B085F3PSPB/ref=sr_1_10?keywords=Effects&amp;qid=1695258878&amp;rdc=1&amp;sr=8-10</v>
      </c>
      <c r="F1267" t="s">
        <v>2505</v>
      </c>
      <c r="G1267" t="e">
        <f ca="1">IMAGE("https://mbrstore.com/wp-content/uploads/2022/03/01525_ProtectionShieldMask_50ml-copy-460x460.jpg")</f>
        <v>#NAME?</v>
      </c>
      <c r="H1267" t="e">
        <f ca="1">IMAGE("https://m.media-amazon.com/images/I/71YnIfUehJS._AC_UL320_.jpg")</f>
        <v>#NAME?</v>
      </c>
      <c r="I1267" t="s">
        <v>2614</v>
      </c>
      <c r="J1267">
        <v>43.95</v>
      </c>
      <c r="K1267" s="2" t="s">
        <v>2776</v>
      </c>
      <c r="L1267">
        <v>4.2</v>
      </c>
      <c r="M1267">
        <v>468</v>
      </c>
      <c r="O1267" t="s">
        <v>26</v>
      </c>
      <c r="P1267" t="s">
        <v>39</v>
      </c>
      <c r="Q1267" t="s">
        <v>2616</v>
      </c>
    </row>
    <row r="1268" spans="1:17" ht="15.75" x14ac:dyDescent="0.25">
      <c r="A1268" s="3" t="str">
        <f>HYPERLINK("https://mbrstore.com/products/the-best-foam-cleanser/", "https://mbrstore.com/products/the-best-foam-cleanser/")</f>
        <v>https://mbrstore.com/products/the-best-foam-cleanser/</v>
      </c>
      <c r="B1268" s="3" t="str">
        <f>HYPERLINK("https://mbrstore.com/products/the-best-foam-cleanser/", "https://mbrstore.com/products/the-best-foam-cleanser/")</f>
        <v>https://mbrstore.com/products/the-best-foam-cleanser/</v>
      </c>
      <c r="C1268" t="s">
        <v>2453</v>
      </c>
      <c r="D1268" t="s">
        <v>2504</v>
      </c>
      <c r="E1268" s="3" t="str">
        <f>HYPERLINK("https://www.amazon.com/Clinical-Effects-Multi-Collagen-Supplement-Quality-Sourced/dp/B085F3PSPB/ref=sr_1_10?keywords=Effects&amp;qid=1695258869&amp;rdc=1&amp;sr=8-10", "https://www.amazon.com/Clinical-Effects-Multi-Collagen-Supplement-Quality-Sourced/dp/B085F3PSPB/ref=sr_1_10?keywords=Effects&amp;qid=1695258869&amp;rdc=1&amp;sr=8-10")</f>
        <v>https://www.amazon.com/Clinical-Effects-Multi-Collagen-Supplement-Quality-Sourced/dp/B085F3PSPB/ref=sr_1_10?keywords=Effects&amp;qid=1695258869&amp;rdc=1&amp;sr=8-10</v>
      </c>
      <c r="F1268" t="s">
        <v>2505</v>
      </c>
      <c r="G1268" t="e">
        <f ca="1">IMAGE("https://mbrstore.com/wp-content/uploads/2023/08/01438_TheBestFoamCleanser_100ml-460x460.png")</f>
        <v>#NAME?</v>
      </c>
      <c r="H1268" t="e">
        <f ca="1">IMAGE("https://m.media-amazon.com/images/I/71YnIfUehJS._AC_UL320_.jpg")</f>
        <v>#NAME?</v>
      </c>
      <c r="I1268" t="s">
        <v>2617</v>
      </c>
      <c r="J1268">
        <v>43.95</v>
      </c>
      <c r="K1268" s="2" t="s">
        <v>2777</v>
      </c>
      <c r="L1268">
        <v>4.2</v>
      </c>
      <c r="M1268">
        <v>468</v>
      </c>
      <c r="O1268" t="s">
        <v>26</v>
      </c>
      <c r="P1268" t="s">
        <v>39</v>
      </c>
      <c r="Q1268" t="s">
        <v>2619</v>
      </c>
    </row>
    <row r="1269" spans="1:17" ht="15.75" x14ac:dyDescent="0.25">
      <c r="A1269" s="3" t="str">
        <f>HYPERLINK("https://mbrstore.com/products/optimal-lift-serum/", "https://mbrstore.com/products/optimal-lift-serum/")</f>
        <v>https://mbrstore.com/products/optimal-lift-serum/</v>
      </c>
      <c r="B1269" s="3" t="str">
        <f>HYPERLINK("https://mbrstore.com/products/optimal-lift-serum/", "https://mbrstore.com/products/optimal-lift-serum/")</f>
        <v>https://mbrstore.com/products/optimal-lift-serum/</v>
      </c>
      <c r="C1269" t="s">
        <v>2453</v>
      </c>
      <c r="D1269" t="s">
        <v>2508</v>
      </c>
      <c r="E1269" s="3" t="str">
        <f>HYPERLINK("https://www.amazon.com/Westmore-Beauty-Tightening-Temporarily-Puffiness/dp/B07BYG7D2V/ref=sr_1_5?keywords=Effects&amp;qid=1695258881&amp;sr=8-5", "https://www.amazon.com/Westmore-Beauty-Tightening-Temporarily-Puffiness/dp/B07BYG7D2V/ref=sr_1_5?keywords=Effects&amp;qid=1695258881&amp;sr=8-5")</f>
        <v>https://www.amazon.com/Westmore-Beauty-Tightening-Temporarily-Puffiness/dp/B07BYG7D2V/ref=sr_1_5?keywords=Effects&amp;qid=1695258881&amp;sr=8-5</v>
      </c>
      <c r="F1269" t="s">
        <v>2509</v>
      </c>
      <c r="G1269" t="e">
        <f ca="1">IMAGE("https://mbrstore.com/wp-content/uploads/2022/03/01224_OptimalLiftSerum_30ml-copy-460x460.jpg")</f>
        <v>#NAME?</v>
      </c>
      <c r="H1269" t="e">
        <f ca="1">IMAGE("https://m.media-amazon.com/images/I/51YkzEMtyCL._AC_UL320_.jpg")</f>
        <v>#NAME?</v>
      </c>
      <c r="I1269" t="s">
        <v>2610</v>
      </c>
      <c r="J1269">
        <v>43.45</v>
      </c>
      <c r="K1269" s="2" t="s">
        <v>2777</v>
      </c>
      <c r="L1269">
        <v>3.6</v>
      </c>
      <c r="M1269">
        <v>1214</v>
      </c>
      <c r="O1269" t="s">
        <v>26</v>
      </c>
      <c r="P1269" t="s">
        <v>39</v>
      </c>
      <c r="Q1269" t="s">
        <v>2612</v>
      </c>
    </row>
    <row r="1270" spans="1:17" ht="15.75" x14ac:dyDescent="0.25">
      <c r="A1270" s="3" t="str">
        <f>HYPERLINK("https://mbrstore.com/products/face-cream-smooth/", "https://mbrstore.com/products/face-cream-smooth/")</f>
        <v>https://mbrstore.com/products/face-cream-smooth/</v>
      </c>
      <c r="B1270" s="3" t="str">
        <f>HYPERLINK("https://mbrstore.com/products/face-cream-smooth/", "https://mbrstore.com/products/face-cream-smooth/")</f>
        <v>https://mbrstore.com/products/face-cream-smooth/</v>
      </c>
      <c r="C1270" t="s">
        <v>2453</v>
      </c>
      <c r="D1270" t="s">
        <v>2464</v>
      </c>
      <c r="E1270" s="3" t="str">
        <f>HYPERLINK("https://www.amazon.com/Zoom-Electric-Guitar-G1X-FOUR/dp/B07MZPR5GP/ref=sr_1_1?keywords=Effects&amp;qid=1695258894&amp;sr=8-1", "https://www.amazon.com/Zoom-Electric-Guitar-G1X-FOUR/dp/B07MZPR5GP/ref=sr_1_1?keywords=Effects&amp;qid=1695258894&amp;sr=8-1")</f>
        <v>https://www.amazon.com/Zoom-Electric-Guitar-G1X-FOUR/dp/B07MZPR5GP/ref=sr_1_1?keywords=Effects&amp;qid=1695258894&amp;sr=8-1</v>
      </c>
      <c r="F1270" t="s">
        <v>2465</v>
      </c>
      <c r="G1270" t="e">
        <f ca="1">IMAGE("https://mbrstore.com/wp-content/uploads/2022/03/01401_Face_Cream_Smooth_50ml-copy-460x460.jpg")</f>
        <v>#NAME?</v>
      </c>
      <c r="H1270" t="e">
        <f ca="1">IMAGE("https://m.media-amazon.com/images/I/81lPUPAo-SL._AC_UL320_.jpg")</f>
        <v>#NAME?</v>
      </c>
      <c r="I1270" t="s">
        <v>2741</v>
      </c>
      <c r="J1270">
        <v>119.99</v>
      </c>
      <c r="K1270" s="2" t="s">
        <v>2778</v>
      </c>
      <c r="L1270">
        <v>4.5</v>
      </c>
      <c r="M1270">
        <v>6902</v>
      </c>
      <c r="O1270" t="s">
        <v>26</v>
      </c>
      <c r="P1270" t="s">
        <v>39</v>
      </c>
      <c r="Q1270" t="s">
        <v>2743</v>
      </c>
    </row>
    <row r="1271" spans="1:17" ht="15.75" x14ac:dyDescent="0.25">
      <c r="A1271" s="3" t="str">
        <f>HYPERLINK("https://mbrstore.com/products/continueline-protection-shield-mask/", "https://mbrstore.com/products/continueline-protection-shield-mask/")</f>
        <v>https://mbrstore.com/products/continueline-protection-shield-mask/</v>
      </c>
      <c r="B1271" s="3" t="str">
        <f>HYPERLINK("https://mbrstore.com/products/continueline-protection-shield-mask/", "https://mbrstore.com/products/continueline-protection-shield-mask/")</f>
        <v>https://mbrstore.com/products/continueline-protection-shield-mask/</v>
      </c>
      <c r="C1271" t="s">
        <v>2453</v>
      </c>
      <c r="D1271" t="s">
        <v>2508</v>
      </c>
      <c r="E1271" s="3" t="str">
        <f>HYPERLINK("https://www.amazon.com/Westmore-Beauty-Tightening-Temporarily-Puffiness/dp/B07BYG7D2V/ref=sr_1_1?keywords=Effects&amp;qid=1695258878&amp;sr=8-1", "https://www.amazon.com/Westmore-Beauty-Tightening-Temporarily-Puffiness/dp/B07BYG7D2V/ref=sr_1_1?keywords=Effects&amp;qid=1695258878&amp;sr=8-1")</f>
        <v>https://www.amazon.com/Westmore-Beauty-Tightening-Temporarily-Puffiness/dp/B07BYG7D2V/ref=sr_1_1?keywords=Effects&amp;qid=1695258878&amp;sr=8-1</v>
      </c>
      <c r="F1271" t="s">
        <v>2509</v>
      </c>
      <c r="G1271" t="e">
        <f ca="1">IMAGE("https://mbrstore.com/wp-content/uploads/2022/03/01525_ProtectionShieldMask_50ml-copy-460x460.jpg")</f>
        <v>#NAME?</v>
      </c>
      <c r="H1271" t="e">
        <f ca="1">IMAGE("https://m.media-amazon.com/images/I/51YkzEMtyCL._AC_UL320_.jpg")</f>
        <v>#NAME?</v>
      </c>
      <c r="I1271" t="s">
        <v>2614</v>
      </c>
      <c r="J1271">
        <v>43.45</v>
      </c>
      <c r="K1271" s="2" t="s">
        <v>2779</v>
      </c>
      <c r="L1271">
        <v>3.6</v>
      </c>
      <c r="M1271">
        <v>1214</v>
      </c>
      <c r="O1271" t="s">
        <v>26</v>
      </c>
      <c r="P1271" t="s">
        <v>39</v>
      </c>
      <c r="Q1271" t="s">
        <v>2616</v>
      </c>
    </row>
    <row r="1272" spans="1:17" ht="15.75" x14ac:dyDescent="0.25">
      <c r="A1272" s="3" t="str">
        <f>HYPERLINK("https://mbrstore.com/products/the-best-foam-cleanser/", "https://mbrstore.com/products/the-best-foam-cleanser/")</f>
        <v>https://mbrstore.com/products/the-best-foam-cleanser/</v>
      </c>
      <c r="B1272" s="3" t="str">
        <f>HYPERLINK("https://mbrstore.com/products/the-best-foam-cleanser/", "https://mbrstore.com/products/the-best-foam-cleanser/")</f>
        <v>https://mbrstore.com/products/the-best-foam-cleanser/</v>
      </c>
      <c r="C1272" t="s">
        <v>2453</v>
      </c>
      <c r="D1272" t="s">
        <v>2508</v>
      </c>
      <c r="E1272" s="3" t="str">
        <f>HYPERLINK("https://www.amazon.com/Westmore-Beauty-Tightening-Temporarily-Puffiness/dp/B07BYG7D2V/ref=sr_1_5?keywords=Effects&amp;qid=1695258869&amp;sr=8-5", "https://www.amazon.com/Westmore-Beauty-Tightening-Temporarily-Puffiness/dp/B07BYG7D2V/ref=sr_1_5?keywords=Effects&amp;qid=1695258869&amp;sr=8-5")</f>
        <v>https://www.amazon.com/Westmore-Beauty-Tightening-Temporarily-Puffiness/dp/B07BYG7D2V/ref=sr_1_5?keywords=Effects&amp;qid=1695258869&amp;sr=8-5</v>
      </c>
      <c r="F1272" t="s">
        <v>2509</v>
      </c>
      <c r="G1272" t="e">
        <f ca="1">IMAGE("https://mbrstore.com/wp-content/uploads/2023/08/01438_TheBestFoamCleanser_100ml-460x460.png")</f>
        <v>#NAME?</v>
      </c>
      <c r="H1272" t="e">
        <f ca="1">IMAGE("https://m.media-amazon.com/images/I/51YkzEMtyCL._AC_UL320_.jpg")</f>
        <v>#NAME?</v>
      </c>
      <c r="I1272" t="s">
        <v>2617</v>
      </c>
      <c r="J1272">
        <v>43.45</v>
      </c>
      <c r="K1272" s="2" t="s">
        <v>2780</v>
      </c>
      <c r="L1272">
        <v>3.6</v>
      </c>
      <c r="M1272">
        <v>1214</v>
      </c>
      <c r="O1272" t="s">
        <v>26</v>
      </c>
      <c r="P1272" t="s">
        <v>39</v>
      </c>
      <c r="Q1272" t="s">
        <v>2619</v>
      </c>
    </row>
    <row r="1273" spans="1:17" ht="15.75" x14ac:dyDescent="0.25">
      <c r="A1273" s="3" t="str">
        <f>HYPERLINK("https://mbrstore.com/products/scalp-reanimation/", "https://mbrstore.com/products/scalp-reanimation/")</f>
        <v>https://mbrstore.com/products/scalp-reanimation/</v>
      </c>
      <c r="B1273" s="3" t="str">
        <f>HYPERLINK("https://mbrstore.com/products/scalp-reanimation/", "https://mbrstore.com/products/scalp-reanimation/")</f>
        <v>https://mbrstore.com/products/scalp-reanimation/</v>
      </c>
      <c r="C1273" t="s">
        <v>2453</v>
      </c>
      <c r="D1273" t="s">
        <v>2515</v>
      </c>
      <c r="E1273" s="3" t="str">
        <f>HYPERLINK("https://www.amazon.com/Crest-Professional-Whitestrips-Whitening-Treatments/dp/B00AHAWWO0/ref=sr_1_7?keywords=Effects&amp;qid=1695258883&amp;sr=8-7", "https://www.amazon.com/Crest-Professional-Whitestrips-Whitening-Treatments/dp/B00AHAWWO0/ref=sr_1_7?keywords=Effects&amp;qid=1695258883&amp;sr=8-7")</f>
        <v>https://www.amazon.com/Crest-Professional-Whitestrips-Whitening-Treatments/dp/B00AHAWWO0/ref=sr_1_7?keywords=Effects&amp;qid=1695258883&amp;sr=8-7</v>
      </c>
      <c r="F1273" t="s">
        <v>2516</v>
      </c>
      <c r="G1273" t="e">
        <f ca="1">IMAGE("https://mbrstore.com/wp-content/uploads/2022/06/01711_ScalpReanimation_100ml-copy-460x460.jpg")</f>
        <v>#NAME?</v>
      </c>
      <c r="H1273" t="e">
        <f ca="1">IMAGE("https://m.media-amazon.com/images/I/61IylKAap-L._AC_UL320_.jpg")</f>
        <v>#NAME?</v>
      </c>
      <c r="I1273" t="s">
        <v>2656</v>
      </c>
      <c r="J1273">
        <v>45.99</v>
      </c>
      <c r="K1273" s="2" t="s">
        <v>2781</v>
      </c>
      <c r="L1273">
        <v>4.5999999999999996</v>
      </c>
      <c r="M1273">
        <v>112972</v>
      </c>
      <c r="O1273" t="s">
        <v>26</v>
      </c>
      <c r="P1273" t="s">
        <v>39</v>
      </c>
      <c r="Q1273" t="s">
        <v>2658</v>
      </c>
    </row>
    <row r="1274" spans="1:17" ht="15.75" x14ac:dyDescent="0.25">
      <c r="A1274" s="3" t="str">
        <f>HYPERLINK("https://mbrstore.com/products/the-best-foot/", "https://mbrstore.com/products/the-best-foot/")</f>
        <v>https://mbrstore.com/products/the-best-foot/</v>
      </c>
      <c r="B1274" s="3" t="str">
        <f>HYPERLINK("https://mbrstore.com/products/the-best-foot/", "https://mbrstore.com/products/the-best-foot/")</f>
        <v>https://mbrstore.com/products/the-best-foot/</v>
      </c>
      <c r="C1274" t="s">
        <v>2453</v>
      </c>
      <c r="D1274" t="s">
        <v>2504</v>
      </c>
      <c r="E1274" s="3" t="str">
        <f>HYPERLINK("https://www.amazon.com/Clinical-Effects-Multi-Collagen-Supplement-Quality-Sourced/dp/B085F3PSPB/ref=sr_1_10?keywords=Effects&amp;qid=1695258892&amp;rdc=1&amp;sr=8-10", "https://www.amazon.com/Clinical-Effects-Multi-Collagen-Supplement-Quality-Sourced/dp/B085F3PSPB/ref=sr_1_10?keywords=Effects&amp;qid=1695258892&amp;rdc=1&amp;sr=8-10")</f>
        <v>https://www.amazon.com/Clinical-Effects-Multi-Collagen-Supplement-Quality-Sourced/dp/B085F3PSPB/ref=sr_1_10?keywords=Effects&amp;qid=1695258892&amp;rdc=1&amp;sr=8-10</v>
      </c>
      <c r="F1274" t="s">
        <v>2505</v>
      </c>
      <c r="G1274" t="e">
        <f ca="1">IMAGE("https://mbrstore.com/wp-content/uploads/2022/12/01458_TheBestFoot_100ml_01-460x460.png")</f>
        <v>#NAME?</v>
      </c>
      <c r="H1274" t="e">
        <f ca="1">IMAGE("https://m.media-amazon.com/images/I/71YnIfUehJS._AC_UL320_.jpg")</f>
        <v>#NAME?</v>
      </c>
      <c r="I1274" t="s">
        <v>2524</v>
      </c>
      <c r="J1274">
        <v>43.95</v>
      </c>
      <c r="K1274" s="2" t="s">
        <v>2782</v>
      </c>
      <c r="L1274">
        <v>4.2</v>
      </c>
      <c r="M1274">
        <v>468</v>
      </c>
      <c r="O1274" t="s">
        <v>26</v>
      </c>
      <c r="P1274" t="s">
        <v>39</v>
      </c>
      <c r="Q1274" t="s">
        <v>2526</v>
      </c>
    </row>
    <row r="1275" spans="1:17" ht="15.75" x14ac:dyDescent="0.25">
      <c r="A1275" s="3" t="str">
        <f>HYPERLINK("https://mbrstore.com/products/enzyme-cleansing-booster/", "https://mbrstore.com/products/enzyme-cleansing-booster/")</f>
        <v>https://mbrstore.com/products/enzyme-cleansing-booster/</v>
      </c>
      <c r="B1275" s="3" t="str">
        <f>HYPERLINK("https://mbrstore.com/products/enzyme-cleansing-booster/", "https://mbrstore.com/products/enzyme-cleansing-booster/")</f>
        <v>https://mbrstore.com/products/enzyme-cleansing-booster/</v>
      </c>
      <c r="C1275" t="s">
        <v>2453</v>
      </c>
      <c r="D1275" t="s">
        <v>2508</v>
      </c>
      <c r="E1275" s="3" t="str">
        <f>HYPERLINK("https://www.amazon.com/Westmore-Beauty-Tightening-Temporarily-Puffiness/dp/B07BYG7D2V/ref=sr_1_5?keywords=Effects&amp;qid=1695258879&amp;sr=8-5", "https://www.amazon.com/Westmore-Beauty-Tightening-Temporarily-Puffiness/dp/B07BYG7D2V/ref=sr_1_5?keywords=Effects&amp;qid=1695258879&amp;sr=8-5")</f>
        <v>https://www.amazon.com/Westmore-Beauty-Tightening-Temporarily-Puffiness/dp/B07BYG7D2V/ref=sr_1_5?keywords=Effects&amp;qid=1695258879&amp;sr=8-5</v>
      </c>
      <c r="F1275" t="s">
        <v>2509</v>
      </c>
      <c r="G1275" t="e">
        <f ca="1">IMAGE("https://mbrstore.com/wp-content/uploads/2022/03/01400_EnzymeCleansingBooster_80g_1221-copy-460x460.jpg")</f>
        <v>#NAME?</v>
      </c>
      <c r="H1275" t="e">
        <f ca="1">IMAGE("https://m.media-amazon.com/images/I/51YkzEMtyCL._AC_UL320_.jpg")</f>
        <v>#NAME?</v>
      </c>
      <c r="I1275" t="s">
        <v>2620</v>
      </c>
      <c r="J1275">
        <v>43.45</v>
      </c>
      <c r="K1275" s="2" t="s">
        <v>2783</v>
      </c>
      <c r="L1275">
        <v>3.6</v>
      </c>
      <c r="M1275">
        <v>1214</v>
      </c>
      <c r="O1275" t="s">
        <v>26</v>
      </c>
      <c r="P1275" t="s">
        <v>39</v>
      </c>
      <c r="Q1275" t="s">
        <v>2622</v>
      </c>
    </row>
    <row r="1276" spans="1:17" ht="15.75" x14ac:dyDescent="0.25">
      <c r="A1276" s="3" t="str">
        <f>HYPERLINK("https://mbrstore.com/products/the-best-foot/", "https://mbrstore.com/products/the-best-foot/")</f>
        <v>https://mbrstore.com/products/the-best-foot/</v>
      </c>
      <c r="B1276" s="3" t="str">
        <f>HYPERLINK("https://mbrstore.com/products/the-best-foot/", "https://mbrstore.com/products/the-best-foot/")</f>
        <v>https://mbrstore.com/products/the-best-foot/</v>
      </c>
      <c r="C1276" t="s">
        <v>2453</v>
      </c>
      <c r="D1276" t="s">
        <v>2508</v>
      </c>
      <c r="E1276" s="3" t="str">
        <f>HYPERLINK("https://www.amazon.com/Westmore-Beauty-Tightening-Temporarily-Puffiness/dp/B07BYG7D2V/ref=sr_1_3?keywords=Effects&amp;qid=1695258892&amp;sr=8-3", "https://www.amazon.com/Westmore-Beauty-Tightening-Temporarily-Puffiness/dp/B07BYG7D2V/ref=sr_1_3?keywords=Effects&amp;qid=1695258892&amp;sr=8-3")</f>
        <v>https://www.amazon.com/Westmore-Beauty-Tightening-Temporarily-Puffiness/dp/B07BYG7D2V/ref=sr_1_3?keywords=Effects&amp;qid=1695258892&amp;sr=8-3</v>
      </c>
      <c r="F1276" t="s">
        <v>2509</v>
      </c>
      <c r="G1276" t="e">
        <f ca="1">IMAGE("https://mbrstore.com/wp-content/uploads/2022/12/01458_TheBestFoot_100ml_01-460x460.png")</f>
        <v>#NAME?</v>
      </c>
      <c r="H1276" t="e">
        <f ca="1">IMAGE("https://m.media-amazon.com/images/I/51YkzEMtyCL._AC_UL320_.jpg")</f>
        <v>#NAME?</v>
      </c>
      <c r="I1276" t="s">
        <v>2524</v>
      </c>
      <c r="J1276">
        <v>43.45</v>
      </c>
      <c r="K1276" s="2" t="s">
        <v>2784</v>
      </c>
      <c r="L1276">
        <v>3.6</v>
      </c>
      <c r="M1276">
        <v>1214</v>
      </c>
      <c r="O1276" t="s">
        <v>26</v>
      </c>
      <c r="P1276" t="s">
        <v>39</v>
      </c>
      <c r="Q1276" t="s">
        <v>2526</v>
      </c>
    </row>
    <row r="1277" spans="1:17" ht="15.75" x14ac:dyDescent="0.25">
      <c r="A1277" s="3" t="str">
        <f>HYPERLINK("https://mbrstore.com/products/night-oil/", "https://mbrstore.com/products/night-oil/")</f>
        <v>https://mbrstore.com/products/night-oil/</v>
      </c>
      <c r="B1277" s="3" t="str">
        <f>HYPERLINK("https://mbrstore.com/products/night-oil/", "https://mbrstore.com/products/night-oil/")</f>
        <v>https://mbrstore.com/products/night-oil/</v>
      </c>
      <c r="C1277" t="s">
        <v>2453</v>
      </c>
      <c r="D1277" t="s">
        <v>2508</v>
      </c>
      <c r="E1277" s="3" t="str">
        <f>HYPERLINK("https://www.amazon.com/Westmore-Beauty-Tightening-Temporarily-Puffiness/dp/B07BYG7D2V/ref=sr_1_3?keywords=Effects&amp;qid=1695258883&amp;sr=8-3", "https://www.amazon.com/Westmore-Beauty-Tightening-Temporarily-Puffiness/dp/B07BYG7D2V/ref=sr_1_3?keywords=Effects&amp;qid=1695258883&amp;sr=8-3")</f>
        <v>https://www.amazon.com/Westmore-Beauty-Tightening-Temporarily-Puffiness/dp/B07BYG7D2V/ref=sr_1_3?keywords=Effects&amp;qid=1695258883&amp;sr=8-3</v>
      </c>
      <c r="F1277" t="s">
        <v>2509</v>
      </c>
      <c r="G1277" t="e">
        <f ca="1">IMAGE("https://mbrstore.com/wp-content/uploads/2022/03/01235_NightOil_15ml_1121-460x460.jpg")</f>
        <v>#NAME?</v>
      </c>
      <c r="H1277" t="e">
        <f ca="1">IMAGE("https://m.media-amazon.com/images/I/51YkzEMtyCL._AC_UL320_.jpg")</f>
        <v>#NAME?</v>
      </c>
      <c r="I1277" t="s">
        <v>2524</v>
      </c>
      <c r="J1277">
        <v>43.45</v>
      </c>
      <c r="K1277" s="2" t="s">
        <v>2784</v>
      </c>
      <c r="L1277">
        <v>3.6</v>
      </c>
      <c r="M1277">
        <v>1214</v>
      </c>
      <c r="O1277" t="s">
        <v>26</v>
      </c>
      <c r="P1277" t="s">
        <v>39</v>
      </c>
      <c r="Q1277" t="s">
        <v>2624</v>
      </c>
    </row>
    <row r="1278" spans="1:17" ht="15.75" x14ac:dyDescent="0.25">
      <c r="A1278" s="3" t="str">
        <f>HYPERLINK("https://mbrstore.com/products/lip-contour-refiner/", "https://mbrstore.com/products/lip-contour-refiner/")</f>
        <v>https://mbrstore.com/products/lip-contour-refiner/</v>
      </c>
      <c r="B1278" s="3" t="str">
        <f>HYPERLINK("https://mbrstore.com/products/lip-contour-refiner/", "https://mbrstore.com/products/lip-contour-refiner/")</f>
        <v>https://mbrstore.com/products/lip-contour-refiner/</v>
      </c>
      <c r="C1278" t="s">
        <v>2453</v>
      </c>
      <c r="D1278" t="s">
        <v>2785</v>
      </c>
      <c r="E1278" s="3" t="str">
        <f>HYPERLINK("https://www.amazon.com/AG-Care-Effects-Extra-Firm-Styling/dp/B0B8GTKXNC/ref=sr_1_7?keywords=Effects&amp;qid=1695258884&amp;sr=8-7", "https://www.amazon.com/AG-Care-Effects-Extra-Firm-Styling/dp/B0B8GTKXNC/ref=sr_1_7?keywords=Effects&amp;qid=1695258884&amp;sr=8-7")</f>
        <v>https://www.amazon.com/AG-Care-Effects-Extra-Firm-Styling/dp/B0B8GTKXNC/ref=sr_1_7?keywords=Effects&amp;qid=1695258884&amp;sr=8-7</v>
      </c>
      <c r="F1278" t="s">
        <v>2786</v>
      </c>
      <c r="G1278" t="e">
        <f ca="1">IMAGE("https://mbrstore.com/wp-content/uploads/2022/03/01227_Lip_Contour_Refiner_15ml-copy-460x460.jpg")</f>
        <v>#NAME?</v>
      </c>
      <c r="H1278" t="e">
        <f ca="1">IMAGE("https://m.media-amazon.com/images/I/71v2NuN6k-L._AC_UL320_.jpg")</f>
        <v>#NAME?</v>
      </c>
      <c r="I1278" t="s">
        <v>2534</v>
      </c>
      <c r="J1278">
        <v>22</v>
      </c>
      <c r="K1278" s="2" t="s">
        <v>2787</v>
      </c>
      <c r="L1278">
        <v>4.5</v>
      </c>
      <c r="M1278">
        <v>539</v>
      </c>
      <c r="O1278" t="s">
        <v>26</v>
      </c>
      <c r="P1278" t="s">
        <v>39</v>
      </c>
      <c r="Q1278" t="s">
        <v>2536</v>
      </c>
    </row>
    <row r="1279" spans="1:17" ht="15.75" x14ac:dyDescent="0.25">
      <c r="A1279" s="3" t="str">
        <f>HYPERLINK("https://mbrstore.com/products/cell-power-hand-treatment/", "https://mbrstore.com/products/cell-power-hand-treatment/")</f>
        <v>https://mbrstore.com/products/cell-power-hand-treatment/</v>
      </c>
      <c r="B1279" s="3" t="str">
        <f>HYPERLINK("https://mbrstore.com/products/cell-power-hand-treatment/", "https://mbrstore.com/products/cell-power-hand-treatment/")</f>
        <v>https://mbrstore.com/products/cell-power-hand-treatment/</v>
      </c>
      <c r="C1279" t="s">
        <v>2453</v>
      </c>
      <c r="D1279" t="s">
        <v>2785</v>
      </c>
      <c r="E1279" s="3" t="str">
        <f>HYPERLINK("https://www.amazon.com/AG-Care-Effects-Extra-Firm-Styling/dp/B0B8GTKXNC/ref=sr_1_5?keywords=Effects&amp;qid=1695258891&amp;sr=8-5", "https://www.amazon.com/AG-Care-Effects-Extra-Firm-Styling/dp/B0B8GTKXNC/ref=sr_1_5?keywords=Effects&amp;qid=1695258891&amp;sr=8-5")</f>
        <v>https://www.amazon.com/AG-Care-Effects-Extra-Firm-Styling/dp/B0B8GTKXNC/ref=sr_1_5?keywords=Effects&amp;qid=1695258891&amp;sr=8-5</v>
      </c>
      <c r="F1279" t="s">
        <v>2786</v>
      </c>
      <c r="G1279" t="e">
        <f ca="1">IMAGE("https://mbrstore.com/wp-content/uploads/2022/03/01608_HandTreatment_100ml-copy-460x460.jpg")</f>
        <v>#NAME?</v>
      </c>
      <c r="H1279" t="e">
        <f ca="1">IMAGE("https://m.media-amazon.com/images/I/71v2NuN6k-L._AC_UL320_.jpg")</f>
        <v>#NAME?</v>
      </c>
      <c r="I1279" t="s">
        <v>2565</v>
      </c>
      <c r="J1279">
        <v>22</v>
      </c>
      <c r="K1279" s="2" t="s">
        <v>2788</v>
      </c>
      <c r="L1279">
        <v>4.5</v>
      </c>
      <c r="M1279">
        <v>539</v>
      </c>
      <c r="O1279" t="s">
        <v>26</v>
      </c>
      <c r="P1279" t="s">
        <v>39</v>
      </c>
      <c r="Q1279" t="s">
        <v>2567</v>
      </c>
    </row>
    <row r="1280" spans="1:17" ht="15.75" x14ac:dyDescent="0.25">
      <c r="A1280" s="3" t="str">
        <f>HYPERLINK("https://mbrstore.com/products/eyelash-booster-serum/", "https://mbrstore.com/products/eyelash-booster-serum/")</f>
        <v>https://mbrstore.com/products/eyelash-booster-serum/</v>
      </c>
      <c r="B1280" s="3" t="str">
        <f>HYPERLINK("https://mbrstore.com/products/eyelash-booster-serum/", "https://mbrstore.com/products/eyelash-booster-serum/")</f>
        <v>https://mbrstore.com/products/eyelash-booster-serum/</v>
      </c>
      <c r="C1280" t="s">
        <v>2716</v>
      </c>
      <c r="D1280" t="s">
        <v>2789</v>
      </c>
      <c r="E1280" s="3" t="str">
        <f>HYPERLINK("https://www.amazon.com/Babe-Lash-Eyelash-Beautiful-Strong-looking/dp/B07BKV4B6Q/ref=sr_1_1?keywords=Eyelash+Booster+Serum&amp;qid=1695258872&amp;sr=8-1", "https://www.amazon.com/Babe-Lash-Eyelash-Beautiful-Strong-looking/dp/B07BKV4B6Q/ref=sr_1_1?keywords=Eyelash+Booster+Serum&amp;qid=1695258872&amp;sr=8-1")</f>
        <v>https://www.amazon.com/Babe-Lash-Eyelash-Beautiful-Strong-looking/dp/B07BKV4B6Q/ref=sr_1_1?keywords=Eyelash+Booster+Serum&amp;qid=1695258872&amp;sr=8-1</v>
      </c>
      <c r="F1280" t="s">
        <v>2790</v>
      </c>
      <c r="G1280" t="e">
        <f ca="1">IMAGE("https://mbrstore.com/wp-content/uploads/2022/03/01250_EyelashBooster_3ml-460x460.jpg")</f>
        <v>#NAME?</v>
      </c>
      <c r="H1280" t="e">
        <f ca="1">IMAGE("https://m.media-amazon.com/images/I/617g+pjn6VL._AC_UL320_.jpg")</f>
        <v>#NAME?</v>
      </c>
      <c r="I1280" t="s">
        <v>2719</v>
      </c>
      <c r="J1280">
        <v>29</v>
      </c>
      <c r="K1280" s="2" t="s">
        <v>2791</v>
      </c>
      <c r="L1280">
        <v>4.0999999999999996</v>
      </c>
      <c r="M1280">
        <v>7192</v>
      </c>
      <c r="O1280" t="s">
        <v>26</v>
      </c>
      <c r="P1280" t="s">
        <v>39</v>
      </c>
      <c r="Q1280" t="s">
        <v>2721</v>
      </c>
    </row>
    <row r="1281" spans="1:17" ht="15.75" x14ac:dyDescent="0.25">
      <c r="A1281" s="3" t="str">
        <f>HYPERLINK("https://mbrstore.com/products/liquid-mask-starter-set/", "https://mbrstore.com/products/liquid-mask-starter-set/")</f>
        <v>https://mbrstore.com/products/liquid-mask-starter-set/</v>
      </c>
      <c r="B1281" s="3" t="str">
        <f>HYPERLINK("https://mbrstore.com/products/liquid-mask-starter-set/", "https://mbrstore.com/products/liquid-mask-starter-set/")</f>
        <v>https://mbrstore.com/products/liquid-mask-starter-set/</v>
      </c>
      <c r="C1281" t="s">
        <v>2792</v>
      </c>
      <c r="D1281" t="s">
        <v>2793</v>
      </c>
      <c r="E1281" s="3" t="str">
        <f>HYPERLINK("https://www.amazon.com/Acrylic-Everything-Beginners-Professional-Starter/dp/B0BTLXZHNZ/ref=sr_1_5?keywords=Liquid+Mask+Starter+Set&amp;qid=1695258888&amp;sr=8-5", "https://www.amazon.com/Acrylic-Everything-Beginners-Professional-Starter/dp/B0BTLXZHNZ/ref=sr_1_5?keywords=Liquid+Mask+Starter+Set&amp;qid=1695258888&amp;sr=8-5")</f>
        <v>https://www.amazon.com/Acrylic-Everything-Beginners-Professional-Starter/dp/B0BTLXZHNZ/ref=sr_1_5?keywords=Liquid+Mask+Starter+Set&amp;qid=1695258888&amp;sr=8-5</v>
      </c>
      <c r="F1281" t="s">
        <v>2794</v>
      </c>
      <c r="G1281" t="e">
        <f ca="1">IMAGE("https://mbrstore.com/wp-content/uploads/2022/03/01019_LiquidMaskStarterSet-460x460.jpg")</f>
        <v>#NAME?</v>
      </c>
      <c r="H1281" t="e">
        <f ca="1">IMAGE("https://m.media-amazon.com/images/I/913RHC23WVL._AC_UL320_.jpg")</f>
        <v>#NAME?</v>
      </c>
      <c r="I1281" t="s">
        <v>2795</v>
      </c>
      <c r="J1281">
        <v>25.99</v>
      </c>
      <c r="K1281" s="2" t="s">
        <v>2796</v>
      </c>
      <c r="L1281">
        <v>4.2</v>
      </c>
      <c r="M1281">
        <v>44</v>
      </c>
      <c r="O1281" t="s">
        <v>26</v>
      </c>
      <c r="P1281" t="s">
        <v>39</v>
      </c>
      <c r="Q1281" t="s">
        <v>2797</v>
      </c>
    </row>
    <row r="1282" spans="1:17" ht="15.75" x14ac:dyDescent="0.25">
      <c r="A1282" s="3" t="str">
        <f>HYPERLINK("https://mbrstore.com/products/scalp-reanimation/", "https://mbrstore.com/products/scalp-reanimation/")</f>
        <v>https://mbrstore.com/products/scalp-reanimation/</v>
      </c>
      <c r="B1282" s="3" t="str">
        <f>HYPERLINK("https://mbrstore.com/products/scalp-reanimation/", "https://mbrstore.com/products/scalp-reanimation/")</f>
        <v>https://mbrstore.com/products/scalp-reanimation/</v>
      </c>
      <c r="C1282" t="s">
        <v>2453</v>
      </c>
      <c r="D1282" t="s">
        <v>2508</v>
      </c>
      <c r="E1282" s="3" t="str">
        <f>HYPERLINK("https://www.amazon.com/Westmore-Beauty-Tightening-Temporarily-Puffiness/dp/B07BYG7D2V/ref=sr_1_3?keywords=Effects&amp;qid=1695258883&amp;sr=8-3", "https://www.amazon.com/Westmore-Beauty-Tightening-Temporarily-Puffiness/dp/B07BYG7D2V/ref=sr_1_3?keywords=Effects&amp;qid=1695258883&amp;sr=8-3")</f>
        <v>https://www.amazon.com/Westmore-Beauty-Tightening-Temporarily-Puffiness/dp/B07BYG7D2V/ref=sr_1_3?keywords=Effects&amp;qid=1695258883&amp;sr=8-3</v>
      </c>
      <c r="F1282" t="s">
        <v>2509</v>
      </c>
      <c r="G1282" t="e">
        <f ca="1">IMAGE("https://mbrstore.com/wp-content/uploads/2022/06/01711_ScalpReanimation_100ml-copy-460x460.jpg")</f>
        <v>#NAME?</v>
      </c>
      <c r="H1282" t="e">
        <f ca="1">IMAGE("https://m.media-amazon.com/images/I/51YkzEMtyCL._AC_UL320_.jpg")</f>
        <v>#NAME?</v>
      </c>
      <c r="I1282" t="s">
        <v>2656</v>
      </c>
      <c r="J1282">
        <v>43.45</v>
      </c>
      <c r="K1282" s="2" t="s">
        <v>2798</v>
      </c>
      <c r="L1282">
        <v>3.6</v>
      </c>
      <c r="M1282">
        <v>1214</v>
      </c>
      <c r="O1282" t="s">
        <v>26</v>
      </c>
      <c r="P1282" t="s">
        <v>39</v>
      </c>
      <c r="Q1282" t="s">
        <v>2658</v>
      </c>
    </row>
    <row r="1283" spans="1:17" ht="15.75" x14ac:dyDescent="0.25">
      <c r="A1283" s="3" t="str">
        <f>HYPERLINK("https://mbrstore.com/products/magic-pigments/", "https://mbrstore.com/products/magic-pigments/")</f>
        <v>https://mbrstore.com/products/magic-pigments/</v>
      </c>
      <c r="B1283" s="3" t="str">
        <f>HYPERLINK("https://mbrstore.com/products/magic-pigments/", "https://mbrstore.com/products/magic-pigments/")</f>
        <v>https://mbrstore.com/products/magic-pigments/</v>
      </c>
      <c r="C1283" t="s">
        <v>2453</v>
      </c>
      <c r="D1283" t="s">
        <v>2508</v>
      </c>
      <c r="E1283" s="3" t="str">
        <f>HYPERLINK("https://www.amazon.com/Westmore-Beauty-Tightening-Temporarily-Puffiness/dp/B07BYG7D2V/ref=sr_1_5?keywords=Effects&amp;qid=1695258901&amp;sr=8-5", "https://www.amazon.com/Westmore-Beauty-Tightening-Temporarily-Puffiness/dp/B07BYG7D2V/ref=sr_1_5?keywords=Effects&amp;qid=1695258901&amp;sr=8-5")</f>
        <v>https://www.amazon.com/Westmore-Beauty-Tightening-Temporarily-Puffiness/dp/B07BYG7D2V/ref=sr_1_5?keywords=Effects&amp;qid=1695258901&amp;sr=8-5</v>
      </c>
      <c r="F1283" t="s">
        <v>2509</v>
      </c>
      <c r="G1283" t="e">
        <f ca="1">IMAGE("https://mbrstore.com/wp-content/uploads/2022/03/01450_MagicPigmentsLightMedium_30ml-copy-460x460.jpg")</f>
        <v>#NAME?</v>
      </c>
      <c r="H1283" t="e">
        <f ca="1">IMAGE("https://m.media-amazon.com/images/I/51YkzEMtyCL._AC_UL320_.jpg")</f>
        <v>#NAME?</v>
      </c>
      <c r="I1283" t="s">
        <v>2627</v>
      </c>
      <c r="J1283">
        <v>43.45</v>
      </c>
      <c r="K1283" s="2" t="s">
        <v>2799</v>
      </c>
      <c r="L1283">
        <v>3.6</v>
      </c>
      <c r="M1283">
        <v>1214</v>
      </c>
      <c r="O1283" t="s">
        <v>26</v>
      </c>
      <c r="P1283" t="s">
        <v>39</v>
      </c>
      <c r="Q1283" t="s">
        <v>2629</v>
      </c>
    </row>
    <row r="1284" spans="1:17" ht="15.75" x14ac:dyDescent="0.25">
      <c r="A1284" s="3" t="str">
        <f>HYPERLINK("https://mbrstore.com/products/eyelash-booster-serum/", "https://mbrstore.com/products/eyelash-booster-serum/")</f>
        <v>https://mbrstore.com/products/eyelash-booster-serum/</v>
      </c>
      <c r="B1284" s="3" t="str">
        <f>HYPERLINK("https://mbrstore.com/products/eyelash-booster-serum/", "https://mbrstore.com/products/eyelash-booster-serum/")</f>
        <v>https://mbrstore.com/products/eyelash-booster-serum/</v>
      </c>
      <c r="C1284" t="s">
        <v>2716</v>
      </c>
      <c r="D1284" t="s">
        <v>2800</v>
      </c>
      <c r="E1284" s="3" t="str">
        <f>HYPERLINK("https://www.amazon.com/Overly-Volumizing-Eyelash-Eyebrow-Enhancer/dp/B09WRY42CK/ref=sr_1_5?keywords=Eyelash+Booster+Serum&amp;qid=1695258872&amp;sr=8-5", "https://www.amazon.com/Overly-Volumizing-Eyelash-Eyebrow-Enhancer/dp/B09WRY42CK/ref=sr_1_5?keywords=Eyelash+Booster+Serum&amp;qid=1695258872&amp;sr=8-5")</f>
        <v>https://www.amazon.com/Overly-Volumizing-Eyelash-Eyebrow-Enhancer/dp/B09WRY42CK/ref=sr_1_5?keywords=Eyelash+Booster+Serum&amp;qid=1695258872&amp;sr=8-5</v>
      </c>
      <c r="F1284" t="s">
        <v>2801</v>
      </c>
      <c r="G1284" t="e">
        <f ca="1">IMAGE("https://mbrstore.com/wp-content/uploads/2022/03/01250_EyelashBooster_3ml-460x460.jpg")</f>
        <v>#NAME?</v>
      </c>
      <c r="H1284" t="e">
        <f ca="1">IMAGE("https://m.media-amazon.com/images/I/71nfzTRaVyL._AC_UL320_.jpg")</f>
        <v>#NAME?</v>
      </c>
      <c r="I1284" t="s">
        <v>2719</v>
      </c>
      <c r="J1284">
        <v>27.99</v>
      </c>
      <c r="K1284" s="2" t="s">
        <v>2802</v>
      </c>
      <c r="L1284">
        <v>4</v>
      </c>
      <c r="M1284">
        <v>35</v>
      </c>
      <c r="O1284" t="s">
        <v>26</v>
      </c>
      <c r="P1284" t="s">
        <v>39</v>
      </c>
      <c r="Q1284" t="s">
        <v>2721</v>
      </c>
    </row>
    <row r="1285" spans="1:17" ht="15.75" x14ac:dyDescent="0.25">
      <c r="A1285" s="3" t="str">
        <f>HYPERLINK("https://mbrstore.com/products/normalizing-lipid-sebum-care/", "https://mbrstore.com/products/normalizing-lipid-sebum-care/")</f>
        <v>https://mbrstore.com/products/normalizing-lipid-sebum-care/</v>
      </c>
      <c r="B1285" s="3" t="str">
        <f>HYPERLINK("https://mbrstore.com/products/normalizing-lipid-sebum-care/", "https://mbrstore.com/products/normalizing-lipid-sebum-care/")</f>
        <v>https://mbrstore.com/products/normalizing-lipid-sebum-care/</v>
      </c>
      <c r="C1285" t="s">
        <v>2453</v>
      </c>
      <c r="D1285" t="s">
        <v>2785</v>
      </c>
      <c r="E1285" s="3" t="str">
        <f>HYPERLINK("https://www.amazon.com/AG-Care-Effects-Extra-Firm-Styling/dp/B0B8GTKXNC/ref=sr_1_7?keywords=Effects&amp;qid=1695258880&amp;sr=8-7", "https://www.amazon.com/AG-Care-Effects-Extra-Firm-Styling/dp/B0B8GTKXNC/ref=sr_1_7?keywords=Effects&amp;qid=1695258880&amp;sr=8-7")</f>
        <v>https://www.amazon.com/AG-Care-Effects-Extra-Firm-Styling/dp/B0B8GTKXNC/ref=sr_1_7?keywords=Effects&amp;qid=1695258880&amp;sr=8-7</v>
      </c>
      <c r="F1285" t="s">
        <v>2786</v>
      </c>
      <c r="G1285" t="e">
        <f ca="1">IMAGE("https://mbrstore.com/wp-content/uploads/2022/03/01511_NormalizingLipidSebumCare_30ml-copy-460x460.jpg")</f>
        <v>#NAME?</v>
      </c>
      <c r="H1285" t="e">
        <f ca="1">IMAGE("https://m.media-amazon.com/images/I/71v2NuN6k-L._AC_UL320_.jpg")</f>
        <v>#NAME?</v>
      </c>
      <c r="I1285" t="s">
        <v>2538</v>
      </c>
      <c r="J1285">
        <v>22</v>
      </c>
      <c r="K1285" s="2" t="s">
        <v>2803</v>
      </c>
      <c r="L1285">
        <v>4.5</v>
      </c>
      <c r="M1285">
        <v>539</v>
      </c>
      <c r="O1285" t="s">
        <v>26</v>
      </c>
      <c r="P1285" t="s">
        <v>39</v>
      </c>
      <c r="Q1285" t="s">
        <v>2540</v>
      </c>
    </row>
    <row r="1286" spans="1:17" ht="15.75" x14ac:dyDescent="0.25">
      <c r="A1286" s="3" t="str">
        <f>HYPERLINK("https://mbrstore.com/products/eye-make-up-remover/", "https://mbrstore.com/products/eye-make-up-remover/")</f>
        <v>https://mbrstore.com/products/eye-make-up-remover/</v>
      </c>
      <c r="B1286" s="3" t="str">
        <f>HYPERLINK("https://mbrstore.com/products/eye-make-up-remover/", "https://mbrstore.com/products/eye-make-up-remover/")</f>
        <v>https://mbrstore.com/products/eye-make-up-remover/</v>
      </c>
      <c r="C1286" t="s">
        <v>2453</v>
      </c>
      <c r="D1286" t="s">
        <v>2785</v>
      </c>
      <c r="E1286" s="3" t="str">
        <f>HYPERLINK("https://www.amazon.com/AG-Care-Effects-Extra-Firm-Styling/dp/B0B8GTKXNC/ref=sr_1_7?keywords=Effects&amp;qid=1695258886&amp;sr=8-7", "https://www.amazon.com/AG-Care-Effects-Extra-Firm-Styling/dp/B0B8GTKXNC/ref=sr_1_7?keywords=Effects&amp;qid=1695258886&amp;sr=8-7")</f>
        <v>https://www.amazon.com/AG-Care-Effects-Extra-Firm-Styling/dp/B0B8GTKXNC/ref=sr_1_7?keywords=Effects&amp;qid=1695258886&amp;sr=8-7</v>
      </c>
      <c r="F1286" t="s">
        <v>2786</v>
      </c>
      <c r="G1286" t="e">
        <f ca="1">IMAGE("https://mbrstore.com/wp-content/uploads/2022/03/01103_EyeMakeupRemover_200ml-copy-460x460.jpg")</f>
        <v>#NAME?</v>
      </c>
      <c r="H1286" t="e">
        <f ca="1">IMAGE("https://m.media-amazon.com/images/I/71v2NuN6k-L._AC_UL320_.jpg")</f>
        <v>#NAME?</v>
      </c>
      <c r="I1286" t="s">
        <v>2541</v>
      </c>
      <c r="J1286">
        <v>22</v>
      </c>
      <c r="K1286" s="2" t="s">
        <v>2804</v>
      </c>
      <c r="L1286">
        <v>4.5</v>
      </c>
      <c r="M1286">
        <v>539</v>
      </c>
      <c r="O1286" t="s">
        <v>26</v>
      </c>
      <c r="P1286" t="s">
        <v>39</v>
      </c>
      <c r="Q1286" t="s">
        <v>2543</v>
      </c>
    </row>
    <row r="1287" spans="1:17" ht="15.75" x14ac:dyDescent="0.25">
      <c r="A1287" s="3" t="str">
        <f>HYPERLINK("https://mbrstore.com/products/the-best-concentrate/", "https://mbrstore.com/products/the-best-concentrate/")</f>
        <v>https://mbrstore.com/products/the-best-concentrate/</v>
      </c>
      <c r="B1287" s="3" t="str">
        <f>HYPERLINK("https://mbrstore.com/products/the-best-concentrate/", "https://mbrstore.com/products/the-best-concentrate/")</f>
        <v>https://mbrstore.com/products/the-best-concentrate/</v>
      </c>
      <c r="C1287" t="s">
        <v>2453</v>
      </c>
      <c r="D1287" t="s">
        <v>2464</v>
      </c>
      <c r="E1287" s="3" t="str">
        <f>HYPERLINK("https://www.amazon.com/Zoom-Electric-Guitar-G1X-FOUR/dp/B07MZPR5GP/ref=sr_1_1?keywords=Effects&amp;qid=1695258891&amp;sr=8-1", "https://www.amazon.com/Zoom-Electric-Guitar-G1X-FOUR/dp/B07MZPR5GP/ref=sr_1_1?keywords=Effects&amp;qid=1695258891&amp;sr=8-1")</f>
        <v>https://www.amazon.com/Zoom-Electric-Guitar-G1X-FOUR/dp/B07MZPR5GP/ref=sr_1_1?keywords=Effects&amp;qid=1695258891&amp;sr=8-1</v>
      </c>
      <c r="F1287" t="s">
        <v>2465</v>
      </c>
      <c r="G1287" t="e">
        <f ca="1">IMAGE("https://mbrstore.com/wp-content/uploads/2022/03/01443_The_Best_Concentrate_15ml-copy-460x460.jpg")</f>
        <v>#NAME?</v>
      </c>
      <c r="H1287" t="e">
        <f ca="1">IMAGE("https://m.media-amazon.com/images/I/81lPUPAo-SL._AC_UL320_.jpg")</f>
        <v>#NAME?</v>
      </c>
      <c r="I1287" t="s">
        <v>2755</v>
      </c>
      <c r="J1287">
        <v>119.99</v>
      </c>
      <c r="K1287" s="2" t="s">
        <v>2805</v>
      </c>
      <c r="L1287">
        <v>4.5</v>
      </c>
      <c r="M1287">
        <v>6902</v>
      </c>
      <c r="O1287" t="s">
        <v>26</v>
      </c>
      <c r="P1287" t="s">
        <v>39</v>
      </c>
      <c r="Q1287" t="s">
        <v>2757</v>
      </c>
    </row>
    <row r="1288" spans="1:17" ht="15.75" x14ac:dyDescent="0.25">
      <c r="A1288" s="3" t="str">
        <f>HYPERLINK("https://mbrstore.com/products/the-best-body/", "https://mbrstore.com/products/the-best-body/")</f>
        <v>https://mbrstore.com/products/the-best-body/</v>
      </c>
      <c r="B1288" s="3" t="str">
        <f>HYPERLINK("https://mbrstore.com/products/the-best-body/", "https://mbrstore.com/products/the-best-body/")</f>
        <v>https://mbrstore.com/products/the-best-body/</v>
      </c>
      <c r="C1288" t="s">
        <v>2453</v>
      </c>
      <c r="D1288" t="s">
        <v>2458</v>
      </c>
      <c r="E1288" s="3" t="str">
        <f>HYPERLINK("https://www.amazon.com/Fender-Mustang-LT-25-Digital-Amplifier/dp/B07N29M92M/ref=sr_1_3?keywords=Effects&amp;qid=1695258871&amp;sr=8-3", "https://www.amazon.com/Fender-Mustang-LT-25-Digital-Amplifier/dp/B07N29M92M/ref=sr_1_3?keywords=Effects&amp;qid=1695258871&amp;sr=8-3")</f>
        <v>https://www.amazon.com/Fender-Mustang-LT-25-Digital-Amplifier/dp/B07N29M92M/ref=sr_1_3?keywords=Effects&amp;qid=1695258871&amp;sr=8-3</v>
      </c>
      <c r="F1288" t="s">
        <v>2459</v>
      </c>
      <c r="G1288" t="e">
        <f ca="1">IMAGE("https://mbrstore.com/wp-content/uploads/2022/03/01441_Mask_TheBestBody_150ml-copy-460x460.jpg")</f>
        <v>#NAME?</v>
      </c>
      <c r="H1288" t="e">
        <f ca="1">IMAGE("https://m.media-amazon.com/images/I/81oKmWyFJPL._AC_UL320_.jpg")</f>
        <v>#NAME?</v>
      </c>
      <c r="I1288" t="s">
        <v>2806</v>
      </c>
      <c r="J1288">
        <v>159.99</v>
      </c>
      <c r="K1288" s="2" t="s">
        <v>2807</v>
      </c>
      <c r="L1288">
        <v>4.8</v>
      </c>
      <c r="M1288">
        <v>3110</v>
      </c>
      <c r="O1288" t="s">
        <v>26</v>
      </c>
      <c r="P1288" t="s">
        <v>39</v>
      </c>
      <c r="Q1288" t="s">
        <v>2808</v>
      </c>
    </row>
    <row r="1289" spans="1:17" ht="15.75" x14ac:dyDescent="0.25">
      <c r="A1289" s="3" t="str">
        <f>HYPERLINK("https://mbrstore.com/products/cytoline-face-mask/", "https://mbrstore.com/products/cytoline-face-mask/")</f>
        <v>https://mbrstore.com/products/cytoline-face-mask/</v>
      </c>
      <c r="B1289" s="3" t="str">
        <f>HYPERLINK("https://mbrstore.com/products/cytoline-face-mask/", "https://mbrstore.com/products/cytoline-face-mask/")</f>
        <v>https://mbrstore.com/products/cytoline-face-mask/</v>
      </c>
      <c r="C1289" t="s">
        <v>2453</v>
      </c>
      <c r="D1289" t="s">
        <v>2508</v>
      </c>
      <c r="E1289" s="3" t="str">
        <f>HYPERLINK("https://www.amazon.com/Westmore-Beauty-Tightening-Temporarily-Puffiness/dp/B07BYG7D2V/ref=sr_1_5?keywords=Effects&amp;qid=1695258876&amp;sr=8-5", "https://www.amazon.com/Westmore-Beauty-Tightening-Temporarily-Puffiness/dp/B07BYG7D2V/ref=sr_1_5?keywords=Effects&amp;qid=1695258876&amp;sr=8-5")</f>
        <v>https://www.amazon.com/Westmore-Beauty-Tightening-Temporarily-Puffiness/dp/B07BYG7D2V/ref=sr_1_5?keywords=Effects&amp;qid=1695258876&amp;sr=8-5</v>
      </c>
      <c r="F1289" t="s">
        <v>2509</v>
      </c>
      <c r="G1289" t="e">
        <f ca="1">IMAGE("https://mbrstore.com/wp-content/uploads/2022/03/01305_CytoLineFaceMask100_50ml-copy-460x460.jpg")</f>
        <v>#NAME?</v>
      </c>
      <c r="H1289" t="e">
        <f ca="1">IMAGE("https://m.media-amazon.com/images/I/51YkzEMtyCL._AC_UL320_.jpg")</f>
        <v>#NAME?</v>
      </c>
      <c r="I1289" t="s">
        <v>2638</v>
      </c>
      <c r="J1289">
        <v>43.45</v>
      </c>
      <c r="K1289" s="2" t="s">
        <v>2809</v>
      </c>
      <c r="L1289">
        <v>3.6</v>
      </c>
      <c r="M1289">
        <v>1214</v>
      </c>
      <c r="O1289" t="s">
        <v>26</v>
      </c>
      <c r="P1289" t="s">
        <v>39</v>
      </c>
      <c r="Q1289" t="s">
        <v>2640</v>
      </c>
    </row>
    <row r="1290" spans="1:17" ht="15.75" x14ac:dyDescent="0.25">
      <c r="A1290" s="3" t="str">
        <f>HYPERLINK("https://mbrstore.com/products/eyelash-booster-serum/", "https://mbrstore.com/products/eyelash-booster-serum/")</f>
        <v>https://mbrstore.com/products/eyelash-booster-serum/</v>
      </c>
      <c r="B1290" s="3" t="str">
        <f>HYPERLINK("https://mbrstore.com/products/eyelash-booster-serum/", "https://mbrstore.com/products/eyelash-booster-serum/")</f>
        <v>https://mbrstore.com/products/eyelash-booster-serum/</v>
      </c>
      <c r="C1290" t="s">
        <v>2716</v>
      </c>
      <c r="D1290" t="s">
        <v>2810</v>
      </c>
      <c r="E1290" s="3" t="str">
        <f>HYPERLINK("https://www.amazon.com/Organys-Eyelashes-Eyebrows-Conditioner-Appearance/dp/B019EXWVQY/ref=sr_1_4?keywords=Eyelash+Booster+Serum&amp;qid=1695258872&amp;sr=8-4", "https://www.amazon.com/Organys-Eyelashes-Eyebrows-Conditioner-Appearance/dp/B019EXWVQY/ref=sr_1_4?keywords=Eyelash+Booster+Serum&amp;qid=1695258872&amp;sr=8-4")</f>
        <v>https://www.amazon.com/Organys-Eyelashes-Eyebrows-Conditioner-Appearance/dp/B019EXWVQY/ref=sr_1_4?keywords=Eyelash+Booster+Serum&amp;qid=1695258872&amp;sr=8-4</v>
      </c>
      <c r="F1290" t="s">
        <v>2811</v>
      </c>
      <c r="G1290" t="e">
        <f ca="1">IMAGE("https://mbrstore.com/wp-content/uploads/2022/03/01250_EyelashBooster_3ml-460x460.jpg")</f>
        <v>#NAME?</v>
      </c>
      <c r="H1290" t="e">
        <f ca="1">IMAGE("https://m.media-amazon.com/images/I/51JbF7s-7LL._AC_UL320_.jpg")</f>
        <v>#NAME?</v>
      </c>
      <c r="I1290" t="s">
        <v>2719</v>
      </c>
      <c r="J1290">
        <v>24.95</v>
      </c>
      <c r="K1290" s="2" t="s">
        <v>2812</v>
      </c>
      <c r="L1290">
        <v>3.9</v>
      </c>
      <c r="M1290">
        <v>4163</v>
      </c>
      <c r="O1290" t="s">
        <v>26</v>
      </c>
      <c r="P1290" t="s">
        <v>39</v>
      </c>
      <c r="Q1290" t="s">
        <v>2721</v>
      </c>
    </row>
    <row r="1291" spans="1:17" ht="15.75" x14ac:dyDescent="0.25">
      <c r="A1291" s="3" t="str">
        <f>HYPERLINK("https://mbrstore.com/products/scalp-reanimation/", "https://mbrstore.com/products/scalp-reanimation/")</f>
        <v>https://mbrstore.com/products/scalp-reanimation/</v>
      </c>
      <c r="B1291" s="3" t="str">
        <f>HYPERLINK("https://mbrstore.com/products/scalp-reanimation/", "https://mbrstore.com/products/scalp-reanimation/")</f>
        <v>https://mbrstore.com/products/scalp-reanimation/</v>
      </c>
      <c r="C1291" t="s">
        <v>2453</v>
      </c>
      <c r="D1291" t="s">
        <v>2646</v>
      </c>
      <c r="E1291" s="3" t="str">
        <f>HYPERLINK("https://www.amazon.com/Clinical-Effects-All-Natural-Supplement-Digestive/dp/B08QDMGYV2/ref=sr_1_10?keywords=Effects&amp;qid=1695258883&amp;sr=8-10", "https://www.amazon.com/Clinical-Effects-All-Natural-Supplement-Digestive/dp/B08QDMGYV2/ref=sr_1_10?keywords=Effects&amp;qid=1695258883&amp;sr=8-10")</f>
        <v>https://www.amazon.com/Clinical-Effects-All-Natural-Supplement-Digestive/dp/B08QDMGYV2/ref=sr_1_10?keywords=Effects&amp;qid=1695258883&amp;sr=8-10</v>
      </c>
      <c r="F1291" t="s">
        <v>2647</v>
      </c>
      <c r="G1291" t="e">
        <f ca="1">IMAGE("https://mbrstore.com/wp-content/uploads/2022/06/01711_ScalpReanimation_100ml-copy-460x460.jpg")</f>
        <v>#NAME?</v>
      </c>
      <c r="H1291" t="e">
        <f ca="1">IMAGE("https://m.media-amazon.com/images/I/71nmXZe49eL._AC_UL320_.jpg")</f>
        <v>#NAME?</v>
      </c>
      <c r="I1291" t="s">
        <v>2656</v>
      </c>
      <c r="J1291">
        <v>35</v>
      </c>
      <c r="K1291" s="2" t="s">
        <v>2813</v>
      </c>
      <c r="L1291">
        <v>4.4000000000000004</v>
      </c>
      <c r="M1291">
        <v>200</v>
      </c>
      <c r="O1291" t="s">
        <v>26</v>
      </c>
      <c r="P1291" t="s">
        <v>39</v>
      </c>
      <c r="Q1291" t="s">
        <v>2658</v>
      </c>
    </row>
    <row r="1292" spans="1:17" ht="15.75" x14ac:dyDescent="0.25">
      <c r="A1292" s="3" t="str">
        <f>HYPERLINK("https://mbrstore.com/products/cea-city-sky/", "https://mbrstore.com/products/cea-city-sky/")</f>
        <v>https://mbrstore.com/products/cea-city-sky/</v>
      </c>
      <c r="B1292" s="3" t="str">
        <f>HYPERLINK("https://mbrstore.com/products/cea-city-sky/", "https://mbrstore.com/products/cea-city-sky/")</f>
        <v>https://mbrstore.com/products/cea-city-sky/</v>
      </c>
      <c r="C1292" t="s">
        <v>2453</v>
      </c>
      <c r="D1292" t="s">
        <v>2579</v>
      </c>
      <c r="E1292" s="3" t="str">
        <f>HYPERLINK("https://www.amazon.com/Crest-Professional-Whitestrips-Whitening-Treatments/dp/B00AHAWWO0/ref=sr_1_10?keywords=Effects&amp;qid=1695258928&amp;sr=8-10", "https://www.amazon.com/Crest-Professional-Whitestrips-Whitening-Treatments/dp/B00AHAWWO0/ref=sr_1_10?keywords=Effects&amp;qid=1695258928&amp;sr=8-10")</f>
        <v>https://www.amazon.com/Crest-Professional-Whitestrips-Whitening-Treatments/dp/B00AHAWWO0/ref=sr_1_10?keywords=Effects&amp;qid=1695258928&amp;sr=8-10</v>
      </c>
      <c r="F1292" t="s">
        <v>2516</v>
      </c>
      <c r="G1292" t="e">
        <f ca="1">IMAGE("https://mbrstore.com/wp-content/uploads/2022/03/01240_CitySky_50ml-copy-460x460.jpg")</f>
        <v>#NAME?</v>
      </c>
      <c r="H1292" t="e">
        <f ca="1">IMAGE("https://m.media-amazon.com/images/I/61IylKAap-L._AC_UL320_.jpg")</f>
        <v>#NAME?</v>
      </c>
      <c r="I1292" t="s">
        <v>2661</v>
      </c>
      <c r="J1292">
        <v>45.99</v>
      </c>
      <c r="K1292" s="2" t="s">
        <v>2814</v>
      </c>
      <c r="L1292">
        <v>4.5999999999999996</v>
      </c>
      <c r="M1292">
        <v>112972</v>
      </c>
      <c r="O1292" t="s">
        <v>26</v>
      </c>
      <c r="P1292" t="s">
        <v>39</v>
      </c>
      <c r="Q1292" t="s">
        <v>2663</v>
      </c>
    </row>
    <row r="1293" spans="1:17" ht="15.75" x14ac:dyDescent="0.25">
      <c r="A1293" s="3" t="str">
        <f>HYPERLINK("https://mbrstore.com/products/hair-scalp-shampoo/", "https://mbrstore.com/products/hair-scalp-shampoo/")</f>
        <v>https://mbrstore.com/products/hair-scalp-shampoo/</v>
      </c>
      <c r="B1293" s="3" t="str">
        <f>HYPERLINK("https://mbrstore.com/products/hair-scalp-shampoo/", "https://mbrstore.com/products/hair-scalp-shampoo/")</f>
        <v>https://mbrstore.com/products/hair-scalp-shampoo/</v>
      </c>
      <c r="C1293" t="s">
        <v>2815</v>
      </c>
      <c r="D1293" t="s">
        <v>2816</v>
      </c>
      <c r="E1293" s="3" t="str">
        <f>HYPERLINK("https://www.amazon.com/PURA-DOR-Dandruff-Therapy-Conditioner/dp/B07FWH6TFP/ref=sr_1_2?keywords=Hair+%26+Scalp+Shampoo&amp;qid=1695258876&amp;sr=8-2", "https://www.amazon.com/PURA-DOR-Dandruff-Therapy-Conditioner/dp/B07FWH6TFP/ref=sr_1_2?keywords=Hair+%26+Scalp+Shampoo&amp;qid=1695258876&amp;sr=8-2")</f>
        <v>https://www.amazon.com/PURA-DOR-Dandruff-Therapy-Conditioner/dp/B07FWH6TFP/ref=sr_1_2?keywords=Hair+%26+Scalp+Shampoo&amp;qid=1695258876&amp;sr=8-2</v>
      </c>
      <c r="F1293" t="s">
        <v>2817</v>
      </c>
      <c r="G1293" t="e">
        <f ca="1">IMAGE("https://mbrstore.com/wp-content/uploads/2022/03/01460_HairScalpShampoo_200ml-copy-460x460.jpg")</f>
        <v>#NAME?</v>
      </c>
      <c r="H1293" t="e">
        <f ca="1">IMAGE("https://m.media-amazon.com/images/I/91ZNUHVgOoL._AC_UL320_.jpg")</f>
        <v>#NAME?</v>
      </c>
      <c r="I1293" t="s">
        <v>2581</v>
      </c>
      <c r="J1293">
        <v>25.99</v>
      </c>
      <c r="K1293" s="2" t="s">
        <v>2818</v>
      </c>
      <c r="L1293">
        <v>4.4000000000000004</v>
      </c>
      <c r="M1293">
        <v>3180</v>
      </c>
      <c r="O1293" t="s">
        <v>26</v>
      </c>
      <c r="P1293" t="s">
        <v>39</v>
      </c>
      <c r="Q1293" t="s">
        <v>2819</v>
      </c>
    </row>
    <row r="1294" spans="1:17" ht="15.75" x14ac:dyDescent="0.25">
      <c r="A1294" s="3" t="str">
        <f>HYPERLINK("https://mbrstore.com/products/hydrating-lifting-toner/", "https://mbrstore.com/products/hydrating-lifting-toner/")</f>
        <v>https://mbrstore.com/products/hydrating-lifting-toner/</v>
      </c>
      <c r="B1294" s="3" t="str">
        <f>HYPERLINK("https://mbrstore.com/products/hydrating-lifting-toner/", "https://mbrstore.com/products/hydrating-lifting-toner/")</f>
        <v>https://mbrstore.com/products/hydrating-lifting-toner/</v>
      </c>
      <c r="C1294" t="s">
        <v>2453</v>
      </c>
      <c r="D1294" t="s">
        <v>2579</v>
      </c>
      <c r="E1294" s="3" t="str">
        <f>HYPERLINK("https://www.amazon.com/Crest-Professional-Whitestrips-Whitening-Treatments/dp/B00AHAWWO0/ref=sr_1_10?keywords=Effects&amp;qid=1695258874&amp;sr=8-10", "https://www.amazon.com/Crest-Professional-Whitestrips-Whitening-Treatments/dp/B00AHAWWO0/ref=sr_1_10?keywords=Effects&amp;qid=1695258874&amp;sr=8-10")</f>
        <v>https://www.amazon.com/Crest-Professional-Whitestrips-Whitening-Treatments/dp/B00AHAWWO0/ref=sr_1_10?keywords=Effects&amp;qid=1695258874&amp;sr=8-10</v>
      </c>
      <c r="F1294" t="s">
        <v>2516</v>
      </c>
      <c r="G1294" t="e">
        <f ca="1">IMAGE("https://mbrstore.com/wp-content/uploads/2022/04/01430_MBR_Hydrating_and_Lifting_Toner_150ml-460x460.jpg")</f>
        <v>#NAME?</v>
      </c>
      <c r="H1294" t="e">
        <f ca="1">IMAGE("https://m.media-amazon.com/images/I/61IylKAap-L._AC_UL320_.jpg")</f>
        <v>#NAME?</v>
      </c>
      <c r="I1294" t="s">
        <v>2666</v>
      </c>
      <c r="J1294">
        <v>45.99</v>
      </c>
      <c r="K1294" s="2" t="s">
        <v>2820</v>
      </c>
      <c r="L1294">
        <v>4.5999999999999996</v>
      </c>
      <c r="M1294">
        <v>112972</v>
      </c>
      <c r="O1294" t="s">
        <v>26</v>
      </c>
      <c r="P1294" t="s">
        <v>39</v>
      </c>
      <c r="Q1294" t="s">
        <v>2668</v>
      </c>
    </row>
    <row r="1295" spans="1:17" ht="15.75" x14ac:dyDescent="0.25">
      <c r="A1295" s="3" t="str">
        <f>HYPERLINK("https://mbrstore.com/products/hyaluron-mask/", "https://mbrstore.com/products/hyaluron-mask/")</f>
        <v>https://mbrstore.com/products/hyaluron-mask/</v>
      </c>
      <c r="B1295" s="3" t="str">
        <f>HYPERLINK("https://mbrstore.com/products/hyaluron-mask/", "https://mbrstore.com/products/hyaluron-mask/")</f>
        <v>https://mbrstore.com/products/hyaluron-mask/</v>
      </c>
      <c r="C1295" t="s">
        <v>2453</v>
      </c>
      <c r="D1295" t="s">
        <v>2508</v>
      </c>
      <c r="E1295" s="3" t="str">
        <f>HYPERLINK("https://www.amazon.com/Westmore-Beauty-Tightening-Temporarily-Puffiness/dp/B07BYG7D2V/ref=sr_1_8?keywords=Effects&amp;qid=1695258871&amp;sr=8-8", "https://www.amazon.com/Westmore-Beauty-Tightening-Temporarily-Puffiness/dp/B07BYG7D2V/ref=sr_1_8?keywords=Effects&amp;qid=1695258871&amp;sr=8-8")</f>
        <v>https://www.amazon.com/Westmore-Beauty-Tightening-Temporarily-Puffiness/dp/B07BYG7D2V/ref=sr_1_8?keywords=Effects&amp;qid=1695258871&amp;sr=8-8</v>
      </c>
      <c r="F1295" t="s">
        <v>2509</v>
      </c>
      <c r="G1295" t="e">
        <f ca="1">IMAGE("https://mbrstore.com/wp-content/uploads/2022/03/01232_HyaluronMask_100ml-copy-460x460.jpg")</f>
        <v>#NAME?</v>
      </c>
      <c r="H1295" t="e">
        <f ca="1">IMAGE("https://m.media-amazon.com/images/I/51YkzEMtyCL._AC_UL320_.jpg")</f>
        <v>#NAME?</v>
      </c>
      <c r="I1295" t="s">
        <v>2552</v>
      </c>
      <c r="J1295">
        <v>43.45</v>
      </c>
      <c r="K1295" s="2" t="s">
        <v>2821</v>
      </c>
      <c r="L1295">
        <v>3.6</v>
      </c>
      <c r="M1295">
        <v>1214</v>
      </c>
      <c r="O1295" t="s">
        <v>26</v>
      </c>
      <c r="P1295" t="s">
        <v>39</v>
      </c>
      <c r="Q1295" t="s">
        <v>2554</v>
      </c>
    </row>
    <row r="1296" spans="1:17" ht="15.75" x14ac:dyDescent="0.25">
      <c r="A1296" s="3" t="str">
        <f>HYPERLINK("https://mbrstore.com/products/cell-power-firming-body-lotion/", "https://mbrstore.com/products/cell-power-firming-body-lotion/")</f>
        <v>https://mbrstore.com/products/cell-power-firming-body-lotion/</v>
      </c>
      <c r="B1296" s="3" t="str">
        <f>HYPERLINK("https://mbrstore.com/products/cell-power-firming-body-lotion/", "https://mbrstore.com/products/cell-power-firming-body-lotion/")</f>
        <v>https://mbrstore.com/products/cell-power-firming-body-lotion/</v>
      </c>
      <c r="C1296" t="s">
        <v>2767</v>
      </c>
      <c r="D1296" t="s">
        <v>2822</v>
      </c>
      <c r="E1296" s="3" t="str">
        <f>HYPERLINK("https://www.amazon.com/Enaskin-Naturals-Firming-Tightening-Cellulite/dp/B0CD1FQVPV/ref=sr_1_9?keywords=Cell-Power+Firming+Body+Lotion&amp;qid=1695258891&amp;sr=8-9", "https://www.amazon.com/Enaskin-Naturals-Firming-Tightening-Cellulite/dp/B0CD1FQVPV/ref=sr_1_9?keywords=Cell-Power+Firming+Body+Lotion&amp;qid=1695258891&amp;sr=8-9")</f>
        <v>https://www.amazon.com/Enaskin-Naturals-Firming-Tightening-Cellulite/dp/B0CD1FQVPV/ref=sr_1_9?keywords=Cell-Power+Firming+Body+Lotion&amp;qid=1695258891&amp;sr=8-9</v>
      </c>
      <c r="F1296" t="s">
        <v>2823</v>
      </c>
      <c r="G1296" t="e">
        <f ca="1">IMAGE("https://mbrstore.com/wp-content/uploads/2022/03/01605_FirmingBodyLotion_200ml-copy-460x460.jpg")</f>
        <v>#NAME?</v>
      </c>
      <c r="H1296" t="e">
        <f ca="1">IMAGE("https://m.media-amazon.com/images/I/61i7Jo-cBaL._AC_UL320_.jpg")</f>
        <v>#NAME?</v>
      </c>
      <c r="I1296" t="s">
        <v>2770</v>
      </c>
      <c r="J1296">
        <v>26.99</v>
      </c>
      <c r="K1296" s="2" t="s">
        <v>2824</v>
      </c>
      <c r="L1296">
        <v>5</v>
      </c>
      <c r="M1296">
        <v>6</v>
      </c>
      <c r="O1296" t="s">
        <v>26</v>
      </c>
      <c r="P1296" t="s">
        <v>39</v>
      </c>
      <c r="Q1296" t="s">
        <v>2772</v>
      </c>
    </row>
    <row r="1297" spans="1:17" ht="15.75" x14ac:dyDescent="0.25">
      <c r="A1297" s="3" t="str">
        <f>HYPERLINK("https://mbrstore.com/products/cell-power-vital-serum/", "https://mbrstore.com/products/cell-power-vital-serum/")</f>
        <v>https://mbrstore.com/products/cell-power-vital-serum/</v>
      </c>
      <c r="B1297" s="3" t="str">
        <f>HYPERLINK("https://mbrstore.com/products/cell-power-vital-serum/", "https://mbrstore.com/products/cell-power-vital-serum/")</f>
        <v>https://mbrstore.com/products/cell-power-vital-serum/</v>
      </c>
      <c r="C1297" t="s">
        <v>2825</v>
      </c>
      <c r="D1297" t="s">
        <v>2826</v>
      </c>
      <c r="E1297" s="3" t="str">
        <f>HYPERLINK("https://www.amazon.com/LOreal-Paris-Revitalift-Moisturizes-Eliminates/dp/B08HSLT1V9/ref=sr_1_3?keywords=Cell+Power+Vital+Serum&amp;qid=1695258877&amp;sr=8-3", "https://www.amazon.com/LOreal-Paris-Revitalift-Moisturizes-Eliminates/dp/B08HSLT1V9/ref=sr_1_3?keywords=Cell+Power+Vital+Serum&amp;qid=1695258877&amp;sr=8-3")</f>
        <v>https://www.amazon.com/LOreal-Paris-Revitalift-Moisturizes-Eliminates/dp/B08HSLT1V9/ref=sr_1_3?keywords=Cell+Power+Vital+Serum&amp;qid=1695258877&amp;sr=8-3</v>
      </c>
      <c r="F1297" t="s">
        <v>2827</v>
      </c>
      <c r="G1297" t="e">
        <f ca="1">IMAGE("https://mbrstore.com/wp-content/uploads/2022/03/01221_CellPowerVitalSerum_30ml-copy-460x460.jpg")</f>
        <v>#NAME?</v>
      </c>
      <c r="H1297" t="e">
        <f ca="1">IMAGE("https://m.media-amazon.com/images/I/71dLHi6GwjL._AC_UL320_.jpg")</f>
        <v>#NAME?</v>
      </c>
      <c r="I1297" t="s">
        <v>2828</v>
      </c>
      <c r="J1297">
        <v>18.100000000000001</v>
      </c>
      <c r="K1297" s="2" t="s">
        <v>2829</v>
      </c>
      <c r="L1297">
        <v>4.5999999999999996</v>
      </c>
      <c r="M1297">
        <v>1462</v>
      </c>
      <c r="O1297" t="s">
        <v>26</v>
      </c>
      <c r="P1297" t="s">
        <v>39</v>
      </c>
      <c r="Q1297" t="s">
        <v>2830</v>
      </c>
    </row>
    <row r="1298" spans="1:17" ht="15.75" x14ac:dyDescent="0.25">
      <c r="A1298" s="3" t="str">
        <f>HYPERLINK("https://mbrstore.com/products/hair-scalp-shampoo/", "https://mbrstore.com/products/hair-scalp-shampoo/")</f>
        <v>https://mbrstore.com/products/hair-scalp-shampoo/</v>
      </c>
      <c r="B1298" s="3" t="str">
        <f>HYPERLINK("https://mbrstore.com/products/hair-scalp-shampoo/", "https://mbrstore.com/products/hair-scalp-shampoo/")</f>
        <v>https://mbrstore.com/products/hair-scalp-shampoo/</v>
      </c>
      <c r="C1298" t="s">
        <v>2815</v>
      </c>
      <c r="D1298" t="s">
        <v>2831</v>
      </c>
      <c r="E1298" s="3" t="str">
        <f>HYPERLINK("https://www.amazon.com/Tree-Scalp-Anti-Thinning-Shampoo-10-14/dp/B01DCCC84S/ref=sr_1_5?keywords=Hair+%26+Scalp+Shampoo&amp;qid=1695258876&amp;sr=8-5", "https://www.amazon.com/Tree-Scalp-Anti-Thinning-Shampoo-10-14/dp/B01DCCC84S/ref=sr_1_5?keywords=Hair+%26+Scalp+Shampoo&amp;qid=1695258876&amp;sr=8-5")</f>
        <v>https://www.amazon.com/Tree-Scalp-Anti-Thinning-Shampoo-10-14/dp/B01DCCC84S/ref=sr_1_5?keywords=Hair+%26+Scalp+Shampoo&amp;qid=1695258876&amp;sr=8-5</v>
      </c>
      <c r="F1298" t="s">
        <v>2832</v>
      </c>
      <c r="G1298" t="e">
        <f ca="1">IMAGE("https://mbrstore.com/wp-content/uploads/2022/03/01460_HairScalpShampoo_200ml-copy-460x460.jpg")</f>
        <v>#NAME?</v>
      </c>
      <c r="H1298" t="e">
        <f ca="1">IMAGE("https://m.media-amazon.com/images/I/61P3XjnTV1L._AC_UL320_.jpg")</f>
        <v>#NAME?</v>
      </c>
      <c r="I1298" t="s">
        <v>2581</v>
      </c>
      <c r="J1298">
        <v>25</v>
      </c>
      <c r="K1298" s="2" t="s">
        <v>2833</v>
      </c>
      <c r="L1298">
        <v>4.5</v>
      </c>
      <c r="M1298">
        <v>3435</v>
      </c>
      <c r="O1298" t="s">
        <v>26</v>
      </c>
      <c r="P1298" t="s">
        <v>39</v>
      </c>
      <c r="Q1298" t="s">
        <v>2819</v>
      </c>
    </row>
    <row r="1299" spans="1:17" ht="15.75" x14ac:dyDescent="0.25">
      <c r="A1299" s="3" t="str">
        <f>HYPERLINK("https://mbrstore.com/products/hair-scalp-shampoo/", "https://mbrstore.com/products/hair-scalp-shampoo/")</f>
        <v>https://mbrstore.com/products/hair-scalp-shampoo/</v>
      </c>
      <c r="B1299" s="3" t="str">
        <f>HYPERLINK("https://mbrstore.com/products/hair-scalp-shampoo/", "https://mbrstore.com/products/hair-scalp-shampoo/")</f>
        <v>https://mbrstore.com/products/hair-scalp-shampoo/</v>
      </c>
      <c r="C1299" t="s">
        <v>2815</v>
      </c>
      <c r="D1299" t="s">
        <v>2834</v>
      </c>
      <c r="E1299" s="3" t="str">
        <f>HYPERLINK("https://www.amazon.com/ProBliva-Fungus-Shampoo-Hair-Scalp/dp/B07RZ9B33D/ref=sr_1_9?keywords=Hair+%26+Scalp+Shampoo&amp;qid=1695258876&amp;sr=8-9", "https://www.amazon.com/ProBliva-Fungus-Shampoo-Hair-Scalp/dp/B07RZ9B33D/ref=sr_1_9?keywords=Hair+%26+Scalp+Shampoo&amp;qid=1695258876&amp;sr=8-9")</f>
        <v>https://www.amazon.com/ProBliva-Fungus-Shampoo-Hair-Scalp/dp/B07RZ9B33D/ref=sr_1_9?keywords=Hair+%26+Scalp+Shampoo&amp;qid=1695258876&amp;sr=8-9</v>
      </c>
      <c r="F1299" t="s">
        <v>2835</v>
      </c>
      <c r="G1299" t="e">
        <f ca="1">IMAGE("https://mbrstore.com/wp-content/uploads/2022/03/01460_HairScalpShampoo_200ml-copy-460x460.jpg")</f>
        <v>#NAME?</v>
      </c>
      <c r="H1299" t="e">
        <f ca="1">IMAGE("https://m.media-amazon.com/images/I/61aSjfT+FuL._AC_UL320_.jpg")</f>
        <v>#NAME?</v>
      </c>
      <c r="I1299" t="s">
        <v>2581</v>
      </c>
      <c r="J1299">
        <v>24.9</v>
      </c>
      <c r="K1299" s="2" t="s">
        <v>2836</v>
      </c>
      <c r="L1299">
        <v>4.3</v>
      </c>
      <c r="M1299">
        <v>3478</v>
      </c>
      <c r="O1299" t="s">
        <v>26</v>
      </c>
      <c r="P1299" t="s">
        <v>39</v>
      </c>
      <c r="Q1299" t="s">
        <v>2819</v>
      </c>
    </row>
    <row r="1300" spans="1:17" ht="15.75" x14ac:dyDescent="0.25">
      <c r="A1300" s="3" t="str">
        <f>HYPERLINK("https://mbrstore.com/products/cea-city-sky/", "https://mbrstore.com/products/cea-city-sky/")</f>
        <v>https://mbrstore.com/products/cea-city-sky/</v>
      </c>
      <c r="B1300" s="3" t="str">
        <f>HYPERLINK("https://mbrstore.com/products/cea-city-sky/", "https://mbrstore.com/products/cea-city-sky/")</f>
        <v>https://mbrstore.com/products/cea-city-sky/</v>
      </c>
      <c r="C1300" t="s">
        <v>2453</v>
      </c>
      <c r="D1300" t="s">
        <v>2508</v>
      </c>
      <c r="E1300" s="3" t="str">
        <f>HYPERLINK("https://www.amazon.com/Westmore-Beauty-Tightening-Temporarily-Puffiness/dp/B07BYG7D2V/ref=sr_1_3?keywords=Effects&amp;qid=1695258928&amp;sr=8-3", "https://www.amazon.com/Westmore-Beauty-Tightening-Temporarily-Puffiness/dp/B07BYG7D2V/ref=sr_1_3?keywords=Effects&amp;qid=1695258928&amp;sr=8-3")</f>
        <v>https://www.amazon.com/Westmore-Beauty-Tightening-Temporarily-Puffiness/dp/B07BYG7D2V/ref=sr_1_3?keywords=Effects&amp;qid=1695258928&amp;sr=8-3</v>
      </c>
      <c r="F1300" t="s">
        <v>2509</v>
      </c>
      <c r="G1300" t="e">
        <f ca="1">IMAGE("https://mbrstore.com/wp-content/uploads/2022/03/01240_CitySky_50ml-copy-460x460.jpg")</f>
        <v>#NAME?</v>
      </c>
      <c r="H1300" t="e">
        <f ca="1">IMAGE("https://m.media-amazon.com/images/I/51YkzEMtyCL._AC_UL320_.jpg")</f>
        <v>#NAME?</v>
      </c>
      <c r="I1300" t="s">
        <v>2661</v>
      </c>
      <c r="J1300">
        <v>43.45</v>
      </c>
      <c r="K1300" s="2" t="s">
        <v>2837</v>
      </c>
      <c r="L1300">
        <v>3.6</v>
      </c>
      <c r="M1300">
        <v>1214</v>
      </c>
      <c r="O1300" t="s">
        <v>26</v>
      </c>
      <c r="P1300" t="s">
        <v>39</v>
      </c>
      <c r="Q1300" t="s">
        <v>2663</v>
      </c>
    </row>
    <row r="1301" spans="1:17" ht="15.75" x14ac:dyDescent="0.25">
      <c r="A1301" s="3" t="str">
        <f>HYPERLINK("https://mbrstore.com/products/hair-scalp-booster/", "https://mbrstore.com/products/hair-scalp-booster/")</f>
        <v>https://mbrstore.com/products/hair-scalp-booster/</v>
      </c>
      <c r="B1301" s="3" t="str">
        <f>HYPERLINK("https://mbrstore.com/products/hair-scalp-booster/", "https://mbrstore.com/products/hair-scalp-booster/")</f>
        <v>https://mbrstore.com/products/hair-scalp-booster/</v>
      </c>
      <c r="C1301" t="s">
        <v>2453</v>
      </c>
      <c r="D1301" t="s">
        <v>2515</v>
      </c>
      <c r="E1301" s="3" t="str">
        <f>HYPERLINK("https://www.amazon.com/Crest-Professional-Whitestrips-Whitening-Treatments/dp/B00AHAWWO0/ref=sr_1_10?keywords=Effects&amp;qid=1695258870&amp;sr=8-10", "https://www.amazon.com/Crest-Professional-Whitestrips-Whitening-Treatments/dp/B00AHAWWO0/ref=sr_1_10?keywords=Effects&amp;qid=1695258870&amp;sr=8-10")</f>
        <v>https://www.amazon.com/Crest-Professional-Whitestrips-Whitening-Treatments/dp/B00AHAWWO0/ref=sr_1_10?keywords=Effects&amp;qid=1695258870&amp;sr=8-10</v>
      </c>
      <c r="F1301" t="s">
        <v>2516</v>
      </c>
      <c r="G1301" t="e">
        <f ca="1">IMAGE("https://mbrstore.com/wp-content/uploads/2022/03/01452_HairScalpBooster_5ml_alle-460x460.jpg")</f>
        <v>#NAME?</v>
      </c>
      <c r="H1301" t="e">
        <f ca="1">IMAGE("https://m.media-amazon.com/images/I/61IylKAap-L._AC_UL320_.jpg")</f>
        <v>#NAME?</v>
      </c>
      <c r="I1301" t="s">
        <v>2669</v>
      </c>
      <c r="J1301">
        <v>45.99</v>
      </c>
      <c r="K1301" s="2" t="s">
        <v>2838</v>
      </c>
      <c r="L1301">
        <v>4.5999999999999996</v>
      </c>
      <c r="M1301">
        <v>112972</v>
      </c>
      <c r="O1301" t="s">
        <v>26</v>
      </c>
      <c r="P1301" t="s">
        <v>39</v>
      </c>
      <c r="Q1301" t="s">
        <v>2671</v>
      </c>
    </row>
    <row r="1302" spans="1:17" ht="15.75" x14ac:dyDescent="0.25">
      <c r="A1302" s="3" t="str">
        <f>HYPERLINK("https://mbrstore.com/products/the-best-eye/", "https://mbrstore.com/products/the-best-eye/")</f>
        <v>https://mbrstore.com/products/the-best-eye/</v>
      </c>
      <c r="B1302" s="3" t="str">
        <f>HYPERLINK("https://mbrstore.com/products/the-best-eye/", "https://mbrstore.com/products/the-best-eye/")</f>
        <v>https://mbrstore.com/products/the-best-eye/</v>
      </c>
      <c r="C1302" t="s">
        <v>2453</v>
      </c>
      <c r="D1302" t="s">
        <v>2458</v>
      </c>
      <c r="E1302" s="3" t="str">
        <f>HYPERLINK("https://www.amazon.com/Fender-Mustang-LT-25-Digital-Amplifier/dp/B07N29M92M/ref=sr_1_7?keywords=Effects&amp;qid=1695258881&amp;sr=8-7", "https://www.amazon.com/Fender-Mustang-LT-25-Digital-Amplifier/dp/B07N29M92M/ref=sr_1_7?keywords=Effects&amp;qid=1695258881&amp;sr=8-7")</f>
        <v>https://www.amazon.com/Fender-Mustang-LT-25-Digital-Amplifier/dp/B07N29M92M/ref=sr_1_7?keywords=Effects&amp;qid=1695258881&amp;sr=8-7</v>
      </c>
      <c r="F1302" t="s">
        <v>2459</v>
      </c>
      <c r="G1302" t="e">
        <f ca="1">IMAGE("https://mbrstore.com/wp-content/uploads/2022/03/01444_TheBestEye_30ml-copy-460x460.jpg")</f>
        <v>#NAME?</v>
      </c>
      <c r="H1302" t="e">
        <f ca="1">IMAGE("https://m.media-amazon.com/images/I/81oKmWyFJPL._AC_UL320_.jpg")</f>
        <v>#NAME?</v>
      </c>
      <c r="I1302" t="s">
        <v>2839</v>
      </c>
      <c r="J1302">
        <v>159.99</v>
      </c>
      <c r="K1302" s="2" t="s">
        <v>2840</v>
      </c>
      <c r="L1302">
        <v>4.8</v>
      </c>
      <c r="M1302">
        <v>3110</v>
      </c>
      <c r="O1302" t="s">
        <v>26</v>
      </c>
      <c r="P1302" t="s">
        <v>39</v>
      </c>
      <c r="Q1302" t="s">
        <v>2841</v>
      </c>
    </row>
    <row r="1303" spans="1:17" ht="15.75" x14ac:dyDescent="0.25">
      <c r="A1303" s="3" t="str">
        <f>HYPERLINK("https://mbrstore.com/products/cea-twentyfour-hours-extreme/", "https://mbrstore.com/products/cea-twentyfour-hours-extreme/")</f>
        <v>https://mbrstore.com/products/cea-twentyfour-hours-extreme/</v>
      </c>
      <c r="B1303" s="3" t="str">
        <f>HYPERLINK("https://mbrstore.com/products/cea-twentyfour-hours-extreme/", "https://mbrstore.com/products/cea-twentyfour-hours-extreme/")</f>
        <v>https://mbrstore.com/products/cea-twentyfour-hours-extreme/</v>
      </c>
      <c r="C1303" t="s">
        <v>2453</v>
      </c>
      <c r="D1303" t="s">
        <v>2508</v>
      </c>
      <c r="E1303" s="3" t="str">
        <f>HYPERLINK("https://www.amazon.com/Westmore-Beauty-Tightening-Temporarily-Puffiness/dp/B07BYG7D2V/ref=sr_1_3?keywords=Effects&amp;qid=1695258887&amp;sr=8-3", "https://www.amazon.com/Westmore-Beauty-Tightening-Temporarily-Puffiness/dp/B07BYG7D2V/ref=sr_1_3?keywords=Effects&amp;qid=1695258887&amp;sr=8-3")</f>
        <v>https://www.amazon.com/Westmore-Beauty-Tightening-Temporarily-Puffiness/dp/B07BYG7D2V/ref=sr_1_3?keywords=Effects&amp;qid=1695258887&amp;sr=8-3</v>
      </c>
      <c r="F1303" t="s">
        <v>2509</v>
      </c>
      <c r="G1303" t="e">
        <f ca="1">IMAGE("https://mbrstore.com/wp-content/uploads/2022/03/01241_24HoursExtreme_50ml-copy-460x460.jpg")</f>
        <v>#NAME?</v>
      </c>
      <c r="H1303" t="e">
        <f ca="1">IMAGE("https://m.media-amazon.com/images/I/51YkzEMtyCL._AC_UL320_.jpg")</f>
        <v>#NAME?</v>
      </c>
      <c r="I1303" t="s">
        <v>2555</v>
      </c>
      <c r="J1303">
        <v>43.45</v>
      </c>
      <c r="K1303" s="2" t="s">
        <v>2842</v>
      </c>
      <c r="L1303">
        <v>3.6</v>
      </c>
      <c r="M1303">
        <v>1214</v>
      </c>
      <c r="O1303" t="s">
        <v>26</v>
      </c>
      <c r="P1303" t="s">
        <v>39</v>
      </c>
      <c r="Q1303" t="s">
        <v>2557</v>
      </c>
    </row>
    <row r="1304" spans="1:17" ht="15.75" x14ac:dyDescent="0.25">
      <c r="A1304" s="3" t="str">
        <f>HYPERLINK("https://mbrstore.com/products/hydrating-lifting-toner/", "https://mbrstore.com/products/hydrating-lifting-toner/")</f>
        <v>https://mbrstore.com/products/hydrating-lifting-toner/</v>
      </c>
      <c r="B1304" s="3" t="str">
        <f>HYPERLINK("https://mbrstore.com/products/hydrating-lifting-toner/", "https://mbrstore.com/products/hydrating-lifting-toner/")</f>
        <v>https://mbrstore.com/products/hydrating-lifting-toner/</v>
      </c>
      <c r="C1304" t="s">
        <v>2453</v>
      </c>
      <c r="D1304" t="s">
        <v>2508</v>
      </c>
      <c r="E1304" s="3" t="str">
        <f>HYPERLINK("https://www.amazon.com/Westmore-Beauty-Tightening-Temporarily-Puffiness/dp/B07BYG7D2V/ref=sr_1_3?keywords=Effects&amp;qid=1695258874&amp;sr=8-3", "https://www.amazon.com/Westmore-Beauty-Tightening-Temporarily-Puffiness/dp/B07BYG7D2V/ref=sr_1_3?keywords=Effects&amp;qid=1695258874&amp;sr=8-3")</f>
        <v>https://www.amazon.com/Westmore-Beauty-Tightening-Temporarily-Puffiness/dp/B07BYG7D2V/ref=sr_1_3?keywords=Effects&amp;qid=1695258874&amp;sr=8-3</v>
      </c>
      <c r="F1304" t="s">
        <v>2509</v>
      </c>
      <c r="G1304" t="e">
        <f ca="1">IMAGE("https://mbrstore.com/wp-content/uploads/2022/04/01430_MBR_Hydrating_and_Lifting_Toner_150ml-460x460.jpg")</f>
        <v>#NAME?</v>
      </c>
      <c r="H1304" t="e">
        <f ca="1">IMAGE("https://m.media-amazon.com/images/I/51YkzEMtyCL._AC_UL320_.jpg")</f>
        <v>#NAME?</v>
      </c>
      <c r="I1304" t="s">
        <v>2666</v>
      </c>
      <c r="J1304">
        <v>43.45</v>
      </c>
      <c r="K1304" s="2" t="s">
        <v>2843</v>
      </c>
      <c r="L1304">
        <v>3.6</v>
      </c>
      <c r="M1304">
        <v>1214</v>
      </c>
      <c r="O1304" t="s">
        <v>26</v>
      </c>
      <c r="P1304" t="s">
        <v>39</v>
      </c>
      <c r="Q1304" t="s">
        <v>2668</v>
      </c>
    </row>
    <row r="1305" spans="1:17" ht="15.75" x14ac:dyDescent="0.25">
      <c r="A1305" s="3" t="str">
        <f>HYPERLINK("https://mbrstore.com/products/cell-power-vital-serum/", "https://mbrstore.com/products/cell-power-vital-serum/")</f>
        <v>https://mbrstore.com/products/cell-power-vital-serum/</v>
      </c>
      <c r="B1305" s="3" t="str">
        <f>HYPERLINK("https://mbrstore.com/products/cell-power-vital-serum/", "https://mbrstore.com/products/cell-power-vital-serum/")</f>
        <v>https://mbrstore.com/products/cell-power-vital-serum/</v>
      </c>
      <c r="C1305" t="s">
        <v>2825</v>
      </c>
      <c r="D1305" t="s">
        <v>2844</v>
      </c>
      <c r="E1305" s="3" t="str">
        <f>HYPERLINK("https://www.amazon.com/LOr%C3%A9al-Paris-Revitalift-Concentrated-Treatment/dp/B008FZ562E/ref=sr_1_2?keywords=Cell+Power+Vital+Serum&amp;qid=1695258877&amp;sr=8-2", "https://www.amazon.com/LOr%C3%A9al-Paris-Revitalift-Concentrated-Treatment/dp/B008FZ562E/ref=sr_1_2?keywords=Cell+Power+Vital+Serum&amp;qid=1695258877&amp;sr=8-2")</f>
        <v>https://www.amazon.com/LOr%C3%A9al-Paris-Revitalift-Concentrated-Treatment/dp/B008FZ562E/ref=sr_1_2?keywords=Cell+Power+Vital+Serum&amp;qid=1695258877&amp;sr=8-2</v>
      </c>
      <c r="F1305" t="s">
        <v>2845</v>
      </c>
      <c r="G1305" t="e">
        <f ca="1">IMAGE("https://mbrstore.com/wp-content/uploads/2022/03/01221_CellPowerVitalSerum_30ml-copy-460x460.jpg")</f>
        <v>#NAME?</v>
      </c>
      <c r="H1305" t="e">
        <f ca="1">IMAGE("https://m.media-amazon.com/images/I/71I+O41E2zL._AC_UL320_.jpg")</f>
        <v>#NAME?</v>
      </c>
      <c r="I1305" t="s">
        <v>2828</v>
      </c>
      <c r="J1305">
        <v>17.170000000000002</v>
      </c>
      <c r="K1305" s="2" t="s">
        <v>2846</v>
      </c>
      <c r="L1305">
        <v>4.5999999999999996</v>
      </c>
      <c r="M1305">
        <v>4730</v>
      </c>
      <c r="O1305" t="s">
        <v>26</v>
      </c>
      <c r="P1305" t="s">
        <v>39</v>
      </c>
      <c r="Q1305" t="s">
        <v>2830</v>
      </c>
    </row>
    <row r="1306" spans="1:17" ht="15.75" x14ac:dyDescent="0.25">
      <c r="A1306" s="3" t="str">
        <f>HYPERLINK("https://mbrstore.com/products/eyecare-smoothing-gelmask/", "https://mbrstore.com/products/eyecare-smoothing-gelmask/")</f>
        <v>https://mbrstore.com/products/eyecare-smoothing-gelmask/</v>
      </c>
      <c r="B1306" s="3" t="str">
        <f>HYPERLINK("https://mbrstore.com/products/eyecare-smoothing-gelmask/", "https://mbrstore.com/products/eyecare-smoothing-gelmask/")</f>
        <v>https://mbrstore.com/products/eyecare-smoothing-gelmask/</v>
      </c>
      <c r="C1306" t="s">
        <v>2453</v>
      </c>
      <c r="D1306" t="s">
        <v>2579</v>
      </c>
      <c r="E1306" s="3" t="str">
        <f>HYPERLINK("https://www.amazon.com/Crest-Professional-Whitestrips-Whitening-Treatments/dp/B00AHAWWO0/ref=sr_1_10?keywords=Effects&amp;qid=1695258869&amp;sr=8-10", "https://www.amazon.com/Crest-Professional-Whitestrips-Whitening-Treatments/dp/B00AHAWWO0/ref=sr_1_10?keywords=Effects&amp;qid=1695258869&amp;sr=8-10")</f>
        <v>https://www.amazon.com/Crest-Professional-Whitestrips-Whitening-Treatments/dp/B00AHAWWO0/ref=sr_1_10?keywords=Effects&amp;qid=1695258869&amp;sr=8-10</v>
      </c>
      <c r="F1306" t="s">
        <v>2516</v>
      </c>
      <c r="G1306" t="e">
        <f ca="1">IMAGE("https://mbrstore.com/wp-content/uploads/2022/03/01406_Mask_EyecareSmoothingGelmask_30ml-copy-460x460.jpg")</f>
        <v>#NAME?</v>
      </c>
      <c r="H1306" t="e">
        <f ca="1">IMAGE("https://m.media-amazon.com/images/I/61IylKAap-L._AC_UL320_.jpg")</f>
        <v>#NAME?</v>
      </c>
      <c r="I1306" t="s">
        <v>2676</v>
      </c>
      <c r="J1306">
        <v>45.99</v>
      </c>
      <c r="K1306" s="2" t="s">
        <v>2847</v>
      </c>
      <c r="L1306">
        <v>4.5999999999999996</v>
      </c>
      <c r="M1306">
        <v>112972</v>
      </c>
      <c r="O1306" t="s">
        <v>26</v>
      </c>
      <c r="P1306" t="s">
        <v>39</v>
      </c>
      <c r="Q1306" t="s">
        <v>2678</v>
      </c>
    </row>
    <row r="1307" spans="1:17" ht="15.75" x14ac:dyDescent="0.25">
      <c r="A1307" s="3" t="str">
        <f>HYPERLINK("https://mbrstore.com/products/hair-scalp-booster/", "https://mbrstore.com/products/hair-scalp-booster/")</f>
        <v>https://mbrstore.com/products/hair-scalp-booster/</v>
      </c>
      <c r="B1307" s="3" t="str">
        <f>HYPERLINK("https://mbrstore.com/products/hair-scalp-booster/", "https://mbrstore.com/products/hair-scalp-booster/")</f>
        <v>https://mbrstore.com/products/hair-scalp-booster/</v>
      </c>
      <c r="C1307" t="s">
        <v>2453</v>
      </c>
      <c r="D1307" t="s">
        <v>2508</v>
      </c>
      <c r="E1307" s="3" t="str">
        <f>HYPERLINK("https://www.amazon.com/Westmore-Beauty-Tightening-Temporarily-Puffiness/dp/B07BYG7D2V/ref=sr_1_5?keywords=Effects&amp;qid=1695258870&amp;sr=8-5", "https://www.amazon.com/Westmore-Beauty-Tightening-Temporarily-Puffiness/dp/B07BYG7D2V/ref=sr_1_5?keywords=Effects&amp;qid=1695258870&amp;sr=8-5")</f>
        <v>https://www.amazon.com/Westmore-Beauty-Tightening-Temporarily-Puffiness/dp/B07BYG7D2V/ref=sr_1_5?keywords=Effects&amp;qid=1695258870&amp;sr=8-5</v>
      </c>
      <c r="F1307" t="s">
        <v>2509</v>
      </c>
      <c r="G1307" t="e">
        <f ca="1">IMAGE("https://mbrstore.com/wp-content/uploads/2022/03/01452_HairScalpBooster_5ml_alle-460x460.jpg")</f>
        <v>#NAME?</v>
      </c>
      <c r="H1307" t="e">
        <f ca="1">IMAGE("https://m.media-amazon.com/images/I/51YkzEMtyCL._AC_UL320_.jpg")</f>
        <v>#NAME?</v>
      </c>
      <c r="I1307" t="s">
        <v>2669</v>
      </c>
      <c r="J1307">
        <v>43.45</v>
      </c>
      <c r="K1307" s="2" t="s">
        <v>2848</v>
      </c>
      <c r="L1307">
        <v>3.6</v>
      </c>
      <c r="M1307">
        <v>1214</v>
      </c>
      <c r="O1307" t="s">
        <v>26</v>
      </c>
      <c r="P1307" t="s">
        <v>39</v>
      </c>
      <c r="Q1307" t="s">
        <v>2671</v>
      </c>
    </row>
    <row r="1308" spans="1:17" ht="15.75" x14ac:dyDescent="0.25">
      <c r="A1308" s="3" t="str">
        <f>HYPERLINK("https://mbrstore.com/products/cytoline-concentrate-100/", "https://mbrstore.com/products/cytoline-concentrate-100/")</f>
        <v>https://mbrstore.com/products/cytoline-concentrate-100/</v>
      </c>
      <c r="B1308" s="3" t="str">
        <f>HYPERLINK("https://mbrstore.com/products/cytoline-concentrate-100/", "https://mbrstore.com/products/cytoline-concentrate-100/")</f>
        <v>https://mbrstore.com/products/cytoline-concentrate-100/</v>
      </c>
      <c r="C1308" t="s">
        <v>2453</v>
      </c>
      <c r="D1308" t="s">
        <v>2515</v>
      </c>
      <c r="E1308" s="3" t="str">
        <f>HYPERLINK("https://www.amazon.com/Crest-Professional-Whitestrips-Whitening-Treatments/dp/B00AHAWWO0/ref=sr_1_10?keywords=Effects&amp;qid=1695258894&amp;sr=8-10", "https://www.amazon.com/Crest-Professional-Whitestrips-Whitening-Treatments/dp/B00AHAWWO0/ref=sr_1_10?keywords=Effects&amp;qid=1695258894&amp;sr=8-10")</f>
        <v>https://www.amazon.com/Crest-Professional-Whitestrips-Whitening-Treatments/dp/B00AHAWWO0/ref=sr_1_10?keywords=Effects&amp;qid=1695258894&amp;sr=8-10</v>
      </c>
      <c r="F1308" t="s">
        <v>2516</v>
      </c>
      <c r="G1308" t="e">
        <f ca="1">IMAGE("https://mbrstore.com/wp-content/uploads/2023/08/01311_CytoLineConcentrate100_50ml-460x460.png")</f>
        <v>#NAME?</v>
      </c>
      <c r="H1308" t="e">
        <f ca="1">IMAGE("https://m.media-amazon.com/images/I/61IylKAap-L._AC_UL320_.jpg")</f>
        <v>#NAME?</v>
      </c>
      <c r="I1308" t="s">
        <v>2682</v>
      </c>
      <c r="J1308">
        <v>45.99</v>
      </c>
      <c r="K1308" s="2" t="s">
        <v>2848</v>
      </c>
      <c r="L1308">
        <v>4.5999999999999996</v>
      </c>
      <c r="M1308">
        <v>112972</v>
      </c>
      <c r="O1308" t="s">
        <v>26</v>
      </c>
      <c r="P1308" t="s">
        <v>39</v>
      </c>
      <c r="Q1308" t="s">
        <v>2684</v>
      </c>
    </row>
    <row r="1309" spans="1:17" ht="15.75" x14ac:dyDescent="0.25">
      <c r="A1309" s="3" t="str">
        <f>HYPERLINK("https://mbrstore.com/products/the-best-body/", "https://mbrstore.com/products/the-best-body/")</f>
        <v>https://mbrstore.com/products/the-best-body/</v>
      </c>
      <c r="B1309" s="3" t="str">
        <f>HYPERLINK("https://mbrstore.com/products/the-best-body/", "https://mbrstore.com/products/the-best-body/")</f>
        <v>https://mbrstore.com/products/the-best-body/</v>
      </c>
      <c r="C1309" t="s">
        <v>2453</v>
      </c>
      <c r="D1309" t="s">
        <v>2464</v>
      </c>
      <c r="E1309" s="3" t="str">
        <f>HYPERLINK("https://www.amazon.com/Zoom-Electric-Guitar-G1X-FOUR/dp/B07MZPR5GP/ref=sr_1_1?keywords=Effects&amp;qid=1695258871&amp;sr=8-1", "https://www.amazon.com/Zoom-Electric-Guitar-G1X-FOUR/dp/B07MZPR5GP/ref=sr_1_1?keywords=Effects&amp;qid=1695258871&amp;sr=8-1")</f>
        <v>https://www.amazon.com/Zoom-Electric-Guitar-G1X-FOUR/dp/B07MZPR5GP/ref=sr_1_1?keywords=Effects&amp;qid=1695258871&amp;sr=8-1</v>
      </c>
      <c r="F1309" t="s">
        <v>2465</v>
      </c>
      <c r="G1309" t="e">
        <f ca="1">IMAGE("https://mbrstore.com/wp-content/uploads/2022/03/01441_Mask_TheBestBody_150ml-copy-460x460.jpg")</f>
        <v>#NAME?</v>
      </c>
      <c r="H1309" t="e">
        <f ca="1">IMAGE("https://m.media-amazon.com/images/I/81lPUPAo-SL._AC_UL320_.jpg")</f>
        <v>#NAME?</v>
      </c>
      <c r="I1309" t="s">
        <v>2806</v>
      </c>
      <c r="J1309">
        <v>119.99</v>
      </c>
      <c r="K1309" s="2" t="s">
        <v>2849</v>
      </c>
      <c r="L1309">
        <v>4.5</v>
      </c>
      <c r="M1309">
        <v>6902</v>
      </c>
      <c r="O1309" t="s">
        <v>26</v>
      </c>
      <c r="P1309" t="s">
        <v>39</v>
      </c>
      <c r="Q1309" t="s">
        <v>2808</v>
      </c>
    </row>
    <row r="1310" spans="1:17" ht="15.75" x14ac:dyDescent="0.25">
      <c r="A1310" s="3" t="str">
        <f>HYPERLINK("https://mbrstore.com/products/eyecare-smoothing-gelmask/", "https://mbrstore.com/products/eyecare-smoothing-gelmask/")</f>
        <v>https://mbrstore.com/products/eyecare-smoothing-gelmask/</v>
      </c>
      <c r="B1310" s="3" t="str">
        <f>HYPERLINK("https://mbrstore.com/products/eyecare-smoothing-gelmask/", "https://mbrstore.com/products/eyecare-smoothing-gelmask/")</f>
        <v>https://mbrstore.com/products/eyecare-smoothing-gelmask/</v>
      </c>
      <c r="C1310" t="s">
        <v>2453</v>
      </c>
      <c r="D1310" t="s">
        <v>2508</v>
      </c>
      <c r="E1310" s="3" t="str">
        <f>HYPERLINK("https://www.amazon.com/Westmore-Beauty-Tightening-Temporarily-Puffiness/dp/B07BYG7D2V/ref=sr_1_5?keywords=Effects&amp;qid=1695258869&amp;sr=8-5", "https://www.amazon.com/Westmore-Beauty-Tightening-Temporarily-Puffiness/dp/B07BYG7D2V/ref=sr_1_5?keywords=Effects&amp;qid=1695258869&amp;sr=8-5")</f>
        <v>https://www.amazon.com/Westmore-Beauty-Tightening-Temporarily-Puffiness/dp/B07BYG7D2V/ref=sr_1_5?keywords=Effects&amp;qid=1695258869&amp;sr=8-5</v>
      </c>
      <c r="F1310" t="s">
        <v>2509</v>
      </c>
      <c r="G1310" t="e">
        <f ca="1">IMAGE("https://mbrstore.com/wp-content/uploads/2022/03/01406_Mask_EyecareSmoothingGelmask_30ml-copy-460x460.jpg")</f>
        <v>#NAME?</v>
      </c>
      <c r="H1310" t="e">
        <f ca="1">IMAGE("https://m.media-amazon.com/images/I/51YkzEMtyCL._AC_UL320_.jpg")</f>
        <v>#NAME?</v>
      </c>
      <c r="I1310" t="s">
        <v>2676</v>
      </c>
      <c r="J1310">
        <v>43.45</v>
      </c>
      <c r="K1310" s="2" t="s">
        <v>2850</v>
      </c>
      <c r="L1310">
        <v>3.6</v>
      </c>
      <c r="M1310">
        <v>1214</v>
      </c>
      <c r="O1310" t="s">
        <v>26</v>
      </c>
      <c r="P1310" t="s">
        <v>39</v>
      </c>
      <c r="Q1310" t="s">
        <v>2678</v>
      </c>
    </row>
    <row r="1311" spans="1:17" ht="15.75" x14ac:dyDescent="0.25">
      <c r="A1311" s="3" t="str">
        <f>HYPERLINK("https://mbrstore.com/products/cell-power-vital-serum/", "https://mbrstore.com/products/cell-power-vital-serum/")</f>
        <v>https://mbrstore.com/products/cell-power-vital-serum/</v>
      </c>
      <c r="B1311" s="3" t="str">
        <f>HYPERLINK("https://mbrstore.com/products/cell-power-vital-serum/", "https://mbrstore.com/products/cell-power-vital-serum/")</f>
        <v>https://mbrstore.com/products/cell-power-vital-serum/</v>
      </c>
      <c r="C1311" t="s">
        <v>2825</v>
      </c>
      <c r="D1311" t="s">
        <v>2851</v>
      </c>
      <c r="E1311" s="3" t="str">
        <f>HYPERLINK("https://www.amazon.com/Vitality-Anti-Aging-Facial-Serum-Types/dp/B01L7XDS98/ref=sr_1_5?keywords=Cell+Power+Vital+Serum&amp;qid=1695258877&amp;sr=8-5", "https://www.amazon.com/Vitality-Anti-Aging-Facial-Serum-Types/dp/B01L7XDS98/ref=sr_1_5?keywords=Cell+Power+Vital+Serum&amp;qid=1695258877&amp;sr=8-5")</f>
        <v>https://www.amazon.com/Vitality-Anti-Aging-Facial-Serum-Types/dp/B01L7XDS98/ref=sr_1_5?keywords=Cell+Power+Vital+Serum&amp;qid=1695258877&amp;sr=8-5</v>
      </c>
      <c r="F1311" t="s">
        <v>2852</v>
      </c>
      <c r="G1311" t="e">
        <f ca="1">IMAGE("https://mbrstore.com/wp-content/uploads/2022/03/01221_CellPowerVitalSerum_30ml-copy-460x460.jpg")</f>
        <v>#NAME?</v>
      </c>
      <c r="H1311" t="e">
        <f ca="1">IMAGE("https://m.media-amazon.com/images/I/713oHjk2nIL._AC_UL320_.jpg")</f>
        <v>#NAME?</v>
      </c>
      <c r="I1311" t="s">
        <v>2828</v>
      </c>
      <c r="J1311">
        <v>15.95</v>
      </c>
      <c r="K1311" s="2" t="s">
        <v>2853</v>
      </c>
      <c r="L1311">
        <v>3.6</v>
      </c>
      <c r="M1311">
        <v>6</v>
      </c>
      <c r="O1311" t="s">
        <v>26</v>
      </c>
      <c r="P1311" t="s">
        <v>39</v>
      </c>
      <c r="Q1311" t="s">
        <v>2830</v>
      </c>
    </row>
    <row r="1312" spans="1:17" ht="15.75" x14ac:dyDescent="0.25">
      <c r="A1312" s="3" t="str">
        <f>HYPERLINK("https://mbrstore.com/products/cytoline-concentrate-100/", "https://mbrstore.com/products/cytoline-concentrate-100/")</f>
        <v>https://mbrstore.com/products/cytoline-concentrate-100/</v>
      </c>
      <c r="B1312" s="3" t="str">
        <f>HYPERLINK("https://mbrstore.com/products/cytoline-concentrate-100/", "https://mbrstore.com/products/cytoline-concentrate-100/")</f>
        <v>https://mbrstore.com/products/cytoline-concentrate-100/</v>
      </c>
      <c r="C1312" t="s">
        <v>2453</v>
      </c>
      <c r="D1312" t="s">
        <v>2508</v>
      </c>
      <c r="E1312" s="3" t="str">
        <f>HYPERLINK("https://www.amazon.com/Westmore-Beauty-Tightening-Temporarily-Puffiness/dp/B07BYG7D2V/ref=sr_1_5?keywords=Effects&amp;qid=1695258894&amp;sr=8-5", "https://www.amazon.com/Westmore-Beauty-Tightening-Temporarily-Puffiness/dp/B07BYG7D2V/ref=sr_1_5?keywords=Effects&amp;qid=1695258894&amp;sr=8-5")</f>
        <v>https://www.amazon.com/Westmore-Beauty-Tightening-Temporarily-Puffiness/dp/B07BYG7D2V/ref=sr_1_5?keywords=Effects&amp;qid=1695258894&amp;sr=8-5</v>
      </c>
      <c r="F1312" t="s">
        <v>2509</v>
      </c>
      <c r="G1312" t="e">
        <f ca="1">IMAGE("https://mbrstore.com/wp-content/uploads/2023/08/01311_CytoLineConcentrate100_50ml-460x460.png")</f>
        <v>#NAME?</v>
      </c>
      <c r="H1312" t="e">
        <f ca="1">IMAGE("https://m.media-amazon.com/images/I/51YkzEMtyCL._AC_UL320_.jpg")</f>
        <v>#NAME?</v>
      </c>
      <c r="I1312" t="s">
        <v>2682</v>
      </c>
      <c r="J1312">
        <v>43.75</v>
      </c>
      <c r="K1312" s="2" t="s">
        <v>2854</v>
      </c>
      <c r="L1312">
        <v>3.6</v>
      </c>
      <c r="M1312">
        <v>1214</v>
      </c>
      <c r="O1312" t="s">
        <v>26</v>
      </c>
      <c r="P1312" t="s">
        <v>39</v>
      </c>
      <c r="Q1312" t="s">
        <v>2684</v>
      </c>
    </row>
    <row r="1313" spans="1:17" ht="15.75" x14ac:dyDescent="0.25">
      <c r="A1313" s="3" t="str">
        <f>HYPERLINK("https://mbrstore.com/products/skin-sealer-protection-shield/", "https://mbrstore.com/products/skin-sealer-protection-shield/")</f>
        <v>https://mbrstore.com/products/skin-sealer-protection-shield/</v>
      </c>
      <c r="B1313" s="3" t="str">
        <f>HYPERLINK("https://mbrstore.com/products/skin-sealer-protection-shield/", "https://mbrstore.com/products/skin-sealer-protection-shield/")</f>
        <v>https://mbrstore.com/products/skin-sealer-protection-shield/</v>
      </c>
      <c r="C1313" t="s">
        <v>2855</v>
      </c>
      <c r="D1313" t="s">
        <v>2856</v>
      </c>
      <c r="E1313" s="3" t="str">
        <f>HYPERLINK("https://www.amazon.com/Aftercare-Protection-Transparent-Waterproof-Breathable/dp/B0BN2VBS72/ref=sr_1_5?keywords=Skin+Sealer+Protection+Shield&amp;qid=1695258887&amp;sr=8-5", "https://www.amazon.com/Aftercare-Protection-Transparent-Waterproof-Breathable/dp/B0BN2VBS72/ref=sr_1_5?keywords=Skin+Sealer+Protection+Shield&amp;qid=1695258887&amp;sr=8-5")</f>
        <v>https://www.amazon.com/Aftercare-Protection-Transparent-Waterproof-Breathable/dp/B0BN2VBS72/ref=sr_1_5?keywords=Skin+Sealer+Protection+Shield&amp;qid=1695258887&amp;sr=8-5</v>
      </c>
      <c r="F1313" t="s">
        <v>2857</v>
      </c>
      <c r="G1313" t="e">
        <f ca="1">IMAGE("https://mbrstore.com/wp-content/uploads/2022/03/01223_SkinSealerProtectionShield_30ml-copy-460x460.jpg")</f>
        <v>#NAME?</v>
      </c>
      <c r="H1313" t="e">
        <f ca="1">IMAGE("https://m.media-amazon.com/images/I/71wgabekQlL._AC_UL320_.jpg")</f>
        <v>#NAME?</v>
      </c>
      <c r="I1313" t="s">
        <v>2541</v>
      </c>
      <c r="J1313">
        <v>14.98</v>
      </c>
      <c r="K1313" s="2" t="s">
        <v>2858</v>
      </c>
      <c r="L1313">
        <v>4.4000000000000004</v>
      </c>
      <c r="M1313">
        <v>134</v>
      </c>
      <c r="O1313" t="s">
        <v>26</v>
      </c>
      <c r="P1313" t="s">
        <v>39</v>
      </c>
      <c r="Q1313" t="s">
        <v>2859</v>
      </c>
    </row>
    <row r="1314" spans="1:17" ht="15.75" x14ac:dyDescent="0.25">
      <c r="A1314" s="3" t="str">
        <f>HYPERLINK("https://mbrstore.com/products/cream-extraordinary/", "https://mbrstore.com/products/cream-extraordinary/")</f>
        <v>https://mbrstore.com/products/cream-extraordinary/</v>
      </c>
      <c r="B1314" s="3" t="str">
        <f>HYPERLINK("https://mbrstore.com/products/cream-extraordinary/", "https://mbrstore.com/products/cream-extraordinary/")</f>
        <v>https://mbrstore.com/products/cream-extraordinary/</v>
      </c>
      <c r="C1314" t="s">
        <v>2453</v>
      </c>
      <c r="D1314" t="s">
        <v>2508</v>
      </c>
      <c r="E1314" s="3" t="str">
        <f>HYPERLINK("https://www.amazon.com/Westmore-Beauty-Tightening-Temporarily-Puffiness/dp/B07BYG7D2V/ref=sr_1_3?keywords=Effects&amp;qid=1695258870&amp;sr=8-3", "https://www.amazon.com/Westmore-Beauty-Tightening-Temporarily-Puffiness/dp/B07BYG7D2V/ref=sr_1_3?keywords=Effects&amp;qid=1695258870&amp;sr=8-3")</f>
        <v>https://www.amazon.com/Westmore-Beauty-Tightening-Temporarily-Puffiness/dp/B07BYG7D2V/ref=sr_1_3?keywords=Effects&amp;qid=1695258870&amp;sr=8-3</v>
      </c>
      <c r="F1314" t="s">
        <v>2509</v>
      </c>
      <c r="G1314" t="e">
        <f ca="1">IMAGE("https://mbrstore.com/wp-content/uploads/2022/03/01408_Cream_Extraordinary_50ml-copy-460x460.jpg")</f>
        <v>#NAME?</v>
      </c>
      <c r="H1314" t="e">
        <f ca="1">IMAGE("https://m.media-amazon.com/images/I/51YkzEMtyCL._AC_UL320_.jpg")</f>
        <v>#NAME?</v>
      </c>
      <c r="I1314" t="s">
        <v>2686</v>
      </c>
      <c r="J1314">
        <v>43.45</v>
      </c>
      <c r="K1314" s="2" t="s">
        <v>2860</v>
      </c>
      <c r="L1314">
        <v>3.6</v>
      </c>
      <c r="M1314">
        <v>1214</v>
      </c>
      <c r="O1314" t="s">
        <v>26</v>
      </c>
      <c r="P1314" t="s">
        <v>39</v>
      </c>
      <c r="Q1314" t="s">
        <v>2688</v>
      </c>
    </row>
    <row r="1315" spans="1:17" ht="15.75" x14ac:dyDescent="0.25">
      <c r="A1315" s="3" t="str">
        <f>HYPERLINK("https://mbrstore.com/products/cell-power-firming-body-lotion/", "https://mbrstore.com/products/cell-power-firming-body-lotion/")</f>
        <v>https://mbrstore.com/products/cell-power-firming-body-lotion/</v>
      </c>
      <c r="B1315" s="3" t="str">
        <f>HYPERLINK("https://mbrstore.com/products/cell-power-firming-body-lotion/", "https://mbrstore.com/products/cell-power-firming-body-lotion/")</f>
        <v>https://mbrstore.com/products/cell-power-firming-body-lotion/</v>
      </c>
      <c r="C1315" t="s">
        <v>2767</v>
      </c>
      <c r="D1315" t="s">
        <v>2861</v>
      </c>
      <c r="E1315" s="3" t="str">
        <f>HYPERLINK("https://www.amazon.com/SILKDERMIS-Flat-Belly-Firming-Cream/dp/B0C2HKHKP3/ref=sr_1_6?keywords=Cell-Power+Firming+Body+Lotion&amp;qid=1695258891&amp;sr=8-6", "https://www.amazon.com/SILKDERMIS-Flat-Belly-Firming-Cream/dp/B0C2HKHKP3/ref=sr_1_6?keywords=Cell-Power+Firming+Body+Lotion&amp;qid=1695258891&amp;sr=8-6")</f>
        <v>https://www.amazon.com/SILKDERMIS-Flat-Belly-Firming-Cream/dp/B0C2HKHKP3/ref=sr_1_6?keywords=Cell-Power+Firming+Body+Lotion&amp;qid=1695258891&amp;sr=8-6</v>
      </c>
      <c r="F1315" t="s">
        <v>2862</v>
      </c>
      <c r="G1315" t="e">
        <f ca="1">IMAGE("https://mbrstore.com/wp-content/uploads/2022/03/01605_FirmingBodyLotion_200ml-copy-460x460.jpg")</f>
        <v>#NAME?</v>
      </c>
      <c r="H1315" t="e">
        <f ca="1">IMAGE("https://m.media-amazon.com/images/I/61FCawOwQ7L._AC_UL320_.jpg")</f>
        <v>#NAME?</v>
      </c>
      <c r="I1315" t="s">
        <v>2770</v>
      </c>
      <c r="J1315">
        <v>22.99</v>
      </c>
      <c r="K1315" s="2" t="s">
        <v>2863</v>
      </c>
      <c r="L1315">
        <v>4.7</v>
      </c>
      <c r="M1315">
        <v>906</v>
      </c>
      <c r="O1315" t="s">
        <v>26</v>
      </c>
      <c r="P1315" t="s">
        <v>39</v>
      </c>
      <c r="Q1315" t="s">
        <v>2772</v>
      </c>
    </row>
    <row r="1316" spans="1:17" ht="15.75" x14ac:dyDescent="0.25">
      <c r="A1316" s="3" t="str">
        <f>HYPERLINK("https://mbrstore.com/products/the-best-face/", "https://mbrstore.com/products/the-best-face/")</f>
        <v>https://mbrstore.com/products/the-best-face/</v>
      </c>
      <c r="B1316" s="3" t="str">
        <f>HYPERLINK("https://mbrstore.com/products/the-best-face/", "https://mbrstore.com/products/the-best-face/")</f>
        <v>https://mbrstore.com/products/the-best-face/</v>
      </c>
      <c r="C1316" t="s">
        <v>2453</v>
      </c>
      <c r="D1316" t="s">
        <v>2458</v>
      </c>
      <c r="E1316" s="3" t="str">
        <f>HYPERLINK("https://www.amazon.com/Fender-Mustang-LT-25-Digital-Amplifier/dp/B07N29M92M/ref=sr_1_1?keywords=Effects&amp;qid=1695258892&amp;sr=8-1", "https://www.amazon.com/Fender-Mustang-LT-25-Digital-Amplifier/dp/B07N29M92M/ref=sr_1_1?keywords=Effects&amp;qid=1695258892&amp;sr=8-1")</f>
        <v>https://www.amazon.com/Fender-Mustang-LT-25-Digital-Amplifier/dp/B07N29M92M/ref=sr_1_1?keywords=Effects&amp;qid=1695258892&amp;sr=8-1</v>
      </c>
      <c r="F1316" t="s">
        <v>2459</v>
      </c>
      <c r="G1316" t="e">
        <f ca="1">IMAGE("https://mbrstore.com/wp-content/uploads/2022/03/01440_TheBest_Face_50ml-copy-460x460.jpg")</f>
        <v>#NAME?</v>
      </c>
      <c r="H1316" t="e">
        <f ca="1">IMAGE("https://m.media-amazon.com/images/I/81oKmWyFJPL._AC_UL320_.jpg")</f>
        <v>#NAME?</v>
      </c>
      <c r="I1316" t="s">
        <v>2864</v>
      </c>
      <c r="J1316">
        <v>159.99</v>
      </c>
      <c r="K1316" s="2" t="s">
        <v>2865</v>
      </c>
      <c r="L1316">
        <v>4.8</v>
      </c>
      <c r="M1316">
        <v>3110</v>
      </c>
      <c r="O1316" t="s">
        <v>26</v>
      </c>
      <c r="P1316" t="s">
        <v>39</v>
      </c>
      <c r="Q1316" t="s">
        <v>2866</v>
      </c>
    </row>
    <row r="1317" spans="1:17" ht="15.75" x14ac:dyDescent="0.25">
      <c r="A1317" s="3" t="str">
        <f>HYPERLINK("https://mbrstore.com/products/the-best-night-mask/", "https://mbrstore.com/products/the-best-night-mask/")</f>
        <v>https://mbrstore.com/products/the-best-night-mask/</v>
      </c>
      <c r="B1317" s="3" t="str">
        <f>HYPERLINK("https://mbrstore.com/products/the-best-night-mask/", "https://mbrstore.com/products/the-best-night-mask/")</f>
        <v>https://mbrstore.com/products/the-best-night-mask/</v>
      </c>
      <c r="C1317" t="s">
        <v>2453</v>
      </c>
      <c r="D1317" t="s">
        <v>2464</v>
      </c>
      <c r="E1317" s="3" t="str">
        <f>HYPERLINK("https://www.amazon.com/Zoom-Electric-Guitar-G1X-FOUR/dp/B07MZPR5GP/ref=sr_1_1?keywords=Effects&amp;qid=1695258896&amp;sr=8-1", "https://www.amazon.com/Zoom-Electric-Guitar-G1X-FOUR/dp/B07MZPR5GP/ref=sr_1_1?keywords=Effects&amp;qid=1695258896&amp;sr=8-1")</f>
        <v>https://www.amazon.com/Zoom-Electric-Guitar-G1X-FOUR/dp/B07MZPR5GP/ref=sr_1_1?keywords=Effects&amp;qid=1695258896&amp;sr=8-1</v>
      </c>
      <c r="F1317" t="s">
        <v>2465</v>
      </c>
      <c r="G1317" t="e">
        <f ca="1">IMAGE("https://mbrstore.com/wp-content/uploads/2022/03/01431_TheBest_Night_Mask_100ml-copy-460x460.jpg")</f>
        <v>#NAME?</v>
      </c>
      <c r="H1317" t="e">
        <f ca="1">IMAGE("https://m.media-amazon.com/images/I/81lPUPAo-SL._AC_UL320_.jpg")</f>
        <v>#NAME?</v>
      </c>
      <c r="I1317" t="s">
        <v>2712</v>
      </c>
      <c r="J1317">
        <v>119.99</v>
      </c>
      <c r="K1317" s="2" t="s">
        <v>2867</v>
      </c>
      <c r="L1317">
        <v>4.5</v>
      </c>
      <c r="M1317">
        <v>6902</v>
      </c>
      <c r="O1317" t="s">
        <v>26</v>
      </c>
      <c r="P1317" t="s">
        <v>39</v>
      </c>
      <c r="Q1317" t="s">
        <v>2714</v>
      </c>
    </row>
    <row r="1318" spans="1:17" ht="15.75" x14ac:dyDescent="0.25">
      <c r="A1318" s="3" t="str">
        <f>HYPERLINK("https://mbrstore.com/products/cream-mask-smooth/", "https://mbrstore.com/products/cream-mask-smooth/")</f>
        <v>https://mbrstore.com/products/cream-mask-smooth/</v>
      </c>
      <c r="B1318" s="3" t="str">
        <f>HYPERLINK("https://mbrstore.com/products/cream-mask-smooth/", "https://mbrstore.com/products/cream-mask-smooth/")</f>
        <v>https://mbrstore.com/products/cream-mask-smooth/</v>
      </c>
      <c r="C1318" t="s">
        <v>2453</v>
      </c>
      <c r="D1318" t="s">
        <v>2504</v>
      </c>
      <c r="E1318" s="3" t="str">
        <f>HYPERLINK("https://www.amazon.com/Clinical-Effects-Multi-Collagen-Supplement-Quality-Sourced/dp/B085F3PSPB/ref=sr_1_10?keywords=Effects&amp;qid=1695258879&amp;rdc=1&amp;sr=8-10", "https://www.amazon.com/Clinical-Effects-Multi-Collagen-Supplement-Quality-Sourced/dp/B085F3PSPB/ref=sr_1_10?keywords=Effects&amp;qid=1695258879&amp;rdc=1&amp;sr=8-10")</f>
        <v>https://www.amazon.com/Clinical-Effects-Multi-Collagen-Supplement-Quality-Sourced/dp/B085F3PSPB/ref=sr_1_10?keywords=Effects&amp;qid=1695258879&amp;rdc=1&amp;sr=8-10</v>
      </c>
      <c r="F1318" t="s">
        <v>2505</v>
      </c>
      <c r="G1318" t="e">
        <f ca="1">IMAGE("https://mbrstore.com/wp-content/uploads/2022/03/01402_CreamMaskSmooth100_30ml_1121-460x460.jpg")</f>
        <v>#NAME?</v>
      </c>
      <c r="H1318" t="e">
        <f ca="1">IMAGE("https://m.media-amazon.com/images/I/71YnIfUehJS._AC_UL320_.jpg")</f>
        <v>#NAME?</v>
      </c>
      <c r="I1318" t="s">
        <v>2692</v>
      </c>
      <c r="J1318">
        <v>43.95</v>
      </c>
      <c r="K1318" s="2" t="s">
        <v>2868</v>
      </c>
      <c r="L1318">
        <v>4.2</v>
      </c>
      <c r="M1318">
        <v>468</v>
      </c>
      <c r="O1318" t="s">
        <v>26</v>
      </c>
      <c r="P1318" t="s">
        <v>39</v>
      </c>
      <c r="Q1318" t="s">
        <v>2694</v>
      </c>
    </row>
    <row r="1319" spans="1:17" ht="15.75" x14ac:dyDescent="0.25">
      <c r="A1319" s="3" t="str">
        <f>HYPERLINK("https://mbrstore.com/products/cea-twentyfour-hours-extreme/", "https://mbrstore.com/products/cea-twentyfour-hours-extreme/")</f>
        <v>https://mbrstore.com/products/cea-twentyfour-hours-extreme/</v>
      </c>
      <c r="B1319" s="3" t="str">
        <f>HYPERLINK("https://mbrstore.com/products/cea-twentyfour-hours-extreme/", "https://mbrstore.com/products/cea-twentyfour-hours-extreme/")</f>
        <v>https://mbrstore.com/products/cea-twentyfour-hours-extreme/</v>
      </c>
      <c r="C1319" t="s">
        <v>2453</v>
      </c>
      <c r="D1319" t="s">
        <v>2646</v>
      </c>
      <c r="E1319" s="3" t="str">
        <f>HYPERLINK("https://www.amazon.com/Clinical-Effects-All-Natural-Supplement-Digestive/dp/B08QDMGYV2/ref=sr_1_10?keywords=Effects&amp;qid=1695258887&amp;sr=8-10", "https://www.amazon.com/Clinical-Effects-All-Natural-Supplement-Digestive/dp/B08QDMGYV2/ref=sr_1_10?keywords=Effects&amp;qid=1695258887&amp;sr=8-10")</f>
        <v>https://www.amazon.com/Clinical-Effects-All-Natural-Supplement-Digestive/dp/B08QDMGYV2/ref=sr_1_10?keywords=Effects&amp;qid=1695258887&amp;sr=8-10</v>
      </c>
      <c r="F1319" t="s">
        <v>2647</v>
      </c>
      <c r="G1319" t="e">
        <f ca="1">IMAGE("https://mbrstore.com/wp-content/uploads/2022/03/01241_24HoursExtreme_50ml-copy-460x460.jpg")</f>
        <v>#NAME?</v>
      </c>
      <c r="H1319" t="e">
        <f ca="1">IMAGE("https://m.media-amazon.com/images/I/71nmXZe49eL._AC_UL320_.jpg")</f>
        <v>#NAME?</v>
      </c>
      <c r="I1319" t="s">
        <v>2555</v>
      </c>
      <c r="J1319">
        <v>35</v>
      </c>
      <c r="K1319" s="2" t="s">
        <v>2869</v>
      </c>
      <c r="L1319">
        <v>4.4000000000000004</v>
      </c>
      <c r="M1319">
        <v>200</v>
      </c>
      <c r="O1319" t="s">
        <v>26</v>
      </c>
      <c r="P1319" t="s">
        <v>39</v>
      </c>
      <c r="Q1319" t="s">
        <v>2557</v>
      </c>
    </row>
    <row r="1320" spans="1:17" ht="15.75" x14ac:dyDescent="0.25">
      <c r="A1320" s="3" t="str">
        <f>HYPERLINK("https://mbrstore.com/products/cross-lift-serum-ultrapeptide/", "https://mbrstore.com/products/cross-lift-serum-ultrapeptide/")</f>
        <v>https://mbrstore.com/products/cross-lift-serum-ultrapeptide/</v>
      </c>
      <c r="B1320" s="3" t="str">
        <f>HYPERLINK("https://mbrstore.com/products/cross-lift-serum-ultrapeptide/", "https://mbrstore.com/products/cross-lift-serum-ultrapeptide/")</f>
        <v>https://mbrstore.com/products/cross-lift-serum-ultrapeptide/</v>
      </c>
      <c r="C1320" t="s">
        <v>2453</v>
      </c>
      <c r="D1320" t="s">
        <v>2515</v>
      </c>
      <c r="E1320" s="3" t="str">
        <f>HYPERLINK("https://www.amazon.com/Crest-Professional-Whitestrips-Whitening-Treatments/dp/B00AHAWWO0/ref=sr_1_10?keywords=Effects&amp;qid=1695258911&amp;sr=8-10", "https://www.amazon.com/Crest-Professional-Whitestrips-Whitening-Treatments/dp/B00AHAWWO0/ref=sr_1_10?keywords=Effects&amp;qid=1695258911&amp;sr=8-10")</f>
        <v>https://www.amazon.com/Crest-Professional-Whitestrips-Whitening-Treatments/dp/B00AHAWWO0/ref=sr_1_10?keywords=Effects&amp;qid=1695258911&amp;sr=8-10</v>
      </c>
      <c r="F1320" t="s">
        <v>2516</v>
      </c>
      <c r="G1320" t="e">
        <f ca="1">IMAGE("https://mbrstore.com/wp-content/uploads/2022/03/01407_MBR_Cross_Lift_Serum_Ultrapeptide_30ml-copy-460x460.jpg")</f>
        <v>#NAME?</v>
      </c>
      <c r="H1320" t="e">
        <f ca="1">IMAGE("https://m.media-amazon.com/images/I/61IylKAap-L._AC_UL320_.jpg")</f>
        <v>#NAME?</v>
      </c>
      <c r="I1320" t="s">
        <v>2700</v>
      </c>
      <c r="J1320">
        <v>45.99</v>
      </c>
      <c r="K1320" s="2" t="s">
        <v>2870</v>
      </c>
      <c r="L1320">
        <v>4.5999999999999996</v>
      </c>
      <c r="M1320">
        <v>112972</v>
      </c>
      <c r="O1320" t="s">
        <v>26</v>
      </c>
      <c r="P1320" t="s">
        <v>39</v>
      </c>
      <c r="Q1320" t="s">
        <v>2702</v>
      </c>
    </row>
    <row r="1321" spans="1:17" ht="15.75" x14ac:dyDescent="0.25">
      <c r="A1321" s="3" t="str">
        <f>HYPERLINK("https://mbrstore.com/products/cell-power-vital-serum/", "https://mbrstore.com/products/cell-power-vital-serum/")</f>
        <v>https://mbrstore.com/products/cell-power-vital-serum/</v>
      </c>
      <c r="B1321" s="3" t="str">
        <f>HYPERLINK("https://mbrstore.com/products/cell-power-vital-serum/", "https://mbrstore.com/products/cell-power-vital-serum/")</f>
        <v>https://mbrstore.com/products/cell-power-vital-serum/</v>
      </c>
      <c r="C1321" t="s">
        <v>2825</v>
      </c>
      <c r="D1321" t="s">
        <v>2871</v>
      </c>
      <c r="E1321" s="3"/>
      <c r="F1321" t="s">
        <v>2872</v>
      </c>
      <c r="G1321" t="e">
        <f ca="1">IMAGE("https://mbrstore.com/wp-content/uploads/2022/03/01221_CellPowerVitalSerum_30ml-copy-460x460.jpg")</f>
        <v>#NAME?</v>
      </c>
      <c r="H1321" t="e">
        <f ca="1">IMAGE("https://m.media-amazon.com/images/I/71OBLt18JKL._AC_UL320_.jpg")</f>
        <v>#NAME?</v>
      </c>
      <c r="I1321" t="s">
        <v>2828</v>
      </c>
      <c r="J1321">
        <v>13.99</v>
      </c>
      <c r="K1321" s="2" t="s">
        <v>2870</v>
      </c>
      <c r="L1321">
        <v>4.3</v>
      </c>
      <c r="M1321">
        <v>2276</v>
      </c>
      <c r="O1321" t="s">
        <v>26</v>
      </c>
      <c r="P1321" t="s">
        <v>39</v>
      </c>
      <c r="Q1321" t="s">
        <v>2830</v>
      </c>
    </row>
    <row r="1322" spans="1:17" ht="15.75" x14ac:dyDescent="0.25">
      <c r="A1322" s="3" t="str">
        <f>HYPERLINK("https://mbrstore.com/products/cream-mask-smooth/", "https://mbrstore.com/products/cream-mask-smooth/")</f>
        <v>https://mbrstore.com/products/cream-mask-smooth/</v>
      </c>
      <c r="B1322" s="3" t="str">
        <f>HYPERLINK("https://mbrstore.com/products/cream-mask-smooth/", "https://mbrstore.com/products/cream-mask-smooth/")</f>
        <v>https://mbrstore.com/products/cream-mask-smooth/</v>
      </c>
      <c r="C1322" t="s">
        <v>2453</v>
      </c>
      <c r="D1322" t="s">
        <v>2508</v>
      </c>
      <c r="E1322" s="3" t="str">
        <f>HYPERLINK("https://www.amazon.com/Westmore-Beauty-Tightening-Temporarily-Puffiness/dp/B07BYG7D2V/ref=sr_1_1?keywords=Effects&amp;qid=1695258879&amp;sr=8-1", "https://www.amazon.com/Westmore-Beauty-Tightening-Temporarily-Puffiness/dp/B07BYG7D2V/ref=sr_1_1?keywords=Effects&amp;qid=1695258879&amp;sr=8-1")</f>
        <v>https://www.amazon.com/Westmore-Beauty-Tightening-Temporarily-Puffiness/dp/B07BYG7D2V/ref=sr_1_1?keywords=Effects&amp;qid=1695258879&amp;sr=8-1</v>
      </c>
      <c r="F1322" t="s">
        <v>2509</v>
      </c>
      <c r="G1322" t="e">
        <f ca="1">IMAGE("https://mbrstore.com/wp-content/uploads/2022/03/01402_CreamMaskSmooth100_30ml_1121-460x460.jpg")</f>
        <v>#NAME?</v>
      </c>
      <c r="H1322" t="e">
        <f ca="1">IMAGE("https://m.media-amazon.com/images/I/51YkzEMtyCL._AC_UL320_.jpg")</f>
        <v>#NAME?</v>
      </c>
      <c r="I1322" t="s">
        <v>2692</v>
      </c>
      <c r="J1322">
        <v>43.45</v>
      </c>
      <c r="K1322" s="2" t="s">
        <v>2873</v>
      </c>
      <c r="L1322">
        <v>3.6</v>
      </c>
      <c r="M1322">
        <v>1214</v>
      </c>
      <c r="O1322" t="s">
        <v>26</v>
      </c>
      <c r="P1322" t="s">
        <v>39</v>
      </c>
      <c r="Q1322" t="s">
        <v>2694</v>
      </c>
    </row>
    <row r="1323" spans="1:17" ht="15.75" x14ac:dyDescent="0.25">
      <c r="A1323" s="3" t="str">
        <f>HYPERLINK("https://mbrstore.com/products/after-sun-cream-mask/", "https://mbrstore.com/products/after-sun-cream-mask/")</f>
        <v>https://mbrstore.com/products/after-sun-cream-mask/</v>
      </c>
      <c r="B1323" s="3" t="str">
        <f>HYPERLINK("https://mbrstore.com/products/after-sun-cream-mask/", "https://mbrstore.com/products/after-sun-cream-mask/")</f>
        <v>https://mbrstore.com/products/after-sun-cream-mask/</v>
      </c>
      <c r="C1323" t="s">
        <v>2453</v>
      </c>
      <c r="D1323" t="s">
        <v>2785</v>
      </c>
      <c r="E1323" s="3" t="str">
        <f>HYPERLINK("https://www.amazon.com/AG-Care-Effects-Extra-Firm-Styling/dp/B0B8GTKXNC/ref=sr_1_5?keywords=Effects&amp;qid=1695258889&amp;sr=8-5", "https://www.amazon.com/AG-Care-Effects-Extra-Firm-Styling/dp/B0B8GTKXNC/ref=sr_1_5?keywords=Effects&amp;qid=1695258889&amp;sr=8-5")</f>
        <v>https://www.amazon.com/AG-Care-Effects-Extra-Firm-Styling/dp/B0B8GTKXNC/ref=sr_1_5?keywords=Effects&amp;qid=1695258889&amp;sr=8-5</v>
      </c>
      <c r="F1323" t="s">
        <v>2786</v>
      </c>
      <c r="G1323" t="e">
        <f ca="1">IMAGE("https://mbrstore.com/wp-content/uploads/2023/05/01834_AfterSunCreamMask_100ml-460x460.png")</f>
        <v>#NAME?</v>
      </c>
      <c r="H1323" t="e">
        <f ca="1">IMAGE("https://m.media-amazon.com/images/I/71v2NuN6k-L._AC_UL320_.jpg")</f>
        <v>#NAME?</v>
      </c>
      <c r="I1323" t="s">
        <v>2601</v>
      </c>
      <c r="J1323">
        <v>22</v>
      </c>
      <c r="K1323" s="2" t="s">
        <v>2874</v>
      </c>
      <c r="L1323">
        <v>4.5</v>
      </c>
      <c r="M1323">
        <v>539</v>
      </c>
      <c r="O1323" t="s">
        <v>26</v>
      </c>
      <c r="P1323" t="s">
        <v>39</v>
      </c>
      <c r="Q1323" t="s">
        <v>2644</v>
      </c>
    </row>
    <row r="1324" spans="1:17" ht="15.75" x14ac:dyDescent="0.25">
      <c r="A1324" s="3" t="str">
        <f>HYPERLINK("https://mbrstore.com/products/cross-lift-serum-ultrapeptide/", "https://mbrstore.com/products/cross-lift-serum-ultrapeptide/")</f>
        <v>https://mbrstore.com/products/cross-lift-serum-ultrapeptide/</v>
      </c>
      <c r="B1324" s="3" t="str">
        <f>HYPERLINK("https://mbrstore.com/products/cross-lift-serum-ultrapeptide/", "https://mbrstore.com/products/cross-lift-serum-ultrapeptide/")</f>
        <v>https://mbrstore.com/products/cross-lift-serum-ultrapeptide/</v>
      </c>
      <c r="C1324" t="s">
        <v>2453</v>
      </c>
      <c r="D1324" t="s">
        <v>2508</v>
      </c>
      <c r="E1324" s="3" t="str">
        <f>HYPERLINK("https://www.amazon.com/Westmore-Beauty-Tightening-Temporarily-Puffiness/dp/B07BYG7D2V/ref=sr_1_5?keywords=Effects&amp;qid=1695258911&amp;sr=8-5", "https://www.amazon.com/Westmore-Beauty-Tightening-Temporarily-Puffiness/dp/B07BYG7D2V/ref=sr_1_5?keywords=Effects&amp;qid=1695258911&amp;sr=8-5")</f>
        <v>https://www.amazon.com/Westmore-Beauty-Tightening-Temporarily-Puffiness/dp/B07BYG7D2V/ref=sr_1_5?keywords=Effects&amp;qid=1695258911&amp;sr=8-5</v>
      </c>
      <c r="F1324" t="s">
        <v>2509</v>
      </c>
      <c r="G1324" t="e">
        <f ca="1">IMAGE("https://mbrstore.com/wp-content/uploads/2022/03/01407_MBR_Cross_Lift_Serum_Ultrapeptide_30ml-copy-460x460.jpg")</f>
        <v>#NAME?</v>
      </c>
      <c r="H1324" t="e">
        <f ca="1">IMAGE("https://m.media-amazon.com/images/I/51YkzEMtyCL._AC_UL320_.jpg")</f>
        <v>#NAME?</v>
      </c>
      <c r="I1324" t="s">
        <v>2700</v>
      </c>
      <c r="J1324">
        <v>43.45</v>
      </c>
      <c r="K1324" s="2" t="s">
        <v>2875</v>
      </c>
      <c r="L1324">
        <v>3.6</v>
      </c>
      <c r="M1324">
        <v>1214</v>
      </c>
      <c r="O1324" t="s">
        <v>26</v>
      </c>
      <c r="P1324" t="s">
        <v>39</v>
      </c>
      <c r="Q1324" t="s">
        <v>2702</v>
      </c>
    </row>
    <row r="1325" spans="1:17" ht="15.75" x14ac:dyDescent="0.25">
      <c r="A1325" s="3" t="str">
        <f>HYPERLINK("https://mbrstore.com/products/the-best-eye/", "https://mbrstore.com/products/the-best-eye/")</f>
        <v>https://mbrstore.com/products/the-best-eye/</v>
      </c>
      <c r="B1325" s="3" t="str">
        <f>HYPERLINK("https://mbrstore.com/products/the-best-eye/", "https://mbrstore.com/products/the-best-eye/")</f>
        <v>https://mbrstore.com/products/the-best-eye/</v>
      </c>
      <c r="C1325" t="s">
        <v>2453</v>
      </c>
      <c r="D1325" t="s">
        <v>2464</v>
      </c>
      <c r="E1325" s="3" t="str">
        <f>HYPERLINK("https://www.amazon.com/Zoom-Electric-Guitar-G1X-FOUR/dp/B07MZPR5GP/ref=sr_1_5?keywords=Effects&amp;qid=1695258881&amp;sr=8-5", "https://www.amazon.com/Zoom-Electric-Guitar-G1X-FOUR/dp/B07MZPR5GP/ref=sr_1_5?keywords=Effects&amp;qid=1695258881&amp;sr=8-5")</f>
        <v>https://www.amazon.com/Zoom-Electric-Guitar-G1X-FOUR/dp/B07MZPR5GP/ref=sr_1_5?keywords=Effects&amp;qid=1695258881&amp;sr=8-5</v>
      </c>
      <c r="F1325" t="s">
        <v>2465</v>
      </c>
      <c r="G1325" t="e">
        <f ca="1">IMAGE("https://mbrstore.com/wp-content/uploads/2022/03/01444_TheBestEye_30ml-copy-460x460.jpg")</f>
        <v>#NAME?</v>
      </c>
      <c r="H1325" t="e">
        <f ca="1">IMAGE("https://m.media-amazon.com/images/I/81lPUPAo-SL._AC_UL320_.jpg")</f>
        <v>#NAME?</v>
      </c>
      <c r="I1325" t="s">
        <v>2839</v>
      </c>
      <c r="J1325">
        <v>119.99</v>
      </c>
      <c r="K1325" s="2" t="s">
        <v>2876</v>
      </c>
      <c r="L1325">
        <v>4.5</v>
      </c>
      <c r="M1325">
        <v>6902</v>
      </c>
      <c r="O1325" t="s">
        <v>26</v>
      </c>
      <c r="P1325" t="s">
        <v>39</v>
      </c>
      <c r="Q1325" t="s">
        <v>2841</v>
      </c>
    </row>
    <row r="1326" spans="1:17" ht="15.75" x14ac:dyDescent="0.25">
      <c r="A1326" s="3" t="str">
        <f>HYPERLINK("https://mbrstore.com/products/foam-cleanser/", "https://mbrstore.com/products/foam-cleanser/")</f>
        <v>https://mbrstore.com/products/foam-cleanser/</v>
      </c>
      <c r="B1326" s="3" t="str">
        <f>HYPERLINK("https://mbrstore.com/products/foam-cleanser/", "https://mbrstore.com/products/foam-cleanser/")</f>
        <v>https://mbrstore.com/products/foam-cleanser/</v>
      </c>
      <c r="C1326" t="s">
        <v>2453</v>
      </c>
      <c r="D1326" t="s">
        <v>2877</v>
      </c>
      <c r="E1326" s="3" t="str">
        <f>HYPERLINK("https://www.amazon.com/Schick-Effects-Razor-Blade-Refills/dp/B001KYRZ8A/ref=sr_1_3?keywords=Effects&amp;qid=1695258869&amp;sr=8-3", "https://www.amazon.com/Schick-Effects-Razor-Blade-Refills/dp/B001KYRZ8A/ref=sr_1_3?keywords=Effects&amp;qid=1695258869&amp;sr=8-3")</f>
        <v>https://www.amazon.com/Schick-Effects-Razor-Blade-Refills/dp/B001KYRZ8A/ref=sr_1_3?keywords=Effects&amp;qid=1695258869&amp;sr=8-3</v>
      </c>
      <c r="F1326" t="s">
        <v>2878</v>
      </c>
      <c r="G1326" t="e">
        <f ca="1">IMAGE("https://mbrstore.com/wp-content/uploads/2022/03/01104_FoamCleanser_100ml-copy-460x460.jpg")</f>
        <v>#NAME?</v>
      </c>
      <c r="H1326" t="e">
        <f ca="1">IMAGE("https://m.media-amazon.com/images/I/91fxNU5u5EL._AC_UL320_.jpg")</f>
        <v>#NAME?</v>
      </c>
      <c r="I1326" t="s">
        <v>2531</v>
      </c>
      <c r="J1326">
        <v>8.26</v>
      </c>
      <c r="K1326" s="2" t="s">
        <v>2879</v>
      </c>
      <c r="L1326">
        <v>4.8</v>
      </c>
      <c r="M1326">
        <v>2434</v>
      </c>
      <c r="O1326" t="s">
        <v>26</v>
      </c>
      <c r="P1326" t="s">
        <v>39</v>
      </c>
      <c r="Q1326" t="s">
        <v>2533</v>
      </c>
    </row>
    <row r="1327" spans="1:17" ht="15.75" x14ac:dyDescent="0.25">
      <c r="A1327" s="3" t="str">
        <f>HYPERLINK("https://mbrstore.com/products/the-best-concentrate-cure/", "https://mbrstore.com/products/the-best-concentrate-cure/")</f>
        <v>https://mbrstore.com/products/the-best-concentrate-cure/</v>
      </c>
      <c r="B1327" s="3" t="str">
        <f>HYPERLINK("https://mbrstore.com/products/the-best-concentrate-cure/", "https://mbrstore.com/products/the-best-concentrate-cure/")</f>
        <v>https://mbrstore.com/products/the-best-concentrate-cure/</v>
      </c>
      <c r="C1327" t="s">
        <v>2453</v>
      </c>
      <c r="D1327" t="s">
        <v>2454</v>
      </c>
      <c r="E1327" s="3" t="str">
        <f>HYPERLINK("https://www.amazon.com/BOSS-ME-90-Multi-Effects-Multi-Function-Footswitches/dp/B0CB95FW31/ref=sr_1_7?keywords=Effects&amp;qid=1695258892&amp;sr=8-7", "https://www.amazon.com/BOSS-ME-90-Multi-Effects-Multi-Function-Footswitches/dp/B0CB95FW31/ref=sr_1_7?keywords=Effects&amp;qid=1695258892&amp;sr=8-7")</f>
        <v>https://www.amazon.com/BOSS-ME-90-Multi-Effects-Multi-Function-Footswitches/dp/B0CB95FW31/ref=sr_1_7?keywords=Effects&amp;qid=1695258892&amp;sr=8-7</v>
      </c>
      <c r="F1327" t="s">
        <v>2455</v>
      </c>
      <c r="G1327" t="e">
        <f ca="1">IMAGE("https://mbrstore.com/wp-content/uploads/2022/03/01421_THEBESTConcentratex6-460x460.jpg")</f>
        <v>#NAME?</v>
      </c>
      <c r="H1327" t="e">
        <f ca="1">IMAGE("https://m.media-amazon.com/images/I/617SJJIeDWL._AC_UL320_.jpg")</f>
        <v>#NAME?</v>
      </c>
      <c r="I1327" t="s">
        <v>2880</v>
      </c>
      <c r="J1327">
        <v>347.99</v>
      </c>
      <c r="K1327" s="2" t="s">
        <v>2881</v>
      </c>
      <c r="L1327">
        <v>5</v>
      </c>
      <c r="M1327">
        <v>2</v>
      </c>
      <c r="O1327" t="s">
        <v>26</v>
      </c>
      <c r="P1327" t="s">
        <v>39</v>
      </c>
      <c r="Q1327" t="s">
        <v>2882</v>
      </c>
    </row>
    <row r="1328" spans="1:17" ht="15.75" x14ac:dyDescent="0.25">
      <c r="A1328" s="3" t="str">
        <f>HYPERLINK("https://mbrstore.com/products/hair-scalp-shampoo/", "https://mbrstore.com/products/hair-scalp-shampoo/")</f>
        <v>https://mbrstore.com/products/hair-scalp-shampoo/</v>
      </c>
      <c r="B1328" s="3" t="str">
        <f>HYPERLINK("https://mbrstore.com/products/hair-scalp-shampoo/", "https://mbrstore.com/products/hair-scalp-shampoo/")</f>
        <v>https://mbrstore.com/products/hair-scalp-shampoo/</v>
      </c>
      <c r="C1328" t="s">
        <v>2815</v>
      </c>
      <c r="D1328" t="s">
        <v>2883</v>
      </c>
      <c r="E1328" s="3" t="str">
        <f>HYPERLINK("https://www.amazon.com/Tea-Tree-Special-Shampoo-10-14/dp/B003E1CYHO/ref=sr_1_4?keywords=Hair+%26+Scalp+Shampoo&amp;qid=1695258876&amp;sr=8-4", "https://www.amazon.com/Tea-Tree-Special-Shampoo-10-14/dp/B003E1CYHO/ref=sr_1_4?keywords=Hair+%26+Scalp+Shampoo&amp;qid=1695258876&amp;sr=8-4")</f>
        <v>https://www.amazon.com/Tea-Tree-Special-Shampoo-10-14/dp/B003E1CYHO/ref=sr_1_4?keywords=Hair+%26+Scalp+Shampoo&amp;qid=1695258876&amp;sr=8-4</v>
      </c>
      <c r="F1328" t="s">
        <v>2884</v>
      </c>
      <c r="G1328" t="e">
        <f ca="1">IMAGE("https://mbrstore.com/wp-content/uploads/2022/03/01460_HairScalpShampoo_200ml-copy-460x460.jpg")</f>
        <v>#NAME?</v>
      </c>
      <c r="H1328" t="e">
        <f ca="1">IMAGE("https://m.media-amazon.com/images/I/61W4d8ckCiL._AC_UL320_.jpg")</f>
        <v>#NAME?</v>
      </c>
      <c r="I1328" t="s">
        <v>2581</v>
      </c>
      <c r="J1328">
        <v>18</v>
      </c>
      <c r="K1328" s="2" t="s">
        <v>2885</v>
      </c>
      <c r="L1328">
        <v>4.7</v>
      </c>
      <c r="M1328">
        <v>52827</v>
      </c>
      <c r="O1328" t="s">
        <v>26</v>
      </c>
      <c r="P1328" t="s">
        <v>39</v>
      </c>
      <c r="Q1328" t="s">
        <v>2819</v>
      </c>
    </row>
    <row r="1329" spans="1:17" ht="15.75" x14ac:dyDescent="0.25">
      <c r="A1329" s="3" t="str">
        <f>HYPERLINK("https://mbrstore.com/products/eyelash-booster-serum/", "https://mbrstore.com/products/eyelash-booster-serum/")</f>
        <v>https://mbrstore.com/products/eyelash-booster-serum/</v>
      </c>
      <c r="B1329" s="3" t="str">
        <f>HYPERLINK("https://mbrstore.com/products/eyelash-booster-serum/", "https://mbrstore.com/products/eyelash-booster-serum/")</f>
        <v>https://mbrstore.com/products/eyelash-booster-serum/</v>
      </c>
      <c r="C1329" t="s">
        <v>2716</v>
      </c>
      <c r="D1329" t="s">
        <v>2886</v>
      </c>
      <c r="E1329" s="3" t="str">
        <f>HYPERLINK("https://www.amazon.com/Natural-Lash-Growth-Serum-Eyelashes/dp/B07XG8KRVJ/ref=sr_1_2?keywords=Eyelash+Booster+Serum&amp;qid=1695258872&amp;sr=8-2", "https://www.amazon.com/Natural-Lash-Growth-Serum-Eyelashes/dp/B07XG8KRVJ/ref=sr_1_2?keywords=Eyelash+Booster+Serum&amp;qid=1695258872&amp;sr=8-2")</f>
        <v>https://www.amazon.com/Natural-Lash-Growth-Serum-Eyelashes/dp/B07XG8KRVJ/ref=sr_1_2?keywords=Eyelash+Booster+Serum&amp;qid=1695258872&amp;sr=8-2</v>
      </c>
      <c r="F1329" t="s">
        <v>2887</v>
      </c>
      <c r="G1329" t="e">
        <f ca="1">IMAGE("https://mbrstore.com/wp-content/uploads/2022/03/01250_EyelashBooster_3ml-460x460.jpg")</f>
        <v>#NAME?</v>
      </c>
      <c r="H1329" t="e">
        <f ca="1">IMAGE("https://m.media-amazon.com/images/I/71YRdymsnaL._AC_UL320_.jpg")</f>
        <v>#NAME?</v>
      </c>
      <c r="I1329" t="s">
        <v>2719</v>
      </c>
      <c r="J1329">
        <v>14.89</v>
      </c>
      <c r="K1329" s="2" t="s">
        <v>2888</v>
      </c>
      <c r="L1329">
        <v>4.0999999999999996</v>
      </c>
      <c r="M1329">
        <v>3404</v>
      </c>
      <c r="O1329" t="s">
        <v>26</v>
      </c>
      <c r="P1329" t="s">
        <v>39</v>
      </c>
      <c r="Q1329" t="s">
        <v>2721</v>
      </c>
    </row>
    <row r="1330" spans="1:17" ht="15.75" x14ac:dyDescent="0.25">
      <c r="A1330" s="3" t="str">
        <f>HYPERLINK("https://mbrstore.com/products/cream-extraordinary/", "https://mbrstore.com/products/cream-extraordinary/")</f>
        <v>https://mbrstore.com/products/cream-extraordinary/</v>
      </c>
      <c r="B1330" s="3" t="str">
        <f>HYPERLINK("https://mbrstore.com/products/cream-extraordinary/", "https://mbrstore.com/products/cream-extraordinary/")</f>
        <v>https://mbrstore.com/products/cream-extraordinary/</v>
      </c>
      <c r="C1330" t="s">
        <v>2453</v>
      </c>
      <c r="D1330" t="s">
        <v>2646</v>
      </c>
      <c r="E1330" s="3" t="str">
        <f>HYPERLINK("https://www.amazon.com/Clinical-Effects-All-Natural-Supplement-Digestive/dp/B08QDMGYV2/ref=sr_1_8?keywords=Effects&amp;qid=1695258870&amp;sr=8-8", "https://www.amazon.com/Clinical-Effects-All-Natural-Supplement-Digestive/dp/B08QDMGYV2/ref=sr_1_8?keywords=Effects&amp;qid=1695258870&amp;sr=8-8")</f>
        <v>https://www.amazon.com/Clinical-Effects-All-Natural-Supplement-Digestive/dp/B08QDMGYV2/ref=sr_1_8?keywords=Effects&amp;qid=1695258870&amp;sr=8-8</v>
      </c>
      <c r="F1330" t="s">
        <v>2647</v>
      </c>
      <c r="G1330" t="e">
        <f ca="1">IMAGE("https://mbrstore.com/wp-content/uploads/2022/03/01408_Cream_Extraordinary_50ml-copy-460x460.jpg")</f>
        <v>#NAME?</v>
      </c>
      <c r="H1330" t="e">
        <f ca="1">IMAGE("https://m.media-amazon.com/images/I/71nmXZe49eL._AC_UL320_.jpg")</f>
        <v>#NAME?</v>
      </c>
      <c r="I1330" t="s">
        <v>2686</v>
      </c>
      <c r="J1330">
        <v>35</v>
      </c>
      <c r="K1330" s="2" t="s">
        <v>2889</v>
      </c>
      <c r="L1330">
        <v>4.4000000000000004</v>
      </c>
      <c r="M1330">
        <v>200</v>
      </c>
      <c r="O1330" t="s">
        <v>26</v>
      </c>
      <c r="P1330" t="s">
        <v>39</v>
      </c>
      <c r="Q1330" t="s">
        <v>2688</v>
      </c>
    </row>
    <row r="1331" spans="1:17" ht="15.75" x14ac:dyDescent="0.25">
      <c r="A1331" s="3" t="str">
        <f>HYPERLINK("https://mbrstore.com/products/the-best-hair-boost/", "https://mbrstore.com/products/the-best-hair-boost/")</f>
        <v>https://mbrstore.com/products/the-best-hair-boost/</v>
      </c>
      <c r="B1331" s="3" t="str">
        <f>HYPERLINK("https://mbrstore.com/products/the-best-hair-boost/", "https://mbrstore.com/products/the-best-hair-boost/")</f>
        <v>https://mbrstore.com/products/the-best-hair-boost/</v>
      </c>
      <c r="C1331" t="s">
        <v>2453</v>
      </c>
      <c r="D1331" t="s">
        <v>2458</v>
      </c>
      <c r="E1331" s="3" t="str">
        <f>HYPERLINK("https://www.amazon.com/Fender-Mustang-LT-25-Digital-Amplifier/dp/B07N29M92M/ref=sr_1_1?keywords=Effects&amp;qid=1695258886&amp;sr=8-1", "https://www.amazon.com/Fender-Mustang-LT-25-Digital-Amplifier/dp/B07N29M92M/ref=sr_1_1?keywords=Effects&amp;qid=1695258886&amp;sr=8-1")</f>
        <v>https://www.amazon.com/Fender-Mustang-LT-25-Digital-Amplifier/dp/B07N29M92M/ref=sr_1_1?keywords=Effects&amp;qid=1695258886&amp;sr=8-1</v>
      </c>
      <c r="F1331" t="s">
        <v>2459</v>
      </c>
      <c r="G1331" t="e">
        <f ca="1">IMAGE("https://mbrstore.com/wp-content/uploads/2022/03/01453_TheBestHairBoost_15ml-460x460.jpg")</f>
        <v>#NAME?</v>
      </c>
      <c r="H1331" t="e">
        <f ca="1">IMAGE("https://m.media-amazon.com/images/I/81oKmWyFJPL._AC_UL320_.jpg")</f>
        <v>#NAME?</v>
      </c>
      <c r="I1331" t="s">
        <v>2890</v>
      </c>
      <c r="J1331">
        <v>159.99</v>
      </c>
      <c r="K1331" s="2" t="s">
        <v>2891</v>
      </c>
      <c r="L1331">
        <v>4.8</v>
      </c>
      <c r="M1331">
        <v>3110</v>
      </c>
      <c r="O1331" t="s">
        <v>26</v>
      </c>
      <c r="P1331" t="s">
        <v>39</v>
      </c>
      <c r="Q1331" t="s">
        <v>2892</v>
      </c>
    </row>
    <row r="1332" spans="1:17" ht="15.75" x14ac:dyDescent="0.25">
      <c r="A1332" s="3" t="str">
        <f>HYPERLINK("https://mbrstore.com/products/gentle-moisturizing-gel/", "https://mbrstore.com/products/gentle-moisturizing-gel/")</f>
        <v>https://mbrstore.com/products/gentle-moisturizing-gel/</v>
      </c>
      <c r="B1332" s="3" t="str">
        <f>HYPERLINK("https://mbrstore.com/products/gentle-moisturizing-gel/", "https://mbrstore.com/products/gentle-moisturizing-gel/")</f>
        <v>https://mbrstore.com/products/gentle-moisturizing-gel/</v>
      </c>
      <c r="C1332" t="s">
        <v>2893</v>
      </c>
      <c r="D1332" t="s">
        <v>2894</v>
      </c>
      <c r="E1332" s="3" t="str">
        <f>HYPERLINK("https://www.amazon.com/Exfoliating-Moisturizing-Whitening-Rejuvenating-Exfoliation/dp/B09LR46C36/ref=sr_1_10?keywords=Gentle+Moisturizing+Gel&amp;qid=1695258891&amp;sr=8-10", "https://www.amazon.com/Exfoliating-Moisturizing-Whitening-Rejuvenating-Exfoliation/dp/B09LR46C36/ref=sr_1_10?keywords=Gentle+Moisturizing+Gel&amp;qid=1695258891&amp;sr=8-10")</f>
        <v>https://www.amazon.com/Exfoliating-Moisturizing-Whitening-Rejuvenating-Exfoliation/dp/B09LR46C36/ref=sr_1_10?keywords=Gentle+Moisturizing+Gel&amp;qid=1695258891&amp;sr=8-10</v>
      </c>
      <c r="F1332" t="s">
        <v>2895</v>
      </c>
      <c r="G1332" t="e">
        <f ca="1">IMAGE("https://mbrstore.com/wp-content/uploads/2022/03/01226_GentleMoisturizingGel_30ml-copy-460x460.jpg")</f>
        <v>#NAME?</v>
      </c>
      <c r="H1332" t="e">
        <f ca="1">IMAGE("https://m.media-amazon.com/images/I/61tN9UzNjML._AC_UL320_.jpg")</f>
        <v>#NAME?</v>
      </c>
      <c r="I1332" t="s">
        <v>2896</v>
      </c>
      <c r="J1332">
        <v>11.39</v>
      </c>
      <c r="K1332" s="2" t="s">
        <v>2897</v>
      </c>
      <c r="L1332">
        <v>3.7</v>
      </c>
      <c r="M1332">
        <v>20</v>
      </c>
      <c r="O1332" t="s">
        <v>26</v>
      </c>
      <c r="P1332" t="s">
        <v>39</v>
      </c>
      <c r="Q1332" t="s">
        <v>2898</v>
      </c>
    </row>
    <row r="1333" spans="1:17" ht="15.75" x14ac:dyDescent="0.25">
      <c r="A1333" s="3" t="str">
        <f>HYPERLINK("https://mbrstore.com/products/gentle-moisturizing-gel/", "https://mbrstore.com/products/gentle-moisturizing-gel/")</f>
        <v>https://mbrstore.com/products/gentle-moisturizing-gel/</v>
      </c>
      <c r="B1333" s="3" t="str">
        <f>HYPERLINK("https://mbrstore.com/products/gentle-moisturizing-gel/", "https://mbrstore.com/products/gentle-moisturizing-gel/")</f>
        <v>https://mbrstore.com/products/gentle-moisturizing-gel/</v>
      </c>
      <c r="C1333" t="s">
        <v>2893</v>
      </c>
      <c r="D1333" t="s">
        <v>2899</v>
      </c>
      <c r="E1333" s="3" t="str">
        <f>HYPERLINK("https://www.amazon.com/Versed-Wash-Face-Cleanser-Non-Stripping/dp/B08X4L3J17/ref=sr_1_3?keywords=Gentle+Moisturizing+Gel&amp;qid=1695258891&amp;sr=8-3", "https://www.amazon.com/Versed-Wash-Face-Cleanser-Non-Stripping/dp/B08X4L3J17/ref=sr_1_3?keywords=Gentle+Moisturizing+Gel&amp;qid=1695258891&amp;sr=8-3")</f>
        <v>https://www.amazon.com/Versed-Wash-Face-Cleanser-Non-Stripping/dp/B08X4L3J17/ref=sr_1_3?keywords=Gentle+Moisturizing+Gel&amp;qid=1695258891&amp;sr=8-3</v>
      </c>
      <c r="F1333" t="s">
        <v>2900</v>
      </c>
      <c r="G1333" t="e">
        <f ca="1">IMAGE("https://mbrstore.com/wp-content/uploads/2022/03/01226_GentleMoisturizingGel_30ml-copy-460x460.jpg")</f>
        <v>#NAME?</v>
      </c>
      <c r="H1333" t="e">
        <f ca="1">IMAGE("https://m.media-amazon.com/images/I/51ENM+K0yKL._AC_UL320_.jpg")</f>
        <v>#NAME?</v>
      </c>
      <c r="I1333" t="s">
        <v>2896</v>
      </c>
      <c r="J1333">
        <v>10.99</v>
      </c>
      <c r="K1333" s="2" t="s">
        <v>2901</v>
      </c>
      <c r="L1333">
        <v>3.6</v>
      </c>
      <c r="M1333">
        <v>4</v>
      </c>
      <c r="O1333" t="s">
        <v>26</v>
      </c>
      <c r="P1333" t="s">
        <v>39</v>
      </c>
      <c r="Q1333" t="s">
        <v>2898</v>
      </c>
    </row>
    <row r="1334" spans="1:17" ht="15.75" x14ac:dyDescent="0.25">
      <c r="A1334" s="3" t="str">
        <f>HYPERLINK("https://mbrstore.com/products/the-best-neck-bust/", "https://mbrstore.com/products/the-best-neck-bust/")</f>
        <v>https://mbrstore.com/products/the-best-neck-bust/</v>
      </c>
      <c r="B1334" s="3" t="str">
        <f>HYPERLINK("https://mbrstore.com/products/the-best-neck-bust/", "https://mbrstore.com/products/the-best-neck-bust/")</f>
        <v>https://mbrstore.com/products/the-best-neck-bust/</v>
      </c>
      <c r="C1334" t="s">
        <v>2453</v>
      </c>
      <c r="D1334" t="s">
        <v>2515</v>
      </c>
      <c r="E1334" s="3" t="str">
        <f>HYPERLINK("https://www.amazon.com/Crest-Professional-Whitestrips-Whitening-Treatments/dp/B00AHAWWO0/ref=sr_1_10?keywords=Effects&amp;qid=1695258906&amp;sr=8-10", "https://www.amazon.com/Crest-Professional-Whitestrips-Whitening-Treatments/dp/B00AHAWWO0/ref=sr_1_10?keywords=Effects&amp;qid=1695258906&amp;sr=8-10")</f>
        <v>https://www.amazon.com/Crest-Professional-Whitestrips-Whitening-Treatments/dp/B00AHAWWO0/ref=sr_1_10?keywords=Effects&amp;qid=1695258906&amp;sr=8-10</v>
      </c>
      <c r="F1334" t="s">
        <v>2516</v>
      </c>
      <c r="G1334" t="e">
        <f ca="1">IMAGE("https://mbrstore.com/wp-content/uploads/2022/03/01449_TheBestNeckBust_100ml-copy-460x460.jpg")</f>
        <v>#NAME?</v>
      </c>
      <c r="H1334" t="e">
        <f ca="1">IMAGE("https://m.media-amazon.com/images/I/61IylKAap-L._AC_UL320_.jpg")</f>
        <v>#NAME?</v>
      </c>
      <c r="I1334" t="s">
        <v>2725</v>
      </c>
      <c r="J1334">
        <v>45.99</v>
      </c>
      <c r="K1334" s="2" t="s">
        <v>2902</v>
      </c>
      <c r="L1334">
        <v>4.5999999999999996</v>
      </c>
      <c r="M1334">
        <v>112972</v>
      </c>
      <c r="O1334" t="s">
        <v>26</v>
      </c>
      <c r="P1334" t="s">
        <v>39</v>
      </c>
      <c r="Q1334" t="s">
        <v>2727</v>
      </c>
    </row>
    <row r="1335" spans="1:17" ht="15.75" x14ac:dyDescent="0.25">
      <c r="A1335" s="3" t="str">
        <f>HYPERLINK("https://mbrstore.com/products/the-best-neck-bust/", "https://mbrstore.com/products/the-best-neck-bust/")</f>
        <v>https://mbrstore.com/products/the-best-neck-bust/</v>
      </c>
      <c r="B1335" s="3" t="str">
        <f>HYPERLINK("https://mbrstore.com/products/the-best-neck-bust/", "https://mbrstore.com/products/the-best-neck-bust/")</f>
        <v>https://mbrstore.com/products/the-best-neck-bust/</v>
      </c>
      <c r="C1335" t="s">
        <v>2453</v>
      </c>
      <c r="D1335" t="s">
        <v>2508</v>
      </c>
      <c r="E1335" s="3" t="str">
        <f>HYPERLINK("https://www.amazon.com/Westmore-Beauty-Tightening-Temporarily-Puffiness/dp/B07BYG7D2V/ref=sr_1_5?keywords=Effects&amp;qid=1695258906&amp;sr=8-5", "https://www.amazon.com/Westmore-Beauty-Tightening-Temporarily-Puffiness/dp/B07BYG7D2V/ref=sr_1_5?keywords=Effects&amp;qid=1695258906&amp;sr=8-5")</f>
        <v>https://www.amazon.com/Westmore-Beauty-Tightening-Temporarily-Puffiness/dp/B07BYG7D2V/ref=sr_1_5?keywords=Effects&amp;qid=1695258906&amp;sr=8-5</v>
      </c>
      <c r="F1335" t="s">
        <v>2509</v>
      </c>
      <c r="G1335" t="e">
        <f ca="1">IMAGE("https://mbrstore.com/wp-content/uploads/2022/03/01449_TheBestNeckBust_100ml-copy-460x460.jpg")</f>
        <v>#NAME?</v>
      </c>
      <c r="H1335" t="e">
        <f ca="1">IMAGE("https://m.media-amazon.com/images/I/51YkzEMtyCL._AC_UL320_.jpg")</f>
        <v>#NAME?</v>
      </c>
      <c r="I1335" t="s">
        <v>2725</v>
      </c>
      <c r="J1335">
        <v>43.75</v>
      </c>
      <c r="K1335" s="2" t="s">
        <v>2903</v>
      </c>
      <c r="L1335">
        <v>3.6</v>
      </c>
      <c r="M1335">
        <v>1214</v>
      </c>
      <c r="O1335" t="s">
        <v>26</v>
      </c>
      <c r="P1335" t="s">
        <v>39</v>
      </c>
      <c r="Q1335" t="s">
        <v>2727</v>
      </c>
    </row>
    <row r="1336" spans="1:17" ht="15.75" x14ac:dyDescent="0.25">
      <c r="A1336" s="3" t="str">
        <f>HYPERLINK("https://mbrstore.com/products/the-best-face/", "https://mbrstore.com/products/the-best-face/")</f>
        <v>https://mbrstore.com/products/the-best-face/</v>
      </c>
      <c r="B1336" s="3" t="str">
        <f>HYPERLINK("https://mbrstore.com/products/the-best-face/", "https://mbrstore.com/products/the-best-face/")</f>
        <v>https://mbrstore.com/products/the-best-face/</v>
      </c>
      <c r="C1336" t="s">
        <v>2453</v>
      </c>
      <c r="D1336" t="s">
        <v>2464</v>
      </c>
      <c r="E1336" s="3" t="str">
        <f>HYPERLINK("https://www.amazon.com/Zoom-Electric-Guitar-G1X-FOUR/dp/B07MZPR5GP/ref=sr_1_4?keywords=Effects&amp;qid=1695258892&amp;sr=8-4", "https://www.amazon.com/Zoom-Electric-Guitar-G1X-FOUR/dp/B07MZPR5GP/ref=sr_1_4?keywords=Effects&amp;qid=1695258892&amp;sr=8-4")</f>
        <v>https://www.amazon.com/Zoom-Electric-Guitar-G1X-FOUR/dp/B07MZPR5GP/ref=sr_1_4?keywords=Effects&amp;qid=1695258892&amp;sr=8-4</v>
      </c>
      <c r="F1336" t="s">
        <v>2465</v>
      </c>
      <c r="G1336" t="e">
        <f ca="1">IMAGE("https://mbrstore.com/wp-content/uploads/2022/03/01440_TheBest_Face_50ml-copy-460x460.jpg")</f>
        <v>#NAME?</v>
      </c>
      <c r="H1336" t="e">
        <f ca="1">IMAGE("https://m.media-amazon.com/images/I/81lPUPAo-SL._AC_UL320_.jpg")</f>
        <v>#NAME?</v>
      </c>
      <c r="I1336" t="s">
        <v>2864</v>
      </c>
      <c r="J1336">
        <v>119.99</v>
      </c>
      <c r="K1336" s="2" t="s">
        <v>2904</v>
      </c>
      <c r="L1336">
        <v>4.5</v>
      </c>
      <c r="M1336">
        <v>6902</v>
      </c>
      <c r="O1336" t="s">
        <v>26</v>
      </c>
      <c r="P1336" t="s">
        <v>39</v>
      </c>
      <c r="Q1336" t="s">
        <v>2866</v>
      </c>
    </row>
    <row r="1337" spans="1:17" ht="15.75" x14ac:dyDescent="0.25">
      <c r="A1337" s="3" t="str">
        <f>HYPERLINK("https://mbrstore.com/products/the-best-face-extra-rich/", "https://mbrstore.com/products/the-best-face-extra-rich/")</f>
        <v>https://mbrstore.com/products/the-best-face-extra-rich/</v>
      </c>
      <c r="B1337" s="3" t="str">
        <f>HYPERLINK("https://mbrstore.com/products/the-best-face-extra-rich/", "https://mbrstore.com/products/the-best-face-extra-rich/")</f>
        <v>https://mbrstore.com/products/the-best-face-extra-rich/</v>
      </c>
      <c r="C1337" t="s">
        <v>2453</v>
      </c>
      <c r="D1337" t="s">
        <v>2464</v>
      </c>
      <c r="E1337" s="3" t="str">
        <f>HYPERLINK("https://www.amazon.com/Zoom-Electric-Guitar-G1X-FOUR/dp/B07MZPR5GP/ref=sr_1_1?keywords=Effects&amp;qid=1695258911&amp;sr=8-1", "https://www.amazon.com/Zoom-Electric-Guitar-G1X-FOUR/dp/B07MZPR5GP/ref=sr_1_1?keywords=Effects&amp;qid=1695258911&amp;sr=8-1")</f>
        <v>https://www.amazon.com/Zoom-Electric-Guitar-G1X-FOUR/dp/B07MZPR5GP/ref=sr_1_1?keywords=Effects&amp;qid=1695258911&amp;sr=8-1</v>
      </c>
      <c r="F1337" t="s">
        <v>2465</v>
      </c>
      <c r="G1337" t="e">
        <f ca="1">IMAGE("https://mbrstore.com/wp-content/uploads/2022/03/01446_TheBest_Face_Extra_Rich_50ml-copy-460x460.jpg")</f>
        <v>#NAME?</v>
      </c>
      <c r="H1337" t="e">
        <f ca="1">IMAGE("https://m.media-amazon.com/images/I/81lPUPAo-SL._AC_UL320_.jpg")</f>
        <v>#NAME?</v>
      </c>
      <c r="I1337" t="s">
        <v>2747</v>
      </c>
      <c r="J1337">
        <v>119.99</v>
      </c>
      <c r="K1337" s="2" t="s">
        <v>2905</v>
      </c>
      <c r="L1337">
        <v>4.5</v>
      </c>
      <c r="M1337">
        <v>6902</v>
      </c>
      <c r="O1337" t="s">
        <v>26</v>
      </c>
      <c r="P1337" t="s">
        <v>39</v>
      </c>
      <c r="Q1337" t="s">
        <v>2749</v>
      </c>
    </row>
    <row r="1338" spans="1:17" ht="15.75" x14ac:dyDescent="0.25">
      <c r="A1338" s="3" t="str">
        <f>HYPERLINK("https://mbrstore.com/products/eye-cream-smooth-100/", "https://mbrstore.com/products/eye-cream-smooth-100/")</f>
        <v>https://mbrstore.com/products/eye-cream-smooth-100/</v>
      </c>
      <c r="B1338" s="3" t="str">
        <f>HYPERLINK("https://mbrstore.com/products/eye-cream-smooth-100/", "https://mbrstore.com/products/eye-cream-smooth-100/")</f>
        <v>https://mbrstore.com/products/eye-cream-smooth-100/</v>
      </c>
      <c r="C1338" t="s">
        <v>2453</v>
      </c>
      <c r="D1338" t="s">
        <v>2504</v>
      </c>
      <c r="E1338" s="3" t="str">
        <f>HYPERLINK("https://www.amazon.com/Clinical-Effects-Multi-Collagen-Supplement-Quality-Sourced/dp/B085F3PSPB/ref=sr_1_10?keywords=Effects&amp;qid=1695258872&amp;rdc=1&amp;sr=8-10", "https://www.amazon.com/Clinical-Effects-Multi-Collagen-Supplement-Quality-Sourced/dp/B085F3PSPB/ref=sr_1_10?keywords=Effects&amp;qid=1695258872&amp;rdc=1&amp;sr=8-10")</f>
        <v>https://www.amazon.com/Clinical-Effects-Multi-Collagen-Supplement-Quality-Sourced/dp/B085F3PSPB/ref=sr_1_10?keywords=Effects&amp;qid=1695258872&amp;rdc=1&amp;sr=8-10</v>
      </c>
      <c r="F1338" t="s">
        <v>2505</v>
      </c>
      <c r="G1338" t="e">
        <f ca="1">IMAGE("https://mbrstore.com/wp-content/uploads/2022/03/01403_EyeCreamSmooth_15ml-copy-460x460.jpg")</f>
        <v>#NAME?</v>
      </c>
      <c r="H1338" t="e">
        <f ca="1">IMAGE("https://m.media-amazon.com/images/I/71YnIfUehJS._AC_UL320_.jpg")</f>
        <v>#NAME?</v>
      </c>
      <c r="I1338" t="s">
        <v>2632</v>
      </c>
      <c r="J1338">
        <v>43.95</v>
      </c>
      <c r="K1338" s="2" t="s">
        <v>2906</v>
      </c>
      <c r="L1338">
        <v>4.2</v>
      </c>
      <c r="M1338">
        <v>468</v>
      </c>
      <c r="O1338" t="s">
        <v>26</v>
      </c>
      <c r="P1338" t="s">
        <v>39</v>
      </c>
      <c r="Q1338" t="s">
        <v>2634</v>
      </c>
    </row>
    <row r="1339" spans="1:17" ht="15.75" x14ac:dyDescent="0.25">
      <c r="A1339" s="3" t="str">
        <f>HYPERLINK("https://mbrstore.com/products/eye-cream-smooth-100/", "https://mbrstore.com/products/eye-cream-smooth-100/")</f>
        <v>https://mbrstore.com/products/eye-cream-smooth-100/</v>
      </c>
      <c r="B1339" s="3" t="str">
        <f>HYPERLINK("https://mbrstore.com/products/eye-cream-smooth-100/", "https://mbrstore.com/products/eye-cream-smooth-100/")</f>
        <v>https://mbrstore.com/products/eye-cream-smooth-100/</v>
      </c>
      <c r="C1339" t="s">
        <v>2453</v>
      </c>
      <c r="D1339" t="s">
        <v>2508</v>
      </c>
      <c r="E1339" s="3" t="str">
        <f>HYPERLINK("https://www.amazon.com/Westmore-Beauty-Tightening-Temporarily-Puffiness/dp/B07BYG7D2V/ref=sr_1_3?keywords=Effects&amp;qid=1695258872&amp;sr=8-3", "https://www.amazon.com/Westmore-Beauty-Tightening-Temporarily-Puffiness/dp/B07BYG7D2V/ref=sr_1_3?keywords=Effects&amp;qid=1695258872&amp;sr=8-3")</f>
        <v>https://www.amazon.com/Westmore-Beauty-Tightening-Temporarily-Puffiness/dp/B07BYG7D2V/ref=sr_1_3?keywords=Effects&amp;qid=1695258872&amp;sr=8-3</v>
      </c>
      <c r="F1339" t="s">
        <v>2509</v>
      </c>
      <c r="G1339" t="e">
        <f ca="1">IMAGE("https://mbrstore.com/wp-content/uploads/2022/03/01403_EyeCreamSmooth_15ml-copy-460x460.jpg")</f>
        <v>#NAME?</v>
      </c>
      <c r="H1339" t="e">
        <f ca="1">IMAGE("https://m.media-amazon.com/images/I/51YkzEMtyCL._AC_UL320_.jpg")</f>
        <v>#NAME?</v>
      </c>
      <c r="I1339" t="s">
        <v>2632</v>
      </c>
      <c r="J1339">
        <v>43.45</v>
      </c>
      <c r="K1339" s="2" t="s">
        <v>2907</v>
      </c>
      <c r="L1339">
        <v>3.6</v>
      </c>
      <c r="M1339">
        <v>1214</v>
      </c>
      <c r="O1339" t="s">
        <v>26</v>
      </c>
      <c r="P1339" t="s">
        <v>39</v>
      </c>
      <c r="Q1339" t="s">
        <v>2634</v>
      </c>
    </row>
    <row r="1340" spans="1:17" ht="15.75" x14ac:dyDescent="0.25">
      <c r="A1340" s="3" t="str">
        <f>HYPERLINK("https://mbrstore.com/products/face-cream-smooth/", "https://mbrstore.com/products/face-cream-smooth/")</f>
        <v>https://mbrstore.com/products/face-cream-smooth/</v>
      </c>
      <c r="B1340" s="3" t="str">
        <f>HYPERLINK("https://mbrstore.com/products/face-cream-smooth/", "https://mbrstore.com/products/face-cream-smooth/")</f>
        <v>https://mbrstore.com/products/face-cream-smooth/</v>
      </c>
      <c r="C1340" t="s">
        <v>2453</v>
      </c>
      <c r="D1340" t="s">
        <v>2579</v>
      </c>
      <c r="E1340" s="3" t="str">
        <f>HYPERLINK("https://www.amazon.com/Crest-Professional-Whitestrips-Whitening-Treatments/dp/B00AHAWWO0/ref=sr_1_10?keywords=Effects&amp;qid=1695258894&amp;sr=8-10", "https://www.amazon.com/Crest-Professional-Whitestrips-Whitening-Treatments/dp/B00AHAWWO0/ref=sr_1_10?keywords=Effects&amp;qid=1695258894&amp;sr=8-10")</f>
        <v>https://www.amazon.com/Crest-Professional-Whitestrips-Whitening-Treatments/dp/B00AHAWWO0/ref=sr_1_10?keywords=Effects&amp;qid=1695258894&amp;sr=8-10</v>
      </c>
      <c r="F1340" t="s">
        <v>2516</v>
      </c>
      <c r="G1340" t="e">
        <f ca="1">IMAGE("https://mbrstore.com/wp-content/uploads/2022/03/01401_Face_Cream_Smooth_50ml-copy-460x460.jpg")</f>
        <v>#NAME?</v>
      </c>
      <c r="H1340" t="e">
        <f ca="1">IMAGE("https://m.media-amazon.com/images/I/61IylKAap-L._AC_UL320_.jpg")</f>
        <v>#NAME?</v>
      </c>
      <c r="I1340" t="s">
        <v>2741</v>
      </c>
      <c r="J1340">
        <v>45.99</v>
      </c>
      <c r="K1340" s="2" t="s">
        <v>2908</v>
      </c>
      <c r="L1340">
        <v>4.5999999999999996</v>
      </c>
      <c r="M1340">
        <v>112972</v>
      </c>
      <c r="O1340" t="s">
        <v>26</v>
      </c>
      <c r="P1340" t="s">
        <v>39</v>
      </c>
      <c r="Q1340" t="s">
        <v>2743</v>
      </c>
    </row>
    <row r="1341" spans="1:17" ht="15.75" x14ac:dyDescent="0.25">
      <c r="A1341" s="3" t="str">
        <f>HYPERLINK("https://mbrstore.com/products/lip-contour-refiner/", "https://mbrstore.com/products/lip-contour-refiner/")</f>
        <v>https://mbrstore.com/products/lip-contour-refiner/</v>
      </c>
      <c r="B1341" s="3" t="str">
        <f>HYPERLINK("https://mbrstore.com/products/lip-contour-refiner/", "https://mbrstore.com/products/lip-contour-refiner/")</f>
        <v>https://mbrstore.com/products/lip-contour-refiner/</v>
      </c>
      <c r="C1341" t="s">
        <v>2453</v>
      </c>
      <c r="D1341" t="s">
        <v>2877</v>
      </c>
      <c r="E1341" s="3" t="str">
        <f>HYPERLINK("https://www.amazon.com/Schick-Effects-Razor-Blade-Refills/dp/B001KYRZ8A/ref=sr_1_5?keywords=Effects&amp;qid=1695258884&amp;sr=8-5", "https://www.amazon.com/Schick-Effects-Razor-Blade-Refills/dp/B001KYRZ8A/ref=sr_1_5?keywords=Effects&amp;qid=1695258884&amp;sr=8-5")</f>
        <v>https://www.amazon.com/Schick-Effects-Razor-Blade-Refills/dp/B001KYRZ8A/ref=sr_1_5?keywords=Effects&amp;qid=1695258884&amp;sr=8-5</v>
      </c>
      <c r="F1341" t="s">
        <v>2878</v>
      </c>
      <c r="G1341" t="e">
        <f ca="1">IMAGE("https://mbrstore.com/wp-content/uploads/2022/03/01227_Lip_Contour_Refiner_15ml-copy-460x460.jpg")</f>
        <v>#NAME?</v>
      </c>
      <c r="H1341" t="e">
        <f ca="1">IMAGE("https://m.media-amazon.com/images/I/91fxNU5u5EL._AC_UL320_.jpg")</f>
        <v>#NAME?</v>
      </c>
      <c r="I1341" t="s">
        <v>2534</v>
      </c>
      <c r="J1341">
        <v>8.26</v>
      </c>
      <c r="K1341" s="2" t="s">
        <v>2909</v>
      </c>
      <c r="L1341">
        <v>4.8</v>
      </c>
      <c r="M1341">
        <v>2434</v>
      </c>
      <c r="O1341" t="s">
        <v>26</v>
      </c>
      <c r="P1341" t="s">
        <v>39</v>
      </c>
      <c r="Q1341" t="s">
        <v>2536</v>
      </c>
    </row>
    <row r="1342" spans="1:17" ht="15.75" x14ac:dyDescent="0.25">
      <c r="A1342" s="3" t="str">
        <f>HYPERLINK("https://mbrstore.com/products/face-cream-smooth/", "https://mbrstore.com/products/face-cream-smooth/")</f>
        <v>https://mbrstore.com/products/face-cream-smooth/</v>
      </c>
      <c r="B1342" s="3" t="str">
        <f>HYPERLINK("https://mbrstore.com/products/face-cream-smooth/", "https://mbrstore.com/products/face-cream-smooth/")</f>
        <v>https://mbrstore.com/products/face-cream-smooth/</v>
      </c>
      <c r="C1342" t="s">
        <v>2453</v>
      </c>
      <c r="D1342" t="s">
        <v>2508</v>
      </c>
      <c r="E1342" s="3" t="str">
        <f>HYPERLINK("https://www.amazon.com/Westmore-Beauty-Tightening-Temporarily-Puffiness/dp/B07BYG7D2V/ref=sr_1_3?keywords=Effects&amp;qid=1695258894&amp;sr=8-3", "https://www.amazon.com/Westmore-Beauty-Tightening-Temporarily-Puffiness/dp/B07BYG7D2V/ref=sr_1_3?keywords=Effects&amp;qid=1695258894&amp;sr=8-3")</f>
        <v>https://www.amazon.com/Westmore-Beauty-Tightening-Temporarily-Puffiness/dp/B07BYG7D2V/ref=sr_1_3?keywords=Effects&amp;qid=1695258894&amp;sr=8-3</v>
      </c>
      <c r="F1342" t="s">
        <v>2509</v>
      </c>
      <c r="G1342" t="e">
        <f ca="1">IMAGE("https://mbrstore.com/wp-content/uploads/2022/03/01401_Face_Cream_Smooth_50ml-copy-460x460.jpg")</f>
        <v>#NAME?</v>
      </c>
      <c r="H1342" t="e">
        <f ca="1">IMAGE("https://m.media-amazon.com/images/I/51YkzEMtyCL._AC_UL320_.jpg")</f>
        <v>#NAME?</v>
      </c>
      <c r="I1342" t="s">
        <v>2741</v>
      </c>
      <c r="J1342">
        <v>43.45</v>
      </c>
      <c r="K1342" s="2" t="s">
        <v>2910</v>
      </c>
      <c r="L1342">
        <v>3.6</v>
      </c>
      <c r="M1342">
        <v>1214</v>
      </c>
      <c r="O1342" t="s">
        <v>26</v>
      </c>
      <c r="P1342" t="s">
        <v>39</v>
      </c>
      <c r="Q1342" t="s">
        <v>2743</v>
      </c>
    </row>
    <row r="1343" spans="1:17" ht="15.75" x14ac:dyDescent="0.25">
      <c r="A1343" s="3" t="str">
        <f>HYPERLINK("https://mbrstore.com/products/the-best-hair-boost/", "https://mbrstore.com/products/the-best-hair-boost/")</f>
        <v>https://mbrstore.com/products/the-best-hair-boost/</v>
      </c>
      <c r="B1343" s="3" t="str">
        <f>HYPERLINK("https://mbrstore.com/products/the-best-hair-boost/", "https://mbrstore.com/products/the-best-hair-boost/")</f>
        <v>https://mbrstore.com/products/the-best-hair-boost/</v>
      </c>
      <c r="C1343" t="s">
        <v>2453</v>
      </c>
      <c r="D1343" t="s">
        <v>2464</v>
      </c>
      <c r="E1343" s="3" t="str">
        <f>HYPERLINK("https://www.amazon.com/Zoom-Electric-Guitar-G1X-FOUR/dp/B07MZPR5GP/ref=sr_1_4?keywords=Effects&amp;qid=1695258886&amp;sr=8-4", "https://www.amazon.com/Zoom-Electric-Guitar-G1X-FOUR/dp/B07MZPR5GP/ref=sr_1_4?keywords=Effects&amp;qid=1695258886&amp;sr=8-4")</f>
        <v>https://www.amazon.com/Zoom-Electric-Guitar-G1X-FOUR/dp/B07MZPR5GP/ref=sr_1_4?keywords=Effects&amp;qid=1695258886&amp;sr=8-4</v>
      </c>
      <c r="F1343" t="s">
        <v>2465</v>
      </c>
      <c r="G1343" t="e">
        <f ca="1">IMAGE("https://mbrstore.com/wp-content/uploads/2022/03/01453_TheBestHairBoost_15ml-460x460.jpg")</f>
        <v>#NAME?</v>
      </c>
      <c r="H1343" t="e">
        <f ca="1">IMAGE("https://m.media-amazon.com/images/I/81lPUPAo-SL._AC_UL320_.jpg")</f>
        <v>#NAME?</v>
      </c>
      <c r="I1343" t="s">
        <v>2890</v>
      </c>
      <c r="J1343">
        <v>119.99</v>
      </c>
      <c r="K1343" s="2" t="s">
        <v>2911</v>
      </c>
      <c r="L1343">
        <v>4.5</v>
      </c>
      <c r="M1343">
        <v>6902</v>
      </c>
      <c r="O1343" t="s">
        <v>26</v>
      </c>
      <c r="P1343" t="s">
        <v>39</v>
      </c>
      <c r="Q1343" t="s">
        <v>2892</v>
      </c>
    </row>
    <row r="1344" spans="1:17" ht="15.75" x14ac:dyDescent="0.25">
      <c r="A1344" s="3" t="str">
        <f>HYPERLINK("https://mbrstore.com/products/cell-power-hand-treatment/", "https://mbrstore.com/products/cell-power-hand-treatment/")</f>
        <v>https://mbrstore.com/products/cell-power-hand-treatment/</v>
      </c>
      <c r="B1344" s="3" t="str">
        <f>HYPERLINK("https://mbrstore.com/products/cell-power-hand-treatment/", "https://mbrstore.com/products/cell-power-hand-treatment/")</f>
        <v>https://mbrstore.com/products/cell-power-hand-treatment/</v>
      </c>
      <c r="C1344" t="s">
        <v>2453</v>
      </c>
      <c r="D1344" t="s">
        <v>2877</v>
      </c>
      <c r="E1344" s="3" t="str">
        <f>HYPERLINK("https://www.amazon.com/Schick-Effects-Razor-Blade-Refills/dp/B001KYRZ8A/ref=sr_1_1?keywords=Effects&amp;qid=1695258891&amp;sr=8-1", "https://www.amazon.com/Schick-Effects-Razor-Blade-Refills/dp/B001KYRZ8A/ref=sr_1_1?keywords=Effects&amp;qid=1695258891&amp;sr=8-1")</f>
        <v>https://www.amazon.com/Schick-Effects-Razor-Blade-Refills/dp/B001KYRZ8A/ref=sr_1_1?keywords=Effects&amp;qid=1695258891&amp;sr=8-1</v>
      </c>
      <c r="F1344" t="s">
        <v>2878</v>
      </c>
      <c r="G1344" t="e">
        <f ca="1">IMAGE("https://mbrstore.com/wp-content/uploads/2022/03/01608_HandTreatment_100ml-copy-460x460.jpg")</f>
        <v>#NAME?</v>
      </c>
      <c r="H1344" t="e">
        <f ca="1">IMAGE("https://m.media-amazon.com/images/I/91fxNU5u5EL._AC_UL320_.jpg")</f>
        <v>#NAME?</v>
      </c>
      <c r="I1344" t="s">
        <v>2565</v>
      </c>
      <c r="J1344">
        <v>8.26</v>
      </c>
      <c r="K1344" s="2" t="s">
        <v>2912</v>
      </c>
      <c r="L1344">
        <v>4.8</v>
      </c>
      <c r="M1344">
        <v>2434</v>
      </c>
      <c r="O1344" t="s">
        <v>26</v>
      </c>
      <c r="P1344" t="s">
        <v>39</v>
      </c>
      <c r="Q1344" t="s">
        <v>2567</v>
      </c>
    </row>
    <row r="1345" spans="1:17" ht="15.75" x14ac:dyDescent="0.25">
      <c r="A1345" s="3" t="str">
        <f>HYPERLINK("https://mbrstore.com/products/normalizing-lipid-sebum-care/", "https://mbrstore.com/products/normalizing-lipid-sebum-care/")</f>
        <v>https://mbrstore.com/products/normalizing-lipid-sebum-care/</v>
      </c>
      <c r="B1345" s="3" t="str">
        <f>HYPERLINK("https://mbrstore.com/products/normalizing-lipid-sebum-care/", "https://mbrstore.com/products/normalizing-lipid-sebum-care/")</f>
        <v>https://mbrstore.com/products/normalizing-lipid-sebum-care/</v>
      </c>
      <c r="C1345" t="s">
        <v>2453</v>
      </c>
      <c r="D1345" t="s">
        <v>2877</v>
      </c>
      <c r="E1345" s="3" t="str">
        <f>HYPERLINK("https://www.amazon.com/Schick-Effects-Razor-Blade-Refills/dp/B001KYRZ8A/ref=sr_1_5?keywords=Effects&amp;qid=1695258880&amp;sr=8-5", "https://www.amazon.com/Schick-Effects-Razor-Blade-Refills/dp/B001KYRZ8A/ref=sr_1_5?keywords=Effects&amp;qid=1695258880&amp;sr=8-5")</f>
        <v>https://www.amazon.com/Schick-Effects-Razor-Blade-Refills/dp/B001KYRZ8A/ref=sr_1_5?keywords=Effects&amp;qid=1695258880&amp;sr=8-5</v>
      </c>
      <c r="F1345" t="s">
        <v>2878</v>
      </c>
      <c r="G1345" t="e">
        <f ca="1">IMAGE("https://mbrstore.com/wp-content/uploads/2022/03/01511_NormalizingLipidSebumCare_30ml-copy-460x460.jpg")</f>
        <v>#NAME?</v>
      </c>
      <c r="H1345" t="e">
        <f ca="1">IMAGE("https://m.media-amazon.com/images/I/91fxNU5u5EL._AC_UL320_.jpg")</f>
        <v>#NAME?</v>
      </c>
      <c r="I1345" t="s">
        <v>2538</v>
      </c>
      <c r="J1345">
        <v>8.26</v>
      </c>
      <c r="K1345" s="2" t="s">
        <v>2913</v>
      </c>
      <c r="L1345">
        <v>4.8</v>
      </c>
      <c r="M1345">
        <v>2434</v>
      </c>
      <c r="O1345" t="s">
        <v>26</v>
      </c>
      <c r="P1345" t="s">
        <v>39</v>
      </c>
      <c r="Q1345" t="s">
        <v>2540</v>
      </c>
    </row>
    <row r="1346" spans="1:17" ht="15.75" x14ac:dyDescent="0.25">
      <c r="A1346" s="3" t="str">
        <f>HYPERLINK("https://mbrstore.com/products/eye-make-up-remover/", "https://mbrstore.com/products/eye-make-up-remover/")</f>
        <v>https://mbrstore.com/products/eye-make-up-remover/</v>
      </c>
      <c r="B1346" s="3" t="str">
        <f>HYPERLINK("https://mbrstore.com/products/eye-make-up-remover/", "https://mbrstore.com/products/eye-make-up-remover/")</f>
        <v>https://mbrstore.com/products/eye-make-up-remover/</v>
      </c>
      <c r="C1346" t="s">
        <v>2453</v>
      </c>
      <c r="D1346" t="s">
        <v>2877</v>
      </c>
      <c r="E1346" s="3" t="str">
        <f>HYPERLINK("https://www.amazon.com/Schick-Effects-Razor-Blade-Refills/dp/B001KYRZ8A/ref=sr_1_5?keywords=Effects&amp;qid=1695258886&amp;sr=8-5", "https://www.amazon.com/Schick-Effects-Razor-Blade-Refills/dp/B001KYRZ8A/ref=sr_1_5?keywords=Effects&amp;qid=1695258886&amp;sr=8-5")</f>
        <v>https://www.amazon.com/Schick-Effects-Razor-Blade-Refills/dp/B001KYRZ8A/ref=sr_1_5?keywords=Effects&amp;qid=1695258886&amp;sr=8-5</v>
      </c>
      <c r="F1346" t="s">
        <v>2878</v>
      </c>
      <c r="G1346" t="e">
        <f ca="1">IMAGE("https://mbrstore.com/wp-content/uploads/2022/03/01103_EyeMakeupRemover_200ml-copy-460x460.jpg")</f>
        <v>#NAME?</v>
      </c>
      <c r="H1346" t="e">
        <f ca="1">IMAGE("https://m.media-amazon.com/images/I/91fxNU5u5EL._AC_UL320_.jpg")</f>
        <v>#NAME?</v>
      </c>
      <c r="I1346" t="s">
        <v>2541</v>
      </c>
      <c r="J1346">
        <v>8.26</v>
      </c>
      <c r="K1346" s="2" t="s">
        <v>2914</v>
      </c>
      <c r="L1346">
        <v>4.8</v>
      </c>
      <c r="M1346">
        <v>2434</v>
      </c>
      <c r="O1346" t="s">
        <v>26</v>
      </c>
      <c r="P1346" t="s">
        <v>39</v>
      </c>
      <c r="Q1346" t="s">
        <v>2543</v>
      </c>
    </row>
    <row r="1347" spans="1:17" ht="15.75" x14ac:dyDescent="0.25">
      <c r="A1347" s="3" t="str">
        <f>HYPERLINK("https://mbrstore.com/products/the-best-concentrate/", "https://mbrstore.com/products/the-best-concentrate/")</f>
        <v>https://mbrstore.com/products/the-best-concentrate/</v>
      </c>
      <c r="B1347" s="3" t="str">
        <f>HYPERLINK("https://mbrstore.com/products/the-best-concentrate/", "https://mbrstore.com/products/the-best-concentrate/")</f>
        <v>https://mbrstore.com/products/the-best-concentrate/</v>
      </c>
      <c r="C1347" t="s">
        <v>2453</v>
      </c>
      <c r="D1347" t="s">
        <v>2515</v>
      </c>
      <c r="E1347" s="3" t="str">
        <f>HYPERLINK("https://www.amazon.com/Crest-Professional-Whitestrips-Whitening-Treatments/dp/B00AHAWWO0/ref=sr_1_10?keywords=Effects&amp;qid=1695258891&amp;sr=8-10", "https://www.amazon.com/Crest-Professional-Whitestrips-Whitening-Treatments/dp/B00AHAWWO0/ref=sr_1_10?keywords=Effects&amp;qid=1695258891&amp;sr=8-10")</f>
        <v>https://www.amazon.com/Crest-Professional-Whitestrips-Whitening-Treatments/dp/B00AHAWWO0/ref=sr_1_10?keywords=Effects&amp;qid=1695258891&amp;sr=8-10</v>
      </c>
      <c r="F1347" t="s">
        <v>2516</v>
      </c>
      <c r="G1347" t="e">
        <f ca="1">IMAGE("https://mbrstore.com/wp-content/uploads/2022/03/01443_The_Best_Concentrate_15ml-copy-460x460.jpg")</f>
        <v>#NAME?</v>
      </c>
      <c r="H1347" t="e">
        <f ca="1">IMAGE("https://m.media-amazon.com/images/I/61IylKAap-L._AC_UL320_.jpg")</f>
        <v>#NAME?</v>
      </c>
      <c r="I1347" t="s">
        <v>2755</v>
      </c>
      <c r="J1347">
        <v>45.99</v>
      </c>
      <c r="K1347" s="2" t="s">
        <v>2915</v>
      </c>
      <c r="L1347">
        <v>4.5999999999999996</v>
      </c>
      <c r="M1347">
        <v>112972</v>
      </c>
      <c r="O1347" t="s">
        <v>26</v>
      </c>
      <c r="P1347" t="s">
        <v>39</v>
      </c>
      <c r="Q1347" t="s">
        <v>2757</v>
      </c>
    </row>
    <row r="1348" spans="1:17" ht="15.75" x14ac:dyDescent="0.25">
      <c r="A1348" s="3" t="str">
        <f>HYPERLINK("https://mbrstore.com/products/cell-power-anti-cellulite-treatment/", "https://mbrstore.com/products/cell-power-anti-cellulite-treatment/")</f>
        <v>https://mbrstore.com/products/cell-power-anti-cellulite-treatment/</v>
      </c>
      <c r="B1348" s="3" t="str">
        <f>HYPERLINK("https://mbrstore.com/products/cell-power-anti-cellulite-treatment/", "https://mbrstore.com/products/cell-power-anti-cellulite-treatment/")</f>
        <v>https://mbrstore.com/products/cell-power-anti-cellulite-treatment/</v>
      </c>
      <c r="C1348" t="s">
        <v>2916</v>
      </c>
      <c r="D1348" t="s">
        <v>2917</v>
      </c>
      <c r="E1348" s="3" t="str">
        <f>HYPERLINK("https://www.amazon.com/Anti-Cellulite-Massage-Oil-Tightening/dp/B0946K7M62/ref=sr_1_2?keywords=Cell-Power+Anti-Cellulite+Treatment&amp;qid=1695258879&amp;sr=8-2", "https://www.amazon.com/Anti-Cellulite-Massage-Oil-Tightening/dp/B0946K7M62/ref=sr_1_2?keywords=Cell-Power+Anti-Cellulite+Treatment&amp;qid=1695258879&amp;sr=8-2")</f>
        <v>https://www.amazon.com/Anti-Cellulite-Massage-Oil-Tightening/dp/B0946K7M62/ref=sr_1_2?keywords=Cell-Power+Anti-Cellulite+Treatment&amp;qid=1695258879&amp;sr=8-2</v>
      </c>
      <c r="F1348" t="s">
        <v>2918</v>
      </c>
      <c r="G1348" t="e">
        <f ca="1">IMAGE("https://mbrstore.com/wp-content/uploads/2022/03/01604_AntiCelluliteTreatment_200ml-copy-460x460.jpg")</f>
        <v>#NAME?</v>
      </c>
      <c r="H1348" t="e">
        <f ca="1">IMAGE("https://m.media-amazon.com/images/I/61wJQSDnv2L._AC_UL320_.jpg")</f>
        <v>#NAME?</v>
      </c>
      <c r="I1348" t="s">
        <v>2919</v>
      </c>
      <c r="J1348">
        <v>12.78</v>
      </c>
      <c r="K1348" s="2" t="s">
        <v>2920</v>
      </c>
      <c r="L1348">
        <v>4.3</v>
      </c>
      <c r="M1348">
        <v>2617</v>
      </c>
      <c r="O1348" t="s">
        <v>26</v>
      </c>
      <c r="P1348" t="s">
        <v>39</v>
      </c>
      <c r="Q1348" t="s">
        <v>2921</v>
      </c>
    </row>
    <row r="1349" spans="1:17" ht="15.75" x14ac:dyDescent="0.25">
      <c r="A1349" s="3" t="str">
        <f>HYPERLINK("https://mbrstore.com/products/hair-scalp-shampoo/", "https://mbrstore.com/products/hair-scalp-shampoo/")</f>
        <v>https://mbrstore.com/products/hair-scalp-shampoo/</v>
      </c>
      <c r="B1349" s="3" t="str">
        <f>HYPERLINK("https://mbrstore.com/products/hair-scalp-shampoo/", "https://mbrstore.com/products/hair-scalp-shampoo/")</f>
        <v>https://mbrstore.com/products/hair-scalp-shampoo/</v>
      </c>
      <c r="C1349" t="s">
        <v>2815</v>
      </c>
      <c r="D1349" t="s">
        <v>2922</v>
      </c>
      <c r="E1349" s="3" t="str">
        <f>HYPERLINK("https://www.amazon.com/Yes-Naturals-Scalp-Relief-Shampoo/dp/B019HBMY9C/ref=sr_1_10?keywords=Hair+%26+Scalp+Shampoo&amp;qid=1695258876&amp;sr=8-10", "https://www.amazon.com/Yes-Naturals-Scalp-Relief-Shampoo/dp/B019HBMY9C/ref=sr_1_10?keywords=Hair+%26+Scalp+Shampoo&amp;qid=1695258876&amp;sr=8-10")</f>
        <v>https://www.amazon.com/Yes-Naturals-Scalp-Relief-Shampoo/dp/B019HBMY9C/ref=sr_1_10?keywords=Hair+%26+Scalp+Shampoo&amp;qid=1695258876&amp;sr=8-10</v>
      </c>
      <c r="F1349" t="s">
        <v>2923</v>
      </c>
      <c r="G1349" t="e">
        <f ca="1">IMAGE("https://mbrstore.com/wp-content/uploads/2022/03/01460_HairScalpShampoo_200ml-copy-460x460.jpg")</f>
        <v>#NAME?</v>
      </c>
      <c r="H1349" t="e">
        <f ca="1">IMAGE("https://m.media-amazon.com/images/I/61NBhjf9gYS._AC_UL320_.jpg")</f>
        <v>#NAME?</v>
      </c>
      <c r="I1349" t="s">
        <v>2581</v>
      </c>
      <c r="J1349">
        <v>11.49</v>
      </c>
      <c r="K1349" s="2" t="s">
        <v>2924</v>
      </c>
      <c r="L1349">
        <v>4.3</v>
      </c>
      <c r="M1349">
        <v>2524</v>
      </c>
      <c r="O1349" t="s">
        <v>26</v>
      </c>
      <c r="P1349" t="s">
        <v>39</v>
      </c>
      <c r="Q1349" t="s">
        <v>2819</v>
      </c>
    </row>
    <row r="1350" spans="1:17" ht="15.75" x14ac:dyDescent="0.25">
      <c r="A1350" s="3" t="str">
        <f>HYPERLINK("https://mbrstore.com/products/the-best-concentrate/", "https://mbrstore.com/products/the-best-concentrate/")</f>
        <v>https://mbrstore.com/products/the-best-concentrate/</v>
      </c>
      <c r="B1350" s="3" t="str">
        <f>HYPERLINK("https://mbrstore.com/products/the-best-concentrate/", "https://mbrstore.com/products/the-best-concentrate/")</f>
        <v>https://mbrstore.com/products/the-best-concentrate/</v>
      </c>
      <c r="C1350" t="s">
        <v>2453</v>
      </c>
      <c r="D1350" t="s">
        <v>2508</v>
      </c>
      <c r="E1350" s="3" t="str">
        <f>HYPERLINK("https://www.amazon.com/Westmore-Beauty-Tightening-Temporarily-Puffiness/dp/B07BYG7D2V/ref=sr_1_5?keywords=Effects&amp;qid=1695258891&amp;sr=8-5", "https://www.amazon.com/Westmore-Beauty-Tightening-Temporarily-Puffiness/dp/B07BYG7D2V/ref=sr_1_5?keywords=Effects&amp;qid=1695258891&amp;sr=8-5")</f>
        <v>https://www.amazon.com/Westmore-Beauty-Tightening-Temporarily-Puffiness/dp/B07BYG7D2V/ref=sr_1_5?keywords=Effects&amp;qid=1695258891&amp;sr=8-5</v>
      </c>
      <c r="F1350" t="s">
        <v>2509</v>
      </c>
      <c r="G1350" t="e">
        <f ca="1">IMAGE("https://mbrstore.com/wp-content/uploads/2022/03/01443_The_Best_Concentrate_15ml-copy-460x460.jpg")</f>
        <v>#NAME?</v>
      </c>
      <c r="H1350" t="e">
        <f ca="1">IMAGE("https://m.media-amazon.com/images/I/51YkzEMtyCL._AC_UL320_.jpg")</f>
        <v>#NAME?</v>
      </c>
      <c r="I1350" t="s">
        <v>2755</v>
      </c>
      <c r="J1350">
        <v>43.45</v>
      </c>
      <c r="K1350" s="2" t="s">
        <v>2925</v>
      </c>
      <c r="L1350">
        <v>3.6</v>
      </c>
      <c r="M1350">
        <v>1214</v>
      </c>
      <c r="O1350" t="s">
        <v>26</v>
      </c>
      <c r="P1350" t="s">
        <v>39</v>
      </c>
      <c r="Q1350" t="s">
        <v>2757</v>
      </c>
    </row>
    <row r="1351" spans="1:17" ht="15.75" x14ac:dyDescent="0.25">
      <c r="A1351" s="3" t="str">
        <f>HYPERLINK("https://mbrstore.com/products/gentle-moisturizing-gel/", "https://mbrstore.com/products/gentle-moisturizing-gel/")</f>
        <v>https://mbrstore.com/products/gentle-moisturizing-gel/</v>
      </c>
      <c r="B1351" s="3" t="str">
        <f>HYPERLINK("https://mbrstore.com/products/gentle-moisturizing-gel/", "https://mbrstore.com/products/gentle-moisturizing-gel/")</f>
        <v>https://mbrstore.com/products/gentle-moisturizing-gel/</v>
      </c>
      <c r="C1351" t="s">
        <v>2893</v>
      </c>
      <c r="D1351" t="s">
        <v>2926</v>
      </c>
      <c r="E1351" s="3" t="str">
        <f>HYPERLINK("https://www.amazon.com/Cleansing-Moisturizing-Smoothing-Exfoliating-Improving/dp/B08X2DWY1R/ref=sr_1_7?keywords=Gentle+Moisturizing+Gel&amp;qid=1695258891&amp;sr=8-7", "https://www.amazon.com/Cleansing-Moisturizing-Smoothing-Exfoliating-Improving/dp/B08X2DWY1R/ref=sr_1_7?keywords=Gentle+Moisturizing+Gel&amp;qid=1695258891&amp;sr=8-7")</f>
        <v>https://www.amazon.com/Cleansing-Moisturizing-Smoothing-Exfoliating-Improving/dp/B08X2DWY1R/ref=sr_1_7?keywords=Gentle+Moisturizing+Gel&amp;qid=1695258891&amp;sr=8-7</v>
      </c>
      <c r="F1351" t="s">
        <v>2927</v>
      </c>
      <c r="G1351" t="e">
        <f ca="1">IMAGE("https://mbrstore.com/wp-content/uploads/2022/03/01226_GentleMoisturizingGel_30ml-copy-460x460.jpg")</f>
        <v>#NAME?</v>
      </c>
      <c r="H1351" t="e">
        <f ca="1">IMAGE("https://m.media-amazon.com/images/I/51BX4EvYxSL._AC_UL320_.jpg")</f>
        <v>#NAME?</v>
      </c>
      <c r="I1351" t="s">
        <v>2896</v>
      </c>
      <c r="J1351">
        <v>6.99</v>
      </c>
      <c r="K1351" s="2" t="s">
        <v>2928</v>
      </c>
      <c r="L1351">
        <v>3.6</v>
      </c>
      <c r="M1351">
        <v>185</v>
      </c>
      <c r="O1351" t="s">
        <v>26</v>
      </c>
      <c r="P1351" t="s">
        <v>39</v>
      </c>
      <c r="Q1351" t="s">
        <v>2898</v>
      </c>
    </row>
    <row r="1352" spans="1:17" ht="15.75" x14ac:dyDescent="0.25">
      <c r="A1352" s="3" t="str">
        <f>HYPERLINK("https://mbrstore.com/products/hair-scalp-shampoo/", "https://mbrstore.com/products/hair-scalp-shampoo/")</f>
        <v>https://mbrstore.com/products/hair-scalp-shampoo/</v>
      </c>
      <c r="B1352" s="3" t="str">
        <f>HYPERLINK("https://mbrstore.com/products/hair-scalp-shampoo/", "https://mbrstore.com/products/hair-scalp-shampoo/")</f>
        <v>https://mbrstore.com/products/hair-scalp-shampoo/</v>
      </c>
      <c r="C1352" t="s">
        <v>2815</v>
      </c>
      <c r="D1352" t="s">
        <v>2929</v>
      </c>
      <c r="E1352" s="3" t="str">
        <f>HYPERLINK("https://www.amazon.com/LOreal-Paris-EverPure-Sulfate-Shampoo/dp/B0882JHCTC/ref=sr_1_7?keywords=Hair+%26+Scalp+Shampoo&amp;qid=1695258876&amp;sr=8-7", "https://www.amazon.com/LOreal-Paris-EverPure-Sulfate-Shampoo/dp/B0882JHCTC/ref=sr_1_7?keywords=Hair+%26+Scalp+Shampoo&amp;qid=1695258876&amp;sr=8-7")</f>
        <v>https://www.amazon.com/LOreal-Paris-EverPure-Sulfate-Shampoo/dp/B0882JHCTC/ref=sr_1_7?keywords=Hair+%26+Scalp+Shampoo&amp;qid=1695258876&amp;sr=8-7</v>
      </c>
      <c r="F1352" t="s">
        <v>2930</v>
      </c>
      <c r="G1352" t="e">
        <f ca="1">IMAGE("https://mbrstore.com/wp-content/uploads/2022/03/01460_HairScalpShampoo_200ml-copy-460x460.jpg")</f>
        <v>#NAME?</v>
      </c>
      <c r="H1352" t="e">
        <f ca="1">IMAGE("https://m.media-amazon.com/images/I/71ckzP-dR5L._AC_UL320_.jpg")</f>
        <v>#NAME?</v>
      </c>
      <c r="I1352" t="s">
        <v>2581</v>
      </c>
      <c r="J1352">
        <v>9.99</v>
      </c>
      <c r="K1352" s="2" t="s">
        <v>99</v>
      </c>
      <c r="L1352">
        <v>4.5</v>
      </c>
      <c r="M1352">
        <v>1602</v>
      </c>
      <c r="O1352" t="s">
        <v>26</v>
      </c>
      <c r="P1352" t="s">
        <v>39</v>
      </c>
      <c r="Q1352" t="s">
        <v>2819</v>
      </c>
    </row>
    <row r="1353" spans="1:17" ht="15.75" x14ac:dyDescent="0.25">
      <c r="A1353" s="3" t="str">
        <f>HYPERLINK("https://mbrstore.com/products/the-best-body/", "https://mbrstore.com/products/the-best-body/")</f>
        <v>https://mbrstore.com/products/the-best-body/</v>
      </c>
      <c r="B1353" s="3" t="str">
        <f>HYPERLINK("https://mbrstore.com/products/the-best-body/", "https://mbrstore.com/products/the-best-body/")</f>
        <v>https://mbrstore.com/products/the-best-body/</v>
      </c>
      <c r="C1353" t="s">
        <v>2453</v>
      </c>
      <c r="D1353" t="s">
        <v>2515</v>
      </c>
      <c r="E1353" s="3" t="str">
        <f>HYPERLINK("https://www.amazon.com/Crest-Professional-Whitestrips-Whitening-Treatments/dp/B00AHAWWO0/ref=sr_1_10?keywords=Effects&amp;qid=1695258871&amp;sr=8-10", "https://www.amazon.com/Crest-Professional-Whitestrips-Whitening-Treatments/dp/B00AHAWWO0/ref=sr_1_10?keywords=Effects&amp;qid=1695258871&amp;sr=8-10")</f>
        <v>https://www.amazon.com/Crest-Professional-Whitestrips-Whitening-Treatments/dp/B00AHAWWO0/ref=sr_1_10?keywords=Effects&amp;qid=1695258871&amp;sr=8-10</v>
      </c>
      <c r="F1353" t="s">
        <v>2516</v>
      </c>
      <c r="G1353" t="e">
        <f ca="1">IMAGE("https://mbrstore.com/wp-content/uploads/2022/03/01441_Mask_TheBestBody_150ml-copy-460x460.jpg")</f>
        <v>#NAME?</v>
      </c>
      <c r="H1353" t="e">
        <f ca="1">IMAGE("https://m.media-amazon.com/images/I/61IylKAap-L._AC_UL320_.jpg")</f>
        <v>#NAME?</v>
      </c>
      <c r="I1353" t="s">
        <v>2806</v>
      </c>
      <c r="J1353">
        <v>45.99</v>
      </c>
      <c r="K1353" s="2" t="s">
        <v>106</v>
      </c>
      <c r="L1353">
        <v>4.5999999999999996</v>
      </c>
      <c r="M1353">
        <v>112972</v>
      </c>
      <c r="O1353" t="s">
        <v>26</v>
      </c>
      <c r="P1353" t="s">
        <v>39</v>
      </c>
      <c r="Q1353" t="s">
        <v>2808</v>
      </c>
    </row>
    <row r="1354" spans="1:17" ht="15.75" x14ac:dyDescent="0.25">
      <c r="A1354" s="3" t="str">
        <f>HYPERLINK("https://mbrstore.com/products/the-best-body/", "https://mbrstore.com/products/the-best-body/")</f>
        <v>https://mbrstore.com/products/the-best-body/</v>
      </c>
      <c r="B1354" s="3" t="str">
        <f>HYPERLINK("https://mbrstore.com/products/the-best-body/", "https://mbrstore.com/products/the-best-body/")</f>
        <v>https://mbrstore.com/products/the-best-body/</v>
      </c>
      <c r="C1354" t="s">
        <v>2453</v>
      </c>
      <c r="D1354" t="s">
        <v>2508</v>
      </c>
      <c r="E1354" s="3" t="str">
        <f>HYPERLINK("https://www.amazon.com/Westmore-Beauty-Tightening-Temporarily-Puffiness/dp/B07BYG7D2V/ref=sr_1_5?keywords=Effects&amp;qid=1695258871&amp;sr=8-5", "https://www.amazon.com/Westmore-Beauty-Tightening-Temporarily-Puffiness/dp/B07BYG7D2V/ref=sr_1_5?keywords=Effects&amp;qid=1695258871&amp;sr=8-5")</f>
        <v>https://www.amazon.com/Westmore-Beauty-Tightening-Temporarily-Puffiness/dp/B07BYG7D2V/ref=sr_1_5?keywords=Effects&amp;qid=1695258871&amp;sr=8-5</v>
      </c>
      <c r="F1354" t="s">
        <v>2509</v>
      </c>
      <c r="G1354" t="e">
        <f ca="1">IMAGE("https://mbrstore.com/wp-content/uploads/2022/03/01441_Mask_TheBestBody_150ml-copy-460x460.jpg")</f>
        <v>#NAME?</v>
      </c>
      <c r="H1354" t="e">
        <f ca="1">IMAGE("https://m.media-amazon.com/images/I/51YkzEMtyCL._AC_UL320_.jpg")</f>
        <v>#NAME?</v>
      </c>
      <c r="I1354" t="s">
        <v>2806</v>
      </c>
      <c r="J1354">
        <v>43.75</v>
      </c>
      <c r="K1354" s="2" t="s">
        <v>2931</v>
      </c>
      <c r="L1354">
        <v>3.6</v>
      </c>
      <c r="M1354">
        <v>1214</v>
      </c>
      <c r="O1354" t="s">
        <v>26</v>
      </c>
      <c r="P1354" t="s">
        <v>39</v>
      </c>
      <c r="Q1354" t="s">
        <v>2808</v>
      </c>
    </row>
    <row r="1355" spans="1:17" ht="15.75" x14ac:dyDescent="0.25">
      <c r="A1355" s="3" t="str">
        <f>HYPERLINK("https://mbrstore.com/products/the-best-concentrate-cure/", "https://mbrstore.com/products/the-best-concentrate-cure/")</f>
        <v>https://mbrstore.com/products/the-best-concentrate-cure/</v>
      </c>
      <c r="B1355" s="3" t="str">
        <f>HYPERLINK("https://mbrstore.com/products/the-best-concentrate-cure/", "https://mbrstore.com/products/the-best-concentrate-cure/")</f>
        <v>https://mbrstore.com/products/the-best-concentrate-cure/</v>
      </c>
      <c r="C1355" t="s">
        <v>2453</v>
      </c>
      <c r="D1355" t="s">
        <v>2458</v>
      </c>
      <c r="E1355" s="3" t="str">
        <f>HYPERLINK("https://www.amazon.com/Fender-Mustang-LT-25-Digital-Amplifier/dp/B07N29M92M/ref=sr_1_8?keywords=Effects&amp;qid=1695258892&amp;sr=8-8", "https://www.amazon.com/Fender-Mustang-LT-25-Digital-Amplifier/dp/B07N29M92M/ref=sr_1_8?keywords=Effects&amp;qid=1695258892&amp;sr=8-8")</f>
        <v>https://www.amazon.com/Fender-Mustang-LT-25-Digital-Amplifier/dp/B07N29M92M/ref=sr_1_8?keywords=Effects&amp;qid=1695258892&amp;sr=8-8</v>
      </c>
      <c r="F1355" t="s">
        <v>2459</v>
      </c>
      <c r="G1355" t="e">
        <f ca="1">IMAGE("https://mbrstore.com/wp-content/uploads/2022/03/01421_THEBESTConcentratex6-460x460.jpg")</f>
        <v>#NAME?</v>
      </c>
      <c r="H1355" t="e">
        <f ca="1">IMAGE("https://m.media-amazon.com/images/I/81oKmWyFJPL._AC_UL320_.jpg")</f>
        <v>#NAME?</v>
      </c>
      <c r="I1355" t="s">
        <v>2880</v>
      </c>
      <c r="J1355">
        <v>159.99</v>
      </c>
      <c r="K1355" s="2" t="s">
        <v>2932</v>
      </c>
      <c r="L1355">
        <v>4.8</v>
      </c>
      <c r="M1355">
        <v>3110</v>
      </c>
      <c r="O1355" t="s">
        <v>26</v>
      </c>
      <c r="P1355" t="s">
        <v>39</v>
      </c>
      <c r="Q1355" t="s">
        <v>2882</v>
      </c>
    </row>
    <row r="1356" spans="1:17" ht="15.75" x14ac:dyDescent="0.25">
      <c r="A1356" s="3" t="str">
        <f>HYPERLINK("https://mbrstore.com/products/hair-scalp-shampoo/", "https://mbrstore.com/products/hair-scalp-shampoo/")</f>
        <v>https://mbrstore.com/products/hair-scalp-shampoo/</v>
      </c>
      <c r="B1356" s="3" t="str">
        <f>HYPERLINK("https://mbrstore.com/products/hair-scalp-shampoo/", "https://mbrstore.com/products/hair-scalp-shampoo/")</f>
        <v>https://mbrstore.com/products/hair-scalp-shampoo/</v>
      </c>
      <c r="C1356" t="s">
        <v>2815</v>
      </c>
      <c r="D1356" t="s">
        <v>2933</v>
      </c>
      <c r="E1356" s="3" t="str">
        <f>HYPERLINK("https://www.amazon.com/Aveeno-Farm-Fresh-Sulfate-Free-Moisturizing-Color-Treated/dp/B07HMJTH7G/ref=sr_1_6?keywords=Hair+%26+Scalp+Shampoo&amp;qid=1695258876&amp;sr=8-6", "https://www.amazon.com/Aveeno-Farm-Fresh-Sulfate-Free-Moisturizing-Color-Treated/dp/B07HMJTH7G/ref=sr_1_6?keywords=Hair+%26+Scalp+Shampoo&amp;qid=1695258876&amp;sr=8-6")</f>
        <v>https://www.amazon.com/Aveeno-Farm-Fresh-Sulfate-Free-Moisturizing-Color-Treated/dp/B07HMJTH7G/ref=sr_1_6?keywords=Hair+%26+Scalp+Shampoo&amp;qid=1695258876&amp;sr=8-6</v>
      </c>
      <c r="F1356" t="s">
        <v>2934</v>
      </c>
      <c r="G1356" t="e">
        <f ca="1">IMAGE("https://mbrstore.com/wp-content/uploads/2022/03/01460_HairScalpShampoo_200ml-copy-460x460.jpg")</f>
        <v>#NAME?</v>
      </c>
      <c r="H1356" t="e">
        <f ca="1">IMAGE("https://m.media-amazon.com/images/I/51cLKVR4lFL._AC_UL320_.jpg")</f>
        <v>#NAME?</v>
      </c>
      <c r="I1356" t="s">
        <v>2581</v>
      </c>
      <c r="J1356">
        <v>7.98</v>
      </c>
      <c r="K1356" s="2" t="s">
        <v>2935</v>
      </c>
      <c r="L1356">
        <v>4.5</v>
      </c>
      <c r="M1356">
        <v>6539</v>
      </c>
      <c r="O1356" t="s">
        <v>26</v>
      </c>
      <c r="P1356" t="s">
        <v>39</v>
      </c>
      <c r="Q1356" t="s">
        <v>2819</v>
      </c>
    </row>
    <row r="1357" spans="1:17" ht="15.75" x14ac:dyDescent="0.25">
      <c r="A1357" s="3" t="str">
        <f>HYPERLINK("https://mbrstore.com/products/the-best-night-mask/", "https://mbrstore.com/products/the-best-night-mask/")</f>
        <v>https://mbrstore.com/products/the-best-night-mask/</v>
      </c>
      <c r="B1357" s="3" t="str">
        <f>HYPERLINK("https://mbrstore.com/products/the-best-night-mask/", "https://mbrstore.com/products/the-best-night-mask/")</f>
        <v>https://mbrstore.com/products/the-best-night-mask/</v>
      </c>
      <c r="C1357" t="s">
        <v>2453</v>
      </c>
      <c r="D1357" t="s">
        <v>2508</v>
      </c>
      <c r="E1357" s="3" t="str">
        <f>HYPERLINK("https://www.amazon.com/Westmore-Beauty-Tightening-Temporarily-Puffiness/dp/B07BYG7D2V/ref=sr_1_8?keywords=Effects&amp;qid=1695258896&amp;sr=8-8", "https://www.amazon.com/Westmore-Beauty-Tightening-Temporarily-Puffiness/dp/B07BYG7D2V/ref=sr_1_8?keywords=Effects&amp;qid=1695258896&amp;sr=8-8")</f>
        <v>https://www.amazon.com/Westmore-Beauty-Tightening-Temporarily-Puffiness/dp/B07BYG7D2V/ref=sr_1_8?keywords=Effects&amp;qid=1695258896&amp;sr=8-8</v>
      </c>
      <c r="F1357" t="s">
        <v>2509</v>
      </c>
      <c r="G1357" t="e">
        <f ca="1">IMAGE("https://mbrstore.com/wp-content/uploads/2022/03/01431_TheBest_Night_Mask_100ml-copy-460x460.jpg")</f>
        <v>#NAME?</v>
      </c>
      <c r="H1357" t="e">
        <f ca="1">IMAGE("https://m.media-amazon.com/images/I/51YkzEMtyCL._AC_UL320_.jpg")</f>
        <v>#NAME?</v>
      </c>
      <c r="I1357" t="s">
        <v>2712</v>
      </c>
      <c r="J1357">
        <v>43.45</v>
      </c>
      <c r="K1357" s="2" t="s">
        <v>118</v>
      </c>
      <c r="L1357">
        <v>3.6</v>
      </c>
      <c r="M1357">
        <v>1214</v>
      </c>
      <c r="O1357" t="s">
        <v>26</v>
      </c>
      <c r="P1357" t="s">
        <v>39</v>
      </c>
      <c r="Q1357" t="s">
        <v>2714</v>
      </c>
    </row>
    <row r="1358" spans="1:17" ht="15.75" x14ac:dyDescent="0.25">
      <c r="A1358" s="3" t="str">
        <f>HYPERLINK("https://mbrstore.com/products/after-sun-cream-mask/", "https://mbrstore.com/products/after-sun-cream-mask/")</f>
        <v>https://mbrstore.com/products/after-sun-cream-mask/</v>
      </c>
      <c r="B1358" s="3" t="str">
        <f>HYPERLINK("https://mbrstore.com/products/after-sun-cream-mask/", "https://mbrstore.com/products/after-sun-cream-mask/")</f>
        <v>https://mbrstore.com/products/after-sun-cream-mask/</v>
      </c>
      <c r="C1358" t="s">
        <v>2453</v>
      </c>
      <c r="D1358" t="s">
        <v>2877</v>
      </c>
      <c r="E1358" s="3" t="str">
        <f>HYPERLINK("https://www.amazon.com/Schick-Effects-Razor-Blade-Refills/dp/B001KYRZ8A/ref=sr_1_3?keywords=Effects&amp;qid=1695258889&amp;sr=8-3", "https://www.amazon.com/Schick-Effects-Razor-Blade-Refills/dp/B001KYRZ8A/ref=sr_1_3?keywords=Effects&amp;qid=1695258889&amp;sr=8-3")</f>
        <v>https://www.amazon.com/Schick-Effects-Razor-Blade-Refills/dp/B001KYRZ8A/ref=sr_1_3?keywords=Effects&amp;qid=1695258889&amp;sr=8-3</v>
      </c>
      <c r="F1358" t="s">
        <v>2878</v>
      </c>
      <c r="G1358" t="e">
        <f ca="1">IMAGE("https://mbrstore.com/wp-content/uploads/2023/05/01834_AfterSunCreamMask_100ml-460x460.png")</f>
        <v>#NAME?</v>
      </c>
      <c r="H1358" t="e">
        <f ca="1">IMAGE("https://m.media-amazon.com/images/I/91fxNU5u5EL._AC_UL320_.jpg")</f>
        <v>#NAME?</v>
      </c>
      <c r="I1358" t="s">
        <v>2601</v>
      </c>
      <c r="J1358">
        <v>8.26</v>
      </c>
      <c r="K1358" s="2" t="s">
        <v>153</v>
      </c>
      <c r="L1358">
        <v>4.8</v>
      </c>
      <c r="M1358">
        <v>2434</v>
      </c>
      <c r="O1358" t="s">
        <v>26</v>
      </c>
      <c r="P1358" t="s">
        <v>39</v>
      </c>
      <c r="Q1358" t="s">
        <v>2644</v>
      </c>
    </row>
    <row r="1359" spans="1:17" ht="15.75" x14ac:dyDescent="0.25">
      <c r="A1359" s="3" t="str">
        <f>HYPERLINK("https://mbrstore.com/products/hair-scalp-shampoo/", "https://mbrstore.com/products/hair-scalp-shampoo/")</f>
        <v>https://mbrstore.com/products/hair-scalp-shampoo/</v>
      </c>
      <c r="B1359" s="3" t="str">
        <f>HYPERLINK("https://mbrstore.com/products/hair-scalp-shampoo/", "https://mbrstore.com/products/hair-scalp-shampoo/")</f>
        <v>https://mbrstore.com/products/hair-scalp-shampoo/</v>
      </c>
      <c r="C1359" t="s">
        <v>2815</v>
      </c>
      <c r="D1359" t="s">
        <v>2936</v>
      </c>
      <c r="E1359" s="3" t="str">
        <f>HYPERLINK("https://www.amazon.com/OGX-Invigorating-Paraben-Free-Sulfate-Free-Surfactants/dp/B076S6KMY9/ref=sr_1_1?keywords=Hair+%26+Scalp+Shampoo&amp;qid=1695258876&amp;sr=8-1", "https://www.amazon.com/OGX-Invigorating-Paraben-Free-Sulfate-Free-Surfactants/dp/B076S6KMY9/ref=sr_1_1?keywords=Hair+%26+Scalp+Shampoo&amp;qid=1695258876&amp;sr=8-1")</f>
        <v>https://www.amazon.com/OGX-Invigorating-Paraben-Free-Sulfate-Free-Surfactants/dp/B076S6KMY9/ref=sr_1_1?keywords=Hair+%26+Scalp+Shampoo&amp;qid=1695258876&amp;sr=8-1</v>
      </c>
      <c r="F1359" t="s">
        <v>2937</v>
      </c>
      <c r="G1359" t="e">
        <f ca="1">IMAGE("https://mbrstore.com/wp-content/uploads/2022/03/01460_HairScalpShampoo_200ml-copy-460x460.jpg")</f>
        <v>#NAME?</v>
      </c>
      <c r="H1359" t="e">
        <f ca="1">IMAGE("https://m.media-amazon.com/images/I/71ZdAOm4MFL._AC_UL320_.jpg")</f>
        <v>#NAME?</v>
      </c>
      <c r="I1359" t="s">
        <v>2581</v>
      </c>
      <c r="J1359">
        <v>7</v>
      </c>
      <c r="K1359" s="2" t="s">
        <v>176</v>
      </c>
      <c r="L1359">
        <v>4.5</v>
      </c>
      <c r="M1359">
        <v>12847</v>
      </c>
      <c r="O1359" t="s">
        <v>26</v>
      </c>
      <c r="P1359" t="s">
        <v>39</v>
      </c>
      <c r="Q1359" t="s">
        <v>2819</v>
      </c>
    </row>
    <row r="1360" spans="1:17" ht="15.75" x14ac:dyDescent="0.25">
      <c r="A1360" s="3" t="str">
        <f>HYPERLINK("https://mbrstore.com/products/the-best-eye/", "https://mbrstore.com/products/the-best-eye/")</f>
        <v>https://mbrstore.com/products/the-best-eye/</v>
      </c>
      <c r="B1360" s="3" t="str">
        <f>HYPERLINK("https://mbrstore.com/products/the-best-eye/", "https://mbrstore.com/products/the-best-eye/")</f>
        <v>https://mbrstore.com/products/the-best-eye/</v>
      </c>
      <c r="C1360" t="s">
        <v>2453</v>
      </c>
      <c r="D1360" t="s">
        <v>2508</v>
      </c>
      <c r="E1360" s="3" t="str">
        <f>HYPERLINK("https://www.amazon.com/Westmore-Beauty-Tightening-Temporarily-Puffiness/dp/B07BYG7D2V/ref=sr_1_9?keywords=Effects&amp;qid=1695258881&amp;sr=8-9", "https://www.amazon.com/Westmore-Beauty-Tightening-Temporarily-Puffiness/dp/B07BYG7D2V/ref=sr_1_9?keywords=Effects&amp;qid=1695258881&amp;sr=8-9")</f>
        <v>https://www.amazon.com/Westmore-Beauty-Tightening-Temporarily-Puffiness/dp/B07BYG7D2V/ref=sr_1_9?keywords=Effects&amp;qid=1695258881&amp;sr=8-9</v>
      </c>
      <c r="F1360" t="s">
        <v>2509</v>
      </c>
      <c r="G1360" t="e">
        <f ca="1">IMAGE("https://mbrstore.com/wp-content/uploads/2022/03/01444_TheBestEye_30ml-copy-460x460.jpg")</f>
        <v>#NAME?</v>
      </c>
      <c r="H1360" t="e">
        <f ca="1">IMAGE("https://m.media-amazon.com/images/I/51YkzEMtyCL._AC_UL320_.jpg")</f>
        <v>#NAME?</v>
      </c>
      <c r="I1360" t="s">
        <v>2839</v>
      </c>
      <c r="J1360">
        <v>43.45</v>
      </c>
      <c r="K1360" s="2" t="s">
        <v>2938</v>
      </c>
      <c r="L1360">
        <v>3.6</v>
      </c>
      <c r="M1360">
        <v>1214</v>
      </c>
      <c r="O1360" t="s">
        <v>26</v>
      </c>
      <c r="P1360" t="s">
        <v>39</v>
      </c>
      <c r="Q1360" t="s">
        <v>2841</v>
      </c>
    </row>
    <row r="1361" spans="1:17" ht="15.75" x14ac:dyDescent="0.25">
      <c r="A1361" s="3" t="str">
        <f>HYPERLINK("https://mbrstore.com/products/hair-scalp-shampoo/", "https://mbrstore.com/products/hair-scalp-shampoo/")</f>
        <v>https://mbrstore.com/products/hair-scalp-shampoo/</v>
      </c>
      <c r="B1361" s="3" t="str">
        <f>HYPERLINK("https://mbrstore.com/products/hair-scalp-shampoo/", "https://mbrstore.com/products/hair-scalp-shampoo/")</f>
        <v>https://mbrstore.com/products/hair-scalp-shampoo/</v>
      </c>
      <c r="C1361" t="s">
        <v>2815</v>
      </c>
      <c r="D1361" t="s">
        <v>2939</v>
      </c>
      <c r="E1361" s="3" t="str">
        <f>HYPERLINK("https://www.amazon.com/OGX-Invigorating-Paraben-Free-Sulfate-Free-Surfactants/dp/B000TGC8D2/ref=sr_1_8?keywords=Hair+%26+Scalp+Shampoo&amp;qid=1695258876&amp;sr=8-8", "https://www.amazon.com/OGX-Invigorating-Paraben-Free-Sulfate-Free-Surfactants/dp/B000TGC8D2/ref=sr_1_8?keywords=Hair+%26+Scalp+Shampoo&amp;qid=1695258876&amp;sr=8-8")</f>
        <v>https://www.amazon.com/OGX-Invigorating-Paraben-Free-Sulfate-Free-Surfactants/dp/B000TGC8D2/ref=sr_1_8?keywords=Hair+%26+Scalp+Shampoo&amp;qid=1695258876&amp;sr=8-8</v>
      </c>
      <c r="F1361" t="s">
        <v>2940</v>
      </c>
      <c r="G1361" t="e">
        <f ca="1">IMAGE("https://mbrstore.com/wp-content/uploads/2022/03/01460_HairScalpShampoo_200ml-copy-460x460.jpg")</f>
        <v>#NAME?</v>
      </c>
      <c r="H1361" t="e">
        <f ca="1">IMAGE("https://m.media-amazon.com/images/I/71leJdX+TqL._AC_UL320_.jpg")</f>
        <v>#NAME?</v>
      </c>
      <c r="I1361" t="s">
        <v>2581</v>
      </c>
      <c r="J1361">
        <v>6.62</v>
      </c>
      <c r="K1361" s="2" t="s">
        <v>2941</v>
      </c>
      <c r="L1361">
        <v>4.5</v>
      </c>
      <c r="M1361">
        <v>12546</v>
      </c>
      <c r="O1361" t="s">
        <v>26</v>
      </c>
      <c r="P1361" t="s">
        <v>39</v>
      </c>
      <c r="Q1361" t="s">
        <v>2819</v>
      </c>
    </row>
    <row r="1362" spans="1:17" ht="15.75" x14ac:dyDescent="0.25">
      <c r="A1362" s="3" t="str">
        <f>HYPERLINK("https://mbrstore.com/products/vitamin-c-power-cure/", "https://mbrstore.com/products/vitamin-c-power-cure/")</f>
        <v>https://mbrstore.com/products/vitamin-c-power-cure/</v>
      </c>
      <c r="B1362" s="3" t="str">
        <f>HYPERLINK("https://mbrstore.com/products/vitamin-c-power-cure/", "https://mbrstore.com/products/vitamin-c-power-cure/")</f>
        <v>https://mbrstore.com/products/vitamin-c-power-cure/</v>
      </c>
      <c r="C1362" t="s">
        <v>2453</v>
      </c>
      <c r="D1362" t="s">
        <v>2744</v>
      </c>
      <c r="E1362" s="3" t="str">
        <f>HYPERLINK("https://www.amazon.com/Moisturizer-Olay-Effects-Mature-Therapy/dp/B0012J30KU/ref=sr_1_9?keywords=Effects&amp;qid=1695258892&amp;sr=8-9", "https://www.amazon.com/Moisturizer-Olay-Effects-Mature-Therapy/dp/B0012J30KU/ref=sr_1_9?keywords=Effects&amp;qid=1695258892&amp;sr=8-9")</f>
        <v>https://www.amazon.com/Moisturizer-Olay-Effects-Mature-Therapy/dp/B0012J30KU/ref=sr_1_9?keywords=Effects&amp;qid=1695258892&amp;sr=8-9</v>
      </c>
      <c r="F1362" t="s">
        <v>2745</v>
      </c>
      <c r="G1362" t="e">
        <f ca="1">IMAGE("https://mbrstore.com/wp-content/uploads/2022/03/01243_VitaminCPowerCure_Set-460x460.jpg")</f>
        <v>#NAME?</v>
      </c>
      <c r="H1362" t="e">
        <f ca="1">IMAGE("https://m.media-amazon.com/images/I/71VBUUX+vsL._AC_UL320_.jpg")</f>
        <v>#NAME?</v>
      </c>
      <c r="I1362" t="s">
        <v>2773</v>
      </c>
      <c r="J1362">
        <v>21</v>
      </c>
      <c r="K1362" s="2" t="s">
        <v>2942</v>
      </c>
      <c r="L1362">
        <v>4.5999999999999996</v>
      </c>
      <c r="M1362">
        <v>2860</v>
      </c>
      <c r="O1362" t="s">
        <v>26</v>
      </c>
      <c r="P1362" t="s">
        <v>39</v>
      </c>
      <c r="Q1362" t="s">
        <v>2775</v>
      </c>
    </row>
    <row r="1363" spans="1:17" ht="15.75" x14ac:dyDescent="0.25">
      <c r="A1363" s="3" t="str">
        <f>HYPERLINK("https://mbrstore.com/products/the-best-concentrate-cure/", "https://mbrstore.com/products/the-best-concentrate-cure/")</f>
        <v>https://mbrstore.com/products/the-best-concentrate-cure/</v>
      </c>
      <c r="B1363" s="3" t="str">
        <f>HYPERLINK("https://mbrstore.com/products/the-best-concentrate-cure/", "https://mbrstore.com/products/the-best-concentrate-cure/")</f>
        <v>https://mbrstore.com/products/the-best-concentrate-cure/</v>
      </c>
      <c r="C1363" t="s">
        <v>2453</v>
      </c>
      <c r="D1363" t="s">
        <v>2464</v>
      </c>
      <c r="E1363" s="3" t="str">
        <f>HYPERLINK("https://www.amazon.com/Zoom-Electric-Guitar-G1X-FOUR/dp/B07MZPR5GP/ref=sr_1_4?keywords=Effects&amp;qid=1695258892&amp;sr=8-4", "https://www.amazon.com/Zoom-Electric-Guitar-G1X-FOUR/dp/B07MZPR5GP/ref=sr_1_4?keywords=Effects&amp;qid=1695258892&amp;sr=8-4")</f>
        <v>https://www.amazon.com/Zoom-Electric-Guitar-G1X-FOUR/dp/B07MZPR5GP/ref=sr_1_4?keywords=Effects&amp;qid=1695258892&amp;sr=8-4</v>
      </c>
      <c r="F1363" t="s">
        <v>2465</v>
      </c>
      <c r="G1363" t="e">
        <f ca="1">IMAGE("https://mbrstore.com/wp-content/uploads/2022/03/01421_THEBESTConcentratex6-460x460.jpg")</f>
        <v>#NAME?</v>
      </c>
      <c r="H1363" t="e">
        <f ca="1">IMAGE("https://m.media-amazon.com/images/I/81lPUPAo-SL._AC_UL320_.jpg")</f>
        <v>#NAME?</v>
      </c>
      <c r="I1363" t="s">
        <v>2880</v>
      </c>
      <c r="J1363">
        <v>119.99</v>
      </c>
      <c r="K1363" s="2" t="s">
        <v>2943</v>
      </c>
      <c r="L1363">
        <v>4.5</v>
      </c>
      <c r="M1363">
        <v>6902</v>
      </c>
      <c r="O1363" t="s">
        <v>26</v>
      </c>
      <c r="P1363" t="s">
        <v>39</v>
      </c>
      <c r="Q1363" t="s">
        <v>2882</v>
      </c>
    </row>
    <row r="1364" spans="1:17" ht="15.75" x14ac:dyDescent="0.25">
      <c r="A1364" s="3" t="str">
        <f>HYPERLINK("https://mbrstore.com/products/the-best-face/", "https://mbrstore.com/products/the-best-face/")</f>
        <v>https://mbrstore.com/products/the-best-face/</v>
      </c>
      <c r="B1364" s="3" t="str">
        <f>HYPERLINK("https://mbrstore.com/products/the-best-face/", "https://mbrstore.com/products/the-best-face/")</f>
        <v>https://mbrstore.com/products/the-best-face/</v>
      </c>
      <c r="C1364" t="s">
        <v>2453</v>
      </c>
      <c r="D1364" t="s">
        <v>2504</v>
      </c>
      <c r="E1364" s="3" t="str">
        <f>HYPERLINK("https://www.amazon.com/Clinical-Effects-Multi-Collagen-Supplement-Quality-Sourced/dp/B085F3PSPB/ref=sr_1_10?keywords=Effects&amp;qid=1695258892&amp;rdc=1&amp;sr=8-10", "https://www.amazon.com/Clinical-Effects-Multi-Collagen-Supplement-Quality-Sourced/dp/B085F3PSPB/ref=sr_1_10?keywords=Effects&amp;qid=1695258892&amp;rdc=1&amp;sr=8-10")</f>
        <v>https://www.amazon.com/Clinical-Effects-Multi-Collagen-Supplement-Quality-Sourced/dp/B085F3PSPB/ref=sr_1_10?keywords=Effects&amp;qid=1695258892&amp;rdc=1&amp;sr=8-10</v>
      </c>
      <c r="F1364" t="s">
        <v>2505</v>
      </c>
      <c r="G1364" t="e">
        <f ca="1">IMAGE("https://mbrstore.com/wp-content/uploads/2022/03/01440_TheBest_Face_50ml-copy-460x460.jpg")</f>
        <v>#NAME?</v>
      </c>
      <c r="H1364" t="e">
        <f ca="1">IMAGE("https://m.media-amazon.com/images/I/71YnIfUehJS._AC_UL320_.jpg")</f>
        <v>#NAME?</v>
      </c>
      <c r="I1364" t="s">
        <v>2864</v>
      </c>
      <c r="J1364">
        <v>43.95</v>
      </c>
      <c r="K1364" s="2" t="s">
        <v>2944</v>
      </c>
      <c r="L1364">
        <v>4.2</v>
      </c>
      <c r="M1364">
        <v>468</v>
      </c>
      <c r="O1364" t="s">
        <v>26</v>
      </c>
      <c r="P1364" t="s">
        <v>39</v>
      </c>
      <c r="Q1364" t="s">
        <v>2866</v>
      </c>
    </row>
    <row r="1365" spans="1:17" ht="15.75" x14ac:dyDescent="0.25">
      <c r="A1365" s="3" t="str">
        <f>HYPERLINK("https://mbrstore.com/products/the-best-face/", "https://mbrstore.com/products/the-best-face/")</f>
        <v>https://mbrstore.com/products/the-best-face/</v>
      </c>
      <c r="B1365" s="3" t="str">
        <f>HYPERLINK("https://mbrstore.com/products/the-best-face/", "https://mbrstore.com/products/the-best-face/")</f>
        <v>https://mbrstore.com/products/the-best-face/</v>
      </c>
      <c r="C1365" t="s">
        <v>2453</v>
      </c>
      <c r="D1365" t="s">
        <v>2508</v>
      </c>
      <c r="E1365" s="3" t="str">
        <f>HYPERLINK("https://www.amazon.com/Westmore-Beauty-Tightening-Temporarily-Puffiness/dp/B07BYG7D2V/ref=sr_1_5?keywords=Effects&amp;qid=1695258892&amp;sr=8-5", "https://www.amazon.com/Westmore-Beauty-Tightening-Temporarily-Puffiness/dp/B07BYG7D2V/ref=sr_1_5?keywords=Effects&amp;qid=1695258892&amp;sr=8-5")</f>
        <v>https://www.amazon.com/Westmore-Beauty-Tightening-Temporarily-Puffiness/dp/B07BYG7D2V/ref=sr_1_5?keywords=Effects&amp;qid=1695258892&amp;sr=8-5</v>
      </c>
      <c r="F1365" t="s">
        <v>2509</v>
      </c>
      <c r="G1365" t="e">
        <f ca="1">IMAGE("https://mbrstore.com/wp-content/uploads/2022/03/01440_TheBest_Face_50ml-copy-460x460.jpg")</f>
        <v>#NAME?</v>
      </c>
      <c r="H1365" t="e">
        <f ca="1">IMAGE("https://m.media-amazon.com/images/I/51YkzEMtyCL._AC_UL320_.jpg")</f>
        <v>#NAME?</v>
      </c>
      <c r="I1365" t="s">
        <v>2864</v>
      </c>
      <c r="J1365">
        <v>43.45</v>
      </c>
      <c r="K1365" s="2" t="s">
        <v>2945</v>
      </c>
      <c r="L1365">
        <v>3.6</v>
      </c>
      <c r="M1365">
        <v>1214</v>
      </c>
      <c r="O1365" t="s">
        <v>26</v>
      </c>
      <c r="P1365" t="s">
        <v>39</v>
      </c>
      <c r="Q1365" t="s">
        <v>2866</v>
      </c>
    </row>
    <row r="1366" spans="1:17" ht="15.75" x14ac:dyDescent="0.25">
      <c r="A1366" s="3" t="str">
        <f>HYPERLINK("https://mbrstore.com/products/the-best-face-extra-rich/", "https://mbrstore.com/products/the-best-face-extra-rich/")</f>
        <v>https://mbrstore.com/products/the-best-face-extra-rich/</v>
      </c>
      <c r="B1366" s="3" t="str">
        <f>HYPERLINK("https://mbrstore.com/products/the-best-face-extra-rich/", "https://mbrstore.com/products/the-best-face-extra-rich/")</f>
        <v>https://mbrstore.com/products/the-best-face-extra-rich/</v>
      </c>
      <c r="C1366" t="s">
        <v>2453</v>
      </c>
      <c r="D1366" t="s">
        <v>2508</v>
      </c>
      <c r="E1366" s="3" t="str">
        <f>HYPERLINK("https://www.amazon.com/Westmore-Beauty-Tightening-Temporarily-Puffiness/dp/B07BYG7D2V/ref=sr_1_8?keywords=Effects&amp;qid=1695258911&amp;sr=8-8", "https://www.amazon.com/Westmore-Beauty-Tightening-Temporarily-Puffiness/dp/B07BYG7D2V/ref=sr_1_8?keywords=Effects&amp;qid=1695258911&amp;sr=8-8")</f>
        <v>https://www.amazon.com/Westmore-Beauty-Tightening-Temporarily-Puffiness/dp/B07BYG7D2V/ref=sr_1_8?keywords=Effects&amp;qid=1695258911&amp;sr=8-8</v>
      </c>
      <c r="F1366" t="s">
        <v>2509</v>
      </c>
      <c r="G1366" t="e">
        <f ca="1">IMAGE("https://mbrstore.com/wp-content/uploads/2022/03/01446_TheBest_Face_Extra_Rich_50ml-copy-460x460.jpg")</f>
        <v>#NAME?</v>
      </c>
      <c r="H1366" t="e">
        <f ca="1">IMAGE("https://m.media-amazon.com/images/I/51YkzEMtyCL._AC_UL320_.jpg")</f>
        <v>#NAME?</v>
      </c>
      <c r="I1366" t="s">
        <v>2747</v>
      </c>
      <c r="J1366">
        <v>43.45</v>
      </c>
      <c r="K1366" s="2" t="s">
        <v>2946</v>
      </c>
      <c r="L1366">
        <v>3.6</v>
      </c>
      <c r="M1366">
        <v>1214</v>
      </c>
      <c r="O1366" t="s">
        <v>26</v>
      </c>
      <c r="P1366" t="s">
        <v>39</v>
      </c>
      <c r="Q1366" t="s">
        <v>2749</v>
      </c>
    </row>
    <row r="1367" spans="1:17" ht="15.75" x14ac:dyDescent="0.25">
      <c r="A1367" s="3" t="str">
        <f>HYPERLINK("https://mbrstore.com/products/the-best-hair-boost/", "https://mbrstore.com/products/the-best-hair-boost/")</f>
        <v>https://mbrstore.com/products/the-best-hair-boost/</v>
      </c>
      <c r="B1367" s="3" t="str">
        <f>HYPERLINK("https://mbrstore.com/products/the-best-hair-boost/", "https://mbrstore.com/products/the-best-hair-boost/")</f>
        <v>https://mbrstore.com/products/the-best-hair-boost/</v>
      </c>
      <c r="C1367" t="s">
        <v>2453</v>
      </c>
      <c r="D1367" t="s">
        <v>2504</v>
      </c>
      <c r="E1367" s="3" t="str">
        <f>HYPERLINK("https://www.amazon.com/Clinical-Effects-Multi-Collagen-Supplement-Quality-Sourced/dp/B085F3PSPB/ref=sr_1_10?keywords=Effects&amp;qid=1695258886&amp;rdc=1&amp;sr=8-10", "https://www.amazon.com/Clinical-Effects-Multi-Collagen-Supplement-Quality-Sourced/dp/B085F3PSPB/ref=sr_1_10?keywords=Effects&amp;qid=1695258886&amp;rdc=1&amp;sr=8-10")</f>
        <v>https://www.amazon.com/Clinical-Effects-Multi-Collagen-Supplement-Quality-Sourced/dp/B085F3PSPB/ref=sr_1_10?keywords=Effects&amp;qid=1695258886&amp;rdc=1&amp;sr=8-10</v>
      </c>
      <c r="F1367" t="s">
        <v>2505</v>
      </c>
      <c r="G1367" t="e">
        <f ca="1">IMAGE("https://mbrstore.com/wp-content/uploads/2022/03/01453_TheBestHairBoost_15ml-460x460.jpg")</f>
        <v>#NAME?</v>
      </c>
      <c r="H1367" t="e">
        <f ca="1">IMAGE("https://m.media-amazon.com/images/I/71YnIfUehJS._AC_UL320_.jpg")</f>
        <v>#NAME?</v>
      </c>
      <c r="I1367" t="s">
        <v>2890</v>
      </c>
      <c r="J1367">
        <v>43.95</v>
      </c>
      <c r="K1367" s="2" t="s">
        <v>2947</v>
      </c>
      <c r="L1367">
        <v>4.2</v>
      </c>
      <c r="M1367">
        <v>468</v>
      </c>
      <c r="O1367" t="s">
        <v>26</v>
      </c>
      <c r="P1367" t="s">
        <v>39</v>
      </c>
      <c r="Q1367" t="s">
        <v>2892</v>
      </c>
    </row>
    <row r="1368" spans="1:17" ht="15.75" x14ac:dyDescent="0.25">
      <c r="A1368" s="3" t="str">
        <f>HYPERLINK("https://mbrstore.com/products/the-best-hair-boost/", "https://mbrstore.com/products/the-best-hair-boost/")</f>
        <v>https://mbrstore.com/products/the-best-hair-boost/</v>
      </c>
      <c r="B1368" s="3" t="str">
        <f>HYPERLINK("https://mbrstore.com/products/the-best-hair-boost/", "https://mbrstore.com/products/the-best-hair-boost/")</f>
        <v>https://mbrstore.com/products/the-best-hair-boost/</v>
      </c>
      <c r="C1368" t="s">
        <v>2453</v>
      </c>
      <c r="D1368" t="s">
        <v>2508</v>
      </c>
      <c r="E1368" s="3" t="str">
        <f>HYPERLINK("https://www.amazon.com/Westmore-Beauty-Tightening-Temporarily-Puffiness/dp/B07BYG7D2V/ref=sr_1_5?keywords=Effects&amp;qid=1695258886&amp;sr=8-5", "https://www.amazon.com/Westmore-Beauty-Tightening-Temporarily-Puffiness/dp/B07BYG7D2V/ref=sr_1_5?keywords=Effects&amp;qid=1695258886&amp;sr=8-5")</f>
        <v>https://www.amazon.com/Westmore-Beauty-Tightening-Temporarily-Puffiness/dp/B07BYG7D2V/ref=sr_1_5?keywords=Effects&amp;qid=1695258886&amp;sr=8-5</v>
      </c>
      <c r="F1368" t="s">
        <v>2509</v>
      </c>
      <c r="G1368" t="e">
        <f ca="1">IMAGE("https://mbrstore.com/wp-content/uploads/2022/03/01453_TheBestHairBoost_15ml-460x460.jpg")</f>
        <v>#NAME?</v>
      </c>
      <c r="H1368" t="e">
        <f ca="1">IMAGE("https://m.media-amazon.com/images/I/51YkzEMtyCL._AC_UL320_.jpg")</f>
        <v>#NAME?</v>
      </c>
      <c r="I1368" t="s">
        <v>2890</v>
      </c>
      <c r="J1368">
        <v>43.45</v>
      </c>
      <c r="K1368" s="2" t="s">
        <v>2948</v>
      </c>
      <c r="L1368">
        <v>3.6</v>
      </c>
      <c r="M1368">
        <v>1214</v>
      </c>
      <c r="O1368" t="s">
        <v>26</v>
      </c>
      <c r="P1368" t="s">
        <v>39</v>
      </c>
      <c r="Q1368" t="s">
        <v>2892</v>
      </c>
    </row>
    <row r="1369" spans="1:17" ht="15.75" x14ac:dyDescent="0.25">
      <c r="A1369" s="3" t="str">
        <f>HYPERLINK("https://mbrstore.com/products/vitamin-c-power-cure/", "https://mbrstore.com/products/vitamin-c-power-cure/")</f>
        <v>https://mbrstore.com/products/vitamin-c-power-cure/</v>
      </c>
      <c r="B1369" s="3" t="str">
        <f>HYPERLINK("https://mbrstore.com/products/vitamin-c-power-cure/", "https://mbrstore.com/products/vitamin-c-power-cure/")</f>
        <v>https://mbrstore.com/products/vitamin-c-power-cure/</v>
      </c>
      <c r="C1369" t="s">
        <v>2453</v>
      </c>
      <c r="D1369" t="s">
        <v>2877</v>
      </c>
      <c r="E1369" s="3" t="str">
        <f>HYPERLINK("https://www.amazon.com/Schick-Effects-Razor-Blade-Refills/dp/B001KYRZ8A/ref=sr_1_3?keywords=Effects&amp;qid=1695258892&amp;sr=8-3", "https://www.amazon.com/Schick-Effects-Razor-Blade-Refills/dp/B001KYRZ8A/ref=sr_1_3?keywords=Effects&amp;qid=1695258892&amp;sr=8-3")</f>
        <v>https://www.amazon.com/Schick-Effects-Razor-Blade-Refills/dp/B001KYRZ8A/ref=sr_1_3?keywords=Effects&amp;qid=1695258892&amp;sr=8-3</v>
      </c>
      <c r="F1369" t="s">
        <v>2878</v>
      </c>
      <c r="G1369" t="e">
        <f ca="1">IMAGE("https://mbrstore.com/wp-content/uploads/2022/03/01243_VitaminCPowerCure_Set-460x460.jpg")</f>
        <v>#NAME?</v>
      </c>
      <c r="H1369" t="e">
        <f ca="1">IMAGE("https://m.media-amazon.com/images/I/91fxNU5u5EL._AC_UL320_.jpg")</f>
        <v>#NAME?</v>
      </c>
      <c r="I1369" t="s">
        <v>2773</v>
      </c>
      <c r="J1369">
        <v>8.26</v>
      </c>
      <c r="K1369" s="2" t="s">
        <v>840</v>
      </c>
      <c r="L1369">
        <v>4.8</v>
      </c>
      <c r="M1369">
        <v>2434</v>
      </c>
      <c r="O1369" t="s">
        <v>26</v>
      </c>
      <c r="P1369" t="s">
        <v>39</v>
      </c>
      <c r="Q1369" t="s">
        <v>2775</v>
      </c>
    </row>
    <row r="1370" spans="1:17" ht="15.75" x14ac:dyDescent="0.25">
      <c r="A1370" s="3" t="str">
        <f>HYPERLINK("https://mbrstore.com/products/the-best-concentrate-cure/", "https://mbrstore.com/products/the-best-concentrate-cure/")</f>
        <v>https://mbrstore.com/products/the-best-concentrate-cure/</v>
      </c>
      <c r="B1370" s="3" t="str">
        <f>HYPERLINK("https://mbrstore.com/products/the-best-concentrate-cure/", "https://mbrstore.com/products/the-best-concentrate-cure/")</f>
        <v>https://mbrstore.com/products/the-best-concentrate-cure/</v>
      </c>
      <c r="C1370" t="s">
        <v>2453</v>
      </c>
      <c r="D1370" t="s">
        <v>2508</v>
      </c>
      <c r="E1370" s="3" t="str">
        <f>HYPERLINK("https://www.amazon.com/Westmore-Beauty-Tightening-Temporarily-Puffiness/dp/B07BYG7D2V/ref=sr_1_1?keywords=Effects&amp;qid=1695258892&amp;sr=8-1", "https://www.amazon.com/Westmore-Beauty-Tightening-Temporarily-Puffiness/dp/B07BYG7D2V/ref=sr_1_1?keywords=Effects&amp;qid=1695258892&amp;sr=8-1")</f>
        <v>https://www.amazon.com/Westmore-Beauty-Tightening-Temporarily-Puffiness/dp/B07BYG7D2V/ref=sr_1_1?keywords=Effects&amp;qid=1695258892&amp;sr=8-1</v>
      </c>
      <c r="F1370" t="s">
        <v>2509</v>
      </c>
      <c r="G1370" t="e">
        <f ca="1">IMAGE("https://mbrstore.com/wp-content/uploads/2022/03/01421_THEBESTConcentratex6-460x460.jpg")</f>
        <v>#NAME?</v>
      </c>
      <c r="H1370" t="e">
        <f ca="1">IMAGE("https://m.media-amazon.com/images/I/51YkzEMtyCL._AC_UL320_.jpg")</f>
        <v>#NAME?</v>
      </c>
      <c r="I1370" t="s">
        <v>2880</v>
      </c>
      <c r="J1370">
        <v>43.45</v>
      </c>
      <c r="K1370" s="2" t="s">
        <v>1064</v>
      </c>
      <c r="L1370">
        <v>3.6</v>
      </c>
      <c r="M1370">
        <v>1214</v>
      </c>
      <c r="O1370" t="s">
        <v>26</v>
      </c>
      <c r="P1370" t="s">
        <v>39</v>
      </c>
      <c r="Q1370" t="s">
        <v>2882</v>
      </c>
    </row>
    <row r="1371" spans="1:17" ht="15.75" x14ac:dyDescent="0.25">
      <c r="A1371" s="3" t="str">
        <f>HYPERLINK("https://mbrstore.com/products/the-best-eye-serum/", "https://mbrstore.com/products/the-best-eye-serum/")</f>
        <v>https://mbrstore.com/products/the-best-eye-serum/</v>
      </c>
      <c r="B1371" s="3" t="str">
        <f>HYPERLINK("https://mbrstore.com/products/the-best-eye-serum/", "https://mbrstore.com/products/the-best-eye-serum/")</f>
        <v>https://mbrstore.com/products/the-best-eye-serum/</v>
      </c>
      <c r="C1371" t="s">
        <v>2949</v>
      </c>
      <c r="D1371" t="s">
        <v>2950</v>
      </c>
      <c r="E1371" s="3" t="str">
        <f>HYPERLINK("https://www.amazon.com/Hydration-Refreshing-Hyaluronic-Dermatologist-Recommended/dp/B0897V6H9C/ref=sr_1_2?keywords=The+Best+Eye+Serum&amp;qid=1695258885&amp;sr=8-2", "https://www.amazon.com/Hydration-Refreshing-Hyaluronic-Dermatologist-Recommended/dp/B0897V6H9C/ref=sr_1_2?keywords=The+Best+Eye+Serum&amp;qid=1695258885&amp;sr=8-2")</f>
        <v>https://www.amazon.com/Hydration-Refreshing-Hyaluronic-Dermatologist-Recommended/dp/B0897V6H9C/ref=sr_1_2?keywords=The+Best+Eye+Serum&amp;qid=1695258885&amp;sr=8-2</v>
      </c>
      <c r="F1371" t="s">
        <v>2951</v>
      </c>
      <c r="G1371" t="e">
        <f ca="1">IMAGE("https://mbrstore.com/wp-content/uploads/2023/08/01439_TheBestEyeSerum_15ml-460x460.png")</f>
        <v>#NAME?</v>
      </c>
      <c r="H1371" t="e">
        <f ca="1">IMAGE("https://m.media-amazon.com/images/I/61XVt+GcGEL._AC_UL320_.jpg")</f>
        <v>#NAME?</v>
      </c>
      <c r="I1371" t="s">
        <v>2952</v>
      </c>
      <c r="J1371">
        <v>10.98</v>
      </c>
      <c r="K1371" s="2" t="s">
        <v>1196</v>
      </c>
      <c r="L1371">
        <v>4.4000000000000004</v>
      </c>
      <c r="M1371">
        <v>5389</v>
      </c>
      <c r="O1371" t="s">
        <v>26</v>
      </c>
      <c r="P1371" t="s">
        <v>39</v>
      </c>
      <c r="Q1371" t="s">
        <v>2953</v>
      </c>
    </row>
    <row r="1372" spans="1:17" ht="15.75" x14ac:dyDescent="0.25">
      <c r="A1372" s="3" t="str">
        <f>HYPERLINK("https://mbrstore.com/products/the-best-concentrate-cure/", "https://mbrstore.com/products/the-best-concentrate-cure/")</f>
        <v>https://mbrstore.com/products/the-best-concentrate-cure/</v>
      </c>
      <c r="B1372" s="3" t="str">
        <f>HYPERLINK("https://mbrstore.com/products/the-best-concentrate-cure/", "https://mbrstore.com/products/the-best-concentrate-cure/")</f>
        <v>https://mbrstore.com/products/the-best-concentrate-cure/</v>
      </c>
      <c r="C1372" t="s">
        <v>2453</v>
      </c>
      <c r="D1372" t="s">
        <v>2646</v>
      </c>
      <c r="E1372" s="3" t="str">
        <f>HYPERLINK("https://www.amazon.com/Clinical-Effects-All-Natural-Supplement-Digestive/dp/B08QDMGYV2/ref=sr_1_10?keywords=Effects&amp;qid=1695258892&amp;sr=8-10", "https://www.amazon.com/Clinical-Effects-All-Natural-Supplement-Digestive/dp/B08QDMGYV2/ref=sr_1_10?keywords=Effects&amp;qid=1695258892&amp;sr=8-10")</f>
        <v>https://www.amazon.com/Clinical-Effects-All-Natural-Supplement-Digestive/dp/B08QDMGYV2/ref=sr_1_10?keywords=Effects&amp;qid=1695258892&amp;sr=8-10</v>
      </c>
      <c r="F1372" t="s">
        <v>2647</v>
      </c>
      <c r="G1372" t="e">
        <f ca="1">IMAGE("https://mbrstore.com/wp-content/uploads/2022/03/01421_THEBESTConcentratex6-460x460.jpg")</f>
        <v>#NAME?</v>
      </c>
      <c r="H1372" t="e">
        <f ca="1">IMAGE("https://m.media-amazon.com/images/I/71nmXZe49eL._AC_UL320_.jpg")</f>
        <v>#NAME?</v>
      </c>
      <c r="I1372" t="s">
        <v>2880</v>
      </c>
      <c r="J1372">
        <v>35</v>
      </c>
      <c r="K1372" s="2" t="s">
        <v>1375</v>
      </c>
      <c r="L1372">
        <v>4.4000000000000004</v>
      </c>
      <c r="M1372">
        <v>200</v>
      </c>
      <c r="O1372" t="s">
        <v>26</v>
      </c>
      <c r="P1372" t="s">
        <v>39</v>
      </c>
      <c r="Q1372" t="s">
        <v>2882</v>
      </c>
    </row>
    <row r="1373" spans="1:17" ht="15.75" x14ac:dyDescent="0.25">
      <c r="A1373" s="3" t="str">
        <f t="shared" ref="A1373:B1375" si="14">HYPERLINK("https://mdo-skin.com/products/cleansing-milk", "https://mdo-skin.com/products/cleansing-milk")</f>
        <v>https://mdo-skin.com/products/cleansing-milk</v>
      </c>
      <c r="B1373" s="3" t="str">
        <f t="shared" si="14"/>
        <v>https://mdo-skin.com/products/cleansing-milk</v>
      </c>
      <c r="C1373" t="s">
        <v>2954</v>
      </c>
      <c r="D1373" t="s">
        <v>2955</v>
      </c>
      <c r="E1373" s="3"/>
      <c r="F1373" t="s">
        <v>2956</v>
      </c>
      <c r="G1373" t="e">
        <f ca="1">IMAGE("https://mdo-skin.com/cdn/shop/files/Mdoedit-19ProductPage_800x.png?v=1693814514")</f>
        <v>#NAME?</v>
      </c>
      <c r="H1373" t="e">
        <f ca="1">IMAGE("https://m.media-amazon.com/images/I/61W0tXA4wrL._AC_UL320_.jpg")</f>
        <v>#NAME?</v>
      </c>
      <c r="I1373" t="s">
        <v>2957</v>
      </c>
      <c r="J1373">
        <v>39.5</v>
      </c>
      <c r="K1373" s="2" t="s">
        <v>2958</v>
      </c>
      <c r="L1373">
        <v>4.7</v>
      </c>
      <c r="M1373">
        <v>183</v>
      </c>
      <c r="O1373" t="s">
        <v>26</v>
      </c>
      <c r="P1373" t="s">
        <v>39</v>
      </c>
      <c r="Q1373" t="s">
        <v>2959</v>
      </c>
    </row>
    <row r="1374" spans="1:17" ht="15.75" x14ac:dyDescent="0.25">
      <c r="A1374" s="3" t="str">
        <f t="shared" si="14"/>
        <v>https://mdo-skin.com/products/cleansing-milk</v>
      </c>
      <c r="B1374" s="3" t="str">
        <f t="shared" si="14"/>
        <v>https://mdo-skin.com/products/cleansing-milk</v>
      </c>
      <c r="C1374" t="s">
        <v>2954</v>
      </c>
      <c r="D1374" t="s">
        <v>2955</v>
      </c>
      <c r="E1374" s="3"/>
      <c r="F1374" t="s">
        <v>2956</v>
      </c>
      <c r="G1374" t="e">
        <f ca="1">IMAGE("https://mdo-skin.com/cdn/shop/files/Mdoedit-19ProductPage_800x.png?v=1693814514")</f>
        <v>#NAME?</v>
      </c>
      <c r="H1374" t="e">
        <f ca="1">IMAGE("https://m.media-amazon.com/images/I/61W0tXA4wrL._AC_UL320_.jpg")</f>
        <v>#NAME?</v>
      </c>
      <c r="I1374" t="s">
        <v>2957</v>
      </c>
      <c r="J1374">
        <v>39.5</v>
      </c>
      <c r="K1374" s="2" t="s">
        <v>2958</v>
      </c>
      <c r="L1374">
        <v>4.7</v>
      </c>
      <c r="M1374">
        <v>183</v>
      </c>
      <c r="O1374" t="s">
        <v>26</v>
      </c>
      <c r="P1374" t="s">
        <v>39</v>
      </c>
      <c r="Q1374" t="s">
        <v>2959</v>
      </c>
    </row>
    <row r="1375" spans="1:17" ht="15.75" x14ac:dyDescent="0.25">
      <c r="A1375" s="3" t="str">
        <f t="shared" si="14"/>
        <v>https://mdo-skin.com/products/cleansing-milk</v>
      </c>
      <c r="B1375" s="3" t="str">
        <f t="shared" si="14"/>
        <v>https://mdo-skin.com/products/cleansing-milk</v>
      </c>
      <c r="C1375" t="s">
        <v>2954</v>
      </c>
      <c r="D1375" t="s">
        <v>2960</v>
      </c>
      <c r="E1375" s="3"/>
      <c r="F1375" t="s">
        <v>2961</v>
      </c>
      <c r="G1375" t="e">
        <f ca="1">IMAGE("https://mdo-skin.com/cdn/shop/files/Mdoedit-19ProductPage_800x.png?v=1693814514")</f>
        <v>#NAME?</v>
      </c>
      <c r="H1375" t="e">
        <f ca="1">IMAGE("https://m.media-amazon.com/images/I/51cDYARVYsL._AC_UL320_.jpg")</f>
        <v>#NAME?</v>
      </c>
      <c r="I1375" t="s">
        <v>2957</v>
      </c>
      <c r="J1375">
        <v>36</v>
      </c>
      <c r="K1375" s="2" t="s">
        <v>2962</v>
      </c>
      <c r="L1375">
        <v>4.5</v>
      </c>
      <c r="M1375">
        <v>99</v>
      </c>
      <c r="O1375" t="s">
        <v>26</v>
      </c>
      <c r="P1375" t="s">
        <v>39</v>
      </c>
      <c r="Q1375" t="s">
        <v>2959</v>
      </c>
    </row>
    <row r="1376" spans="1:17" ht="15.75" x14ac:dyDescent="0.25">
      <c r="A1376" s="3" t="str">
        <f>HYPERLINK("https://mdo-skin.com/products/pro-collagen-refining-serum", "https://mdo-skin.com/products/pro-collagen-refining-serum")</f>
        <v>https://mdo-skin.com/products/pro-collagen-refining-serum</v>
      </c>
      <c r="B1376" s="3" t="str">
        <f>HYPERLINK("https://mdo-skin.com/products/pro-collagen-refining-serum", "https://mdo-skin.com/products/pro-collagen-refining-serum")</f>
        <v>https://mdo-skin.com/products/pro-collagen-refining-serum</v>
      </c>
      <c r="C1376" t="s">
        <v>2963</v>
      </c>
      <c r="D1376" t="s">
        <v>2964</v>
      </c>
      <c r="E1376" s="3" t="str">
        <f>HYPERLINK("https://www.amazon.com/Clinical-Skin-Pro-Collagen-Anti-Aging-Brightening/dp/B0B94L3JMM/ref=sr_1_8?keywords=Pro-Collagen+Refining+Serum&amp;qid=1695258937&amp;sr=8-8", "https://www.amazon.com/Clinical-Skin-Pro-Collagen-Anti-Aging-Brightening/dp/B0B94L3JMM/ref=sr_1_8?keywords=Pro-Collagen+Refining+Serum&amp;qid=1695258937&amp;sr=8-8")</f>
        <v>https://www.amazon.com/Clinical-Skin-Pro-Collagen-Anti-Aging-Brightening/dp/B0B94L3JMM/ref=sr_1_8?keywords=Pro-Collagen+Refining+Serum&amp;qid=1695258937&amp;sr=8-8</v>
      </c>
      <c r="F1376" t="s">
        <v>2965</v>
      </c>
      <c r="G1376" t="e">
        <f ca="1">IMAGE("https://mdo-skin.com/cdn/shop/files/Mdoedit-13ProductPage_1080x.png?v=1693814696")</f>
        <v>#NAME?</v>
      </c>
      <c r="H1376" t="e">
        <f ca="1">IMAGE("https://m.media-amazon.com/images/I/51vlzt2vwwL._AC_UL320_.jpg")</f>
        <v>#NAME?</v>
      </c>
      <c r="I1376" t="s">
        <v>2966</v>
      </c>
      <c r="J1376">
        <v>120</v>
      </c>
      <c r="K1376" s="2" t="s">
        <v>2967</v>
      </c>
      <c r="L1376">
        <v>4.0999999999999996</v>
      </c>
      <c r="M1376">
        <v>36</v>
      </c>
      <c r="O1376" t="s">
        <v>26</v>
      </c>
      <c r="P1376" t="s">
        <v>39</v>
      </c>
      <c r="Q1376" t="s">
        <v>2968</v>
      </c>
    </row>
    <row r="1377" spans="1:17" ht="15.75" x14ac:dyDescent="0.25">
      <c r="A1377" s="3" t="str">
        <f>HYPERLINK("https://mdo-skin.com/products/ems-light-device", "https://mdo-skin.com/products/ems-light-device")</f>
        <v>https://mdo-skin.com/products/ems-light-device</v>
      </c>
      <c r="B1377" s="3" t="str">
        <f>HYPERLINK("https://mdo-skin.com/products/ems-light-device", "https://mdo-skin.com/products/ems-light-device")</f>
        <v>https://mdo-skin.com/products/ems-light-device</v>
      </c>
      <c r="C1377" t="s">
        <v>2969</v>
      </c>
      <c r="D1377" t="s">
        <v>2970</v>
      </c>
      <c r="E1377" s="3" t="str">
        <f>HYPERLINK("https://www.amazon.com/Radio-Frequency-Facial-Machine-Rejuvenation/dp/B0BLLVX329/ref=sr_1_5?keywords=EMS+Light+Device&amp;qid=1695258941&amp;sr=8-5", "https://www.amazon.com/Radio-Frequency-Facial-Machine-Rejuvenation/dp/B0BLLVX329/ref=sr_1_5?keywords=EMS+Light+Device&amp;qid=1695258941&amp;sr=8-5")</f>
        <v>https://www.amazon.com/Radio-Frequency-Facial-Machine-Rejuvenation/dp/B0BLLVX329/ref=sr_1_5?keywords=EMS+Light+Device&amp;qid=1695258941&amp;sr=8-5</v>
      </c>
      <c r="F1377" t="s">
        <v>2971</v>
      </c>
      <c r="G1377" t="e">
        <f ca="1">IMAGE("https://mdo-skin.com/cdn/shop/products/7649989187406_02_576x.png?v=1667920831")</f>
        <v>#NAME?</v>
      </c>
      <c r="H1377" t="e">
        <f ca="1">IMAGE("https://m.media-amazon.com/images/I/61Gwo8hOxOL._AC_UL320_.jpg")</f>
        <v>#NAME?</v>
      </c>
      <c r="I1377" t="s">
        <v>2531</v>
      </c>
      <c r="J1377">
        <v>129.99</v>
      </c>
      <c r="K1377" s="2" t="s">
        <v>2972</v>
      </c>
      <c r="L1377">
        <v>4.2</v>
      </c>
      <c r="M1377">
        <v>65</v>
      </c>
      <c r="O1377" t="s">
        <v>26</v>
      </c>
      <c r="P1377" t="s">
        <v>39</v>
      </c>
      <c r="Q1377" t="s">
        <v>2973</v>
      </c>
    </row>
    <row r="1378" spans="1:17" ht="15.75" x14ac:dyDescent="0.25">
      <c r="A1378" s="3" t="str">
        <f>HYPERLINK("https://mdo-skin.com/products/facial-sculpting-wand", "https://mdo-skin.com/products/facial-sculpting-wand")</f>
        <v>https://mdo-skin.com/products/facial-sculpting-wand</v>
      </c>
      <c r="B1378" s="3" t="str">
        <f>HYPERLINK("https://mdo-skin.com/products/facial-sculpting-wand", "https://mdo-skin.com/products/facial-sculpting-wand")</f>
        <v>https://mdo-skin.com/products/facial-sculpting-wand</v>
      </c>
      <c r="C1378" t="s">
        <v>2974</v>
      </c>
      <c r="D1378" t="s">
        <v>2975</v>
      </c>
      <c r="E1378" s="3" t="str">
        <f>HYPERLINK("https://www.amazon.com/Sculpting-Anti-Aging-Instantly-Forehead-Nasolabial/dp/B07TRP4S9V/ref=sr_1_3?keywords=Facial+Sculpting+Wand&amp;qid=1695258937&amp;sr=8-3", "https://www.amazon.com/Sculpting-Anti-Aging-Instantly-Forehead-Nasolabial/dp/B07TRP4S9V/ref=sr_1_3?keywords=Facial+Sculpting+Wand&amp;qid=1695258937&amp;sr=8-3")</f>
        <v>https://www.amazon.com/Sculpting-Anti-Aging-Instantly-Forehead-Nasolabial/dp/B07TRP4S9V/ref=sr_1_3?keywords=Facial+Sculpting+Wand&amp;qid=1695258937&amp;sr=8-3</v>
      </c>
      <c r="F1378" t="s">
        <v>2976</v>
      </c>
      <c r="G1378" t="e">
        <f ca="1">IMAGE("https://mdo-skin.com/cdn/shop/products/MDO_FacialSculptingWand-sw_600x.png?v=1641228391")</f>
        <v>#NAME?</v>
      </c>
      <c r="H1378" t="e">
        <f ca="1">IMAGE("https://m.media-amazon.com/images/I/51UiPHUOzVL._AC_UL320_.jpg")</f>
        <v>#NAME?</v>
      </c>
      <c r="I1378" t="s">
        <v>2482</v>
      </c>
      <c r="J1378">
        <v>84</v>
      </c>
      <c r="K1378" s="2" t="s">
        <v>2977</v>
      </c>
      <c r="L1378">
        <v>3.3</v>
      </c>
      <c r="M1378">
        <v>457</v>
      </c>
      <c r="O1378" t="s">
        <v>26</v>
      </c>
      <c r="P1378" t="s">
        <v>39</v>
      </c>
      <c r="Q1378" t="s">
        <v>2978</v>
      </c>
    </row>
    <row r="1379" spans="1:17" ht="15.75" x14ac:dyDescent="0.25">
      <c r="A1379" s="3" t="str">
        <f>HYPERLINK("https://mdo-skin.com/products/pro-collagen-refining-serum", "https://mdo-skin.com/products/pro-collagen-refining-serum")</f>
        <v>https://mdo-skin.com/products/pro-collagen-refining-serum</v>
      </c>
      <c r="B1379" s="3" t="str">
        <f>HYPERLINK("https://mdo-skin.com/products/pro-collagen-refining-serum", "https://mdo-skin.com/products/pro-collagen-refining-serum")</f>
        <v>https://mdo-skin.com/products/pro-collagen-refining-serum</v>
      </c>
      <c r="C1379" t="s">
        <v>2963</v>
      </c>
      <c r="D1379" t="s">
        <v>2979</v>
      </c>
      <c r="E1379" s="3" t="str">
        <f>HYPERLINK("https://www.amazon.com/ELEMIS-Pro-Collagen-Alternative-Concentrate-Rejuvenates/dp/B08VPJS3N6/ref=sr_1_3?keywords=Pro-Collagen+Refining+Serum&amp;qid=1695258937&amp;sr=8-3", "https://www.amazon.com/ELEMIS-Pro-Collagen-Alternative-Concentrate-Rejuvenates/dp/B08VPJS3N6/ref=sr_1_3?keywords=Pro-Collagen+Refining+Serum&amp;qid=1695258937&amp;sr=8-3")</f>
        <v>https://www.amazon.com/ELEMIS-Pro-Collagen-Alternative-Concentrate-Rejuvenates/dp/B08VPJS3N6/ref=sr_1_3?keywords=Pro-Collagen+Refining+Serum&amp;qid=1695258937&amp;sr=8-3</v>
      </c>
      <c r="F1379" t="s">
        <v>2980</v>
      </c>
      <c r="G1379" t="e">
        <f ca="1">IMAGE("https://mdo-skin.com/cdn/shop/files/Mdoedit-13ProductPage_1080x.png?v=1693814696")</f>
        <v>#NAME?</v>
      </c>
      <c r="H1379" t="e">
        <f ca="1">IMAGE("https://m.media-amazon.com/images/I/51rtOcGZguL._AC_UL320_.jpg")</f>
        <v>#NAME?</v>
      </c>
      <c r="I1379" t="s">
        <v>2966</v>
      </c>
      <c r="J1379">
        <v>95</v>
      </c>
      <c r="K1379" s="2" t="s">
        <v>2981</v>
      </c>
      <c r="L1379">
        <v>4.4000000000000004</v>
      </c>
      <c r="M1379">
        <v>74</v>
      </c>
      <c r="O1379" t="s">
        <v>26</v>
      </c>
      <c r="P1379" t="s">
        <v>39</v>
      </c>
      <c r="Q1379" t="s">
        <v>2968</v>
      </c>
    </row>
    <row r="1380" spans="1:17" ht="15.75" x14ac:dyDescent="0.25">
      <c r="A1380" s="3" t="str">
        <f>HYPERLINK("https://mdo-skin.com/products/cleansing-milk", "https://mdo-skin.com/products/cleansing-milk")</f>
        <v>https://mdo-skin.com/products/cleansing-milk</v>
      </c>
      <c r="B1380" s="3" t="str">
        <f>HYPERLINK("https://mdo-skin.com/products/cleansing-milk", "https://mdo-skin.com/products/cleansing-milk")</f>
        <v>https://mdo-skin.com/products/cleansing-milk</v>
      </c>
      <c r="C1380" t="s">
        <v>2954</v>
      </c>
      <c r="D1380" t="s">
        <v>2982</v>
      </c>
      <c r="E1380" s="3"/>
      <c r="F1380" t="s">
        <v>2983</v>
      </c>
      <c r="G1380" t="e">
        <f ca="1">IMAGE("https://mdo-skin.com/cdn/shop/files/Mdoedit-19ProductPage_800x.png?v=1693814514")</f>
        <v>#NAME?</v>
      </c>
      <c r="H1380" t="e">
        <f ca="1">IMAGE("https://m.media-amazon.com/images/I/61hGV00Q14L._AC_UL320_.jpg")</f>
        <v>#NAME?</v>
      </c>
      <c r="I1380" t="s">
        <v>2957</v>
      </c>
      <c r="J1380">
        <v>24.99</v>
      </c>
      <c r="K1380" s="2" t="s">
        <v>2984</v>
      </c>
      <c r="L1380">
        <v>4.5999999999999996</v>
      </c>
      <c r="M1380">
        <v>65</v>
      </c>
      <c r="O1380" t="s">
        <v>26</v>
      </c>
      <c r="P1380" t="s">
        <v>39</v>
      </c>
      <c r="Q1380" t="s">
        <v>2959</v>
      </c>
    </row>
    <row r="1381" spans="1:17" ht="15.75" x14ac:dyDescent="0.25">
      <c r="A1381" s="3" t="str">
        <f>HYPERLINK("https://mdo-skin.com/products/awarded-intense-hydrating-moisturizer", "https://mdo-skin.com/products/awarded-intense-hydrating-moisturizer")</f>
        <v>https://mdo-skin.com/products/awarded-intense-hydrating-moisturizer</v>
      </c>
      <c r="B1381" s="3" t="str">
        <f>HYPERLINK("https://mdo-skin.com/products/awarded-intense-hydrating-moisturizer", "https://mdo-skin.com/products/awarded-intense-hydrating-moisturizer")</f>
        <v>https://mdo-skin.com/products/awarded-intense-hydrating-moisturizer</v>
      </c>
      <c r="C1381" t="s">
        <v>2985</v>
      </c>
      <c r="D1381" t="s">
        <v>2986</v>
      </c>
      <c r="E1381" s="3" t="str">
        <f>HYPERLINK("https://www.amazon.com/IMAGE-Skincare-Hydrating-Intense-Moisturizer/dp/B00CC1BC5W/ref=sr_1_2?keywords=Intense+Hydrating+Moisturizer&amp;qid=1695258942&amp;sr=8-2", "https://www.amazon.com/IMAGE-Skincare-Hydrating-Intense-Moisturizer/dp/B00CC1BC5W/ref=sr_1_2?keywords=Intense+Hydrating+Moisturizer&amp;qid=1695258942&amp;sr=8-2")</f>
        <v>https://www.amazon.com/IMAGE-Skincare-Hydrating-Intense-Moisturizer/dp/B00CC1BC5W/ref=sr_1_2?keywords=Intense+Hydrating+Moisturizer&amp;qid=1695258942&amp;sr=8-2</v>
      </c>
      <c r="F1381" t="s">
        <v>2987</v>
      </c>
      <c r="G1381" t="e">
        <f ca="1">IMAGE("https://mdo-skin.com/cdn/shop/files/image0_800x.png?v=1693912494")</f>
        <v>#NAME?</v>
      </c>
      <c r="H1381" t="e">
        <f ca="1">IMAGE("https://m.media-amazon.com/images/I/417iJexamuL._AC_UL320_.jpg")</f>
        <v>#NAME?</v>
      </c>
      <c r="I1381" t="s">
        <v>2988</v>
      </c>
      <c r="J1381">
        <v>78</v>
      </c>
      <c r="K1381" s="2" t="s">
        <v>2989</v>
      </c>
      <c r="L1381">
        <v>4.7</v>
      </c>
      <c r="M1381">
        <v>1104</v>
      </c>
      <c r="O1381" t="s">
        <v>26</v>
      </c>
      <c r="P1381" t="s">
        <v>39</v>
      </c>
      <c r="Q1381" t="s">
        <v>2990</v>
      </c>
    </row>
    <row r="1382" spans="1:17" ht="15.75" x14ac:dyDescent="0.25">
      <c r="A1382" s="3" t="str">
        <f>HYPERLINK("https://mdo-skin.com/products/10-aha-exfoliant", "https://mdo-skin.com/products/10-aha-exfoliant")</f>
        <v>https://mdo-skin.com/products/10-aha-exfoliant</v>
      </c>
      <c r="B1382" s="3" t="str">
        <f>HYPERLINK("https://mdo-skin.com/products/10-aha-exfoliant", "https://mdo-skin.com/products/10-aha-exfoliant")</f>
        <v>https://mdo-skin.com/products/10-aha-exfoliant</v>
      </c>
      <c r="C1382" t="s">
        <v>2991</v>
      </c>
      <c r="D1382" t="s">
        <v>2992</v>
      </c>
      <c r="E1382" s="3" t="str">
        <f>HYPERLINK("https://www.amazon.com/Paulas-Choice-Smoothing-Treatment-Exfoliator/dp/B07FMW37HT/ref=sr_1_2?keywords=10%25+AHA+Exfoliant&amp;qid=1695258944&amp;sr=8-2", "https://www.amazon.com/Paulas-Choice-Smoothing-Treatment-Exfoliator/dp/B07FMW37HT/ref=sr_1_2?keywords=10%25+AHA+Exfoliant&amp;qid=1695258944&amp;sr=8-2")</f>
        <v>https://www.amazon.com/Paulas-Choice-Smoothing-Treatment-Exfoliator/dp/B07FMW37HT/ref=sr_1_2?keywords=10%25+AHA+Exfoliant&amp;qid=1695258944&amp;sr=8-2</v>
      </c>
      <c r="F1382" t="s">
        <v>2993</v>
      </c>
      <c r="G1382" t="e">
        <f ca="1">IMAGE("https://mdo-skin.com/cdn/shop/files/Mdoedit-37ProductPage_800x.png?v=1693814476")</f>
        <v>#NAME?</v>
      </c>
      <c r="H1382" t="e">
        <f ca="1">IMAGE("https://m.media-amazon.com/images/I/61ciG-OokkL._AC_UL320_.jpg")</f>
        <v>#NAME?</v>
      </c>
      <c r="I1382" t="s">
        <v>2994</v>
      </c>
      <c r="J1382">
        <v>39</v>
      </c>
      <c r="K1382" s="2" t="s">
        <v>2995</v>
      </c>
      <c r="L1382">
        <v>4.5</v>
      </c>
      <c r="M1382">
        <v>194</v>
      </c>
      <c r="O1382" t="s">
        <v>26</v>
      </c>
      <c r="P1382" t="s">
        <v>39</v>
      </c>
      <c r="Q1382" t="s">
        <v>2996</v>
      </c>
    </row>
    <row r="1383" spans="1:17" ht="15.75" x14ac:dyDescent="0.25">
      <c r="A1383" s="3" t="str">
        <f>HYPERLINK("https://mdo-skin.com/products/pro-collagen-refining-serum", "https://mdo-skin.com/products/pro-collagen-refining-serum")</f>
        <v>https://mdo-skin.com/products/pro-collagen-refining-serum</v>
      </c>
      <c r="B1383" s="3" t="str">
        <f>HYPERLINK("https://mdo-skin.com/products/pro-collagen-refining-serum", "https://mdo-skin.com/products/pro-collagen-refining-serum")</f>
        <v>https://mdo-skin.com/products/pro-collagen-refining-serum</v>
      </c>
      <c r="C1383" t="s">
        <v>2963</v>
      </c>
      <c r="D1383" t="s">
        <v>2997</v>
      </c>
      <c r="E1383" s="3" t="str">
        <f>HYPERLINK("https://www.amazon.com/Paulas-Choice-Pro-Collagen-Multi-Peptide-Fragrance-Free/dp/B0BV3F1X4H/ref=sr_1_2?keywords=Pro-Collagen+Refining+Serum&amp;qid=1695258937&amp;sr=8-2", "https://www.amazon.com/Paulas-Choice-Pro-Collagen-Multi-Peptide-Fragrance-Free/dp/B0BV3F1X4H/ref=sr_1_2?keywords=Pro-Collagen+Refining+Serum&amp;qid=1695258937&amp;sr=8-2")</f>
        <v>https://www.amazon.com/Paulas-Choice-Pro-Collagen-Multi-Peptide-Fragrance-Free/dp/B0BV3F1X4H/ref=sr_1_2?keywords=Pro-Collagen+Refining+Serum&amp;qid=1695258937&amp;sr=8-2</v>
      </c>
      <c r="F1383" t="s">
        <v>2998</v>
      </c>
      <c r="G1383" t="e">
        <f ca="1">IMAGE("https://mdo-skin.com/cdn/shop/files/Mdoedit-13ProductPage_1080x.png?v=1693814696")</f>
        <v>#NAME?</v>
      </c>
      <c r="H1383" t="e">
        <f ca="1">IMAGE("https://m.media-amazon.com/images/I/61Kn3VXmEHL._AC_UL320_.jpg")</f>
        <v>#NAME?</v>
      </c>
      <c r="I1383" t="s">
        <v>2966</v>
      </c>
      <c r="J1383">
        <v>58</v>
      </c>
      <c r="K1383" s="2" t="s">
        <v>2999</v>
      </c>
      <c r="L1383">
        <v>4.4000000000000004</v>
      </c>
      <c r="M1383">
        <v>95</v>
      </c>
      <c r="O1383" t="s">
        <v>26</v>
      </c>
      <c r="P1383" t="s">
        <v>39</v>
      </c>
      <c r="Q1383" t="s">
        <v>2968</v>
      </c>
    </row>
    <row r="1384" spans="1:17" ht="15.75" x14ac:dyDescent="0.25">
      <c r="A1384" s="3" t="str">
        <f>HYPERLINK("https://mdo-skin.com/products/skin-rescue-sheet-mask", "https://mdo-skin.com/products/skin-rescue-sheet-mask")</f>
        <v>https://mdo-skin.com/products/skin-rescue-sheet-mask</v>
      </c>
      <c r="B1384" s="3" t="str">
        <f>HYPERLINK("https://mdo-skin.com/products/skin-rescue-sheet-mask", "https://mdo-skin.com/products/skin-rescue-sheet-mask")</f>
        <v>https://mdo-skin.com/products/skin-rescue-sheet-mask</v>
      </c>
      <c r="C1384" t="s">
        <v>3000</v>
      </c>
      <c r="D1384" t="s">
        <v>3001</v>
      </c>
      <c r="E1384" s="3" t="str">
        <f>HYPERLINK("https://www.amazon.com/BioRepublic-Skincare-Aloe-Rescue-Box/dp/B00ZIS53M4/ref=sr_1_5?keywords=Skin+Rescue+Sheet+Mask&amp;qid=1695258938&amp;sr=8-5", "https://www.amazon.com/BioRepublic-Skincare-Aloe-Rescue-Box/dp/B00ZIS53M4/ref=sr_1_5?keywords=Skin+Rescue+Sheet+Mask&amp;qid=1695258938&amp;sr=8-5")</f>
        <v>https://www.amazon.com/BioRepublic-Skincare-Aloe-Rescue-Box/dp/B00ZIS53M4/ref=sr_1_5?keywords=Skin+Rescue+Sheet+Mask&amp;qid=1695258938&amp;sr=8-5</v>
      </c>
      <c r="F1384" t="s">
        <v>3002</v>
      </c>
      <c r="G1384" t="e">
        <f ca="1">IMAGE("https://mdo-skin.com/cdn/shop/files/Myproject_1_800x.png?v=1689152772")</f>
        <v>#NAME?</v>
      </c>
      <c r="H1384" t="e">
        <f ca="1">IMAGE("https://m.media-amazon.com/images/I/41GLKlf3iyL._AC_UL320_.jpg")</f>
        <v>#NAME?</v>
      </c>
      <c r="I1384" t="s">
        <v>2994</v>
      </c>
      <c r="J1384">
        <v>35</v>
      </c>
      <c r="K1384" s="2" t="s">
        <v>3003</v>
      </c>
      <c r="L1384">
        <v>5</v>
      </c>
      <c r="M1384">
        <v>1</v>
      </c>
      <c r="O1384" t="s">
        <v>26</v>
      </c>
      <c r="P1384" t="s">
        <v>39</v>
      </c>
      <c r="Q1384" t="s">
        <v>3004</v>
      </c>
    </row>
    <row r="1385" spans="1:17" ht="15.75" x14ac:dyDescent="0.25">
      <c r="A1385" s="3" t="str">
        <f>HYPERLINK("https://mdo-skin.com/products/cleansing-milk", "https://mdo-skin.com/products/cleansing-milk")</f>
        <v>https://mdo-skin.com/products/cleansing-milk</v>
      </c>
      <c r="B1385" s="3" t="str">
        <f>HYPERLINK("https://mdo-skin.com/products/cleansing-milk", "https://mdo-skin.com/products/cleansing-milk")</f>
        <v>https://mdo-skin.com/products/cleansing-milk</v>
      </c>
      <c r="C1385" t="s">
        <v>2954</v>
      </c>
      <c r="D1385" t="s">
        <v>3005</v>
      </c>
      <c r="E1385" s="3" t="str">
        <f>HYPERLINK("https://www.amazon.com/Hypoallergenic-Cleansing-Irritated-Moisturizing-Elasticity/dp/B09332QFBY/ref=sr_1_7?keywords=Cleansing+Milk&amp;qid=1695258948&amp;sr=8-7", "https://www.amazon.com/Hypoallergenic-Cleansing-Irritated-Moisturizing-Elasticity/dp/B09332QFBY/ref=sr_1_7?keywords=Cleansing+Milk&amp;qid=1695258948&amp;sr=8-7")</f>
        <v>https://www.amazon.com/Hypoallergenic-Cleansing-Irritated-Moisturizing-Elasticity/dp/B09332QFBY/ref=sr_1_7?keywords=Cleansing+Milk&amp;qid=1695258948&amp;sr=8-7</v>
      </c>
      <c r="F1385" t="s">
        <v>3006</v>
      </c>
      <c r="G1385" t="e">
        <f ca="1">IMAGE("https://mdo-skin.com/cdn/shop/files/Mdoedit-19ProductPage_800x.png?v=1693814514")</f>
        <v>#NAME?</v>
      </c>
      <c r="H1385" t="e">
        <f ca="1">IMAGE("https://m.media-amazon.com/images/I/51J+SsOGtcS._AC_UL320_.jpg")</f>
        <v>#NAME?</v>
      </c>
      <c r="I1385" t="s">
        <v>2957</v>
      </c>
      <c r="J1385">
        <v>15.3</v>
      </c>
      <c r="K1385" s="2" t="s">
        <v>3007</v>
      </c>
      <c r="L1385">
        <v>4.5</v>
      </c>
      <c r="M1385">
        <v>76</v>
      </c>
      <c r="O1385" t="s">
        <v>26</v>
      </c>
      <c r="P1385" t="s">
        <v>39</v>
      </c>
      <c r="Q1385" t="s">
        <v>2959</v>
      </c>
    </row>
    <row r="1386" spans="1:17" ht="15.75" x14ac:dyDescent="0.25">
      <c r="A1386" s="3" t="str">
        <f>HYPERLINK("https://mdo-skin.com/products/aha-clarifying-cleanser", "https://mdo-skin.com/products/aha-clarifying-cleanser")</f>
        <v>https://mdo-skin.com/products/aha-clarifying-cleanser</v>
      </c>
      <c r="B1386" s="3" t="str">
        <f>HYPERLINK("https://mdo-skin.com/products/aha-clarifying-cleanser", "https://mdo-skin.com/products/aha-clarifying-cleanser")</f>
        <v>https://mdo-skin.com/products/aha-clarifying-cleanser</v>
      </c>
      <c r="C1386" t="s">
        <v>3008</v>
      </c>
      <c r="D1386" t="s">
        <v>3009</v>
      </c>
      <c r="E1386" s="3" t="str">
        <f>HYPERLINK("https://www.amazon.com/Bio-Jouvance-Clarifying-Acne-Prone-Professional/dp/B09FSDL6NM/ref=sr_1_4?keywords=AHA+Clarifying+Cleanser&amp;qid=1695258936&amp;sr=8-4", "https://www.amazon.com/Bio-Jouvance-Clarifying-Acne-Prone-Professional/dp/B09FSDL6NM/ref=sr_1_4?keywords=AHA+Clarifying+Cleanser&amp;qid=1695258936&amp;sr=8-4")</f>
        <v>https://www.amazon.com/Bio-Jouvance-Clarifying-Acne-Prone-Professional/dp/B09FSDL6NM/ref=sr_1_4?keywords=AHA+Clarifying+Cleanser&amp;qid=1695258936&amp;sr=8-4</v>
      </c>
      <c r="F1386" t="s">
        <v>3010</v>
      </c>
      <c r="G1386" t="e">
        <f ca="1">IMAGE("https://mdo-skin.com/cdn/shop/products/AHA-Clariying-Cleanser_800x.png?v=1678261251")</f>
        <v>#NAME?</v>
      </c>
      <c r="H1386" t="e">
        <f ca="1">IMAGE("https://m.media-amazon.com/images/I/61Vkei7hE8L._AC_UL320_.jpg")</f>
        <v>#NAME?</v>
      </c>
      <c r="I1386" t="s">
        <v>2994</v>
      </c>
      <c r="J1386">
        <v>32</v>
      </c>
      <c r="K1386" s="2" t="s">
        <v>3011</v>
      </c>
      <c r="L1386">
        <v>3.9</v>
      </c>
      <c r="M1386">
        <v>30</v>
      </c>
      <c r="O1386" t="s">
        <v>26</v>
      </c>
      <c r="P1386" t="s">
        <v>39</v>
      </c>
      <c r="Q1386" t="s">
        <v>3012</v>
      </c>
    </row>
    <row r="1387" spans="1:17" ht="15.75" x14ac:dyDescent="0.25">
      <c r="A1387" s="3" t="str">
        <f t="shared" ref="A1387:B1390" si="15">HYPERLINK("https://mdo-skin.com/products/skin-rescue-sheet-mask", "https://mdo-skin.com/products/skin-rescue-sheet-mask")</f>
        <v>https://mdo-skin.com/products/skin-rescue-sheet-mask</v>
      </c>
      <c r="B1387" s="3" t="str">
        <f t="shared" si="15"/>
        <v>https://mdo-skin.com/products/skin-rescue-sheet-mask</v>
      </c>
      <c r="C1387" t="s">
        <v>3000</v>
      </c>
      <c r="D1387" t="s">
        <v>3013</v>
      </c>
      <c r="E1387" s="3" t="str">
        <f>HYPERLINK("https://www.amazon.com/menorah-skincare-Hydration-Skin-friendly-Moisturizing/dp/B0C9FK3LRW/ref=sr_1_9?keywords=Skin+Rescue+Sheet+Mask&amp;qid=1695258938&amp;sr=8-9", "https://www.amazon.com/menorah-skincare-Hydration-Skin-friendly-Moisturizing/dp/B0C9FK3LRW/ref=sr_1_9?keywords=Skin+Rescue+Sheet+Mask&amp;qid=1695258938&amp;sr=8-9")</f>
        <v>https://www.amazon.com/menorah-skincare-Hydration-Skin-friendly-Moisturizing/dp/B0C9FK3LRW/ref=sr_1_9?keywords=Skin+Rescue+Sheet+Mask&amp;qid=1695258938&amp;sr=8-9</v>
      </c>
      <c r="F1387" t="s">
        <v>3014</v>
      </c>
      <c r="G1387" t="e">
        <f ca="1">IMAGE("https://mdo-skin.com/cdn/shop/files/Myproject_1_800x.png?v=1689152772")</f>
        <v>#NAME?</v>
      </c>
      <c r="H1387" t="e">
        <f ca="1">IMAGE("https://m.media-amazon.com/images/I/61T6au5LM3L._AC_UL320_.jpg")</f>
        <v>#NAME?</v>
      </c>
      <c r="I1387" t="s">
        <v>2994</v>
      </c>
      <c r="J1387">
        <v>31.5</v>
      </c>
      <c r="K1387" s="2" t="s">
        <v>3015</v>
      </c>
      <c r="L1387">
        <v>5</v>
      </c>
      <c r="M1387">
        <v>2</v>
      </c>
      <c r="O1387" t="s">
        <v>26</v>
      </c>
      <c r="P1387" t="s">
        <v>39</v>
      </c>
      <c r="Q1387" t="s">
        <v>3004</v>
      </c>
    </row>
    <row r="1388" spans="1:17" ht="15.75" x14ac:dyDescent="0.25">
      <c r="A1388" s="3" t="str">
        <f t="shared" si="15"/>
        <v>https://mdo-skin.com/products/skin-rescue-sheet-mask</v>
      </c>
      <c r="B1388" s="3" t="str">
        <f t="shared" si="15"/>
        <v>https://mdo-skin.com/products/skin-rescue-sheet-mask</v>
      </c>
      <c r="C1388" t="s">
        <v>3000</v>
      </c>
      <c r="D1388" t="s">
        <v>3016</v>
      </c>
      <c r="E1388" s="3" t="str">
        <f>HYPERLINK("https://www.amazon.com/menorah-skincare-Anti-Blemish-Treatment-Pomegranate/dp/B0C9F8GRHR/ref=sr_1_10?keywords=Skin+Rescue+Sheet+Mask&amp;qid=1695258938&amp;sr=8-10", "https://www.amazon.com/menorah-skincare-Anti-Blemish-Treatment-Pomegranate/dp/B0C9F8GRHR/ref=sr_1_10?keywords=Skin+Rescue+Sheet+Mask&amp;qid=1695258938&amp;sr=8-10")</f>
        <v>https://www.amazon.com/menorah-skincare-Anti-Blemish-Treatment-Pomegranate/dp/B0C9F8GRHR/ref=sr_1_10?keywords=Skin+Rescue+Sheet+Mask&amp;qid=1695258938&amp;sr=8-10</v>
      </c>
      <c r="F1388" t="s">
        <v>3017</v>
      </c>
      <c r="G1388" t="e">
        <f ca="1">IMAGE("https://mdo-skin.com/cdn/shop/files/Myproject_1_800x.png?v=1689152772")</f>
        <v>#NAME?</v>
      </c>
      <c r="H1388" t="e">
        <f ca="1">IMAGE("https://m.media-amazon.com/images/I/61traX13FJL._AC_UL320_.jpg")</f>
        <v>#NAME?</v>
      </c>
      <c r="I1388" t="s">
        <v>2994</v>
      </c>
      <c r="J1388">
        <v>31.5</v>
      </c>
      <c r="K1388" s="2" t="s">
        <v>3015</v>
      </c>
      <c r="L1388">
        <v>5</v>
      </c>
      <c r="M1388">
        <v>1</v>
      </c>
      <c r="O1388" t="s">
        <v>26</v>
      </c>
      <c r="P1388" t="s">
        <v>39</v>
      </c>
      <c r="Q1388" t="s">
        <v>3004</v>
      </c>
    </row>
    <row r="1389" spans="1:17" ht="15.75" x14ac:dyDescent="0.25">
      <c r="A1389" s="3" t="str">
        <f t="shared" si="15"/>
        <v>https://mdo-skin.com/products/skin-rescue-sheet-mask</v>
      </c>
      <c r="B1389" s="3" t="str">
        <f t="shared" si="15"/>
        <v>https://mdo-skin.com/products/skin-rescue-sheet-mask</v>
      </c>
      <c r="C1389" t="s">
        <v>3000</v>
      </c>
      <c r="D1389" t="s">
        <v>3018</v>
      </c>
      <c r="E1389" s="3" t="str">
        <f>HYPERLINK("https://www.amazon.com/Menorah-skincare-Anti-Aging-Firmness-Elasticity/dp/B0C9FMCT77/ref=sr_1_7?keywords=Skin+Rescue+Sheet+Mask&amp;qid=1695258938&amp;sr=8-7", "https://www.amazon.com/Menorah-skincare-Anti-Aging-Firmness-Elasticity/dp/B0C9FMCT77/ref=sr_1_7?keywords=Skin+Rescue+Sheet+Mask&amp;qid=1695258938&amp;sr=8-7")</f>
        <v>https://www.amazon.com/Menorah-skincare-Anti-Aging-Firmness-Elasticity/dp/B0C9FMCT77/ref=sr_1_7?keywords=Skin+Rescue+Sheet+Mask&amp;qid=1695258938&amp;sr=8-7</v>
      </c>
      <c r="F1389" t="s">
        <v>3019</v>
      </c>
      <c r="G1389" t="e">
        <f ca="1">IMAGE("https://mdo-skin.com/cdn/shop/files/Myproject_1_800x.png?v=1689152772")</f>
        <v>#NAME?</v>
      </c>
      <c r="H1389" t="e">
        <f ca="1">IMAGE("https://m.media-amazon.com/images/I/61DdjHRp6VL._AC_UL320_.jpg")</f>
        <v>#NAME?</v>
      </c>
      <c r="I1389" t="s">
        <v>2994</v>
      </c>
      <c r="J1389">
        <v>31.5</v>
      </c>
      <c r="K1389" s="2" t="s">
        <v>3015</v>
      </c>
      <c r="L1389">
        <v>5</v>
      </c>
      <c r="M1389">
        <v>3</v>
      </c>
      <c r="O1389" t="s">
        <v>26</v>
      </c>
      <c r="P1389" t="s">
        <v>39</v>
      </c>
      <c r="Q1389" t="s">
        <v>3004</v>
      </c>
    </row>
    <row r="1390" spans="1:17" ht="15.75" x14ac:dyDescent="0.25">
      <c r="A1390" s="3" t="str">
        <f t="shared" si="15"/>
        <v>https://mdo-skin.com/products/skin-rescue-sheet-mask</v>
      </c>
      <c r="B1390" s="3" t="str">
        <f t="shared" si="15"/>
        <v>https://mdo-skin.com/products/skin-rescue-sheet-mask</v>
      </c>
      <c r="C1390" t="s">
        <v>3000</v>
      </c>
      <c r="D1390" t="s">
        <v>3020</v>
      </c>
      <c r="E1390" s="3" t="str">
        <f>HYPERLINK("https://www.amazon.com/menorah-skincare-Brighten-Skin-Friendly-Sensitive/dp/B0C9FBKH2V/ref=sr_1_8?keywords=Skin+Rescue+Sheet+Mask&amp;qid=1695258938&amp;sr=8-8", "https://www.amazon.com/menorah-skincare-Brighten-Skin-Friendly-Sensitive/dp/B0C9FBKH2V/ref=sr_1_8?keywords=Skin+Rescue+Sheet+Mask&amp;qid=1695258938&amp;sr=8-8")</f>
        <v>https://www.amazon.com/menorah-skincare-Brighten-Skin-Friendly-Sensitive/dp/B0C9FBKH2V/ref=sr_1_8?keywords=Skin+Rescue+Sheet+Mask&amp;qid=1695258938&amp;sr=8-8</v>
      </c>
      <c r="F1390" t="s">
        <v>3021</v>
      </c>
      <c r="G1390" t="e">
        <f ca="1">IMAGE("https://mdo-skin.com/cdn/shop/files/Myproject_1_800x.png?v=1689152772")</f>
        <v>#NAME?</v>
      </c>
      <c r="H1390" t="e">
        <f ca="1">IMAGE("https://m.media-amazon.com/images/I/61rXxLd3F7L._AC_UL320_.jpg")</f>
        <v>#NAME?</v>
      </c>
      <c r="I1390" t="s">
        <v>2994</v>
      </c>
      <c r="J1390">
        <v>31.5</v>
      </c>
      <c r="K1390" s="2" t="s">
        <v>3015</v>
      </c>
      <c r="L1390">
        <v>5</v>
      </c>
      <c r="M1390">
        <v>2</v>
      </c>
      <c r="O1390" t="s">
        <v>26</v>
      </c>
      <c r="P1390" t="s">
        <v>39</v>
      </c>
      <c r="Q1390" t="s">
        <v>3004</v>
      </c>
    </row>
    <row r="1391" spans="1:17" ht="15.75" x14ac:dyDescent="0.25">
      <c r="A1391" s="3" t="str">
        <f t="shared" ref="A1391:B1393" si="16">HYPERLINK("https://mdo-skin.com/products/10-aha-exfoliant", "https://mdo-skin.com/products/10-aha-exfoliant")</f>
        <v>https://mdo-skin.com/products/10-aha-exfoliant</v>
      </c>
      <c r="B1391" s="3" t="str">
        <f t="shared" si="16"/>
        <v>https://mdo-skin.com/products/10-aha-exfoliant</v>
      </c>
      <c r="C1391" t="s">
        <v>2991</v>
      </c>
      <c r="D1391" t="s">
        <v>3022</v>
      </c>
      <c r="E1391" s="3" t="str">
        <f>HYPERLINK("https://www.amazon.com/Kinship-Smooth-Glycolic-Resurfacing-Serum/dp/B0BB17VVGD/ref=sr_1_7?keywords=10%25+AHA+Exfoliant&amp;qid=1695258944&amp;sr=8-7", "https://www.amazon.com/Kinship-Smooth-Glycolic-Resurfacing-Serum/dp/B0BB17VVGD/ref=sr_1_7?keywords=10%25+AHA+Exfoliant&amp;qid=1695258944&amp;sr=8-7")</f>
        <v>https://www.amazon.com/Kinship-Smooth-Glycolic-Resurfacing-Serum/dp/B0BB17VVGD/ref=sr_1_7?keywords=10%25+AHA+Exfoliant&amp;qid=1695258944&amp;sr=8-7</v>
      </c>
      <c r="F1391" t="s">
        <v>3023</v>
      </c>
      <c r="G1391" t="e">
        <f ca="1">IMAGE("https://mdo-skin.com/cdn/shop/files/Mdoedit-37ProductPage_800x.png?v=1693814476")</f>
        <v>#NAME?</v>
      </c>
      <c r="H1391" t="e">
        <f ca="1">IMAGE("https://m.media-amazon.com/images/I/41d0XKExnyL._AC_UL320_.jpg")</f>
        <v>#NAME?</v>
      </c>
      <c r="I1391" t="s">
        <v>2994</v>
      </c>
      <c r="J1391">
        <v>30</v>
      </c>
      <c r="K1391" s="2" t="s">
        <v>3024</v>
      </c>
      <c r="L1391">
        <v>4.5</v>
      </c>
      <c r="M1391">
        <v>30</v>
      </c>
      <c r="O1391" t="s">
        <v>26</v>
      </c>
      <c r="P1391" t="s">
        <v>39</v>
      </c>
      <c r="Q1391" t="s">
        <v>2996</v>
      </c>
    </row>
    <row r="1392" spans="1:17" ht="15.75" x14ac:dyDescent="0.25">
      <c r="A1392" s="3" t="str">
        <f t="shared" si="16"/>
        <v>https://mdo-skin.com/products/10-aha-exfoliant</v>
      </c>
      <c r="B1392" s="3" t="str">
        <f t="shared" si="16"/>
        <v>https://mdo-skin.com/products/10-aha-exfoliant</v>
      </c>
      <c r="C1392" t="s">
        <v>2991</v>
      </c>
      <c r="D1392" t="s">
        <v>3025</v>
      </c>
      <c r="E1392" s="3" t="str">
        <f>HYPERLINK("https://www.amazon.com/First-Aid-Beauty-Eraser-Scrub/dp/B07XG6BKCV/ref=sr_1_1?keywords=10%25+AHA+Exfoliant&amp;qid=1695258944&amp;sr=8-1", "https://www.amazon.com/First-Aid-Beauty-Eraser-Scrub/dp/B07XG6BKCV/ref=sr_1_1?keywords=10%25+AHA+Exfoliant&amp;qid=1695258944&amp;sr=8-1")</f>
        <v>https://www.amazon.com/First-Aid-Beauty-Eraser-Scrub/dp/B07XG6BKCV/ref=sr_1_1?keywords=10%25+AHA+Exfoliant&amp;qid=1695258944&amp;sr=8-1</v>
      </c>
      <c r="F1392" t="s">
        <v>3026</v>
      </c>
      <c r="G1392" t="e">
        <f ca="1">IMAGE("https://mdo-skin.com/cdn/shop/files/Mdoedit-37ProductPage_800x.png?v=1693814476")</f>
        <v>#NAME?</v>
      </c>
      <c r="H1392" t="e">
        <f ca="1">IMAGE("https://m.media-amazon.com/images/I/617R6e7PqyL._AC_UL320_.jpg")</f>
        <v>#NAME?</v>
      </c>
      <c r="I1392" t="s">
        <v>2994</v>
      </c>
      <c r="J1392">
        <v>30</v>
      </c>
      <c r="K1392" s="2" t="s">
        <v>3024</v>
      </c>
      <c r="L1392">
        <v>4.4000000000000004</v>
      </c>
      <c r="M1392">
        <v>31496</v>
      </c>
      <c r="O1392" t="s">
        <v>26</v>
      </c>
      <c r="P1392" t="s">
        <v>39</v>
      </c>
      <c r="Q1392" t="s">
        <v>2996</v>
      </c>
    </row>
    <row r="1393" spans="1:17" ht="15.75" x14ac:dyDescent="0.25">
      <c r="A1393" s="3" t="str">
        <f t="shared" si="16"/>
        <v>https://mdo-skin.com/products/10-aha-exfoliant</v>
      </c>
      <c r="B1393" s="3" t="str">
        <f t="shared" si="16"/>
        <v>https://mdo-skin.com/products/10-aha-exfoliant</v>
      </c>
      <c r="C1393" t="s">
        <v>2991</v>
      </c>
      <c r="D1393" t="s">
        <v>3027</v>
      </c>
      <c r="E1393" s="3" t="str">
        <f>HYPERLINK("https://www.amazon.com/Youth-People-Kombucha-Exfoliation-Power/dp/B08GY8DVQ8/ref=sr_1_6?keywords=10%25+AHA+Exfoliant&amp;qid=1695258944&amp;sr=8-6", "https://www.amazon.com/Youth-People-Kombucha-Exfoliation-Power/dp/B08GY8DVQ8/ref=sr_1_6?keywords=10%25+AHA+Exfoliant&amp;qid=1695258944&amp;sr=8-6")</f>
        <v>https://www.amazon.com/Youth-People-Kombucha-Exfoliation-Power/dp/B08GY8DVQ8/ref=sr_1_6?keywords=10%25+AHA+Exfoliant&amp;qid=1695258944&amp;sr=8-6</v>
      </c>
      <c r="F1393" t="s">
        <v>3028</v>
      </c>
      <c r="G1393" t="e">
        <f ca="1">IMAGE("https://mdo-skin.com/cdn/shop/files/Mdoedit-37ProductPage_800x.png?v=1693814476")</f>
        <v>#NAME?</v>
      </c>
      <c r="H1393" t="e">
        <f ca="1">IMAGE("https://m.media-amazon.com/images/I/51b1++inOuL._AC_UL320_.jpg")</f>
        <v>#NAME?</v>
      </c>
      <c r="I1393" t="s">
        <v>2994</v>
      </c>
      <c r="J1393">
        <v>29.95</v>
      </c>
      <c r="K1393" s="2" t="s">
        <v>3029</v>
      </c>
      <c r="L1393">
        <v>4.5</v>
      </c>
      <c r="M1393">
        <v>560</v>
      </c>
      <c r="O1393" t="s">
        <v>26</v>
      </c>
      <c r="P1393" t="s">
        <v>39</v>
      </c>
      <c r="Q1393" t="s">
        <v>2996</v>
      </c>
    </row>
    <row r="1394" spans="1:17" ht="15.75" x14ac:dyDescent="0.25">
      <c r="A1394" s="3" t="str">
        <f>HYPERLINK("https://mdo-skin.com/products/hyaluronic-eye-cream", "https://mdo-skin.com/products/hyaluronic-eye-cream")</f>
        <v>https://mdo-skin.com/products/hyaluronic-eye-cream</v>
      </c>
      <c r="B1394" s="3" t="str">
        <f>HYPERLINK("https://mdo-skin.com/products/hyaluronic-eye-cream", "https://mdo-skin.com/products/hyaluronic-eye-cream")</f>
        <v>https://mdo-skin.com/products/hyaluronic-eye-cream</v>
      </c>
      <c r="C1394" t="s">
        <v>3030</v>
      </c>
      <c r="D1394" t="s">
        <v>3031</v>
      </c>
      <c r="E1394" s="3" t="str">
        <f>HYPERLINK("https://www.amazon.com/LANEIGE-Water-Bank-Hyaluronic-Cream/dp/B09V8WYM88/ref=sr_1_10?keywords=Hyaluronic+Eye+Cream&amp;qid=1695258944&amp;sr=8-10", "https://www.amazon.com/LANEIGE-Water-Bank-Hyaluronic-Cream/dp/B09V8WYM88/ref=sr_1_10?keywords=Hyaluronic+Eye+Cream&amp;qid=1695258944&amp;sr=8-10")</f>
        <v>https://www.amazon.com/LANEIGE-Water-Bank-Hyaluronic-Cream/dp/B09V8WYM88/ref=sr_1_10?keywords=Hyaluronic+Eye+Cream&amp;qid=1695258944&amp;sr=8-10</v>
      </c>
      <c r="F1394" t="s">
        <v>3032</v>
      </c>
      <c r="G1394" t="e">
        <f ca="1">IMAGE("https://mdo-skin.com/cdn/shop/products/7649989187277_03_800x.png?v=1664361914")</f>
        <v>#NAME?</v>
      </c>
      <c r="H1394" t="e">
        <f ca="1">IMAGE("https://m.media-amazon.com/images/I/61nlrtNiGJL._AC_UL320_.jpg")</f>
        <v>#NAME?</v>
      </c>
      <c r="I1394" t="s">
        <v>2966</v>
      </c>
      <c r="J1394">
        <v>43</v>
      </c>
      <c r="K1394" s="2" t="s">
        <v>3033</v>
      </c>
      <c r="L1394">
        <v>4.5999999999999996</v>
      </c>
      <c r="M1394">
        <v>68</v>
      </c>
      <c r="O1394" t="s">
        <v>26</v>
      </c>
      <c r="P1394" t="s">
        <v>39</v>
      </c>
      <c r="Q1394" t="s">
        <v>3034</v>
      </c>
    </row>
    <row r="1395" spans="1:17" ht="15.75" x14ac:dyDescent="0.25">
      <c r="A1395" s="3" t="str">
        <f>HYPERLINK("https://mdo-skin.com/products/boost-set-combination", "https://mdo-skin.com/products/boost-set-combination")</f>
        <v>https://mdo-skin.com/products/boost-set-combination</v>
      </c>
      <c r="B1395" s="3" t="str">
        <f>HYPERLINK("https://mdo-skin.com/products/boost-set-combination", "https://mdo-skin.com/products/boost-set-combination")</f>
        <v>https://mdo-skin.com/products/boost-set-combination</v>
      </c>
      <c r="C1395" t="s">
        <v>3035</v>
      </c>
      <c r="D1395" t="s">
        <v>3036</v>
      </c>
      <c r="E1395" s="3" t="str">
        <f>HYPERLINK("https://www.amazon.com/Cookies-Then-Milk-Breastfeeding-Supplement/dp/B0BPTK5HK4/ref=sr_1_8?keywords=BOOST+Set&amp;qid=1695258946&amp;sr=8-8", "https://www.amazon.com/Cookies-Then-Milk-Breastfeeding-Supplement/dp/B0BPTK5HK4/ref=sr_1_8?keywords=BOOST+Set&amp;qid=1695258946&amp;sr=8-8")</f>
        <v>https://www.amazon.com/Cookies-Then-Milk-Breastfeeding-Supplement/dp/B0BPTK5HK4/ref=sr_1_8?keywords=BOOST+Set&amp;qid=1695258946&amp;sr=8-8</v>
      </c>
      <c r="F1395" t="s">
        <v>3037</v>
      </c>
      <c r="G1395" t="e">
        <f ca="1">IMAGE("https://mdo-skin.com/cdn/shop/files/BoostSet_800x.png?v=1694069342")</f>
        <v>#NAME?</v>
      </c>
      <c r="H1395" t="e">
        <f ca="1">IMAGE("https://m.media-amazon.com/images/I/71NCV5cz3kL._AC_UL320_.jpg")</f>
        <v>#NAME?</v>
      </c>
      <c r="I1395" t="s">
        <v>3038</v>
      </c>
      <c r="J1395">
        <v>76.47</v>
      </c>
      <c r="K1395" s="2" t="s">
        <v>3039</v>
      </c>
      <c r="L1395">
        <v>4.4000000000000004</v>
      </c>
      <c r="M1395">
        <v>33</v>
      </c>
      <c r="O1395" t="s">
        <v>26</v>
      </c>
      <c r="P1395" t="s">
        <v>39</v>
      </c>
      <c r="Q1395" t="s">
        <v>3040</v>
      </c>
    </row>
    <row r="1396" spans="1:17" ht="15.75" x14ac:dyDescent="0.25">
      <c r="A1396" s="3" t="str">
        <f>HYPERLINK("https://mdo-skin.com/products/skin-rescue-sheet-mask", "https://mdo-skin.com/products/skin-rescue-sheet-mask")</f>
        <v>https://mdo-skin.com/products/skin-rescue-sheet-mask</v>
      </c>
      <c r="B1396" s="3" t="str">
        <f>HYPERLINK("https://mdo-skin.com/products/skin-rescue-sheet-mask", "https://mdo-skin.com/products/skin-rescue-sheet-mask")</f>
        <v>https://mdo-skin.com/products/skin-rescue-sheet-mask</v>
      </c>
      <c r="C1396" t="s">
        <v>3000</v>
      </c>
      <c r="D1396" t="s">
        <v>3041</v>
      </c>
      <c r="E1396" s="3" t="str">
        <f>HYPERLINK("https://www.amazon.com/Minute-Rescue-Sheet-Mask-Assortment/dp/B079ZN63YR/ref=sr_1_3?keywords=Skin+Rescue+Sheet+Mask&amp;qid=1695258938&amp;sr=8-3", "https://www.amazon.com/Minute-Rescue-Sheet-Mask-Assortment/dp/B079ZN63YR/ref=sr_1_3?keywords=Skin+Rescue+Sheet+Mask&amp;qid=1695258938&amp;sr=8-3")</f>
        <v>https://www.amazon.com/Minute-Rescue-Sheet-Mask-Assortment/dp/B079ZN63YR/ref=sr_1_3?keywords=Skin+Rescue+Sheet+Mask&amp;qid=1695258938&amp;sr=8-3</v>
      </c>
      <c r="F1396" t="s">
        <v>3042</v>
      </c>
      <c r="G1396" t="e">
        <f ca="1">IMAGE("https://mdo-skin.com/cdn/shop/files/Myproject_1_800x.png?v=1689152772")</f>
        <v>#NAME?</v>
      </c>
      <c r="H1396" t="e">
        <f ca="1">IMAGE("https://m.media-amazon.com/images/I/71ulKjrQX0L._AC_UL320_.jpg")</f>
        <v>#NAME?</v>
      </c>
      <c r="I1396" t="s">
        <v>2994</v>
      </c>
      <c r="J1396">
        <v>22</v>
      </c>
      <c r="K1396" s="2" t="s">
        <v>3043</v>
      </c>
      <c r="L1396">
        <v>4.7</v>
      </c>
      <c r="M1396">
        <v>70</v>
      </c>
      <c r="O1396" t="s">
        <v>26</v>
      </c>
      <c r="P1396" t="s">
        <v>39</v>
      </c>
      <c r="Q1396" t="s">
        <v>3004</v>
      </c>
    </row>
    <row r="1397" spans="1:17" ht="15.75" x14ac:dyDescent="0.25">
      <c r="A1397" s="3" t="str">
        <f>HYPERLINK("https://mdo-skin.com/products/skin-hydro-boost-1", "https://mdo-skin.com/products/skin-hydro-boost-1")</f>
        <v>https://mdo-skin.com/products/skin-hydro-boost-1</v>
      </c>
      <c r="B1397" s="3" t="str">
        <f>HYPERLINK("https://mdo-skin.com/products/skin-hydro-boost-1", "https://mdo-skin.com/products/skin-hydro-boost-1")</f>
        <v>https://mdo-skin.com/products/skin-hydro-boost-1</v>
      </c>
      <c r="C1397" t="s">
        <v>3044</v>
      </c>
      <c r="D1397" t="s">
        <v>3045</v>
      </c>
      <c r="E1397" s="3" t="str">
        <f>HYPERLINK("https://www.amazon.com/Neutrogena-Hyaluronic-Hydrating-Moisturizer-Gel-Cream/dp/B00NR1YQK4/ref=sr_1_2?keywords=Skin+Hydro+Boost&amp;qid=1695258943&amp;sr=8-2", "https://www.amazon.com/Neutrogena-Hyaluronic-Hydrating-Moisturizer-Gel-Cream/dp/B00NR1YQK4/ref=sr_1_2?keywords=Skin+Hydro+Boost&amp;qid=1695258943&amp;sr=8-2")</f>
        <v>https://www.amazon.com/Neutrogena-Hyaluronic-Hydrating-Moisturizer-Gel-Cream/dp/B00NR1YQK4/ref=sr_1_2?keywords=Skin+Hydro+Boost&amp;qid=1695258943&amp;sr=8-2</v>
      </c>
      <c r="F1397" t="s">
        <v>3046</v>
      </c>
      <c r="G1397" t="e">
        <f ca="1">IMAGE("https://mdo-skin.com/cdn/shop/products/MDO_SkinHydroBoost_Skincare_700x.png?v=1641228460")</f>
        <v>#NAME?</v>
      </c>
      <c r="H1397" t="e">
        <f ca="1">IMAGE("https://m.media-amazon.com/images/I/71Z+wNMRYYL._AC_UL320_.jpg")</f>
        <v>#NAME?</v>
      </c>
      <c r="I1397" t="s">
        <v>3047</v>
      </c>
      <c r="J1397">
        <v>17.55</v>
      </c>
      <c r="K1397" s="2" t="s">
        <v>3048</v>
      </c>
      <c r="L1397">
        <v>4.5999999999999996</v>
      </c>
      <c r="M1397">
        <v>44115</v>
      </c>
      <c r="O1397" t="s">
        <v>26</v>
      </c>
      <c r="P1397" t="s">
        <v>39</v>
      </c>
      <c r="Q1397" t="s">
        <v>3049</v>
      </c>
    </row>
    <row r="1398" spans="1:17" ht="15.75" x14ac:dyDescent="0.25">
      <c r="A1398" s="3" t="str">
        <f>HYPERLINK("https://mdo-skin.com/products/collagen-boost-sheet-mask", "https://mdo-skin.com/products/collagen-boost-sheet-mask")</f>
        <v>https://mdo-skin.com/products/collagen-boost-sheet-mask</v>
      </c>
      <c r="B1398" s="3" t="str">
        <f>HYPERLINK("https://mdo-skin.com/products/collagen-boost-sheet-mask", "https://mdo-skin.com/products/collagen-boost-sheet-mask")</f>
        <v>https://mdo-skin.com/products/collagen-boost-sheet-mask</v>
      </c>
      <c r="C1398" t="s">
        <v>3050</v>
      </c>
      <c r="D1398" t="s">
        <v>3051</v>
      </c>
      <c r="E1398" s="3" t="str">
        <f>HYPERLINK("https://www.amazon.com/LAPCOS-Collagen-Anti-Aging-Peptides-Wrinkles/dp/B07DN4H67T/ref=sr_1_3?keywords=Collagen+Sheet+Mask&amp;qid=1695258939&amp;sr=8-3", "https://www.amazon.com/LAPCOS-Collagen-Anti-Aging-Peptides-Wrinkles/dp/B07DN4H67T/ref=sr_1_3?keywords=Collagen+Sheet+Mask&amp;qid=1695258939&amp;sr=8-3")</f>
        <v>https://www.amazon.com/LAPCOS-Collagen-Anti-Aging-Peptides-Wrinkles/dp/B07DN4H67T/ref=sr_1_3?keywords=Collagen+Sheet+Mask&amp;qid=1695258939&amp;sr=8-3</v>
      </c>
      <c r="F1398" t="s">
        <v>3052</v>
      </c>
      <c r="G1398" t="e">
        <f ca="1">IMAGE("https://mdo-skin.com/cdn/shop/products/MDO_PRODUCT_IMAGES_MASKS_800x800px_02_800x.jpg?v=1648654128")</f>
        <v>#NAME?</v>
      </c>
      <c r="H1398" t="e">
        <f ca="1">IMAGE("https://m.media-amazon.com/images/I/71g20v3okJL._AC_UL320_.jpg")</f>
        <v>#NAME?</v>
      </c>
      <c r="I1398" t="s">
        <v>2994</v>
      </c>
      <c r="J1398">
        <v>20</v>
      </c>
      <c r="K1398" s="2" t="s">
        <v>2687</v>
      </c>
      <c r="L1398">
        <v>4.5999999999999996</v>
      </c>
      <c r="M1398">
        <v>6009</v>
      </c>
      <c r="O1398" t="s">
        <v>26</v>
      </c>
      <c r="P1398" t="s">
        <v>39</v>
      </c>
      <c r="Q1398" t="s">
        <v>3053</v>
      </c>
    </row>
    <row r="1399" spans="1:17" ht="15.75" x14ac:dyDescent="0.25">
      <c r="A1399" s="3" t="str">
        <f>HYPERLINK("https://mdo-skin.com/products/10-aha-exfoliant", "https://mdo-skin.com/products/10-aha-exfoliant")</f>
        <v>https://mdo-skin.com/products/10-aha-exfoliant</v>
      </c>
      <c r="B1399" s="3" t="str">
        <f>HYPERLINK("https://mdo-skin.com/products/10-aha-exfoliant", "https://mdo-skin.com/products/10-aha-exfoliant")</f>
        <v>https://mdo-skin.com/products/10-aha-exfoliant</v>
      </c>
      <c r="C1399" t="s">
        <v>2991</v>
      </c>
      <c r="D1399" t="s">
        <v>3054</v>
      </c>
      <c r="E1399" s="3" t="str">
        <f>HYPERLINK("https://www.amazon.com/AHA-BHA-Exfoliating-Exfoliator-Antioxidants/dp/B083VW53LX/ref=sr_1_3?keywords=10%25+AHA+Exfoliant&amp;qid=1695258944&amp;sr=8-3", "https://www.amazon.com/AHA-BHA-Exfoliating-Exfoliator-Antioxidants/dp/B083VW53LX/ref=sr_1_3?keywords=10%25+AHA+Exfoliant&amp;qid=1695258944&amp;sr=8-3")</f>
        <v>https://www.amazon.com/AHA-BHA-Exfoliating-Exfoliator-Antioxidants/dp/B083VW53LX/ref=sr_1_3?keywords=10%25+AHA+Exfoliant&amp;qid=1695258944&amp;sr=8-3</v>
      </c>
      <c r="F1399" t="s">
        <v>3055</v>
      </c>
      <c r="G1399" t="e">
        <f ca="1">IMAGE("https://mdo-skin.com/cdn/shop/files/Mdoedit-37ProductPage_800x.png?v=1693814476")</f>
        <v>#NAME?</v>
      </c>
      <c r="H1399" t="e">
        <f ca="1">IMAGE("https://m.media-amazon.com/images/I/71uaCPaXkrL._AC_UL320_.jpg")</f>
        <v>#NAME?</v>
      </c>
      <c r="I1399" t="s">
        <v>2994</v>
      </c>
      <c r="J1399">
        <v>19.95</v>
      </c>
      <c r="K1399" s="2" t="s">
        <v>3056</v>
      </c>
      <c r="L1399">
        <v>4.3</v>
      </c>
      <c r="M1399">
        <v>706</v>
      </c>
      <c r="O1399" t="s">
        <v>26</v>
      </c>
      <c r="P1399" t="s">
        <v>39</v>
      </c>
      <c r="Q1399" t="s">
        <v>2996</v>
      </c>
    </row>
    <row r="1400" spans="1:17" ht="15.75" x14ac:dyDescent="0.25">
      <c r="A1400" s="3" t="str">
        <f>HYPERLINK("https://mdo-skin.com/products/collagen-boost-sheet-mask", "https://mdo-skin.com/products/collagen-boost-sheet-mask")</f>
        <v>https://mdo-skin.com/products/collagen-boost-sheet-mask</v>
      </c>
      <c r="B1400" s="3" t="str">
        <f>HYPERLINK("https://mdo-skin.com/products/collagen-boost-sheet-mask", "https://mdo-skin.com/products/collagen-boost-sheet-mask")</f>
        <v>https://mdo-skin.com/products/collagen-boost-sheet-mask</v>
      </c>
      <c r="C1400" t="s">
        <v>3050</v>
      </c>
      <c r="D1400" t="s">
        <v>3057</v>
      </c>
      <c r="E1400" s="3" t="str">
        <f>HYPERLINK("https://www.amazon.com/Mediheal-Official-Best-Korean-Sheet/dp/B09XWHB1HR/ref=sr_1_2?keywords=Collagen+Sheet+Mask&amp;qid=1695258939&amp;sr=8-2", "https://www.amazon.com/Mediheal-Official-Best-Korean-Sheet/dp/B09XWHB1HR/ref=sr_1_2?keywords=Collagen+Sheet+Mask&amp;qid=1695258939&amp;sr=8-2")</f>
        <v>https://www.amazon.com/Mediheal-Official-Best-Korean-Sheet/dp/B09XWHB1HR/ref=sr_1_2?keywords=Collagen+Sheet+Mask&amp;qid=1695258939&amp;sr=8-2</v>
      </c>
      <c r="F1400" t="s">
        <v>3058</v>
      </c>
      <c r="G1400" t="e">
        <f ca="1">IMAGE("https://mdo-skin.com/cdn/shop/products/MDO_PRODUCT_IMAGES_MASKS_800x800px_02_800x.jpg?v=1648654128")</f>
        <v>#NAME?</v>
      </c>
      <c r="H1400" t="e">
        <f ca="1">IMAGE("https://m.media-amazon.com/images/I/61nWG4N1b+L._AC_UL320_.jpg")</f>
        <v>#NAME?</v>
      </c>
      <c r="I1400" t="s">
        <v>2994</v>
      </c>
      <c r="J1400">
        <v>19.899999999999999</v>
      </c>
      <c r="K1400" s="2" t="s">
        <v>3059</v>
      </c>
      <c r="L1400">
        <v>4.5999999999999996</v>
      </c>
      <c r="M1400">
        <v>325</v>
      </c>
      <c r="O1400" t="s">
        <v>26</v>
      </c>
      <c r="P1400" t="s">
        <v>39</v>
      </c>
      <c r="Q1400" t="s">
        <v>3053</v>
      </c>
    </row>
    <row r="1401" spans="1:17" ht="15.75" x14ac:dyDescent="0.25">
      <c r="A1401" s="3" t="str">
        <f>HYPERLINK("https://mdo-skin.com/products/cleansing-milk", "https://mdo-skin.com/products/cleansing-milk")</f>
        <v>https://mdo-skin.com/products/cleansing-milk</v>
      </c>
      <c r="B1401" s="3" t="str">
        <f>HYPERLINK("https://mdo-skin.com/products/cleansing-milk", "https://mdo-skin.com/products/cleansing-milk")</f>
        <v>https://mdo-skin.com/products/cleansing-milk</v>
      </c>
      <c r="C1401" t="s">
        <v>2954</v>
      </c>
      <c r="D1401" t="s">
        <v>3060</v>
      </c>
      <c r="E1401" s="3"/>
      <c r="F1401" t="s">
        <v>3061</v>
      </c>
      <c r="G1401" t="e">
        <f ca="1">IMAGE("https://mdo-skin.com/cdn/shop/files/Mdoedit-19ProductPage_800x.png?v=1693814514")</f>
        <v>#NAME?</v>
      </c>
      <c r="H1401" t="e">
        <f ca="1">IMAGE("https://m.media-amazon.com/images/I/51Y9hWVm0fL._AC_UL320_.jpg")</f>
        <v>#NAME?</v>
      </c>
      <c r="I1401" t="s">
        <v>2957</v>
      </c>
      <c r="J1401">
        <v>8.99</v>
      </c>
      <c r="K1401" s="2" t="s">
        <v>3062</v>
      </c>
      <c r="L1401">
        <v>4.5</v>
      </c>
      <c r="M1401">
        <v>66</v>
      </c>
      <c r="O1401" t="s">
        <v>26</v>
      </c>
      <c r="P1401" t="s">
        <v>39</v>
      </c>
      <c r="Q1401" t="s">
        <v>2959</v>
      </c>
    </row>
    <row r="1402" spans="1:17" ht="15.75" x14ac:dyDescent="0.25">
      <c r="A1402" s="3" t="str">
        <f>HYPERLINK("https://mdo-skin.com/products/skin-hydro-boost-1", "https://mdo-skin.com/products/skin-hydro-boost-1")</f>
        <v>https://mdo-skin.com/products/skin-hydro-boost-1</v>
      </c>
      <c r="B1402" s="3" t="str">
        <f>HYPERLINK("https://mdo-skin.com/products/skin-hydro-boost-1", "https://mdo-skin.com/products/skin-hydro-boost-1")</f>
        <v>https://mdo-skin.com/products/skin-hydro-boost-1</v>
      </c>
      <c r="C1402" t="s">
        <v>3044</v>
      </c>
      <c r="D1402" t="s">
        <v>3063</v>
      </c>
      <c r="E1402" s="3" t="str">
        <f>HYPERLINK("https://www.amazon.com/Neutrogena-Hydro-Hyaluronic-Hydrating-Moisturizer/dp/B017W3J8TQ/ref=sr_1_6?keywords=Skin+Hydro+Boost&amp;qid=1695258943&amp;sr=8-6", "https://www.amazon.com/Neutrogena-Hydro-Hyaluronic-Hydrating-Moisturizer/dp/B017W3J8TQ/ref=sr_1_6?keywords=Skin+Hydro+Boost&amp;qid=1695258943&amp;sr=8-6")</f>
        <v>https://www.amazon.com/Neutrogena-Hydro-Hyaluronic-Hydrating-Moisturizer/dp/B017W3J8TQ/ref=sr_1_6?keywords=Skin+Hydro+Boost&amp;qid=1695258943&amp;sr=8-6</v>
      </c>
      <c r="F1402" t="s">
        <v>3064</v>
      </c>
      <c r="G1402" t="e">
        <f ca="1">IMAGE("https://mdo-skin.com/cdn/shop/products/MDO_SkinHydroBoost_Skincare_700x.png?v=1641228460")</f>
        <v>#NAME?</v>
      </c>
      <c r="H1402" t="e">
        <f ca="1">IMAGE("https://m.media-amazon.com/images/I/71OMjJiIRxL._AC_UL320_.jpg")</f>
        <v>#NAME?</v>
      </c>
      <c r="I1402" t="s">
        <v>3047</v>
      </c>
      <c r="J1402">
        <v>15.95</v>
      </c>
      <c r="K1402" s="2" t="s">
        <v>3065</v>
      </c>
      <c r="L1402">
        <v>4.5999999999999996</v>
      </c>
      <c r="M1402">
        <v>9458</v>
      </c>
      <c r="O1402" t="s">
        <v>26</v>
      </c>
      <c r="P1402" t="s">
        <v>39</v>
      </c>
      <c r="Q1402" t="s">
        <v>3049</v>
      </c>
    </row>
    <row r="1403" spans="1:17" ht="15.75" x14ac:dyDescent="0.25">
      <c r="A1403" s="3" t="str">
        <f>HYPERLINK("https://mdo-skin.com/products/cleansing-milk", "https://mdo-skin.com/products/cleansing-milk")</f>
        <v>https://mdo-skin.com/products/cleansing-milk</v>
      </c>
      <c r="B1403" s="3" t="str">
        <f>HYPERLINK("https://mdo-skin.com/products/cleansing-milk", "https://mdo-skin.com/products/cleansing-milk")</f>
        <v>https://mdo-skin.com/products/cleansing-milk</v>
      </c>
      <c r="C1403" t="s">
        <v>2954</v>
      </c>
      <c r="D1403" t="s">
        <v>3066</v>
      </c>
      <c r="E1403" s="3" t="str">
        <f>HYPERLINK("https://www.amazon.com/DEFYING-Apricot-Probiotic-Cleansing-Milk/dp/B0052P0XIC/ref=sr_1_5?keywords=Cleansing+Milk&amp;qid=1695258948&amp;sr=8-5", "https://www.amazon.com/DEFYING-Apricot-Probiotic-Cleansing-Milk/dp/B0052P0XIC/ref=sr_1_5?keywords=Cleansing+Milk&amp;qid=1695258948&amp;sr=8-5")</f>
        <v>https://www.amazon.com/DEFYING-Apricot-Probiotic-Cleansing-Milk/dp/B0052P0XIC/ref=sr_1_5?keywords=Cleansing+Milk&amp;qid=1695258948&amp;sr=8-5</v>
      </c>
      <c r="F1403" t="s">
        <v>3067</v>
      </c>
      <c r="G1403" t="e">
        <f ca="1">IMAGE("https://mdo-skin.com/cdn/shop/files/Mdoedit-19ProductPage_800x.png?v=1693814514")</f>
        <v>#NAME?</v>
      </c>
      <c r="H1403" t="e">
        <f ca="1">IMAGE("https://m.media-amazon.com/images/I/61DlHVc-DFL._AC_UL320_.jpg")</f>
        <v>#NAME?</v>
      </c>
      <c r="I1403" t="s">
        <v>2957</v>
      </c>
      <c r="J1403">
        <v>8.49</v>
      </c>
      <c r="K1403" s="2" t="s">
        <v>3068</v>
      </c>
      <c r="L1403">
        <v>4.4000000000000004</v>
      </c>
      <c r="M1403">
        <v>2101</v>
      </c>
      <c r="O1403" t="s">
        <v>26</v>
      </c>
      <c r="P1403" t="s">
        <v>39</v>
      </c>
      <c r="Q1403" t="s">
        <v>2959</v>
      </c>
    </row>
    <row r="1404" spans="1:17" ht="15.75" x14ac:dyDescent="0.25">
      <c r="A1404" s="3" t="str">
        <f>HYPERLINK("https://mdo-skin.com/products/skin-hydro-boost-1", "https://mdo-skin.com/products/skin-hydro-boost-1")</f>
        <v>https://mdo-skin.com/products/skin-hydro-boost-1</v>
      </c>
      <c r="B1404" s="3" t="str">
        <f>HYPERLINK("https://mdo-skin.com/products/skin-hydro-boost-1", "https://mdo-skin.com/products/skin-hydro-boost-1")</f>
        <v>https://mdo-skin.com/products/skin-hydro-boost-1</v>
      </c>
      <c r="C1404" t="s">
        <v>3044</v>
      </c>
      <c r="D1404" t="s">
        <v>3069</v>
      </c>
      <c r="E1404" s="3" t="str">
        <f>HYPERLINK("https://www.amazon.com/Neutrogena-Moisturizer-Hyaluronic-Oil-Free-Non-Comedogenic/dp/B08936CZHQ/ref=sr_1_5?keywords=Skin+Hydro+Boost&amp;qid=1695258943&amp;sr=8-5", "https://www.amazon.com/Neutrogena-Moisturizer-Hyaluronic-Oil-Free-Non-Comedogenic/dp/B08936CZHQ/ref=sr_1_5?keywords=Skin+Hydro+Boost&amp;qid=1695258943&amp;sr=8-5")</f>
        <v>https://www.amazon.com/Neutrogena-Moisturizer-Hyaluronic-Oil-Free-Non-Comedogenic/dp/B08936CZHQ/ref=sr_1_5?keywords=Skin+Hydro+Boost&amp;qid=1695258943&amp;sr=8-5</v>
      </c>
      <c r="F1404" t="s">
        <v>3070</v>
      </c>
      <c r="G1404" t="e">
        <f ca="1">IMAGE("https://mdo-skin.com/cdn/shop/products/MDO_SkinHydroBoost_Skincare_700x.png?v=1641228460")</f>
        <v>#NAME?</v>
      </c>
      <c r="H1404" t="e">
        <f ca="1">IMAGE("https://m.media-amazon.com/images/I/71v5aLQmQbL._AC_UL320_.jpg")</f>
        <v>#NAME?</v>
      </c>
      <c r="I1404" t="s">
        <v>3047</v>
      </c>
      <c r="J1404">
        <v>15.27</v>
      </c>
      <c r="K1404" s="2" t="s">
        <v>3071</v>
      </c>
      <c r="L1404">
        <v>4.5</v>
      </c>
      <c r="M1404">
        <v>6893</v>
      </c>
      <c r="O1404" t="s">
        <v>26</v>
      </c>
      <c r="P1404" t="s">
        <v>39</v>
      </c>
      <c r="Q1404" t="s">
        <v>3049</v>
      </c>
    </row>
    <row r="1405" spans="1:17" ht="15.75" x14ac:dyDescent="0.25">
      <c r="A1405" s="3" t="str">
        <f>HYPERLINK("https://mdo-skin.com/products/skin-hydro-boost-1", "https://mdo-skin.com/products/skin-hydro-boost-1")</f>
        <v>https://mdo-skin.com/products/skin-hydro-boost-1</v>
      </c>
      <c r="B1405" s="3" t="str">
        <f>HYPERLINK("https://mdo-skin.com/products/skin-hydro-boost-1", "https://mdo-skin.com/products/skin-hydro-boost-1")</f>
        <v>https://mdo-skin.com/products/skin-hydro-boost-1</v>
      </c>
      <c r="C1405" t="s">
        <v>3044</v>
      </c>
      <c r="D1405" t="s">
        <v>3072</v>
      </c>
      <c r="E1405" s="3" t="str">
        <f>HYPERLINK("https://www.amazon.com/Neutrogena-Hyaluronic-Hydration-Lightweight-Fragrance-Free/dp/B08937VD6Z/ref=sr_1_4?keywords=Skin+Hydro+Boost&amp;qid=1695258943&amp;sr=8-4", "https://www.amazon.com/Neutrogena-Hyaluronic-Hydration-Lightweight-Fragrance-Free/dp/B08937VD6Z/ref=sr_1_4?keywords=Skin+Hydro+Boost&amp;qid=1695258943&amp;sr=8-4")</f>
        <v>https://www.amazon.com/Neutrogena-Hyaluronic-Hydration-Lightweight-Fragrance-Free/dp/B08937VD6Z/ref=sr_1_4?keywords=Skin+Hydro+Boost&amp;qid=1695258943&amp;sr=8-4</v>
      </c>
      <c r="F1405" t="s">
        <v>3073</v>
      </c>
      <c r="G1405" t="e">
        <f ca="1">IMAGE("https://mdo-skin.com/cdn/shop/products/MDO_SkinHydroBoost_Skincare_700x.png?v=1641228460")</f>
        <v>#NAME?</v>
      </c>
      <c r="H1405" t="e">
        <f ca="1">IMAGE("https://m.media-amazon.com/images/I/81PLUIlFnLL._AC_UL320_.jpg")</f>
        <v>#NAME?</v>
      </c>
      <c r="I1405" t="s">
        <v>3047</v>
      </c>
      <c r="J1405">
        <v>15.18</v>
      </c>
      <c r="K1405" s="2" t="s">
        <v>3074</v>
      </c>
      <c r="L1405">
        <v>4.5999999999999996</v>
      </c>
      <c r="M1405">
        <v>7430</v>
      </c>
      <c r="O1405" t="s">
        <v>26</v>
      </c>
      <c r="P1405" t="s">
        <v>39</v>
      </c>
      <c r="Q1405" t="s">
        <v>3049</v>
      </c>
    </row>
    <row r="1406" spans="1:17" ht="15.75" x14ac:dyDescent="0.25">
      <c r="A1406" s="3" t="str">
        <f>HYPERLINK("https://mdo-skin.com/products/pro-collagen-refining-serum", "https://mdo-skin.com/products/pro-collagen-refining-serum")</f>
        <v>https://mdo-skin.com/products/pro-collagen-refining-serum</v>
      </c>
      <c r="B1406" s="3" t="str">
        <f>HYPERLINK("https://mdo-skin.com/products/pro-collagen-refining-serum", "https://mdo-skin.com/products/pro-collagen-refining-serum")</f>
        <v>https://mdo-skin.com/products/pro-collagen-refining-serum</v>
      </c>
      <c r="C1406" t="s">
        <v>2963</v>
      </c>
      <c r="D1406" t="s">
        <v>3075</v>
      </c>
      <c r="E1406" s="3" t="str">
        <f>HYPERLINK("https://www.amazon.com/Pro-Ideal-Beauty-24-7-Serum/dp/B0C3SKRNBS/ref=sr_1_6?keywords=Pro-Collagen+Refining+Serum&amp;qid=1695258937&amp;sr=8-6", "https://www.amazon.com/Pro-Ideal-Beauty-24-7-Serum/dp/B0C3SKRNBS/ref=sr_1_6?keywords=Pro-Collagen+Refining+Serum&amp;qid=1695258937&amp;sr=8-6")</f>
        <v>https://www.amazon.com/Pro-Ideal-Beauty-24-7-Serum/dp/B0C3SKRNBS/ref=sr_1_6?keywords=Pro-Collagen+Refining+Serum&amp;qid=1695258937&amp;sr=8-6</v>
      </c>
      <c r="F1406" t="s">
        <v>3076</v>
      </c>
      <c r="G1406" t="e">
        <f ca="1">IMAGE("https://mdo-skin.com/cdn/shop/files/Mdoedit-13ProductPage_1080x.png?v=1693814696")</f>
        <v>#NAME?</v>
      </c>
      <c r="H1406" t="e">
        <f ca="1">IMAGE("https://m.media-amazon.com/images/I/41fpwVCuQQL._AC_UL320_.jpg")</f>
        <v>#NAME?</v>
      </c>
      <c r="I1406" t="s">
        <v>2966</v>
      </c>
      <c r="J1406">
        <v>29.97</v>
      </c>
      <c r="K1406" s="2" t="s">
        <v>3077</v>
      </c>
      <c r="L1406">
        <v>3</v>
      </c>
      <c r="M1406">
        <v>1</v>
      </c>
      <c r="O1406" t="s">
        <v>26</v>
      </c>
      <c r="P1406" t="s">
        <v>39</v>
      </c>
      <c r="Q1406" t="s">
        <v>2968</v>
      </c>
    </row>
    <row r="1407" spans="1:17" ht="15.75" x14ac:dyDescent="0.25">
      <c r="A1407" s="3" t="str">
        <f>HYPERLINK("https://mdo-skin.com/products/facial-cryo-lift", "https://mdo-skin.com/products/facial-cryo-lift")</f>
        <v>https://mdo-skin.com/products/facial-cryo-lift</v>
      </c>
      <c r="B1407" s="3" t="str">
        <f>HYPERLINK("https://mdo-skin.com/products/facial-cryo-lift", "https://mdo-skin.com/products/facial-cryo-lift")</f>
        <v>https://mdo-skin.com/products/facial-cryo-lift</v>
      </c>
      <c r="C1407" t="s">
        <v>3078</v>
      </c>
      <c r="D1407" t="s">
        <v>3079</v>
      </c>
      <c r="E1407" s="3" t="str">
        <f>HYPERLINK("https://www.amazon.com/Starryland-Stainless-handheld-cryosphere-Treatment/dp/B08MWXTZ2F/ref=sr_1_4?keywords=Facial+Cryo+Lifting&amp;qid=1695258939&amp;sr=8-4", "https://www.amazon.com/Starryland-Stainless-handheld-cryosphere-Treatment/dp/B08MWXTZ2F/ref=sr_1_4?keywords=Facial+Cryo+Lifting&amp;qid=1695258939&amp;sr=8-4")</f>
        <v>https://www.amazon.com/Starryland-Stainless-handheld-cryosphere-Treatment/dp/B08MWXTZ2F/ref=sr_1_4?keywords=Facial+Cryo+Lifting&amp;qid=1695258939&amp;sr=8-4</v>
      </c>
      <c r="F1407" t="s">
        <v>3080</v>
      </c>
      <c r="G1407" t="e">
        <f ca="1">IMAGE("https://mdo-skin.com/cdn/shop/products/7649989187390_01_800x.png?v=1665587728")</f>
        <v>#NAME?</v>
      </c>
      <c r="H1407" t="e">
        <f ca="1">IMAGE("https://m.media-amazon.com/images/I/61tvpkIVHbL._AC_UL320_.jpg")</f>
        <v>#NAME?</v>
      </c>
      <c r="I1407" t="s">
        <v>2482</v>
      </c>
      <c r="J1407">
        <v>24.99</v>
      </c>
      <c r="K1407" s="2" t="s">
        <v>3081</v>
      </c>
      <c r="L1407">
        <v>4.8</v>
      </c>
      <c r="M1407">
        <v>11</v>
      </c>
      <c r="O1407" t="s">
        <v>26</v>
      </c>
      <c r="P1407" t="s">
        <v>39</v>
      </c>
      <c r="Q1407" t="s">
        <v>3082</v>
      </c>
    </row>
    <row r="1408" spans="1:17" ht="15.75" x14ac:dyDescent="0.25">
      <c r="A1408" s="3" t="str">
        <f>HYPERLINK("https://mdo-skin.com/products/radiant-renewal-set", "https://mdo-skin.com/products/radiant-renewal-set")</f>
        <v>https://mdo-skin.com/products/radiant-renewal-set</v>
      </c>
      <c r="B1408" s="3" t="str">
        <f>HYPERLINK("https://mdo-skin.com/products/radiant-renewal-set", "https://mdo-skin.com/products/radiant-renewal-set")</f>
        <v>https://mdo-skin.com/products/radiant-renewal-set</v>
      </c>
      <c r="C1408" t="s">
        <v>3083</v>
      </c>
      <c r="D1408" t="s">
        <v>3084</v>
      </c>
      <c r="E1408" s="3" t="str">
        <f>HYPERLINK("https://www.amazon.com/GOLDFADEN-MD-including-Exfoliator-Moisturizer/dp/B00II28S42/ref=sr_1_1?keywords=Radiant+Renewal+Set&amp;qid=1695258944&amp;sr=8-1", "https://www.amazon.com/GOLDFADEN-MD-including-Exfoliator-Moisturizer/dp/B00II28S42/ref=sr_1_1?keywords=Radiant+Renewal+Set&amp;qid=1695258944&amp;sr=8-1")</f>
        <v>https://www.amazon.com/GOLDFADEN-MD-including-Exfoliator-Moisturizer/dp/B00II28S42/ref=sr_1_1?keywords=Radiant+Renewal+Set&amp;qid=1695258944&amp;sr=8-1</v>
      </c>
      <c r="F1408" t="s">
        <v>3085</v>
      </c>
      <c r="G1408" t="e">
        <f ca="1">IMAGE("https://mdo-skin.com/cdn/shop/files/Mdoedit-11ProductPage_800x.png?v=1693814721")</f>
        <v>#NAME?</v>
      </c>
      <c r="H1408" t="e">
        <f ca="1">IMAGE("https://m.media-amazon.com/images/I/61zovnPauAL._AC_UL320_.jpg")</f>
        <v>#NAME?</v>
      </c>
      <c r="I1408" t="s">
        <v>3086</v>
      </c>
      <c r="J1408">
        <v>65</v>
      </c>
      <c r="K1408" s="2" t="s">
        <v>3087</v>
      </c>
      <c r="L1408">
        <v>4.3</v>
      </c>
      <c r="M1408">
        <v>68</v>
      </c>
      <c r="O1408" t="s">
        <v>26</v>
      </c>
      <c r="P1408" t="s">
        <v>39</v>
      </c>
      <c r="Q1408" t="s">
        <v>3088</v>
      </c>
    </row>
    <row r="1409" spans="1:17" ht="15.75" x14ac:dyDescent="0.25">
      <c r="A1409" s="3" t="str">
        <f>HYPERLINK("https://mdo-skin.com/products/skin-hydro-boost-1", "https://mdo-skin.com/products/skin-hydro-boost-1")</f>
        <v>https://mdo-skin.com/products/skin-hydro-boost-1</v>
      </c>
      <c r="B1409" s="3" t="str">
        <f>HYPERLINK("https://mdo-skin.com/products/skin-hydro-boost-1", "https://mdo-skin.com/products/skin-hydro-boost-1")</f>
        <v>https://mdo-skin.com/products/skin-hydro-boost-1</v>
      </c>
      <c r="C1409" t="s">
        <v>3044</v>
      </c>
      <c r="D1409" t="s">
        <v>3089</v>
      </c>
      <c r="E1409" s="3" t="str">
        <f>HYPERLINK("https://www.amazon.com/Neutrogena-Hyaluronic-Moisturizer-Sunscreen-Fragrance-Free/dp/B097NNR535/ref=sr_1_8?keywords=Skin+Hydro+Boost&amp;qid=1695258943&amp;sr=8-8", "https://www.amazon.com/Neutrogena-Hyaluronic-Moisturizer-Sunscreen-Fragrance-Free/dp/B097NNR535/ref=sr_1_8?keywords=Skin+Hydro+Boost&amp;qid=1695258943&amp;sr=8-8")</f>
        <v>https://www.amazon.com/Neutrogena-Hyaluronic-Moisturizer-Sunscreen-Fragrance-Free/dp/B097NNR535/ref=sr_1_8?keywords=Skin+Hydro+Boost&amp;qid=1695258943&amp;sr=8-8</v>
      </c>
      <c r="F1409" t="s">
        <v>3090</v>
      </c>
      <c r="G1409" t="e">
        <f ca="1">IMAGE("https://mdo-skin.com/cdn/shop/products/MDO_SkinHydroBoost_Skincare_700x.png?v=1641228460")</f>
        <v>#NAME?</v>
      </c>
      <c r="H1409" t="e">
        <f ca="1">IMAGE("https://m.media-amazon.com/images/I/71SmBhXzwnL._AC_UL320_.jpg")</f>
        <v>#NAME?</v>
      </c>
      <c r="I1409" t="s">
        <v>3047</v>
      </c>
      <c r="J1409">
        <v>14</v>
      </c>
      <c r="K1409" s="2" t="s">
        <v>3091</v>
      </c>
      <c r="L1409">
        <v>4.4000000000000004</v>
      </c>
      <c r="M1409">
        <v>5350</v>
      </c>
      <c r="O1409" t="s">
        <v>26</v>
      </c>
      <c r="P1409" t="s">
        <v>39</v>
      </c>
      <c r="Q1409" t="s">
        <v>3049</v>
      </c>
    </row>
    <row r="1410" spans="1:17" ht="15.75" x14ac:dyDescent="0.25">
      <c r="A1410" s="3" t="str">
        <f t="shared" ref="A1410:B1412" si="17">HYPERLINK("https://mdo-skin.com/products/collagen-boost-sheet-mask", "https://mdo-skin.com/products/collagen-boost-sheet-mask")</f>
        <v>https://mdo-skin.com/products/collagen-boost-sheet-mask</v>
      </c>
      <c r="B1410" s="3" t="str">
        <f t="shared" si="17"/>
        <v>https://mdo-skin.com/products/collagen-boost-sheet-mask</v>
      </c>
      <c r="C1410" t="s">
        <v>3050</v>
      </c>
      <c r="D1410" t="s">
        <v>3092</v>
      </c>
      <c r="E1410" s="3" t="str">
        <f>HYPERLINK("https://www.amazon.com/Ebanel-Brightening-Moisturizing-Hyaluronic-Anti-Wrinkle/dp/B07K6V8P2R/ref=sr_1_1?keywords=Collagen+Sheet+Mask&amp;qid=1695258939&amp;sr=8-1", "https://www.amazon.com/Ebanel-Brightening-Moisturizing-Hyaluronic-Anti-Wrinkle/dp/B07K6V8P2R/ref=sr_1_1?keywords=Collagen+Sheet+Mask&amp;qid=1695258939&amp;sr=8-1")</f>
        <v>https://www.amazon.com/Ebanel-Brightening-Moisturizing-Hyaluronic-Anti-Wrinkle/dp/B07K6V8P2R/ref=sr_1_1?keywords=Collagen+Sheet+Mask&amp;qid=1695258939&amp;sr=8-1</v>
      </c>
      <c r="F1410" t="s">
        <v>3093</v>
      </c>
      <c r="G1410" t="e">
        <f ca="1">IMAGE("https://mdo-skin.com/cdn/shop/products/MDO_PRODUCT_IMAGES_MASKS_800x800px_02_800x.jpg?v=1648654128")</f>
        <v>#NAME?</v>
      </c>
      <c r="H1410" t="e">
        <f ca="1">IMAGE("https://m.media-amazon.com/images/I/61mNxAZLKyL._AC_UL320_.jpg")</f>
        <v>#NAME?</v>
      </c>
      <c r="I1410" t="s">
        <v>2994</v>
      </c>
      <c r="J1410">
        <v>16.989999999999998</v>
      </c>
      <c r="K1410" s="2" t="s">
        <v>3094</v>
      </c>
      <c r="L1410">
        <v>4.5</v>
      </c>
      <c r="M1410">
        <v>7494</v>
      </c>
      <c r="O1410" t="s">
        <v>26</v>
      </c>
      <c r="P1410" t="s">
        <v>39</v>
      </c>
      <c r="Q1410" t="s">
        <v>3053</v>
      </c>
    </row>
    <row r="1411" spans="1:17" ht="15.75" x14ac:dyDescent="0.25">
      <c r="A1411" s="3" t="str">
        <f t="shared" si="17"/>
        <v>https://mdo-skin.com/products/collagen-boost-sheet-mask</v>
      </c>
      <c r="B1411" s="3" t="str">
        <f t="shared" si="17"/>
        <v>https://mdo-skin.com/products/collagen-boost-sheet-mask</v>
      </c>
      <c r="C1411" t="s">
        <v>3050</v>
      </c>
      <c r="D1411" t="s">
        <v>3095</v>
      </c>
      <c r="E1411" s="3" t="str">
        <f>HYPERLINK("https://www.amazon.com/DERMAL-Collagen-Essence-Facial-Sheet/dp/B0722LVW3B/ref=sr_1_5?keywords=Collagen+Sheet+Mask&amp;qid=1695258939&amp;sr=8-5", "https://www.amazon.com/DERMAL-Collagen-Essence-Facial-Sheet/dp/B0722LVW3B/ref=sr_1_5?keywords=Collagen+Sheet+Mask&amp;qid=1695258939&amp;sr=8-5")</f>
        <v>https://www.amazon.com/DERMAL-Collagen-Essence-Facial-Sheet/dp/B0722LVW3B/ref=sr_1_5?keywords=Collagen+Sheet+Mask&amp;qid=1695258939&amp;sr=8-5</v>
      </c>
      <c r="F1411" t="s">
        <v>3096</v>
      </c>
      <c r="G1411" t="e">
        <f ca="1">IMAGE("https://mdo-skin.com/cdn/shop/products/MDO_PRODUCT_IMAGES_MASKS_800x800px_02_800x.jpg?v=1648654128")</f>
        <v>#NAME?</v>
      </c>
      <c r="H1411" t="e">
        <f ca="1">IMAGE("https://m.media-amazon.com/images/I/716fLNHvNOL._AC_UL320_.jpg")</f>
        <v>#NAME?</v>
      </c>
      <c r="I1411" t="s">
        <v>2994</v>
      </c>
      <c r="J1411">
        <v>15.99</v>
      </c>
      <c r="K1411" s="2" t="s">
        <v>3097</v>
      </c>
      <c r="L1411">
        <v>4.5999999999999996</v>
      </c>
      <c r="M1411">
        <v>22890</v>
      </c>
      <c r="O1411" t="s">
        <v>26</v>
      </c>
      <c r="P1411" t="s">
        <v>39</v>
      </c>
      <c r="Q1411" t="s">
        <v>3053</v>
      </c>
    </row>
    <row r="1412" spans="1:17" ht="15.75" x14ac:dyDescent="0.25">
      <c r="A1412" s="3" t="str">
        <f t="shared" si="17"/>
        <v>https://mdo-skin.com/products/collagen-boost-sheet-mask</v>
      </c>
      <c r="B1412" s="3" t="str">
        <f t="shared" si="17"/>
        <v>https://mdo-skin.com/products/collagen-boost-sheet-mask</v>
      </c>
      <c r="C1412" t="s">
        <v>3050</v>
      </c>
      <c r="D1412" t="s">
        <v>3098</v>
      </c>
      <c r="E1412" s="3"/>
      <c r="F1412" t="s">
        <v>3099</v>
      </c>
      <c r="G1412" t="e">
        <f ca="1">IMAGE("https://mdo-skin.com/cdn/shop/products/MDO_PRODUCT_IMAGES_MASKS_800x800px_02_800x.jpg?v=1648654128")</f>
        <v>#NAME?</v>
      </c>
      <c r="H1412" t="e">
        <f ca="1">IMAGE("https://m.media-amazon.com/images/I/710awiHt+ZL._AC_UL320_.jpg")</f>
        <v>#NAME?</v>
      </c>
      <c r="I1412" t="s">
        <v>2994</v>
      </c>
      <c r="J1412">
        <v>14.99</v>
      </c>
      <c r="K1412" s="2" t="s">
        <v>3100</v>
      </c>
      <c r="L1412">
        <v>4.7</v>
      </c>
      <c r="M1412">
        <v>827</v>
      </c>
      <c r="O1412" t="s">
        <v>26</v>
      </c>
      <c r="P1412" t="s">
        <v>39</v>
      </c>
      <c r="Q1412" t="s">
        <v>3053</v>
      </c>
    </row>
    <row r="1413" spans="1:17" ht="15.75" x14ac:dyDescent="0.25">
      <c r="A1413" s="3" t="str">
        <f>HYPERLINK("https://mdo-skin.com/products/10-aha-exfoliant", "https://mdo-skin.com/products/10-aha-exfoliant")</f>
        <v>https://mdo-skin.com/products/10-aha-exfoliant</v>
      </c>
      <c r="B1413" s="3" t="str">
        <f>HYPERLINK("https://mdo-skin.com/products/10-aha-exfoliant", "https://mdo-skin.com/products/10-aha-exfoliant")</f>
        <v>https://mdo-skin.com/products/10-aha-exfoliant</v>
      </c>
      <c r="C1413" t="s">
        <v>2991</v>
      </c>
      <c r="D1413" t="s">
        <v>3101</v>
      </c>
      <c r="E1413" s="3" t="str">
        <f>HYPERLINK("https://www.amazon.com/Mandelic-Salicylic-Exfoliant-Solution-Blackheads/dp/B09JLGX56T/ref=sr_1_10?keywords=10%25+AHA+Exfoliant&amp;qid=1695258944&amp;sr=8-10", "https://www.amazon.com/Mandelic-Salicylic-Exfoliant-Solution-Blackheads/dp/B09JLGX56T/ref=sr_1_10?keywords=10%25+AHA+Exfoliant&amp;qid=1695258944&amp;sr=8-10")</f>
        <v>https://www.amazon.com/Mandelic-Salicylic-Exfoliant-Solution-Blackheads/dp/B09JLGX56T/ref=sr_1_10?keywords=10%25+AHA+Exfoliant&amp;qid=1695258944&amp;sr=8-10</v>
      </c>
      <c r="F1413" t="s">
        <v>3102</v>
      </c>
      <c r="G1413" t="e">
        <f ca="1">IMAGE("https://mdo-skin.com/cdn/shop/files/Mdoedit-37ProductPage_800x.png?v=1693814476")</f>
        <v>#NAME?</v>
      </c>
      <c r="H1413" t="e">
        <f ca="1">IMAGE("https://m.media-amazon.com/images/I/61yXdbuF-HL._AC_UL320_.jpg")</f>
        <v>#NAME?</v>
      </c>
      <c r="I1413" t="s">
        <v>2994</v>
      </c>
      <c r="J1413">
        <v>14.95</v>
      </c>
      <c r="K1413" s="2" t="s">
        <v>3103</v>
      </c>
      <c r="L1413">
        <v>4.5999999999999996</v>
      </c>
      <c r="M1413">
        <v>76</v>
      </c>
      <c r="O1413" t="s">
        <v>26</v>
      </c>
      <c r="P1413" t="s">
        <v>39</v>
      </c>
      <c r="Q1413" t="s">
        <v>2996</v>
      </c>
    </row>
    <row r="1414" spans="1:17" ht="15.75" x14ac:dyDescent="0.25">
      <c r="A1414" s="3" t="str">
        <f>HYPERLINK("https://mdo-skin.com/products/aha-clarifying-cleanser", "https://mdo-skin.com/products/aha-clarifying-cleanser")</f>
        <v>https://mdo-skin.com/products/aha-clarifying-cleanser</v>
      </c>
      <c r="B1414" s="3" t="str">
        <f>HYPERLINK("https://mdo-skin.com/products/aha-clarifying-cleanser", "https://mdo-skin.com/products/aha-clarifying-cleanser")</f>
        <v>https://mdo-skin.com/products/aha-clarifying-cleanser</v>
      </c>
      <c r="C1414" t="s">
        <v>3008</v>
      </c>
      <c r="D1414" t="s">
        <v>3104</v>
      </c>
      <c r="E1414" s="3" t="str">
        <f>HYPERLINK("https://www.amazon.com/Clean-Zero-Foam-Cleanser-Clarifying/dp/B089QVB67D/ref=sr_1_3?keywords=AHA+Clarifying+Cleanser&amp;qid=1695258936&amp;sr=8-3", "https://www.amazon.com/Clean-Zero-Foam-Cleanser-Clarifying/dp/B089QVB67D/ref=sr_1_3?keywords=AHA+Clarifying+Cleanser&amp;qid=1695258936&amp;sr=8-3")</f>
        <v>https://www.amazon.com/Clean-Zero-Foam-Cleanser-Clarifying/dp/B089QVB67D/ref=sr_1_3?keywords=AHA+Clarifying+Cleanser&amp;qid=1695258936&amp;sr=8-3</v>
      </c>
      <c r="F1414" t="s">
        <v>3105</v>
      </c>
      <c r="G1414" t="e">
        <f ca="1">IMAGE("https://mdo-skin.com/cdn/shop/products/AHA-Clariying-Cleanser_800x.png?v=1678261251")</f>
        <v>#NAME?</v>
      </c>
      <c r="H1414" t="e">
        <f ca="1">IMAGE("https://m.media-amazon.com/images/I/61+MLY6lYJL._AC_UL320_.jpg")</f>
        <v>#NAME?</v>
      </c>
      <c r="I1414" t="s">
        <v>2994</v>
      </c>
      <c r="J1414">
        <v>14</v>
      </c>
      <c r="K1414" s="2" t="s">
        <v>3106</v>
      </c>
      <c r="L1414">
        <v>4.0999999999999996</v>
      </c>
      <c r="M1414">
        <v>114</v>
      </c>
      <c r="O1414" t="s">
        <v>26</v>
      </c>
      <c r="P1414" t="s">
        <v>39</v>
      </c>
      <c r="Q1414" t="s">
        <v>3012</v>
      </c>
    </row>
    <row r="1415" spans="1:17" ht="15.75" x14ac:dyDescent="0.25">
      <c r="A1415" s="3" t="str">
        <f>HYPERLINK("https://mdo-skin.com/products/collagen-boost-sheet-mask", "https://mdo-skin.com/products/collagen-boost-sheet-mask")</f>
        <v>https://mdo-skin.com/products/collagen-boost-sheet-mask</v>
      </c>
      <c r="B1415" s="3" t="str">
        <f>HYPERLINK("https://mdo-skin.com/products/collagen-boost-sheet-mask", "https://mdo-skin.com/products/collagen-boost-sheet-mask")</f>
        <v>https://mdo-skin.com/products/collagen-boost-sheet-mask</v>
      </c>
      <c r="C1415" t="s">
        <v>3050</v>
      </c>
      <c r="D1415" t="s">
        <v>3107</v>
      </c>
      <c r="E1415" s="3"/>
      <c r="F1415" t="s">
        <v>3108</v>
      </c>
      <c r="G1415" t="e">
        <f ca="1">IMAGE("https://mdo-skin.com/cdn/shop/products/MDO_PRODUCT_IMAGES_MASKS_800x800px_02_800x.jpg?v=1648654128")</f>
        <v>#NAME?</v>
      </c>
      <c r="H1415" t="e">
        <f ca="1">IMAGE("https://m.media-amazon.com/images/I/710UChNb-hL._AC_UL320_.jpg")</f>
        <v>#NAME?</v>
      </c>
      <c r="I1415" t="s">
        <v>2994</v>
      </c>
      <c r="J1415">
        <v>14</v>
      </c>
      <c r="K1415" s="2" t="s">
        <v>3106</v>
      </c>
      <c r="L1415">
        <v>4.5999999999999996</v>
      </c>
      <c r="M1415">
        <v>384</v>
      </c>
      <c r="O1415" t="s">
        <v>26</v>
      </c>
      <c r="P1415" t="s">
        <v>39</v>
      </c>
      <c r="Q1415" t="s">
        <v>3053</v>
      </c>
    </row>
    <row r="1416" spans="1:17" ht="15.75" x14ac:dyDescent="0.25">
      <c r="A1416" s="3" t="str">
        <f>HYPERLINK("https://mdo-skin.com/products/awarded-intense-hydrating-moisturizer", "https://mdo-skin.com/products/awarded-intense-hydrating-moisturizer")</f>
        <v>https://mdo-skin.com/products/awarded-intense-hydrating-moisturizer</v>
      </c>
      <c r="B1416" s="3" t="str">
        <f>HYPERLINK("https://mdo-skin.com/products/awarded-intense-hydrating-moisturizer", "https://mdo-skin.com/products/awarded-intense-hydrating-moisturizer")</f>
        <v>https://mdo-skin.com/products/awarded-intense-hydrating-moisturizer</v>
      </c>
      <c r="C1416" t="s">
        <v>2985</v>
      </c>
      <c r="D1416" t="s">
        <v>3109</v>
      </c>
      <c r="E1416" s="3" t="str">
        <f>HYPERLINK("https://www.amazon.com/Lumene-Intense-Hydration-Fragrance-Free-Moisturizer/dp/B09RVNWB3M/ref=sr_1_9?keywords=Intense+Hydrating+Moisturizer&amp;qid=1695258942&amp;sr=8-9", "https://www.amazon.com/Lumene-Intense-Hydration-Fragrance-Free-Moisturizer/dp/B09RVNWB3M/ref=sr_1_9?keywords=Intense+Hydrating+Moisturizer&amp;qid=1695258942&amp;sr=8-9")</f>
        <v>https://www.amazon.com/Lumene-Intense-Hydration-Fragrance-Free-Moisturizer/dp/B09RVNWB3M/ref=sr_1_9?keywords=Intense+Hydrating+Moisturizer&amp;qid=1695258942&amp;sr=8-9</v>
      </c>
      <c r="F1416" t="s">
        <v>3110</v>
      </c>
      <c r="G1416" t="e">
        <f ca="1">IMAGE("https://mdo-skin.com/cdn/shop/files/image0_800x.png?v=1693912494")</f>
        <v>#NAME?</v>
      </c>
      <c r="H1416" t="e">
        <f ca="1">IMAGE("https://m.media-amazon.com/images/I/61sjCSN+ZNL._AC_UL320_.jpg")</f>
        <v>#NAME?</v>
      </c>
      <c r="I1416" t="s">
        <v>2988</v>
      </c>
      <c r="J1416">
        <v>26.7</v>
      </c>
      <c r="K1416" s="2" t="s">
        <v>3111</v>
      </c>
      <c r="L1416">
        <v>4.5</v>
      </c>
      <c r="M1416">
        <v>7</v>
      </c>
      <c r="O1416" t="s">
        <v>26</v>
      </c>
      <c r="P1416" t="s">
        <v>39</v>
      </c>
      <c r="Q1416" t="s">
        <v>2990</v>
      </c>
    </row>
    <row r="1417" spans="1:17" ht="15.75" x14ac:dyDescent="0.25">
      <c r="A1417" s="3" t="str">
        <f>HYPERLINK("https://mdo-skin.com/products/hydrating-power-duo", "https://mdo-skin.com/products/hydrating-power-duo")</f>
        <v>https://mdo-skin.com/products/hydrating-power-duo</v>
      </c>
      <c r="B1417" s="3" t="str">
        <f>HYPERLINK("https://mdo-skin.com/products/hydrating-power-duo", "https://mdo-skin.com/products/hydrating-power-duo")</f>
        <v>https://mdo-skin.com/products/hydrating-power-duo</v>
      </c>
      <c r="C1417" t="s">
        <v>3112</v>
      </c>
      <c r="D1417" t="s">
        <v>3113</v>
      </c>
      <c r="E1417" s="3" t="str">
        <f>HYPERLINK("https://www.amazon.com/Naturium-Retinol-Anti-Wrinkle-Hydrating-Treatment/dp/B0B2KPFMJR/ref=sr_1_10?keywords=Hydrating+Power+DUO&amp;qid=1695258946&amp;sr=8-10", "https://www.amazon.com/Naturium-Retinol-Anti-Wrinkle-Hydrating-Treatment/dp/B0B2KPFMJR/ref=sr_1_10?keywords=Hydrating+Power+DUO&amp;qid=1695258946&amp;sr=8-10")</f>
        <v>https://www.amazon.com/Naturium-Retinol-Anti-Wrinkle-Hydrating-Treatment/dp/B0B2KPFMJR/ref=sr_1_10?keywords=Hydrating+Power+DUO&amp;qid=1695258946&amp;sr=8-10</v>
      </c>
      <c r="F1417" t="s">
        <v>3114</v>
      </c>
      <c r="G1417" t="e">
        <f ca="1">IMAGE("https://mdo-skin.com/cdn/shop/files/HydratingPowerDuo_800x.png?v=1694070698")</f>
        <v>#NAME?</v>
      </c>
      <c r="H1417" t="e">
        <f ca="1">IMAGE("https://m.media-amazon.com/images/I/61RQ+KmpMaL._AC_UL320_.jpg")</f>
        <v>#NAME?</v>
      </c>
      <c r="I1417" t="s">
        <v>3115</v>
      </c>
      <c r="J1417">
        <v>35.979999999999997</v>
      </c>
      <c r="K1417" s="2" t="s">
        <v>3116</v>
      </c>
      <c r="L1417">
        <v>4</v>
      </c>
      <c r="M1417">
        <v>4</v>
      </c>
      <c r="O1417" t="s">
        <v>26</v>
      </c>
      <c r="P1417" t="s">
        <v>39</v>
      </c>
      <c r="Q1417" t="s">
        <v>3117</v>
      </c>
    </row>
    <row r="1418" spans="1:17" ht="15.75" x14ac:dyDescent="0.25">
      <c r="A1418" s="3" t="str">
        <f>HYPERLINK("https://mdo-skin.com/products/hyaluronic-eye-cream", "https://mdo-skin.com/products/hyaluronic-eye-cream")</f>
        <v>https://mdo-skin.com/products/hyaluronic-eye-cream</v>
      </c>
      <c r="B1418" s="3" t="str">
        <f>HYPERLINK("https://mdo-skin.com/products/hyaluronic-eye-cream", "https://mdo-skin.com/products/hyaluronic-eye-cream")</f>
        <v>https://mdo-skin.com/products/hyaluronic-eye-cream</v>
      </c>
      <c r="C1418" t="s">
        <v>3030</v>
      </c>
      <c r="D1418" t="s">
        <v>3118</v>
      </c>
      <c r="E1418" s="3" t="str">
        <f>HYPERLINK("https://www.amazon.com/Correxion-Hyaluronic-Puffiness-RoC-Capsules/dp/B092B2WX9N/ref=sr_1_6?keywords=Hyaluronic+Eye+Cream&amp;qid=1695258944&amp;sr=8-6", "https://www.amazon.com/Correxion-Hyaluronic-Puffiness-RoC-Capsules/dp/B092B2WX9N/ref=sr_1_6?keywords=Hyaluronic+Eye+Cream&amp;qid=1695258944&amp;sr=8-6")</f>
        <v>https://www.amazon.com/Correxion-Hyaluronic-Puffiness-RoC-Capsules/dp/B092B2WX9N/ref=sr_1_6?keywords=Hyaluronic+Eye+Cream&amp;qid=1695258944&amp;sr=8-6</v>
      </c>
      <c r="F1418" t="s">
        <v>3119</v>
      </c>
      <c r="G1418" t="e">
        <f ca="1">IMAGE("https://mdo-skin.com/cdn/shop/products/7649989187277_03_800x.png?v=1664361914")</f>
        <v>#NAME?</v>
      </c>
      <c r="H1418" t="e">
        <f ca="1">IMAGE("https://m.media-amazon.com/images/I/61sn-WR9oqL._AC_UL320_.jpg")</f>
        <v>#NAME?</v>
      </c>
      <c r="I1418" t="s">
        <v>2966</v>
      </c>
      <c r="J1418">
        <v>21.99</v>
      </c>
      <c r="K1418" s="2" t="s">
        <v>3120</v>
      </c>
      <c r="L1418">
        <v>4.4000000000000004</v>
      </c>
      <c r="M1418">
        <v>1410</v>
      </c>
      <c r="O1418" t="s">
        <v>26</v>
      </c>
      <c r="P1418" t="s">
        <v>39</v>
      </c>
      <c r="Q1418" t="s">
        <v>3034</v>
      </c>
    </row>
    <row r="1419" spans="1:17" ht="15.75" x14ac:dyDescent="0.25">
      <c r="A1419" s="3" t="str">
        <f>HYPERLINK("https://mdo-skin.com/products/collagen-boost-sheet-mask", "https://mdo-skin.com/products/collagen-boost-sheet-mask")</f>
        <v>https://mdo-skin.com/products/collagen-boost-sheet-mask</v>
      </c>
      <c r="B1419" s="3" t="str">
        <f>HYPERLINK("https://mdo-skin.com/products/collagen-boost-sheet-mask", "https://mdo-skin.com/products/collagen-boost-sheet-mask")</f>
        <v>https://mdo-skin.com/products/collagen-boost-sheet-mask</v>
      </c>
      <c r="C1419" t="s">
        <v>3050</v>
      </c>
      <c r="D1419" t="s">
        <v>3121</v>
      </c>
      <c r="E1419" s="3" t="str">
        <f>HYPERLINK("https://www.amazon.com/Ebanel-Moisturizing-Hyaluronic-Brightening-Anti-Wrinkle/dp/B01N37AK8V/ref=sr_1_4?keywords=Collagen+Sheet+Mask&amp;qid=1695258939&amp;sr=8-4", "https://www.amazon.com/Ebanel-Moisturizing-Hyaluronic-Brightening-Anti-Wrinkle/dp/B01N37AK8V/ref=sr_1_4?keywords=Collagen+Sheet+Mask&amp;qid=1695258939&amp;sr=8-4")</f>
        <v>https://www.amazon.com/Ebanel-Moisturizing-Hyaluronic-Brightening-Anti-Wrinkle/dp/B01N37AK8V/ref=sr_1_4?keywords=Collagen+Sheet+Mask&amp;qid=1695258939&amp;sr=8-4</v>
      </c>
      <c r="F1419" t="s">
        <v>3122</v>
      </c>
      <c r="G1419" t="e">
        <f ca="1">IMAGE("https://mdo-skin.com/cdn/shop/products/MDO_PRODUCT_IMAGES_MASKS_800x800px_02_800x.jpg?v=1648654128")</f>
        <v>#NAME?</v>
      </c>
      <c r="H1419" t="e">
        <f ca="1">IMAGE("https://m.media-amazon.com/images/I/61cSqe8dadL._AC_UL320_.jpg")</f>
        <v>#NAME?</v>
      </c>
      <c r="I1419" t="s">
        <v>2994</v>
      </c>
      <c r="J1419">
        <v>12.99</v>
      </c>
      <c r="K1419" s="2" t="s">
        <v>3123</v>
      </c>
      <c r="L1419">
        <v>4.4000000000000004</v>
      </c>
      <c r="M1419">
        <v>5495</v>
      </c>
      <c r="O1419" t="s">
        <v>26</v>
      </c>
      <c r="P1419" t="s">
        <v>39</v>
      </c>
      <c r="Q1419" t="s">
        <v>3053</v>
      </c>
    </row>
    <row r="1420" spans="1:17" ht="15.75" x14ac:dyDescent="0.25">
      <c r="A1420" s="3" t="str">
        <f>HYPERLINK("https://mdo-skin.com/products/hyaluronic-eye-cream", "https://mdo-skin.com/products/hyaluronic-eye-cream")</f>
        <v>https://mdo-skin.com/products/hyaluronic-eye-cream</v>
      </c>
      <c r="B1420" s="3" t="str">
        <f>HYPERLINK("https://mdo-skin.com/products/hyaluronic-eye-cream", "https://mdo-skin.com/products/hyaluronic-eye-cream")</f>
        <v>https://mdo-skin.com/products/hyaluronic-eye-cream</v>
      </c>
      <c r="C1420" t="s">
        <v>3030</v>
      </c>
      <c r="D1420" t="s">
        <v>3124</v>
      </c>
      <c r="E1420" s="3" t="str">
        <f>HYPERLINK("https://www.amazon.com/Mario-Badescu-Hyaluronic-Eye-Cream/dp/B0015Z2XD6/ref=sr_1_2?keywords=Hyaluronic+Eye+Cream&amp;qid=1695258944&amp;sr=8-2", "https://www.amazon.com/Mario-Badescu-Hyaluronic-Eye-Cream/dp/B0015Z2XD6/ref=sr_1_2?keywords=Hyaluronic+Eye+Cream&amp;qid=1695258944&amp;sr=8-2")</f>
        <v>https://www.amazon.com/Mario-Badescu-Hyaluronic-Eye-Cream/dp/B0015Z2XD6/ref=sr_1_2?keywords=Hyaluronic+Eye+Cream&amp;qid=1695258944&amp;sr=8-2</v>
      </c>
      <c r="F1420" t="s">
        <v>3125</v>
      </c>
      <c r="G1420" t="e">
        <f ca="1">IMAGE("https://mdo-skin.com/cdn/shop/products/7649989187277_03_800x.png?v=1664361914")</f>
        <v>#NAME?</v>
      </c>
      <c r="H1420" t="e">
        <f ca="1">IMAGE("https://m.media-amazon.com/images/I/71NInjEDPeL._AC_UL320_.jpg")</f>
        <v>#NAME?</v>
      </c>
      <c r="I1420" t="s">
        <v>2966</v>
      </c>
      <c r="J1420">
        <v>18</v>
      </c>
      <c r="K1420" s="2" t="s">
        <v>3126</v>
      </c>
      <c r="L1420">
        <v>4.5</v>
      </c>
      <c r="M1420">
        <v>2151</v>
      </c>
      <c r="O1420" t="s">
        <v>26</v>
      </c>
      <c r="P1420" t="s">
        <v>39</v>
      </c>
      <c r="Q1420" t="s">
        <v>3034</v>
      </c>
    </row>
    <row r="1421" spans="1:17" ht="15.75" x14ac:dyDescent="0.25">
      <c r="A1421" s="3" t="str">
        <f>HYPERLINK("https://mdo-skin.com/products/pro-collagen-refining-serum", "https://mdo-skin.com/products/pro-collagen-refining-serum")</f>
        <v>https://mdo-skin.com/products/pro-collagen-refining-serum</v>
      </c>
      <c r="B1421" s="3" t="str">
        <f>HYPERLINK("https://mdo-skin.com/products/pro-collagen-refining-serum", "https://mdo-skin.com/products/pro-collagen-refining-serum")</f>
        <v>https://mdo-skin.com/products/pro-collagen-refining-serum</v>
      </c>
      <c r="C1421" t="s">
        <v>2963</v>
      </c>
      <c r="D1421" t="s">
        <v>3127</v>
      </c>
      <c r="E1421" s="3" t="str">
        <f>HYPERLINK("https://www.amazon.com/Progenix-Collagen-Serum-Moisturizer-Hyaluronic/dp/B0BB3BW35R/ref=sr_1_5?keywords=Pro-Collagen+Refining+Serum&amp;qid=1695258937&amp;sr=8-5", "https://www.amazon.com/Progenix-Collagen-Serum-Moisturizer-Hyaluronic/dp/B0BB3BW35R/ref=sr_1_5?keywords=Pro-Collagen+Refining+Serum&amp;qid=1695258937&amp;sr=8-5")</f>
        <v>https://www.amazon.com/Progenix-Collagen-Serum-Moisturizer-Hyaluronic/dp/B0BB3BW35R/ref=sr_1_5?keywords=Pro-Collagen+Refining+Serum&amp;qid=1695258937&amp;sr=8-5</v>
      </c>
      <c r="F1421" t="s">
        <v>3128</v>
      </c>
      <c r="G1421" t="e">
        <f ca="1">IMAGE("https://mdo-skin.com/cdn/shop/files/Mdoedit-13ProductPage_1080x.png?v=1693814696")</f>
        <v>#NAME?</v>
      </c>
      <c r="H1421" t="e">
        <f ca="1">IMAGE("https://m.media-amazon.com/images/I/81Dq5Fd7zwL._AC_UL320_.jpg")</f>
        <v>#NAME?</v>
      </c>
      <c r="I1421" t="s">
        <v>2966</v>
      </c>
      <c r="J1421">
        <v>17.989999999999998</v>
      </c>
      <c r="K1421" s="2" t="s">
        <v>3129</v>
      </c>
      <c r="L1421">
        <v>4.3</v>
      </c>
      <c r="M1421">
        <v>1930</v>
      </c>
      <c r="O1421" t="s">
        <v>26</v>
      </c>
      <c r="P1421" t="s">
        <v>39</v>
      </c>
      <c r="Q1421" t="s">
        <v>2968</v>
      </c>
    </row>
    <row r="1422" spans="1:17" ht="15.75" x14ac:dyDescent="0.25">
      <c r="A1422" s="3" t="str">
        <f>HYPERLINK("https://mdo-skin.com/products/skin-rescue-sheet-mask", "https://mdo-skin.com/products/skin-rescue-sheet-mask")</f>
        <v>https://mdo-skin.com/products/skin-rescue-sheet-mask</v>
      </c>
      <c r="B1422" s="3" t="str">
        <f>HYPERLINK("https://mdo-skin.com/products/skin-rescue-sheet-mask", "https://mdo-skin.com/products/skin-rescue-sheet-mask")</f>
        <v>https://mdo-skin.com/products/skin-rescue-sheet-mask</v>
      </c>
      <c r="C1422" t="s">
        <v>3000</v>
      </c>
      <c r="D1422" t="s">
        <v>3130</v>
      </c>
      <c r="E1422" s="3" t="str">
        <f>HYPERLINK("https://www.amazon.com/BioRepublic-Skincare-Aloe-Rescue-Mask/dp/B00ZIS538I/ref=sr_1_2?keywords=Skin+Rescue+Sheet+Mask&amp;qid=1695258938&amp;sr=8-2", "https://www.amazon.com/BioRepublic-Skincare-Aloe-Rescue-Mask/dp/B00ZIS538I/ref=sr_1_2?keywords=Skin+Rescue+Sheet+Mask&amp;qid=1695258938&amp;sr=8-2")</f>
        <v>https://www.amazon.com/BioRepublic-Skincare-Aloe-Rescue-Mask/dp/B00ZIS538I/ref=sr_1_2?keywords=Skin+Rescue+Sheet+Mask&amp;qid=1695258938&amp;sr=8-2</v>
      </c>
      <c r="F1422" t="s">
        <v>3131</v>
      </c>
      <c r="G1422" t="e">
        <f ca="1">IMAGE("https://mdo-skin.com/cdn/shop/files/Myproject_1_800x.png?v=1689152772")</f>
        <v>#NAME?</v>
      </c>
      <c r="H1422" t="e">
        <f ca="1">IMAGE("https://m.media-amazon.com/images/I/71Smcfxc4hL._AC_UL320_.jpg")</f>
        <v>#NAME?</v>
      </c>
      <c r="I1422" t="s">
        <v>2994</v>
      </c>
      <c r="J1422">
        <v>10.5</v>
      </c>
      <c r="K1422" s="2" t="s">
        <v>3132</v>
      </c>
      <c r="L1422">
        <v>4.4000000000000004</v>
      </c>
      <c r="M1422">
        <v>30</v>
      </c>
      <c r="O1422" t="s">
        <v>26</v>
      </c>
      <c r="P1422" t="s">
        <v>39</v>
      </c>
      <c r="Q1422" t="s">
        <v>3004</v>
      </c>
    </row>
    <row r="1423" spans="1:17" ht="15.75" x14ac:dyDescent="0.25">
      <c r="A1423" s="3" t="str">
        <f>HYPERLINK("https://mdo-skin.com/products/hyaluronic-eye-cream", "https://mdo-skin.com/products/hyaluronic-eye-cream")</f>
        <v>https://mdo-skin.com/products/hyaluronic-eye-cream</v>
      </c>
      <c r="B1423" s="3" t="str">
        <f>HYPERLINK("https://mdo-skin.com/products/hyaluronic-eye-cream", "https://mdo-skin.com/products/hyaluronic-eye-cream")</f>
        <v>https://mdo-skin.com/products/hyaluronic-eye-cream</v>
      </c>
      <c r="C1423" t="s">
        <v>3030</v>
      </c>
      <c r="D1423" t="s">
        <v>3133</v>
      </c>
      <c r="E1423" s="3" t="str">
        <f>HYPERLINK("https://www.amazon.com/Puffiness-Hyaluronic-Lightweight-Sensitive-Fragrance/dp/B0BWYCD97R/ref=sr_1_7?keywords=Hyaluronic+Eye+Cream&amp;qid=1695258944&amp;sr=8-7", "https://www.amazon.com/Puffiness-Hyaluronic-Lightweight-Sensitive-Fragrance/dp/B0BWYCD97R/ref=sr_1_7?keywords=Hyaluronic+Eye+Cream&amp;qid=1695258944&amp;sr=8-7")</f>
        <v>https://www.amazon.com/Puffiness-Hyaluronic-Lightweight-Sensitive-Fragrance/dp/B0BWYCD97R/ref=sr_1_7?keywords=Hyaluronic+Eye+Cream&amp;qid=1695258944&amp;sr=8-7</v>
      </c>
      <c r="F1423" t="s">
        <v>3134</v>
      </c>
      <c r="G1423" t="e">
        <f ca="1">IMAGE("https://mdo-skin.com/cdn/shop/products/7649989187277_03_800x.png?v=1664361914")</f>
        <v>#NAME?</v>
      </c>
      <c r="H1423" t="e">
        <f ca="1">IMAGE("https://m.media-amazon.com/images/I/619EGIvxMxL._AC_UL320_.jpg")</f>
        <v>#NAME?</v>
      </c>
      <c r="I1423" t="s">
        <v>2966</v>
      </c>
      <c r="J1423">
        <v>16.98</v>
      </c>
      <c r="K1423" s="2" t="s">
        <v>3135</v>
      </c>
      <c r="L1423">
        <v>4.7</v>
      </c>
      <c r="M1423">
        <v>2037</v>
      </c>
      <c r="O1423" t="s">
        <v>26</v>
      </c>
      <c r="P1423" t="s">
        <v>39</v>
      </c>
      <c r="Q1423" t="s">
        <v>3034</v>
      </c>
    </row>
    <row r="1424" spans="1:17" ht="15.75" x14ac:dyDescent="0.25">
      <c r="A1424" s="3" t="str">
        <f>HYPERLINK("https://mdo-skin.com/products/aha-clarifying-cleanser", "https://mdo-skin.com/products/aha-clarifying-cleanser")</f>
        <v>https://mdo-skin.com/products/aha-clarifying-cleanser</v>
      </c>
      <c r="B1424" s="3" t="str">
        <f>HYPERLINK("https://mdo-skin.com/products/aha-clarifying-cleanser", "https://mdo-skin.com/products/aha-clarifying-cleanser")</f>
        <v>https://mdo-skin.com/products/aha-clarifying-cleanser</v>
      </c>
      <c r="C1424" t="s">
        <v>3008</v>
      </c>
      <c r="D1424" t="s">
        <v>3136</v>
      </c>
      <c r="E1424" s="3" t="str">
        <f>HYPERLINK("https://www.amazon.com/FREEMAN-Clarifying-Moisturizer-Botanical-Ceramides/dp/B0B6Q9S8J9/ref=sr_1_1?keywords=AHA+Clarifying+Cleanser&amp;qid=1695258936&amp;sr=8-1", "https://www.amazon.com/FREEMAN-Clarifying-Moisturizer-Botanical-Ceramides/dp/B0B6Q9S8J9/ref=sr_1_1?keywords=AHA+Clarifying+Cleanser&amp;qid=1695258936&amp;sr=8-1")</f>
        <v>https://www.amazon.com/FREEMAN-Clarifying-Moisturizer-Botanical-Ceramides/dp/B0B6Q9S8J9/ref=sr_1_1?keywords=AHA+Clarifying+Cleanser&amp;qid=1695258936&amp;sr=8-1</v>
      </c>
      <c r="F1424" t="s">
        <v>3137</v>
      </c>
      <c r="G1424" t="e">
        <f ca="1">IMAGE("https://mdo-skin.com/cdn/shop/products/AHA-Clariying-Cleanser_800x.png?v=1678261251")</f>
        <v>#NAME?</v>
      </c>
      <c r="H1424" t="e">
        <f ca="1">IMAGE("https://m.media-amazon.com/images/I/71qtukw-2HL._AC_UL320_.jpg")</f>
        <v>#NAME?</v>
      </c>
      <c r="I1424" t="s">
        <v>2994</v>
      </c>
      <c r="J1424">
        <v>9.99</v>
      </c>
      <c r="K1424" s="2" t="s">
        <v>3138</v>
      </c>
      <c r="L1424">
        <v>4.4000000000000004</v>
      </c>
      <c r="M1424">
        <v>10</v>
      </c>
      <c r="O1424" t="s">
        <v>26</v>
      </c>
      <c r="P1424" t="s">
        <v>39</v>
      </c>
      <c r="Q1424" t="s">
        <v>3012</v>
      </c>
    </row>
    <row r="1425" spans="1:17" ht="15.75" x14ac:dyDescent="0.25">
      <c r="A1425" s="3" t="str">
        <f t="shared" ref="A1425:B1427" si="18">HYPERLINK("https://mdo-skin.com/products/hyaluronic-eye-cream", "https://mdo-skin.com/products/hyaluronic-eye-cream")</f>
        <v>https://mdo-skin.com/products/hyaluronic-eye-cream</v>
      </c>
      <c r="B1425" s="3" t="str">
        <f t="shared" si="18"/>
        <v>https://mdo-skin.com/products/hyaluronic-eye-cream</v>
      </c>
      <c r="C1425" t="s">
        <v>3030</v>
      </c>
      <c r="D1425" t="s">
        <v>3139</v>
      </c>
      <c r="E1425" s="3" t="str">
        <f>HYPERLINK("https://www.amazon.com/CeraVe-Hyaluronic-Niacinamide-Ceramides-Ophthalmologist/dp/B0B3GCCRVH/ref=sr_1_3?keywords=Hyaluronic+Eye+Cream&amp;qid=1695258944&amp;sr=8-3", "https://www.amazon.com/CeraVe-Hyaluronic-Niacinamide-Ceramides-Ophthalmologist/dp/B0B3GCCRVH/ref=sr_1_3?keywords=Hyaluronic+Eye+Cream&amp;qid=1695258944&amp;sr=8-3")</f>
        <v>https://www.amazon.com/CeraVe-Hyaluronic-Niacinamide-Ceramides-Ophthalmologist/dp/B0B3GCCRVH/ref=sr_1_3?keywords=Hyaluronic+Eye+Cream&amp;qid=1695258944&amp;sr=8-3</v>
      </c>
      <c r="F1425" t="s">
        <v>3140</v>
      </c>
      <c r="G1425" t="e">
        <f ca="1">IMAGE("https://mdo-skin.com/cdn/shop/products/7649989187277_03_800x.png?v=1664361914")</f>
        <v>#NAME?</v>
      </c>
      <c r="H1425" t="e">
        <f ca="1">IMAGE("https://m.media-amazon.com/images/I/81tNeFIOGYL._AC_UL320_.jpg")</f>
        <v>#NAME?</v>
      </c>
      <c r="I1425" t="s">
        <v>2966</v>
      </c>
      <c r="J1425">
        <v>14.97</v>
      </c>
      <c r="K1425" s="2" t="s">
        <v>3141</v>
      </c>
      <c r="L1425">
        <v>4.5</v>
      </c>
      <c r="M1425">
        <v>3769</v>
      </c>
      <c r="O1425" t="s">
        <v>26</v>
      </c>
      <c r="P1425" t="s">
        <v>39</v>
      </c>
      <c r="Q1425" t="s">
        <v>3034</v>
      </c>
    </row>
    <row r="1426" spans="1:17" ht="15.75" x14ac:dyDescent="0.25">
      <c r="A1426" s="3" t="str">
        <f t="shared" si="18"/>
        <v>https://mdo-skin.com/products/hyaluronic-eye-cream</v>
      </c>
      <c r="B1426" s="3" t="str">
        <f t="shared" si="18"/>
        <v>https://mdo-skin.com/products/hyaluronic-eye-cream</v>
      </c>
      <c r="C1426" t="s">
        <v>3030</v>
      </c>
      <c r="D1426" t="s">
        <v>3142</v>
      </c>
      <c r="E1426" s="3" t="str">
        <f>HYPERLINK("https://www.amazon.com/DERMA-Hydrating-Cream-Hyaluronic-Acid/dp/B00A2F06Z2/ref=sr_1_8?keywords=Hyaluronic+Eye+Cream&amp;qid=1695258944&amp;sr=8-8", "https://www.amazon.com/DERMA-Hydrating-Cream-Hyaluronic-Acid/dp/B00A2F06Z2/ref=sr_1_8?keywords=Hyaluronic+Eye+Cream&amp;qid=1695258944&amp;sr=8-8")</f>
        <v>https://www.amazon.com/DERMA-Hydrating-Cream-Hyaluronic-Acid/dp/B00A2F06Z2/ref=sr_1_8?keywords=Hyaluronic+Eye+Cream&amp;qid=1695258944&amp;sr=8-8</v>
      </c>
      <c r="F1426" t="s">
        <v>3143</v>
      </c>
      <c r="G1426" t="e">
        <f ca="1">IMAGE("https://mdo-skin.com/cdn/shop/products/7649989187277_03_800x.png?v=1664361914")</f>
        <v>#NAME?</v>
      </c>
      <c r="H1426" t="e">
        <f ca="1">IMAGE("https://m.media-amazon.com/images/I/61-b6-jAIeL._AC_UL320_.jpg")</f>
        <v>#NAME?</v>
      </c>
      <c r="I1426" t="s">
        <v>2966</v>
      </c>
      <c r="J1426">
        <v>14.04</v>
      </c>
      <c r="K1426" s="2" t="s">
        <v>3144</v>
      </c>
      <c r="L1426">
        <v>4.2</v>
      </c>
      <c r="M1426">
        <v>1370</v>
      </c>
      <c r="O1426" t="s">
        <v>26</v>
      </c>
      <c r="P1426" t="s">
        <v>39</v>
      </c>
      <c r="Q1426" t="s">
        <v>3034</v>
      </c>
    </row>
    <row r="1427" spans="1:17" ht="15.75" x14ac:dyDescent="0.25">
      <c r="A1427" s="3" t="str">
        <f t="shared" si="18"/>
        <v>https://mdo-skin.com/products/hyaluronic-eye-cream</v>
      </c>
      <c r="B1427" s="3" t="str">
        <f t="shared" si="18"/>
        <v>https://mdo-skin.com/products/hyaluronic-eye-cream</v>
      </c>
      <c r="C1427" t="s">
        <v>3030</v>
      </c>
      <c r="D1427" t="s">
        <v>3145</v>
      </c>
      <c r="E1427" s="3" t="str">
        <f>HYPERLINK("https://www.amazon.com/Neutrogena-Hydrating-Hyaluronic-Dermatologist-Recommended/dp/B00NR1YIKM/ref=sr_1_1?keywords=Hyaluronic+Eye+Cream&amp;qid=1695258944&amp;sr=8-1", "https://www.amazon.com/Neutrogena-Hydrating-Hyaluronic-Dermatologist-Recommended/dp/B00NR1YIKM/ref=sr_1_1?keywords=Hyaluronic+Eye+Cream&amp;qid=1695258944&amp;sr=8-1")</f>
        <v>https://www.amazon.com/Neutrogena-Hydrating-Hyaluronic-Dermatologist-Recommended/dp/B00NR1YIKM/ref=sr_1_1?keywords=Hyaluronic+Eye+Cream&amp;qid=1695258944&amp;sr=8-1</v>
      </c>
      <c r="F1427" t="s">
        <v>3146</v>
      </c>
      <c r="G1427" t="e">
        <f ca="1">IMAGE("https://mdo-skin.com/cdn/shop/products/7649989187277_03_800x.png?v=1664361914")</f>
        <v>#NAME?</v>
      </c>
      <c r="H1427" t="e">
        <f ca="1">IMAGE("https://m.media-amazon.com/images/I/81bt+nsDyrL._AC_UL320_.jpg")</f>
        <v>#NAME?</v>
      </c>
      <c r="I1427" t="s">
        <v>2966</v>
      </c>
      <c r="J1427">
        <v>13.49</v>
      </c>
      <c r="K1427" s="2" t="s">
        <v>3147</v>
      </c>
      <c r="L1427">
        <v>4.5</v>
      </c>
      <c r="M1427">
        <v>18488</v>
      </c>
      <c r="O1427" t="s">
        <v>26</v>
      </c>
      <c r="P1427" t="s">
        <v>39</v>
      </c>
      <c r="Q1427" t="s">
        <v>3034</v>
      </c>
    </row>
    <row r="1428" spans="1:17" ht="15.75" x14ac:dyDescent="0.25">
      <c r="A1428" s="3" t="str">
        <f>HYPERLINK("https://mdo-skin.com/products/sheet-mask-power-duo", "https://mdo-skin.com/products/sheet-mask-power-duo")</f>
        <v>https://mdo-skin.com/products/sheet-mask-power-duo</v>
      </c>
      <c r="B1428" s="3" t="str">
        <f>HYPERLINK("https://mdo-skin.com/products/sheet-mask-power-duo", "https://mdo-skin.com/products/sheet-mask-power-duo")</f>
        <v>https://mdo-skin.com/products/sheet-mask-power-duo</v>
      </c>
      <c r="C1428" t="s">
        <v>3148</v>
      </c>
      <c r="D1428" t="s">
        <v>3149</v>
      </c>
      <c r="E1428" s="3" t="str">
        <f>HYPERLINK("https://www.amazon.com/Collection-Hydrating-Purifying-Moisturizing-Revitalizing/dp/B07NVTQW1K/ref=sr_1_2?keywords=Sheet+Mask+Power+Duo+%7C+10+Sheet+Masks&amp;qid=1695258936&amp;sr=8-2", "https://www.amazon.com/Collection-Hydrating-Purifying-Moisturizing-Revitalizing/dp/B07NVTQW1K/ref=sr_1_2?keywords=Sheet+Mask+Power+Duo+%7C+10+Sheet+Masks&amp;qid=1695258936&amp;sr=8-2")</f>
        <v>https://www.amazon.com/Collection-Hydrating-Purifying-Moisturizing-Revitalizing/dp/B07NVTQW1K/ref=sr_1_2?keywords=Sheet+Mask+Power+Duo+%7C+10+Sheet+Masks&amp;qid=1695258936&amp;sr=8-2</v>
      </c>
      <c r="F1428" t="s">
        <v>3150</v>
      </c>
      <c r="G1428" t="e">
        <f ca="1">IMAGE("https://mdo-skin.com/cdn/shop/products/MDO_PRODUCT_IMAGES_BBCREAM_800x800px11_800x.png?v=1641907130")</f>
        <v>#NAME?</v>
      </c>
      <c r="H1428" t="e">
        <f ca="1">IMAGE("https://m.media-amazon.com/images/I/61K6XEImOrL._AC_UL320_.jpg")</f>
        <v>#NAME?</v>
      </c>
      <c r="I1428" t="s">
        <v>2531</v>
      </c>
      <c r="J1428">
        <v>14.95</v>
      </c>
      <c r="K1428" s="2" t="s">
        <v>3151</v>
      </c>
      <c r="L1428">
        <v>4.7</v>
      </c>
      <c r="M1428">
        <v>2247</v>
      </c>
      <c r="O1428" t="s">
        <v>26</v>
      </c>
      <c r="P1428" t="s">
        <v>39</v>
      </c>
      <c r="Q1428" t="s">
        <v>3152</v>
      </c>
    </row>
    <row r="1429" spans="1:17" ht="15.75" x14ac:dyDescent="0.25">
      <c r="A1429" s="3" t="str">
        <f>HYPERLINK("https://mdo-skin.com/products/anti-blemish-solution-set", "https://mdo-skin.com/products/anti-blemish-solution-set")</f>
        <v>https://mdo-skin.com/products/anti-blemish-solution-set</v>
      </c>
      <c r="B1429" s="3" t="str">
        <f>HYPERLINK("https://mdo-skin.com/products/anti-blemish-solution-set", "https://mdo-skin.com/products/anti-blemish-solution-set")</f>
        <v>https://mdo-skin.com/products/anti-blemish-solution-set</v>
      </c>
      <c r="C1429" t="s">
        <v>3153</v>
      </c>
      <c r="D1429" t="s">
        <v>3154</v>
      </c>
      <c r="E1429" s="3" t="str">
        <f>HYPERLINK("https://www.amazon.com/Treatment-Probiotics-Multi-Fruit-Salicylic-Blemishes/dp/B07KGKZQ5G/ref=sr_1_5?keywords=Anti-Blemish+Solution+Set&amp;qid=1695258947&amp;sr=8-5", "https://www.amazon.com/Treatment-Probiotics-Multi-Fruit-Salicylic-Blemishes/dp/B07KGKZQ5G/ref=sr_1_5?keywords=Anti-Blemish+Solution+Set&amp;qid=1695258947&amp;sr=8-5")</f>
        <v>https://www.amazon.com/Treatment-Probiotics-Multi-Fruit-Salicylic-Blemishes/dp/B07KGKZQ5G/ref=sr_1_5?keywords=Anti-Blemish+Solution+Set&amp;qid=1695258947&amp;sr=8-5</v>
      </c>
      <c r="F1429" t="s">
        <v>3155</v>
      </c>
      <c r="G1429" t="e">
        <f ca="1">IMAGE("https://mdo-skin.com/cdn/shop/products/AHA_Gel_EMS_800x800_edff3f84-1f65-471a-81a6-f15835da2500_800x.png?v=1678261404")</f>
        <v>#NAME?</v>
      </c>
      <c r="H1429" t="e">
        <f ca="1">IMAGE("https://m.media-amazon.com/images/I/713RCBGZmWL._AC_UL320_.jpg")</f>
        <v>#NAME?</v>
      </c>
      <c r="I1429" t="s">
        <v>3156</v>
      </c>
      <c r="J1429">
        <v>32.99</v>
      </c>
      <c r="K1429" s="2" t="s">
        <v>3157</v>
      </c>
      <c r="L1429">
        <v>4</v>
      </c>
      <c r="M1429">
        <v>2166</v>
      </c>
      <c r="O1429" t="s">
        <v>26</v>
      </c>
      <c r="P1429" t="s">
        <v>39</v>
      </c>
      <c r="Q1429" t="s">
        <v>3158</v>
      </c>
    </row>
    <row r="1430" spans="1:17" ht="15.75" x14ac:dyDescent="0.25">
      <c r="A1430" s="3" t="str">
        <f>HYPERLINK("https://mdo-skin.com/products/supreme-glow-set", "https://mdo-skin.com/products/supreme-glow-set")</f>
        <v>https://mdo-skin.com/products/supreme-glow-set</v>
      </c>
      <c r="B1430" s="3" t="str">
        <f>HYPERLINK("https://mdo-skin.com/products/supreme-glow-set", "https://mdo-skin.com/products/supreme-glow-set")</f>
        <v>https://mdo-skin.com/products/supreme-glow-set</v>
      </c>
      <c r="C1430" t="s">
        <v>3159</v>
      </c>
      <c r="D1430" t="s">
        <v>3160</v>
      </c>
      <c r="E1430" s="3" t="str">
        <f>HYPERLINK("https://www.amazon.com/Estee-Lauder-Revitalizing-Moisturizers-Advanced/dp/B0B1CMSJXQ/ref=sr_1_2?keywords=Supreme+Glow+Set&amp;qid=1695258938&amp;sr=8-2", "https://www.amazon.com/Estee-Lauder-Revitalizing-Moisturizers-Advanced/dp/B0B1CMSJXQ/ref=sr_1_2?keywords=Supreme+Glow+Set&amp;qid=1695258938&amp;sr=8-2")</f>
        <v>https://www.amazon.com/Estee-Lauder-Revitalizing-Moisturizers-Advanced/dp/B0B1CMSJXQ/ref=sr_1_2?keywords=Supreme+Glow+Set&amp;qid=1695258938&amp;sr=8-2</v>
      </c>
      <c r="F1430" t="s">
        <v>3161</v>
      </c>
      <c r="G1430" t="e">
        <f ca="1">IMAGE("https://mdo-skin.com/cdn/shop/files/SupremeGlowSet_800x.png?v=1694070800")</f>
        <v>#NAME?</v>
      </c>
      <c r="H1430" t="e">
        <f ca="1">IMAGE("https://m.media-amazon.com/images/I/71JsNeuvZDL._AC_UL320_.jpg")</f>
        <v>#NAME?</v>
      </c>
      <c r="I1430" t="s">
        <v>3162</v>
      </c>
      <c r="J1430">
        <v>33.9</v>
      </c>
      <c r="K1430" s="2" t="s">
        <v>3163</v>
      </c>
      <c r="L1430">
        <v>5</v>
      </c>
      <c r="M1430">
        <v>3</v>
      </c>
      <c r="O1430" t="s">
        <v>26</v>
      </c>
      <c r="P1430" t="s">
        <v>39</v>
      </c>
      <c r="Q1430" t="s">
        <v>3164</v>
      </c>
    </row>
    <row r="1431" spans="1:17" ht="15.75" x14ac:dyDescent="0.25">
      <c r="A1431" s="3" t="str">
        <f>HYPERLINK("https://mdo-skin.com/products/3-step-beauty-ritual", "https://mdo-skin.com/products/3-step-beauty-ritual")</f>
        <v>https://mdo-skin.com/products/3-step-beauty-ritual</v>
      </c>
      <c r="B1431" s="3" t="str">
        <f>HYPERLINK("https://mdo-skin.com/products/3-step-beauty-ritual", "https://mdo-skin.com/products/3-step-beauty-ritual")</f>
        <v>https://mdo-skin.com/products/3-step-beauty-ritual</v>
      </c>
      <c r="C1431" t="s">
        <v>3165</v>
      </c>
      <c r="D1431" t="s">
        <v>3166</v>
      </c>
      <c r="E1431" s="3" t="str">
        <f>HYPERLINK("https://www.amazon.com/Birthday-Relaxing-Christmas-Baskets-Products/dp/B09JFZFN2T/ref=sr_1_7?keywords=Beauty+Set&amp;qid=1695258936&amp;sr=8-7", "https://www.amazon.com/Birthday-Relaxing-Christmas-Baskets-Products/dp/B09JFZFN2T/ref=sr_1_7?keywords=Beauty+Set&amp;qid=1695258936&amp;sr=8-7")</f>
        <v>https://www.amazon.com/Birthday-Relaxing-Christmas-Baskets-Products/dp/B09JFZFN2T/ref=sr_1_7?keywords=Beauty+Set&amp;qid=1695258936&amp;sr=8-7</v>
      </c>
      <c r="F1431" t="s">
        <v>3167</v>
      </c>
      <c r="G1431" t="e">
        <f ca="1">IMAGE("https://mdo-skin.com/cdn/shop/files/BeautySet_800x.png?v=1694070042")</f>
        <v>#NAME?</v>
      </c>
      <c r="H1431" t="e">
        <f ca="1">IMAGE("https://m.media-amazon.com/images/I/81W2NBUnwEL._AC_UL320_.jpg")</f>
        <v>#NAME?</v>
      </c>
      <c r="I1431" t="s">
        <v>2568</v>
      </c>
      <c r="J1431">
        <v>27.99</v>
      </c>
      <c r="K1431" s="2" t="s">
        <v>3168</v>
      </c>
      <c r="L1431">
        <v>4.7</v>
      </c>
      <c r="M1431">
        <v>588</v>
      </c>
      <c r="O1431" t="s">
        <v>26</v>
      </c>
      <c r="P1431" t="s">
        <v>39</v>
      </c>
      <c r="Q1431" t="s">
        <v>3169</v>
      </c>
    </row>
    <row r="1432" spans="1:17" ht="15.75" x14ac:dyDescent="0.25">
      <c r="A1432" s="3" t="str">
        <f>HYPERLINK("https://mdo-skin.com/products/hyaluronic-eye-cream", "https://mdo-skin.com/products/hyaluronic-eye-cream")</f>
        <v>https://mdo-skin.com/products/hyaluronic-eye-cream</v>
      </c>
      <c r="B1432" s="3" t="str">
        <f>HYPERLINK("https://mdo-skin.com/products/hyaluronic-eye-cream", "https://mdo-skin.com/products/hyaluronic-eye-cream")</f>
        <v>https://mdo-skin.com/products/hyaluronic-eye-cream</v>
      </c>
      <c r="C1432" t="s">
        <v>3030</v>
      </c>
      <c r="D1432" t="s">
        <v>3170</v>
      </c>
      <c r="E1432" s="3" t="str">
        <f>HYPERLINK("https://www.amazon.com/Cetaphil-Hydrating-Gel-Cream-Hyaluronic-Acid/dp/B07798MG7Q/ref=sr_1_4?keywords=Hyaluronic+Eye+Cream&amp;qid=1695258944&amp;sr=8-4", "https://www.amazon.com/Cetaphil-Hydrating-Gel-Cream-Hyaluronic-Acid/dp/B07798MG7Q/ref=sr_1_4?keywords=Hyaluronic+Eye+Cream&amp;qid=1695258944&amp;sr=8-4")</f>
        <v>https://www.amazon.com/Cetaphil-Hydrating-Gel-Cream-Hyaluronic-Acid/dp/B07798MG7Q/ref=sr_1_4?keywords=Hyaluronic+Eye+Cream&amp;qid=1695258944&amp;sr=8-4</v>
      </c>
      <c r="F1432" t="s">
        <v>3171</v>
      </c>
      <c r="G1432" t="e">
        <f ca="1">IMAGE("https://mdo-skin.com/cdn/shop/products/7649989187277_03_800x.png?v=1664361914")</f>
        <v>#NAME?</v>
      </c>
      <c r="H1432" t="e">
        <f ca="1">IMAGE("https://m.media-amazon.com/images/I/61o2l+AK3nL._AC_UL320_.jpg")</f>
        <v>#NAME?</v>
      </c>
      <c r="I1432" t="s">
        <v>2966</v>
      </c>
      <c r="J1432">
        <v>12.99</v>
      </c>
      <c r="K1432" s="2" t="s">
        <v>3172</v>
      </c>
      <c r="L1432">
        <v>4.4000000000000004</v>
      </c>
      <c r="M1432">
        <v>17944</v>
      </c>
      <c r="O1432" t="s">
        <v>26</v>
      </c>
      <c r="P1432" t="s">
        <v>39</v>
      </c>
      <c r="Q1432" t="s">
        <v>3034</v>
      </c>
    </row>
    <row r="1433" spans="1:17" ht="15.75" x14ac:dyDescent="0.25">
      <c r="A1433" s="3" t="str">
        <f>HYPERLINK("https://mdo-skin.com/products/skin-rescue-sheet-mask", "https://mdo-skin.com/products/skin-rescue-sheet-mask")</f>
        <v>https://mdo-skin.com/products/skin-rescue-sheet-mask</v>
      </c>
      <c r="B1433" s="3" t="str">
        <f>HYPERLINK("https://mdo-skin.com/products/skin-rescue-sheet-mask", "https://mdo-skin.com/products/skin-rescue-sheet-mask")</f>
        <v>https://mdo-skin.com/products/skin-rescue-sheet-mask</v>
      </c>
      <c r="C1433" t="s">
        <v>3000</v>
      </c>
      <c r="D1433" t="s">
        <v>3173</v>
      </c>
      <c r="E1433" s="3" t="str">
        <f>HYPERLINK("https://www.amazon.com/Minute-Rescue-Sheet-Mask-Detox/dp/B079ZP793C/ref=sr_1_1?keywords=Skin+Rescue+Sheet+Mask&amp;qid=1695258938&amp;sr=8-1", "https://www.amazon.com/Minute-Rescue-Sheet-Mask-Detox/dp/B079ZP793C/ref=sr_1_1?keywords=Skin+Rescue+Sheet+Mask&amp;qid=1695258938&amp;sr=8-1")</f>
        <v>https://www.amazon.com/Minute-Rescue-Sheet-Mask-Detox/dp/B079ZP793C/ref=sr_1_1?keywords=Skin+Rescue+Sheet+Mask&amp;qid=1695258938&amp;sr=8-1</v>
      </c>
      <c r="F1433" t="s">
        <v>3174</v>
      </c>
      <c r="G1433" t="e">
        <f ca="1">IMAGE("https://mdo-skin.com/cdn/shop/files/Myproject_1_800x.png?v=1689152772")</f>
        <v>#NAME?</v>
      </c>
      <c r="H1433" t="e">
        <f ca="1">IMAGE("https://m.media-amazon.com/images/I/71JiIlOtmwL._AC_UL320_.jpg")</f>
        <v>#NAME?</v>
      </c>
      <c r="I1433" t="s">
        <v>2994</v>
      </c>
      <c r="J1433">
        <v>8</v>
      </c>
      <c r="K1433" s="2" t="s">
        <v>3175</v>
      </c>
      <c r="L1433">
        <v>4.0999999999999996</v>
      </c>
      <c r="M1433">
        <v>16</v>
      </c>
      <c r="O1433" t="s">
        <v>26</v>
      </c>
      <c r="P1433" t="s">
        <v>39</v>
      </c>
      <c r="Q1433" t="s">
        <v>3004</v>
      </c>
    </row>
    <row r="1434" spans="1:17" ht="15.75" x14ac:dyDescent="0.25">
      <c r="A1434" s="3" t="str">
        <f>HYPERLINK("https://mdo-skin.com/products/anti-blemish-solution-set", "https://mdo-skin.com/products/anti-blemish-solution-set")</f>
        <v>https://mdo-skin.com/products/anti-blemish-solution-set</v>
      </c>
      <c r="B1434" s="3" t="str">
        <f>HYPERLINK("https://mdo-skin.com/products/anti-blemish-solution-set", "https://mdo-skin.com/products/anti-blemish-solution-set")</f>
        <v>https://mdo-skin.com/products/anti-blemish-solution-set</v>
      </c>
      <c r="C1434" t="s">
        <v>3153</v>
      </c>
      <c r="D1434" t="s">
        <v>3176</v>
      </c>
      <c r="E1434" s="3" t="str">
        <f>HYPERLINK("https://www.amazon.com/Ordinary-Caffeine-Hyaluronic-Niacinamide-Blemishes/dp/B07QFHZZZL/ref=sr_1_9?keywords=Anti-Blemish+Solution+Set&amp;qid=1695258947&amp;sr=8-9", "https://www.amazon.com/Ordinary-Caffeine-Hyaluronic-Niacinamide-Blemishes/dp/B07QFHZZZL/ref=sr_1_9?keywords=Anti-Blemish+Solution+Set&amp;qid=1695258947&amp;sr=8-9")</f>
        <v>https://www.amazon.com/Ordinary-Caffeine-Hyaluronic-Niacinamide-Blemishes/dp/B07QFHZZZL/ref=sr_1_9?keywords=Anti-Blemish+Solution+Set&amp;qid=1695258947&amp;sr=8-9</v>
      </c>
      <c r="F1434" t="s">
        <v>3177</v>
      </c>
      <c r="G1434" t="e">
        <f ca="1">IMAGE("https://mdo-skin.com/cdn/shop/products/AHA_Gel_EMS_800x800_edff3f84-1f65-471a-81a6-f15835da2500_800x.png?v=1678261404")</f>
        <v>#NAME?</v>
      </c>
      <c r="H1434" t="e">
        <f ca="1">IMAGE("https://m.media-amazon.com/images/I/61qJSpCwlKL._AC_UL320_.jpg")</f>
        <v>#NAME?</v>
      </c>
      <c r="I1434" t="s">
        <v>3156</v>
      </c>
      <c r="J1434">
        <v>30.2</v>
      </c>
      <c r="K1434" s="2" t="s">
        <v>2809</v>
      </c>
      <c r="L1434">
        <v>4.5999999999999996</v>
      </c>
      <c r="M1434">
        <v>5457</v>
      </c>
      <c r="O1434" t="s">
        <v>26</v>
      </c>
      <c r="P1434" t="s">
        <v>39</v>
      </c>
      <c r="Q1434" t="s">
        <v>3158</v>
      </c>
    </row>
    <row r="1435" spans="1:17" ht="15.75" x14ac:dyDescent="0.25">
      <c r="A1435" s="3" t="str">
        <f>HYPERLINK("https://mdo-skin.com/products/pro-collagen-refining-serum", "https://mdo-skin.com/products/pro-collagen-refining-serum")</f>
        <v>https://mdo-skin.com/products/pro-collagen-refining-serum</v>
      </c>
      <c r="B1435" s="3" t="str">
        <f>HYPERLINK("https://mdo-skin.com/products/pro-collagen-refining-serum", "https://mdo-skin.com/products/pro-collagen-refining-serum")</f>
        <v>https://mdo-skin.com/products/pro-collagen-refining-serum</v>
      </c>
      <c r="C1435" t="s">
        <v>2963</v>
      </c>
      <c r="D1435" t="s">
        <v>3178</v>
      </c>
      <c r="E1435" s="3" t="str">
        <f>HYPERLINK("https://www.amazon.com/Tree-Life-Collagen-Peptides-Serum/dp/B0BZTFCCWJ/ref=sr_1_1?keywords=Pro-Collagen+Refining+Serum&amp;qid=1695258937&amp;sr=8-1", "https://www.amazon.com/Tree-Life-Collagen-Peptides-Serum/dp/B0BZTFCCWJ/ref=sr_1_1?keywords=Pro-Collagen+Refining+Serum&amp;qid=1695258937&amp;sr=8-1")</f>
        <v>https://www.amazon.com/Tree-Life-Collagen-Peptides-Serum/dp/B0BZTFCCWJ/ref=sr_1_1?keywords=Pro-Collagen+Refining+Serum&amp;qid=1695258937&amp;sr=8-1</v>
      </c>
      <c r="F1435" t="s">
        <v>3179</v>
      </c>
      <c r="G1435" t="e">
        <f ca="1">IMAGE("https://mdo-skin.com/cdn/shop/files/Mdoedit-13ProductPage_1080x.png?v=1693814696")</f>
        <v>#NAME?</v>
      </c>
      <c r="H1435" t="e">
        <f ca="1">IMAGE("https://m.media-amazon.com/images/I/519JxPptvfL._AC_UL320_.jpg")</f>
        <v>#NAME?</v>
      </c>
      <c r="I1435" t="s">
        <v>2966</v>
      </c>
      <c r="J1435">
        <v>11.99</v>
      </c>
      <c r="K1435" s="2" t="s">
        <v>3180</v>
      </c>
      <c r="L1435">
        <v>4.4000000000000004</v>
      </c>
      <c r="M1435">
        <v>15</v>
      </c>
      <c r="O1435" t="s">
        <v>26</v>
      </c>
      <c r="P1435" t="s">
        <v>39</v>
      </c>
      <c r="Q1435" t="s">
        <v>2968</v>
      </c>
    </row>
    <row r="1436" spans="1:17" ht="15.75" x14ac:dyDescent="0.25">
      <c r="A1436" s="3" t="str">
        <f>HYPERLINK("https://mdo-skin.com/products/hyaluronic-eye-cream", "https://mdo-skin.com/products/hyaluronic-eye-cream")</f>
        <v>https://mdo-skin.com/products/hyaluronic-eye-cream</v>
      </c>
      <c r="B1436" s="3" t="str">
        <f>HYPERLINK("https://mdo-skin.com/products/hyaluronic-eye-cream", "https://mdo-skin.com/products/hyaluronic-eye-cream")</f>
        <v>https://mdo-skin.com/products/hyaluronic-eye-cream</v>
      </c>
      <c r="C1436" t="s">
        <v>3030</v>
      </c>
      <c r="D1436" t="s">
        <v>2950</v>
      </c>
      <c r="E1436" s="3" t="str">
        <f>HYPERLINK("https://www.amazon.com/Hydration-Refreshing-Hyaluronic-Dermatologist-Recommended/dp/B0897V6H9C/ref=sr_1_5?keywords=Hyaluronic+Eye+Cream&amp;qid=1695258944&amp;sr=8-5", "https://www.amazon.com/Hydration-Refreshing-Hyaluronic-Dermatologist-Recommended/dp/B0897V6H9C/ref=sr_1_5?keywords=Hyaluronic+Eye+Cream&amp;qid=1695258944&amp;sr=8-5")</f>
        <v>https://www.amazon.com/Hydration-Refreshing-Hyaluronic-Dermatologist-Recommended/dp/B0897V6H9C/ref=sr_1_5?keywords=Hyaluronic+Eye+Cream&amp;qid=1695258944&amp;sr=8-5</v>
      </c>
      <c r="F1436" t="s">
        <v>2951</v>
      </c>
      <c r="G1436" t="e">
        <f ca="1">IMAGE("https://mdo-skin.com/cdn/shop/products/7649989187277_03_800x.png?v=1664361914")</f>
        <v>#NAME?</v>
      </c>
      <c r="H1436" t="e">
        <f ca="1">IMAGE("https://m.media-amazon.com/images/I/61XVt+GcGEL._AC_UL320_.jpg")</f>
        <v>#NAME?</v>
      </c>
      <c r="I1436" t="s">
        <v>2966</v>
      </c>
      <c r="J1436">
        <v>10.98</v>
      </c>
      <c r="K1436" s="2" t="s">
        <v>3181</v>
      </c>
      <c r="L1436">
        <v>4.4000000000000004</v>
      </c>
      <c r="M1436">
        <v>5389</v>
      </c>
      <c r="O1436" t="s">
        <v>26</v>
      </c>
      <c r="P1436" t="s">
        <v>39</v>
      </c>
      <c r="Q1436" t="s">
        <v>3034</v>
      </c>
    </row>
    <row r="1437" spans="1:17" ht="15.75" x14ac:dyDescent="0.25">
      <c r="A1437" s="3" t="str">
        <f>HYPERLINK("https://mdo-skin.com/products/anti-blemish-solution-set", "https://mdo-skin.com/products/anti-blemish-solution-set")</f>
        <v>https://mdo-skin.com/products/anti-blemish-solution-set</v>
      </c>
      <c r="B1437" s="3" t="str">
        <f>HYPERLINK("https://mdo-skin.com/products/anti-blemish-solution-set", "https://mdo-skin.com/products/anti-blemish-solution-set")</f>
        <v>https://mdo-skin.com/products/anti-blemish-solution-set</v>
      </c>
      <c r="C1437" t="s">
        <v>3153</v>
      </c>
      <c r="D1437" t="s">
        <v>3182</v>
      </c>
      <c r="E1437" s="3" t="str">
        <f>HYPERLINK("https://www.amazon.com/Clinique-Anti-Blemish-Solutions-Clearing-Moisturizer/dp/B001JZ5HKS/ref=sr_1_1?keywords=Anti-Blemish+Solution+Set&amp;qid=1695258947&amp;sr=8-1", "https://www.amazon.com/Clinique-Anti-Blemish-Solutions-Clearing-Moisturizer/dp/B001JZ5HKS/ref=sr_1_1?keywords=Anti-Blemish+Solution+Set&amp;qid=1695258947&amp;sr=8-1")</f>
        <v>https://www.amazon.com/Clinique-Anti-Blemish-Solutions-Clearing-Moisturizer/dp/B001JZ5HKS/ref=sr_1_1?keywords=Anti-Blemish+Solution+Set&amp;qid=1695258947&amp;sr=8-1</v>
      </c>
      <c r="F1437" t="s">
        <v>3183</v>
      </c>
      <c r="G1437" t="e">
        <f ca="1">IMAGE("https://mdo-skin.com/cdn/shop/products/AHA_Gel_EMS_800x800_edff3f84-1f65-471a-81a6-f15835da2500_800x.png?v=1678261404")</f>
        <v>#NAME?</v>
      </c>
      <c r="H1437" t="e">
        <f ca="1">IMAGE("https://m.media-amazon.com/images/I/51Owf1tBRXL._AC_UL320_.jpg")</f>
        <v>#NAME?</v>
      </c>
      <c r="I1437" t="s">
        <v>3156</v>
      </c>
      <c r="J1437">
        <v>26</v>
      </c>
      <c r="K1437" s="2" t="s">
        <v>3184</v>
      </c>
      <c r="L1437">
        <v>4.4000000000000004</v>
      </c>
      <c r="M1437">
        <v>379</v>
      </c>
      <c r="O1437" t="s">
        <v>26</v>
      </c>
      <c r="P1437" t="s">
        <v>39</v>
      </c>
      <c r="Q1437" t="s">
        <v>3158</v>
      </c>
    </row>
    <row r="1438" spans="1:17" ht="15.75" x14ac:dyDescent="0.25">
      <c r="A1438" s="3" t="str">
        <f>HYPERLINK("https://mdo-skin.com/products/supreme-glow-set", "https://mdo-skin.com/products/supreme-glow-set")</f>
        <v>https://mdo-skin.com/products/supreme-glow-set</v>
      </c>
      <c r="B1438" s="3" t="str">
        <f>HYPERLINK("https://mdo-skin.com/products/supreme-glow-set", "https://mdo-skin.com/products/supreme-glow-set")</f>
        <v>https://mdo-skin.com/products/supreme-glow-set</v>
      </c>
      <c r="C1438" t="s">
        <v>3159</v>
      </c>
      <c r="D1438" t="s">
        <v>3185</v>
      </c>
      <c r="E1438" s="3" t="str">
        <f>HYPERLINK("https://www.amazon.com/Estee-Lauder-REVITALIZING-SUPREME-Advanced/dp/B098Q9DY13/ref=sr_1_1?keywords=Supreme+Glow+Set&amp;qid=1695258938&amp;sr=8-1", "https://www.amazon.com/Estee-Lauder-REVITALIZING-SUPREME-Advanced/dp/B098Q9DY13/ref=sr_1_1?keywords=Supreme+Glow+Set&amp;qid=1695258938&amp;sr=8-1")</f>
        <v>https://www.amazon.com/Estee-Lauder-REVITALIZING-SUPREME-Advanced/dp/B098Q9DY13/ref=sr_1_1?keywords=Supreme+Glow+Set&amp;qid=1695258938&amp;sr=8-1</v>
      </c>
      <c r="F1438" t="s">
        <v>3186</v>
      </c>
      <c r="G1438" t="e">
        <f ca="1">IMAGE("https://mdo-skin.com/cdn/shop/files/SupremeGlowSet_800x.png?v=1694070800")</f>
        <v>#NAME?</v>
      </c>
      <c r="H1438" t="e">
        <f ca="1">IMAGE("https://m.media-amazon.com/images/I/61pTDVyFIyL._AC_UL320_.jpg")</f>
        <v>#NAME?</v>
      </c>
      <c r="I1438" t="s">
        <v>3162</v>
      </c>
      <c r="J1438">
        <v>25</v>
      </c>
      <c r="K1438" s="2" t="s">
        <v>3187</v>
      </c>
      <c r="L1438">
        <v>4.5999999999999996</v>
      </c>
      <c r="M1438">
        <v>30</v>
      </c>
      <c r="O1438" t="s">
        <v>26</v>
      </c>
      <c r="P1438" t="s">
        <v>39</v>
      </c>
      <c r="Q1438" t="s">
        <v>3164</v>
      </c>
    </row>
    <row r="1439" spans="1:17" ht="15.75" x14ac:dyDescent="0.25">
      <c r="A1439" s="3" t="str">
        <f>HYPERLINK("https://mdo-skin.com/products/skin-rescue-sheet-mask", "https://mdo-skin.com/products/skin-rescue-sheet-mask")</f>
        <v>https://mdo-skin.com/products/skin-rescue-sheet-mask</v>
      </c>
      <c r="B1439" s="3" t="str">
        <f>HYPERLINK("https://mdo-skin.com/products/skin-rescue-sheet-mask", "https://mdo-skin.com/products/skin-rescue-sheet-mask")</f>
        <v>https://mdo-skin.com/products/skin-rescue-sheet-mask</v>
      </c>
      <c r="C1439" t="s">
        <v>3000</v>
      </c>
      <c r="D1439" t="s">
        <v>3188</v>
      </c>
      <c r="E1439" s="3" t="str">
        <f>HYPERLINK("https://www.amazon.com/Knours-Brightening-Rejuvenating-Age-defying-Nourishing/dp/B07VZWGPPT/ref=sr_1_6?keywords=Skin+Rescue+Sheet+Mask&amp;qid=1695258938&amp;sr=8-6", "https://www.amazon.com/Knours-Brightening-Rejuvenating-Age-defying-Nourishing/dp/B07VZWGPPT/ref=sr_1_6?keywords=Skin+Rescue+Sheet+Mask&amp;qid=1695258938&amp;sr=8-6")</f>
        <v>https://www.amazon.com/Knours-Brightening-Rejuvenating-Age-defying-Nourishing/dp/B07VZWGPPT/ref=sr_1_6?keywords=Skin+Rescue+Sheet+Mask&amp;qid=1695258938&amp;sr=8-6</v>
      </c>
      <c r="F1439" t="s">
        <v>3189</v>
      </c>
      <c r="G1439" t="e">
        <f ca="1">IMAGE("https://mdo-skin.com/cdn/shop/files/Myproject_1_800x.png?v=1689152772")</f>
        <v>#NAME?</v>
      </c>
      <c r="H1439" t="e">
        <f ca="1">IMAGE("https://m.media-amazon.com/images/I/71zDWwdupaL._AC_UL320_.jpg")</f>
        <v>#NAME?</v>
      </c>
      <c r="I1439" t="s">
        <v>2994</v>
      </c>
      <c r="J1439">
        <v>6</v>
      </c>
      <c r="K1439" s="2" t="s">
        <v>3190</v>
      </c>
      <c r="L1439">
        <v>4.4000000000000004</v>
      </c>
      <c r="M1439">
        <v>26</v>
      </c>
      <c r="O1439" t="s">
        <v>26</v>
      </c>
      <c r="P1439" t="s">
        <v>39</v>
      </c>
      <c r="Q1439" t="s">
        <v>3004</v>
      </c>
    </row>
    <row r="1440" spans="1:17" ht="15.75" x14ac:dyDescent="0.25">
      <c r="A1440" s="3" t="str">
        <f>HYPERLINK("https://mdo-skin.com/products/skin-rescue-sheet-mask", "https://mdo-skin.com/products/skin-rescue-sheet-mask")</f>
        <v>https://mdo-skin.com/products/skin-rescue-sheet-mask</v>
      </c>
      <c r="B1440" s="3" t="str">
        <f>HYPERLINK("https://mdo-skin.com/products/skin-rescue-sheet-mask", "https://mdo-skin.com/products/skin-rescue-sheet-mask")</f>
        <v>https://mdo-skin.com/products/skin-rescue-sheet-mask</v>
      </c>
      <c r="C1440" t="s">
        <v>3000</v>
      </c>
      <c r="D1440" t="s">
        <v>3191</v>
      </c>
      <c r="E1440" s="3" t="str">
        <f>HYPERLINK("https://www.amazon.com/St-Ives-Sheet-Apricot-Count/dp/B079JVY2V4/ref=sr_1_4?keywords=Skin+Rescue+Sheet+Mask&amp;qid=1695258938&amp;sr=8-4", "https://www.amazon.com/St-Ives-Sheet-Apricot-Count/dp/B079JVY2V4/ref=sr_1_4?keywords=Skin+Rescue+Sheet+Mask&amp;qid=1695258938&amp;sr=8-4")</f>
        <v>https://www.amazon.com/St-Ives-Sheet-Apricot-Count/dp/B079JVY2V4/ref=sr_1_4?keywords=Skin+Rescue+Sheet+Mask&amp;qid=1695258938&amp;sr=8-4</v>
      </c>
      <c r="F1440" t="s">
        <v>3192</v>
      </c>
      <c r="G1440" t="e">
        <f ca="1">IMAGE("https://mdo-skin.com/cdn/shop/files/Myproject_1_800x.png?v=1689152772")</f>
        <v>#NAME?</v>
      </c>
      <c r="H1440" t="e">
        <f ca="1">IMAGE("https://m.media-amazon.com/images/I/611Pj8FTVbL._AC_UL320_.jpg")</f>
        <v>#NAME?</v>
      </c>
      <c r="I1440" t="s">
        <v>2994</v>
      </c>
      <c r="J1440">
        <v>5.99</v>
      </c>
      <c r="K1440" s="2" t="s">
        <v>3193</v>
      </c>
      <c r="L1440">
        <v>4.3</v>
      </c>
      <c r="M1440">
        <v>100</v>
      </c>
      <c r="O1440" t="s">
        <v>26</v>
      </c>
      <c r="P1440" t="s">
        <v>39</v>
      </c>
      <c r="Q1440" t="s">
        <v>3004</v>
      </c>
    </row>
    <row r="1441" spans="1:17" ht="15.75" x14ac:dyDescent="0.25">
      <c r="A1441" s="3" t="str">
        <f>HYPERLINK("https://mdo-skin.com/products/3-step-beauty-ritual", "https://mdo-skin.com/products/3-step-beauty-ritual")</f>
        <v>https://mdo-skin.com/products/3-step-beauty-ritual</v>
      </c>
      <c r="B1441" s="3" t="str">
        <f>HYPERLINK("https://mdo-skin.com/products/3-step-beauty-ritual", "https://mdo-skin.com/products/3-step-beauty-ritual")</f>
        <v>https://mdo-skin.com/products/3-step-beauty-ritual</v>
      </c>
      <c r="C1441" t="s">
        <v>3165</v>
      </c>
      <c r="D1441" t="s">
        <v>3194</v>
      </c>
      <c r="E1441" s="3" t="str">
        <f>HYPERLINK("https://www.amazon.com/Pacifica-Friendly-Brightening-Cleanser-Glycolic/dp/B09WH3KJRJ/ref=sr_1_9?keywords=Beauty+Set&amp;qid=1695258936&amp;sr=8-9", "https://www.amazon.com/Pacifica-Friendly-Brightening-Cleanser-Glycolic/dp/B09WH3KJRJ/ref=sr_1_9?keywords=Beauty+Set&amp;qid=1695258936&amp;sr=8-9")</f>
        <v>https://www.amazon.com/Pacifica-Friendly-Brightening-Cleanser-Glycolic/dp/B09WH3KJRJ/ref=sr_1_9?keywords=Beauty+Set&amp;qid=1695258936&amp;sr=8-9</v>
      </c>
      <c r="F1441" t="s">
        <v>3195</v>
      </c>
      <c r="G1441" t="e">
        <f ca="1">IMAGE("https://mdo-skin.com/cdn/shop/files/BeautySet_800x.png?v=1694070042")</f>
        <v>#NAME?</v>
      </c>
      <c r="H1441" t="e">
        <f ca="1">IMAGE("https://m.media-amazon.com/images/I/71Pn7FsiDvL._AC_UL320_.jpg")</f>
        <v>#NAME?</v>
      </c>
      <c r="I1441" t="s">
        <v>2568</v>
      </c>
      <c r="J1441">
        <v>19.989999999999998</v>
      </c>
      <c r="K1441" s="2" t="s">
        <v>3196</v>
      </c>
      <c r="L1441">
        <v>4.5</v>
      </c>
      <c r="M1441">
        <v>129</v>
      </c>
      <c r="O1441" t="s">
        <v>26</v>
      </c>
      <c r="P1441" t="s">
        <v>39</v>
      </c>
      <c r="Q1441" t="s">
        <v>3169</v>
      </c>
    </row>
    <row r="1442" spans="1:17" ht="15.75" x14ac:dyDescent="0.25">
      <c r="A1442" s="3" t="str">
        <f>HYPERLINK("https://mdo-skin.com/products/sheet-mask-power-duo", "https://mdo-skin.com/products/sheet-mask-power-duo")</f>
        <v>https://mdo-skin.com/products/sheet-mask-power-duo</v>
      </c>
      <c r="B1442" s="3" t="str">
        <f>HYPERLINK("https://mdo-skin.com/products/sheet-mask-power-duo", "https://mdo-skin.com/products/sheet-mask-power-duo")</f>
        <v>https://mdo-skin.com/products/sheet-mask-power-duo</v>
      </c>
      <c r="C1442" t="s">
        <v>3148</v>
      </c>
      <c r="D1442" t="s">
        <v>3197</v>
      </c>
      <c r="E1442" s="3" t="str">
        <f>HYPERLINK("https://www.amazon.com/DERMAL-Calming-Collagen-Essence-Assorted/dp/B0C1GNR2QX/ref=sr_1_1?keywords=Sheet+Mask+Power+Duo+%7C+10+Sheet+Masks&amp;qid=1695258936&amp;sr=8-1", "https://www.amazon.com/DERMAL-Calming-Collagen-Essence-Assorted/dp/B0C1GNR2QX/ref=sr_1_1?keywords=Sheet+Mask+Power+Duo+%7C+10+Sheet+Masks&amp;qid=1695258936&amp;sr=8-1")</f>
        <v>https://www.amazon.com/DERMAL-Calming-Collagen-Essence-Assorted/dp/B0C1GNR2QX/ref=sr_1_1?keywords=Sheet+Mask+Power+Duo+%7C+10+Sheet+Masks&amp;qid=1695258936&amp;sr=8-1</v>
      </c>
      <c r="F1442" t="s">
        <v>3198</v>
      </c>
      <c r="G1442" t="e">
        <f ca="1">IMAGE("https://mdo-skin.com/cdn/shop/products/MDO_PRODUCT_IMAGES_BBCREAM_800x800px11_800x.png?v=1641907130")</f>
        <v>#NAME?</v>
      </c>
      <c r="H1442" t="e">
        <f ca="1">IMAGE("https://m.media-amazon.com/images/I/61sGvpUxdWL._AC_UL320_.jpg")</f>
        <v>#NAME?</v>
      </c>
      <c r="I1442" t="s">
        <v>2531</v>
      </c>
      <c r="J1442">
        <v>9.99</v>
      </c>
      <c r="K1442" s="2" t="s">
        <v>3199</v>
      </c>
      <c r="L1442">
        <v>4.7</v>
      </c>
      <c r="M1442">
        <v>56</v>
      </c>
      <c r="O1442" t="s">
        <v>26</v>
      </c>
      <c r="P1442" t="s">
        <v>39</v>
      </c>
      <c r="Q1442" t="s">
        <v>3152</v>
      </c>
    </row>
    <row r="1443" spans="1:17" ht="15.75" x14ac:dyDescent="0.25">
      <c r="A1443" s="3" t="str">
        <f>HYPERLINK("https://mdo-skin.com/products/anti-blemish-solution-set", "https://mdo-skin.com/products/anti-blemish-solution-set")</f>
        <v>https://mdo-skin.com/products/anti-blemish-solution-set</v>
      </c>
      <c r="B1443" s="3" t="str">
        <f>HYPERLINK("https://mdo-skin.com/products/anti-blemish-solution-set", "https://mdo-skin.com/products/anti-blemish-solution-set")</f>
        <v>https://mdo-skin.com/products/anti-blemish-solution-set</v>
      </c>
      <c r="C1443" t="s">
        <v>3153</v>
      </c>
      <c r="D1443" t="s">
        <v>3200</v>
      </c>
      <c r="E1443" s="3" t="str">
        <f>HYPERLINK("https://www.amazon.com/Clinique-Acne-Solutions-Cleansing-Foam/dp/B001JZ5F6E/ref=sr_1_2?keywords=Anti-Blemish+Solution+Set&amp;qid=1695258947&amp;sr=8-2", "https://www.amazon.com/Clinique-Acne-Solutions-Cleansing-Foam/dp/B001JZ5F6E/ref=sr_1_2?keywords=Anti-Blemish+Solution+Set&amp;qid=1695258947&amp;sr=8-2")</f>
        <v>https://www.amazon.com/Clinique-Acne-Solutions-Cleansing-Foam/dp/B001JZ5F6E/ref=sr_1_2?keywords=Anti-Blemish+Solution+Set&amp;qid=1695258947&amp;sr=8-2</v>
      </c>
      <c r="F1443" t="s">
        <v>3201</v>
      </c>
      <c r="G1443" t="e">
        <f ca="1">IMAGE("https://mdo-skin.com/cdn/shop/products/AHA_Gel_EMS_800x800_edff3f84-1f65-471a-81a6-f15835da2500_800x.png?v=1678261404")</f>
        <v>#NAME?</v>
      </c>
      <c r="H1443" t="e">
        <f ca="1">IMAGE("https://m.media-amazon.com/images/I/61ZtTRfjqzL._AC_UL320_.jpg")</f>
        <v>#NAME?</v>
      </c>
      <c r="I1443" t="s">
        <v>3156</v>
      </c>
      <c r="J1443">
        <v>19</v>
      </c>
      <c r="K1443" s="2" t="s">
        <v>3202</v>
      </c>
      <c r="L1443">
        <v>4.7</v>
      </c>
      <c r="M1443">
        <v>334</v>
      </c>
      <c r="O1443" t="s">
        <v>26</v>
      </c>
      <c r="P1443" t="s">
        <v>39</v>
      </c>
      <c r="Q1443" t="s">
        <v>3158</v>
      </c>
    </row>
    <row r="1444" spans="1:17" ht="15.75" x14ac:dyDescent="0.25">
      <c r="A1444" s="3" t="str">
        <f>HYPERLINK("https://mdo-skin.com/products/3-step-beauty-ritual", "https://mdo-skin.com/products/3-step-beauty-ritual")</f>
        <v>https://mdo-skin.com/products/3-step-beauty-ritual</v>
      </c>
      <c r="B1444" s="3" t="str">
        <f>HYPERLINK("https://mdo-skin.com/products/3-step-beauty-ritual", "https://mdo-skin.com/products/3-step-beauty-ritual")</f>
        <v>https://mdo-skin.com/products/3-step-beauty-ritual</v>
      </c>
      <c r="C1444" t="s">
        <v>3165</v>
      </c>
      <c r="D1444" t="s">
        <v>3203</v>
      </c>
      <c r="E1444" s="3" t="str">
        <f>HYPERLINK("https://www.amazon.com/Pacifica-Wanderlust-Featuring-Fragrance-Essential/dp/B09TRZ3DXV/ref=sr_1_6?keywords=Beauty+Set&amp;qid=1695258936&amp;sr=8-6", "https://www.amazon.com/Pacifica-Wanderlust-Featuring-Fragrance-Essential/dp/B09TRZ3DXV/ref=sr_1_6?keywords=Beauty+Set&amp;qid=1695258936&amp;sr=8-6")</f>
        <v>https://www.amazon.com/Pacifica-Wanderlust-Featuring-Fragrance-Essential/dp/B09TRZ3DXV/ref=sr_1_6?keywords=Beauty+Set&amp;qid=1695258936&amp;sr=8-6</v>
      </c>
      <c r="F1444" t="s">
        <v>3204</v>
      </c>
      <c r="G1444" t="e">
        <f ca="1">IMAGE("https://mdo-skin.com/cdn/shop/files/BeautySet_800x.png?v=1694070042")</f>
        <v>#NAME?</v>
      </c>
      <c r="H1444" t="e">
        <f ca="1">IMAGE("https://m.media-amazon.com/images/I/71guHNdnCRL._AC_UL320_.jpg")</f>
        <v>#NAME?</v>
      </c>
      <c r="I1444" t="s">
        <v>2568</v>
      </c>
      <c r="J1444">
        <v>14.99</v>
      </c>
      <c r="K1444" s="2" t="s">
        <v>3205</v>
      </c>
      <c r="L1444">
        <v>4.2</v>
      </c>
      <c r="M1444">
        <v>16943</v>
      </c>
      <c r="O1444" t="s">
        <v>26</v>
      </c>
      <c r="P1444" t="s">
        <v>39</v>
      </c>
      <c r="Q1444" t="s">
        <v>3169</v>
      </c>
    </row>
    <row r="1445" spans="1:17" ht="15.75" x14ac:dyDescent="0.25">
      <c r="A1445" s="3" t="str">
        <f>HYPERLINK("https://mdo-skin.com/products/boost-set-combination", "https://mdo-skin.com/products/boost-set-combination")</f>
        <v>https://mdo-skin.com/products/boost-set-combination</v>
      </c>
      <c r="B1445" s="3" t="str">
        <f>HYPERLINK("https://mdo-skin.com/products/boost-set-combination", "https://mdo-skin.com/products/boost-set-combination")</f>
        <v>https://mdo-skin.com/products/boost-set-combination</v>
      </c>
      <c r="C1445" t="s">
        <v>3035</v>
      </c>
      <c r="D1445" t="s">
        <v>3206</v>
      </c>
      <c r="E1445" s="3" t="str">
        <f>HYPERLINK("https://www.amazon.com/Jet-Set-Natural/dp/B07HDFXT56/ref=sr_1_4?keywords=BOOST+Set&amp;qid=1695258946&amp;sr=8-4", "https://www.amazon.com/Jet-Set-Natural/dp/B07HDFXT56/ref=sr_1_4?keywords=BOOST+Set&amp;qid=1695258946&amp;sr=8-4")</f>
        <v>https://www.amazon.com/Jet-Set-Natural/dp/B07HDFXT56/ref=sr_1_4?keywords=BOOST+Set&amp;qid=1695258946&amp;sr=8-4</v>
      </c>
      <c r="F1445" t="s">
        <v>3207</v>
      </c>
      <c r="G1445" t="e">
        <f ca="1">IMAGE("https://mdo-skin.com/cdn/shop/files/BoostSet_800x.png?v=1694069342")</f>
        <v>#NAME?</v>
      </c>
      <c r="H1445" t="e">
        <f ca="1">IMAGE("https://m.media-amazon.com/images/I/81Dm-SA175L._AC_UL320_.jpg")</f>
        <v>#NAME?</v>
      </c>
      <c r="I1445" t="s">
        <v>3038</v>
      </c>
      <c r="J1445">
        <v>14.35</v>
      </c>
      <c r="K1445" s="2" t="s">
        <v>3208</v>
      </c>
      <c r="L1445">
        <v>3.7</v>
      </c>
      <c r="M1445">
        <v>85</v>
      </c>
      <c r="O1445" t="s">
        <v>26</v>
      </c>
      <c r="P1445" t="s">
        <v>39</v>
      </c>
      <c r="Q1445" t="s">
        <v>3040</v>
      </c>
    </row>
    <row r="1446" spans="1:17" ht="15.75" x14ac:dyDescent="0.25">
      <c r="A1446" s="3" t="str">
        <f>HYPERLINK("https://mdo-skin.com/products/anti-blemish-solution-set", "https://mdo-skin.com/products/anti-blemish-solution-set")</f>
        <v>https://mdo-skin.com/products/anti-blemish-solution-set</v>
      </c>
      <c r="B1446" s="3" t="str">
        <f>HYPERLINK("https://mdo-skin.com/products/anti-blemish-solution-set", "https://mdo-skin.com/products/anti-blemish-solution-set")</f>
        <v>https://mdo-skin.com/products/anti-blemish-solution-set</v>
      </c>
      <c r="C1446" t="s">
        <v>3153</v>
      </c>
      <c r="D1446" t="s">
        <v>3209</v>
      </c>
      <c r="E1446" s="3" t="str">
        <f>HYPERLINK("https://www.amazon.com/Solutions-Glycolic-Exfoliator-Exfoliating-Wrinkle-1/dp/B09DP7P4QN/ref=sr_1_7?keywords=Anti-Blemish+Solution+Set&amp;qid=1695258947&amp;sr=8-7", "https://www.amazon.com/Solutions-Glycolic-Exfoliator-Exfoliating-Wrinkle-1/dp/B09DP7P4QN/ref=sr_1_7?keywords=Anti-Blemish+Solution+Set&amp;qid=1695258947&amp;sr=8-7")</f>
        <v>https://www.amazon.com/Solutions-Glycolic-Exfoliator-Exfoliating-Wrinkle-1/dp/B09DP7P4QN/ref=sr_1_7?keywords=Anti-Blemish+Solution+Set&amp;qid=1695258947&amp;sr=8-7</v>
      </c>
      <c r="F1446" t="s">
        <v>3210</v>
      </c>
      <c r="G1446" t="e">
        <f ca="1">IMAGE("https://mdo-skin.com/cdn/shop/products/AHA_Gel_EMS_800x800_edff3f84-1f65-471a-81a6-f15835da2500_800x.png?v=1678261404")</f>
        <v>#NAME?</v>
      </c>
      <c r="H1446" t="e">
        <f ca="1">IMAGE("https://m.media-amazon.com/images/I/61tXC1ETraL._AC_UL320_.jpg")</f>
        <v>#NAME?</v>
      </c>
      <c r="I1446" t="s">
        <v>3156</v>
      </c>
      <c r="J1446">
        <v>8.5299999999999994</v>
      </c>
      <c r="K1446" s="2" t="s">
        <v>3211</v>
      </c>
      <c r="L1446">
        <v>4</v>
      </c>
      <c r="M1446">
        <v>545</v>
      </c>
      <c r="O1446" t="s">
        <v>26</v>
      </c>
      <c r="P1446" t="s">
        <v>39</v>
      </c>
      <c r="Q1446" t="s">
        <v>3158</v>
      </c>
    </row>
    <row r="1447" spans="1:17" ht="15.75" x14ac:dyDescent="0.25">
      <c r="A1447" s="3" t="str">
        <f>HYPERLINK("https://mdo-skin.com/products/3-step-beauty-ritual", "https://mdo-skin.com/products/3-step-beauty-ritual")</f>
        <v>https://mdo-skin.com/products/3-step-beauty-ritual</v>
      </c>
      <c r="B1447" s="3" t="str">
        <f>HYPERLINK("https://mdo-skin.com/products/3-step-beauty-ritual", "https://mdo-skin.com/products/3-step-beauty-ritual")</f>
        <v>https://mdo-skin.com/products/3-step-beauty-ritual</v>
      </c>
      <c r="C1447" t="s">
        <v>3165</v>
      </c>
      <c r="D1447" t="s">
        <v>3212</v>
      </c>
      <c r="E1447" s="3" t="str">
        <f>HYPERLINK("https://www.amazon.com/Tweezers-TsMADDTs-Eyebrows-Stainless-Blackhead/dp/B088PRW7NQ/ref=sr_1_4?keywords=Beauty+Set&amp;qid=1695258936&amp;sr=8-4", "https://www.amazon.com/Tweezers-TsMADDTs-Eyebrows-Stainless-Blackhead/dp/B088PRW7NQ/ref=sr_1_4?keywords=Beauty+Set&amp;qid=1695258936&amp;sr=8-4")</f>
        <v>https://www.amazon.com/Tweezers-TsMADDTs-Eyebrows-Stainless-Blackhead/dp/B088PRW7NQ/ref=sr_1_4?keywords=Beauty+Set&amp;qid=1695258936&amp;sr=8-4</v>
      </c>
      <c r="F1447" t="s">
        <v>3213</v>
      </c>
      <c r="G1447" t="e">
        <f ca="1">IMAGE("https://mdo-skin.com/cdn/shop/files/BeautySet_800x.png?v=1694070042")</f>
        <v>#NAME?</v>
      </c>
      <c r="H1447" t="e">
        <f ca="1">IMAGE("https://m.media-amazon.com/images/I/71hRBGroWtS._AC_UL320_.jpg")</f>
        <v>#NAME?</v>
      </c>
      <c r="I1447" t="s">
        <v>2568</v>
      </c>
      <c r="J1447">
        <v>6.99</v>
      </c>
      <c r="K1447" s="2" t="s">
        <v>3214</v>
      </c>
      <c r="L1447">
        <v>4.5</v>
      </c>
      <c r="M1447">
        <v>11928</v>
      </c>
      <c r="O1447" t="s">
        <v>26</v>
      </c>
      <c r="P1447" t="s">
        <v>39</v>
      </c>
      <c r="Q1447" t="s">
        <v>3169</v>
      </c>
    </row>
    <row r="1448" spans="1:17" ht="15.75" x14ac:dyDescent="0.25">
      <c r="A1448" s="3" t="str">
        <f>HYPERLINK("https://megababebeauty.com/collections/all-products/products/night-rescue", "https://megababebeauty.com/collections/all-products/products/night-rescue")</f>
        <v>https://megababebeauty.com/collections/all-products/products/night-rescue</v>
      </c>
      <c r="B1448" s="3" t="str">
        <f>HYPERLINK("https://megababebeauty.com/products/night-rescue", "https://megababebeauty.com/products/night-rescue")</f>
        <v>https://megababebeauty.com/products/night-rescue</v>
      </c>
      <c r="C1448" t="s">
        <v>3215</v>
      </c>
      <c r="D1448" t="s">
        <v>3216</v>
      </c>
      <c r="E1448" s="3" t="str">
        <f>HYPERLINK("https://www.amazon.com/Clarks-Botanicals-Retinol-Rescue-Overnight/dp/B0BZQFD2J2/ref=sr_1_8?keywords=Night+Rescue&amp;qid=1695258962&amp;sr=8-8", "https://www.amazon.com/Clarks-Botanicals-Retinol-Rescue-Overnight/dp/B0BZQFD2J2/ref=sr_1_8?keywords=Night+Rescue&amp;qid=1695258962&amp;sr=8-8")</f>
        <v>https://www.amazon.com/Clarks-Botanicals-Retinol-Rescue-Overnight/dp/B0BZQFD2J2/ref=sr_1_8?keywords=Night+Rescue&amp;qid=1695258962&amp;sr=8-8</v>
      </c>
      <c r="F1448" t="s">
        <v>3217</v>
      </c>
      <c r="G1448" t="e">
        <f ca="1">IMAGE("https://megababebeauty.com/cdn/shop/files/NightRescueBEST2023Button_1080x.png?v=1689860537")</f>
        <v>#NAME?</v>
      </c>
      <c r="H1448" t="e">
        <f ca="1">IMAGE("https://m.media-amazon.com/images/I/61NVGZ1rYRL._AC_UY218_.jpg")</f>
        <v>#NAME?</v>
      </c>
      <c r="I1448" t="s">
        <v>394</v>
      </c>
      <c r="J1448">
        <v>150</v>
      </c>
      <c r="K1448" s="2" t="s">
        <v>3218</v>
      </c>
      <c r="L1448">
        <v>4.3</v>
      </c>
      <c r="M1448">
        <v>141</v>
      </c>
      <c r="O1448" t="s">
        <v>26</v>
      </c>
      <c r="P1448" t="s">
        <v>39</v>
      </c>
      <c r="Q1448" t="s">
        <v>3219</v>
      </c>
    </row>
    <row r="1449" spans="1:17" ht="15.75" x14ac:dyDescent="0.25">
      <c r="A1449" s="3" t="str">
        <f>HYPERLINK("https://megababebeauty.com/collections/all-products/products/night-rescue", "https://megababebeauty.com/collections/all-products/products/night-rescue")</f>
        <v>https://megababebeauty.com/collections/all-products/products/night-rescue</v>
      </c>
      <c r="B1449" s="3" t="str">
        <f>HYPERLINK("https://megababebeauty.com/products/night-rescue", "https://megababebeauty.com/products/night-rescue")</f>
        <v>https://megababebeauty.com/products/night-rescue</v>
      </c>
      <c r="C1449" t="s">
        <v>3215</v>
      </c>
      <c r="D1449" t="s">
        <v>3220</v>
      </c>
      <c r="E1449" s="3" t="str">
        <f>HYPERLINK("https://www.amazon.com/Charlotte-Tilbury-Magic-Night-Rescue/dp/B01N6PX1K6/ref=sr_1_9?keywords=Night+Rescue&amp;qid=1695258962&amp;sr=8-9", "https://www.amazon.com/Charlotte-Tilbury-Magic-Night-Rescue/dp/B01N6PX1K6/ref=sr_1_9?keywords=Night+Rescue&amp;qid=1695258962&amp;sr=8-9")</f>
        <v>https://www.amazon.com/Charlotte-Tilbury-Magic-Night-Rescue/dp/B01N6PX1K6/ref=sr_1_9?keywords=Night+Rescue&amp;qid=1695258962&amp;sr=8-9</v>
      </c>
      <c r="F1449" t="s">
        <v>3221</v>
      </c>
      <c r="G1449" t="e">
        <f ca="1">IMAGE("https://megababebeauty.com/cdn/shop/files/NightRescueBEST2023Button_1080x.png?v=1689860537")</f>
        <v>#NAME?</v>
      </c>
      <c r="H1449" t="e">
        <f ca="1">IMAGE("https://m.media-amazon.com/images/I/31emOz0YGOL._AC_UY218_.jpg")</f>
        <v>#NAME?</v>
      </c>
      <c r="I1449" t="s">
        <v>394</v>
      </c>
      <c r="J1449">
        <v>135.99</v>
      </c>
      <c r="K1449" s="2" t="s">
        <v>3222</v>
      </c>
      <c r="L1449">
        <v>4.4000000000000004</v>
      </c>
      <c r="M1449">
        <v>72</v>
      </c>
      <c r="O1449" t="s">
        <v>26</v>
      </c>
      <c r="P1449" t="s">
        <v>39</v>
      </c>
      <c r="Q1449" t="s">
        <v>3219</v>
      </c>
    </row>
    <row r="1450" spans="1:17" ht="15.75" x14ac:dyDescent="0.25">
      <c r="A1450" s="3" t="str">
        <f>HYPERLINK("https://megababebeauty.com/collections/all-products/products/space-bar", "https://megababebeauty.com/collections/all-products/products/space-bar")</f>
        <v>https://megababebeauty.com/collections/all-products/products/space-bar</v>
      </c>
      <c r="B1450" s="3" t="str">
        <f>HYPERLINK("https://megababebeauty.com/products/space-bar", "https://megababebeauty.com/products/space-bar")</f>
        <v>https://megababebeauty.com/products/space-bar</v>
      </c>
      <c r="C1450" t="s">
        <v>3223</v>
      </c>
      <c r="D1450" t="s">
        <v>3224</v>
      </c>
      <c r="E1450" s="3" t="str">
        <f>HYPERLINK("https://www.amazon.com/Megababe-Ultimate-Underarm-3-Piece-Bundle/dp/B0BYF9RYV9/ref=sr_1_4?keywords=Space+Bar+Underarm+Soap&amp;qid=1695258962&amp;sr=8-4", "https://www.amazon.com/Megababe-Ultimate-Underarm-3-Piece-Bundle/dp/B0BYF9RYV9/ref=sr_1_4?keywords=Space+Bar+Underarm+Soap&amp;qid=1695258962&amp;sr=8-4")</f>
        <v>https://www.amazon.com/Megababe-Ultimate-Underarm-3-Piece-Bundle/dp/B0BYF9RYV9/ref=sr_1_4?keywords=Space+Bar+Underarm+Soap&amp;qid=1695258962&amp;sr=8-4</v>
      </c>
      <c r="F1450" t="s">
        <v>3225</v>
      </c>
      <c r="G1450" t="e">
        <f ca="1">IMAGE("https://megababebeauty.com/cdn/shop/products/SpaceBarShapeButtonWhite-01_1080x.png?v=1625153428")</f>
        <v>#NAME?</v>
      </c>
      <c r="H1450" t="e">
        <f ca="1">IMAGE("https://m.media-amazon.com/images/I/81aBWNIO9dL._AC_UL320_.jpg")</f>
        <v>#NAME?</v>
      </c>
      <c r="I1450" t="s">
        <v>3226</v>
      </c>
      <c r="J1450">
        <v>36.99</v>
      </c>
      <c r="K1450" s="2" t="s">
        <v>3227</v>
      </c>
      <c r="L1450">
        <v>4.5</v>
      </c>
      <c r="M1450">
        <v>2</v>
      </c>
      <c r="O1450" t="s">
        <v>26</v>
      </c>
      <c r="P1450" t="s">
        <v>39</v>
      </c>
      <c r="Q1450" t="s">
        <v>3228</v>
      </c>
    </row>
    <row r="1451" spans="1:17" ht="15.75" x14ac:dyDescent="0.25">
      <c r="A1451" s="3" t="str">
        <f>HYPERLINK("https://megababebeauty.com/collections/all-products/products/space-bar", "https://megababebeauty.com/collections/all-products/products/space-bar")</f>
        <v>https://megababebeauty.com/collections/all-products/products/space-bar</v>
      </c>
      <c r="B1451" s="3" t="str">
        <f>HYPERLINK("https://megababebeauty.com/products/space-bar", "https://megababebeauty.com/products/space-bar")</f>
        <v>https://megababebeauty.com/products/space-bar</v>
      </c>
      <c r="C1451" t="s">
        <v>3223</v>
      </c>
      <c r="D1451" t="s">
        <v>3229</v>
      </c>
      <c r="E1451" s="3" t="str">
        <f>HYPERLINK("https://www.amazon.com/Megababe-Ultimate-Underarm-3-Piece-Bundle/dp/B0BYFD8H7H/ref=sr_1_5?keywords=Space+Bar+Underarm+Soap&amp;qid=1695258962&amp;sr=8-5", "https://www.amazon.com/Megababe-Ultimate-Underarm-3-Piece-Bundle/dp/B0BYFD8H7H/ref=sr_1_5?keywords=Space+Bar+Underarm+Soap&amp;qid=1695258962&amp;sr=8-5")</f>
        <v>https://www.amazon.com/Megababe-Ultimate-Underarm-3-Piece-Bundle/dp/B0BYFD8H7H/ref=sr_1_5?keywords=Space+Bar+Underarm+Soap&amp;qid=1695258962&amp;sr=8-5</v>
      </c>
      <c r="F1451" t="s">
        <v>3230</v>
      </c>
      <c r="G1451" t="e">
        <f ca="1">IMAGE("https://megababebeauty.com/cdn/shop/products/SpaceBarShapeButtonWhite-01_1080x.png?v=1625153428")</f>
        <v>#NAME?</v>
      </c>
      <c r="H1451" t="e">
        <f ca="1">IMAGE("https://m.media-amazon.com/images/I/819I4qpWACL._AC_UL320_.jpg")</f>
        <v>#NAME?</v>
      </c>
      <c r="I1451" t="s">
        <v>3226</v>
      </c>
      <c r="J1451">
        <v>36.99</v>
      </c>
      <c r="K1451" s="2" t="s">
        <v>3227</v>
      </c>
      <c r="L1451">
        <v>5</v>
      </c>
      <c r="M1451">
        <v>3</v>
      </c>
      <c r="O1451" t="s">
        <v>26</v>
      </c>
      <c r="P1451" t="s">
        <v>39</v>
      </c>
      <c r="Q1451" t="s">
        <v>3228</v>
      </c>
    </row>
    <row r="1452" spans="1:17" ht="15.75" x14ac:dyDescent="0.25">
      <c r="A1452" s="3" t="str">
        <f>HYPERLINK("https://megababebeauty.com/collections/all-products/products/space-bar", "https://megababebeauty.com/collections/all-products/products/space-bar")</f>
        <v>https://megababebeauty.com/collections/all-products/products/space-bar</v>
      </c>
      <c r="B1452" s="3" t="str">
        <f>HYPERLINK("https://megababebeauty.com/products/space-bar", "https://megababebeauty.com/products/space-bar")</f>
        <v>https://megababebeauty.com/products/space-bar</v>
      </c>
      <c r="C1452" t="s">
        <v>3223</v>
      </c>
      <c r="D1452" t="s">
        <v>3231</v>
      </c>
      <c r="E1452" s="3" t="str">
        <f>HYPERLINK("https://www.amazon.com/Megababe-Ultimate-Underarm-3-Piece-Bundle/dp/B0BYF9R4WL/ref=sr_1_10?keywords=Space+Bar+Underarm+Soap&amp;qid=1695258962&amp;sr=8-10", "https://www.amazon.com/Megababe-Ultimate-Underarm-3-Piece-Bundle/dp/B0BYF9R4WL/ref=sr_1_10?keywords=Space+Bar+Underarm+Soap&amp;qid=1695258962&amp;sr=8-10")</f>
        <v>https://www.amazon.com/Megababe-Ultimate-Underarm-3-Piece-Bundle/dp/B0BYF9R4WL/ref=sr_1_10?keywords=Space+Bar+Underarm+Soap&amp;qid=1695258962&amp;sr=8-10</v>
      </c>
      <c r="F1452" t="s">
        <v>3232</v>
      </c>
      <c r="G1452" t="e">
        <f ca="1">IMAGE("https://megababebeauty.com/cdn/shop/products/SpaceBarShapeButtonWhite-01_1080x.png?v=1625153428")</f>
        <v>#NAME?</v>
      </c>
      <c r="H1452" t="e">
        <f ca="1">IMAGE("https://m.media-amazon.com/images/I/81rchDtU9jL._AC_UL320_.jpg")</f>
        <v>#NAME?</v>
      </c>
      <c r="I1452" t="s">
        <v>3226</v>
      </c>
      <c r="J1452">
        <v>36.99</v>
      </c>
      <c r="K1452" s="2" t="s">
        <v>3227</v>
      </c>
      <c r="L1452">
        <v>4</v>
      </c>
      <c r="M1452">
        <v>3</v>
      </c>
      <c r="O1452" t="s">
        <v>26</v>
      </c>
      <c r="P1452" t="s">
        <v>39</v>
      </c>
      <c r="Q1452" t="s">
        <v>3228</v>
      </c>
    </row>
    <row r="1453" spans="1:17" ht="15.75" x14ac:dyDescent="0.25">
      <c r="A1453" s="3" t="str">
        <f>HYPERLINK("https://megababebeauty.com/collections/all-products/products/night-rescue", "https://megababebeauty.com/collections/all-products/products/night-rescue")</f>
        <v>https://megababebeauty.com/collections/all-products/products/night-rescue</v>
      </c>
      <c r="B1453" s="3" t="str">
        <f>HYPERLINK("https://megababebeauty.com/products/night-rescue", "https://megababebeauty.com/products/night-rescue")</f>
        <v>https://megababebeauty.com/products/night-rescue</v>
      </c>
      <c r="C1453" t="s">
        <v>3215</v>
      </c>
      <c r="D1453" t="s">
        <v>3233</v>
      </c>
      <c r="E1453" s="3" t="str">
        <f>HYPERLINK("https://www.amazon.com/Nioxin-Overnight-Treatment-Antioxidant-Thickness/dp/B087KG95BK/ref=sr_1_5?keywords=Night+Rescue&amp;qid=1695258962&amp;sr=8-5", "https://www.amazon.com/Nioxin-Overnight-Treatment-Antioxidant-Thickness/dp/B087KG95BK/ref=sr_1_5?keywords=Night+Rescue&amp;qid=1695258962&amp;sr=8-5")</f>
        <v>https://www.amazon.com/Nioxin-Overnight-Treatment-Antioxidant-Thickness/dp/B087KG95BK/ref=sr_1_5?keywords=Night+Rescue&amp;qid=1695258962&amp;sr=8-5</v>
      </c>
      <c r="F1453" t="s">
        <v>3234</v>
      </c>
      <c r="G1453" t="e">
        <f ca="1">IMAGE("https://megababebeauty.com/cdn/shop/files/NightRescueBEST2023Button_1080x.png?v=1689860537")</f>
        <v>#NAME?</v>
      </c>
      <c r="H1453" t="e">
        <f ca="1">IMAGE("https://m.media-amazon.com/images/I/61JzJnvxDrL._AC_UY218_.jpg")</f>
        <v>#NAME?</v>
      </c>
      <c r="I1453" t="s">
        <v>394</v>
      </c>
      <c r="J1453">
        <v>50</v>
      </c>
      <c r="K1453" s="2" t="s">
        <v>3235</v>
      </c>
      <c r="L1453">
        <v>4.4000000000000004</v>
      </c>
      <c r="M1453">
        <v>920</v>
      </c>
      <c r="O1453" t="s">
        <v>26</v>
      </c>
      <c r="P1453" t="s">
        <v>39</v>
      </c>
      <c r="Q1453" t="s">
        <v>3219</v>
      </c>
    </row>
    <row r="1454" spans="1:17" ht="15.75" x14ac:dyDescent="0.25">
      <c r="A1454" s="3" t="str">
        <f>HYPERLINK("https://megababebeauty.com/collections/all-products/products/rosy-pits", "https://megababebeauty.com/collections/all-products/products/rosy-pits")</f>
        <v>https://megababebeauty.com/collections/all-products/products/rosy-pits</v>
      </c>
      <c r="B1454" s="3" t="str">
        <f>HYPERLINK("https://megababebeauty.com/products/rosy-pits", "https://megababebeauty.com/products/rosy-pits")</f>
        <v>https://megababebeauty.com/products/rosy-pits</v>
      </c>
      <c r="C1454" t="s">
        <v>3236</v>
      </c>
      <c r="D1454" t="s">
        <v>3231</v>
      </c>
      <c r="E1454" s="3" t="str">
        <f>HYPERLINK("https://www.amazon.com/Megababe-Ultimate-Underarm-3-Piece-Bundle/dp/B0BYF9R4WL/ref=sr_1_2?keywords=Rosy+Pits&amp;qid=1695258962&amp;sr=8-2", "https://www.amazon.com/Megababe-Ultimate-Underarm-3-Piece-Bundle/dp/B0BYF9R4WL/ref=sr_1_2?keywords=Rosy+Pits&amp;qid=1695258962&amp;sr=8-2")</f>
        <v>https://www.amazon.com/Megababe-Ultimate-Underarm-3-Piece-Bundle/dp/B0BYF9R4WL/ref=sr_1_2?keywords=Rosy+Pits&amp;qid=1695258962&amp;sr=8-2</v>
      </c>
      <c r="F1454" t="s">
        <v>3232</v>
      </c>
      <c r="G1454" t="e">
        <f ca="1">IMAGE("https://megababebeauty.com/cdn/shop/products/RosyproductPage_1_1080x.png?v=1649717895")</f>
        <v>#NAME?</v>
      </c>
      <c r="H1454" t="e">
        <f ca="1">IMAGE("https://m.media-amazon.com/images/I/81rchDtU9jL._AC_UL320_.jpg")</f>
        <v>#NAME?</v>
      </c>
      <c r="I1454" t="s">
        <v>428</v>
      </c>
      <c r="J1454">
        <v>36.99</v>
      </c>
      <c r="K1454" s="2" t="s">
        <v>3237</v>
      </c>
      <c r="L1454">
        <v>4</v>
      </c>
      <c r="M1454">
        <v>3</v>
      </c>
      <c r="O1454" t="s">
        <v>26</v>
      </c>
      <c r="P1454" t="s">
        <v>39</v>
      </c>
      <c r="Q1454" t="s">
        <v>3238</v>
      </c>
    </row>
    <row r="1455" spans="1:17" ht="15.75" x14ac:dyDescent="0.25">
      <c r="A1455" s="3" t="str">
        <f>HYPERLINK("https://megababebeauty.com/collections/all-products/products/space-bar", "https://megababebeauty.com/collections/all-products/products/space-bar")</f>
        <v>https://megababebeauty.com/collections/all-products/products/space-bar</v>
      </c>
      <c r="B1455" s="3" t="str">
        <f>HYPERLINK("https://megababebeauty.com/products/space-bar", "https://megababebeauty.com/products/space-bar")</f>
        <v>https://megababebeauty.com/products/space-bar</v>
      </c>
      <c r="C1455" t="s">
        <v>3223</v>
      </c>
      <c r="D1455" t="s">
        <v>3239</v>
      </c>
      <c r="E1455" s="3" t="str">
        <f>HYPERLINK("https://www.amazon.com/Megababe-Underarm-2-Piece-Bundle-Protection/dp/B0BYF6ZLQN/ref=sr_1_2?keywords=Space+Bar+Underarm+Soap&amp;qid=1695258962&amp;sr=8-2", "https://www.amazon.com/Megababe-Underarm-2-Piece-Bundle-Protection/dp/B0BYF6ZLQN/ref=sr_1_2?keywords=Space+Bar+Underarm+Soap&amp;qid=1695258962&amp;sr=8-2")</f>
        <v>https://www.amazon.com/Megababe-Underarm-2-Piece-Bundle-Protection/dp/B0BYF6ZLQN/ref=sr_1_2?keywords=Space+Bar+Underarm+Soap&amp;qid=1695258962&amp;sr=8-2</v>
      </c>
      <c r="F1455" t="s">
        <v>3240</v>
      </c>
      <c r="G1455" t="e">
        <f ca="1">IMAGE("https://megababebeauty.com/cdn/shop/products/SpaceBarShapeButtonWhite-01_1080x.png?v=1625153428")</f>
        <v>#NAME?</v>
      </c>
      <c r="H1455" t="e">
        <f ca="1">IMAGE("https://m.media-amazon.com/images/I/81tsQi4L8mL._AC_UL320_.jpg")</f>
        <v>#NAME?</v>
      </c>
      <c r="I1455" t="s">
        <v>3226</v>
      </c>
      <c r="J1455">
        <v>20.99</v>
      </c>
      <c r="K1455" s="2" t="s">
        <v>3241</v>
      </c>
      <c r="L1455">
        <v>3.5</v>
      </c>
      <c r="M1455">
        <v>3</v>
      </c>
      <c r="O1455" t="s">
        <v>26</v>
      </c>
      <c r="P1455" t="s">
        <v>39</v>
      </c>
      <c r="Q1455" t="s">
        <v>3228</v>
      </c>
    </row>
    <row r="1456" spans="1:17" ht="15.75" x14ac:dyDescent="0.25">
      <c r="A1456" s="3" t="str">
        <f>HYPERLINK("https://megababebeauty.com/collections/all-products/products/space-bar", "https://megababebeauty.com/collections/all-products/products/space-bar")</f>
        <v>https://megababebeauty.com/collections/all-products/products/space-bar</v>
      </c>
      <c r="B1456" s="3" t="str">
        <f>HYPERLINK("https://megababebeauty.com/products/space-bar", "https://megababebeauty.com/products/space-bar")</f>
        <v>https://megababebeauty.com/products/space-bar</v>
      </c>
      <c r="C1456" t="s">
        <v>3223</v>
      </c>
      <c r="D1456" t="s">
        <v>3242</v>
      </c>
      <c r="E1456" s="3" t="str">
        <f>HYPERLINK("https://www.amazon.com/Megababe-Underarm-2-Piece-Bundle-Protection/dp/B0BYF9W57D/ref=sr_1_7?keywords=Space+Bar+Underarm+Soap&amp;qid=1695258962&amp;sr=8-7", "https://www.amazon.com/Megababe-Underarm-2-Piece-Bundle-Protection/dp/B0BYF9W57D/ref=sr_1_7?keywords=Space+Bar+Underarm+Soap&amp;qid=1695258962&amp;sr=8-7")</f>
        <v>https://www.amazon.com/Megababe-Underarm-2-Piece-Bundle-Protection/dp/B0BYF9W57D/ref=sr_1_7?keywords=Space+Bar+Underarm+Soap&amp;qid=1695258962&amp;sr=8-7</v>
      </c>
      <c r="F1456" t="s">
        <v>3243</v>
      </c>
      <c r="G1456" t="e">
        <f ca="1">IMAGE("https://megababebeauty.com/cdn/shop/products/SpaceBarShapeButtonWhite-01_1080x.png?v=1625153428")</f>
        <v>#NAME?</v>
      </c>
      <c r="H1456" t="e">
        <f ca="1">IMAGE("https://m.media-amazon.com/images/I/81ZVbaknWsL._AC_UL320_.jpg")</f>
        <v>#NAME?</v>
      </c>
      <c r="I1456" t="s">
        <v>3226</v>
      </c>
      <c r="J1456">
        <v>20.99</v>
      </c>
      <c r="K1456" s="2" t="s">
        <v>3241</v>
      </c>
      <c r="L1456">
        <v>4.8</v>
      </c>
      <c r="M1456">
        <v>12</v>
      </c>
      <c r="O1456" t="s">
        <v>26</v>
      </c>
      <c r="P1456" t="s">
        <v>39</v>
      </c>
      <c r="Q1456" t="s">
        <v>3228</v>
      </c>
    </row>
    <row r="1457" spans="1:17" ht="15.75" x14ac:dyDescent="0.25">
      <c r="A1457" s="3" t="str">
        <f>HYPERLINK("https://megababebeauty.com/collections/all-products/products/space-bar", "https://megababebeauty.com/collections/all-products/products/space-bar")</f>
        <v>https://megababebeauty.com/collections/all-products/products/space-bar</v>
      </c>
      <c r="B1457" s="3" t="str">
        <f>HYPERLINK("https://megababebeauty.com/products/space-bar", "https://megababebeauty.com/products/space-bar")</f>
        <v>https://megababebeauty.com/products/space-bar</v>
      </c>
      <c r="C1457" t="s">
        <v>3223</v>
      </c>
      <c r="D1457" t="s">
        <v>3244</v>
      </c>
      <c r="E1457" s="3" t="str">
        <f>HYPERLINK("https://www.amazon.com/Megababe-Underarm-2-Piece-Bundle-Protection/dp/B0BYF7Z36F/ref=sr_1_3?keywords=Space+Bar+Underarm+Soap&amp;qid=1695258962&amp;sr=8-3", "https://www.amazon.com/Megababe-Underarm-2-Piece-Bundle-Protection/dp/B0BYF7Z36F/ref=sr_1_3?keywords=Space+Bar+Underarm+Soap&amp;qid=1695258962&amp;sr=8-3")</f>
        <v>https://www.amazon.com/Megababe-Underarm-2-Piece-Bundle-Protection/dp/B0BYF7Z36F/ref=sr_1_3?keywords=Space+Bar+Underarm+Soap&amp;qid=1695258962&amp;sr=8-3</v>
      </c>
      <c r="F1457" t="s">
        <v>3245</v>
      </c>
      <c r="G1457" t="e">
        <f ca="1">IMAGE("https://megababebeauty.com/cdn/shop/products/SpaceBarShapeButtonWhite-01_1080x.png?v=1625153428")</f>
        <v>#NAME?</v>
      </c>
      <c r="H1457" t="e">
        <f ca="1">IMAGE("https://m.media-amazon.com/images/I/81t22AGQCeL._AC_UL320_.jpg")</f>
        <v>#NAME?</v>
      </c>
      <c r="I1457" t="s">
        <v>3226</v>
      </c>
      <c r="J1457">
        <v>20.99</v>
      </c>
      <c r="K1457" s="2" t="s">
        <v>3241</v>
      </c>
      <c r="L1457">
        <v>4.0999999999999996</v>
      </c>
      <c r="M1457">
        <v>5</v>
      </c>
      <c r="O1457" t="s">
        <v>26</v>
      </c>
      <c r="P1457" t="s">
        <v>39</v>
      </c>
      <c r="Q1457" t="s">
        <v>3228</v>
      </c>
    </row>
    <row r="1458" spans="1:17" ht="15.75" x14ac:dyDescent="0.25">
      <c r="A1458" s="3" t="str">
        <f>HYPERLINK("https://megababebeauty.com/collections/all-products/products/happy-pits-underarm-mask", "https://megababebeauty.com/collections/all-products/products/happy-pits-underarm-mask")</f>
        <v>https://megababebeauty.com/collections/all-products/products/happy-pits-underarm-mask</v>
      </c>
      <c r="B1458" s="3" t="str">
        <f>HYPERLINK("https://megababebeauty.com/products/happy-pits-underarm-mask", "https://megababebeauty.com/products/happy-pits-underarm-mask")</f>
        <v>https://megababebeauty.com/products/happy-pits-underarm-mask</v>
      </c>
      <c r="C1458" t="s">
        <v>3246</v>
      </c>
      <c r="D1458" t="s">
        <v>3224</v>
      </c>
      <c r="E1458" s="3" t="str">
        <f>HYPERLINK("https://www.amazon.com/Megababe-Ultimate-Underarm-3-Piece-Bundle/dp/B0BYF9RYV9/ref=sr_1_10?keywords=Happy+Pits+Underarm+Mask&amp;qid=1695258966&amp;sr=8-10", "https://www.amazon.com/Megababe-Ultimate-Underarm-3-Piece-Bundle/dp/B0BYF9RYV9/ref=sr_1_10?keywords=Happy+Pits+Underarm+Mask&amp;qid=1695258966&amp;sr=8-10")</f>
        <v>https://www.amazon.com/Megababe-Ultimate-Underarm-3-Piece-Bundle/dp/B0BYF9RYV9/ref=sr_1_10?keywords=Happy+Pits+Underarm+Mask&amp;qid=1695258966&amp;sr=8-10</v>
      </c>
      <c r="F1458" t="s">
        <v>3225</v>
      </c>
      <c r="G1458" t="e">
        <f ca="1">IMAGE("https://megababebeauty.com/cdn/shop/products/HappyPits_1080x.png?v=1649284211")</f>
        <v>#NAME?</v>
      </c>
      <c r="H1458" t="e">
        <f ca="1">IMAGE("https://m.media-amazon.com/images/I/81aBWNIO9dL._AC_UL320_.jpg")</f>
        <v>#NAME?</v>
      </c>
      <c r="I1458" t="s">
        <v>394</v>
      </c>
      <c r="J1458">
        <v>36.99</v>
      </c>
      <c r="K1458" s="2" t="s">
        <v>3247</v>
      </c>
      <c r="L1458">
        <v>4.5</v>
      </c>
      <c r="M1458">
        <v>2</v>
      </c>
      <c r="O1458" t="s">
        <v>26</v>
      </c>
      <c r="P1458" t="s">
        <v>39</v>
      </c>
      <c r="Q1458" t="s">
        <v>3248</v>
      </c>
    </row>
    <row r="1459" spans="1:17" ht="15.75" x14ac:dyDescent="0.25">
      <c r="A1459" s="3" t="str">
        <f>HYPERLINK("https://megababebeauty.com/collections/all-products/products/happy-pits-underarm-mask", "https://megababebeauty.com/collections/all-products/products/happy-pits-underarm-mask")</f>
        <v>https://megababebeauty.com/collections/all-products/products/happy-pits-underarm-mask</v>
      </c>
      <c r="B1459" s="3" t="str">
        <f>HYPERLINK("https://megababebeauty.com/products/happy-pits-underarm-mask", "https://megababebeauty.com/products/happy-pits-underarm-mask")</f>
        <v>https://megababebeauty.com/products/happy-pits-underarm-mask</v>
      </c>
      <c r="C1459" t="s">
        <v>3246</v>
      </c>
      <c r="D1459" t="s">
        <v>3229</v>
      </c>
      <c r="E1459" s="3" t="str">
        <f>HYPERLINK("https://www.amazon.com/Megababe-Ultimate-Underarm-3-Piece-Bundle/dp/B0BYFD8H7H/ref=sr_1_6?keywords=Happy+Pits+Underarm+Mask&amp;qid=1695258966&amp;sr=8-6", "https://www.amazon.com/Megababe-Ultimate-Underarm-3-Piece-Bundle/dp/B0BYFD8H7H/ref=sr_1_6?keywords=Happy+Pits+Underarm+Mask&amp;qid=1695258966&amp;sr=8-6")</f>
        <v>https://www.amazon.com/Megababe-Ultimate-Underarm-3-Piece-Bundle/dp/B0BYFD8H7H/ref=sr_1_6?keywords=Happy+Pits+Underarm+Mask&amp;qid=1695258966&amp;sr=8-6</v>
      </c>
      <c r="F1459" t="s">
        <v>3230</v>
      </c>
      <c r="G1459" t="e">
        <f ca="1">IMAGE("https://megababebeauty.com/cdn/shop/products/HappyPits_1080x.png?v=1649284211")</f>
        <v>#NAME?</v>
      </c>
      <c r="H1459" t="e">
        <f ca="1">IMAGE("https://m.media-amazon.com/images/I/819I4qpWACL._AC_UL320_.jpg")</f>
        <v>#NAME?</v>
      </c>
      <c r="I1459" t="s">
        <v>394</v>
      </c>
      <c r="J1459">
        <v>36.99</v>
      </c>
      <c r="K1459" s="2" t="s">
        <v>3247</v>
      </c>
      <c r="L1459">
        <v>5</v>
      </c>
      <c r="M1459">
        <v>3</v>
      </c>
      <c r="O1459" t="s">
        <v>26</v>
      </c>
      <c r="P1459" t="s">
        <v>39</v>
      </c>
      <c r="Q1459" t="s">
        <v>3248</v>
      </c>
    </row>
    <row r="1460" spans="1:17" ht="15.75" x14ac:dyDescent="0.25">
      <c r="A1460" s="3" t="str">
        <f>HYPERLINK("https://megababebeauty.com/collections/all-products/products/happy-pits-underarm-mask", "https://megababebeauty.com/collections/all-products/products/happy-pits-underarm-mask")</f>
        <v>https://megababebeauty.com/collections/all-products/products/happy-pits-underarm-mask</v>
      </c>
      <c r="B1460" s="3" t="str">
        <f>HYPERLINK("https://megababebeauty.com/products/happy-pits-underarm-mask", "https://megababebeauty.com/products/happy-pits-underarm-mask")</f>
        <v>https://megababebeauty.com/products/happy-pits-underarm-mask</v>
      </c>
      <c r="C1460" t="s">
        <v>3246</v>
      </c>
      <c r="D1460" t="s">
        <v>3231</v>
      </c>
      <c r="E1460" s="3" t="str">
        <f>HYPERLINK("https://www.amazon.com/Megababe-Ultimate-Underarm-3-Piece-Bundle/dp/B0BYF9R4WL/ref=sr_1_8?keywords=Happy+Pits+Underarm+Mask&amp;qid=1695258966&amp;sr=8-8", "https://www.amazon.com/Megababe-Ultimate-Underarm-3-Piece-Bundle/dp/B0BYF9R4WL/ref=sr_1_8?keywords=Happy+Pits+Underarm+Mask&amp;qid=1695258966&amp;sr=8-8")</f>
        <v>https://www.amazon.com/Megababe-Ultimate-Underarm-3-Piece-Bundle/dp/B0BYF9R4WL/ref=sr_1_8?keywords=Happy+Pits+Underarm+Mask&amp;qid=1695258966&amp;sr=8-8</v>
      </c>
      <c r="F1460" t="s">
        <v>3232</v>
      </c>
      <c r="G1460" t="e">
        <f ca="1">IMAGE("https://megababebeauty.com/cdn/shop/products/HappyPits_1080x.png?v=1649284211")</f>
        <v>#NAME?</v>
      </c>
      <c r="H1460" t="e">
        <f ca="1">IMAGE("https://m.media-amazon.com/images/I/81rchDtU9jL._AC_UL320_.jpg")</f>
        <v>#NAME?</v>
      </c>
      <c r="I1460" t="s">
        <v>394</v>
      </c>
      <c r="J1460">
        <v>36.99</v>
      </c>
      <c r="K1460" s="2" t="s">
        <v>3247</v>
      </c>
      <c r="L1460">
        <v>4</v>
      </c>
      <c r="M1460">
        <v>3</v>
      </c>
      <c r="O1460" t="s">
        <v>26</v>
      </c>
      <c r="P1460" t="s">
        <v>39</v>
      </c>
      <c r="Q1460" t="s">
        <v>3248</v>
      </c>
    </row>
    <row r="1461" spans="1:17" ht="15.75" x14ac:dyDescent="0.25">
      <c r="A1461" s="3" t="str">
        <f>HYPERLINK("https://megababebeauty.com/collections/all-products/products/magic-powder", "https://megababebeauty.com/collections/all-products/products/magic-powder")</f>
        <v>https://megababebeauty.com/collections/all-products/products/magic-powder</v>
      </c>
      <c r="B1461" s="3" t="str">
        <f>HYPERLINK("https://megababebeauty.com/products/magic-powder", "https://megababebeauty.com/products/magic-powder")</f>
        <v>https://megababebeauty.com/products/magic-powder</v>
      </c>
      <c r="C1461" t="s">
        <v>3249</v>
      </c>
      <c r="D1461" t="s">
        <v>3250</v>
      </c>
      <c r="E1461" s="3" t="str">
        <f>HYPERLINK("https://www.amazon.com/Herbs-Honor-Andrographis-Echinacea-Dandelion/dp/B09RKLFZG2/ref=sr_1_5?keywords=Magic+Powder&amp;qid=1695258963&amp;sr=8-5", "https://www.amazon.com/Herbs-Honor-Andrographis-Echinacea-Dandelion/dp/B09RKLFZG2/ref=sr_1_5?keywords=Magic+Powder&amp;qid=1695258963&amp;sr=8-5")</f>
        <v>https://www.amazon.com/Herbs-Honor-Andrographis-Echinacea-Dandelion/dp/B09RKLFZG2/ref=sr_1_5?keywords=Magic+Powder&amp;qid=1695258963&amp;sr=8-5</v>
      </c>
      <c r="F1461" t="s">
        <v>3251</v>
      </c>
      <c r="G1461" t="e">
        <f ca="1">IMAGE("https://megababebeauty.com/cdn/shop/products/MagicPowderfront_1_1080x.png?v=1655155548")</f>
        <v>#NAME?</v>
      </c>
      <c r="H1461" t="e">
        <f ca="1">IMAGE("https://m.media-amazon.com/images/I/61Dswg9NgWL._AC_UL320_.jpg")</f>
        <v>#NAME?</v>
      </c>
      <c r="I1461" t="s">
        <v>394</v>
      </c>
      <c r="J1461">
        <v>35</v>
      </c>
      <c r="K1461" s="2" t="s">
        <v>3252</v>
      </c>
      <c r="L1461">
        <v>5</v>
      </c>
      <c r="M1461">
        <v>15</v>
      </c>
      <c r="O1461" t="s">
        <v>26</v>
      </c>
      <c r="P1461" t="s">
        <v>39</v>
      </c>
      <c r="Q1461" t="s">
        <v>3253</v>
      </c>
    </row>
    <row r="1462" spans="1:17" ht="15.75" x14ac:dyDescent="0.25">
      <c r="A1462" s="3" t="str">
        <f>HYPERLINK("https://megababebeauty.com/collections/all-products/products/rosy-pits", "https://megababebeauty.com/collections/all-products/products/rosy-pits")</f>
        <v>https://megababebeauty.com/collections/all-products/products/rosy-pits</v>
      </c>
      <c r="B1462" s="3" t="str">
        <f>HYPERLINK("https://megababebeauty.com/products/rosy-pits", "https://megababebeauty.com/products/rosy-pits")</f>
        <v>https://megababebeauty.com/products/rosy-pits</v>
      </c>
      <c r="C1462" t="s">
        <v>3236</v>
      </c>
      <c r="D1462" t="s">
        <v>3254</v>
      </c>
      <c r="E1462" s="3" t="str">
        <f>HYPERLINK("https://www.amazon.com/Megababe-Underarm-2-Piece-Bundle-Protection/dp/B0BWHKSRW9/ref=sr_1_5?keywords=Rosy+Pits&amp;qid=1695258962&amp;sr=8-5", "https://www.amazon.com/Megababe-Underarm-2-Piece-Bundle-Protection/dp/B0BWHKSRW9/ref=sr_1_5?keywords=Rosy+Pits&amp;qid=1695258962&amp;sr=8-5")</f>
        <v>https://www.amazon.com/Megababe-Underarm-2-Piece-Bundle-Protection/dp/B0BWHKSRW9/ref=sr_1_5?keywords=Rosy+Pits&amp;qid=1695258962&amp;sr=8-5</v>
      </c>
      <c r="F1462" t="s">
        <v>3255</v>
      </c>
      <c r="G1462" t="e">
        <f ca="1">IMAGE("https://megababebeauty.com/cdn/shop/products/RosyproductPage_1_1080x.png?v=1649717895")</f>
        <v>#NAME?</v>
      </c>
      <c r="H1462" t="e">
        <f ca="1">IMAGE("https://m.media-amazon.com/images/I/715+NDiU6xL._AC_UL320_.jpg")</f>
        <v>#NAME?</v>
      </c>
      <c r="I1462" t="s">
        <v>428</v>
      </c>
      <c r="J1462">
        <v>28.99</v>
      </c>
      <c r="K1462" s="2" t="s">
        <v>3256</v>
      </c>
      <c r="L1462">
        <v>4.5</v>
      </c>
      <c r="M1462">
        <v>2</v>
      </c>
      <c r="O1462" t="s">
        <v>26</v>
      </c>
      <c r="P1462" t="s">
        <v>39</v>
      </c>
      <c r="Q1462" t="s">
        <v>3238</v>
      </c>
    </row>
    <row r="1463" spans="1:17" ht="15.75" x14ac:dyDescent="0.25">
      <c r="A1463" s="3" t="str">
        <f>HYPERLINK("https://megababebeauty.com/collections/all-products/products/night-rescue", "https://megababebeauty.com/collections/all-products/products/night-rescue")</f>
        <v>https://megababebeauty.com/collections/all-products/products/night-rescue</v>
      </c>
      <c r="B1463" s="3" t="str">
        <f>HYPERLINK("https://megababebeauty.com/products/night-rescue", "https://megababebeauty.com/products/night-rescue")</f>
        <v>https://megababebeauty.com/products/night-rescue</v>
      </c>
      <c r="C1463" t="s">
        <v>3215</v>
      </c>
      <c r="D1463" t="s">
        <v>3257</v>
      </c>
      <c r="E1463" s="3" t="str">
        <f>HYPERLINK("https://www.amazon.com/Rescue-Night-Bach-Spray-20/dp/B001EIQ5FQ/ref=sr_1_7?keywords=Night+Rescue&amp;qid=1695258962&amp;sr=8-7", "https://www.amazon.com/Rescue-Night-Bach-Spray-20/dp/B001EIQ5FQ/ref=sr_1_7?keywords=Night+Rescue&amp;qid=1695258962&amp;sr=8-7")</f>
        <v>https://www.amazon.com/Rescue-Night-Bach-Spray-20/dp/B001EIQ5FQ/ref=sr_1_7?keywords=Night+Rescue&amp;qid=1695258962&amp;sr=8-7</v>
      </c>
      <c r="F1463" t="s">
        <v>3258</v>
      </c>
      <c r="G1463" t="e">
        <f ca="1">IMAGE("https://megababebeauty.com/cdn/shop/files/NightRescueBEST2023Button_1080x.png?v=1689860537")</f>
        <v>#NAME?</v>
      </c>
      <c r="H1463" t="e">
        <f ca="1">IMAGE("https://m.media-amazon.com/images/I/41PLS5R-y5L._AC_UY218_.jpg")</f>
        <v>#NAME?</v>
      </c>
      <c r="I1463" t="s">
        <v>394</v>
      </c>
      <c r="J1463">
        <v>32.24</v>
      </c>
      <c r="K1463" s="2" t="s">
        <v>3259</v>
      </c>
      <c r="L1463">
        <v>4</v>
      </c>
      <c r="M1463">
        <v>44</v>
      </c>
      <c r="O1463" t="s">
        <v>26</v>
      </c>
      <c r="P1463" t="s">
        <v>39</v>
      </c>
      <c r="Q1463" t="s">
        <v>3219</v>
      </c>
    </row>
    <row r="1464" spans="1:17" ht="15.75" x14ac:dyDescent="0.25">
      <c r="A1464" s="3" t="str">
        <f>HYPERLINK("https://megababebeauty.com/collections/all-products/products/rosy-pits", "https://megababebeauty.com/collections/all-products/products/rosy-pits")</f>
        <v>https://megababebeauty.com/collections/all-products/products/rosy-pits</v>
      </c>
      <c r="B1464" s="3" t="str">
        <f>HYPERLINK("https://megababebeauty.com/products/rosy-pits", "https://megababebeauty.com/products/rosy-pits")</f>
        <v>https://megababebeauty.com/products/rosy-pits</v>
      </c>
      <c r="C1464" t="s">
        <v>3236</v>
      </c>
      <c r="D1464" t="s">
        <v>3260</v>
      </c>
      <c r="E1464" s="3" t="str">
        <f>HYPERLINK("https://www.amazon.com/Megababe-Rosy-Daily-Deodorant-2-6oz/dp/B09QQTQ3BK/ref=sr_1_1?keywords=Rosy+Pits&amp;qid=1695258962&amp;sr=8-1", "https://www.amazon.com/Megababe-Rosy-Daily-Deodorant-2-6oz/dp/B09QQTQ3BK/ref=sr_1_1?keywords=Rosy+Pits&amp;qid=1695258962&amp;sr=8-1")</f>
        <v>https://www.amazon.com/Megababe-Rosy-Daily-Deodorant-2-6oz/dp/B09QQTQ3BK/ref=sr_1_1?keywords=Rosy+Pits&amp;qid=1695258962&amp;sr=8-1</v>
      </c>
      <c r="F1464" t="s">
        <v>3261</v>
      </c>
      <c r="G1464" t="e">
        <f ca="1">IMAGE("https://megababebeauty.com/cdn/shop/products/RosyproductPage_1_1080x.png?v=1649717895")</f>
        <v>#NAME?</v>
      </c>
      <c r="H1464" t="e">
        <f ca="1">IMAGE("https://m.media-amazon.com/images/I/61gcBuFIZaL._AC_UL320_.jpg")</f>
        <v>#NAME?</v>
      </c>
      <c r="I1464" t="s">
        <v>428</v>
      </c>
      <c r="J1464">
        <v>27.96</v>
      </c>
      <c r="K1464" s="2" t="s">
        <v>3262</v>
      </c>
      <c r="L1464">
        <v>4.2</v>
      </c>
      <c r="M1464">
        <v>928</v>
      </c>
      <c r="O1464" t="s">
        <v>26</v>
      </c>
      <c r="P1464" t="s">
        <v>39</v>
      </c>
      <c r="Q1464" t="s">
        <v>3238</v>
      </c>
    </row>
    <row r="1465" spans="1:17" ht="15.75" x14ac:dyDescent="0.25">
      <c r="A1465" s="3" t="str">
        <f>HYPERLINK("https://megababebeauty.com/collections/all-products/products/happy-pits-underarm-mask", "https://megababebeauty.com/collections/all-products/products/happy-pits-underarm-mask")</f>
        <v>https://megababebeauty.com/collections/all-products/products/happy-pits-underarm-mask</v>
      </c>
      <c r="B1465" s="3" t="str">
        <f>HYPERLINK("https://megababebeauty.com/products/happy-pits-underarm-mask", "https://megababebeauty.com/products/happy-pits-underarm-mask")</f>
        <v>https://megababebeauty.com/products/happy-pits-underarm-mask</v>
      </c>
      <c r="C1465" t="s">
        <v>3246</v>
      </c>
      <c r="D1465" t="s">
        <v>3254</v>
      </c>
      <c r="E1465" s="3" t="str">
        <f>HYPERLINK("https://www.amazon.com/Megababe-Underarm-2-Piece-Bundle-Protection/dp/B0BWHKSRW9/ref=sr_1_9?keywords=Happy+Pits+Underarm+Mask&amp;qid=1695258966&amp;sr=8-9", "https://www.amazon.com/Megababe-Underarm-2-Piece-Bundle-Protection/dp/B0BWHKSRW9/ref=sr_1_9?keywords=Happy+Pits+Underarm+Mask&amp;qid=1695258966&amp;sr=8-9")</f>
        <v>https://www.amazon.com/Megababe-Underarm-2-Piece-Bundle-Protection/dp/B0BWHKSRW9/ref=sr_1_9?keywords=Happy+Pits+Underarm+Mask&amp;qid=1695258966&amp;sr=8-9</v>
      </c>
      <c r="F1465" t="s">
        <v>3255</v>
      </c>
      <c r="G1465" t="e">
        <f ca="1">IMAGE("https://megababebeauty.com/cdn/shop/products/HappyPits_1080x.png?v=1649284211")</f>
        <v>#NAME?</v>
      </c>
      <c r="H1465" t="e">
        <f ca="1">IMAGE("https://m.media-amazon.com/images/I/715+NDiU6xL._AC_UL320_.jpg")</f>
        <v>#NAME?</v>
      </c>
      <c r="I1465" t="s">
        <v>394</v>
      </c>
      <c r="J1465">
        <v>28.99</v>
      </c>
      <c r="K1465" s="2" t="s">
        <v>3263</v>
      </c>
      <c r="L1465">
        <v>4.5</v>
      </c>
      <c r="M1465">
        <v>2</v>
      </c>
      <c r="O1465" t="s">
        <v>26</v>
      </c>
      <c r="P1465" t="s">
        <v>39</v>
      </c>
      <c r="Q1465" t="s">
        <v>3248</v>
      </c>
    </row>
    <row r="1466" spans="1:17" ht="15.75" x14ac:dyDescent="0.25">
      <c r="A1466" s="3" t="str">
        <f>HYPERLINK("https://megababebeauty.com/collections/all-products/products/happy-pits-underarm-mask", "https://megababebeauty.com/collections/all-products/products/happy-pits-underarm-mask")</f>
        <v>https://megababebeauty.com/collections/all-products/products/happy-pits-underarm-mask</v>
      </c>
      <c r="B1466" s="3" t="str">
        <f>HYPERLINK("https://megababebeauty.com/products/happy-pits-underarm-mask", "https://megababebeauty.com/products/happy-pits-underarm-mask")</f>
        <v>https://megababebeauty.com/products/happy-pits-underarm-mask</v>
      </c>
      <c r="C1466" t="s">
        <v>3246</v>
      </c>
      <c r="D1466" t="s">
        <v>3264</v>
      </c>
      <c r="E1466" s="3" t="str">
        <f>HYPERLINK("https://www.amazon.com/Megababe-Underarm-2-Piece-Bundle-Protection/dp/B0BW4WXBBX/ref=sr_1_7?keywords=Happy+Pits+Underarm+Mask&amp;qid=1695258966&amp;sr=8-7", "https://www.amazon.com/Megababe-Underarm-2-Piece-Bundle-Protection/dp/B0BW4WXBBX/ref=sr_1_7?keywords=Happy+Pits+Underarm+Mask&amp;qid=1695258966&amp;sr=8-7")</f>
        <v>https://www.amazon.com/Megababe-Underarm-2-Piece-Bundle-Protection/dp/B0BW4WXBBX/ref=sr_1_7?keywords=Happy+Pits+Underarm+Mask&amp;qid=1695258966&amp;sr=8-7</v>
      </c>
      <c r="F1466" t="s">
        <v>3265</v>
      </c>
      <c r="G1466" t="e">
        <f ca="1">IMAGE("https://megababebeauty.com/cdn/shop/products/HappyPits_1080x.png?v=1649284211")</f>
        <v>#NAME?</v>
      </c>
      <c r="H1466" t="e">
        <f ca="1">IMAGE("https://m.media-amazon.com/images/I/71lOEHpw1EL._AC_UL320_.jpg")</f>
        <v>#NAME?</v>
      </c>
      <c r="I1466" t="s">
        <v>394</v>
      </c>
      <c r="J1466">
        <v>28.99</v>
      </c>
      <c r="K1466" s="2" t="s">
        <v>3263</v>
      </c>
      <c r="L1466">
        <v>3.4</v>
      </c>
      <c r="M1466">
        <v>3</v>
      </c>
      <c r="O1466" t="s">
        <v>26</v>
      </c>
      <c r="P1466" t="s">
        <v>39</v>
      </c>
      <c r="Q1466" t="s">
        <v>3248</v>
      </c>
    </row>
    <row r="1467" spans="1:17" ht="15.75" x14ac:dyDescent="0.25">
      <c r="A1467" s="3" t="str">
        <f>HYPERLINK("https://megababebeauty.com/collections/all-products/products/magic-powder", "https://megababebeauty.com/collections/all-products/products/magic-powder")</f>
        <v>https://megababebeauty.com/collections/all-products/products/magic-powder</v>
      </c>
      <c r="B1467" s="3" t="str">
        <f>HYPERLINK("https://megababebeauty.com/products/magic-powder", "https://megababebeauty.com/products/magic-powder")</f>
        <v>https://megababebeauty.com/products/magic-powder</v>
      </c>
      <c r="C1467" t="s">
        <v>3249</v>
      </c>
      <c r="D1467" t="s">
        <v>3266</v>
      </c>
      <c r="E1467" s="3" t="str">
        <f>HYPERLINK("https://www.amazon.com/Magic-Platinum-Shaving-Powder-Conditioning/dp/B00JKQDYVC/ref=sr_1_8?keywords=Magic+Powder&amp;qid=1695258963&amp;sr=8-8", "https://www.amazon.com/Magic-Platinum-Shaving-Powder-Conditioning/dp/B00JKQDYVC/ref=sr_1_8?keywords=Magic+Powder&amp;qid=1695258963&amp;sr=8-8")</f>
        <v>https://www.amazon.com/Magic-Platinum-Shaving-Powder-Conditioning/dp/B00JKQDYVC/ref=sr_1_8?keywords=Magic+Powder&amp;qid=1695258963&amp;sr=8-8</v>
      </c>
      <c r="F1467" t="s">
        <v>3267</v>
      </c>
      <c r="G1467" t="e">
        <f ca="1">IMAGE("https://megababebeauty.com/cdn/shop/products/MagicPowderfront_1_1080x.png?v=1655155548")</f>
        <v>#NAME?</v>
      </c>
      <c r="H1467" t="e">
        <f ca="1">IMAGE("https://m.media-amazon.com/images/I/61n-vgZEKtL._AC_UL320_.jpg")</f>
        <v>#NAME?</v>
      </c>
      <c r="I1467" t="s">
        <v>394</v>
      </c>
      <c r="J1467">
        <v>26.93</v>
      </c>
      <c r="K1467" s="2" t="s">
        <v>3268</v>
      </c>
      <c r="L1467">
        <v>4.3</v>
      </c>
      <c r="M1467">
        <v>643</v>
      </c>
      <c r="O1467" t="s">
        <v>26</v>
      </c>
      <c r="P1467" t="s">
        <v>39</v>
      </c>
      <c r="Q1467" t="s">
        <v>3253</v>
      </c>
    </row>
    <row r="1468" spans="1:17" ht="15.75" x14ac:dyDescent="0.25">
      <c r="A1468" s="3" t="str">
        <f>HYPERLINK("https://megababebeauty.com/collections/all-products/products/rosy-pits", "https://megababebeauty.com/collections/all-products/products/rosy-pits")</f>
        <v>https://megababebeauty.com/collections/all-products/products/rosy-pits</v>
      </c>
      <c r="B1468" s="3" t="str">
        <f>HYPERLINK("https://megababebeauty.com/products/rosy-pits", "https://megababebeauty.com/products/rosy-pits")</f>
        <v>https://megababebeauty.com/products/rosy-pits</v>
      </c>
      <c r="C1468" t="s">
        <v>3236</v>
      </c>
      <c r="D1468" t="s">
        <v>3244</v>
      </c>
      <c r="E1468" s="3" t="str">
        <f>HYPERLINK("https://www.amazon.com/Megababe-Underarm-2-Piece-Bundle-Protection/dp/B0BYF7Z36F/ref=sr_1_3?keywords=Rosy+Pits&amp;qid=1695258962&amp;sr=8-3", "https://www.amazon.com/Megababe-Underarm-2-Piece-Bundle-Protection/dp/B0BYF7Z36F/ref=sr_1_3?keywords=Rosy+Pits&amp;qid=1695258962&amp;sr=8-3")</f>
        <v>https://www.amazon.com/Megababe-Underarm-2-Piece-Bundle-Protection/dp/B0BYF7Z36F/ref=sr_1_3?keywords=Rosy+Pits&amp;qid=1695258962&amp;sr=8-3</v>
      </c>
      <c r="F1468" t="s">
        <v>3245</v>
      </c>
      <c r="G1468" t="e">
        <f ca="1">IMAGE("https://megababebeauty.com/cdn/shop/products/RosyproductPage_1_1080x.png?v=1649717895")</f>
        <v>#NAME?</v>
      </c>
      <c r="H1468" t="e">
        <f ca="1">IMAGE("https://m.media-amazon.com/images/I/81t22AGQCeL._AC_UL320_.jpg")</f>
        <v>#NAME?</v>
      </c>
      <c r="I1468" t="s">
        <v>428</v>
      </c>
      <c r="J1468">
        <v>20.99</v>
      </c>
      <c r="K1468" s="2" t="s">
        <v>3269</v>
      </c>
      <c r="L1468">
        <v>4.0999999999999996</v>
      </c>
      <c r="M1468">
        <v>5</v>
      </c>
      <c r="O1468" t="s">
        <v>26</v>
      </c>
      <c r="P1468" t="s">
        <v>39</v>
      </c>
      <c r="Q1468" t="s">
        <v>3238</v>
      </c>
    </row>
    <row r="1469" spans="1:17" ht="15.75" x14ac:dyDescent="0.25">
      <c r="A1469" s="3" t="str">
        <f>HYPERLINK("https://megababebeauty.com/collections/all-products/products/body-dust-mini", "https://megababebeauty.com/collections/all-products/products/body-dust-mini")</f>
        <v>https://megababebeauty.com/collections/all-products/products/body-dust-mini</v>
      </c>
      <c r="B1469" s="3" t="str">
        <f>HYPERLINK("https://megababebeauty.com/products/body-dust-mini", "https://megababebeauty.com/products/body-dust-mini")</f>
        <v>https://megababebeauty.com/products/body-dust-mini</v>
      </c>
      <c r="C1469" t="s">
        <v>3270</v>
      </c>
      <c r="D1469" t="s">
        <v>3271</v>
      </c>
      <c r="E1469" s="3" t="str">
        <f>HYPERLINK("https://www.amazon.com/Perfumed-Dusting-Powder-Herb-Root/dp/B07ZG1G9XW/ref=sr_1_2?keywords=Body+Dust+Mini&amp;qid=1695258970&amp;sr=8-2", "https://www.amazon.com/Perfumed-Dusting-Powder-Herb-Root/dp/B07ZG1G9XW/ref=sr_1_2?keywords=Body+Dust+Mini&amp;qid=1695258970&amp;sr=8-2")</f>
        <v>https://www.amazon.com/Perfumed-Dusting-Powder-Herb-Root/dp/B07ZG1G9XW/ref=sr_1_2?keywords=Body+Dust+Mini&amp;qid=1695258970&amp;sr=8-2</v>
      </c>
      <c r="F1469" t="s">
        <v>3272</v>
      </c>
      <c r="G1469" t="e">
        <f ca="1">IMAGE("https://megababebeauty.com/cdn/shop/products/bodydust_minifront_1080x.png?v=1661452656")</f>
        <v>#NAME?</v>
      </c>
      <c r="H1469" t="e">
        <f ca="1">IMAGE("https://m.media-amazon.com/images/I/61lyLyusopL._AC_UL320_.jpg")</f>
        <v>#NAME?</v>
      </c>
      <c r="I1469" t="s">
        <v>218</v>
      </c>
      <c r="J1469">
        <v>14.99</v>
      </c>
      <c r="K1469" s="2" t="s">
        <v>3273</v>
      </c>
      <c r="L1469">
        <v>4.5</v>
      </c>
      <c r="M1469">
        <v>961</v>
      </c>
      <c r="O1469" t="s">
        <v>26</v>
      </c>
      <c r="P1469" t="s">
        <v>39</v>
      </c>
      <c r="Q1469" t="s">
        <v>3274</v>
      </c>
    </row>
    <row r="1470" spans="1:17" ht="15.75" x14ac:dyDescent="0.25">
      <c r="A1470" s="3" t="str">
        <f>HYPERLINK("https://megababebeauty.com/collections/all-products/products/the-geo-deo-mini", "https://megababebeauty.com/collections/all-products/products/the-geo-deo-mini")</f>
        <v>https://megababebeauty.com/collections/all-products/products/the-geo-deo-mini</v>
      </c>
      <c r="B1470" s="3" t="str">
        <f>HYPERLINK("https://megababebeauty.com/products/the-geo-deo-mini", "https://megababebeauty.com/products/the-geo-deo-mini")</f>
        <v>https://megababebeauty.com/products/the-geo-deo-mini</v>
      </c>
      <c r="C1470" t="s">
        <v>3275</v>
      </c>
      <c r="D1470" t="s">
        <v>3276</v>
      </c>
      <c r="E1470" s="3" t="str">
        <f>HYPERLINK("https://www.amazon.com/Lavanila-Vanilla-Grapefruit-Aluminum-Free-Deodorant/dp/B0C53WS4MN/ref=sr_1_8?keywords=The+Geo+Deo+Mini&amp;qid=1695258967&amp;sr=8-8", "https://www.amazon.com/Lavanila-Vanilla-Grapefruit-Aluminum-Free-Deodorant/dp/B0C53WS4MN/ref=sr_1_8?keywords=The+Geo+Deo+Mini&amp;qid=1695258967&amp;sr=8-8")</f>
        <v>https://www.amazon.com/Lavanila-Vanilla-Grapefruit-Aluminum-Free-Deodorant/dp/B0C53WS4MN/ref=sr_1_8?keywords=The+Geo+Deo+Mini&amp;qid=1695258967&amp;sr=8-8</v>
      </c>
      <c r="F1470" t="s">
        <v>3277</v>
      </c>
      <c r="G1470" t="e">
        <f ca="1">IMAGE("https://megababebeauty.com/cdn/shop/products/GeoDeo_minifront_1080x.png?v=1657546484")</f>
        <v>#NAME?</v>
      </c>
      <c r="H1470" t="e">
        <f ca="1">IMAGE("https://m.media-amazon.com/images/I/61ve32BVbZL._AC_UL320_.jpg")</f>
        <v>#NAME?</v>
      </c>
      <c r="I1470" t="s">
        <v>218</v>
      </c>
      <c r="J1470">
        <v>14</v>
      </c>
      <c r="K1470" s="2" t="s">
        <v>3278</v>
      </c>
      <c r="L1470">
        <v>4.3</v>
      </c>
      <c r="M1470">
        <v>1811</v>
      </c>
      <c r="O1470" t="s">
        <v>26</v>
      </c>
      <c r="P1470" t="s">
        <v>39</v>
      </c>
      <c r="Q1470" t="s">
        <v>3279</v>
      </c>
    </row>
    <row r="1471" spans="1:17" ht="15.75" x14ac:dyDescent="0.25">
      <c r="A1471" s="3" t="str">
        <f>HYPERLINK("https://megababebeauty.com/collections/all-products/products/the-geo-deo-mini", "https://megababebeauty.com/collections/all-products/products/the-geo-deo-mini")</f>
        <v>https://megababebeauty.com/collections/all-products/products/the-geo-deo-mini</v>
      </c>
      <c r="B1471" s="3" t="str">
        <f>HYPERLINK("https://megababebeauty.com/products/the-geo-deo-mini", "https://megababebeauty.com/products/the-geo-deo-mini")</f>
        <v>https://megababebeauty.com/products/the-geo-deo-mini</v>
      </c>
      <c r="C1471" t="s">
        <v>3275</v>
      </c>
      <c r="D1471" t="s">
        <v>3280</v>
      </c>
      <c r="E1471" s="3" t="str">
        <f>HYPERLINK("https://www.amazon.com/Megababe-Geo-Multi-Mineral-Daily-Deodorant/dp/B09PPSB4LK/ref=sr_1_2?keywords=The+Geo+Deo+Mini&amp;qid=1695258967&amp;sr=8-2", "https://www.amazon.com/Megababe-Geo-Multi-Mineral-Daily-Deodorant/dp/B09PPSB4LK/ref=sr_1_2?keywords=The+Geo+Deo+Mini&amp;qid=1695258967&amp;sr=8-2")</f>
        <v>https://www.amazon.com/Megababe-Geo-Multi-Mineral-Daily-Deodorant/dp/B09PPSB4LK/ref=sr_1_2?keywords=The+Geo+Deo+Mini&amp;qid=1695258967&amp;sr=8-2</v>
      </c>
      <c r="F1471" t="s">
        <v>3281</v>
      </c>
      <c r="G1471" t="e">
        <f ca="1">IMAGE("https://megababebeauty.com/cdn/shop/products/GeoDeo_minifront_1080x.png?v=1657546484")</f>
        <v>#NAME?</v>
      </c>
      <c r="H1471" t="e">
        <f ca="1">IMAGE("https://m.media-amazon.com/images/I/51oY66WrU3L._AC_UL320_.jpg")</f>
        <v>#NAME?</v>
      </c>
      <c r="I1471" t="s">
        <v>218</v>
      </c>
      <c r="J1471">
        <v>13.99</v>
      </c>
      <c r="K1471" s="2" t="s">
        <v>3282</v>
      </c>
      <c r="L1471">
        <v>4.4000000000000004</v>
      </c>
      <c r="M1471">
        <v>894</v>
      </c>
      <c r="O1471" t="s">
        <v>26</v>
      </c>
      <c r="P1471" t="s">
        <v>39</v>
      </c>
      <c r="Q1471" t="s">
        <v>3279</v>
      </c>
    </row>
    <row r="1472" spans="1:17" ht="15.75" x14ac:dyDescent="0.25">
      <c r="A1472" s="3" t="str">
        <f>HYPERLINK("https://megababebeauty.com/collections/all-products/products/the-smoothie-deo-mini", "https://megababebeauty.com/collections/all-products/products/the-smoothie-deo-mini")</f>
        <v>https://megababebeauty.com/collections/all-products/products/the-smoothie-deo-mini</v>
      </c>
      <c r="B1472" s="3" t="str">
        <f>HYPERLINK("https://megababebeauty.com/products/the-smoothie-deo-mini", "https://megababebeauty.com/products/the-smoothie-deo-mini")</f>
        <v>https://megababebeauty.com/products/the-smoothie-deo-mini</v>
      </c>
      <c r="C1472" t="s">
        <v>3283</v>
      </c>
      <c r="D1472" t="s">
        <v>3284</v>
      </c>
      <c r="E1472" s="3" t="str">
        <f>HYPERLINK("https://www.amazon.com/Megababe-Smoothie-Fruit-Enzyme-Deodorant/dp/B09PZH8VDT/ref=sr_1_1?keywords=The+Smoothie+Deo+Mini&amp;qid=1695258963&amp;sr=8-1", "https://www.amazon.com/Megababe-Smoothie-Fruit-Enzyme-Deodorant/dp/B09PZH8VDT/ref=sr_1_1?keywords=The+Smoothie+Deo+Mini&amp;qid=1695258963&amp;sr=8-1")</f>
        <v>https://www.amazon.com/Megababe-Smoothie-Fruit-Enzyme-Deodorant/dp/B09PZH8VDT/ref=sr_1_1?keywords=The+Smoothie+Deo+Mini&amp;qid=1695258963&amp;sr=8-1</v>
      </c>
      <c r="F1472" t="s">
        <v>3285</v>
      </c>
      <c r="G1472" t="e">
        <f ca="1">IMAGE("https://megababebeauty.com/cdn/shop/products/Smoothie_minifront_1080x.png?v=1657546495")</f>
        <v>#NAME?</v>
      </c>
      <c r="H1472" t="e">
        <f ca="1">IMAGE("https://m.media-amazon.com/images/I/51iTmza5MHL._AC_UL320_.jpg")</f>
        <v>#NAME?</v>
      </c>
      <c r="I1472" t="s">
        <v>218</v>
      </c>
      <c r="J1472">
        <v>13.99</v>
      </c>
      <c r="K1472" s="2" t="s">
        <v>3282</v>
      </c>
      <c r="L1472">
        <v>4.4000000000000004</v>
      </c>
      <c r="M1472">
        <v>894</v>
      </c>
      <c r="O1472" t="s">
        <v>26</v>
      </c>
      <c r="P1472" t="s">
        <v>39</v>
      </c>
      <c r="Q1472" t="s">
        <v>3286</v>
      </c>
    </row>
    <row r="1473" spans="1:17" ht="15.75" x14ac:dyDescent="0.25">
      <c r="A1473" s="3" t="str">
        <f>HYPERLINK("https://megababebeauty.com/collections/all-products/products/the-geo-deo-mini", "https://megababebeauty.com/collections/all-products/products/the-geo-deo-mini")</f>
        <v>https://megababebeauty.com/collections/all-products/products/the-geo-deo-mini</v>
      </c>
      <c r="B1473" s="3" t="str">
        <f>HYPERLINK("https://megababebeauty.com/products/the-geo-deo-mini", "https://megababebeauty.com/products/the-geo-deo-mini")</f>
        <v>https://megababebeauty.com/products/the-geo-deo-mini</v>
      </c>
      <c r="C1473" t="s">
        <v>3275</v>
      </c>
      <c r="D1473" t="s">
        <v>3280</v>
      </c>
      <c r="E1473" s="3"/>
      <c r="F1473" t="s">
        <v>3281</v>
      </c>
      <c r="G1473" t="e">
        <f ca="1">IMAGE("https://megababebeauty.com/cdn/shop/products/GeoDeo_minifront_1080x.png?v=1657546484")</f>
        <v>#NAME?</v>
      </c>
      <c r="H1473" t="e">
        <f ca="1">IMAGE("https://m.media-amazon.com/images/I/51oY66WrU3L._AC_UL320_.jpg")</f>
        <v>#NAME?</v>
      </c>
      <c r="I1473" t="s">
        <v>218</v>
      </c>
      <c r="J1473">
        <v>13.99</v>
      </c>
      <c r="K1473" s="2" t="s">
        <v>3282</v>
      </c>
      <c r="L1473">
        <v>4.4000000000000004</v>
      </c>
      <c r="M1473">
        <v>894</v>
      </c>
      <c r="O1473" t="s">
        <v>26</v>
      </c>
      <c r="P1473" t="s">
        <v>39</v>
      </c>
      <c r="Q1473" t="s">
        <v>3279</v>
      </c>
    </row>
    <row r="1474" spans="1:17" ht="15.75" x14ac:dyDescent="0.25">
      <c r="A1474" s="3" t="str">
        <f>HYPERLINK("https://megababebeauty.com/collections/all-products/products/happy-pits-underarm-mask", "https://megababebeauty.com/collections/all-products/products/happy-pits-underarm-mask")</f>
        <v>https://megababebeauty.com/collections/all-products/products/happy-pits-underarm-mask</v>
      </c>
      <c r="B1474" s="3" t="str">
        <f>HYPERLINK("https://megababebeauty.com/products/happy-pits-underarm-mask", "https://megababebeauty.com/products/happy-pits-underarm-mask")</f>
        <v>https://megababebeauty.com/products/happy-pits-underarm-mask</v>
      </c>
      <c r="C1474" t="s">
        <v>3246</v>
      </c>
      <c r="D1474" t="s">
        <v>3287</v>
      </c>
      <c r="E1474" s="3" t="str">
        <f>HYPERLINK("https://www.amazon.com/Megababe-Detoxifying-Underarm-Charcoal-Glycolic/dp/B085RDY91N/ref=sr_1_5?keywords=Happy+Pits+Underarm+Mask&amp;qid=1695258966&amp;sr=8-5", "https://www.amazon.com/Megababe-Detoxifying-Underarm-Charcoal-Glycolic/dp/B085RDY91N/ref=sr_1_5?keywords=Happy+Pits+Underarm+Mask&amp;qid=1695258966&amp;sr=8-5")</f>
        <v>https://www.amazon.com/Megababe-Detoxifying-Underarm-Charcoal-Glycolic/dp/B085RDY91N/ref=sr_1_5?keywords=Happy+Pits+Underarm+Mask&amp;qid=1695258966&amp;sr=8-5</v>
      </c>
      <c r="F1474" t="s">
        <v>3288</v>
      </c>
      <c r="G1474" t="e">
        <f ca="1">IMAGE("https://megababebeauty.com/cdn/shop/products/HappyPits_1080x.png?v=1649284211")</f>
        <v>#NAME?</v>
      </c>
      <c r="H1474" t="e">
        <f ca="1">IMAGE("https://m.media-amazon.com/images/I/51yshqGLH6L._AC_UL320_.jpg")</f>
        <v>#NAME?</v>
      </c>
      <c r="I1474" t="s">
        <v>394</v>
      </c>
      <c r="J1474">
        <v>15.99</v>
      </c>
      <c r="K1474" s="2" t="s">
        <v>3289</v>
      </c>
      <c r="L1474">
        <v>4.3</v>
      </c>
      <c r="M1474">
        <v>317</v>
      </c>
      <c r="O1474" t="s">
        <v>26</v>
      </c>
      <c r="P1474" t="s">
        <v>39</v>
      </c>
      <c r="Q1474" t="s">
        <v>3248</v>
      </c>
    </row>
    <row r="1475" spans="1:17" ht="15.75" x14ac:dyDescent="0.25">
      <c r="A1475" s="3" t="str">
        <f>HYPERLINK("https://megababebeauty.com/collections/all-products/products/night-rescue", "https://megababebeauty.com/collections/all-products/products/night-rescue")</f>
        <v>https://megababebeauty.com/collections/all-products/products/night-rescue</v>
      </c>
      <c r="B1475" s="3" t="str">
        <f>HYPERLINK("https://megababebeauty.com/products/night-rescue", "https://megababebeauty.com/products/night-rescue")</f>
        <v>https://megababebeauty.com/products/night-rescue</v>
      </c>
      <c r="C1475" t="s">
        <v>3215</v>
      </c>
      <c r="D1475" t="s">
        <v>3290</v>
      </c>
      <c r="E1475" s="3" t="str">
        <f>HYPERLINK("https://www.amazon.com/Megababe-Night-Rescue-Brightening-Soothing/dp/B0C8BHKF5J/ref=sr_1_1?keywords=Night+Rescue&amp;qid=1695258962&amp;sr=8-1", "https://www.amazon.com/Megababe-Night-Rescue-Brightening-Soothing/dp/B0C8BHKF5J/ref=sr_1_1?keywords=Night+Rescue&amp;qid=1695258962&amp;sr=8-1")</f>
        <v>https://www.amazon.com/Megababe-Night-Rescue-Brightening-Soothing/dp/B0C8BHKF5J/ref=sr_1_1?keywords=Night+Rescue&amp;qid=1695258962&amp;sr=8-1</v>
      </c>
      <c r="F1475" t="s">
        <v>3291</v>
      </c>
      <c r="G1475" t="e">
        <f ca="1">IMAGE("https://megababebeauty.com/cdn/shop/files/NightRescueBEST2023Button_1080x.png?v=1689860537")</f>
        <v>#NAME?</v>
      </c>
      <c r="H1475" t="e">
        <f ca="1">IMAGE("https://m.media-amazon.com/images/I/81Gz7LQFxWL._AC_UY218_.jpg")</f>
        <v>#NAME?</v>
      </c>
      <c r="I1475" t="s">
        <v>394</v>
      </c>
      <c r="J1475">
        <v>15.99</v>
      </c>
      <c r="K1475" s="2" t="s">
        <v>3289</v>
      </c>
      <c r="L1475">
        <v>4.5</v>
      </c>
      <c r="M1475">
        <v>10</v>
      </c>
      <c r="O1475" t="s">
        <v>26</v>
      </c>
      <c r="P1475" t="s">
        <v>39</v>
      </c>
      <c r="Q1475" t="s">
        <v>3219</v>
      </c>
    </row>
    <row r="1476" spans="1:17" ht="15.75" x14ac:dyDescent="0.25">
      <c r="A1476" s="3" t="str">
        <f>HYPERLINK("https://megababebeauty.com/collections/all-products/products/the-smoothie-deo", "https://megababebeauty.com/collections/all-products/products/the-smoothie-deo")</f>
        <v>https://megababebeauty.com/collections/all-products/products/the-smoothie-deo</v>
      </c>
      <c r="B1476" s="3" t="str">
        <f>HYPERLINK("https://megababebeauty.com/products/the-smoothie-deo", "https://megababebeauty.com/products/the-smoothie-deo")</f>
        <v>https://megababebeauty.com/products/the-smoothie-deo</v>
      </c>
      <c r="C1476" t="s">
        <v>3292</v>
      </c>
      <c r="D1476" t="s">
        <v>3284</v>
      </c>
      <c r="E1476" s="3" t="str">
        <f>HYPERLINK("https://www.amazon.com/Megababe-Smoothie-Fruit-Enzyme-Deodorant/dp/B09PZH8VDT/ref=sr_1_1?keywords=The+Smoothie+Deo&amp;qid=1695258972&amp;sr=8-1", "https://www.amazon.com/Megababe-Smoothie-Fruit-Enzyme-Deodorant/dp/B09PZH8VDT/ref=sr_1_1?keywords=The+Smoothie+Deo&amp;qid=1695258972&amp;sr=8-1")</f>
        <v>https://www.amazon.com/Megababe-Smoothie-Fruit-Enzyme-Deodorant/dp/B09PZH8VDT/ref=sr_1_1?keywords=The+Smoothie+Deo&amp;qid=1695258972&amp;sr=8-1</v>
      </c>
      <c r="F1476" t="s">
        <v>3285</v>
      </c>
      <c r="G1476" t="e">
        <f ca="1">IMAGE("https://megababebeauty.com/cdn/shop/products/SmoothieDeo_1600px_1080x.png?v=1632053126")</f>
        <v>#NAME?</v>
      </c>
      <c r="H1476" t="e">
        <f ca="1">IMAGE("https://m.media-amazon.com/images/I/51iTmza5MHL._AC_UL320_.jpg")</f>
        <v>#NAME?</v>
      </c>
      <c r="I1476" t="s">
        <v>428</v>
      </c>
      <c r="J1476">
        <v>13.99</v>
      </c>
      <c r="K1476" s="2" t="s">
        <v>3293</v>
      </c>
      <c r="L1476">
        <v>4.4000000000000004</v>
      </c>
      <c r="M1476">
        <v>894</v>
      </c>
      <c r="O1476" t="s">
        <v>26</v>
      </c>
      <c r="P1476" t="s">
        <v>39</v>
      </c>
      <c r="Q1476" t="s">
        <v>3294</v>
      </c>
    </row>
    <row r="1477" spans="1:17" ht="15.75" x14ac:dyDescent="0.25">
      <c r="A1477" s="3" t="str">
        <f>HYPERLINK("https://megababebeauty.com/collections/all-products/products/beachy-pits", "https://megababebeauty.com/collections/all-products/products/beachy-pits")</f>
        <v>https://megababebeauty.com/collections/all-products/products/beachy-pits</v>
      </c>
      <c r="B1477" s="3" t="str">
        <f>HYPERLINK("https://megababebeauty.com/products/beachy-pits", "https://megababebeauty.com/products/beachy-pits")</f>
        <v>https://megababebeauty.com/products/beachy-pits</v>
      </c>
      <c r="C1477" t="s">
        <v>3295</v>
      </c>
      <c r="D1477" t="s">
        <v>3296</v>
      </c>
      <c r="E1477" s="3" t="str">
        <f>HYPERLINK("https://www.amazon.com/Beachy-Daily-Deodorant-Megababe-Ounce/dp/B097SL3P9G/ref=sr_1_1?keywords=Beachy+Pits&amp;qid=1695258968&amp;sr=8-1", "https://www.amazon.com/Beachy-Daily-Deodorant-Megababe-Ounce/dp/B097SL3P9G/ref=sr_1_1?keywords=Beachy+Pits&amp;qid=1695258968&amp;sr=8-1")</f>
        <v>https://www.amazon.com/Beachy-Daily-Deodorant-Megababe-Ounce/dp/B097SL3P9G/ref=sr_1_1?keywords=Beachy+Pits&amp;qid=1695258968&amp;sr=8-1</v>
      </c>
      <c r="F1477" t="s">
        <v>3297</v>
      </c>
      <c r="G1477" t="e">
        <f ca="1">IMAGE("https://megababebeauty.com/cdn/shop/products/New_Beachy_1080x.png?v=1658770800")</f>
        <v>#NAME?</v>
      </c>
      <c r="H1477" t="e">
        <f ca="1">IMAGE("https://m.media-amazon.com/images/I/41uVR3MvZNL._AC_UL320_.jpg")</f>
        <v>#NAME?</v>
      </c>
      <c r="I1477" t="s">
        <v>428</v>
      </c>
      <c r="J1477">
        <v>13.99</v>
      </c>
      <c r="K1477" s="2" t="s">
        <v>3293</v>
      </c>
      <c r="L1477">
        <v>4.3</v>
      </c>
      <c r="M1477">
        <v>51</v>
      </c>
      <c r="O1477" t="s">
        <v>26</v>
      </c>
      <c r="P1477" t="s">
        <v>428</v>
      </c>
      <c r="Q1477" t="s">
        <v>3298</v>
      </c>
    </row>
    <row r="1478" spans="1:17" ht="15.75" x14ac:dyDescent="0.25">
      <c r="A1478" s="3" t="str">
        <f>HYPERLINK("https://megababebeauty.com/collections/all-products/products/the-geo-deo", "https://megababebeauty.com/collections/all-products/products/the-geo-deo")</f>
        <v>https://megababebeauty.com/collections/all-products/products/the-geo-deo</v>
      </c>
      <c r="B1478" s="3" t="str">
        <f>HYPERLINK("https://megababebeauty.com/products/the-geo-deo", "https://megababebeauty.com/products/the-geo-deo")</f>
        <v>https://megababebeauty.com/products/the-geo-deo</v>
      </c>
      <c r="C1478" t="s">
        <v>3299</v>
      </c>
      <c r="D1478" t="s">
        <v>3280</v>
      </c>
      <c r="E1478" s="3" t="str">
        <f>HYPERLINK("https://www.amazon.com/Megababe-Geo-Multi-Mineral-Daily-Deodorant/dp/B09PPSB4LK/ref=sr_1_1?keywords=The+Geo+Deo&amp;qid=1695258976&amp;sr=8-1", "https://www.amazon.com/Megababe-Geo-Multi-Mineral-Daily-Deodorant/dp/B09PPSB4LK/ref=sr_1_1?keywords=The+Geo+Deo&amp;qid=1695258976&amp;sr=8-1")</f>
        <v>https://www.amazon.com/Megababe-Geo-Multi-Mineral-Daily-Deodorant/dp/B09PPSB4LK/ref=sr_1_1?keywords=The+Geo+Deo&amp;qid=1695258976&amp;sr=8-1</v>
      </c>
      <c r="F1478" t="s">
        <v>3281</v>
      </c>
      <c r="G1478" t="e">
        <f ca="1">IMAGE("https://megababebeauty.com/cdn/shop/products/DD05F115-385C-4861-8F75-FBD3411ED673_1080x.png?v=1636990984")</f>
        <v>#NAME?</v>
      </c>
      <c r="H1478" t="e">
        <f ca="1">IMAGE("https://m.media-amazon.com/images/I/51oY66WrU3L._AC_UL320_.jpg")</f>
        <v>#NAME?</v>
      </c>
      <c r="I1478" t="s">
        <v>428</v>
      </c>
      <c r="J1478">
        <v>13.99</v>
      </c>
      <c r="K1478" s="2" t="s">
        <v>3293</v>
      </c>
      <c r="L1478">
        <v>4.4000000000000004</v>
      </c>
      <c r="M1478">
        <v>894</v>
      </c>
      <c r="O1478" t="s">
        <v>26</v>
      </c>
      <c r="P1478" t="s">
        <v>39</v>
      </c>
      <c r="Q1478" t="s">
        <v>3300</v>
      </c>
    </row>
    <row r="1479" spans="1:17" ht="15.75" x14ac:dyDescent="0.25">
      <c r="A1479" s="3" t="str">
        <f>HYPERLINK("https://megababebeauty.com/collections/all-products/products/the-glow-deo", "https://megababebeauty.com/collections/all-products/products/the-glow-deo")</f>
        <v>https://megababebeauty.com/collections/all-products/products/the-glow-deo</v>
      </c>
      <c r="B1479" s="3" t="str">
        <f>HYPERLINK("https://megababebeauty.com/products/the-glow-deo", "https://megababebeauty.com/products/the-glow-deo")</f>
        <v>https://megababebeauty.com/products/the-glow-deo</v>
      </c>
      <c r="C1479" t="s">
        <v>3301</v>
      </c>
      <c r="D1479" t="s">
        <v>3280</v>
      </c>
      <c r="E1479" s="3" t="str">
        <f>HYPERLINK("https://www.amazon.com/Megababe-Geo-Multi-Mineral-Daily-Deodorant/dp/B09PPSB4LK/ref=sr_1_1?keywords=The+Glow+Deo+Daily+Deodorant&amp;qid=1695258962&amp;sr=8-1", "https://www.amazon.com/Megababe-Geo-Multi-Mineral-Daily-Deodorant/dp/B09PPSB4LK/ref=sr_1_1?keywords=The+Glow+Deo+Daily+Deodorant&amp;qid=1695258962&amp;sr=8-1")</f>
        <v>https://www.amazon.com/Megababe-Geo-Multi-Mineral-Daily-Deodorant/dp/B09PPSB4LK/ref=sr_1_1?keywords=The+Glow+Deo+Daily+Deodorant&amp;qid=1695258962&amp;sr=8-1</v>
      </c>
      <c r="F1479" t="s">
        <v>3281</v>
      </c>
      <c r="G1479" t="e">
        <f ca="1">IMAGE("https://megababebeauty.com/cdn/shop/files/GlowDeowTODAYButton_1080x.png?v=1689859963")</f>
        <v>#NAME?</v>
      </c>
      <c r="H1479" t="e">
        <f ca="1">IMAGE("https://m.media-amazon.com/images/I/51oY66WrU3L._AC_UL320_.jpg")</f>
        <v>#NAME?</v>
      </c>
      <c r="I1479" t="s">
        <v>428</v>
      </c>
      <c r="J1479">
        <v>13.99</v>
      </c>
      <c r="K1479" s="2" t="s">
        <v>3293</v>
      </c>
      <c r="L1479">
        <v>4.4000000000000004</v>
      </c>
      <c r="M1479">
        <v>894</v>
      </c>
      <c r="O1479" t="s">
        <v>26</v>
      </c>
      <c r="P1479" t="s">
        <v>39</v>
      </c>
      <c r="Q1479" t="s">
        <v>3302</v>
      </c>
    </row>
    <row r="1480" spans="1:17" ht="15.75" x14ac:dyDescent="0.25">
      <c r="A1480" s="3" t="str">
        <f>HYPERLINK("https://megababebeauty.com/collections/all-products/products/the-glow-deo", "https://megababebeauty.com/collections/all-products/products/the-glow-deo")</f>
        <v>https://megababebeauty.com/collections/all-products/products/the-glow-deo</v>
      </c>
      <c r="B1480" s="3" t="str">
        <f>HYPERLINK("https://megababebeauty.com/products/the-glow-deo", "https://megababebeauty.com/products/the-glow-deo")</f>
        <v>https://megababebeauty.com/products/the-glow-deo</v>
      </c>
      <c r="C1480" t="s">
        <v>3301</v>
      </c>
      <c r="D1480" t="s">
        <v>3303</v>
      </c>
      <c r="E1480" s="3" t="str">
        <f>HYPERLINK("https://www.amazon.com/Megababe-Daily-Deodorant-Odor-Blocking-Aluminum-Free/dp/B0C16422G1/ref=sr_1_5?keywords=The+Glow+Deo+Daily+Deodorant&amp;qid=1695258962&amp;sr=8-5", "https://www.amazon.com/Megababe-Daily-Deodorant-Odor-Blocking-Aluminum-Free/dp/B0C16422G1/ref=sr_1_5?keywords=The+Glow+Deo+Daily+Deodorant&amp;qid=1695258962&amp;sr=8-5")</f>
        <v>https://www.amazon.com/Megababe-Daily-Deodorant-Odor-Blocking-Aluminum-Free/dp/B0C16422G1/ref=sr_1_5?keywords=The+Glow+Deo+Daily+Deodorant&amp;qid=1695258962&amp;sr=8-5</v>
      </c>
      <c r="F1480" t="s">
        <v>3304</v>
      </c>
      <c r="G1480" t="e">
        <f ca="1">IMAGE("https://megababebeauty.com/cdn/shop/files/GlowDeowTODAYButton_1080x.png?v=1689859963")</f>
        <v>#NAME?</v>
      </c>
      <c r="H1480" t="e">
        <f ca="1">IMAGE("https://m.media-amazon.com/images/I/518gmLyGK0L._AC_UL320_.jpg")</f>
        <v>#NAME?</v>
      </c>
      <c r="I1480" t="s">
        <v>428</v>
      </c>
      <c r="J1480">
        <v>13.99</v>
      </c>
      <c r="K1480" s="2" t="s">
        <v>3293</v>
      </c>
      <c r="L1480">
        <v>4</v>
      </c>
      <c r="M1480">
        <v>45</v>
      </c>
      <c r="O1480" t="s">
        <v>26</v>
      </c>
      <c r="P1480" t="s">
        <v>39</v>
      </c>
      <c r="Q1480" t="s">
        <v>3302</v>
      </c>
    </row>
    <row r="1481" spans="1:17" ht="15.75" x14ac:dyDescent="0.25">
      <c r="A1481" s="3" t="str">
        <f>HYPERLINK("https://megababebeauty.com/collections/all-products/products/the-green-deo", "https://megababebeauty.com/collections/all-products/products/the-green-deo")</f>
        <v>https://megababebeauty.com/collections/all-products/products/the-green-deo</v>
      </c>
      <c r="B1481" s="3" t="str">
        <f>HYPERLINK("https://megababebeauty.com/products/the-green-deo", "https://megababebeauty.com/products/the-green-deo")</f>
        <v>https://megababebeauty.com/products/the-green-deo</v>
      </c>
      <c r="C1481" t="s">
        <v>3305</v>
      </c>
      <c r="D1481" t="s">
        <v>3306</v>
      </c>
      <c r="E1481" s="3" t="str">
        <f>HYPERLINK("https://www.amazon.com/Green-Deo-Daily-Deodorant-Megababe/dp/B095RYSMWP/ref=sr_1_1?keywords=The+Green+Deo&amp;qid=1695258962&amp;sr=8-1", "https://www.amazon.com/Green-Deo-Daily-Deodorant-Megababe/dp/B095RYSMWP/ref=sr_1_1?keywords=The+Green+Deo&amp;qid=1695258962&amp;sr=8-1")</f>
        <v>https://www.amazon.com/Green-Deo-Daily-Deodorant-Megababe/dp/B095RYSMWP/ref=sr_1_1?keywords=The+Green+Deo&amp;qid=1695258962&amp;sr=8-1</v>
      </c>
      <c r="F1481" t="s">
        <v>3307</v>
      </c>
      <c r="G1481" t="e">
        <f ca="1">IMAGE("https://megababebeauty.com/cdn/shop/products/GreenDeo_1600px-2_1080x.png?v=1636499022")</f>
        <v>#NAME?</v>
      </c>
      <c r="H1481" t="e">
        <f ca="1">IMAGE("https://m.media-amazon.com/images/I/71-Hs44yVXL._AC_UL320_.jpg")</f>
        <v>#NAME?</v>
      </c>
      <c r="I1481" t="s">
        <v>428</v>
      </c>
      <c r="J1481">
        <v>13.99</v>
      </c>
      <c r="K1481" s="2" t="s">
        <v>3293</v>
      </c>
      <c r="L1481">
        <v>4.2</v>
      </c>
      <c r="M1481">
        <v>129</v>
      </c>
      <c r="O1481" t="s">
        <v>26</v>
      </c>
      <c r="P1481" t="s">
        <v>39</v>
      </c>
      <c r="Q1481" t="s">
        <v>3308</v>
      </c>
    </row>
    <row r="1482" spans="1:17" ht="15.75" x14ac:dyDescent="0.25">
      <c r="A1482" s="3" t="str">
        <f>HYPERLINK("https://megababebeauty.com/collections/all-products/products/unscented-thigh-rescue", "https://megababebeauty.com/collections/all-products/products/unscented-thigh-rescue")</f>
        <v>https://megababebeauty.com/collections/all-products/products/unscented-thigh-rescue</v>
      </c>
      <c r="B1482" s="3" t="str">
        <f>HYPERLINK("https://megababebeauty.com/products/unscented-thigh-rescue", "https://megababebeauty.com/products/unscented-thigh-rescue")</f>
        <v>https://megababebeauty.com/products/unscented-thigh-rescue</v>
      </c>
      <c r="C1482" t="s">
        <v>3309</v>
      </c>
      <c r="D1482" t="s">
        <v>3310</v>
      </c>
      <c r="E1482" s="3" t="str">
        <f>HYPERLINK("https://www.amazon.com/Megababe-Anti-Chafe-Prevents-Irritation-bra-lines/dp/B0C3WSSKZW/ref=sr_1_1?keywords=Unscented+Thigh+Rescue&amp;qid=1695258963&amp;sr=8-1", "https://www.amazon.com/Megababe-Anti-Chafe-Prevents-Irritation-bra-lines/dp/B0C3WSSKZW/ref=sr_1_1?keywords=Unscented+Thigh+Rescue&amp;qid=1695258963&amp;sr=8-1")</f>
        <v>https://www.amazon.com/Megababe-Anti-Chafe-Prevents-Irritation-bra-lines/dp/B0C3WSSKZW/ref=sr_1_1?keywords=Unscented+Thigh+Rescue&amp;qid=1695258963&amp;sr=8-1</v>
      </c>
      <c r="F1482" t="s">
        <v>3311</v>
      </c>
      <c r="G1482" t="e">
        <f ca="1">IMAGE("https://megababebeauty.com/cdn/shop/products/Artboard1copy13_1080x.png?v=1635352433")</f>
        <v>#NAME?</v>
      </c>
      <c r="H1482" t="e">
        <f ca="1">IMAGE("https://m.media-amazon.com/images/I/61QguAaFUNL._AC_UL320_.jpg")</f>
        <v>#NAME?</v>
      </c>
      <c r="I1482" t="s">
        <v>428</v>
      </c>
      <c r="J1482">
        <v>13.99</v>
      </c>
      <c r="K1482" s="2" t="s">
        <v>3293</v>
      </c>
      <c r="L1482">
        <v>4.5</v>
      </c>
      <c r="M1482">
        <v>67</v>
      </c>
      <c r="O1482" t="s">
        <v>26</v>
      </c>
      <c r="P1482" t="s">
        <v>39</v>
      </c>
      <c r="Q1482" t="s">
        <v>3312</v>
      </c>
    </row>
    <row r="1483" spans="1:17" ht="15.75" x14ac:dyDescent="0.25">
      <c r="A1483" s="3" t="str">
        <f>HYPERLINK("https://megababebeauty.com/collections/all-products/products/the-glow-deo", "https://megababebeauty.com/collections/all-products/products/the-glow-deo")</f>
        <v>https://megababebeauty.com/collections/all-products/products/the-glow-deo</v>
      </c>
      <c r="B1483" s="3" t="str">
        <f>HYPERLINK("https://megababebeauty.com/products/the-glow-deo", "https://megababebeauty.com/products/the-glow-deo")</f>
        <v>https://megababebeauty.com/products/the-glow-deo</v>
      </c>
      <c r="C1483" t="s">
        <v>3301</v>
      </c>
      <c r="D1483" t="s">
        <v>3306</v>
      </c>
      <c r="E1483" s="3" t="str">
        <f>HYPERLINK("https://www.amazon.com/Green-Deo-Daily-Deodorant-Megababe/dp/B095RYSMWP/ref=sr_1_2?keywords=The+Glow+Deo+Daily+Deodorant&amp;qid=1695258962&amp;sr=8-2", "https://www.amazon.com/Green-Deo-Daily-Deodorant-Megababe/dp/B095RYSMWP/ref=sr_1_2?keywords=The+Glow+Deo+Daily+Deodorant&amp;qid=1695258962&amp;sr=8-2")</f>
        <v>https://www.amazon.com/Green-Deo-Daily-Deodorant-Megababe/dp/B095RYSMWP/ref=sr_1_2?keywords=The+Glow+Deo+Daily+Deodorant&amp;qid=1695258962&amp;sr=8-2</v>
      </c>
      <c r="F1483" t="s">
        <v>3307</v>
      </c>
      <c r="G1483" t="e">
        <f ca="1">IMAGE("https://megababebeauty.com/cdn/shop/files/GlowDeowTODAYButton_1080x.png?v=1689859963")</f>
        <v>#NAME?</v>
      </c>
      <c r="H1483" t="e">
        <f ca="1">IMAGE("https://m.media-amazon.com/images/I/71-Hs44yVXL._AC_UL320_.jpg")</f>
        <v>#NAME?</v>
      </c>
      <c r="I1483" t="s">
        <v>428</v>
      </c>
      <c r="J1483">
        <v>13.99</v>
      </c>
      <c r="K1483" s="2" t="s">
        <v>3293</v>
      </c>
      <c r="L1483">
        <v>4.2</v>
      </c>
      <c r="M1483">
        <v>129</v>
      </c>
      <c r="O1483" t="s">
        <v>26</v>
      </c>
      <c r="P1483" t="s">
        <v>39</v>
      </c>
      <c r="Q1483" t="s">
        <v>3302</v>
      </c>
    </row>
    <row r="1484" spans="1:17" ht="15.75" x14ac:dyDescent="0.25">
      <c r="A1484" s="3" t="str">
        <f>HYPERLINK("https://megababebeauty.com/collections/all-products/products/space-bar", "https://megababebeauty.com/collections/all-products/products/space-bar")</f>
        <v>https://megababebeauty.com/collections/all-products/products/space-bar</v>
      </c>
      <c r="B1484" s="3" t="str">
        <f>HYPERLINK("https://megababebeauty.com/products/space-bar", "https://megababebeauty.com/products/space-bar")</f>
        <v>https://megababebeauty.com/products/space-bar</v>
      </c>
      <c r="C1484" t="s">
        <v>3223</v>
      </c>
      <c r="D1484" t="s">
        <v>3313</v>
      </c>
      <c r="E1484" s="3" t="str">
        <f>HYPERLINK("https://www.amazon.com/Megababe-Underarm-Bar-Soap-Detoxifying/dp/B0BWPHZQVD/ref=sr_1_1?keywords=Space+Bar+Underarm+Soap&amp;qid=1695258962&amp;sr=8-1", "https://www.amazon.com/Megababe-Underarm-Bar-Soap-Detoxifying/dp/B0BWPHZQVD/ref=sr_1_1?keywords=Space+Bar+Underarm+Soap&amp;qid=1695258962&amp;sr=8-1")</f>
        <v>https://www.amazon.com/Megababe-Underarm-Bar-Soap-Detoxifying/dp/B0BWPHZQVD/ref=sr_1_1?keywords=Space+Bar+Underarm+Soap&amp;qid=1695258962&amp;sr=8-1</v>
      </c>
      <c r="F1484" t="s">
        <v>3314</v>
      </c>
      <c r="G1484" t="e">
        <f ca="1">IMAGE("https://megababebeauty.com/cdn/shop/products/SpaceBarShapeButtonWhite-01_1080x.png?v=1625153428")</f>
        <v>#NAME?</v>
      </c>
      <c r="H1484" t="e">
        <f ca="1">IMAGE("https://m.media-amazon.com/images/I/81F8Mfjh+qL._AC_UL320_.jpg")</f>
        <v>#NAME?</v>
      </c>
      <c r="I1484" t="s">
        <v>3226</v>
      </c>
      <c r="J1484">
        <v>7.99</v>
      </c>
      <c r="K1484" s="2" t="s">
        <v>3315</v>
      </c>
      <c r="L1484">
        <v>4.5</v>
      </c>
      <c r="M1484">
        <v>493</v>
      </c>
      <c r="O1484" t="s">
        <v>26</v>
      </c>
      <c r="P1484" t="s">
        <v>39</v>
      </c>
      <c r="Q1484" t="s">
        <v>3228</v>
      </c>
    </row>
    <row r="1485" spans="1:17" ht="15.75" x14ac:dyDescent="0.25">
      <c r="A1485" s="3" t="str">
        <f>HYPERLINK("https://megababebeauty.com/collections/all-products/products/le-tush-butt-mask", "https://megababebeauty.com/collections/all-products/products/le-tush-butt-mask")</f>
        <v>https://megababebeauty.com/collections/all-products/products/le-tush-butt-mask</v>
      </c>
      <c r="B1485" s="3" t="str">
        <f>HYPERLINK("https://megababebeauty.com/products/le-tush-butt-mask", "https://megababebeauty.com/products/le-tush-butt-mask")</f>
        <v>https://megababebeauty.com/products/le-tush-butt-mask</v>
      </c>
      <c r="C1485" t="s">
        <v>3316</v>
      </c>
      <c r="D1485" t="s">
        <v>3317</v>
      </c>
      <c r="E1485" s="3" t="str">
        <f>HYPERLINK("https://www.amazon.com/Megababe-Butt-Body-Mask-Exfoliating/dp/B08MV8H1BC/ref=sr_1_1?keywords=Le+Tush+Butt+Mask&amp;qid=1695258970&amp;sr=8-1", "https://www.amazon.com/Megababe-Butt-Body-Mask-Exfoliating/dp/B08MV8H1BC/ref=sr_1_1?keywords=Le+Tush+Butt+Mask&amp;qid=1695258970&amp;sr=8-1")</f>
        <v>https://www.amazon.com/Megababe-Butt-Body-Mask-Exfoliating/dp/B08MV8H1BC/ref=sr_1_1?keywords=Le+Tush+Butt+Mask&amp;qid=1695258970&amp;sr=8-1</v>
      </c>
      <c r="F1485" t="s">
        <v>3318</v>
      </c>
      <c r="G1485" t="e">
        <f ca="1">IMAGE("https://megababebeauty.com/cdn/shop/products/LeTush_allure2022-01_1080x.png?v=1663089267")</f>
        <v>#NAME?</v>
      </c>
      <c r="H1485" t="e">
        <f ca="1">IMAGE("https://m.media-amazon.com/images/I/71VJ4Ia2CgL._AC_UL320_.jpg")</f>
        <v>#NAME?</v>
      </c>
      <c r="I1485" t="s">
        <v>3319</v>
      </c>
      <c r="J1485">
        <v>21.95</v>
      </c>
      <c r="K1485" s="2" t="s">
        <v>3320</v>
      </c>
      <c r="L1485">
        <v>4.3</v>
      </c>
      <c r="M1485">
        <v>94</v>
      </c>
      <c r="O1485" t="s">
        <v>26</v>
      </c>
      <c r="P1485" t="s">
        <v>39</v>
      </c>
      <c r="Q1485" t="s">
        <v>3321</v>
      </c>
    </row>
    <row r="1486" spans="1:17" ht="15.75" x14ac:dyDescent="0.25">
      <c r="A1486" s="3" t="str">
        <f>HYPERLINK("https://megababebeauty.com/collections/all-products/products/magic-powder", "https://megababebeauty.com/collections/all-products/products/magic-powder")</f>
        <v>https://megababebeauty.com/collections/all-products/products/magic-powder</v>
      </c>
      <c r="B1486" s="3" t="str">
        <f>HYPERLINK("https://megababebeauty.com/products/magic-powder", "https://megababebeauty.com/products/magic-powder")</f>
        <v>https://megababebeauty.com/products/magic-powder</v>
      </c>
      <c r="C1486" t="s">
        <v>3249</v>
      </c>
      <c r="D1486" t="s">
        <v>3322</v>
      </c>
      <c r="E1486" s="3" t="str">
        <f>HYPERLINK("https://www.amazon.com/Magic-Shave-Shaving-Powder-Gold-5/dp/B00HDONBX4/ref=sr_1_7?keywords=Magic+Powder&amp;qid=1695258963&amp;sr=8-7", "https://www.amazon.com/Magic-Shave-Shaving-Powder-Gold-5/dp/B00HDONBX4/ref=sr_1_7?keywords=Magic+Powder&amp;qid=1695258963&amp;sr=8-7")</f>
        <v>https://www.amazon.com/Magic-Shave-Shaving-Powder-Gold-5/dp/B00HDONBX4/ref=sr_1_7?keywords=Magic+Powder&amp;qid=1695258963&amp;sr=8-7</v>
      </c>
      <c r="F1486" t="s">
        <v>3323</v>
      </c>
      <c r="G1486" t="e">
        <f ca="1">IMAGE("https://megababebeauty.com/cdn/shop/products/MagicPowderfront_1_1080x.png?v=1655155548")</f>
        <v>#NAME?</v>
      </c>
      <c r="H1486" t="e">
        <f ca="1">IMAGE("https://m.media-amazon.com/images/I/71DzkcXqosL._AC_UL320_.jpg")</f>
        <v>#NAME?</v>
      </c>
      <c r="I1486" t="s">
        <v>394</v>
      </c>
      <c r="J1486">
        <v>15.5</v>
      </c>
      <c r="K1486" s="2" t="s">
        <v>3324</v>
      </c>
      <c r="L1486">
        <v>4.2</v>
      </c>
      <c r="M1486">
        <v>1136</v>
      </c>
      <c r="O1486" t="s">
        <v>26</v>
      </c>
      <c r="P1486" t="s">
        <v>39</v>
      </c>
      <c r="Q1486" t="s">
        <v>3253</v>
      </c>
    </row>
    <row r="1487" spans="1:17" ht="15.75" x14ac:dyDescent="0.25">
      <c r="A1487" s="3" t="str">
        <f>HYPERLINK("https://megababebeauty.com/collections/all-products/products/magic-powder", "https://megababebeauty.com/collections/all-products/products/magic-powder")</f>
        <v>https://megababebeauty.com/collections/all-products/products/magic-powder</v>
      </c>
      <c r="B1487" s="3" t="str">
        <f>HYPERLINK("https://megababebeauty.com/products/magic-powder", "https://megababebeauty.com/products/magic-powder")</f>
        <v>https://megababebeauty.com/products/magic-powder</v>
      </c>
      <c r="C1487" t="s">
        <v>3249</v>
      </c>
      <c r="D1487" t="s">
        <v>3325</v>
      </c>
      <c r="E1487" s="3" t="str">
        <f>HYPERLINK("https://www.amazon.com/Magic-Platinum-Shaving-Powder-Conditioning/dp/B00GMQ2VGC/ref=sr_1_10?keywords=Magic+Powder&amp;qid=1695258963&amp;sr=8-10", "https://www.amazon.com/Magic-Platinum-Shaving-Powder-Conditioning/dp/B00GMQ2VGC/ref=sr_1_10?keywords=Magic+Powder&amp;qid=1695258963&amp;sr=8-10")</f>
        <v>https://www.amazon.com/Magic-Platinum-Shaving-Powder-Conditioning/dp/B00GMQ2VGC/ref=sr_1_10?keywords=Magic+Powder&amp;qid=1695258963&amp;sr=8-10</v>
      </c>
      <c r="F1487" t="s">
        <v>3326</v>
      </c>
      <c r="G1487" t="e">
        <f ca="1">IMAGE("https://megababebeauty.com/cdn/shop/products/MagicPowderfront_1_1080x.png?v=1655155548")</f>
        <v>#NAME?</v>
      </c>
      <c r="H1487" t="e">
        <f ca="1">IMAGE("https://m.media-amazon.com/images/I/71dmRbU3AZL._AC_UL320_.jpg")</f>
        <v>#NAME?</v>
      </c>
      <c r="I1487" t="s">
        <v>394</v>
      </c>
      <c r="J1487">
        <v>15.14</v>
      </c>
      <c r="K1487" s="2" t="s">
        <v>3327</v>
      </c>
      <c r="L1487">
        <v>4.0999999999999996</v>
      </c>
      <c r="M1487">
        <v>302</v>
      </c>
      <c r="O1487" t="s">
        <v>26</v>
      </c>
      <c r="P1487" t="s">
        <v>39</v>
      </c>
      <c r="Q1487" t="s">
        <v>3253</v>
      </c>
    </row>
    <row r="1488" spans="1:17" ht="15.75" x14ac:dyDescent="0.25">
      <c r="A1488" s="3" t="str">
        <f>HYPERLINK("https://megababebeauty.com/collections/all-products/products/night-rescue", "https://megababebeauty.com/collections/all-products/products/night-rescue")</f>
        <v>https://megababebeauty.com/collections/all-products/products/night-rescue</v>
      </c>
      <c r="B1488" s="3" t="str">
        <f>HYPERLINK("https://megababebeauty.com/products/night-rescue", "https://megababebeauty.com/products/night-rescue")</f>
        <v>https://megababebeauty.com/products/night-rescue</v>
      </c>
      <c r="C1488" t="s">
        <v>3215</v>
      </c>
      <c r="D1488" t="s">
        <v>3328</v>
      </c>
      <c r="E1488" s="3" t="str">
        <f>HYPERLINK("https://www.amazon.com/Famadem-2001787-Bach-Rescue-Night/dp/B001F4HEXG/ref=sr_1_3?keywords=Night+Rescue&amp;qid=1695258962&amp;sr=8-3", "https://www.amazon.com/Famadem-2001787-Bach-Rescue-Night/dp/B001F4HEXG/ref=sr_1_3?keywords=Night+Rescue&amp;qid=1695258962&amp;sr=8-3")</f>
        <v>https://www.amazon.com/Famadem-2001787-Bach-Rescue-Night/dp/B001F4HEXG/ref=sr_1_3?keywords=Night+Rescue&amp;qid=1695258962&amp;sr=8-3</v>
      </c>
      <c r="F1488" t="s">
        <v>3329</v>
      </c>
      <c r="G1488" t="e">
        <f ca="1">IMAGE("https://megababebeauty.com/cdn/shop/files/NightRescueBEST2023Button_1080x.png?v=1689860537")</f>
        <v>#NAME?</v>
      </c>
      <c r="H1488" t="e">
        <f ca="1">IMAGE("https://m.media-amazon.com/images/I/71bsq+xg01L._AC_UY218_.jpg")</f>
        <v>#NAME?</v>
      </c>
      <c r="I1488" t="s">
        <v>394</v>
      </c>
      <c r="J1488">
        <v>13.75</v>
      </c>
      <c r="K1488" s="2" t="s">
        <v>3330</v>
      </c>
      <c r="L1488">
        <v>4.3</v>
      </c>
      <c r="M1488">
        <v>2874</v>
      </c>
      <c r="O1488" t="s">
        <v>26</v>
      </c>
      <c r="P1488" t="s">
        <v>39</v>
      </c>
      <c r="Q1488" t="s">
        <v>3219</v>
      </c>
    </row>
    <row r="1489" spans="1:17" ht="15.75" x14ac:dyDescent="0.25">
      <c r="A1489" s="3" t="str">
        <f>HYPERLINK("https://megababebeauty.com/collections/all-products/products/rosy-pits", "https://megababebeauty.com/collections/all-products/products/rosy-pits")</f>
        <v>https://megababebeauty.com/collections/all-products/products/rosy-pits</v>
      </c>
      <c r="B1489" s="3" t="str">
        <f>HYPERLINK("https://megababebeauty.com/products/rosy-pits", "https://megababebeauty.com/products/rosy-pits")</f>
        <v>https://megababebeauty.com/products/rosy-pits</v>
      </c>
      <c r="C1489" t="s">
        <v>3236</v>
      </c>
      <c r="D1489" t="s">
        <v>3331</v>
      </c>
      <c r="E1489" s="3" t="str">
        <f>HYPERLINK("https://www.amazon.com/Rosy-Pits-Deodorant-Girls-Ingredients-Aluminum-Free/dp/B08F5K969V/ref=sr_1_4?keywords=Rosy+Pits&amp;qid=1695258962&amp;sr=8-4", "https://www.amazon.com/Rosy-Pits-Deodorant-Girls-Ingredients-Aluminum-Free/dp/B08F5K969V/ref=sr_1_4?keywords=Rosy+Pits&amp;qid=1695258962&amp;sr=8-4")</f>
        <v>https://www.amazon.com/Rosy-Pits-Deodorant-Girls-Ingredients-Aluminum-Free/dp/B08F5K969V/ref=sr_1_4?keywords=Rosy+Pits&amp;qid=1695258962&amp;sr=8-4</v>
      </c>
      <c r="F1489" t="s">
        <v>3332</v>
      </c>
      <c r="G1489" t="e">
        <f ca="1">IMAGE("https://megababebeauty.com/cdn/shop/products/RosyproductPage_1_1080x.png?v=1649717895")</f>
        <v>#NAME?</v>
      </c>
      <c r="H1489" t="e">
        <f ca="1">IMAGE("https://m.media-amazon.com/images/I/61tFc73ZvKL._AC_UL320_.jpg")</f>
        <v>#NAME?</v>
      </c>
      <c r="I1489" t="s">
        <v>428</v>
      </c>
      <c r="J1489">
        <v>10.99</v>
      </c>
      <c r="K1489" s="2" t="s">
        <v>3333</v>
      </c>
      <c r="L1489">
        <v>4.4000000000000004</v>
      </c>
      <c r="M1489">
        <v>180</v>
      </c>
      <c r="O1489" t="s">
        <v>26</v>
      </c>
      <c r="P1489" t="s">
        <v>39</v>
      </c>
      <c r="Q1489" t="s">
        <v>3238</v>
      </c>
    </row>
    <row r="1490" spans="1:17" ht="15.75" x14ac:dyDescent="0.25">
      <c r="A1490" s="3" t="str">
        <f>HYPERLINK("https://megababebeauty.com/collections/all-products/products/magic-powder", "https://megababebeauty.com/collections/all-products/products/magic-powder")</f>
        <v>https://megababebeauty.com/collections/all-products/products/magic-powder</v>
      </c>
      <c r="B1490" s="3" t="str">
        <f>HYPERLINK("https://megababebeauty.com/products/magic-powder", "https://megababebeauty.com/products/magic-powder")</f>
        <v>https://megababebeauty.com/products/magic-powder</v>
      </c>
      <c r="C1490" t="s">
        <v>3249</v>
      </c>
      <c r="D1490" t="s">
        <v>3334</v>
      </c>
      <c r="E1490" s="3" t="str">
        <f>HYPERLINK("https://www.amazon.com/Magic-Shaving-Powder-X-Strength-Depilatory/dp/B00NFVH0ZY/ref=sr_1_3?keywords=Magic+Powder&amp;qid=1695258963&amp;sr=8-3", "https://www.amazon.com/Magic-Shaving-Powder-X-Strength-Depilatory/dp/B00NFVH0ZY/ref=sr_1_3?keywords=Magic+Powder&amp;qid=1695258963&amp;sr=8-3")</f>
        <v>https://www.amazon.com/Magic-Shaving-Powder-X-Strength-Depilatory/dp/B00NFVH0ZY/ref=sr_1_3?keywords=Magic+Powder&amp;qid=1695258963&amp;sr=8-3</v>
      </c>
      <c r="F1490" t="s">
        <v>3335</v>
      </c>
      <c r="G1490" t="e">
        <f ca="1">IMAGE("https://megababebeauty.com/cdn/shop/products/MagicPowderfront_1_1080x.png?v=1655155548")</f>
        <v>#NAME?</v>
      </c>
      <c r="H1490" t="e">
        <f ca="1">IMAGE("https://m.media-amazon.com/images/I/91bY9NvbTFL._AC_UL320_.jpg")</f>
        <v>#NAME?</v>
      </c>
      <c r="I1490" t="s">
        <v>394</v>
      </c>
      <c r="J1490">
        <v>9.98</v>
      </c>
      <c r="K1490" s="2" t="s">
        <v>3336</v>
      </c>
      <c r="L1490">
        <v>4</v>
      </c>
      <c r="M1490">
        <v>5830</v>
      </c>
      <c r="O1490" t="s">
        <v>26</v>
      </c>
      <c r="P1490" t="s">
        <v>39</v>
      </c>
      <c r="Q1490" t="s">
        <v>3253</v>
      </c>
    </row>
    <row r="1491" spans="1:17" ht="15.75" x14ac:dyDescent="0.25">
      <c r="A1491" s="3" t="str">
        <f>HYPERLINK("https://megababebeauty.com/collections/all-products/products/magic-powder", "https://megababebeauty.com/collections/all-products/products/magic-powder")</f>
        <v>https://megababebeauty.com/collections/all-products/products/magic-powder</v>
      </c>
      <c r="B1491" s="3" t="str">
        <f>HYPERLINK("https://megababebeauty.com/products/magic-powder", "https://megababebeauty.com/products/magic-powder")</f>
        <v>https://megababebeauty.com/products/magic-powder</v>
      </c>
      <c r="C1491" t="s">
        <v>3249</v>
      </c>
      <c r="D1491" t="s">
        <v>3337</v>
      </c>
      <c r="E1491" s="3" t="str">
        <f>HYPERLINK("https://www.amazon.com/Magic-Platinum-Shaving-Powder-Conditioning/dp/B00NFVGZIC/ref=sr_1_6?keywords=Magic+Powder&amp;qid=1695258963&amp;sr=8-6", "https://www.amazon.com/Magic-Platinum-Shaving-Powder-Conditioning/dp/B00NFVGZIC/ref=sr_1_6?keywords=Magic+Powder&amp;qid=1695258963&amp;sr=8-6")</f>
        <v>https://www.amazon.com/Magic-Platinum-Shaving-Powder-Conditioning/dp/B00NFVGZIC/ref=sr_1_6?keywords=Magic+Powder&amp;qid=1695258963&amp;sr=8-6</v>
      </c>
      <c r="F1491" t="s">
        <v>3338</v>
      </c>
      <c r="G1491" t="e">
        <f ca="1">IMAGE("https://megababebeauty.com/cdn/shop/products/MagicPowderfront_1_1080x.png?v=1655155548")</f>
        <v>#NAME?</v>
      </c>
      <c r="H1491" t="e">
        <f ca="1">IMAGE("https://m.media-amazon.com/images/I/81eTToQnw3L._AC_UL320_.jpg")</f>
        <v>#NAME?</v>
      </c>
      <c r="I1491" t="s">
        <v>394</v>
      </c>
      <c r="J1491">
        <v>8.99</v>
      </c>
      <c r="K1491" s="2" t="s">
        <v>3339</v>
      </c>
      <c r="L1491">
        <v>4.0999999999999996</v>
      </c>
      <c r="M1491">
        <v>459</v>
      </c>
      <c r="O1491" t="s">
        <v>26</v>
      </c>
      <c r="P1491" t="s">
        <v>39</v>
      </c>
      <c r="Q1491" t="s">
        <v>3253</v>
      </c>
    </row>
    <row r="1492" spans="1:17" ht="15.75" x14ac:dyDescent="0.25">
      <c r="A1492" s="3" t="str">
        <f>HYPERLINK("https://megababebeauty.com/collections/all-products/products/le-tush-butt-mask", "https://megababebeauty.com/collections/all-products/products/le-tush-butt-mask")</f>
        <v>https://megababebeauty.com/collections/all-products/products/le-tush-butt-mask</v>
      </c>
      <c r="B1492" s="3" t="str">
        <f>HYPERLINK("https://megababebeauty.com/products/le-tush-butt-mask", "https://megababebeauty.com/products/le-tush-butt-mask")</f>
        <v>https://megababebeauty.com/products/le-tush-butt-mask</v>
      </c>
      <c r="C1492" t="s">
        <v>3316</v>
      </c>
      <c r="D1492" t="s">
        <v>3340</v>
      </c>
      <c r="E1492" s="3" t="str">
        <f>HYPERLINK("https://www.amazon.com/BAWDY-Slap-Caffeine-Retexturizing-Detoxifying/dp/B07DYCFJ32/ref=sr_1_3?keywords=Le+Tush+Butt+Mask&amp;qid=1695258970&amp;sr=8-3", "https://www.amazon.com/BAWDY-Slap-Caffeine-Retexturizing-Detoxifying/dp/B07DYCFJ32/ref=sr_1_3?keywords=Le+Tush+Butt+Mask&amp;qid=1695258970&amp;sr=8-3")</f>
        <v>https://www.amazon.com/BAWDY-Slap-Caffeine-Retexturizing-Detoxifying/dp/B07DYCFJ32/ref=sr_1_3?keywords=Le+Tush+Butt+Mask&amp;qid=1695258970&amp;sr=8-3</v>
      </c>
      <c r="F1492" t="s">
        <v>3341</v>
      </c>
      <c r="G1492" t="e">
        <f ca="1">IMAGE("https://megababebeauty.com/cdn/shop/products/LeTush_allure2022-01_1080x.png?v=1663089267")</f>
        <v>#NAME?</v>
      </c>
      <c r="H1492" t="e">
        <f ca="1">IMAGE("https://m.media-amazon.com/images/I/5141leBvFtS._AC_UL320_.jpg")</f>
        <v>#NAME?</v>
      </c>
      <c r="I1492" t="s">
        <v>3319</v>
      </c>
      <c r="J1492">
        <v>9.99</v>
      </c>
      <c r="K1492" s="2" t="s">
        <v>3342</v>
      </c>
      <c r="L1492">
        <v>4.5</v>
      </c>
      <c r="M1492">
        <v>580</v>
      </c>
      <c r="O1492" t="s">
        <v>26</v>
      </c>
      <c r="P1492" t="s">
        <v>39</v>
      </c>
      <c r="Q1492" t="s">
        <v>3321</v>
      </c>
    </row>
    <row r="1493" spans="1:17" ht="15.75" x14ac:dyDescent="0.25">
      <c r="A1493" s="3" t="str">
        <f>HYPERLINK("https://megababebeauty.com/collections/all-products/products/le-tush-butt-mask", "https://megababebeauty.com/collections/all-products/products/le-tush-butt-mask")</f>
        <v>https://megababebeauty.com/collections/all-products/products/le-tush-butt-mask</v>
      </c>
      <c r="B1493" s="3" t="str">
        <f>HYPERLINK("https://megababebeauty.com/products/le-tush-butt-mask", "https://megababebeauty.com/products/le-tush-butt-mask")</f>
        <v>https://megababebeauty.com/products/le-tush-butt-mask</v>
      </c>
      <c r="C1493" t="s">
        <v>3316</v>
      </c>
      <c r="D1493" t="s">
        <v>3343</v>
      </c>
      <c r="E1493" s="3" t="str">
        <f>HYPERLINK("https://www.amazon.com/BAWDY-Bite-Collagen-Hydrating-Toning/dp/B07DYD1KGK/ref=sr_1_4?keywords=Le+Tush+Butt+Mask&amp;qid=1695258970&amp;sr=8-4", "https://www.amazon.com/BAWDY-Bite-Collagen-Hydrating-Toning/dp/B07DYD1KGK/ref=sr_1_4?keywords=Le+Tush+Butt+Mask&amp;qid=1695258970&amp;sr=8-4")</f>
        <v>https://www.amazon.com/BAWDY-Bite-Collagen-Hydrating-Toning/dp/B07DYD1KGK/ref=sr_1_4?keywords=Le+Tush+Butt+Mask&amp;qid=1695258970&amp;sr=8-4</v>
      </c>
      <c r="F1493" t="s">
        <v>3344</v>
      </c>
      <c r="G1493" t="e">
        <f ca="1">IMAGE("https://megababebeauty.com/cdn/shop/products/LeTush_allure2022-01_1080x.png?v=1663089267")</f>
        <v>#NAME?</v>
      </c>
      <c r="H1493" t="e">
        <f ca="1">IMAGE("https://m.media-amazon.com/images/I/51J9yOzQmfS._AC_UL320_.jpg")</f>
        <v>#NAME?</v>
      </c>
      <c r="I1493" t="s">
        <v>3319</v>
      </c>
      <c r="J1493">
        <v>9.99</v>
      </c>
      <c r="K1493" s="2" t="s">
        <v>3342</v>
      </c>
      <c r="L1493">
        <v>4.5</v>
      </c>
      <c r="M1493">
        <v>397</v>
      </c>
      <c r="O1493" t="s">
        <v>26</v>
      </c>
      <c r="P1493" t="s">
        <v>39</v>
      </c>
      <c r="Q1493" t="s">
        <v>3321</v>
      </c>
    </row>
    <row r="1494" spans="1:17" ht="15.75" x14ac:dyDescent="0.25">
      <c r="A1494" s="3" t="str">
        <f>HYPERLINK("https://megababebeauty.com/collections/all-products/products/le-tush-butt-mask", "https://megababebeauty.com/collections/all-products/products/le-tush-butt-mask")</f>
        <v>https://megababebeauty.com/collections/all-products/products/le-tush-butt-mask</v>
      </c>
      <c r="B1494" s="3" t="str">
        <f>HYPERLINK("https://megababebeauty.com/products/le-tush-butt-mask", "https://megababebeauty.com/products/le-tush-butt-mask")</f>
        <v>https://megababebeauty.com/products/le-tush-butt-mask</v>
      </c>
      <c r="C1494" t="s">
        <v>3316</v>
      </c>
      <c r="D1494" t="s">
        <v>3345</v>
      </c>
      <c r="E1494" s="3" t="str">
        <f>HYPERLINK("https://www.amazon.com/BAWDY-Shake-Marine-Firming-Illuminating/dp/B07DYG44KC/ref=sr_1_7?keywords=Le+Tush+Butt+Mask&amp;qid=1695258970&amp;sr=8-7", "https://www.amazon.com/BAWDY-Shake-Marine-Firming-Illuminating/dp/B07DYG44KC/ref=sr_1_7?keywords=Le+Tush+Butt+Mask&amp;qid=1695258970&amp;sr=8-7")</f>
        <v>https://www.amazon.com/BAWDY-Shake-Marine-Firming-Illuminating/dp/B07DYG44KC/ref=sr_1_7?keywords=Le+Tush+Butt+Mask&amp;qid=1695258970&amp;sr=8-7</v>
      </c>
      <c r="F1494" t="s">
        <v>3346</v>
      </c>
      <c r="G1494" t="e">
        <f ca="1">IMAGE("https://megababebeauty.com/cdn/shop/products/LeTush_allure2022-01_1080x.png?v=1663089267")</f>
        <v>#NAME?</v>
      </c>
      <c r="H1494" t="e">
        <f ca="1">IMAGE("https://m.media-amazon.com/images/I/51V3nD0X-nS._AC_UL320_.jpg")</f>
        <v>#NAME?</v>
      </c>
      <c r="I1494" t="s">
        <v>3319</v>
      </c>
      <c r="J1494">
        <v>9.99</v>
      </c>
      <c r="K1494" s="2" t="s">
        <v>3342</v>
      </c>
      <c r="L1494">
        <v>4.5</v>
      </c>
      <c r="M1494">
        <v>324</v>
      </c>
      <c r="O1494" t="s">
        <v>26</v>
      </c>
      <c r="P1494" t="s">
        <v>39</v>
      </c>
      <c r="Q1494" t="s">
        <v>3321</v>
      </c>
    </row>
    <row r="1495" spans="1:17" ht="15.75" x14ac:dyDescent="0.25">
      <c r="A1495" s="3" t="str">
        <f>HYPERLINK("https://megababebeauty.com/collections/all-products/products/le-tush-butt-mask", "https://megababebeauty.com/collections/all-products/products/le-tush-butt-mask")</f>
        <v>https://megababebeauty.com/collections/all-products/products/le-tush-butt-mask</v>
      </c>
      <c r="B1495" s="3" t="str">
        <f>HYPERLINK("https://megababebeauty.com/products/le-tush-butt-mask", "https://megababebeauty.com/products/le-tush-butt-mask")</f>
        <v>https://megababebeauty.com/products/le-tush-butt-mask</v>
      </c>
      <c r="C1495" t="s">
        <v>3316</v>
      </c>
      <c r="D1495" t="s">
        <v>3347</v>
      </c>
      <c r="E1495" s="3" t="str">
        <f>HYPERLINK("https://www.amazon.com/BAWDY-Squeeze-Citrus-Brightening-Rejuvenating/dp/B07DY84LJ7/ref=sr_1_9?keywords=Le+Tush+Butt+Mask&amp;qid=1695258970&amp;sr=8-9", "https://www.amazon.com/BAWDY-Squeeze-Citrus-Brightening-Rejuvenating/dp/B07DY84LJ7/ref=sr_1_9?keywords=Le+Tush+Butt+Mask&amp;qid=1695258970&amp;sr=8-9")</f>
        <v>https://www.amazon.com/BAWDY-Squeeze-Citrus-Brightening-Rejuvenating/dp/B07DY84LJ7/ref=sr_1_9?keywords=Le+Tush+Butt+Mask&amp;qid=1695258970&amp;sr=8-9</v>
      </c>
      <c r="F1495" t="s">
        <v>3348</v>
      </c>
      <c r="G1495" t="e">
        <f ca="1">IMAGE("https://megababebeauty.com/cdn/shop/products/LeTush_allure2022-01_1080x.png?v=1663089267")</f>
        <v>#NAME?</v>
      </c>
      <c r="H1495" t="e">
        <f ca="1">IMAGE("https://m.media-amazon.com/images/I/51r322-94bS._AC_UL320_.jpg")</f>
        <v>#NAME?</v>
      </c>
      <c r="I1495" t="s">
        <v>3319</v>
      </c>
      <c r="J1495">
        <v>9.99</v>
      </c>
      <c r="K1495" s="2" t="s">
        <v>3342</v>
      </c>
      <c r="L1495">
        <v>4.5</v>
      </c>
      <c r="M1495">
        <v>364</v>
      </c>
      <c r="O1495" t="s">
        <v>26</v>
      </c>
      <c r="P1495" t="s">
        <v>39</v>
      </c>
      <c r="Q1495" t="s">
        <v>3321</v>
      </c>
    </row>
    <row r="1496" spans="1:17" ht="15.75" x14ac:dyDescent="0.25">
      <c r="A1496" s="3" t="str">
        <f>HYPERLINK("https://megababebeauty.com/collections/all-products/products/magic-powder", "https://megababebeauty.com/collections/all-products/products/magic-powder")</f>
        <v>https://megababebeauty.com/collections/all-products/products/magic-powder</v>
      </c>
      <c r="B1496" s="3" t="str">
        <f>HYPERLINK("https://megababebeauty.com/products/magic-powder", "https://megababebeauty.com/products/magic-powder")</f>
        <v>https://megababebeauty.com/products/magic-powder</v>
      </c>
      <c r="C1496" t="s">
        <v>3249</v>
      </c>
      <c r="D1496" t="s">
        <v>3349</v>
      </c>
      <c r="E1496" s="3" t="str">
        <f>HYPERLINK("https://www.amazon.com/Magic-Shave-Powder-Platinum-Size/dp/B00E0H2FB6/ref=sr_1_4?keywords=Magic+Powder&amp;qid=1695258963&amp;sr=8-4", "https://www.amazon.com/Magic-Shave-Powder-Platinum-Size/dp/B00E0H2FB6/ref=sr_1_4?keywords=Magic+Powder&amp;qid=1695258963&amp;sr=8-4")</f>
        <v>https://www.amazon.com/Magic-Shave-Powder-Platinum-Size/dp/B00E0H2FB6/ref=sr_1_4?keywords=Magic+Powder&amp;qid=1695258963&amp;sr=8-4</v>
      </c>
      <c r="F1496" t="s">
        <v>3350</v>
      </c>
      <c r="G1496" t="e">
        <f ca="1">IMAGE("https://megababebeauty.com/cdn/shop/products/MagicPowderfront_1_1080x.png?v=1655155548")</f>
        <v>#NAME?</v>
      </c>
      <c r="H1496" t="e">
        <f ca="1">IMAGE("https://m.media-amazon.com/images/I/515dnVykABL._AC_UL320_.jpg")</f>
        <v>#NAME?</v>
      </c>
      <c r="I1496" t="s">
        <v>394</v>
      </c>
      <c r="J1496">
        <v>6.9</v>
      </c>
      <c r="K1496" s="2" t="s">
        <v>3351</v>
      </c>
      <c r="L1496">
        <v>3.9</v>
      </c>
      <c r="M1496">
        <v>1861</v>
      </c>
      <c r="O1496" t="s">
        <v>26</v>
      </c>
      <c r="P1496" t="s">
        <v>39</v>
      </c>
      <c r="Q1496" t="s">
        <v>3253</v>
      </c>
    </row>
    <row r="1497" spans="1:17" ht="15.75" x14ac:dyDescent="0.25">
      <c r="A1497" s="3" t="str">
        <f>HYPERLINK("https://megababebeauty.com/collections/all-products/products/magic-powder", "https://megababebeauty.com/collections/all-products/products/magic-powder")</f>
        <v>https://megababebeauty.com/collections/all-products/products/magic-powder</v>
      </c>
      <c r="B1497" s="3" t="str">
        <f>HYPERLINK("https://megababebeauty.com/products/magic-powder", "https://megababebeauty.com/products/magic-powder")</f>
        <v>https://megababebeauty.com/products/magic-powder</v>
      </c>
      <c r="C1497" t="s">
        <v>3249</v>
      </c>
      <c r="D1497" t="s">
        <v>3352</v>
      </c>
      <c r="E1497" s="3" t="str">
        <f>HYPERLINK("https://www.amazon.com/Carson-Magic-Regular-Strength-Shaving/dp/B01GR1ZPUU/ref=sr_1_9?keywords=Magic+Powder&amp;qid=1695258963&amp;sr=8-9", "https://www.amazon.com/Carson-Magic-Regular-Strength-Shaving/dp/B01GR1ZPUU/ref=sr_1_9?keywords=Magic+Powder&amp;qid=1695258963&amp;sr=8-9")</f>
        <v>https://www.amazon.com/Carson-Magic-Regular-Strength-Shaving/dp/B01GR1ZPUU/ref=sr_1_9?keywords=Magic+Powder&amp;qid=1695258963&amp;sr=8-9</v>
      </c>
      <c r="F1497" t="s">
        <v>3353</v>
      </c>
      <c r="G1497" t="e">
        <f ca="1">IMAGE("https://megababebeauty.com/cdn/shop/products/MagicPowderfront_1_1080x.png?v=1655155548")</f>
        <v>#NAME?</v>
      </c>
      <c r="H1497" t="e">
        <f ca="1">IMAGE("https://m.media-amazon.com/images/I/71QdQcdRQmL._AC_UL320_.jpg")</f>
        <v>#NAME?</v>
      </c>
      <c r="I1497" t="s">
        <v>394</v>
      </c>
      <c r="J1497">
        <v>6.6</v>
      </c>
      <c r="K1497" s="2" t="s">
        <v>3354</v>
      </c>
      <c r="L1497">
        <v>3.7</v>
      </c>
      <c r="M1497">
        <v>1532</v>
      </c>
      <c r="O1497" t="s">
        <v>26</v>
      </c>
      <c r="P1497" t="s">
        <v>39</v>
      </c>
      <c r="Q1497" t="s">
        <v>3253</v>
      </c>
    </row>
    <row r="1498" spans="1:17" ht="15.75" x14ac:dyDescent="0.25">
      <c r="A1498" s="3" t="str">
        <f>HYPERLINK("https://megababebeauty.com/collections/all-products/products/magic-powder", "https://megababebeauty.com/collections/all-products/products/magic-powder")</f>
        <v>https://megababebeauty.com/collections/all-products/products/magic-powder</v>
      </c>
      <c r="B1498" s="3" t="str">
        <f>HYPERLINK("https://megababebeauty.com/products/magic-powder", "https://megababebeauty.com/products/magic-powder")</f>
        <v>https://megababebeauty.com/products/magic-powder</v>
      </c>
      <c r="C1498" t="s">
        <v>3249</v>
      </c>
      <c r="D1498" t="s">
        <v>3355</v>
      </c>
      <c r="E1498" s="3" t="str">
        <f>HYPERLINK("https://www.amazon.com/SoftSheen-Carson-Magic-Strength-Shaving-Powder/dp/B00CREUEV2/ref=sr_1_2?keywords=Magic+Powder&amp;qid=1695258963&amp;sr=8-2", "https://www.amazon.com/SoftSheen-Carson-Magic-Strength-Shaving-Powder/dp/B00CREUEV2/ref=sr_1_2?keywords=Magic+Powder&amp;qid=1695258963&amp;sr=8-2")</f>
        <v>https://www.amazon.com/SoftSheen-Carson-Magic-Strength-Shaving-Powder/dp/B00CREUEV2/ref=sr_1_2?keywords=Magic+Powder&amp;qid=1695258963&amp;sr=8-2</v>
      </c>
      <c r="F1498" t="s">
        <v>3356</v>
      </c>
      <c r="G1498" t="e">
        <f ca="1">IMAGE("https://megababebeauty.com/cdn/shop/products/MagicPowderfront_1_1080x.png?v=1655155548")</f>
        <v>#NAME?</v>
      </c>
      <c r="H1498" t="e">
        <f ca="1">IMAGE("https://m.media-amazon.com/images/I/910viJe1PSL._AC_UL320_.jpg")</f>
        <v>#NAME?</v>
      </c>
      <c r="I1498" t="s">
        <v>394</v>
      </c>
      <c r="J1498">
        <v>5.99</v>
      </c>
      <c r="K1498" s="2" t="s">
        <v>3357</v>
      </c>
      <c r="L1498">
        <v>3.9</v>
      </c>
      <c r="M1498">
        <v>36069</v>
      </c>
      <c r="O1498" t="s">
        <v>26</v>
      </c>
      <c r="P1498" t="s">
        <v>39</v>
      </c>
      <c r="Q1498" t="s">
        <v>3253</v>
      </c>
    </row>
    <row r="1499" spans="1:17" ht="15.75" x14ac:dyDescent="0.25">
      <c r="A1499" s="3" t="str">
        <f>HYPERLINK("https://megababebeauty.com/collections/all-products/products/night-rescue", "https://megababebeauty.com/collections/all-products/products/night-rescue")</f>
        <v>https://megababebeauty.com/collections/all-products/products/night-rescue</v>
      </c>
      <c r="B1499" s="3" t="str">
        <f>HYPERLINK("https://megababebeauty.com/products/night-rescue", "https://megababebeauty.com/products/night-rescue")</f>
        <v>https://megababebeauty.com/products/night-rescue</v>
      </c>
      <c r="C1499" t="s">
        <v>3215</v>
      </c>
      <c r="D1499" t="s">
        <v>3358</v>
      </c>
      <c r="E1499" s="3" t="str">
        <f>HYPERLINK("https://www.amazon.com/Alone-Night-Pet-Rescue-Adventures/dp/1680104098/ref=sr_1_4?keywords=Night+Rescue&amp;qid=1695258962&amp;sr=8-4", "https://www.amazon.com/Alone-Night-Pet-Rescue-Adventures/dp/1680104098/ref=sr_1_4?keywords=Night+Rescue&amp;qid=1695258962&amp;sr=8-4")</f>
        <v>https://www.amazon.com/Alone-Night-Pet-Rescue-Adventures/dp/1680104098/ref=sr_1_4?keywords=Night+Rescue&amp;qid=1695258962&amp;sr=8-4</v>
      </c>
      <c r="F1499" t="s">
        <v>3359</v>
      </c>
      <c r="G1499" t="e">
        <f ca="1">IMAGE("https://megababebeauty.com/cdn/shop/files/NightRescueBEST2023Button_1080x.png?v=1689860537")</f>
        <v>#NAME?</v>
      </c>
      <c r="H1499" t="e">
        <f ca="1">IMAGE("https://m.media-amazon.com/images/I/91OfbHYrxIL._AC_UY218_.jpg")</f>
        <v>#NAME?</v>
      </c>
      <c r="I1499" t="s">
        <v>394</v>
      </c>
      <c r="J1499">
        <v>4.99</v>
      </c>
      <c r="K1499" s="2" t="s">
        <v>3360</v>
      </c>
      <c r="L1499">
        <v>4.7</v>
      </c>
      <c r="M1499">
        <v>96</v>
      </c>
      <c r="O1499" t="s">
        <v>26</v>
      </c>
      <c r="P1499" t="s">
        <v>39</v>
      </c>
      <c r="Q1499" t="s">
        <v>3219</v>
      </c>
    </row>
    <row r="1500" spans="1:17" ht="15.75" x14ac:dyDescent="0.25">
      <c r="A1500" s="3" t="str">
        <f>HYPERLINK("https://megababebeauty.com/collections/all-products/products/magic-powder", "https://megababebeauty.com/collections/all-products/products/magic-powder")</f>
        <v>https://megababebeauty.com/collections/all-products/products/magic-powder</v>
      </c>
      <c r="B1500" s="3" t="str">
        <f>HYPERLINK("https://megababebeauty.com/products/magic-powder", "https://megababebeauty.com/products/magic-powder")</f>
        <v>https://megababebeauty.com/products/magic-powder</v>
      </c>
      <c r="C1500" t="s">
        <v>3249</v>
      </c>
      <c r="D1500" t="s">
        <v>3361</v>
      </c>
      <c r="E1500" s="3" t="str">
        <f>HYPERLINK("https://www.amazon.com/SoftSheen-Carson-Razorless-Fragrance-Formulated-Depilatory/dp/B0048ZIFA0/ref=sr_1_1?keywords=Magic+Powder&amp;qid=1695258963&amp;sr=8-1", "https://www.amazon.com/SoftSheen-Carson-Razorless-Fragrance-Formulated-Depilatory/dp/B0048ZIFA0/ref=sr_1_1?keywords=Magic+Powder&amp;qid=1695258963&amp;sr=8-1")</f>
        <v>https://www.amazon.com/SoftSheen-Carson-Razorless-Fragrance-Formulated-Depilatory/dp/B0048ZIFA0/ref=sr_1_1?keywords=Magic+Powder&amp;qid=1695258963&amp;sr=8-1</v>
      </c>
      <c r="F1500" t="s">
        <v>3362</v>
      </c>
      <c r="G1500" t="e">
        <f ca="1">IMAGE("https://megababebeauty.com/cdn/shop/products/MagicPowderfront_1_1080x.png?v=1655155548")</f>
        <v>#NAME?</v>
      </c>
      <c r="H1500" t="e">
        <f ca="1">IMAGE("https://m.media-amazon.com/images/I/81tAN631yZL._AC_UL320_.jpg")</f>
        <v>#NAME?</v>
      </c>
      <c r="I1500" t="s">
        <v>394</v>
      </c>
      <c r="J1500">
        <v>2.77</v>
      </c>
      <c r="K1500" s="2" t="s">
        <v>3363</v>
      </c>
      <c r="L1500">
        <v>4</v>
      </c>
      <c r="M1500">
        <v>22398</v>
      </c>
      <c r="O1500" t="s">
        <v>26</v>
      </c>
      <c r="P1500" t="s">
        <v>39</v>
      </c>
      <c r="Q1500" t="s">
        <v>3253</v>
      </c>
    </row>
    <row r="1501" spans="1:17" ht="15.75" x14ac:dyDescent="0.25">
      <c r="A1501" s="3" t="str">
        <f>HYPERLINK("https://mineralandmatter.com/collections/home-goods/products/our-dining-table-large-contemporary-geometry-design-iridescent", "https://mineralandmatter.com/collections/home-goods/products/our-dining-table-large-contemporary-geometry-design-iridescent")</f>
        <v>https://mineralandmatter.com/collections/home-goods/products/our-dining-table-large-contemporary-geometry-design-iridescent</v>
      </c>
      <c r="B1501" s="3" t="str">
        <f>HYPERLINK("https://mineralandmatter.com/products/our-dining-table-large-contemporary-geometry-design-iridescent", "https://mineralandmatter.com/products/our-dining-table-large-contemporary-geometry-design-iridescent")</f>
        <v>https://mineralandmatter.com/products/our-dining-table-large-contemporary-geometry-design-iridescent</v>
      </c>
      <c r="C1501" t="s">
        <v>3364</v>
      </c>
      <c r="D1501" t="s">
        <v>3365</v>
      </c>
      <c r="E1501" s="3" t="str">
        <f>HYPERLINK("https://www.amazon.com/Signature-Design-Ashley-Barchoni-Contemporary/dp/B0BV7XW1VM/ref=sr_1_7?keywords=Our+Dining+Table+Contemporary+Geometry+Design+Glass&amp;qid=1695259049&amp;sr=8-7", "https://www.amazon.com/Signature-Design-Ashley-Barchoni-Contemporary/dp/B0BV7XW1VM/ref=sr_1_7?keywords=Our+Dining+Table+Contemporary+Geometry+Design+Glass&amp;qid=1695259049&amp;sr=8-7")</f>
        <v>https://www.amazon.com/Signature-Design-Ashley-Barchoni-Contemporary/dp/B0BV7XW1VM/ref=sr_1_7?keywords=Our+Dining+Table+Contemporary+Geometry+Design+Glass&amp;qid=1695259049&amp;sr=8-7</v>
      </c>
      <c r="F1501" t="s">
        <v>3366</v>
      </c>
      <c r="G1501" t="e">
        <f ca="1">IMAGE("https://mineralandmatter.com/cdn/shop/products/b64502bb74b1f16eeec5eadd1fa103e9c1ec7d2b4522418b16f1019c31542c47_1080x.jpg?v=1683754835")</f>
        <v>#NAME?</v>
      </c>
      <c r="H1501" t="e">
        <f ca="1">IMAGE("https://m.media-amazon.com/images/I/51bH2OvqS-L._AC_UL320_.jpg")</f>
        <v>#NAME?</v>
      </c>
      <c r="I1501" t="s">
        <v>3367</v>
      </c>
      <c r="J1501">
        <v>349.99</v>
      </c>
      <c r="K1501" s="2" t="s">
        <v>3368</v>
      </c>
      <c r="L1501">
        <v>5</v>
      </c>
      <c r="M1501">
        <v>2</v>
      </c>
      <c r="O1501" t="s">
        <v>26</v>
      </c>
      <c r="P1501" t="s">
        <v>39</v>
      </c>
      <c r="Q1501" t="s">
        <v>3369</v>
      </c>
    </row>
    <row r="1502" spans="1:17" ht="15.75" x14ac:dyDescent="0.25">
      <c r="A1502" s="3" t="str">
        <f>HYPERLINK("https://mineralandmatter.com/collections/home-goods/products/jk-rose-quartz-candle", "https://mineralandmatter.com/collections/home-goods/products/jk-rose-quartz-candle")</f>
        <v>https://mineralandmatter.com/collections/home-goods/products/jk-rose-quartz-candle</v>
      </c>
      <c r="B1502" s="3" t="str">
        <f>HYPERLINK("https://mineralandmatter.com/products/jk-rose-quartz-candle", "https://mineralandmatter.com/products/jk-rose-quartz-candle")</f>
        <v>https://mineralandmatter.com/products/jk-rose-quartz-candle</v>
      </c>
      <c r="C1502" t="s">
        <v>3370</v>
      </c>
      <c r="D1502" t="s">
        <v>3371</v>
      </c>
      <c r="E1502" s="3" t="str">
        <f>HYPERLINK("https://www.amazon.com/Manifestation-Abundance-Obsidian-Meditation-Crystals/dp/B0C4C2R2MR/ref=sr_1_8?keywords=JaxKelly+Rose+Quartz+Candle&amp;qid=1695259020&amp;sr=8-8", "https://www.amazon.com/Manifestation-Abundance-Obsidian-Meditation-Crystals/dp/B0C4C2R2MR/ref=sr_1_8?keywords=JaxKelly+Rose+Quartz+Candle&amp;qid=1695259020&amp;sr=8-8")</f>
        <v>https://www.amazon.com/Manifestation-Abundance-Obsidian-Meditation-Crystals/dp/B0C4C2R2MR/ref=sr_1_8?keywords=JaxKelly+Rose+Quartz+Candle&amp;qid=1695259020&amp;sr=8-8</v>
      </c>
      <c r="F1502" t="s">
        <v>3372</v>
      </c>
      <c r="G1502" t="e">
        <f ca="1">IMAGE("http://mineralandmatter.com/cdn/shop/products/JXCandle.Rose_1200x1200.gif?v=1584995440")</f>
        <v>#NAME?</v>
      </c>
      <c r="H1502" t="e">
        <f ca="1">IMAGE("https://m.media-amazon.com/images/I/61la3K1pjQL._AC_UL320_.jpg")</f>
        <v>#NAME?</v>
      </c>
      <c r="I1502" t="s">
        <v>3373</v>
      </c>
      <c r="J1502">
        <v>29.95</v>
      </c>
      <c r="K1502" s="2" t="s">
        <v>3374</v>
      </c>
      <c r="L1502">
        <v>5</v>
      </c>
      <c r="M1502">
        <v>25</v>
      </c>
      <c r="O1502" t="s">
        <v>136</v>
      </c>
      <c r="P1502" t="s">
        <v>3375</v>
      </c>
      <c r="Q1502" t="s">
        <v>3376</v>
      </c>
    </row>
    <row r="1503" spans="1:17" ht="15.75" x14ac:dyDescent="0.25">
      <c r="A1503" s="3" t="str">
        <f>HYPERLINK("https://mineralandmatter.com/collections/home-goods/products/jk-rose-quartz-candle", "https://mineralandmatter.com/collections/home-goods/products/jk-rose-quartz-candle")</f>
        <v>https://mineralandmatter.com/collections/home-goods/products/jk-rose-quartz-candle</v>
      </c>
      <c r="B1503" s="3" t="str">
        <f>HYPERLINK("https://mineralandmatter.com/products/jk-rose-quartz-candle", "https://mineralandmatter.com/products/jk-rose-quartz-candle")</f>
        <v>https://mineralandmatter.com/products/jk-rose-quartz-candle</v>
      </c>
      <c r="C1503" t="s">
        <v>3370</v>
      </c>
      <c r="D1503" t="s">
        <v>3377</v>
      </c>
      <c r="E1503" s="3" t="str">
        <f>HYPERLINK("https://www.amazon.com/ORCHID-AURA-Eucalyptus-Lemongrass-Sandalwood/dp/B08DZ8QWSN/ref=sr_1_5?keywords=JaxKelly+Rose+Quartz+Candle&amp;qid=1695259020&amp;sr=8-5", "https://www.amazon.com/ORCHID-AURA-Eucalyptus-Lemongrass-Sandalwood/dp/B08DZ8QWSN/ref=sr_1_5?keywords=JaxKelly+Rose+Quartz+Candle&amp;qid=1695259020&amp;sr=8-5")</f>
        <v>https://www.amazon.com/ORCHID-AURA-Eucalyptus-Lemongrass-Sandalwood/dp/B08DZ8QWSN/ref=sr_1_5?keywords=JaxKelly+Rose+Quartz+Candle&amp;qid=1695259020&amp;sr=8-5</v>
      </c>
      <c r="F1503" t="s">
        <v>3378</v>
      </c>
      <c r="G1503" t="e">
        <f ca="1">IMAGE("http://mineralandmatter.com/cdn/shop/products/JXCandle.Rose_1200x1200.gif?v=1584995440")</f>
        <v>#NAME?</v>
      </c>
      <c r="H1503" t="e">
        <f ca="1">IMAGE("https://m.media-amazon.com/images/I/71YoUbwOKsL._AC_UL320_.jpg")</f>
        <v>#NAME?</v>
      </c>
      <c r="I1503" t="s">
        <v>3373</v>
      </c>
      <c r="J1503">
        <v>24.97</v>
      </c>
      <c r="K1503" s="2" t="s">
        <v>3379</v>
      </c>
      <c r="L1503">
        <v>4.5999999999999996</v>
      </c>
      <c r="M1503">
        <v>1262</v>
      </c>
      <c r="O1503" t="s">
        <v>136</v>
      </c>
      <c r="P1503" t="s">
        <v>3375</v>
      </c>
      <c r="Q1503" t="s">
        <v>3376</v>
      </c>
    </row>
    <row r="1504" spans="1:17" ht="15.75" x14ac:dyDescent="0.25">
      <c r="A1504" s="3" t="str">
        <f>HYPERLINK("https://mineralandmatter.com/collections/home-goods/products/jk-rose-quartz-candle", "https://mineralandmatter.com/collections/home-goods/products/jk-rose-quartz-candle")</f>
        <v>https://mineralandmatter.com/collections/home-goods/products/jk-rose-quartz-candle</v>
      </c>
      <c r="B1504" s="3" t="str">
        <f>HYPERLINK("https://mineralandmatter.com/products/jk-rose-quartz-candle", "https://mineralandmatter.com/products/jk-rose-quartz-candle")</f>
        <v>https://mineralandmatter.com/products/jk-rose-quartz-candle</v>
      </c>
      <c r="C1504" t="s">
        <v>3370</v>
      </c>
      <c r="D1504" t="s">
        <v>3380</v>
      </c>
      <c r="E1504" s="3" t="str">
        <f>HYPERLINK("https://www.amazon.com/Healing-Crystal-Candle-Vanilla-Scented/dp/B0C4SG7CLH/ref=sr_1_2?keywords=JaxKelly+Rose+Quartz+Candle&amp;qid=1695259020&amp;sr=8-2", "https://www.amazon.com/Healing-Crystal-Candle-Vanilla-Scented/dp/B0C4SG7CLH/ref=sr_1_2?keywords=JaxKelly+Rose+Quartz+Candle&amp;qid=1695259020&amp;sr=8-2")</f>
        <v>https://www.amazon.com/Healing-Crystal-Candle-Vanilla-Scented/dp/B0C4SG7CLH/ref=sr_1_2?keywords=JaxKelly+Rose+Quartz+Candle&amp;qid=1695259020&amp;sr=8-2</v>
      </c>
      <c r="F1504" t="s">
        <v>3381</v>
      </c>
      <c r="G1504" t="e">
        <f ca="1">IMAGE("http://mineralandmatter.com/cdn/shop/products/JXCandle.Rose_1200x1200.gif?v=1584995440")</f>
        <v>#NAME?</v>
      </c>
      <c r="H1504" t="e">
        <f ca="1">IMAGE("https://m.media-amazon.com/images/I/51mgudcmshL._AC_UL320_.jpg")</f>
        <v>#NAME?</v>
      </c>
      <c r="I1504" t="s">
        <v>3373</v>
      </c>
      <c r="J1504">
        <v>24.95</v>
      </c>
      <c r="K1504" s="2" t="s">
        <v>3382</v>
      </c>
      <c r="L1504">
        <v>4.4000000000000004</v>
      </c>
      <c r="M1504">
        <v>45</v>
      </c>
      <c r="O1504" t="s">
        <v>136</v>
      </c>
      <c r="P1504" t="s">
        <v>3375</v>
      </c>
      <c r="Q1504" t="s">
        <v>3376</v>
      </c>
    </row>
    <row r="1505" spans="1:17" ht="15.75" x14ac:dyDescent="0.25">
      <c r="A1505" s="3" t="str">
        <f>HYPERLINK("https://mineralandmatter.com/collections/home-goods/products/jk-rose-quartz-candle", "https://mineralandmatter.com/collections/home-goods/products/jk-rose-quartz-candle")</f>
        <v>https://mineralandmatter.com/collections/home-goods/products/jk-rose-quartz-candle</v>
      </c>
      <c r="B1505" s="3" t="str">
        <f>HYPERLINK("https://mineralandmatter.com/products/jk-rose-quartz-candle", "https://mineralandmatter.com/products/jk-rose-quartz-candle")</f>
        <v>https://mineralandmatter.com/products/jk-rose-quartz-candle</v>
      </c>
      <c r="C1505" t="s">
        <v>3370</v>
      </c>
      <c r="D1505" t="s">
        <v>3383</v>
      </c>
      <c r="E1505" s="3" t="str">
        <f>HYPERLINK("https://www.amazon.com/Lavender-Vanilla-Scented-Candles-Crystals/dp/B0BKN3CCX7/ref=sr_1_1?keywords=JaxKelly+Rose+Quartz+Candle&amp;qid=1695259020&amp;sr=8-1", "https://www.amazon.com/Lavender-Vanilla-Scented-Candles-Crystals/dp/B0BKN3CCX7/ref=sr_1_1?keywords=JaxKelly+Rose+Quartz+Candle&amp;qid=1695259020&amp;sr=8-1")</f>
        <v>https://www.amazon.com/Lavender-Vanilla-Scented-Candles-Crystals/dp/B0BKN3CCX7/ref=sr_1_1?keywords=JaxKelly+Rose+Quartz+Candle&amp;qid=1695259020&amp;sr=8-1</v>
      </c>
      <c r="F1505" t="s">
        <v>3384</v>
      </c>
      <c r="G1505" t="e">
        <f ca="1">IMAGE("http://mineralandmatter.com/cdn/shop/products/JXCandle.Rose_1200x1200.gif?v=1584995440")</f>
        <v>#NAME?</v>
      </c>
      <c r="H1505" t="e">
        <f ca="1">IMAGE("https://m.media-amazon.com/images/I/518qX55ctqL._AC_UL320_.jpg")</f>
        <v>#NAME?</v>
      </c>
      <c r="I1505" t="s">
        <v>3373</v>
      </c>
      <c r="J1505">
        <v>23</v>
      </c>
      <c r="K1505" s="2" t="s">
        <v>3385</v>
      </c>
      <c r="L1505">
        <v>5</v>
      </c>
      <c r="M1505">
        <v>1</v>
      </c>
      <c r="O1505" t="s">
        <v>136</v>
      </c>
      <c r="P1505" t="s">
        <v>3375</v>
      </c>
      <c r="Q1505" t="s">
        <v>3376</v>
      </c>
    </row>
    <row r="1506" spans="1:17" ht="15.75" x14ac:dyDescent="0.25">
      <c r="A1506" s="3" t="str">
        <f>HYPERLINK("https://mineralandmatter.com/collections/home-goods/products/jk-rose-quartz-candle", "https://mineralandmatter.com/collections/home-goods/products/jk-rose-quartz-candle")</f>
        <v>https://mineralandmatter.com/collections/home-goods/products/jk-rose-quartz-candle</v>
      </c>
      <c r="B1506" s="3" t="str">
        <f>HYPERLINK("https://mineralandmatter.com/products/jk-rose-quartz-candle", "https://mineralandmatter.com/products/jk-rose-quartz-candle")</f>
        <v>https://mineralandmatter.com/products/jk-rose-quartz-candle</v>
      </c>
      <c r="C1506" t="s">
        <v>3370</v>
      </c>
      <c r="D1506" t="s">
        <v>3386</v>
      </c>
      <c r="E1506" s="3" t="str">
        <f>HYPERLINK("https://www.amazon.com/Healing-Crystal-Candle-meditation-Aromatherapy/dp/B09DB4D8MR/ref=sr_1_6?keywords=JaxKelly+Rose+Quartz+Candle&amp;qid=1695259020&amp;sr=8-6", "https://www.amazon.com/Healing-Crystal-Candle-meditation-Aromatherapy/dp/B09DB4D8MR/ref=sr_1_6?keywords=JaxKelly+Rose+Quartz+Candle&amp;qid=1695259020&amp;sr=8-6")</f>
        <v>https://www.amazon.com/Healing-Crystal-Candle-meditation-Aromatherapy/dp/B09DB4D8MR/ref=sr_1_6?keywords=JaxKelly+Rose+Quartz+Candle&amp;qid=1695259020&amp;sr=8-6</v>
      </c>
      <c r="F1506" t="s">
        <v>3387</v>
      </c>
      <c r="G1506" t="e">
        <f ca="1">IMAGE("http://mineralandmatter.com/cdn/shop/products/JXCandle.Rose_1200x1200.gif?v=1584995440")</f>
        <v>#NAME?</v>
      </c>
      <c r="H1506" t="e">
        <f ca="1">IMAGE("https://m.media-amazon.com/images/I/41o0MDbM2VL._AC_UL320_.jpg")</f>
        <v>#NAME?</v>
      </c>
      <c r="I1506" t="s">
        <v>3373</v>
      </c>
      <c r="J1506">
        <v>22.99</v>
      </c>
      <c r="K1506" s="2" t="s">
        <v>3388</v>
      </c>
      <c r="L1506">
        <v>3.9</v>
      </c>
      <c r="M1506">
        <v>208</v>
      </c>
      <c r="O1506" t="s">
        <v>136</v>
      </c>
      <c r="P1506" t="s">
        <v>3375</v>
      </c>
      <c r="Q1506" t="s">
        <v>3376</v>
      </c>
    </row>
    <row r="1507" spans="1:17" ht="15.75" x14ac:dyDescent="0.25">
      <c r="A1507" s="3" t="str">
        <f>HYPERLINK("https://mineralandmatter.com/collections/home-goods/products/mother-of-the-moon-moonlight-moth-6x6-art-print", "https://mineralandmatter.com/collections/home-goods/products/mother-of-the-moon-moonlight-moth-6x6-art-print")</f>
        <v>https://mineralandmatter.com/collections/home-goods/products/mother-of-the-moon-moonlight-moth-6x6-art-print</v>
      </c>
      <c r="B1507" s="3" t="str">
        <f>HYPERLINK("https://mineralandmatter.com/products/mother-of-the-moon-moonlight-moth-6x6-art-print", "https://mineralandmatter.com/products/mother-of-the-moon-moonlight-moth-6x6-art-print")</f>
        <v>https://mineralandmatter.com/products/mother-of-the-moon-moonlight-moth-6x6-art-print</v>
      </c>
      <c r="C1507" t="s">
        <v>3389</v>
      </c>
      <c r="D1507" t="s">
        <v>3390</v>
      </c>
      <c r="E1507" s="3" t="str">
        <f>HYPERLINK("https://www.amazon.com/Mother-Daughter-Moon-Silhouette-Dictionary/dp/B08ZSR397M/ref=sr_1_10?keywords=Mother+of+the+Moon+Moonlight+Moth+6x6+Art+Print&amp;qid=1695259040&amp;sr=8-10", "https://www.amazon.com/Mother-Daughter-Moon-Silhouette-Dictionary/dp/B08ZSR397M/ref=sr_1_10?keywords=Mother+of+the+Moon+Moonlight+Moth+6x6+Art+Print&amp;qid=1695259040&amp;sr=8-10")</f>
        <v>https://www.amazon.com/Mother-Daughter-Moon-Silhouette-Dictionary/dp/B08ZSR397M/ref=sr_1_10?keywords=Mother+of+the+Moon+Moonlight+Moth+6x6+Art+Print&amp;qid=1695259040&amp;sr=8-10</v>
      </c>
      <c r="F1507" t="s">
        <v>3391</v>
      </c>
      <c r="G1507" t="e">
        <f ca="1">IMAGE("https://mineralandmatter.com/cdn/shop/products/fd268d9c5c8e9d68306ab3de28bc133eaa0f51ca274290f4f1165d731c914fa0_1080x.jpg?v=1658547100")</f>
        <v>#NAME?</v>
      </c>
      <c r="H1507" t="e">
        <f ca="1">IMAGE("https://m.media-amazon.com/images/I/71pXeapUaEL._AC_UL320_.jpg")</f>
        <v>#NAME?</v>
      </c>
      <c r="I1507" t="s">
        <v>3392</v>
      </c>
      <c r="J1507">
        <v>11.99</v>
      </c>
      <c r="K1507" s="2" t="s">
        <v>3393</v>
      </c>
      <c r="L1507">
        <v>4.8</v>
      </c>
      <c r="M1507">
        <v>12</v>
      </c>
      <c r="O1507" t="s">
        <v>26</v>
      </c>
      <c r="P1507" t="s">
        <v>3394</v>
      </c>
      <c r="Q1507" t="s">
        <v>3395</v>
      </c>
    </row>
    <row r="1508" spans="1:17" ht="15.75" x14ac:dyDescent="0.25">
      <c r="A1508" s="3" t="str">
        <f>HYPERLINK("https://mineralandmatter.com/collections/home-goods/products/zodiac-dish-bundle-includes-4-qty-each-zodiac-dish-48-pc-total-plus-display", "https://mineralandmatter.com/collections/home-goods/products/zodiac-dish-bundle-includes-4-qty-each-zodiac-dish-48-pc-total-plus-display")</f>
        <v>https://mineralandmatter.com/collections/home-goods/products/zodiac-dish-bundle-includes-4-qty-each-zodiac-dish-48-pc-total-plus-display</v>
      </c>
      <c r="B1508" s="3" t="str">
        <f>HYPERLINK("https://mineralandmatter.com/products/zodiac-dish-bundle-includes-4-qty-each-zodiac-dish-48-pc-total-plus-display", "https://mineralandmatter.com/products/zodiac-dish-bundle-includes-4-qty-each-zodiac-dish-48-pc-total-plus-display")</f>
        <v>https://mineralandmatter.com/products/zodiac-dish-bundle-includes-4-qty-each-zodiac-dish-48-pc-total-plus-display</v>
      </c>
      <c r="C1508" t="s">
        <v>3396</v>
      </c>
      <c r="D1508" t="s">
        <v>3397</v>
      </c>
      <c r="E1508" s="3" t="str">
        <f>HYPERLINK("https://www.amazon.com/Lucky-Feather-Zodiac-Jewelry-Bracelet/dp/B08C5NTZYV/ref=sr_1_7?keywords=Lucky+Feather+Zodiac+Ceramic+Dish&amp;qid=1695259021&amp;sr=8-7", "https://www.amazon.com/Lucky-Feather-Zodiac-Jewelry-Bracelet/dp/B08C5NTZYV/ref=sr_1_7?keywords=Lucky+Feather+Zodiac+Ceramic+Dish&amp;qid=1695259021&amp;sr=8-7")</f>
        <v>https://www.amazon.com/Lucky-Feather-Zodiac-Jewelry-Bracelet/dp/B08C5NTZYV/ref=sr_1_7?keywords=Lucky+Feather+Zodiac+Ceramic+Dish&amp;qid=1695259021&amp;sr=8-7</v>
      </c>
      <c r="F1508" t="s">
        <v>3398</v>
      </c>
      <c r="G1508" t="e">
        <f ca="1">IMAGE("https://mineralandmatter.com/cdn/shop/products/Aquarius_1080x.jpg?v=1607453870")</f>
        <v>#NAME?</v>
      </c>
      <c r="H1508" t="e">
        <f ca="1">IMAGE("https://m.media-amazon.com/images/I/51FxBHirTkL._AC_UL320_.jpg")</f>
        <v>#NAME?</v>
      </c>
      <c r="I1508" t="s">
        <v>3394</v>
      </c>
      <c r="J1508">
        <v>23.98</v>
      </c>
      <c r="K1508" s="2" t="s">
        <v>3399</v>
      </c>
      <c r="L1508">
        <v>5</v>
      </c>
      <c r="M1508">
        <v>2</v>
      </c>
      <c r="O1508" t="s">
        <v>26</v>
      </c>
      <c r="P1508" t="s">
        <v>39</v>
      </c>
      <c r="Q1508" t="s">
        <v>3400</v>
      </c>
    </row>
    <row r="1509" spans="1:17" ht="15.75" x14ac:dyDescent="0.25">
      <c r="A1509" s="3" t="str">
        <f>HYPERLINK("https://mineralandmatter.com/collections/home-goods/products/fractalista-designs-selenite-crystal-charging-and-cleansing-rectangle-moon-1", "https://mineralandmatter.com/collections/home-goods/products/fractalista-designs-selenite-crystal-charging-and-cleansing-rectangle-moon-1")</f>
        <v>https://mineralandmatter.com/collections/home-goods/products/fractalista-designs-selenite-crystal-charging-and-cleansing-rectangle-moon-1</v>
      </c>
      <c r="B1509" s="3" t="str">
        <f>HYPERLINK("https://mineralandmatter.com/products/fractalista-designs-selenite-crystal-charging-and-cleansing-rectangle-moon-1", "https://mineralandmatter.com/products/fractalista-designs-selenite-crystal-charging-and-cleansing-rectangle-moon-1")</f>
        <v>https://mineralandmatter.com/products/fractalista-designs-selenite-crystal-charging-and-cleansing-rectangle-moon-1</v>
      </c>
      <c r="C1509" t="s">
        <v>3401</v>
      </c>
      <c r="D1509" t="s">
        <v>3402</v>
      </c>
      <c r="E1509" s="3" t="str">
        <f>HYPERLINK("https://www.amazon.com/CrystalsAhoy-Etched-Selenite-Charging-Metatrons/dp/B07YVKVG8J/ref=sr_1_6?keywords=Fractalista+Designs+6%22+Moon+Phase+Etched+Selenite&amp;qid=1695259044&amp;sr=8-6", "https://www.amazon.com/CrystalsAhoy-Etched-Selenite-Charging-Metatrons/dp/B07YVKVG8J/ref=sr_1_6?keywords=Fractalista+Designs+6%22+Moon+Phase+Etched+Selenite&amp;qid=1695259044&amp;sr=8-6")</f>
        <v>https://www.amazon.com/CrystalsAhoy-Etched-Selenite-Charging-Metatrons/dp/B07YVKVG8J/ref=sr_1_6?keywords=Fractalista+Designs+6%22+Moon+Phase+Etched+Selenite&amp;qid=1695259044&amp;sr=8-6</v>
      </c>
      <c r="F1509" t="s">
        <v>3403</v>
      </c>
      <c r="G1509" t="e">
        <f ca="1">IMAGE("https://mineralandmatter.com/cdn/shop/products/2b14a9de588201981a9598736855220cc53389cc546c9bdec70142944c502b9d_aa94bf04-5020-4d20-9bdd-0711d566b9f5_1080x.jpg?v=1637272142")</f>
        <v>#NAME?</v>
      </c>
      <c r="H1509" t="e">
        <f ca="1">IMAGE("https://m.media-amazon.com/images/I/41evZcqfmgL._AC_UY218_.jpg")</f>
        <v>#NAME?</v>
      </c>
      <c r="I1509" t="s">
        <v>3404</v>
      </c>
      <c r="J1509">
        <v>44.95</v>
      </c>
      <c r="K1509" s="2" t="s">
        <v>3405</v>
      </c>
      <c r="L1509">
        <v>4.4000000000000004</v>
      </c>
      <c r="M1509">
        <v>4</v>
      </c>
      <c r="O1509" t="s">
        <v>26</v>
      </c>
      <c r="P1509" t="s">
        <v>39</v>
      </c>
      <c r="Q1509" t="s">
        <v>3406</v>
      </c>
    </row>
    <row r="1510" spans="1:17" ht="15.75" x14ac:dyDescent="0.25">
      <c r="A1510" s="3" t="str">
        <f>HYPERLINK("https://mineralandmatter.com/collections/home-goods/products/jk-rose-quartz-candle", "https://mineralandmatter.com/collections/home-goods/products/jk-rose-quartz-candle")</f>
        <v>https://mineralandmatter.com/collections/home-goods/products/jk-rose-quartz-candle</v>
      </c>
      <c r="B1510" s="3" t="str">
        <f>HYPERLINK("https://mineralandmatter.com/products/jk-rose-quartz-candle", "https://mineralandmatter.com/products/jk-rose-quartz-candle")</f>
        <v>https://mineralandmatter.com/products/jk-rose-quartz-candle</v>
      </c>
      <c r="C1510" t="s">
        <v>3370</v>
      </c>
      <c r="D1510" t="s">
        <v>3407</v>
      </c>
      <c r="E1510" s="3" t="str">
        <f>HYPERLINK("https://www.amazon.com/Crystal-Candles-Aromatherapy-Natural-CRYSTALS/dp/B0BSDRZ68D/ref=sr_1_9?keywords=JaxKelly+Rose+Quartz+Candle&amp;qid=1695259020&amp;sr=8-9", "https://www.amazon.com/Crystal-Candles-Aromatherapy-Natural-CRYSTALS/dp/B0BSDRZ68D/ref=sr_1_9?keywords=JaxKelly+Rose+Quartz+Candle&amp;qid=1695259020&amp;sr=8-9")</f>
        <v>https://www.amazon.com/Crystal-Candles-Aromatherapy-Natural-CRYSTALS/dp/B0BSDRZ68D/ref=sr_1_9?keywords=JaxKelly+Rose+Quartz+Candle&amp;qid=1695259020&amp;sr=8-9</v>
      </c>
      <c r="F1510" t="s">
        <v>3408</v>
      </c>
      <c r="G1510" t="e">
        <f ca="1">IMAGE("http://mineralandmatter.com/cdn/shop/products/JXCandle.Rose_1200x1200.gif?v=1584995440")</f>
        <v>#NAME?</v>
      </c>
      <c r="H1510" t="e">
        <f ca="1">IMAGE("https://m.media-amazon.com/images/I/619ypFFFkgL._AC_UL320_.jpg")</f>
        <v>#NAME?</v>
      </c>
      <c r="I1510" t="s">
        <v>3373</v>
      </c>
      <c r="J1510">
        <v>19.989999999999998</v>
      </c>
      <c r="K1510" s="2" t="s">
        <v>3409</v>
      </c>
      <c r="L1510">
        <v>5</v>
      </c>
      <c r="M1510">
        <v>6</v>
      </c>
      <c r="O1510" t="s">
        <v>136</v>
      </c>
      <c r="P1510" t="s">
        <v>3375</v>
      </c>
      <c r="Q1510" t="s">
        <v>3376</v>
      </c>
    </row>
    <row r="1511" spans="1:17" ht="15.75" x14ac:dyDescent="0.25">
      <c r="A1511" s="3" t="str">
        <f>HYPERLINK("https://mineralandmatter.com/collections/home-goods/products/kitsch-satin-pillowcase-aura", "https://mineralandmatter.com/collections/home-goods/products/kitsch-satin-pillowcase-aura")</f>
        <v>https://mineralandmatter.com/collections/home-goods/products/kitsch-satin-pillowcase-aura</v>
      </c>
      <c r="B1511" s="3" t="str">
        <f>HYPERLINK("https://mineralandmatter.com/products/kitsch-satin-pillowcase-aura", "https://mineralandmatter.com/products/kitsch-satin-pillowcase-aura")</f>
        <v>https://mineralandmatter.com/products/kitsch-satin-pillowcase-aura</v>
      </c>
      <c r="C1511" t="s">
        <v>3410</v>
      </c>
      <c r="D1511" t="s">
        <v>3411</v>
      </c>
      <c r="E1511" s="3" t="str">
        <f>HYPERLINK("https://www.amazon.com/Kitsch-Satin-Sleep-Set-Pillowcase/dp/B07XCY9QXC/ref=sr_1_2?keywords=KITSCH+Satin+Pillowcase&amp;qid=1695259020&amp;sr=8-2", "https://www.amazon.com/Kitsch-Satin-Sleep-Set-Pillowcase/dp/B07XCY9QXC/ref=sr_1_2?keywords=KITSCH+Satin+Pillowcase&amp;qid=1695259020&amp;sr=8-2")</f>
        <v>https://www.amazon.com/Kitsch-Satin-Sleep-Set-Pillowcase/dp/B07XCY9QXC/ref=sr_1_2?keywords=KITSCH+Satin+Pillowcase&amp;qid=1695259020&amp;sr=8-2</v>
      </c>
      <c r="F1511" t="s">
        <v>3412</v>
      </c>
      <c r="G1511" t="e">
        <f ca="1">IMAGE("https://mineralandmatter.com/cdn/shop/products/d884fafe789e7dbfbb653d382886c3c61fdd8464f06a83bcf26ad24aaefe11e5_1080x.jpg?v=1683755206")</f>
        <v>#NAME?</v>
      </c>
      <c r="H1511" t="e">
        <f ca="1">IMAGE("https://m.media-amazon.com/images/I/51-vJ1o0u0L._AC_UL320_.jpg")</f>
        <v>#NAME?</v>
      </c>
      <c r="I1511" t="s">
        <v>3413</v>
      </c>
      <c r="J1511">
        <v>33.880000000000003</v>
      </c>
      <c r="K1511" s="2" t="s">
        <v>3414</v>
      </c>
      <c r="L1511">
        <v>4.7</v>
      </c>
      <c r="M1511">
        <v>1048</v>
      </c>
      <c r="O1511" t="s">
        <v>26</v>
      </c>
      <c r="P1511" t="s">
        <v>39</v>
      </c>
      <c r="Q1511" t="s">
        <v>3415</v>
      </c>
    </row>
    <row r="1512" spans="1:17" ht="15.75" x14ac:dyDescent="0.25">
      <c r="A1512" s="3" t="str">
        <f>HYPERLINK("https://mineralandmatter.com/collections/home-goods/products/gift-republic-butterflies-enamel-mug", "https://mineralandmatter.com/collections/home-goods/products/gift-republic-butterflies-enamel-mug")</f>
        <v>https://mineralandmatter.com/collections/home-goods/products/gift-republic-butterflies-enamel-mug</v>
      </c>
      <c r="B1512" s="3" t="str">
        <f>HYPERLINK("https://mineralandmatter.com/products/gift-republic-butterflies-enamel-mug", "https://mineralandmatter.com/products/gift-republic-butterflies-enamel-mug")</f>
        <v>https://mineralandmatter.com/products/gift-republic-butterflies-enamel-mug</v>
      </c>
      <c r="C1512" t="s">
        <v>3416</v>
      </c>
      <c r="D1512" t="s">
        <v>3417</v>
      </c>
      <c r="E1512" s="3" t="str">
        <f>HYPERLINK("https://www.amazon.com/Gift-Republic-GR270114-Ecologie-Enamel/dp/B08FJF2Q85/ref=sr_1_7?keywords=Gift+Republic+Enamel+Mug&amp;qid=1695259016&amp;sr=8-7", "https://www.amazon.com/Gift-Republic-GR270114-Ecologie-Enamel/dp/B08FJF2Q85/ref=sr_1_7?keywords=Gift+Republic+Enamel+Mug&amp;qid=1695259016&amp;sr=8-7")</f>
        <v>https://www.amazon.com/Gift-Republic-GR270114-Ecologie-Enamel/dp/B08FJF2Q85/ref=sr_1_7?keywords=Gift+Republic+Enamel+Mug&amp;qid=1695259016&amp;sr=8-7</v>
      </c>
      <c r="F1512" t="s">
        <v>3418</v>
      </c>
      <c r="G1512" t="e">
        <f ca="1">IMAGE("https://mineralandmatter.com/cdn/shop/products/9dc3100e80de2093dea5b0990ca5060296ea4e58249c141e342ae72767e2fade_1080x.jpg?v=1668007798")</f>
        <v>#NAME?</v>
      </c>
      <c r="H1512" t="e">
        <f ca="1">IMAGE("https://m.media-amazon.com/images/I/71YnY0sBWOL._AC_UL320_.jpg")</f>
        <v>#NAME?</v>
      </c>
      <c r="I1512" t="s">
        <v>3419</v>
      </c>
      <c r="J1512">
        <v>20.8</v>
      </c>
      <c r="K1512" s="2" t="s">
        <v>3420</v>
      </c>
      <c r="L1512">
        <v>4.5999999999999996</v>
      </c>
      <c r="M1512">
        <v>111</v>
      </c>
      <c r="O1512" t="s">
        <v>26</v>
      </c>
      <c r="P1512" t="s">
        <v>39</v>
      </c>
      <c r="Q1512" t="s">
        <v>3421</v>
      </c>
    </row>
    <row r="1513" spans="1:17" ht="15.75" x14ac:dyDescent="0.25">
      <c r="A1513" s="3" t="str">
        <f>HYPERLINK("https://mineralandmatter.com/collections/home-goods/products/fractalista-designs-selenite-crystal-charging-and-cleansing-rectangle-moon-1", "https://mineralandmatter.com/collections/home-goods/products/fractalista-designs-selenite-crystal-charging-and-cleansing-rectangle-moon-1")</f>
        <v>https://mineralandmatter.com/collections/home-goods/products/fractalista-designs-selenite-crystal-charging-and-cleansing-rectangle-moon-1</v>
      </c>
      <c r="B1513" s="3" t="str">
        <f>HYPERLINK("https://mineralandmatter.com/products/fractalista-designs-selenite-crystal-charging-and-cleansing-rectangle-moon-1", "https://mineralandmatter.com/products/fractalista-designs-selenite-crystal-charging-and-cleansing-rectangle-moon-1")</f>
        <v>https://mineralandmatter.com/products/fractalista-designs-selenite-crystal-charging-and-cleansing-rectangle-moon-1</v>
      </c>
      <c r="C1513" t="s">
        <v>3401</v>
      </c>
      <c r="D1513" t="s">
        <v>3422</v>
      </c>
      <c r="E1513" s="3" t="str">
        <f>HYPERLINK("https://www.amazon.com/CrystalsAhoy-Etched-Selenite-Charging-Ethically/dp/B084M8SLJT/ref=sr_1_4?keywords=Fractalista+Designs+6%22+Moon+Phase+Etched+Selenite&amp;qid=1695259044&amp;sr=8-4", "https://www.amazon.com/CrystalsAhoy-Etched-Selenite-Charging-Ethically/dp/B084M8SLJT/ref=sr_1_4?keywords=Fractalista+Designs+6%22+Moon+Phase+Etched+Selenite&amp;qid=1695259044&amp;sr=8-4")</f>
        <v>https://www.amazon.com/CrystalsAhoy-Etched-Selenite-Charging-Ethically/dp/B084M8SLJT/ref=sr_1_4?keywords=Fractalista+Designs+6%22+Moon+Phase+Etched+Selenite&amp;qid=1695259044&amp;sr=8-4</v>
      </c>
      <c r="F1513" t="s">
        <v>3423</v>
      </c>
      <c r="G1513" t="e">
        <f ca="1">IMAGE("https://mineralandmatter.com/cdn/shop/products/2b14a9de588201981a9598736855220cc53389cc546c9bdec70142944c502b9d_aa94bf04-5020-4d20-9bdd-0711d566b9f5_1080x.jpg?v=1637272142")</f>
        <v>#NAME?</v>
      </c>
      <c r="H1513" t="e">
        <f ca="1">IMAGE("https://m.media-amazon.com/images/I/419b1KLwmAL._AC_UY218_.jpg")</f>
        <v>#NAME?</v>
      </c>
      <c r="I1513" t="s">
        <v>3404</v>
      </c>
      <c r="J1513">
        <v>39.950000000000003</v>
      </c>
      <c r="K1513" s="2" t="s">
        <v>3424</v>
      </c>
      <c r="L1513">
        <v>4.5999999999999996</v>
      </c>
      <c r="M1513">
        <v>27</v>
      </c>
      <c r="O1513" t="s">
        <v>26</v>
      </c>
      <c r="P1513" t="s">
        <v>39</v>
      </c>
      <c r="Q1513" t="s">
        <v>3406</v>
      </c>
    </row>
    <row r="1514" spans="1:17" ht="15.75" x14ac:dyDescent="0.25">
      <c r="A1514" s="3" t="str">
        <f>HYPERLINK("https://mineralandmatter.com/collections/home-goods/products/jk-rose-quartz-candle", "https://mineralandmatter.com/collections/home-goods/products/jk-rose-quartz-candle")</f>
        <v>https://mineralandmatter.com/collections/home-goods/products/jk-rose-quartz-candle</v>
      </c>
      <c r="B1514" s="3" t="str">
        <f>HYPERLINK("https://mineralandmatter.com/products/jk-rose-quartz-candle", "https://mineralandmatter.com/products/jk-rose-quartz-candle")</f>
        <v>https://mineralandmatter.com/products/jk-rose-quartz-candle</v>
      </c>
      <c r="C1514" t="s">
        <v>3370</v>
      </c>
      <c r="D1514" t="s">
        <v>3425</v>
      </c>
      <c r="E1514" s="3" t="str">
        <f>HYPERLINK("https://www.amazon.com/Gemstone-Happiness-Intention-Reiki-Charged/dp/B06XDV45C5/ref=sr_1_10?keywords=JaxKelly+Rose+Quartz+Candle&amp;qid=1695259020&amp;sr=8-10", "https://www.amazon.com/Gemstone-Happiness-Intention-Reiki-Charged/dp/B06XDV45C5/ref=sr_1_10?keywords=JaxKelly+Rose+Quartz+Candle&amp;qid=1695259020&amp;sr=8-10")</f>
        <v>https://www.amazon.com/Gemstone-Happiness-Intention-Reiki-Charged/dp/B06XDV45C5/ref=sr_1_10?keywords=JaxKelly+Rose+Quartz+Candle&amp;qid=1695259020&amp;sr=8-10</v>
      </c>
      <c r="F1514" t="s">
        <v>3426</v>
      </c>
      <c r="G1514" t="e">
        <f ca="1">IMAGE("http://mineralandmatter.com/cdn/shop/products/JXCandle.Rose_1200x1200.gif?v=1584995440")</f>
        <v>#NAME?</v>
      </c>
      <c r="H1514" t="e">
        <f ca="1">IMAGE("https://m.media-amazon.com/images/I/61E1V9eM-QS._AC_UL320_.jpg")</f>
        <v>#NAME?</v>
      </c>
      <c r="I1514" t="s">
        <v>3373</v>
      </c>
      <c r="J1514">
        <v>17.95</v>
      </c>
      <c r="K1514" s="2" t="s">
        <v>3427</v>
      </c>
      <c r="L1514">
        <v>5</v>
      </c>
      <c r="M1514">
        <v>1</v>
      </c>
      <c r="O1514" t="s">
        <v>136</v>
      </c>
      <c r="P1514" t="s">
        <v>3375</v>
      </c>
      <c r="Q1514" t="s">
        <v>3376</v>
      </c>
    </row>
    <row r="1515" spans="1:17" ht="15.75" x14ac:dyDescent="0.25">
      <c r="A1515" s="3" t="str">
        <f>HYPERLINK("https://mineralandmatter.com/collections/home-goods/products/kitsch-satin-pillowcase-aura", "https://mineralandmatter.com/collections/home-goods/products/kitsch-satin-pillowcase-aura")</f>
        <v>https://mineralandmatter.com/collections/home-goods/products/kitsch-satin-pillowcase-aura</v>
      </c>
      <c r="B1515" s="3" t="str">
        <f>HYPERLINK("https://mineralandmatter.com/products/kitsch-satin-pillowcase-aura", "https://mineralandmatter.com/products/kitsch-satin-pillowcase-aura")</f>
        <v>https://mineralandmatter.com/products/kitsch-satin-pillowcase-aura</v>
      </c>
      <c r="C1515" t="s">
        <v>3410</v>
      </c>
      <c r="D1515" t="s">
        <v>3428</v>
      </c>
      <c r="E1515" s="3" t="str">
        <f>HYPERLINK("https://www.amazon.com/KITSCH-Blush-Satin-Pillowcase-Set/dp/B09WHJ9DDH/ref=sr_1_4?keywords=KITSCH+Satin+Pillowcase&amp;qid=1695259020&amp;sr=8-4", "https://www.amazon.com/KITSCH-Blush-Satin-Pillowcase-Set/dp/B09WHJ9DDH/ref=sr_1_4?keywords=KITSCH+Satin+Pillowcase&amp;qid=1695259020&amp;sr=8-4")</f>
        <v>https://www.amazon.com/KITSCH-Blush-Satin-Pillowcase-Set/dp/B09WHJ9DDH/ref=sr_1_4?keywords=KITSCH+Satin+Pillowcase&amp;qid=1695259020&amp;sr=8-4</v>
      </c>
      <c r="F1515" t="s">
        <v>3429</v>
      </c>
      <c r="G1515" t="e">
        <f ca="1">IMAGE("https://mineralandmatter.com/cdn/shop/products/d884fafe789e7dbfbb653d382886c3c61fdd8464f06a83bcf26ad24aaefe11e5_1080x.jpg?v=1683755206")</f>
        <v>#NAME?</v>
      </c>
      <c r="H1515" t="e">
        <f ca="1">IMAGE("https://m.media-amazon.com/images/I/51XVTzoL0BL._AC_UL320_.jpg")</f>
        <v>#NAME?</v>
      </c>
      <c r="I1515" t="s">
        <v>3413</v>
      </c>
      <c r="J1515">
        <v>28.99</v>
      </c>
      <c r="K1515" s="2" t="s">
        <v>3430</v>
      </c>
      <c r="L1515">
        <v>4.8</v>
      </c>
      <c r="M1515">
        <v>7</v>
      </c>
      <c r="O1515" t="s">
        <v>26</v>
      </c>
      <c r="P1515" t="s">
        <v>39</v>
      </c>
      <c r="Q1515" t="s">
        <v>3415</v>
      </c>
    </row>
    <row r="1516" spans="1:17" ht="15.75" x14ac:dyDescent="0.25">
      <c r="A1516" s="3" t="str">
        <f>HYPERLINK("https://mineralandmatter.com/collections/home-goods/products/skeem-design-violet-empty-cloche-glass-decor-candles", "https://mineralandmatter.com/collections/home-goods/products/skeem-design-violet-empty-cloche-glass-decor-candles")</f>
        <v>https://mineralandmatter.com/collections/home-goods/products/skeem-design-violet-empty-cloche-glass-decor-candles</v>
      </c>
      <c r="B1516" s="3" t="str">
        <f>HYPERLINK("https://mineralandmatter.com/products/skeem-design-violet-empty-cloche-glass-decor-candles", "https://mineralandmatter.com/products/skeem-design-violet-empty-cloche-glass-decor-candles")</f>
        <v>https://mineralandmatter.com/products/skeem-design-violet-empty-cloche-glass-decor-candles</v>
      </c>
      <c r="C1516" t="s">
        <v>3431</v>
      </c>
      <c r="D1516" t="s">
        <v>3432</v>
      </c>
      <c r="E1516" s="3" t="str">
        <f>HYPERLINK("https://www.amazon.com/Skeem-Design-Fireplace-Cloche-Bottle/dp/B07YBKR49W/ref=sr_1_1?keywords=Skeem+Design+Empty+Cloche&amp;qid=1695259031&amp;sr=8-1", "https://www.amazon.com/Skeem-Design-Fireplace-Cloche-Bottle/dp/B07YBKR49W/ref=sr_1_1?keywords=Skeem+Design+Empty+Cloche&amp;qid=1695259031&amp;sr=8-1")</f>
        <v>https://www.amazon.com/Skeem-Design-Fireplace-Cloche-Bottle/dp/B07YBKR49W/ref=sr_1_1?keywords=Skeem+Design+Empty+Cloche&amp;qid=1695259031&amp;sr=8-1</v>
      </c>
      <c r="F1516" t="s">
        <v>3433</v>
      </c>
      <c r="G1516" t="e">
        <f ca="1">IMAGE("https://mineralandmatter.com/cdn/shop/products/cloche.candle.empty.violet_1080x.jpg?v=1651505217")</f>
        <v>#NAME?</v>
      </c>
      <c r="H1516" t="e">
        <f ca="1">IMAGE("https://m.media-amazon.com/images/I/61MNrLxNcHL._AC_UL320_.jpg")</f>
        <v>#NAME?</v>
      </c>
      <c r="I1516" t="s">
        <v>3434</v>
      </c>
      <c r="J1516">
        <v>58.95</v>
      </c>
      <c r="K1516" s="2" t="s">
        <v>3435</v>
      </c>
      <c r="L1516">
        <v>4.7</v>
      </c>
      <c r="M1516">
        <v>832</v>
      </c>
      <c r="O1516" t="s">
        <v>26</v>
      </c>
      <c r="P1516" t="s">
        <v>39</v>
      </c>
      <c r="Q1516" t="s">
        <v>3436</v>
      </c>
    </row>
    <row r="1517" spans="1:17" ht="15.75" x14ac:dyDescent="0.25">
      <c r="A1517" s="3" t="str">
        <f t="shared" ref="A1517:A1522" si="19">HYPERLINK("https://mineralandmatter.com/collections/home-goods/products/gift-republic-butterflies-enamel-mug", "https://mineralandmatter.com/collections/home-goods/products/gift-republic-butterflies-enamel-mug")</f>
        <v>https://mineralandmatter.com/collections/home-goods/products/gift-republic-butterflies-enamel-mug</v>
      </c>
      <c r="B1517" s="3" t="str">
        <f t="shared" ref="B1517:B1522" si="20">HYPERLINK("https://mineralandmatter.com/products/gift-republic-butterflies-enamel-mug", "https://mineralandmatter.com/products/gift-republic-butterflies-enamel-mug")</f>
        <v>https://mineralandmatter.com/products/gift-republic-butterflies-enamel-mug</v>
      </c>
      <c r="C1517" t="s">
        <v>3416</v>
      </c>
      <c r="D1517" t="s">
        <v>3437</v>
      </c>
      <c r="E1517" s="3" t="str">
        <f>HYPERLINK("https://www.amazon.com/Gift-Republic-Space-Astronomia-Enamel/dp/B07YBN4QS9/ref=sr_1_10?keywords=Gift+Republic+Enamel+Mug&amp;qid=1695259016&amp;sr=8-10", "https://www.amazon.com/Gift-Republic-Space-Astronomia-Enamel/dp/B07YBN4QS9/ref=sr_1_10?keywords=Gift+Republic+Enamel+Mug&amp;qid=1695259016&amp;sr=8-10")</f>
        <v>https://www.amazon.com/Gift-Republic-Space-Astronomia-Enamel/dp/B07YBN4QS9/ref=sr_1_10?keywords=Gift+Republic+Enamel+Mug&amp;qid=1695259016&amp;sr=8-10</v>
      </c>
      <c r="F1517" t="s">
        <v>3438</v>
      </c>
      <c r="G1517" t="e">
        <f t="shared" ref="G1517:G1522" ca="1" si="21">IMAGE("https://mineralandmatter.com/cdn/shop/products/9dc3100e80de2093dea5b0990ca5060296ea4e58249c141e342ae72767e2fade_1080x.jpg?v=1668007798")</f>
        <v>#NAME?</v>
      </c>
      <c r="H1517" t="e">
        <f ca="1">IMAGE("https://m.media-amazon.com/images/I/91ibLm2JP8L._AC_UL320_.jpg")</f>
        <v>#NAME?</v>
      </c>
      <c r="I1517" t="s">
        <v>3419</v>
      </c>
      <c r="J1517">
        <v>16.97</v>
      </c>
      <c r="K1517" s="2" t="s">
        <v>3439</v>
      </c>
      <c r="L1517">
        <v>3.9</v>
      </c>
      <c r="M1517">
        <v>16</v>
      </c>
      <c r="O1517" t="s">
        <v>26</v>
      </c>
      <c r="P1517" t="s">
        <v>39</v>
      </c>
      <c r="Q1517" t="s">
        <v>3421</v>
      </c>
    </row>
    <row r="1518" spans="1:17" ht="15.75" x14ac:dyDescent="0.25">
      <c r="A1518" s="3" t="str">
        <f t="shared" si="19"/>
        <v>https://mineralandmatter.com/collections/home-goods/products/gift-republic-butterflies-enamel-mug</v>
      </c>
      <c r="B1518" s="3" t="str">
        <f t="shared" si="20"/>
        <v>https://mineralandmatter.com/products/gift-republic-butterflies-enamel-mug</v>
      </c>
      <c r="C1518" t="s">
        <v>3416</v>
      </c>
      <c r="D1518" t="s">
        <v>3440</v>
      </c>
      <c r="E1518" s="3" t="str">
        <f>HYPERLINK("https://www.amazon.com/Gift-Republic-Botanical-Enamel-Mug/dp/B07MVQRPNL/ref=sr_1_3?keywords=Gift+Republic+Enamel+Mug&amp;qid=1695259016&amp;sr=8-3", "https://www.amazon.com/Gift-Republic-Botanical-Enamel-Mug/dp/B07MVQRPNL/ref=sr_1_3?keywords=Gift+Republic+Enamel+Mug&amp;qid=1695259016&amp;sr=8-3")</f>
        <v>https://www.amazon.com/Gift-Republic-Botanical-Enamel-Mug/dp/B07MVQRPNL/ref=sr_1_3?keywords=Gift+Republic+Enamel+Mug&amp;qid=1695259016&amp;sr=8-3</v>
      </c>
      <c r="F1518" t="s">
        <v>3441</v>
      </c>
      <c r="G1518" t="e">
        <f t="shared" ca="1" si="21"/>
        <v>#NAME?</v>
      </c>
      <c r="H1518" t="e">
        <f ca="1">IMAGE("https://m.media-amazon.com/images/I/61XDO6Dy-7L._AC_UL320_.jpg")</f>
        <v>#NAME?</v>
      </c>
      <c r="I1518" t="s">
        <v>3419</v>
      </c>
      <c r="J1518">
        <v>16.940000000000001</v>
      </c>
      <c r="K1518" s="2" t="s">
        <v>3442</v>
      </c>
      <c r="L1518">
        <v>4.2</v>
      </c>
      <c r="M1518">
        <v>105</v>
      </c>
      <c r="O1518" t="s">
        <v>26</v>
      </c>
      <c r="P1518" t="s">
        <v>39</v>
      </c>
      <c r="Q1518" t="s">
        <v>3421</v>
      </c>
    </row>
    <row r="1519" spans="1:17" ht="15.75" x14ac:dyDescent="0.25">
      <c r="A1519" s="3" t="str">
        <f t="shared" si="19"/>
        <v>https://mineralandmatter.com/collections/home-goods/products/gift-republic-butterflies-enamel-mug</v>
      </c>
      <c r="B1519" s="3" t="str">
        <f t="shared" si="20"/>
        <v>https://mineralandmatter.com/products/gift-republic-butterflies-enamel-mug</v>
      </c>
      <c r="C1519" t="s">
        <v>3416</v>
      </c>
      <c r="D1519" t="s">
        <v>3443</v>
      </c>
      <c r="E1519" s="3" t="str">
        <f>HYPERLINK("https://www.amazon.com/Gift-Republic-GR270027-Enamel-Multi/dp/B0090K2GNA/ref=sr_1_4?keywords=Gift+Republic+Enamel+Mug&amp;qid=1695259016&amp;sr=8-4", "https://www.amazon.com/Gift-Republic-GR270027-Enamel-Multi/dp/B0090K2GNA/ref=sr_1_4?keywords=Gift+Republic+Enamel+Mug&amp;qid=1695259016&amp;sr=8-4")</f>
        <v>https://www.amazon.com/Gift-Republic-GR270027-Enamel-Multi/dp/B0090K2GNA/ref=sr_1_4?keywords=Gift+Republic+Enamel+Mug&amp;qid=1695259016&amp;sr=8-4</v>
      </c>
      <c r="F1519" t="s">
        <v>3444</v>
      </c>
      <c r="G1519" t="e">
        <f t="shared" ca="1" si="21"/>
        <v>#NAME?</v>
      </c>
      <c r="H1519" t="e">
        <f ca="1">IMAGE("https://m.media-amazon.com/images/I/617UsIrKFfL._AC_UL320_.jpg")</f>
        <v>#NAME?</v>
      </c>
      <c r="I1519" t="s">
        <v>3419</v>
      </c>
      <c r="J1519">
        <v>16.63</v>
      </c>
      <c r="K1519" s="2" t="s">
        <v>3445</v>
      </c>
      <c r="L1519">
        <v>4.5</v>
      </c>
      <c r="M1519">
        <v>1101</v>
      </c>
      <c r="O1519" t="s">
        <v>26</v>
      </c>
      <c r="P1519" t="s">
        <v>39</v>
      </c>
      <c r="Q1519" t="s">
        <v>3421</v>
      </c>
    </row>
    <row r="1520" spans="1:17" ht="15.75" x14ac:dyDescent="0.25">
      <c r="A1520" s="3" t="str">
        <f t="shared" si="19"/>
        <v>https://mineralandmatter.com/collections/home-goods/products/gift-republic-butterflies-enamel-mug</v>
      </c>
      <c r="B1520" s="3" t="str">
        <f t="shared" si="20"/>
        <v>https://mineralandmatter.com/products/gift-republic-butterflies-enamel-mug</v>
      </c>
      <c r="C1520" t="s">
        <v>3416</v>
      </c>
      <c r="D1520" t="s">
        <v>3446</v>
      </c>
      <c r="E1520" s="3" t="str">
        <f>HYPERLINK("https://www.amazon.com/Gift-Republic-GR270058-Mushroom-Enamel/dp/B00F417SQE/ref=sr_1_2?keywords=Gift+Republic+Enamel+Mug&amp;qid=1695259016&amp;sr=8-2", "https://www.amazon.com/Gift-Republic-GR270058-Mushroom-Enamel/dp/B00F417SQE/ref=sr_1_2?keywords=Gift+Republic+Enamel+Mug&amp;qid=1695259016&amp;sr=8-2")</f>
        <v>https://www.amazon.com/Gift-Republic-GR270058-Mushroom-Enamel/dp/B00F417SQE/ref=sr_1_2?keywords=Gift+Republic+Enamel+Mug&amp;qid=1695259016&amp;sr=8-2</v>
      </c>
      <c r="F1520" t="s">
        <v>3447</v>
      </c>
      <c r="G1520" t="e">
        <f t="shared" ca="1" si="21"/>
        <v>#NAME?</v>
      </c>
      <c r="H1520" t="e">
        <f ca="1">IMAGE("https://m.media-amazon.com/images/I/81jMfipt3KL._AC_UL320_.jpg")</f>
        <v>#NAME?</v>
      </c>
      <c r="I1520" t="s">
        <v>3419</v>
      </c>
      <c r="J1520">
        <v>16.32</v>
      </c>
      <c r="K1520" s="2" t="s">
        <v>3448</v>
      </c>
      <c r="L1520">
        <v>4.5999999999999996</v>
      </c>
      <c r="M1520">
        <v>1557</v>
      </c>
      <c r="O1520" t="s">
        <v>26</v>
      </c>
      <c r="P1520" t="s">
        <v>39</v>
      </c>
      <c r="Q1520" t="s">
        <v>3421</v>
      </c>
    </row>
    <row r="1521" spans="1:17" ht="15.75" x14ac:dyDescent="0.25">
      <c r="A1521" s="3" t="str">
        <f t="shared" si="19"/>
        <v>https://mineralandmatter.com/collections/home-goods/products/gift-republic-butterflies-enamel-mug</v>
      </c>
      <c r="B1521" s="3" t="str">
        <f t="shared" si="20"/>
        <v>https://mineralandmatter.com/products/gift-republic-butterflies-enamel-mug</v>
      </c>
      <c r="C1521" t="s">
        <v>3416</v>
      </c>
      <c r="D1521" t="s">
        <v>3449</v>
      </c>
      <c r="E1521" s="3" t="str">
        <f>HYPERLINK("https://www.amazon.com/Gift-Republic-GR270100-Butterflies-Multicolor/dp/B0168KOK4C/ref=sr_1_8?keywords=Gift+Republic+Enamel+Mug&amp;qid=1695259016&amp;sr=8-8", "https://www.amazon.com/Gift-Republic-GR270100-Butterflies-Multicolor/dp/B0168KOK4C/ref=sr_1_8?keywords=Gift+Republic+Enamel+Mug&amp;qid=1695259016&amp;sr=8-8")</f>
        <v>https://www.amazon.com/Gift-Republic-GR270100-Butterflies-Multicolor/dp/B0168KOK4C/ref=sr_1_8?keywords=Gift+Republic+Enamel+Mug&amp;qid=1695259016&amp;sr=8-8</v>
      </c>
      <c r="F1521" t="s">
        <v>3450</v>
      </c>
      <c r="G1521" t="e">
        <f t="shared" ca="1" si="21"/>
        <v>#NAME?</v>
      </c>
      <c r="H1521" t="e">
        <f ca="1">IMAGE("https://m.media-amazon.com/images/I/51CNqlgIUmL._AC_UL320_.jpg")</f>
        <v>#NAME?</v>
      </c>
      <c r="I1521" t="s">
        <v>3419</v>
      </c>
      <c r="J1521">
        <v>15.86</v>
      </c>
      <c r="K1521" s="2" t="s">
        <v>3451</v>
      </c>
      <c r="L1521">
        <v>4.5</v>
      </c>
      <c r="M1521">
        <v>77</v>
      </c>
      <c r="O1521" t="s">
        <v>26</v>
      </c>
      <c r="P1521" t="s">
        <v>39</v>
      </c>
      <c r="Q1521" t="s">
        <v>3421</v>
      </c>
    </row>
    <row r="1522" spans="1:17" ht="15.75" x14ac:dyDescent="0.25">
      <c r="A1522" s="3" t="str">
        <f t="shared" si="19"/>
        <v>https://mineralandmatter.com/collections/home-goods/products/gift-republic-butterflies-enamel-mug</v>
      </c>
      <c r="B1522" s="3" t="str">
        <f t="shared" si="20"/>
        <v>https://mineralandmatter.com/products/gift-republic-butterflies-enamel-mug</v>
      </c>
      <c r="C1522" t="s">
        <v>3416</v>
      </c>
      <c r="D1522" t="s">
        <v>3452</v>
      </c>
      <c r="E1522" s="3" t="str">
        <f>HYPERLINK("https://www.amazon.com/Gift-Republic-Garden-Enamel-Multicolor/dp/B00R3XZ1KQ/ref=sr_1_6?keywords=Gift+Republic+Enamel+Mug&amp;qid=1695259016&amp;sr=8-6", "https://www.amazon.com/Gift-Republic-Garden-Enamel-Multicolor/dp/B00R3XZ1KQ/ref=sr_1_6?keywords=Gift+Republic+Enamel+Mug&amp;qid=1695259016&amp;sr=8-6")</f>
        <v>https://www.amazon.com/Gift-Republic-Garden-Enamel-Multicolor/dp/B00R3XZ1KQ/ref=sr_1_6?keywords=Gift+Republic+Enamel+Mug&amp;qid=1695259016&amp;sr=8-6</v>
      </c>
      <c r="F1522" t="s">
        <v>3453</v>
      </c>
      <c r="G1522" t="e">
        <f t="shared" ca="1" si="21"/>
        <v>#NAME?</v>
      </c>
      <c r="H1522" t="e">
        <f ca="1">IMAGE("https://m.media-amazon.com/images/I/81NLuT5F48S._AC_UL320_.jpg")</f>
        <v>#NAME?</v>
      </c>
      <c r="I1522" t="s">
        <v>3419</v>
      </c>
      <c r="J1522">
        <v>15.19</v>
      </c>
      <c r="K1522" s="2" t="s">
        <v>3454</v>
      </c>
      <c r="L1522">
        <v>4.5999999999999996</v>
      </c>
      <c r="M1522">
        <v>323</v>
      </c>
      <c r="O1522" t="s">
        <v>26</v>
      </c>
      <c r="P1522" t="s">
        <v>39</v>
      </c>
      <c r="Q1522" t="s">
        <v>3421</v>
      </c>
    </row>
    <row r="1523" spans="1:17" ht="15.75" x14ac:dyDescent="0.25">
      <c r="A1523" s="3" t="str">
        <f>HYPERLINK("https://mineralandmatter.com/collections/home-goods/products/mini-floral-sage-bundles", "https://mineralandmatter.com/collections/home-goods/products/mini-floral-sage-bundles")</f>
        <v>https://mineralandmatter.com/collections/home-goods/products/mini-floral-sage-bundles</v>
      </c>
      <c r="B1523" s="3" t="str">
        <f>HYPERLINK("https://mineralandmatter.com/products/mini-floral-sage-bundles", "https://mineralandmatter.com/products/mini-floral-sage-bundles")</f>
        <v>https://mineralandmatter.com/products/mini-floral-sage-bundles</v>
      </c>
      <c r="C1523" t="s">
        <v>3455</v>
      </c>
      <c r="D1523" t="s">
        <v>3456</v>
      </c>
      <c r="E1523" s="3" t="str">
        <f>HYPERLINK("https://www.amazon.com/Sunflower-Serenity-Cleansing-Smudging-Negative/dp/B0BQLRKDB4/ref=sr_1_4?keywords=Elements+of+Sage+Mini+Floral+Sage+Bundles&amp;qid=1695259038&amp;sr=8-4", "https://www.amazon.com/Sunflower-Serenity-Cleansing-Smudging-Negative/dp/B0BQLRKDB4/ref=sr_1_4?keywords=Elements+of+Sage+Mini+Floral+Sage+Bundles&amp;qid=1695259038&amp;sr=8-4")</f>
        <v>https://www.amazon.com/Sunflower-Serenity-Cleansing-Smudging-Negative/dp/B0BQLRKDB4/ref=sr_1_4?keywords=Elements+of+Sage+Mini+Floral+Sage+Bundles&amp;qid=1695259038&amp;sr=8-4</v>
      </c>
      <c r="F1523" t="s">
        <v>3457</v>
      </c>
      <c r="G1523" t="e">
        <f ca="1">IMAGE("https://mineralandmatter.com/cdn/shop/products/FloralMinis1_1080x.jpg?v=1611182057")</f>
        <v>#NAME?</v>
      </c>
      <c r="H1523" t="e">
        <f ca="1">IMAGE("https://m.media-amazon.com/images/I/6165YGYkVAL._AC_UL320_.jpg")</f>
        <v>#NAME?</v>
      </c>
      <c r="I1523" t="s">
        <v>3458</v>
      </c>
      <c r="J1523">
        <v>19.989999999999998</v>
      </c>
      <c r="K1523" s="2" t="s">
        <v>3459</v>
      </c>
      <c r="L1523">
        <v>4.4000000000000004</v>
      </c>
      <c r="M1523">
        <v>71</v>
      </c>
      <c r="O1523" t="s">
        <v>26</v>
      </c>
      <c r="P1523" t="s">
        <v>39</v>
      </c>
      <c r="Q1523" t="s">
        <v>3460</v>
      </c>
    </row>
    <row r="1524" spans="1:17" ht="15.75" x14ac:dyDescent="0.25">
      <c r="A1524" s="3" t="str">
        <f>HYPERLINK("https://mineralandmatter.com/collections/home-goods/products/gift-republic-butterflies-enamel-mug", "https://mineralandmatter.com/collections/home-goods/products/gift-republic-butterflies-enamel-mug")</f>
        <v>https://mineralandmatter.com/collections/home-goods/products/gift-republic-butterflies-enamel-mug</v>
      </c>
      <c r="B1524" s="3" t="str">
        <f>HYPERLINK("https://mineralandmatter.com/products/gift-republic-butterflies-enamel-mug", "https://mineralandmatter.com/products/gift-republic-butterflies-enamel-mug")</f>
        <v>https://mineralandmatter.com/products/gift-republic-butterflies-enamel-mug</v>
      </c>
      <c r="C1524" t="s">
        <v>3416</v>
      </c>
      <c r="D1524" t="s">
        <v>3461</v>
      </c>
      <c r="E1524" s="3" t="str">
        <f>HYPERLINK("https://www.amazon.com/Gift-Republic-GR270097-Insects-Multicolor/dp/B0168KQ99Q/ref=sr_1_5?keywords=Gift+Republic+Enamel+Mug&amp;qid=1695259016&amp;sr=8-5", "https://www.amazon.com/Gift-Republic-GR270097-Insects-Multicolor/dp/B0168KQ99Q/ref=sr_1_5?keywords=Gift+Republic+Enamel+Mug&amp;qid=1695259016&amp;sr=8-5")</f>
        <v>https://www.amazon.com/Gift-Republic-GR270097-Insects-Multicolor/dp/B0168KQ99Q/ref=sr_1_5?keywords=Gift+Republic+Enamel+Mug&amp;qid=1695259016&amp;sr=8-5</v>
      </c>
      <c r="F1524" t="s">
        <v>3462</v>
      </c>
      <c r="G1524" t="e">
        <f ca="1">IMAGE("https://mineralandmatter.com/cdn/shop/products/9dc3100e80de2093dea5b0990ca5060296ea4e58249c141e342ae72767e2fade_1080x.jpg?v=1668007798")</f>
        <v>#NAME?</v>
      </c>
      <c r="H1524" t="e">
        <f ca="1">IMAGE("https://m.media-amazon.com/images/I/41JXE24LbkL._AC_UL320_.jpg")</f>
        <v>#NAME?</v>
      </c>
      <c r="I1524" t="s">
        <v>3419</v>
      </c>
      <c r="J1524">
        <v>14</v>
      </c>
      <c r="K1524" s="2" t="s">
        <v>3463</v>
      </c>
      <c r="L1524">
        <v>4.4000000000000004</v>
      </c>
      <c r="M1524">
        <v>141</v>
      </c>
      <c r="O1524" t="s">
        <v>26</v>
      </c>
      <c r="P1524" t="s">
        <v>39</v>
      </c>
      <c r="Q1524" t="s">
        <v>3421</v>
      </c>
    </row>
    <row r="1525" spans="1:17" ht="15.75" x14ac:dyDescent="0.25">
      <c r="A1525" s="3" t="str">
        <f>HYPERLINK("https://mineralandmatter.com/collections/home-goods/products/gift-republic-butterflies-enamel-mug", "https://mineralandmatter.com/collections/home-goods/products/gift-republic-butterflies-enamel-mug")</f>
        <v>https://mineralandmatter.com/collections/home-goods/products/gift-republic-butterflies-enamel-mug</v>
      </c>
      <c r="B1525" s="3" t="str">
        <f>HYPERLINK("https://mineralandmatter.com/products/gift-republic-butterflies-enamel-mug", "https://mineralandmatter.com/products/gift-republic-butterflies-enamel-mug")</f>
        <v>https://mineralandmatter.com/products/gift-republic-butterflies-enamel-mug</v>
      </c>
      <c r="C1525" t="s">
        <v>3416</v>
      </c>
      <c r="D1525" t="s">
        <v>3464</v>
      </c>
      <c r="E1525" s="3" t="str">
        <f>HYPERLINK("https://www.amazon.com/Gift-Republic-Flower-Enamel-Multicolor/dp/B00R3XZ4DA/ref=sr_1_1?keywords=Gift+Republic+Enamel+Mug&amp;qid=1695259016&amp;sr=8-1", "https://www.amazon.com/Gift-Republic-Flower-Enamel-Multicolor/dp/B00R3XZ4DA/ref=sr_1_1?keywords=Gift+Republic+Enamel+Mug&amp;qid=1695259016&amp;sr=8-1")</f>
        <v>https://www.amazon.com/Gift-Republic-Flower-Enamel-Multicolor/dp/B00R3XZ4DA/ref=sr_1_1?keywords=Gift+Republic+Enamel+Mug&amp;qid=1695259016&amp;sr=8-1</v>
      </c>
      <c r="F1525" t="s">
        <v>3465</v>
      </c>
      <c r="G1525" t="e">
        <f ca="1">IMAGE("https://mineralandmatter.com/cdn/shop/products/9dc3100e80de2093dea5b0990ca5060296ea4e58249c141e342ae72767e2fade_1080x.jpg?v=1668007798")</f>
        <v>#NAME?</v>
      </c>
      <c r="H1525" t="e">
        <f ca="1">IMAGE("https://m.media-amazon.com/images/I/71Q1DssgOAL._AC_UL320_.jpg")</f>
        <v>#NAME?</v>
      </c>
      <c r="I1525" t="s">
        <v>3419</v>
      </c>
      <c r="J1525">
        <v>13.99</v>
      </c>
      <c r="K1525" s="2" t="s">
        <v>3466</v>
      </c>
      <c r="L1525">
        <v>4.5</v>
      </c>
      <c r="M1525">
        <v>314</v>
      </c>
      <c r="O1525" t="s">
        <v>26</v>
      </c>
      <c r="P1525" t="s">
        <v>39</v>
      </c>
      <c r="Q1525" t="s">
        <v>3421</v>
      </c>
    </row>
    <row r="1526" spans="1:17" ht="15.75" x14ac:dyDescent="0.25">
      <c r="A1526" s="3" t="str">
        <f>HYPERLINK("https://mineralandmatter.com/collections/home-goods/products/jk-rose-quartz-candle", "https://mineralandmatter.com/collections/home-goods/products/jk-rose-quartz-candle")</f>
        <v>https://mineralandmatter.com/collections/home-goods/products/jk-rose-quartz-candle</v>
      </c>
      <c r="B1526" s="3" t="str">
        <f>HYPERLINK("https://mineralandmatter.com/products/jk-rose-quartz-candle", "https://mineralandmatter.com/products/jk-rose-quartz-candle")</f>
        <v>https://mineralandmatter.com/products/jk-rose-quartz-candle</v>
      </c>
      <c r="C1526" t="s">
        <v>3370</v>
      </c>
      <c r="D1526" t="s">
        <v>3467</v>
      </c>
      <c r="E1526" s="3" t="str">
        <f>HYPERLINK("https://www.amazon.com/SoulWellness-Crystal-Infused-Natural-Romance/dp/B09YDJXQ86/ref=sr_1_4?keywords=JaxKelly+Rose+Quartz+Candle&amp;qid=1695259020&amp;sr=8-4", "https://www.amazon.com/SoulWellness-Crystal-Infused-Natural-Romance/dp/B09YDJXQ86/ref=sr_1_4?keywords=JaxKelly+Rose+Quartz+Candle&amp;qid=1695259020&amp;sr=8-4")</f>
        <v>https://www.amazon.com/SoulWellness-Crystal-Infused-Natural-Romance/dp/B09YDJXQ86/ref=sr_1_4?keywords=JaxKelly+Rose+Quartz+Candle&amp;qid=1695259020&amp;sr=8-4</v>
      </c>
      <c r="F1526" t="s">
        <v>3468</v>
      </c>
      <c r="G1526" t="e">
        <f ca="1">IMAGE("http://mineralandmatter.com/cdn/shop/products/JXCandle.Rose_1200x1200.gif?v=1584995440")</f>
        <v>#NAME?</v>
      </c>
      <c r="H1526" t="e">
        <f ca="1">IMAGE("https://m.media-amazon.com/images/I/610Cl8TFAIL._AC_UL320_.jpg")</f>
        <v>#NAME?</v>
      </c>
      <c r="I1526" t="s">
        <v>3373</v>
      </c>
      <c r="J1526">
        <v>12.99</v>
      </c>
      <c r="K1526" s="2" t="s">
        <v>3469</v>
      </c>
      <c r="L1526">
        <v>5</v>
      </c>
      <c r="M1526">
        <v>2</v>
      </c>
      <c r="O1526" t="s">
        <v>136</v>
      </c>
      <c r="P1526" t="s">
        <v>3375</v>
      </c>
      <c r="Q1526" t="s">
        <v>3376</v>
      </c>
    </row>
    <row r="1527" spans="1:17" ht="15.75" x14ac:dyDescent="0.25">
      <c r="A1527" s="3" t="str">
        <f>HYPERLINK("https://mineralandmatter.com/collections/home-goods/products/gift-republic-butterflies-enamel-mug", "https://mineralandmatter.com/collections/home-goods/products/gift-republic-butterflies-enamel-mug")</f>
        <v>https://mineralandmatter.com/collections/home-goods/products/gift-republic-butterflies-enamel-mug</v>
      </c>
      <c r="B1527" s="3" t="str">
        <f>HYPERLINK("https://mineralandmatter.com/products/gift-republic-butterflies-enamel-mug", "https://mineralandmatter.com/products/gift-republic-butterflies-enamel-mug")</f>
        <v>https://mineralandmatter.com/products/gift-republic-butterflies-enamel-mug</v>
      </c>
      <c r="C1527" t="s">
        <v>3416</v>
      </c>
      <c r="D1527" t="s">
        <v>3470</v>
      </c>
      <c r="E1527" s="3" t="str">
        <f>HYPERLINK("https://www.amazon.com/Gift-Republic-Dinosaur-Enamel-Mug/dp/B07YBNFYML/ref=sr_1_9?keywords=Gift+Republic+Enamel+Mug&amp;qid=1695259016&amp;sr=8-9", "https://www.amazon.com/Gift-Republic-Dinosaur-Enamel-Mug/dp/B07YBNFYML/ref=sr_1_9?keywords=Gift+Republic+Enamel+Mug&amp;qid=1695259016&amp;sr=8-9")</f>
        <v>https://www.amazon.com/Gift-Republic-Dinosaur-Enamel-Mug/dp/B07YBNFYML/ref=sr_1_9?keywords=Gift+Republic+Enamel+Mug&amp;qid=1695259016&amp;sr=8-9</v>
      </c>
      <c r="F1527" t="s">
        <v>3471</v>
      </c>
      <c r="G1527" t="e">
        <f ca="1">IMAGE("https://mineralandmatter.com/cdn/shop/products/9dc3100e80de2093dea5b0990ca5060296ea4e58249c141e342ae72767e2fade_1080x.jpg?v=1668007798")</f>
        <v>#NAME?</v>
      </c>
      <c r="H1527" t="e">
        <f ca="1">IMAGE("https://m.media-amazon.com/images/I/811JJrGk8YL._AC_UL320_.jpg")</f>
        <v>#NAME?</v>
      </c>
      <c r="I1527" t="s">
        <v>3419</v>
      </c>
      <c r="J1527">
        <v>13.4</v>
      </c>
      <c r="K1527" s="2" t="s">
        <v>3472</v>
      </c>
      <c r="L1527">
        <v>4.5</v>
      </c>
      <c r="M1527">
        <v>207</v>
      </c>
      <c r="O1527" t="s">
        <v>26</v>
      </c>
      <c r="P1527" t="s">
        <v>39</v>
      </c>
      <c r="Q1527" t="s">
        <v>3421</v>
      </c>
    </row>
    <row r="1528" spans="1:17" ht="15.75" x14ac:dyDescent="0.25">
      <c r="A1528" s="3" t="str">
        <f>HYPERLINK("https://mineralandmatter.com/collections/home-goods/products/pavilia-faux-fur-sherpa-throw-blanket", "https://mineralandmatter.com/collections/home-goods/products/pavilia-faux-fur-sherpa-throw-blanket")</f>
        <v>https://mineralandmatter.com/collections/home-goods/products/pavilia-faux-fur-sherpa-throw-blanket</v>
      </c>
      <c r="B1528" s="3" t="str">
        <f>HYPERLINK("https://mineralandmatter.com/products/pavilia-faux-fur-sherpa-throw-blanket", "https://mineralandmatter.com/products/pavilia-faux-fur-sherpa-throw-blanket")</f>
        <v>https://mineralandmatter.com/products/pavilia-faux-fur-sherpa-throw-blanket</v>
      </c>
      <c r="C1528" t="s">
        <v>3473</v>
      </c>
      <c r="D1528" t="s">
        <v>3474</v>
      </c>
      <c r="E1528" s="3" t="str">
        <f>HYPERLINK("https://www.amazon.com/Chanasya-Blanket-Weight-Luxurious-Hypoallergenic/dp/B00XLV72H4/ref=sr_1_7?keywords=Pavilia+Faux+Fur+Sherpa+Throw+Blanket&amp;qid=1695259052&amp;sr=8-7", "https://www.amazon.com/Chanasya-Blanket-Weight-Luxurious-Hypoallergenic/dp/B00XLV72H4/ref=sr_1_7?keywords=Pavilia+Faux+Fur+Sherpa+Throw+Blanket&amp;qid=1695259052&amp;sr=8-7")</f>
        <v>https://www.amazon.com/Chanasya-Blanket-Weight-Luxurious-Hypoallergenic/dp/B00XLV72H4/ref=sr_1_7?keywords=Pavilia+Faux+Fur+Sherpa+Throw+Blanket&amp;qid=1695259052&amp;sr=8-7</v>
      </c>
      <c r="F1528" t="s">
        <v>3475</v>
      </c>
      <c r="G1528" t="e">
        <f ca="1">IMAGE("https://mineralandmatter.com/cdn/shop/products/46256c1a724178a9e03adc302ff94bbd55e861c9b10e3616b6bf52f6d2159e35_1080x.jpg?v=1683754925")</f>
        <v>#NAME?</v>
      </c>
      <c r="H1528" t="e">
        <f ca="1">IMAGE("https://m.media-amazon.com/images/I/91fhnB+ghuL._AC_UL320_.jpg")</f>
        <v>#NAME?</v>
      </c>
      <c r="I1528" t="s">
        <v>3476</v>
      </c>
      <c r="J1528">
        <v>34.99</v>
      </c>
      <c r="K1528" s="2" t="s">
        <v>3477</v>
      </c>
      <c r="L1528">
        <v>4.7</v>
      </c>
      <c r="M1528">
        <v>24808</v>
      </c>
      <c r="O1528" t="s">
        <v>26</v>
      </c>
      <c r="P1528" t="s">
        <v>39</v>
      </c>
      <c r="Q1528" t="s">
        <v>3478</v>
      </c>
    </row>
    <row r="1529" spans="1:17" ht="15.75" x14ac:dyDescent="0.25">
      <c r="A1529" s="3" t="str">
        <f>HYPERLINK("https://mineralandmatter.com/collections/home-goods/products/botanica-incense-sticks", "https://mineralandmatter.com/collections/home-goods/products/botanica-incense-sticks")</f>
        <v>https://mineralandmatter.com/collections/home-goods/products/botanica-incense-sticks</v>
      </c>
      <c r="B1529" s="3" t="str">
        <f>HYPERLINK("https://mineralandmatter.com/products/botanica-incense-sticks", "https://mineralandmatter.com/products/botanica-incense-sticks")</f>
        <v>https://mineralandmatter.com/products/botanica-incense-sticks</v>
      </c>
      <c r="C1529" t="s">
        <v>3479</v>
      </c>
      <c r="D1529" t="s">
        <v>3480</v>
      </c>
      <c r="E1529" s="3" t="str">
        <f>HYPERLINK("https://www.amazon.com/Original-Botanica-Cleansing-Spiritual-Protection/dp/B01CMPPCY4/ref=sr_1_3?keywords=Botanica+Incense+Sticks&amp;qid=1695259016&amp;sr=8-3", "https://www.amazon.com/Original-Botanica-Cleansing-Spiritual-Protection/dp/B01CMPPCY4/ref=sr_1_3?keywords=Botanica+Incense+Sticks&amp;qid=1695259016&amp;sr=8-3")</f>
        <v>https://www.amazon.com/Original-Botanica-Cleansing-Spiritual-Protection/dp/B01CMPPCY4/ref=sr_1_3?keywords=Botanica+Incense+Sticks&amp;qid=1695259016&amp;sr=8-3</v>
      </c>
      <c r="F1529" t="s">
        <v>3481</v>
      </c>
      <c r="G1529" t="e">
        <f ca="1">IMAGE("https://mineralandmatter.com/cdn/shop/products/ScreenShot2023-04-18at4.54.58PM_1080x.png?v=1684783324")</f>
        <v>#NAME?</v>
      </c>
      <c r="H1529" t="e">
        <f ca="1">IMAGE("https://m.media-amazon.com/images/I/21PJHrAIvqL._AC_UL320_.jpg")</f>
        <v>#NAME?</v>
      </c>
      <c r="I1529" t="s">
        <v>3482</v>
      </c>
      <c r="J1529">
        <v>18.95</v>
      </c>
      <c r="K1529" s="2" t="s">
        <v>3483</v>
      </c>
      <c r="L1529">
        <v>4.4000000000000004</v>
      </c>
      <c r="M1529">
        <v>73</v>
      </c>
      <c r="O1529" t="s">
        <v>26</v>
      </c>
      <c r="P1529" t="s">
        <v>39</v>
      </c>
      <c r="Q1529" t="s">
        <v>3484</v>
      </c>
    </row>
    <row r="1530" spans="1:17" ht="15.75" x14ac:dyDescent="0.25">
      <c r="A1530" s="3" t="str">
        <f>HYPERLINK("https://mineralandmatter.com/collections/home-goods/products/kitsch-satin-pillowcase-aura", "https://mineralandmatter.com/collections/home-goods/products/kitsch-satin-pillowcase-aura")</f>
        <v>https://mineralandmatter.com/collections/home-goods/products/kitsch-satin-pillowcase-aura</v>
      </c>
      <c r="B1530" s="3" t="str">
        <f>HYPERLINK("https://mineralandmatter.com/products/kitsch-satin-pillowcase-aura", "https://mineralandmatter.com/products/kitsch-satin-pillowcase-aura")</f>
        <v>https://mineralandmatter.com/products/kitsch-satin-pillowcase-aura</v>
      </c>
      <c r="C1530" t="s">
        <v>3410</v>
      </c>
      <c r="D1530" t="s">
        <v>3485</v>
      </c>
      <c r="E1530" s="3" t="str">
        <f>HYPERLINK("https://www.amazon.com/Kitsch-Satin-Pillowcase-Hair-Silver/dp/B07XDZRF3H/ref=sr_1_1?keywords=KITSCH+Satin+Pillowcase&amp;qid=1695259020&amp;sr=8-1", "https://www.amazon.com/Kitsch-Satin-Pillowcase-Hair-Silver/dp/B07XDZRF3H/ref=sr_1_1?keywords=KITSCH+Satin+Pillowcase&amp;qid=1695259020&amp;sr=8-1")</f>
        <v>https://www.amazon.com/Kitsch-Satin-Pillowcase-Hair-Silver/dp/B07XDZRF3H/ref=sr_1_1?keywords=KITSCH+Satin+Pillowcase&amp;qid=1695259020&amp;sr=8-1</v>
      </c>
      <c r="F1530" t="s">
        <v>3486</v>
      </c>
      <c r="G1530" t="e">
        <f ca="1">IMAGE("https://mineralandmatter.com/cdn/shop/products/d884fafe789e7dbfbb653d382886c3c61fdd8464f06a83bcf26ad24aaefe11e5_1080x.jpg?v=1683755206")</f>
        <v>#NAME?</v>
      </c>
      <c r="H1530" t="e">
        <f ca="1">IMAGE("https://m.media-amazon.com/images/I/51gZnqNeywL._AC_UL320_.jpg")</f>
        <v>#NAME?</v>
      </c>
      <c r="I1530" t="s">
        <v>3413</v>
      </c>
      <c r="J1530">
        <v>18.989999999999998</v>
      </c>
      <c r="K1530" s="2" t="s">
        <v>3487</v>
      </c>
      <c r="L1530">
        <v>4.7</v>
      </c>
      <c r="M1530">
        <v>17350</v>
      </c>
      <c r="O1530" t="s">
        <v>26</v>
      </c>
      <c r="P1530" t="s">
        <v>39</v>
      </c>
      <c r="Q1530" t="s">
        <v>3415</v>
      </c>
    </row>
    <row r="1531" spans="1:17" ht="15.75" x14ac:dyDescent="0.25">
      <c r="A1531" s="3" t="str">
        <f>HYPERLINK("https://mineralandmatter.com/collections/home-goods/products/pavilia-diamond-knit-textured-fringe-throw-blanket", "https://mineralandmatter.com/collections/home-goods/products/pavilia-diamond-knit-textured-fringe-throw-blanket")</f>
        <v>https://mineralandmatter.com/collections/home-goods/products/pavilia-diamond-knit-textured-fringe-throw-blanket</v>
      </c>
      <c r="B1531" s="3" t="str">
        <f>HYPERLINK("https://mineralandmatter.com/products/pavilia-diamond-knit-textured-fringe-throw-blanket", "https://mineralandmatter.com/products/pavilia-diamond-knit-textured-fringe-throw-blanket")</f>
        <v>https://mineralandmatter.com/products/pavilia-diamond-knit-textured-fringe-throw-blanket</v>
      </c>
      <c r="C1531" t="s">
        <v>3488</v>
      </c>
      <c r="D1531" t="s">
        <v>3489</v>
      </c>
      <c r="E1531" s="3" t="str">
        <f>HYPERLINK("https://www.amazon.com/Deerlux-QI003966-PK-Decorative-Diamond-Pattern/dp/B08T9WXNLN/ref=sr_1_5?keywords=Pavilia+Diamond+Knit+Textured+Fringe+Throw+Blanket&amp;qid=1695259046&amp;sr=8-5", "https://www.amazon.com/Deerlux-QI003966-PK-Decorative-Diamond-Pattern/dp/B08T9WXNLN/ref=sr_1_5?keywords=Pavilia+Diamond+Knit+Textured+Fringe+Throw+Blanket&amp;qid=1695259046&amp;sr=8-5")</f>
        <v>https://www.amazon.com/Deerlux-QI003966-PK-Decorative-Diamond-Pattern/dp/B08T9WXNLN/ref=sr_1_5?keywords=Pavilia+Diamond+Knit+Textured+Fringe+Throw+Blanket&amp;qid=1695259046&amp;sr=8-5</v>
      </c>
      <c r="F1531" t="s">
        <v>3490</v>
      </c>
      <c r="G1531" t="e">
        <f ca="1">IMAGE("https://mineralandmatter.com/cdn/shop/files/ScreenShot2023-05-19at6.31.39PM_1080x.png?v=1684542877")</f>
        <v>#NAME?</v>
      </c>
      <c r="H1531" t="e">
        <f ca="1">IMAGE("https://m.media-amazon.com/images/I/91VfDR7WeeL._AC_UL320_.jpg")</f>
        <v>#NAME?</v>
      </c>
      <c r="I1531" t="s">
        <v>3476</v>
      </c>
      <c r="J1531">
        <v>30.97</v>
      </c>
      <c r="K1531" s="2" t="s">
        <v>3491</v>
      </c>
      <c r="L1531">
        <v>3.8</v>
      </c>
      <c r="M1531">
        <v>18</v>
      </c>
      <c r="O1531" t="s">
        <v>26</v>
      </c>
      <c r="P1531" t="s">
        <v>39</v>
      </c>
      <c r="Q1531" t="s">
        <v>3492</v>
      </c>
    </row>
    <row r="1532" spans="1:17" ht="15.75" x14ac:dyDescent="0.25">
      <c r="A1532" s="3" t="str">
        <f>HYPERLINK("https://mineralandmatter.com/collections/home-goods/products/sun-and-moon", "https://mineralandmatter.com/collections/home-goods/products/sun-and-moon")</f>
        <v>https://mineralandmatter.com/collections/home-goods/products/sun-and-moon</v>
      </c>
      <c r="B1532" s="3" t="str">
        <f>HYPERLINK("https://mineralandmatter.com/products/sun-and-moon", "https://mineralandmatter.com/products/sun-and-moon")</f>
        <v>https://mineralandmatter.com/products/sun-and-moon</v>
      </c>
      <c r="C1532" t="s">
        <v>3493</v>
      </c>
      <c r="D1532" t="s">
        <v>3494</v>
      </c>
      <c r="E1532" s="3" t="str">
        <f>HYPERLINK("https://www.amazon.com/WDIRARA-Outfit-Sleeve-Hoodie-Sweatpants/dp/B0BL3FB8LV/ref=sr_1_4?keywords=colorblock+sun+and+moon+print&amp;qid=1695259035&amp;sr=8-4", "https://www.amazon.com/WDIRARA-Outfit-Sleeve-Hoodie-Sweatpants/dp/B0BL3FB8LV/ref=sr_1_4?keywords=colorblock+sun+and+moon+print&amp;qid=1695259035&amp;sr=8-4")</f>
        <v>https://www.amazon.com/WDIRARA-Outfit-Sleeve-Hoodie-Sweatpants/dp/B0BL3FB8LV/ref=sr_1_4?keywords=colorblock+sun+and+moon+print&amp;qid=1695259035&amp;sr=8-4</v>
      </c>
      <c r="F1532" t="s">
        <v>3495</v>
      </c>
      <c r="G1532" t="e">
        <f ca="1">IMAGE("https://mineralandmatter.com/cdn/shop/products/d049efb938beb563d276399977bbfa430c93e2890d610b3a2ade418c8a1aaa48_1080x.jpg?v=1625208972")</f>
        <v>#NAME?</v>
      </c>
      <c r="H1532" t="e">
        <f ca="1">IMAGE("https://m.media-amazon.com/images/I/61SAHP-N67L._AC_UL320_.jpg")</f>
        <v>#NAME?</v>
      </c>
      <c r="I1532" t="s">
        <v>3496</v>
      </c>
      <c r="J1532">
        <v>29.99</v>
      </c>
      <c r="K1532" s="2" t="s">
        <v>3497</v>
      </c>
      <c r="L1532">
        <v>5</v>
      </c>
      <c r="M1532">
        <v>5</v>
      </c>
      <c r="O1532" t="s">
        <v>26</v>
      </c>
      <c r="P1532" t="s">
        <v>39</v>
      </c>
      <c r="Q1532" t="s">
        <v>3498</v>
      </c>
    </row>
    <row r="1533" spans="1:17" ht="15.75" x14ac:dyDescent="0.25">
      <c r="A1533" s="3" t="str">
        <f>HYPERLINK("https://mineralandmatter.com/collections/home-goods/products/zodiac-dish-bundle-includes-4-qty-each-zodiac-dish-48-pc-total-plus-display", "https://mineralandmatter.com/collections/home-goods/products/zodiac-dish-bundle-includes-4-qty-each-zodiac-dish-48-pc-total-plus-display")</f>
        <v>https://mineralandmatter.com/collections/home-goods/products/zodiac-dish-bundle-includes-4-qty-each-zodiac-dish-48-pc-total-plus-display</v>
      </c>
      <c r="B1533" s="3" t="str">
        <f>HYPERLINK("https://mineralandmatter.com/products/zodiac-dish-bundle-includes-4-qty-each-zodiac-dish-48-pc-total-plus-display", "https://mineralandmatter.com/products/zodiac-dish-bundle-includes-4-qty-each-zodiac-dish-48-pc-total-plus-display")</f>
        <v>https://mineralandmatter.com/products/zodiac-dish-bundle-includes-4-qty-each-zodiac-dish-48-pc-total-plus-display</v>
      </c>
      <c r="C1533" t="s">
        <v>3396</v>
      </c>
      <c r="D1533" t="s">
        <v>3499</v>
      </c>
      <c r="E1533" s="3" t="str">
        <f>HYPERLINK("https://www.amazon.com/Lucky-Feather-Zodiac-Women-Girls/dp/B07NXW9HY3/ref=sr_1_1?keywords=Lucky+Feather+Zodiac+Ceramic+Dish&amp;qid=1695259021&amp;sr=8-1", "https://www.amazon.com/Lucky-Feather-Zodiac-Women-Girls/dp/B07NXW9HY3/ref=sr_1_1?keywords=Lucky+Feather+Zodiac+Ceramic+Dish&amp;qid=1695259021&amp;sr=8-1")</f>
        <v>https://www.amazon.com/Lucky-Feather-Zodiac-Women-Girls/dp/B07NXW9HY3/ref=sr_1_1?keywords=Lucky+Feather+Zodiac+Ceramic+Dish&amp;qid=1695259021&amp;sr=8-1</v>
      </c>
      <c r="F1533" t="s">
        <v>3500</v>
      </c>
      <c r="G1533" t="e">
        <f ca="1">IMAGE("https://mineralandmatter.com/cdn/shop/products/Aquarius_1080x.jpg?v=1607453870")</f>
        <v>#NAME?</v>
      </c>
      <c r="H1533" t="e">
        <f ca="1">IMAGE("https://m.media-amazon.com/images/I/81RnLy9HSzL._AC_UL320_.jpg")</f>
        <v>#NAME?</v>
      </c>
      <c r="I1533" t="s">
        <v>3394</v>
      </c>
      <c r="J1533">
        <v>11.98</v>
      </c>
      <c r="K1533" s="2" t="s">
        <v>3501</v>
      </c>
      <c r="L1533">
        <v>4.5999999999999996</v>
      </c>
      <c r="M1533">
        <v>1409</v>
      </c>
      <c r="O1533" t="s">
        <v>26</v>
      </c>
      <c r="P1533" t="s">
        <v>39</v>
      </c>
      <c r="Q1533" t="s">
        <v>3400</v>
      </c>
    </row>
    <row r="1534" spans="1:17" ht="15.75" x14ac:dyDescent="0.25">
      <c r="A1534" s="3" t="str">
        <f>HYPERLINK("https://mineralandmatter.com/collections/home-goods/products/pavilia-faux-fur-sherpa-throw-blanket", "https://mineralandmatter.com/collections/home-goods/products/pavilia-faux-fur-sherpa-throw-blanket")</f>
        <v>https://mineralandmatter.com/collections/home-goods/products/pavilia-faux-fur-sherpa-throw-blanket</v>
      </c>
      <c r="B1534" s="3" t="str">
        <f>HYPERLINK("https://mineralandmatter.com/products/pavilia-faux-fur-sherpa-throw-blanket", "https://mineralandmatter.com/products/pavilia-faux-fur-sherpa-throw-blanket")</f>
        <v>https://mineralandmatter.com/products/pavilia-faux-fur-sherpa-throw-blanket</v>
      </c>
      <c r="C1534" t="s">
        <v>3473</v>
      </c>
      <c r="D1534" t="s">
        <v>3502</v>
      </c>
      <c r="E1534" s="3" t="str">
        <f>HYPERLINK("https://www.amazon.com/PAVILIA-Blanket-Purple-Fluffy-Decorative/dp/B0BGVGH4T5/ref=sr_1_2?keywords=Pavilia+Faux+Fur+Sherpa+Throw+Blanket&amp;qid=1695259052&amp;sr=8-2", "https://www.amazon.com/PAVILIA-Blanket-Purple-Fluffy-Decorative/dp/B0BGVGH4T5/ref=sr_1_2?keywords=Pavilia+Faux+Fur+Sherpa+Throw+Blanket&amp;qid=1695259052&amp;sr=8-2")</f>
        <v>https://www.amazon.com/PAVILIA-Blanket-Purple-Fluffy-Decorative/dp/B0BGVGH4T5/ref=sr_1_2?keywords=Pavilia+Faux+Fur+Sherpa+Throw+Blanket&amp;qid=1695259052&amp;sr=8-2</v>
      </c>
      <c r="F1534" t="s">
        <v>3503</v>
      </c>
      <c r="G1534" t="e">
        <f ca="1">IMAGE("https://mineralandmatter.com/cdn/shop/products/46256c1a724178a9e03adc302ff94bbd55e861c9b10e3616b6bf52f6d2159e35_1080x.jpg?v=1683754925")</f>
        <v>#NAME?</v>
      </c>
      <c r="H1534" t="e">
        <f ca="1">IMAGE("https://m.media-amazon.com/images/I/91hhNdNJFpL._AC_UL320_.jpg")</f>
        <v>#NAME?</v>
      </c>
      <c r="I1534" t="s">
        <v>3476</v>
      </c>
      <c r="J1534">
        <v>27.99</v>
      </c>
      <c r="K1534" s="2" t="s">
        <v>3504</v>
      </c>
      <c r="L1534">
        <v>4.5999999999999996</v>
      </c>
      <c r="M1534">
        <v>190</v>
      </c>
      <c r="O1534" t="s">
        <v>26</v>
      </c>
      <c r="P1534" t="s">
        <v>39</v>
      </c>
      <c r="Q1534" t="s">
        <v>3478</v>
      </c>
    </row>
    <row r="1535" spans="1:17" ht="15.75" x14ac:dyDescent="0.25">
      <c r="A1535" s="3" t="str">
        <f>HYPERLINK("https://mineralandmatter.com/collections/home-goods/products/pavilia-faux-fur-sherpa-throw-blanket", "https://mineralandmatter.com/collections/home-goods/products/pavilia-faux-fur-sherpa-throw-blanket")</f>
        <v>https://mineralandmatter.com/collections/home-goods/products/pavilia-faux-fur-sherpa-throw-blanket</v>
      </c>
      <c r="B1535" s="3" t="str">
        <f>HYPERLINK("https://mineralandmatter.com/products/pavilia-faux-fur-sherpa-throw-blanket", "https://mineralandmatter.com/products/pavilia-faux-fur-sherpa-throw-blanket")</f>
        <v>https://mineralandmatter.com/products/pavilia-faux-fur-sherpa-throw-blanket</v>
      </c>
      <c r="C1535" t="s">
        <v>3473</v>
      </c>
      <c r="D1535" t="s">
        <v>3505</v>
      </c>
      <c r="E1535" s="3" t="str">
        <f>HYPERLINK("https://www.amazon.com/PAVILIA-Fluffy-Blanket-Shaggy-Decorative/dp/B0BDNRYF83/ref=sr_1_1?keywords=Pavilia+Faux+Fur+Sherpa+Throw+Blanket&amp;qid=1695259052&amp;sr=8-1", "https://www.amazon.com/PAVILIA-Fluffy-Blanket-Shaggy-Decorative/dp/B0BDNRYF83/ref=sr_1_1?keywords=Pavilia+Faux+Fur+Sherpa+Throw+Blanket&amp;qid=1695259052&amp;sr=8-1")</f>
        <v>https://www.amazon.com/PAVILIA-Fluffy-Blanket-Shaggy-Decorative/dp/B0BDNRYF83/ref=sr_1_1?keywords=Pavilia+Faux+Fur+Sherpa+Throw+Blanket&amp;qid=1695259052&amp;sr=8-1</v>
      </c>
      <c r="F1535" t="s">
        <v>3506</v>
      </c>
      <c r="G1535" t="e">
        <f ca="1">IMAGE("https://mineralandmatter.com/cdn/shop/products/46256c1a724178a9e03adc302ff94bbd55e861c9b10e3616b6bf52f6d2159e35_1080x.jpg?v=1683754925")</f>
        <v>#NAME?</v>
      </c>
      <c r="H1535" t="e">
        <f ca="1">IMAGE("https://m.media-amazon.com/images/I/91n2iiQ4WNL._AC_UL320_.jpg")</f>
        <v>#NAME?</v>
      </c>
      <c r="I1535" t="s">
        <v>3476</v>
      </c>
      <c r="J1535">
        <v>27.99</v>
      </c>
      <c r="K1535" s="2" t="s">
        <v>3504</v>
      </c>
      <c r="L1535">
        <v>4.5999999999999996</v>
      </c>
      <c r="M1535">
        <v>281</v>
      </c>
      <c r="O1535" t="s">
        <v>26</v>
      </c>
      <c r="P1535" t="s">
        <v>39</v>
      </c>
      <c r="Q1535" t="s">
        <v>3478</v>
      </c>
    </row>
    <row r="1536" spans="1:17" ht="15.75" x14ac:dyDescent="0.25">
      <c r="A1536" s="3" t="str">
        <f>HYPERLINK("https://mineralandmatter.com/collections/home-goods/products/cognitive-surplus-the-botany-of-tea-ceramic-mug", "https://mineralandmatter.com/collections/home-goods/products/cognitive-surplus-the-botany-of-tea-ceramic-mug")</f>
        <v>https://mineralandmatter.com/collections/home-goods/products/cognitive-surplus-the-botany-of-tea-ceramic-mug</v>
      </c>
      <c r="B1536" s="3" t="str">
        <f>HYPERLINK("https://mineralandmatter.com/products/cognitive-surplus-the-botany-of-tea-ceramic-mug", "https://mineralandmatter.com/products/cognitive-surplus-the-botany-of-tea-ceramic-mug")</f>
        <v>https://mineralandmatter.com/products/cognitive-surplus-the-botany-of-tea-ceramic-mug</v>
      </c>
      <c r="C1536" t="s">
        <v>3507</v>
      </c>
      <c r="D1536" t="s">
        <v>3508</v>
      </c>
      <c r="E1536" s="3" t="str">
        <f>HYPERLINK("https://www.amazon.com/Ambesonne-Educational-Photosynthesis-Agriculture-Environment/dp/B0786DTSHP/ref=sr_1_4?keywords=Cognitive+Surplus+The+Botany+of+Tea+Ceramic+Mug&amp;qid=1695259057&amp;sr=8-4", "https://www.amazon.com/Ambesonne-Educational-Photosynthesis-Agriculture-Environment/dp/B0786DTSHP/ref=sr_1_4?keywords=Cognitive+Surplus+The+Botany+of+Tea+Ceramic+Mug&amp;qid=1695259057&amp;sr=8-4")</f>
        <v>https://www.amazon.com/Ambesonne-Educational-Photosynthesis-Agriculture-Environment/dp/B0786DTSHP/ref=sr_1_4?keywords=Cognitive+Surplus+The+Botany+of+Tea+Ceramic+Mug&amp;qid=1695259057&amp;sr=8-4</v>
      </c>
      <c r="F1536" t="s">
        <v>3509</v>
      </c>
      <c r="G1536" t="e">
        <f ca="1">IMAGE("https://mineralandmatter.com/cdn/shop/products/00850f2a22560b93968eb2cf62077ec19006a60e970d15b17e49c2993626a595_1080x.jpg?v=1683755070")</f>
        <v>#NAME?</v>
      </c>
      <c r="H1536" t="e">
        <f ca="1">IMAGE("https://m.media-amazon.com/images/I/71O6fTZMttL._AC_UL320_.jpg")</f>
        <v>#NAME?</v>
      </c>
      <c r="I1536" t="s">
        <v>3375</v>
      </c>
      <c r="J1536">
        <v>18.95</v>
      </c>
      <c r="K1536" s="2" t="s">
        <v>3510</v>
      </c>
      <c r="L1536">
        <v>4</v>
      </c>
      <c r="M1536">
        <v>10</v>
      </c>
      <c r="O1536" t="s">
        <v>26</v>
      </c>
      <c r="P1536" t="s">
        <v>39</v>
      </c>
      <c r="Q1536" t="s">
        <v>3511</v>
      </c>
    </row>
    <row r="1537" spans="1:17" ht="15.75" x14ac:dyDescent="0.25">
      <c r="A1537" s="3" t="str">
        <f>HYPERLINK("https://mineralandmatter.com/collections/home-goods/products/burning-ritual-hand-rolled-palo-santo-incense-stick", "https://mineralandmatter.com/collections/home-goods/products/burning-ritual-hand-rolled-palo-santo-incense-stick")</f>
        <v>https://mineralandmatter.com/collections/home-goods/products/burning-ritual-hand-rolled-palo-santo-incense-stick</v>
      </c>
      <c r="B1537" s="3" t="str">
        <f>HYPERLINK("https://mineralandmatter.com/products/burning-ritual-hand-rolled-palo-santo-incense-stick", "https://mineralandmatter.com/products/burning-ritual-hand-rolled-palo-santo-incense-stick")</f>
        <v>https://mineralandmatter.com/products/burning-ritual-hand-rolled-palo-santo-incense-stick</v>
      </c>
      <c r="C1537" t="s">
        <v>3512</v>
      </c>
      <c r="D1537" t="s">
        <v>3513</v>
      </c>
      <c r="E1537" s="3" t="str">
        <f>HYPERLINK("https://www.amazon.com/Huacense-Woody-Incense-Sticks-Variety/dp/B0C4L798G1/ref=sr_1_9?keywords=Cedar+and+Myrrh+Palo+Santo+Incense&amp;qid=1695259028&amp;sr=8-9", "https://www.amazon.com/Huacense-Woody-Incense-Sticks-Variety/dp/B0C4L798G1/ref=sr_1_9?keywords=Cedar+and+Myrrh+Palo+Santo+Incense&amp;qid=1695259028&amp;sr=8-9")</f>
        <v>https://www.amazon.com/Huacense-Woody-Incense-Sticks-Variety/dp/B0C4L798G1/ref=sr_1_9?keywords=Cedar+and+Myrrh+Palo+Santo+Incense&amp;qid=1695259028&amp;sr=8-9</v>
      </c>
      <c r="F1537" t="s">
        <v>3514</v>
      </c>
      <c r="G1537" t="e">
        <f ca="1">IMAGE("https://mineralandmatter.com/cdn/shop/products/701b0eade30d718d1f6e276215350c53b6f73ca8e25993dcdc6a856e57799b55_1080x.jpg?v=1612255211")</f>
        <v>#NAME?</v>
      </c>
      <c r="H1537" t="e">
        <f ca="1">IMAGE("https://m.media-amazon.com/images/I/71PfomDU66L._AC_UL320_.jpg")</f>
        <v>#NAME?</v>
      </c>
      <c r="I1537" t="s">
        <v>3515</v>
      </c>
      <c r="J1537">
        <v>12.59</v>
      </c>
      <c r="K1537" s="2" t="s">
        <v>3516</v>
      </c>
      <c r="L1537">
        <v>4.2</v>
      </c>
      <c r="M1537">
        <v>88</v>
      </c>
      <c r="O1537" t="s">
        <v>26</v>
      </c>
      <c r="P1537" t="s">
        <v>39</v>
      </c>
      <c r="Q1537" t="s">
        <v>3517</v>
      </c>
    </row>
    <row r="1538" spans="1:17" ht="15.75" x14ac:dyDescent="0.25">
      <c r="A1538" s="3" t="str">
        <f>HYPERLINK("https://mineralandmatter.com/collections/home-goods/products/pavilia-diamond-knit-textured-fringe-throw-blanket", "https://mineralandmatter.com/collections/home-goods/products/pavilia-diamond-knit-textured-fringe-throw-blanket")</f>
        <v>https://mineralandmatter.com/collections/home-goods/products/pavilia-diamond-knit-textured-fringe-throw-blanket</v>
      </c>
      <c r="B1538" s="3" t="str">
        <f>HYPERLINK("https://mineralandmatter.com/products/pavilia-diamond-knit-textured-fringe-throw-blanket", "https://mineralandmatter.com/products/pavilia-diamond-knit-textured-fringe-throw-blanket")</f>
        <v>https://mineralandmatter.com/products/pavilia-diamond-knit-textured-fringe-throw-blanket</v>
      </c>
      <c r="C1538" t="s">
        <v>3488</v>
      </c>
      <c r="D1538" t="s">
        <v>3518</v>
      </c>
      <c r="E1538" s="3" t="str">
        <f>HYPERLINK("https://www.amazon.com/HORIMOTE-HOME-Blanket-Textured-Pattern/dp/B0BYHLBNVW/ref=sr_1_2?keywords=Pavilia+Diamond+Knit+Textured+Fringe+Throw+Blanket&amp;qid=1695259046&amp;sr=8-2", "https://www.amazon.com/HORIMOTE-HOME-Blanket-Textured-Pattern/dp/B0BYHLBNVW/ref=sr_1_2?keywords=Pavilia+Diamond+Knit+Textured+Fringe+Throw+Blanket&amp;qid=1695259046&amp;sr=8-2")</f>
        <v>https://www.amazon.com/HORIMOTE-HOME-Blanket-Textured-Pattern/dp/B0BYHLBNVW/ref=sr_1_2?keywords=Pavilia+Diamond+Knit+Textured+Fringe+Throw+Blanket&amp;qid=1695259046&amp;sr=8-2</v>
      </c>
      <c r="F1538" t="s">
        <v>3519</v>
      </c>
      <c r="G1538" t="e">
        <f ca="1">IMAGE("https://mineralandmatter.com/cdn/shop/files/ScreenShot2023-05-19at6.31.39PM_1080x.png?v=1684542877")</f>
        <v>#NAME?</v>
      </c>
      <c r="H1538" t="e">
        <f ca="1">IMAGE("https://m.media-amazon.com/images/I/71NpZvPVxuL._AC_UL320_.jpg")</f>
        <v>#NAME?</v>
      </c>
      <c r="I1538" t="s">
        <v>3476</v>
      </c>
      <c r="J1538">
        <v>25.99</v>
      </c>
      <c r="K1538" s="2" t="s">
        <v>3520</v>
      </c>
      <c r="L1538">
        <v>4.3</v>
      </c>
      <c r="M1538">
        <v>1247</v>
      </c>
      <c r="O1538" t="s">
        <v>26</v>
      </c>
      <c r="P1538" t="s">
        <v>39</v>
      </c>
      <c r="Q1538" t="s">
        <v>3492</v>
      </c>
    </row>
    <row r="1539" spans="1:17" ht="15.75" x14ac:dyDescent="0.25">
      <c r="A1539" s="3" t="str">
        <f>HYPERLINK("https://mineralandmatter.com/collections/home-goods/products/pavilia-diamond-knit-textured-fringe-throw-blanket", "https://mineralandmatter.com/collections/home-goods/products/pavilia-diamond-knit-textured-fringe-throw-blanket")</f>
        <v>https://mineralandmatter.com/collections/home-goods/products/pavilia-diamond-knit-textured-fringe-throw-blanket</v>
      </c>
      <c r="B1539" s="3" t="str">
        <f>HYPERLINK("https://mineralandmatter.com/products/pavilia-diamond-knit-textured-fringe-throw-blanket", "https://mineralandmatter.com/products/pavilia-diamond-knit-textured-fringe-throw-blanket")</f>
        <v>https://mineralandmatter.com/products/pavilia-diamond-knit-textured-fringe-throw-blanket</v>
      </c>
      <c r="C1539" t="s">
        <v>3488</v>
      </c>
      <c r="D1539" t="s">
        <v>3521</v>
      </c>
      <c r="E1539" s="3" t="str">
        <f>HYPERLINK("https://www.amazon.com/PAVILIA-Chenille-Blanket-Decorative-Lightweight/dp/B08DBRYWGT/ref=sr_1_1?keywords=Pavilia+Diamond+Knit+Textured+Fringe+Throw+Blanket&amp;qid=1695259046&amp;sr=8-1", "https://www.amazon.com/PAVILIA-Chenille-Blanket-Decorative-Lightweight/dp/B08DBRYWGT/ref=sr_1_1?keywords=Pavilia+Diamond+Knit+Textured+Fringe+Throw+Blanket&amp;qid=1695259046&amp;sr=8-1")</f>
        <v>https://www.amazon.com/PAVILIA-Chenille-Blanket-Decorative-Lightweight/dp/B08DBRYWGT/ref=sr_1_1?keywords=Pavilia+Diamond+Knit+Textured+Fringe+Throw+Blanket&amp;qid=1695259046&amp;sr=8-1</v>
      </c>
      <c r="F1539" t="s">
        <v>3522</v>
      </c>
      <c r="G1539" t="e">
        <f ca="1">IMAGE("https://mineralandmatter.com/cdn/shop/files/ScreenShot2023-05-19at6.31.39PM_1080x.png?v=1684542877")</f>
        <v>#NAME?</v>
      </c>
      <c r="H1539" t="e">
        <f ca="1">IMAGE("https://m.media-amazon.com/images/I/91kgGsAUljL._AC_UL320_.jpg")</f>
        <v>#NAME?</v>
      </c>
      <c r="I1539" t="s">
        <v>3476</v>
      </c>
      <c r="J1539">
        <v>25.99</v>
      </c>
      <c r="K1539" s="2" t="s">
        <v>3520</v>
      </c>
      <c r="L1539">
        <v>4.5</v>
      </c>
      <c r="M1539">
        <v>1970</v>
      </c>
      <c r="O1539" t="s">
        <v>26</v>
      </c>
      <c r="P1539" t="s">
        <v>39</v>
      </c>
      <c r="Q1539" t="s">
        <v>3492</v>
      </c>
    </row>
    <row r="1540" spans="1:17" ht="15.75" x14ac:dyDescent="0.25">
      <c r="A1540" s="3" t="str">
        <f>HYPERLINK("https://mineralandmatter.com/collections/home-goods/products/burning-ritual-palo-santo-sticks-from-peru", "https://mineralandmatter.com/collections/home-goods/products/burning-ritual-palo-santo-sticks-from-peru")</f>
        <v>https://mineralandmatter.com/collections/home-goods/products/burning-ritual-palo-santo-sticks-from-peru</v>
      </c>
      <c r="B1540" s="3" t="str">
        <f>HYPERLINK("https://mineralandmatter.com/products/burning-ritual-palo-santo-sticks-from-peru", "https://mineralandmatter.com/products/burning-ritual-palo-santo-sticks-from-peru")</f>
        <v>https://mineralandmatter.com/products/burning-ritual-palo-santo-sticks-from-peru</v>
      </c>
      <c r="C1540" t="s">
        <v>3523</v>
      </c>
      <c r="D1540" t="s">
        <v>3524</v>
      </c>
      <c r="E1540" s="3" t="str">
        <f>HYPERLINK("https://www.amazon.com/Folkulture-Santo-Cedar-Incense-Sticks/dp/B0BJF5BK2C/ref=sr_1_1?keywords=Cedar+and+Myrrh+Palo+Santo+Sticks&amp;qid=1695259016&amp;rdc=1&amp;sr=8-1", "https://www.amazon.com/Folkulture-Santo-Cedar-Incense-Sticks/dp/B0BJF5BK2C/ref=sr_1_1?keywords=Cedar+and+Myrrh+Palo+Santo+Sticks&amp;qid=1695259016&amp;rdc=1&amp;sr=8-1")</f>
        <v>https://www.amazon.com/Folkulture-Santo-Cedar-Incense-Sticks/dp/B0BJF5BK2C/ref=sr_1_1?keywords=Cedar+and+Myrrh+Palo+Santo+Sticks&amp;qid=1695259016&amp;rdc=1&amp;sr=8-1</v>
      </c>
      <c r="F1540" t="s">
        <v>3525</v>
      </c>
      <c r="G1540" t="e">
        <f ca="1">IMAGE("https://mineralandmatter.com/cdn/shop/products/41c8ef6c9199eff5f6b348bd74d31c46e3e528e5703a195c40593024eb2221d1_1080x.jpg?v=1612255213")</f>
        <v>#NAME?</v>
      </c>
      <c r="H1540" t="e">
        <f ca="1">IMAGE("https://m.media-amazon.com/images/I/91kFkOXwBbL._AC_UL320_.jpg")</f>
        <v>#NAME?</v>
      </c>
      <c r="I1540" t="s">
        <v>3373</v>
      </c>
      <c r="J1540">
        <v>8.99</v>
      </c>
      <c r="K1540" s="2" t="s">
        <v>3526</v>
      </c>
      <c r="L1540">
        <v>4.2</v>
      </c>
      <c r="M1540">
        <v>399</v>
      </c>
      <c r="O1540" t="s">
        <v>26</v>
      </c>
      <c r="P1540" t="s">
        <v>39</v>
      </c>
      <c r="Q1540" t="s">
        <v>3527</v>
      </c>
    </row>
    <row r="1541" spans="1:17" ht="15.75" x14ac:dyDescent="0.25">
      <c r="A1541" s="3" t="str">
        <f>HYPERLINK("https://mineralandmatter.com/collections/home-goods/products/bambusi-bathtub-caddy-with-extendable-sides-book-and-phone-holder", "https://mineralandmatter.com/collections/home-goods/products/bambusi-bathtub-caddy-with-extendable-sides-book-and-phone-holder")</f>
        <v>https://mineralandmatter.com/collections/home-goods/products/bambusi-bathtub-caddy-with-extendable-sides-book-and-phone-holder</v>
      </c>
      <c r="B1541" s="3" t="str">
        <f>HYPERLINK("https://mineralandmatter.com/products/bambusi-bathtub-caddy-with-extendable-sides-book-and-phone-holder", "https://mineralandmatter.com/products/bambusi-bathtub-caddy-with-extendable-sides-book-and-phone-holder")</f>
        <v>https://mineralandmatter.com/products/bambusi-bathtub-caddy-with-extendable-sides-book-and-phone-holder</v>
      </c>
      <c r="C1541" t="s">
        <v>3528</v>
      </c>
      <c r="D1541" t="s">
        <v>3529</v>
      </c>
      <c r="E1541" s="3" t="str">
        <f>HYPERLINK("https://www.amazon.com/ZHTYRE-Bathtub-Extendable-Bamboo-Bookshelf/dp/B0B6SVLBQB/ref=sr_1_9?keywords=Bambusi+Bamboo+Bathtub+Extendable+Tray&amp;qid=1695259036&amp;sr=8-9", "https://www.amazon.com/ZHTYRE-Bathtub-Extendable-Bamboo-Bookshelf/dp/B0B6SVLBQB/ref=sr_1_9?keywords=Bambusi+Bamboo+Bathtub+Extendable+Tray&amp;qid=1695259036&amp;sr=8-9")</f>
        <v>https://www.amazon.com/ZHTYRE-Bathtub-Extendable-Bamboo-Bookshelf/dp/B0B6SVLBQB/ref=sr_1_9?keywords=Bambusi+Bamboo+Bathtub+Extendable+Tray&amp;qid=1695259036&amp;sr=8-9</v>
      </c>
      <c r="F1541" t="s">
        <v>3530</v>
      </c>
      <c r="G1541" t="e">
        <f ca="1">IMAGE("https://mineralandmatter.com/cdn/shop/products/83dba52fab90af90b9ffe2f7a3ac50236ce1a3c73e80c8aaca8c0c118338832c_1080x.jpg?v=1683754786")</f>
        <v>#NAME?</v>
      </c>
      <c r="H1541" t="e">
        <f ca="1">IMAGE("https://m.media-amazon.com/images/I/51-gKG68m+L._AC_UL320_.jpg")</f>
        <v>#NAME?</v>
      </c>
      <c r="I1541" t="s">
        <v>3531</v>
      </c>
      <c r="J1541">
        <v>38.99</v>
      </c>
      <c r="K1541" s="2" t="s">
        <v>3532</v>
      </c>
      <c r="L1541">
        <v>4.5999999999999996</v>
      </c>
      <c r="M1541">
        <v>116</v>
      </c>
      <c r="O1541" t="s">
        <v>26</v>
      </c>
      <c r="P1541" t="s">
        <v>39</v>
      </c>
      <c r="Q1541" t="s">
        <v>3533</v>
      </c>
    </row>
    <row r="1542" spans="1:17" ht="15.75" x14ac:dyDescent="0.25">
      <c r="A1542" s="3" t="str">
        <f>HYPERLINK("https://mineralandmatter.com/collections/home-goods/products/elements-of-sage-rose-sage-bundle", "https://mineralandmatter.com/collections/home-goods/products/elements-of-sage-rose-sage-bundle")</f>
        <v>https://mineralandmatter.com/collections/home-goods/products/elements-of-sage-rose-sage-bundle</v>
      </c>
      <c r="B1542" s="3" t="str">
        <f>HYPERLINK("https://mineralandmatter.com/products/elements-of-sage-rose-sage-bundle", "https://mineralandmatter.com/products/elements-of-sage-rose-sage-bundle")</f>
        <v>https://mineralandmatter.com/products/elements-of-sage-rose-sage-bundle</v>
      </c>
      <c r="C1542" t="s">
        <v>3534</v>
      </c>
      <c r="D1542" t="s">
        <v>3456</v>
      </c>
      <c r="E1542" s="3" t="str">
        <f>HYPERLINK("https://www.amazon.com/Sunflower-Serenity-Cleansing-Smudging-Negative/dp/B0BQLRKDB4/ref=sr_1_4?keywords=Elements+of+Sage+Rose+Sage+Bundle&amp;qid=1695259027&amp;sr=8-4", "https://www.amazon.com/Sunflower-Serenity-Cleansing-Smudging-Negative/dp/B0BQLRKDB4/ref=sr_1_4?keywords=Elements+of+Sage+Rose+Sage+Bundle&amp;qid=1695259027&amp;sr=8-4")</f>
        <v>https://www.amazon.com/Sunflower-Serenity-Cleansing-Smudging-Negative/dp/B0BQLRKDB4/ref=sr_1_4?keywords=Elements+of+Sage+Rose+Sage+Bundle&amp;qid=1695259027&amp;sr=8-4</v>
      </c>
      <c r="F1542" t="s">
        <v>3457</v>
      </c>
      <c r="G1542" t="e">
        <f ca="1">IMAGE("https://mineralandmatter.com/cdn/shop/products/ScreenShot2022-05-20at3.18.57PM_1080x.png?v=1653081587")</f>
        <v>#NAME?</v>
      </c>
      <c r="H1542" t="e">
        <f ca="1">IMAGE("https://m.media-amazon.com/images/I/6165YGYkVAL._AC_UL320_.jpg")</f>
        <v>#NAME?</v>
      </c>
      <c r="I1542" t="s">
        <v>3535</v>
      </c>
      <c r="J1542">
        <v>19.989999999999998</v>
      </c>
      <c r="K1542" s="2" t="s">
        <v>3536</v>
      </c>
      <c r="L1542">
        <v>4.4000000000000004</v>
      </c>
      <c r="M1542">
        <v>71</v>
      </c>
      <c r="O1542" t="s">
        <v>26</v>
      </c>
      <c r="P1542" t="s">
        <v>39</v>
      </c>
      <c r="Q1542" t="s">
        <v>3537</v>
      </c>
    </row>
    <row r="1543" spans="1:17" ht="15.75" x14ac:dyDescent="0.25">
      <c r="A1543" s="3" t="str">
        <f>HYPERLINK("https://mineralandmatter.com/collections/home-goods/products/pavilia-faux-fur-sherpa-throw-blanket", "https://mineralandmatter.com/collections/home-goods/products/pavilia-faux-fur-sherpa-throw-blanket")</f>
        <v>https://mineralandmatter.com/collections/home-goods/products/pavilia-faux-fur-sherpa-throw-blanket</v>
      </c>
      <c r="B1543" s="3" t="str">
        <f>HYPERLINK("https://mineralandmatter.com/products/pavilia-faux-fur-sherpa-throw-blanket", "https://mineralandmatter.com/products/pavilia-faux-fur-sherpa-throw-blanket")</f>
        <v>https://mineralandmatter.com/products/pavilia-faux-fur-sherpa-throw-blanket</v>
      </c>
      <c r="C1543" t="s">
        <v>3473</v>
      </c>
      <c r="D1543" t="s">
        <v>3538</v>
      </c>
      <c r="E1543" s="3" t="str">
        <f>HYPERLINK("https://www.amazon.com/Connecticut-Home-Company-Reversible-/dp/B07NMS4XNF/ref=sr_1_5?keywords=Pavilia+Faux+Fur+Sherpa+Throw+Blanket&amp;qid=1695259052&amp;sr=8-5", "https://www.amazon.com/Connecticut-Home-Company-Reversible-/dp/B07NMS4XNF/ref=sr_1_5?keywords=Pavilia+Faux+Fur+Sherpa+Throw+Blanket&amp;qid=1695259052&amp;sr=8-5")</f>
        <v>https://www.amazon.com/Connecticut-Home-Company-Reversible-/dp/B07NMS4XNF/ref=sr_1_5?keywords=Pavilia+Faux+Fur+Sherpa+Throw+Blanket&amp;qid=1695259052&amp;sr=8-5</v>
      </c>
      <c r="F1543" t="s">
        <v>3539</v>
      </c>
      <c r="G1543" t="e">
        <f ca="1">IMAGE("https://mineralandmatter.com/cdn/shop/products/46256c1a724178a9e03adc302ff94bbd55e861c9b10e3616b6bf52f6d2159e35_1080x.jpg?v=1683754925")</f>
        <v>#NAME?</v>
      </c>
      <c r="H1543" t="e">
        <f ca="1">IMAGE("https://m.media-amazon.com/images/I/61ZpO4VwDOL._AC_UL320_.jpg")</f>
        <v>#NAME?</v>
      </c>
      <c r="I1543" t="s">
        <v>3476</v>
      </c>
      <c r="J1543">
        <v>21.97</v>
      </c>
      <c r="K1543" s="2" t="s">
        <v>3540</v>
      </c>
      <c r="L1543">
        <v>4.5999999999999996</v>
      </c>
      <c r="M1543">
        <v>18104</v>
      </c>
      <c r="O1543" t="s">
        <v>26</v>
      </c>
      <c r="P1543" t="s">
        <v>39</v>
      </c>
      <c r="Q1543" t="s">
        <v>3478</v>
      </c>
    </row>
    <row r="1544" spans="1:17" ht="15.75" x14ac:dyDescent="0.25">
      <c r="A1544" s="3" t="str">
        <f>HYPERLINK("https://mineralandmatter.com/collections/home-goods/products/cedar-and-myrrh-burning-ritual-handmade-palo-santo-cone", "https://mineralandmatter.com/collections/home-goods/products/cedar-and-myrrh-burning-ritual-handmade-palo-santo-cone")</f>
        <v>https://mineralandmatter.com/collections/home-goods/products/cedar-and-myrrh-burning-ritual-handmade-palo-santo-cone</v>
      </c>
      <c r="B1544" s="3" t="str">
        <f>HYPERLINK("https://mineralandmatter.com/products/cedar-and-myrrh-burning-ritual-handmade-palo-santo-cone", "https://mineralandmatter.com/products/cedar-and-myrrh-burning-ritual-handmade-palo-santo-cone")</f>
        <v>https://mineralandmatter.com/products/cedar-and-myrrh-burning-ritual-handmade-palo-santo-cone</v>
      </c>
      <c r="C1544" t="s">
        <v>3541</v>
      </c>
      <c r="D1544" t="s">
        <v>3542</v>
      </c>
      <c r="E1544" s="3" t="str">
        <f>HYPERLINK("https://www.amazon.com/Luna-Sundara-Handmade-Sustainably-Harvested/dp/B097S1QCYT/ref=sr_1_2?keywords=Cedar+and+Myrrh+Handmade+Palo+Santo+Cone&amp;qid=1695259060&amp;sr=8-2", "https://www.amazon.com/Luna-Sundara-Handmade-Sustainably-Harvested/dp/B097S1QCYT/ref=sr_1_2?keywords=Cedar+and+Myrrh+Handmade+Palo+Santo+Cone&amp;qid=1695259060&amp;sr=8-2")</f>
        <v>https://www.amazon.com/Luna-Sundara-Handmade-Sustainably-Harvested/dp/B097S1QCYT/ref=sr_1_2?keywords=Cedar+and+Myrrh+Handmade+Palo+Santo+Cone&amp;qid=1695259060&amp;sr=8-2</v>
      </c>
      <c r="F1544" t="s">
        <v>3543</v>
      </c>
      <c r="G1544" t="e">
        <f ca="1">IMAGE("https://mineralandmatter.com/cdn/shop/products/5d071122c0300c131bd8d65e7ac5a66d0880a27f6d894a66b4b964fba3c8d34b_1080x.jpg?v=1691866399")</f>
        <v>#NAME?</v>
      </c>
      <c r="H1544" t="e">
        <f ca="1">IMAGE("https://m.media-amazon.com/images/I/61Sudd8WPhS._AC_UL320_.jpg")</f>
        <v>#NAME?</v>
      </c>
      <c r="I1544" t="s">
        <v>3544</v>
      </c>
      <c r="J1544">
        <v>13.99</v>
      </c>
      <c r="K1544" s="2" t="s">
        <v>3545</v>
      </c>
      <c r="L1544">
        <v>4.4000000000000004</v>
      </c>
      <c r="M1544">
        <v>156</v>
      </c>
      <c r="O1544" t="s">
        <v>26</v>
      </c>
      <c r="P1544" t="s">
        <v>39</v>
      </c>
      <c r="Q1544" t="s">
        <v>3546</v>
      </c>
    </row>
    <row r="1545" spans="1:17" ht="15.75" x14ac:dyDescent="0.25">
      <c r="A1545" s="3" t="str">
        <f>HYPERLINK("https://mineralandmatter.com/collections/home-goods/products/halfmoon-cotton-practice-rug", "https://mineralandmatter.com/collections/home-goods/products/halfmoon-cotton-practice-rug")</f>
        <v>https://mineralandmatter.com/collections/home-goods/products/halfmoon-cotton-practice-rug</v>
      </c>
      <c r="B1545" s="3" t="str">
        <f>HYPERLINK("https://mineralandmatter.com/products/halfmoon-cotton-practice-rug", "https://mineralandmatter.com/products/halfmoon-cotton-practice-rug")</f>
        <v>https://mineralandmatter.com/products/halfmoon-cotton-practice-rug</v>
      </c>
      <c r="C1545" t="s">
        <v>3547</v>
      </c>
      <c r="D1545" t="s">
        <v>3548</v>
      </c>
      <c r="E1545" s="3" t="str">
        <f>HYPERLINK("https://www.amazon.com/Halfmoon-Yoga-Blanket-100-Cotton/dp/B09BGG9KFG/ref=sr_1_2?keywords=Halfmoon+Cotton+Practice+Rug&amp;qid=1695259048&amp;sr=8-2", "https://www.amazon.com/Halfmoon-Yoga-Blanket-100-Cotton/dp/B09BGG9KFG/ref=sr_1_2?keywords=Halfmoon+Cotton+Practice+Rug&amp;qid=1695259048&amp;sr=8-2")</f>
        <v>https://www.amazon.com/Halfmoon-Yoga-Blanket-100-Cotton/dp/B09BGG9KFG/ref=sr_1_2?keywords=Halfmoon+Cotton+Practice+Rug&amp;qid=1695259048&amp;sr=8-2</v>
      </c>
      <c r="F1545" t="s">
        <v>3549</v>
      </c>
      <c r="G1545" t="e">
        <f ca="1">IMAGE("https://mineralandmatter.com/cdn/shop/files/ScreenShot2023-05-22at12.02.48PM_1080x.png?v=1684778614")</f>
        <v>#NAME?</v>
      </c>
      <c r="H1545" t="e">
        <f ca="1">IMAGE("https://m.media-amazon.com/images/I/71bz9-BH-gL._AC_UL320_.jpg")</f>
        <v>#NAME?</v>
      </c>
      <c r="I1545" t="s">
        <v>3550</v>
      </c>
      <c r="J1545">
        <v>64</v>
      </c>
      <c r="K1545" s="2" t="s">
        <v>3551</v>
      </c>
      <c r="L1545">
        <v>4.4000000000000004</v>
      </c>
      <c r="M1545">
        <v>12</v>
      </c>
      <c r="O1545" t="s">
        <v>26</v>
      </c>
      <c r="P1545" t="s">
        <v>39</v>
      </c>
      <c r="Q1545" t="s">
        <v>3552</v>
      </c>
    </row>
    <row r="1546" spans="1:17" ht="15.75" x14ac:dyDescent="0.25">
      <c r="A1546" s="3" t="str">
        <f>HYPERLINK("https://mineralandmatter.com/collections/home-goods/products/botanica-incense-sticks", "https://mineralandmatter.com/collections/home-goods/products/botanica-incense-sticks")</f>
        <v>https://mineralandmatter.com/collections/home-goods/products/botanica-incense-sticks</v>
      </c>
      <c r="B1546" s="3" t="str">
        <f>HYPERLINK("https://mineralandmatter.com/products/botanica-incense-sticks", "https://mineralandmatter.com/products/botanica-incense-sticks")</f>
        <v>https://mineralandmatter.com/products/botanica-incense-sticks</v>
      </c>
      <c r="C1546" t="s">
        <v>3479</v>
      </c>
      <c r="D1546" t="s">
        <v>3553</v>
      </c>
      <c r="E1546" s="3" t="str">
        <f>HYPERLINK("https://www.amazon.com/Original-Botanica-Devil-Incense-Stick/dp/B01C4YXJRU/ref=sr_1_2?keywords=Botanica+Incense+Sticks&amp;qid=1695259016&amp;sr=8-2", "https://www.amazon.com/Original-Botanica-Devil-Incense-Stick/dp/B01C4YXJRU/ref=sr_1_2?keywords=Botanica+Incense+Sticks&amp;qid=1695259016&amp;sr=8-2")</f>
        <v>https://www.amazon.com/Original-Botanica-Devil-Incense-Stick/dp/B01C4YXJRU/ref=sr_1_2?keywords=Botanica+Incense+Sticks&amp;qid=1695259016&amp;sr=8-2</v>
      </c>
      <c r="F1546" t="s">
        <v>3554</v>
      </c>
      <c r="G1546" t="e">
        <f ca="1">IMAGE("https://mineralandmatter.com/cdn/shop/products/ScreenShot2023-04-18at4.54.58PM_1080x.png?v=1684783324")</f>
        <v>#NAME?</v>
      </c>
      <c r="H1546" t="e">
        <f ca="1">IMAGE("https://m.media-amazon.com/images/I/611K0MM5+mL._AC_UL320_.jpg")</f>
        <v>#NAME?</v>
      </c>
      <c r="I1546" t="s">
        <v>3482</v>
      </c>
      <c r="J1546">
        <v>11.95</v>
      </c>
      <c r="K1546" s="2" t="s">
        <v>3555</v>
      </c>
      <c r="L1546">
        <v>4.4000000000000004</v>
      </c>
      <c r="M1546">
        <v>261</v>
      </c>
      <c r="O1546" t="s">
        <v>26</v>
      </c>
      <c r="P1546" t="s">
        <v>39</v>
      </c>
      <c r="Q1546" t="s">
        <v>3484</v>
      </c>
    </row>
    <row r="1547" spans="1:17" ht="15.75" x14ac:dyDescent="0.25">
      <c r="A1547" s="3" t="str">
        <f>HYPERLINK("https://mineralandmatter.com/collections/home-goods/products/burning-ritual-hand-rolled-palo-santo-incense-stick", "https://mineralandmatter.com/collections/home-goods/products/burning-ritual-hand-rolled-palo-santo-incense-stick")</f>
        <v>https://mineralandmatter.com/collections/home-goods/products/burning-ritual-hand-rolled-palo-santo-incense-stick</v>
      </c>
      <c r="B1547" s="3" t="str">
        <f>HYPERLINK("https://mineralandmatter.com/products/burning-ritual-hand-rolled-palo-santo-incense-stick", "https://mineralandmatter.com/products/burning-ritual-hand-rolled-palo-santo-incense-stick")</f>
        <v>https://mineralandmatter.com/products/burning-ritual-hand-rolled-palo-santo-incense-stick</v>
      </c>
      <c r="C1547" t="s">
        <v>3512</v>
      </c>
      <c r="D1547" t="s">
        <v>3524</v>
      </c>
      <c r="E1547" s="3" t="str">
        <f>HYPERLINK("https://www.amazon.com/Folkulture-Santo-Cedar-Incense-Sticks/dp/B0BJF5BK2C/ref=sr_1_2?keywords=Cedar+and+Myrrh+Palo+Santo+Incense&amp;qid=1695259028&amp;rdc=1&amp;sr=8-2", "https://www.amazon.com/Folkulture-Santo-Cedar-Incense-Sticks/dp/B0BJF5BK2C/ref=sr_1_2?keywords=Cedar+and+Myrrh+Palo+Santo+Incense&amp;qid=1695259028&amp;rdc=1&amp;sr=8-2")</f>
        <v>https://www.amazon.com/Folkulture-Santo-Cedar-Incense-Sticks/dp/B0BJF5BK2C/ref=sr_1_2?keywords=Cedar+and+Myrrh+Palo+Santo+Incense&amp;qid=1695259028&amp;rdc=1&amp;sr=8-2</v>
      </c>
      <c r="F1547" t="s">
        <v>3525</v>
      </c>
      <c r="G1547" t="e">
        <f ca="1">IMAGE("https://mineralandmatter.com/cdn/shop/products/701b0eade30d718d1f6e276215350c53b6f73ca8e25993dcdc6a856e57799b55_1080x.jpg?v=1612255211")</f>
        <v>#NAME?</v>
      </c>
      <c r="H1547" t="e">
        <f ca="1">IMAGE("https://m.media-amazon.com/images/I/91kFkOXwBbL._AC_UL320_.jpg")</f>
        <v>#NAME?</v>
      </c>
      <c r="I1547" t="s">
        <v>3515</v>
      </c>
      <c r="J1547">
        <v>8.99</v>
      </c>
      <c r="K1547" s="2" t="s">
        <v>3556</v>
      </c>
      <c r="L1547">
        <v>4.2</v>
      </c>
      <c r="M1547">
        <v>399</v>
      </c>
      <c r="O1547" t="s">
        <v>26</v>
      </c>
      <c r="P1547" t="s">
        <v>39</v>
      </c>
      <c r="Q1547" t="s">
        <v>3517</v>
      </c>
    </row>
    <row r="1548" spans="1:17" ht="15.75" x14ac:dyDescent="0.25">
      <c r="A1548" s="3" t="str">
        <f>HYPERLINK("https://mineralandmatter.com/collections/home-goods/products/cedar-and-myrrh-burning-ritual-handmade-palo-santo-cone", "https://mineralandmatter.com/collections/home-goods/products/cedar-and-myrrh-burning-ritual-handmade-palo-santo-cone")</f>
        <v>https://mineralandmatter.com/collections/home-goods/products/cedar-and-myrrh-burning-ritual-handmade-palo-santo-cone</v>
      </c>
      <c r="B1548" s="3" t="str">
        <f>HYPERLINK("https://mineralandmatter.com/products/cedar-and-myrrh-burning-ritual-handmade-palo-santo-cone", "https://mineralandmatter.com/products/cedar-and-myrrh-burning-ritual-handmade-palo-santo-cone")</f>
        <v>https://mineralandmatter.com/products/cedar-and-myrrh-burning-ritual-handmade-palo-santo-cone</v>
      </c>
      <c r="C1548" t="s">
        <v>3541</v>
      </c>
      <c r="D1548" t="s">
        <v>3557</v>
      </c>
      <c r="E1548" s="3" t="str">
        <f>HYPERLINK("https://www.amazon.com/Bless-International-100-Natural-Incense-Cones-Handmade-Hand-Dipped-Best-scents/dp/B0B751ZHHD/ref=sr_1_3?keywords=Cedar+and+Myrrh+Handmade+Palo+Santo+Cone&amp;qid=1695259060&amp;sr=8-3", "https://www.amazon.com/Bless-International-100-Natural-Incense-Cones-Handmade-Hand-Dipped-Best-scents/dp/B0B751ZHHD/ref=sr_1_3?keywords=Cedar+and+Myrrh+Handmade+Palo+Santo+Cone&amp;qid=1695259060&amp;sr=8-3")</f>
        <v>https://www.amazon.com/Bless-International-100-Natural-Incense-Cones-Handmade-Hand-Dipped-Best-scents/dp/B0B751ZHHD/ref=sr_1_3?keywords=Cedar+and+Myrrh+Handmade+Palo+Santo+Cone&amp;qid=1695259060&amp;sr=8-3</v>
      </c>
      <c r="F1548" t="s">
        <v>3558</v>
      </c>
      <c r="G1548" t="e">
        <f ca="1">IMAGE("https://mineralandmatter.com/cdn/shop/products/5d071122c0300c131bd8d65e7ac5a66d0880a27f6d894a66b4b964fba3c8d34b_1080x.jpg?v=1691866399")</f>
        <v>#NAME?</v>
      </c>
      <c r="H1548" t="e">
        <f ca="1">IMAGE("https://m.media-amazon.com/images/I/71HuoI6GKNL._AC_UL320_.jpg")</f>
        <v>#NAME?</v>
      </c>
      <c r="I1548" t="s">
        <v>3544</v>
      </c>
      <c r="J1548">
        <v>11.99</v>
      </c>
      <c r="K1548" s="2" t="s">
        <v>3559</v>
      </c>
      <c r="L1548">
        <v>4.2</v>
      </c>
      <c r="M1548">
        <v>1408</v>
      </c>
      <c r="O1548" t="s">
        <v>26</v>
      </c>
      <c r="P1548" t="s">
        <v>39</v>
      </c>
      <c r="Q1548" t="s">
        <v>3546</v>
      </c>
    </row>
    <row r="1549" spans="1:17" ht="15.75" x14ac:dyDescent="0.25">
      <c r="A1549" s="3" t="str">
        <f>HYPERLINK("https://mineralandmatter.com/collections/home-goods/products/halfmoon-cotton-practice-rug", "https://mineralandmatter.com/collections/home-goods/products/halfmoon-cotton-practice-rug")</f>
        <v>https://mineralandmatter.com/collections/home-goods/products/halfmoon-cotton-practice-rug</v>
      </c>
      <c r="B1549" s="3" t="str">
        <f>HYPERLINK("https://mineralandmatter.com/products/halfmoon-cotton-practice-rug", "https://mineralandmatter.com/products/halfmoon-cotton-practice-rug")</f>
        <v>https://mineralandmatter.com/products/halfmoon-cotton-practice-rug</v>
      </c>
      <c r="C1549" t="s">
        <v>3547</v>
      </c>
      <c r="D1549" t="s">
        <v>3560</v>
      </c>
      <c r="E1549" s="3" t="str">
        <f>HYPERLINK("https://www.amazon.com/Halfmoon-Products-India-Cotton-Blanket/dp/B07G3LDD5T/ref=sr_1_1?keywords=Halfmoon+Cotton+Practice+Rug&amp;qid=1695259048&amp;sr=8-1", "https://www.amazon.com/Halfmoon-Products-India-Cotton-Blanket/dp/B07G3LDD5T/ref=sr_1_1?keywords=Halfmoon+Cotton+Practice+Rug&amp;qid=1695259048&amp;sr=8-1")</f>
        <v>https://www.amazon.com/Halfmoon-Products-India-Cotton-Blanket/dp/B07G3LDD5T/ref=sr_1_1?keywords=Halfmoon+Cotton+Practice+Rug&amp;qid=1695259048&amp;sr=8-1</v>
      </c>
      <c r="F1549" t="s">
        <v>3561</v>
      </c>
      <c r="G1549" t="e">
        <f ca="1">IMAGE("https://mineralandmatter.com/cdn/shop/files/ScreenShot2023-05-22at12.02.48PM_1080x.png?v=1684778614")</f>
        <v>#NAME?</v>
      </c>
      <c r="H1549" t="e">
        <f ca="1">IMAGE("https://m.media-amazon.com/images/I/41Y5OArOgZL._AC_UL320_.jpg")</f>
        <v>#NAME?</v>
      </c>
      <c r="I1549" t="s">
        <v>3550</v>
      </c>
      <c r="J1549">
        <v>54</v>
      </c>
      <c r="K1549" s="2" t="s">
        <v>3562</v>
      </c>
      <c r="L1549">
        <v>4.5</v>
      </c>
      <c r="M1549">
        <v>29</v>
      </c>
      <c r="O1549" t="s">
        <v>26</v>
      </c>
      <c r="P1549" t="s">
        <v>39</v>
      </c>
      <c r="Q1549" t="s">
        <v>3552</v>
      </c>
    </row>
    <row r="1550" spans="1:17" ht="15.75" x14ac:dyDescent="0.25">
      <c r="A1550" s="3" t="str">
        <f>HYPERLINK("https://mineralandmatter.com/collections/home-goods/products/our-dining-table-iridescent-water-glass-mug-with-bamboo-lid", "https://mineralandmatter.com/collections/home-goods/products/our-dining-table-iridescent-water-glass-mug-with-bamboo-lid")</f>
        <v>https://mineralandmatter.com/collections/home-goods/products/our-dining-table-iridescent-water-glass-mug-with-bamboo-lid</v>
      </c>
      <c r="B1550" s="3" t="str">
        <f>HYPERLINK("https://mineralandmatter.com/products/our-dining-table-iridescent-water-glass-mug-with-bamboo-lid", "https://mineralandmatter.com/products/our-dining-table-iridescent-water-glass-mug-with-bamboo-lid")</f>
        <v>https://mineralandmatter.com/products/our-dining-table-iridescent-water-glass-mug-with-bamboo-lid</v>
      </c>
      <c r="C1550" t="s">
        <v>3563</v>
      </c>
      <c r="D1550" t="s">
        <v>3564</v>
      </c>
      <c r="E1550" s="3" t="str">
        <f>HYPERLINK("https://www.amazon.com/1500%C2%B0-TABLETOP-Iridescent-Chocolate-Americano/dp/B0BMFDFRX3/ref=sr_1_6?keywords=Our+Dining+Table+Iridescent+Glass+Mug+with+Bamboo+Lid&amp;qid=1695259050&amp;sr=8-6", "https://www.amazon.com/1500%C2%B0-TABLETOP-Iridescent-Chocolate-Americano/dp/B0BMFDFRX3/ref=sr_1_6?keywords=Our+Dining+Table+Iridescent+Glass+Mug+with+Bamboo+Lid&amp;qid=1695259050&amp;sr=8-6")</f>
        <v>https://www.amazon.com/1500%C2%B0-TABLETOP-Iridescent-Chocolate-Americano/dp/B0BMFDFRX3/ref=sr_1_6?keywords=Our+Dining+Table+Iridescent+Glass+Mug+with+Bamboo+Lid&amp;qid=1695259050&amp;sr=8-6</v>
      </c>
      <c r="F1550" t="s">
        <v>3565</v>
      </c>
      <c r="G1550" t="e">
        <f ca="1">IMAGE("https://mineralandmatter.com/cdn/shop/products/089ed0cc19cb0a7cbfbe9e9678f1a5cbcc13a30188ab5e8923e7b498bf15dc10_1080x.jpg?v=1683754837")</f>
        <v>#NAME?</v>
      </c>
      <c r="H1550" t="e">
        <f ca="1">IMAGE("https://m.media-amazon.com/images/I/71Zt+fRLeML._AC_UL320_.jpg")</f>
        <v>#NAME?</v>
      </c>
      <c r="I1550" t="s">
        <v>3566</v>
      </c>
      <c r="J1550">
        <v>14.99</v>
      </c>
      <c r="K1550" s="2" t="s">
        <v>3567</v>
      </c>
      <c r="L1550">
        <v>5</v>
      </c>
      <c r="M1550">
        <v>3</v>
      </c>
      <c r="O1550" t="s">
        <v>26</v>
      </c>
      <c r="P1550" t="s">
        <v>39</v>
      </c>
      <c r="Q1550" t="s">
        <v>3568</v>
      </c>
    </row>
    <row r="1551" spans="1:17" ht="15.75" x14ac:dyDescent="0.25">
      <c r="A1551" s="3" t="str">
        <f>HYPERLINK("https://mineralandmatter.com/collections/home-goods/products/pavilia-faux-fur-sherpa-throw-blanket", "https://mineralandmatter.com/collections/home-goods/products/pavilia-faux-fur-sherpa-throw-blanket")</f>
        <v>https://mineralandmatter.com/collections/home-goods/products/pavilia-faux-fur-sherpa-throw-blanket</v>
      </c>
      <c r="B1551" s="3" t="str">
        <f>HYPERLINK("https://mineralandmatter.com/products/pavilia-faux-fur-sherpa-throw-blanket", "https://mineralandmatter.com/products/pavilia-faux-fur-sherpa-throw-blanket")</f>
        <v>https://mineralandmatter.com/products/pavilia-faux-fur-sherpa-throw-blanket</v>
      </c>
      <c r="C1551" t="s">
        <v>3473</v>
      </c>
      <c r="D1551" t="s">
        <v>3569</v>
      </c>
      <c r="E1551" s="3" t="str">
        <f>HYPERLINK("https://www.amazon.com/PAVILIA-Sherpa-Blanket-Microfiber-Lightweight/dp/B07K43M5HJ/ref=sr_1_3?keywords=Pavilia+Faux+Fur+Sherpa+Throw+Blanket&amp;qid=1695259052&amp;sr=8-3", "https://www.amazon.com/PAVILIA-Sherpa-Blanket-Microfiber-Lightweight/dp/B07K43M5HJ/ref=sr_1_3?keywords=Pavilia+Faux+Fur+Sherpa+Throw+Blanket&amp;qid=1695259052&amp;sr=8-3")</f>
        <v>https://www.amazon.com/PAVILIA-Sherpa-Blanket-Microfiber-Lightweight/dp/B07K43M5HJ/ref=sr_1_3?keywords=Pavilia+Faux+Fur+Sherpa+Throw+Blanket&amp;qid=1695259052&amp;sr=8-3</v>
      </c>
      <c r="F1551" t="s">
        <v>3570</v>
      </c>
      <c r="G1551" t="e">
        <f ca="1">IMAGE("https://mineralandmatter.com/cdn/shop/products/46256c1a724178a9e03adc302ff94bbd55e861c9b10e3616b6bf52f6d2159e35_1080x.jpg?v=1683754925")</f>
        <v>#NAME?</v>
      </c>
      <c r="H1551" t="e">
        <f ca="1">IMAGE("https://m.media-amazon.com/images/I/91fembNjyTL._AC_UL320_.jpg")</f>
        <v>#NAME?</v>
      </c>
      <c r="I1551" t="s">
        <v>3476</v>
      </c>
      <c r="J1551">
        <v>15.99</v>
      </c>
      <c r="K1551" s="2" t="s">
        <v>3571</v>
      </c>
      <c r="L1551">
        <v>4.5</v>
      </c>
      <c r="M1551">
        <v>7979</v>
      </c>
      <c r="O1551" t="s">
        <v>26</v>
      </c>
      <c r="P1551" t="s">
        <v>39</v>
      </c>
      <c r="Q1551" t="s">
        <v>3478</v>
      </c>
    </row>
    <row r="1552" spans="1:17" ht="15.75" x14ac:dyDescent="0.25">
      <c r="A1552" s="3" t="str">
        <f>HYPERLINK("https://mineralandmatter.com/collections/home-goods/products/cedar-and-myrrh-burning-ritual-handmade-palo-santo-cone", "https://mineralandmatter.com/collections/home-goods/products/cedar-and-myrrh-burning-ritual-handmade-palo-santo-cone")</f>
        <v>https://mineralandmatter.com/collections/home-goods/products/cedar-and-myrrh-burning-ritual-handmade-palo-santo-cone</v>
      </c>
      <c r="B1552" s="3" t="str">
        <f>HYPERLINK("https://mineralandmatter.com/products/cedar-and-myrrh-burning-ritual-handmade-palo-santo-cone", "https://mineralandmatter.com/products/cedar-and-myrrh-burning-ritual-handmade-palo-santo-cone")</f>
        <v>https://mineralandmatter.com/products/cedar-and-myrrh-burning-ritual-handmade-palo-santo-cone</v>
      </c>
      <c r="C1552" t="s">
        <v>3541</v>
      </c>
      <c r="D1552" t="s">
        <v>3572</v>
      </c>
      <c r="E1552" s="3" t="str">
        <f>HYPERLINK("https://www.amazon.com/Flora-Janes-Natural-Santo-Incense/dp/B0CCFVFXJZ/ref=sr_1_4?keywords=Cedar+and+Myrrh+Handmade+Palo+Santo+Cone&amp;qid=1695259060&amp;sr=8-4", "https://www.amazon.com/Flora-Janes-Natural-Santo-Incense/dp/B0CCFVFXJZ/ref=sr_1_4?keywords=Cedar+and+Myrrh+Handmade+Palo+Santo+Cone&amp;qid=1695259060&amp;sr=8-4")</f>
        <v>https://www.amazon.com/Flora-Janes-Natural-Santo-Incense/dp/B0CCFVFXJZ/ref=sr_1_4?keywords=Cedar+and+Myrrh+Handmade+Palo+Santo+Cone&amp;qid=1695259060&amp;sr=8-4</v>
      </c>
      <c r="F1552" t="s">
        <v>3573</v>
      </c>
      <c r="G1552" t="e">
        <f ca="1">IMAGE("https://mineralandmatter.com/cdn/shop/products/5d071122c0300c131bd8d65e7ac5a66d0880a27f6d894a66b4b964fba3c8d34b_1080x.jpg?v=1691866399")</f>
        <v>#NAME?</v>
      </c>
      <c r="H1552" t="e">
        <f ca="1">IMAGE("https://m.media-amazon.com/images/I/81oJvdH-QGL._AC_UL320_.jpg")</f>
        <v>#NAME?</v>
      </c>
      <c r="I1552" t="s">
        <v>3544</v>
      </c>
      <c r="J1552">
        <v>9.99</v>
      </c>
      <c r="K1552" s="2" t="s">
        <v>3574</v>
      </c>
      <c r="L1552">
        <v>4</v>
      </c>
      <c r="M1552">
        <v>3</v>
      </c>
      <c r="O1552" t="s">
        <v>26</v>
      </c>
      <c r="P1552" t="s">
        <v>39</v>
      </c>
      <c r="Q1552" t="s">
        <v>3546</v>
      </c>
    </row>
    <row r="1553" spans="1:17" ht="15.75" x14ac:dyDescent="0.25">
      <c r="A1553" s="3" t="str">
        <f>HYPERLINK("https://mineralandmatter.com/collections/home-goods/products/sun-and-moon", "https://mineralandmatter.com/collections/home-goods/products/sun-and-moon")</f>
        <v>https://mineralandmatter.com/collections/home-goods/products/sun-and-moon</v>
      </c>
      <c r="B1553" s="3" t="str">
        <f>HYPERLINK("https://mineralandmatter.com/products/sun-and-moon", "https://mineralandmatter.com/products/sun-and-moon")</f>
        <v>https://mineralandmatter.com/products/sun-and-moon</v>
      </c>
      <c r="C1553" t="s">
        <v>3493</v>
      </c>
      <c r="D1553" t="s">
        <v>3575</v>
      </c>
      <c r="E1553" s="3" t="str">
        <f>HYPERLINK("https://www.amazon.com/Print-Century-Modern-Bedroom-Unframed/dp/B08MCGNNSK/ref=sr_1_2?keywords=colorblock+sun+and+moon+print&amp;qid=1695259035&amp;sr=8-2", "https://www.amazon.com/Print-Century-Modern-Bedroom-Unframed/dp/B08MCGNNSK/ref=sr_1_2?keywords=colorblock+sun+and+moon+print&amp;qid=1695259035&amp;sr=8-2")</f>
        <v>https://www.amazon.com/Print-Century-Modern-Bedroom-Unframed/dp/B08MCGNNSK/ref=sr_1_2?keywords=colorblock+sun+and+moon+print&amp;qid=1695259035&amp;sr=8-2</v>
      </c>
      <c r="F1553" t="s">
        <v>3576</v>
      </c>
      <c r="G1553" t="e">
        <f ca="1">IMAGE("https://mineralandmatter.com/cdn/shop/products/d049efb938beb563d276399977bbfa430c93e2890d610b3a2ade418c8a1aaa48_1080x.jpg?v=1625208972")</f>
        <v>#NAME?</v>
      </c>
      <c r="H1553" t="e">
        <f ca="1">IMAGE("https://m.media-amazon.com/images/I/71z6uxYNWbL._AC_UL320_.jpg")</f>
        <v>#NAME?</v>
      </c>
      <c r="I1553" t="s">
        <v>3496</v>
      </c>
      <c r="J1553">
        <v>14.86</v>
      </c>
      <c r="K1553" s="2" t="s">
        <v>3577</v>
      </c>
      <c r="L1553">
        <v>3.8</v>
      </c>
      <c r="M1553">
        <v>8</v>
      </c>
      <c r="O1553" t="s">
        <v>26</v>
      </c>
      <c r="P1553" t="s">
        <v>39</v>
      </c>
      <c r="Q1553" t="s">
        <v>3498</v>
      </c>
    </row>
    <row r="1554" spans="1:17" ht="15.75" x14ac:dyDescent="0.25">
      <c r="A1554" s="3" t="str">
        <f>HYPERLINK("https://mineralandmatter.com/collections/home-goods/products/pavilia-faux-fur-sherpa-throw-blanket", "https://mineralandmatter.com/collections/home-goods/products/pavilia-faux-fur-sherpa-throw-blanket")</f>
        <v>https://mineralandmatter.com/collections/home-goods/products/pavilia-faux-fur-sherpa-throw-blanket</v>
      </c>
      <c r="B1554" s="3" t="str">
        <f>HYPERLINK("https://mineralandmatter.com/products/pavilia-faux-fur-sherpa-throw-blanket", "https://mineralandmatter.com/products/pavilia-faux-fur-sherpa-throw-blanket")</f>
        <v>https://mineralandmatter.com/products/pavilia-faux-fur-sherpa-throw-blanket</v>
      </c>
      <c r="C1554" t="s">
        <v>3473</v>
      </c>
      <c r="D1554" t="s">
        <v>3578</v>
      </c>
      <c r="E1554" s="3" t="str">
        <f>HYPERLINK("https://www.amazon.com/Luxury-Faux-Throw-Blanket-Comforter/dp/B07GDVCJTC/ref=sr_1_4?keywords=Pavilia+Faux+Fur+Sherpa+Throw+Blanket&amp;qid=1695259052&amp;sr=8-4", "https://www.amazon.com/Luxury-Faux-Throw-Blanket-Comforter/dp/B07GDVCJTC/ref=sr_1_4?keywords=Pavilia+Faux+Fur+Sherpa+Throw+Blanket&amp;qid=1695259052&amp;sr=8-4")</f>
        <v>https://www.amazon.com/Luxury-Faux-Throw-Blanket-Comforter/dp/B07GDVCJTC/ref=sr_1_4?keywords=Pavilia+Faux+Fur+Sherpa+Throw+Blanket&amp;qid=1695259052&amp;sr=8-4</v>
      </c>
      <c r="F1554" t="s">
        <v>3579</v>
      </c>
      <c r="G1554" t="e">
        <f ca="1">IMAGE("https://mineralandmatter.com/cdn/shop/products/46256c1a724178a9e03adc302ff94bbd55e861c9b10e3616b6bf52f6d2159e35_1080x.jpg?v=1683754925")</f>
        <v>#NAME?</v>
      </c>
      <c r="H1554" t="e">
        <f ca="1">IMAGE("https://m.media-amazon.com/images/I/81D1lZq0AhL._AC_UL320_.jpg")</f>
        <v>#NAME?</v>
      </c>
      <c r="I1554" t="s">
        <v>3476</v>
      </c>
      <c r="J1554">
        <v>14.95</v>
      </c>
      <c r="K1554" s="2" t="s">
        <v>3580</v>
      </c>
      <c r="L1554">
        <v>4.7</v>
      </c>
      <c r="M1554">
        <v>1185</v>
      </c>
      <c r="O1554" t="s">
        <v>26</v>
      </c>
      <c r="P1554" t="s">
        <v>39</v>
      </c>
      <c r="Q1554" t="s">
        <v>3478</v>
      </c>
    </row>
    <row r="1555" spans="1:17" ht="15.75" x14ac:dyDescent="0.25">
      <c r="A1555" s="3" t="str">
        <f>HYPERLINK("https://mineralandmatter.com/collections/home-goods/products/botanica-incense-sticks", "https://mineralandmatter.com/collections/home-goods/products/botanica-incense-sticks")</f>
        <v>https://mineralandmatter.com/collections/home-goods/products/botanica-incense-sticks</v>
      </c>
      <c r="B1555" s="3" t="str">
        <f>HYPERLINK("https://mineralandmatter.com/products/botanica-incense-sticks", "https://mineralandmatter.com/products/botanica-incense-sticks")</f>
        <v>https://mineralandmatter.com/products/botanica-incense-sticks</v>
      </c>
      <c r="C1555" t="s">
        <v>3479</v>
      </c>
      <c r="D1555" t="s">
        <v>3581</v>
      </c>
      <c r="E1555" s="3" t="str">
        <f>HYPERLINK("https://www.amazon.com/Herbs-Botanica-Sandalwood-Natural-Chandan/dp/B0C7MZ7381/ref=sr_1_1?keywords=Botanica+Incense+Sticks&amp;qid=1695259016&amp;sr=8-1", "https://www.amazon.com/Herbs-Botanica-Sandalwood-Natural-Chandan/dp/B0C7MZ7381/ref=sr_1_1?keywords=Botanica+Incense+Sticks&amp;qid=1695259016&amp;sr=8-1")</f>
        <v>https://www.amazon.com/Herbs-Botanica-Sandalwood-Natural-Chandan/dp/B0C7MZ7381/ref=sr_1_1?keywords=Botanica+Incense+Sticks&amp;qid=1695259016&amp;sr=8-1</v>
      </c>
      <c r="F1555" t="s">
        <v>3582</v>
      </c>
      <c r="G1555" t="e">
        <f ca="1">IMAGE("https://mineralandmatter.com/cdn/shop/products/ScreenShot2023-04-18at4.54.58PM_1080x.png?v=1684783324")</f>
        <v>#NAME?</v>
      </c>
      <c r="H1555" t="e">
        <f ca="1">IMAGE("https://m.media-amazon.com/images/I/71soYEmGTVL._AC_UL320_.jpg")</f>
        <v>#NAME?</v>
      </c>
      <c r="I1555" t="s">
        <v>3482</v>
      </c>
      <c r="J1555">
        <v>8.25</v>
      </c>
      <c r="K1555" s="2" t="s">
        <v>3583</v>
      </c>
      <c r="L1555">
        <v>4</v>
      </c>
      <c r="M1555">
        <v>3</v>
      </c>
      <c r="O1555" t="s">
        <v>26</v>
      </c>
      <c r="P1555" t="s">
        <v>39</v>
      </c>
      <c r="Q1555" t="s">
        <v>3484</v>
      </c>
    </row>
    <row r="1556" spans="1:17" ht="15.75" x14ac:dyDescent="0.25">
      <c r="A1556" s="3" t="str">
        <f>HYPERLINK("https://mineralandmatter.com/collections/home-goods/products/cedar-and-myrrh-matt-brass-incense-holder-with-ash-catcher", "https://mineralandmatter.com/collections/home-goods/products/cedar-and-myrrh-matt-brass-incense-holder-with-ash-catcher")</f>
        <v>https://mineralandmatter.com/collections/home-goods/products/cedar-and-myrrh-matt-brass-incense-holder-with-ash-catcher</v>
      </c>
      <c r="B1556" s="3" t="str">
        <f>HYPERLINK("https://mineralandmatter.com/products/cedar-and-myrrh-matt-brass-incense-holder-with-ash-catcher", "https://mineralandmatter.com/products/cedar-and-myrrh-matt-brass-incense-holder-with-ash-catcher")</f>
        <v>https://mineralandmatter.com/products/cedar-and-myrrh-matt-brass-incense-holder-with-ash-catcher</v>
      </c>
      <c r="C1556" t="s">
        <v>3584</v>
      </c>
      <c r="D1556" t="s">
        <v>3585</v>
      </c>
      <c r="E1556" s="3"/>
      <c r="F1556" t="s">
        <v>3586</v>
      </c>
      <c r="G1556" t="e">
        <f ca="1">IMAGE("https://mineralandmatter.com/cdn/shop/products/32cf6f9120ab0e41c78a7005ed39989c5274030261f0aca9ccfe156b6f3fc940_1080x.jpg?v=1691866395")</f>
        <v>#NAME?</v>
      </c>
      <c r="H1556" t="e">
        <f ca="1">IMAGE("https://m.media-amazon.com/images/I/51ynVICIKnL._AC_UL320_.jpg")</f>
        <v>#NAME?</v>
      </c>
      <c r="I1556" t="s">
        <v>3587</v>
      </c>
      <c r="J1556">
        <v>16.989999999999998</v>
      </c>
      <c r="K1556" s="2" t="s">
        <v>3588</v>
      </c>
      <c r="L1556">
        <v>4.2</v>
      </c>
      <c r="M1556">
        <v>4</v>
      </c>
      <c r="O1556" t="s">
        <v>26</v>
      </c>
      <c r="P1556" t="s">
        <v>39</v>
      </c>
      <c r="Q1556" t="s">
        <v>3589</v>
      </c>
    </row>
    <row r="1557" spans="1:17" ht="15.75" x14ac:dyDescent="0.25">
      <c r="A1557" s="3" t="str">
        <f>HYPERLINK("https://mineralandmatter.com/collections/home-goods/products/halfmoon-new-limited-edition-round-meditation-cushion-boreal", "https://mineralandmatter.com/collections/home-goods/products/halfmoon-new-limited-edition-round-meditation-cushion-boreal")</f>
        <v>https://mineralandmatter.com/collections/home-goods/products/halfmoon-new-limited-edition-round-meditation-cushion-boreal</v>
      </c>
      <c r="B1557" s="3" t="str">
        <f>HYPERLINK("https://mineralandmatter.com/products/halfmoon-new-limited-edition-round-meditation-cushion-boreal", "https://mineralandmatter.com/products/halfmoon-new-limited-edition-round-meditation-cushion-boreal")</f>
        <v>https://mineralandmatter.com/products/halfmoon-new-limited-edition-round-meditation-cushion-boreal</v>
      </c>
      <c r="C1557" t="s">
        <v>3590</v>
      </c>
      <c r="D1557" t="s">
        <v>3591</v>
      </c>
      <c r="E1557" s="3" t="str">
        <f>HYPERLINK("https://www.amazon.com/Kapok-Dreams-Meditation-Cushion-Design/dp/B01LATPZA4/ref=sr_1_2?keywords=Halfmoon+Round+Meditation+Cushion&amp;qid=1695259036&amp;sr=8-2", "https://www.amazon.com/Kapok-Dreams-Meditation-Cushion-Design/dp/B01LATPZA4/ref=sr_1_2?keywords=Halfmoon+Round+Meditation+Cushion&amp;qid=1695259036&amp;sr=8-2")</f>
        <v>https://www.amazon.com/Kapok-Dreams-Meditation-Cushion-Design/dp/B01LATPZA4/ref=sr_1_2?keywords=Halfmoon+Round+Meditation+Cushion&amp;qid=1695259036&amp;sr=8-2</v>
      </c>
      <c r="F1557" t="s">
        <v>3592</v>
      </c>
      <c r="G1557" t="e">
        <f ca="1">IMAGE("https://mineralandmatter.com/cdn/shop/products/f963884d8ab0bd0c46bbe42bb7697b525dca1f2f4fdb79c540da3afb12da73bb_1080x.jpg?v=1684779561")</f>
        <v>#NAME?</v>
      </c>
      <c r="H1557" t="e">
        <f ca="1">IMAGE("https://m.media-amazon.com/images/I/A1dRJjvn20L._AC_UL320_.jpg")</f>
        <v>#NAME?</v>
      </c>
      <c r="I1557" t="s">
        <v>3593</v>
      </c>
      <c r="J1557">
        <v>39.590000000000003</v>
      </c>
      <c r="K1557" s="2" t="s">
        <v>3594</v>
      </c>
      <c r="L1557">
        <v>4.0999999999999996</v>
      </c>
      <c r="M1557">
        <v>50</v>
      </c>
      <c r="O1557" t="s">
        <v>26</v>
      </c>
      <c r="P1557" t="s">
        <v>39</v>
      </c>
      <c r="Q1557" t="s">
        <v>3595</v>
      </c>
    </row>
    <row r="1558" spans="1:17" ht="15.75" x14ac:dyDescent="0.25">
      <c r="A1558" s="3" t="str">
        <f>HYPERLINK("https://mineralandmatter.com/collections/home-goods/products/halfmoon-new-limited-edition-round-meditation-cushion-boreal", "https://mineralandmatter.com/collections/home-goods/products/halfmoon-new-limited-edition-round-meditation-cushion-boreal")</f>
        <v>https://mineralandmatter.com/collections/home-goods/products/halfmoon-new-limited-edition-round-meditation-cushion-boreal</v>
      </c>
      <c r="B1558" s="3" t="str">
        <f>HYPERLINK("https://mineralandmatter.com/products/halfmoon-new-limited-edition-round-meditation-cushion-boreal", "https://mineralandmatter.com/products/halfmoon-new-limited-edition-round-meditation-cushion-boreal")</f>
        <v>https://mineralandmatter.com/products/halfmoon-new-limited-edition-round-meditation-cushion-boreal</v>
      </c>
      <c r="C1558" t="s">
        <v>3590</v>
      </c>
      <c r="D1558" t="s">
        <v>3596</v>
      </c>
      <c r="E1558" s="3" t="str">
        <f>HYPERLINK("https://www.amazon.com/Codi-Meditation-Bohemian-Cushions-Fireplace/dp/B09TDXR7BL/ref=sr_1_1?keywords=Halfmoon+Round+Meditation+Cushion&amp;qid=1695259036&amp;sr=8-1", "https://www.amazon.com/Codi-Meditation-Bohemian-Cushions-Fireplace/dp/B09TDXR7BL/ref=sr_1_1?keywords=Halfmoon+Round+Meditation+Cushion&amp;qid=1695259036&amp;sr=8-1")</f>
        <v>https://www.amazon.com/Codi-Meditation-Bohemian-Cushions-Fireplace/dp/B09TDXR7BL/ref=sr_1_1?keywords=Halfmoon+Round+Meditation+Cushion&amp;qid=1695259036&amp;sr=8-1</v>
      </c>
      <c r="F1558" t="s">
        <v>3597</v>
      </c>
      <c r="G1558" t="e">
        <f ca="1">IMAGE("https://mineralandmatter.com/cdn/shop/products/f963884d8ab0bd0c46bbe42bb7697b525dca1f2f4fdb79c540da3afb12da73bb_1080x.jpg?v=1684779561")</f>
        <v>#NAME?</v>
      </c>
      <c r="H1558" t="e">
        <f ca="1">IMAGE("https://m.media-amazon.com/images/I/813PndeA+QL._AC_UL320_.jpg")</f>
        <v>#NAME?</v>
      </c>
      <c r="I1558" t="s">
        <v>3593</v>
      </c>
      <c r="J1558">
        <v>38.99</v>
      </c>
      <c r="K1558" s="2" t="s">
        <v>3598</v>
      </c>
      <c r="L1558">
        <v>4.7</v>
      </c>
      <c r="M1558">
        <v>714</v>
      </c>
      <c r="O1558" t="s">
        <v>26</v>
      </c>
      <c r="P1558" t="s">
        <v>39</v>
      </c>
      <c r="Q1558" t="s">
        <v>3595</v>
      </c>
    </row>
    <row r="1559" spans="1:17" ht="15.75" x14ac:dyDescent="0.25">
      <c r="A1559" s="3" t="str">
        <f>HYPERLINK("https://mineralandmatter.com/collections/home-goods/products/halfmoon-new-limited-edition-round-meditation-cushion-boreal", "https://mineralandmatter.com/collections/home-goods/products/halfmoon-new-limited-edition-round-meditation-cushion-boreal")</f>
        <v>https://mineralandmatter.com/collections/home-goods/products/halfmoon-new-limited-edition-round-meditation-cushion-boreal</v>
      </c>
      <c r="B1559" s="3" t="str">
        <f>HYPERLINK("https://mineralandmatter.com/products/halfmoon-new-limited-edition-round-meditation-cushion-boreal", "https://mineralandmatter.com/products/halfmoon-new-limited-edition-round-meditation-cushion-boreal")</f>
        <v>https://mineralandmatter.com/products/halfmoon-new-limited-edition-round-meditation-cushion-boreal</v>
      </c>
      <c r="C1559" t="s">
        <v>3590</v>
      </c>
      <c r="D1559" t="s">
        <v>3599</v>
      </c>
      <c r="E1559" s="3" t="str">
        <f>HYPERLINK("https://www.amazon.com/REEHUT-Meditation-Bolster-Pillow-Cushion/dp/B071CDJ24R/ref=sr_1_7?keywords=Halfmoon+Round+Meditation+Cushion&amp;qid=1695259036&amp;sr=8-7", "https://www.amazon.com/REEHUT-Meditation-Bolster-Pillow-Cushion/dp/B071CDJ24R/ref=sr_1_7?keywords=Halfmoon+Round+Meditation+Cushion&amp;qid=1695259036&amp;sr=8-7")</f>
        <v>https://www.amazon.com/REEHUT-Meditation-Bolster-Pillow-Cushion/dp/B071CDJ24R/ref=sr_1_7?keywords=Halfmoon+Round+Meditation+Cushion&amp;qid=1695259036&amp;sr=8-7</v>
      </c>
      <c r="F1559" t="s">
        <v>3600</v>
      </c>
      <c r="G1559" t="e">
        <f ca="1">IMAGE("https://mineralandmatter.com/cdn/shop/products/f963884d8ab0bd0c46bbe42bb7697b525dca1f2f4fdb79c540da3afb12da73bb_1080x.jpg?v=1684779561")</f>
        <v>#NAME?</v>
      </c>
      <c r="H1559" t="e">
        <f ca="1">IMAGE("https://m.media-amazon.com/images/I/81h2DYGHUqL._AC_UL320_.jpg")</f>
        <v>#NAME?</v>
      </c>
      <c r="I1559" t="s">
        <v>3593</v>
      </c>
      <c r="J1559">
        <v>35.99</v>
      </c>
      <c r="K1559" s="2" t="s">
        <v>3601</v>
      </c>
      <c r="L1559">
        <v>4.7</v>
      </c>
      <c r="M1559">
        <v>2996</v>
      </c>
      <c r="O1559" t="s">
        <v>26</v>
      </c>
      <c r="P1559" t="s">
        <v>39</v>
      </c>
      <c r="Q1559" t="s">
        <v>3595</v>
      </c>
    </row>
    <row r="1560" spans="1:17" ht="15.75" x14ac:dyDescent="0.25">
      <c r="A1560" s="3" t="str">
        <f>HYPERLINK("https://mineralandmatter.com/collections/home-goods/products/halfmoon-new-limited-edition-round-meditation-cushion-boreal", "https://mineralandmatter.com/collections/home-goods/products/halfmoon-new-limited-edition-round-meditation-cushion-boreal")</f>
        <v>https://mineralandmatter.com/collections/home-goods/products/halfmoon-new-limited-edition-round-meditation-cushion-boreal</v>
      </c>
      <c r="B1560" s="3" t="str">
        <f>HYPERLINK("https://mineralandmatter.com/products/halfmoon-new-limited-edition-round-meditation-cushion-boreal", "https://mineralandmatter.com/products/halfmoon-new-limited-edition-round-meditation-cushion-boreal")</f>
        <v>https://mineralandmatter.com/products/halfmoon-new-limited-edition-round-meditation-cushion-boreal</v>
      </c>
      <c r="C1560" t="s">
        <v>3590</v>
      </c>
      <c r="D1560" t="s">
        <v>3602</v>
      </c>
      <c r="E1560" s="3" t="str">
        <f>HYPERLINK("https://www.amazon.com/Meditation-Pillows-Seating-Corduroy-Cushion/dp/B0B195GWFB/ref=sr_1_5?keywords=Halfmoon+Round+Meditation+Cushion&amp;qid=1695259036&amp;sr=8-5", "https://www.amazon.com/Meditation-Pillows-Seating-Corduroy-Cushion/dp/B0B195GWFB/ref=sr_1_5?keywords=Halfmoon+Round+Meditation+Cushion&amp;qid=1695259036&amp;sr=8-5")</f>
        <v>https://www.amazon.com/Meditation-Pillows-Seating-Corduroy-Cushion/dp/B0B195GWFB/ref=sr_1_5?keywords=Halfmoon+Round+Meditation+Cushion&amp;qid=1695259036&amp;sr=8-5</v>
      </c>
      <c r="F1560" t="s">
        <v>3603</v>
      </c>
      <c r="G1560" t="e">
        <f ca="1">IMAGE("https://mineralandmatter.com/cdn/shop/products/f963884d8ab0bd0c46bbe42bb7697b525dca1f2f4fdb79c540da3afb12da73bb_1080x.jpg?v=1684779561")</f>
        <v>#NAME?</v>
      </c>
      <c r="H1560" t="e">
        <f ca="1">IMAGE("https://m.media-amazon.com/images/I/81PshLEPP9L._AC_UL320_.jpg")</f>
        <v>#NAME?</v>
      </c>
      <c r="I1560" t="s">
        <v>3593</v>
      </c>
      <c r="J1560">
        <v>29.99</v>
      </c>
      <c r="K1560" s="2" t="s">
        <v>3604</v>
      </c>
      <c r="L1560">
        <v>4.5</v>
      </c>
      <c r="M1560">
        <v>1501</v>
      </c>
      <c r="O1560" t="s">
        <v>26</v>
      </c>
      <c r="P1560" t="s">
        <v>39</v>
      </c>
      <c r="Q1560" t="s">
        <v>3595</v>
      </c>
    </row>
    <row r="1561" spans="1:17" ht="15.75" x14ac:dyDescent="0.25">
      <c r="A1561" s="3" t="str">
        <f>HYPERLINK("https://mineralandmatter.com/collections/home-goods/products/halfmoon-new-limited-edition-round-meditation-cushion-boreal", "https://mineralandmatter.com/collections/home-goods/products/halfmoon-new-limited-edition-round-meditation-cushion-boreal")</f>
        <v>https://mineralandmatter.com/collections/home-goods/products/halfmoon-new-limited-edition-round-meditation-cushion-boreal</v>
      </c>
      <c r="B1561" s="3" t="str">
        <f>HYPERLINK("https://mineralandmatter.com/products/halfmoon-new-limited-edition-round-meditation-cushion-boreal", "https://mineralandmatter.com/products/halfmoon-new-limited-edition-round-meditation-cushion-boreal")</f>
        <v>https://mineralandmatter.com/products/halfmoon-new-limited-edition-round-meditation-cushion-boreal</v>
      </c>
      <c r="C1561" t="s">
        <v>3590</v>
      </c>
      <c r="D1561" t="s">
        <v>3605</v>
      </c>
      <c r="E1561" s="3" t="str">
        <f>HYPERLINK("https://www.amazon.com/Codi-Meditation-Pillows-Seating-Elephant/dp/B0BLTY7V9V/ref=sr_1_8?keywords=Halfmoon+Round+Meditation+Cushion&amp;qid=1695259036&amp;sr=8-8", "https://www.amazon.com/Codi-Meditation-Pillows-Seating-Elephant/dp/B0BLTY7V9V/ref=sr_1_8?keywords=Halfmoon+Round+Meditation+Cushion&amp;qid=1695259036&amp;sr=8-8")</f>
        <v>https://www.amazon.com/Codi-Meditation-Pillows-Seating-Elephant/dp/B0BLTY7V9V/ref=sr_1_8?keywords=Halfmoon+Round+Meditation+Cushion&amp;qid=1695259036&amp;sr=8-8</v>
      </c>
      <c r="F1561" t="s">
        <v>3606</v>
      </c>
      <c r="G1561" t="e">
        <f ca="1">IMAGE("https://mineralandmatter.com/cdn/shop/products/f963884d8ab0bd0c46bbe42bb7697b525dca1f2f4fdb79c540da3afb12da73bb_1080x.jpg?v=1684779561")</f>
        <v>#NAME?</v>
      </c>
      <c r="H1561" t="e">
        <f ca="1">IMAGE("https://m.media-amazon.com/images/I/71ksh7TjfzL._AC_UL320_.jpg")</f>
        <v>#NAME?</v>
      </c>
      <c r="I1561" t="s">
        <v>3593</v>
      </c>
      <c r="J1561">
        <v>27.99</v>
      </c>
      <c r="K1561" s="2" t="s">
        <v>3607</v>
      </c>
      <c r="L1561">
        <v>4.5999999999999996</v>
      </c>
      <c r="M1561">
        <v>163</v>
      </c>
      <c r="O1561" t="s">
        <v>26</v>
      </c>
      <c r="P1561" t="s">
        <v>39</v>
      </c>
      <c r="Q1561" t="s">
        <v>3595</v>
      </c>
    </row>
    <row r="1562" spans="1:17" ht="15.75" x14ac:dyDescent="0.25">
      <c r="A1562" s="3" t="str">
        <f>HYPERLINK("https://mineralandmatter.com/collections/home-goods/products/cedar-and-myrrh-matt-brass-incense-holder-with-ash-catcher", "https://mineralandmatter.com/collections/home-goods/products/cedar-and-myrrh-matt-brass-incense-holder-with-ash-catcher")</f>
        <v>https://mineralandmatter.com/collections/home-goods/products/cedar-and-myrrh-matt-brass-incense-holder-with-ash-catcher</v>
      </c>
      <c r="B1562" s="3" t="str">
        <f>HYPERLINK("https://mineralandmatter.com/products/cedar-and-myrrh-matt-brass-incense-holder-with-ash-catcher", "https://mineralandmatter.com/products/cedar-and-myrrh-matt-brass-incense-holder-with-ash-catcher")</f>
        <v>https://mineralandmatter.com/products/cedar-and-myrrh-matt-brass-incense-holder-with-ash-catcher</v>
      </c>
      <c r="C1562" t="s">
        <v>3584</v>
      </c>
      <c r="D1562" t="s">
        <v>3608</v>
      </c>
      <c r="E1562" s="3" t="str">
        <f>HYPERLINK("https://www.amazon.com/Incense-Catcher-Handmade-Silicone-Mediation/dp/B0C4HBWHCQ/ref=sr_1_8?keywords=Cedar+and+Myrrh+Matt+Brass+Incense+Holder+with+Ash+Catcher&amp;qid=1695259058&amp;sr=8-8", "https://www.amazon.com/Incense-Catcher-Handmade-Silicone-Mediation/dp/B0C4HBWHCQ/ref=sr_1_8?keywords=Cedar+and+Myrrh+Matt+Brass+Incense+Holder+with+Ash+Catcher&amp;qid=1695259058&amp;sr=8-8")</f>
        <v>https://www.amazon.com/Incense-Catcher-Handmade-Silicone-Mediation/dp/B0C4HBWHCQ/ref=sr_1_8?keywords=Cedar+and+Myrrh+Matt+Brass+Incense+Holder+with+Ash+Catcher&amp;qid=1695259058&amp;sr=8-8</v>
      </c>
      <c r="F1562" t="s">
        <v>3609</v>
      </c>
      <c r="G1562" t="e">
        <f ca="1">IMAGE("https://mineralandmatter.com/cdn/shop/products/32cf6f9120ab0e41c78a7005ed39989c5274030261f0aca9ccfe156b6f3fc940_1080x.jpg?v=1691866395")</f>
        <v>#NAME?</v>
      </c>
      <c r="H1562" t="e">
        <f ca="1">IMAGE("https://m.media-amazon.com/images/I/511sBBWPP7L._AC_UL320_.jpg")</f>
        <v>#NAME?</v>
      </c>
      <c r="I1562" t="s">
        <v>3587</v>
      </c>
      <c r="J1562">
        <v>9.99</v>
      </c>
      <c r="K1562" s="2" t="s">
        <v>3610</v>
      </c>
      <c r="L1562">
        <v>5</v>
      </c>
      <c r="M1562">
        <v>4</v>
      </c>
      <c r="O1562" t="s">
        <v>26</v>
      </c>
      <c r="P1562" t="s">
        <v>39</v>
      </c>
      <c r="Q1562" t="s">
        <v>3589</v>
      </c>
    </row>
    <row r="1563" spans="1:17" ht="15.75" x14ac:dyDescent="0.25">
      <c r="A1563" s="3" t="str">
        <f>HYPERLINK("https://mineralandmatter.com/collections/home-goods/products/halfmoon-new-limited-edition-round-meditation-cushion-boreal", "https://mineralandmatter.com/collections/home-goods/products/halfmoon-new-limited-edition-round-meditation-cushion-boreal")</f>
        <v>https://mineralandmatter.com/collections/home-goods/products/halfmoon-new-limited-edition-round-meditation-cushion-boreal</v>
      </c>
      <c r="B1563" s="3" t="str">
        <f>HYPERLINK("https://mineralandmatter.com/products/halfmoon-new-limited-edition-round-meditation-cushion-boreal", "https://mineralandmatter.com/products/halfmoon-new-limited-edition-round-meditation-cushion-boreal")</f>
        <v>https://mineralandmatter.com/products/halfmoon-new-limited-edition-round-meditation-cushion-boreal</v>
      </c>
      <c r="C1563" t="s">
        <v>3590</v>
      </c>
      <c r="D1563" t="s">
        <v>3611</v>
      </c>
      <c r="E1563" s="3" t="str">
        <f>HYPERLINK("https://www.amazon.com/HIGOGOGO-Cushion-Meditation-Bohemia-Decoration/dp/B07WRGV2MB/ref=sr_1_9?keywords=Halfmoon+Round+Meditation+Cushion&amp;qid=1695259036&amp;sr=8-9", "https://www.amazon.com/HIGOGOGO-Cushion-Meditation-Bohemia-Decoration/dp/B07WRGV2MB/ref=sr_1_9?keywords=Halfmoon+Round+Meditation+Cushion&amp;qid=1695259036&amp;sr=8-9")</f>
        <v>https://www.amazon.com/HIGOGOGO-Cushion-Meditation-Bohemia-Decoration/dp/B07WRGV2MB/ref=sr_1_9?keywords=Halfmoon+Round+Meditation+Cushion&amp;qid=1695259036&amp;sr=8-9</v>
      </c>
      <c r="F1563" t="s">
        <v>3612</v>
      </c>
      <c r="G1563" t="e">
        <f ca="1">IMAGE("https://mineralandmatter.com/cdn/shop/products/f963884d8ab0bd0c46bbe42bb7697b525dca1f2f4fdb79c540da3afb12da73bb_1080x.jpg?v=1684779561")</f>
        <v>#NAME?</v>
      </c>
      <c r="H1563" t="e">
        <f ca="1">IMAGE("https://m.media-amazon.com/images/I/81OhyLrQG+L._AC_UL320_.jpg")</f>
        <v>#NAME?</v>
      </c>
      <c r="I1563" t="s">
        <v>3593</v>
      </c>
      <c r="J1563">
        <v>24.99</v>
      </c>
      <c r="K1563" s="2" t="s">
        <v>3613</v>
      </c>
      <c r="L1563">
        <v>4.3</v>
      </c>
      <c r="M1563">
        <v>4465</v>
      </c>
      <c r="O1563" t="s">
        <v>26</v>
      </c>
      <c r="P1563" t="s">
        <v>39</v>
      </c>
      <c r="Q1563" t="s">
        <v>3595</v>
      </c>
    </row>
    <row r="1564" spans="1:17" ht="15.75" x14ac:dyDescent="0.25">
      <c r="A1564" s="3" t="str">
        <f>HYPERLINK("https://mineralandmatter.com/collections/home-goods/products/halfmoon-new-limited-edition-round-meditation-cushion-boreal", "https://mineralandmatter.com/collections/home-goods/products/halfmoon-new-limited-edition-round-meditation-cushion-boreal")</f>
        <v>https://mineralandmatter.com/collections/home-goods/products/halfmoon-new-limited-edition-round-meditation-cushion-boreal</v>
      </c>
      <c r="B1564" s="3" t="str">
        <f>HYPERLINK("https://mineralandmatter.com/products/halfmoon-new-limited-edition-round-meditation-cushion-boreal", "https://mineralandmatter.com/products/halfmoon-new-limited-edition-round-meditation-cushion-boreal")</f>
        <v>https://mineralandmatter.com/products/halfmoon-new-limited-edition-round-meditation-cushion-boreal</v>
      </c>
      <c r="C1564" t="s">
        <v>3590</v>
      </c>
      <c r="D1564" t="s">
        <v>3614</v>
      </c>
      <c r="E1564" s="3" t="str">
        <f>HYPERLINK("https://www.amazon.com/Third-Eye-Export-Meditation-Decorative/dp/B078MWQ23Y/ref=sr_1_10?keywords=Halfmoon+Round+Meditation+Cushion&amp;qid=1695259036&amp;sr=8-10", "https://www.amazon.com/Third-Eye-Export-Meditation-Decorative/dp/B078MWQ23Y/ref=sr_1_10?keywords=Halfmoon+Round+Meditation+Cushion&amp;qid=1695259036&amp;sr=8-10")</f>
        <v>https://www.amazon.com/Third-Eye-Export-Meditation-Decorative/dp/B078MWQ23Y/ref=sr_1_10?keywords=Halfmoon+Round+Meditation+Cushion&amp;qid=1695259036&amp;sr=8-10</v>
      </c>
      <c r="F1564" t="s">
        <v>3615</v>
      </c>
      <c r="G1564" t="e">
        <f ca="1">IMAGE("https://mineralandmatter.com/cdn/shop/products/f963884d8ab0bd0c46bbe42bb7697b525dca1f2f4fdb79c540da3afb12da73bb_1080x.jpg?v=1684779561")</f>
        <v>#NAME?</v>
      </c>
      <c r="H1564" t="e">
        <f ca="1">IMAGE("https://m.media-amazon.com/images/I/71WSMPXx45L._AC_UL320_.jpg")</f>
        <v>#NAME?</v>
      </c>
      <c r="I1564" t="s">
        <v>3593</v>
      </c>
      <c r="J1564">
        <v>10.99</v>
      </c>
      <c r="K1564" s="2" t="s">
        <v>3616</v>
      </c>
      <c r="L1564">
        <v>4.2</v>
      </c>
      <c r="M1564">
        <v>592</v>
      </c>
      <c r="O1564" t="s">
        <v>26</v>
      </c>
      <c r="P1564" t="s">
        <v>39</v>
      </c>
      <c r="Q1564" t="s">
        <v>3595</v>
      </c>
    </row>
    <row r="1565" spans="1:17" ht="15.75" x14ac:dyDescent="0.25">
      <c r="A1565" s="3" t="str">
        <f>HYPERLINK("https://orlandohairsalon.myshopify.com/collections/frontpage/products/olaplex-no-5-bond-maintenance-conditioner", "https://orlandohairsalon.myshopify.com/collections/frontpage/products/olaplex-no-5-bond-maintenance-conditioner")</f>
        <v>https://orlandohairsalon.myshopify.com/collections/frontpage/products/olaplex-no-5-bond-maintenance-conditioner</v>
      </c>
      <c r="B1565" s="3" t="str">
        <f>HYPERLINK("https://orlandohairsalon.myshopify.com/products/olaplex-no-5-bond-maintenance-conditioner", "https://orlandohairsalon.myshopify.com/products/olaplex-no-5-bond-maintenance-conditioner")</f>
        <v>https://orlandohairsalon.myshopify.com/products/olaplex-no-5-bond-maintenance-conditioner</v>
      </c>
      <c r="C1565" t="s">
        <v>3617</v>
      </c>
      <c r="D1565" t="s">
        <v>3618</v>
      </c>
      <c r="E1565" s="3" t="str">
        <f>HYPERLINK("https://www.amazon.com/Olaplex-No-Bond-Maintenance-Conditioner/dp/B0BDBRK1B6/ref=sr_1_2?keywords=Olaplex+No.+5+Bond+Maintenance+Conditioner&amp;qid=1695259107&amp;sr=8-2", "https://www.amazon.com/Olaplex-No-Bond-Maintenance-Conditioner/dp/B0BDBRK1B6/ref=sr_1_2?keywords=Olaplex+No.+5+Bond+Maintenance+Conditioner&amp;qid=1695259107&amp;sr=8-2")</f>
        <v>https://www.amazon.com/Olaplex-No-Bond-Maintenance-Conditioner/dp/B0BDBRK1B6/ref=sr_1_2?keywords=Olaplex+No.+5+Bond+Maintenance+Conditioner&amp;qid=1695259107&amp;sr=8-2</v>
      </c>
      <c r="F1565" t="s">
        <v>3619</v>
      </c>
      <c r="G1565" t="e">
        <f ca="1">IMAGE("https://orlandohairsalon.myshopify.com/cdn/shop/products/ola003_no5bondmaintenanceconditioner_1560x1960-gj9tz.jpg?v=1594422767")</f>
        <v>#NAME?</v>
      </c>
      <c r="H1565" t="e">
        <f ca="1">IMAGE("https://m.media-amazon.com/images/I/51yw7TTijcL._AC_UL320_.jpg")</f>
        <v>#NAME?</v>
      </c>
      <c r="I1565" t="s">
        <v>3413</v>
      </c>
      <c r="J1565">
        <v>76.8</v>
      </c>
      <c r="K1565" s="2" t="s">
        <v>3620</v>
      </c>
      <c r="L1565">
        <v>4.8</v>
      </c>
      <c r="M1565">
        <v>541</v>
      </c>
      <c r="O1565" t="s">
        <v>26</v>
      </c>
      <c r="P1565" t="s">
        <v>3621</v>
      </c>
      <c r="Q1565" t="s">
        <v>3622</v>
      </c>
    </row>
    <row r="1566" spans="1:17" ht="15.75" x14ac:dyDescent="0.25">
      <c r="A1566" s="3" t="str">
        <f>HYPERLINK("https://orlandohairsalon.myshopify.com/collections/frontpage/products/olaplex-no-4-shampoo-8-5fl-oz", "https://orlandohairsalon.myshopify.com/collections/frontpage/products/olaplex-no-4-shampoo-8-5fl-oz")</f>
        <v>https://orlandohairsalon.myshopify.com/collections/frontpage/products/olaplex-no-4-shampoo-8-5fl-oz</v>
      </c>
      <c r="B1566" s="3" t="str">
        <f>HYPERLINK("https://orlandohairsalon.myshopify.com/products/olaplex-no-4-shampoo-8-5fl-oz", "https://orlandohairsalon.myshopify.com/products/olaplex-no-4-shampoo-8-5fl-oz")</f>
        <v>https://orlandohairsalon.myshopify.com/products/olaplex-no-4-shampoo-8-5fl-oz</v>
      </c>
      <c r="C1566" t="s">
        <v>3623</v>
      </c>
      <c r="D1566" t="s">
        <v>3624</v>
      </c>
      <c r="E1566" s="3" t="str">
        <f>HYPERLINK("https://www.amazon.com/Olaplex-No-Bond-Maintenance-Shampoo/dp/B0BDBL9LVF/ref=sr_1_6?keywords=Olaplex+No+4+Shampoo&amp;qid=1695259114&amp;sr=8-6", "https://www.amazon.com/Olaplex-No-Bond-Maintenance-Shampoo/dp/B0BDBL9LVF/ref=sr_1_6?keywords=Olaplex+No+4+Shampoo&amp;qid=1695259114&amp;sr=8-6")</f>
        <v>https://www.amazon.com/Olaplex-No-Bond-Maintenance-Shampoo/dp/B0BDBL9LVF/ref=sr_1_6?keywords=Olaplex+No+4+Shampoo&amp;qid=1695259114&amp;sr=8-6</v>
      </c>
      <c r="F1566" t="s">
        <v>3625</v>
      </c>
      <c r="G1566" t="e">
        <f ca="1">IMAGE("https://orlandohairsalon.myshopify.com/cdn/shop/products/ola4.jpg?v=1594421016")</f>
        <v>#NAME?</v>
      </c>
      <c r="H1566" t="e">
        <f ca="1">IMAGE("https://m.media-amazon.com/images/I/51DSR2tISmL._AC_UL320_.jpg")</f>
        <v>#NAME?</v>
      </c>
      <c r="I1566" t="s">
        <v>3367</v>
      </c>
      <c r="J1566">
        <v>76.8</v>
      </c>
      <c r="K1566" s="2" t="s">
        <v>3626</v>
      </c>
      <c r="L1566">
        <v>4.8</v>
      </c>
      <c r="M1566">
        <v>621</v>
      </c>
      <c r="O1566" t="s">
        <v>26</v>
      </c>
      <c r="P1566" t="s">
        <v>3621</v>
      </c>
      <c r="Q1566" t="s">
        <v>3627</v>
      </c>
    </row>
    <row r="1567" spans="1:17" ht="15.75" x14ac:dyDescent="0.25">
      <c r="A1567" s="3" t="str">
        <f>HYPERLINK("https://orlandohairsalon.myshopify.com/collections/frontpage/products/olaplex-no-3-hair-perfector", "https://orlandohairsalon.myshopify.com/collections/frontpage/products/olaplex-no-3-hair-perfector")</f>
        <v>https://orlandohairsalon.myshopify.com/collections/frontpage/products/olaplex-no-3-hair-perfector</v>
      </c>
      <c r="B1567" s="3" t="str">
        <f>HYPERLINK("https://orlandohairsalon.myshopify.com/products/olaplex-no-3-hair-perfector", "https://orlandohairsalon.myshopify.com/products/olaplex-no-3-hair-perfector")</f>
        <v>https://orlandohairsalon.myshopify.com/products/olaplex-no-3-hair-perfector</v>
      </c>
      <c r="C1567" t="s">
        <v>3628</v>
      </c>
      <c r="D1567" t="s">
        <v>3629</v>
      </c>
      <c r="E1567" s="3" t="str">
        <f>HYPERLINK("https://www.amazon.com/Olaplex-Hair-Perfector-Repairing-Treatment/dp/B00SNM5US4/ref=sr_1_1?keywords=Olaplex+No.+3+Hair+Perfector&amp;qid=1695259105&amp;sr=8-1", "https://www.amazon.com/Olaplex-Hair-Perfector-Repairing-Treatment/dp/B00SNM5US4/ref=sr_1_1?keywords=Olaplex+No.+3+Hair+Perfector&amp;qid=1695259105&amp;sr=8-1")</f>
        <v>https://www.amazon.com/Olaplex-Hair-Perfector-Repairing-Treatment/dp/B00SNM5US4/ref=sr_1_1?keywords=Olaplex+No.+3+Hair+Perfector&amp;qid=1695259105&amp;sr=8-1</v>
      </c>
      <c r="F1567" t="s">
        <v>3630</v>
      </c>
      <c r="G1567" t="e">
        <f ca="1">IMAGE("https://orlandohairsalon.myshopify.com/cdn/shop/products/OLAPLEXNo3_1_2000x_b3efba60-3cfa-4489-b3c2-5e2098fea4a3.png?v=1594778341")</f>
        <v>#NAME?</v>
      </c>
      <c r="H1567" t="e">
        <f ca="1">IMAGE("https://m.media-amazon.com/images/I/41jMBGom52L._AC_UL320_.jpg")</f>
        <v>#NAME?</v>
      </c>
      <c r="I1567" t="s">
        <v>3631</v>
      </c>
      <c r="J1567">
        <v>30</v>
      </c>
      <c r="K1567" s="2" t="s">
        <v>3632</v>
      </c>
      <c r="L1567">
        <v>4.5999999999999996</v>
      </c>
      <c r="M1567">
        <v>120401</v>
      </c>
      <c r="O1567" t="s">
        <v>26</v>
      </c>
      <c r="P1567" t="s">
        <v>3621</v>
      </c>
      <c r="Q1567" t="s">
        <v>3633</v>
      </c>
    </row>
    <row r="1568" spans="1:17" ht="15.75" x14ac:dyDescent="0.25">
      <c r="A1568" s="3" t="str">
        <f>HYPERLINK("https://orlandohairsalon.myshopify.com/collections/frontpage/products/olaplex-no-6-bond-smoother-3-3-fl-oz", "https://orlandohairsalon.myshopify.com/collections/frontpage/products/olaplex-no-6-bond-smoother-3-3-fl-oz")</f>
        <v>https://orlandohairsalon.myshopify.com/collections/frontpage/products/olaplex-no-6-bond-smoother-3-3-fl-oz</v>
      </c>
      <c r="B1568" s="3" t="str">
        <f>HYPERLINK("https://orlandohairsalon.myshopify.com/products/olaplex-no-6-bond-smoother-3-3-fl-oz", "https://orlandohairsalon.myshopify.com/products/olaplex-no-6-bond-smoother-3-3-fl-oz")</f>
        <v>https://orlandohairsalon.myshopify.com/products/olaplex-no-6-bond-smoother-3-3-fl-oz</v>
      </c>
      <c r="C1568" t="s">
        <v>3634</v>
      </c>
      <c r="D1568" t="s">
        <v>3635</v>
      </c>
      <c r="E1568" s="3" t="str">
        <f>HYPERLINK("https://www.amazon.com/Olaplex-Bond-Smoother-3-3-Fl/dp/B07PW4MTHV/ref=sr_1_1?keywords=Olaplex+No.+6+Bond+Smoother+3.3+fl+oz&amp;qid=1695259103&amp;sr=8-1", "https://www.amazon.com/Olaplex-Bond-Smoother-3-3-Fl/dp/B07PW4MTHV/ref=sr_1_1?keywords=Olaplex+No.+6+Bond+Smoother+3.3+fl+oz&amp;qid=1695259103&amp;sr=8-1")</f>
        <v>https://www.amazon.com/Olaplex-Bond-Smoother-3-3-Fl/dp/B07PW4MTHV/ref=sr_1_1?keywords=Olaplex+No.+6+Bond+Smoother+3.3+fl+oz&amp;qid=1695259103&amp;sr=8-1</v>
      </c>
      <c r="F1568" t="s">
        <v>3636</v>
      </c>
      <c r="G1568" t="e">
        <f ca="1">IMAGE("https://orlandohairsalon.myshopify.com/cdn/shop/products/OLAPLEXNo6_1_2000x_86386ec6-a293-4ab1-be1e-9305b4b61be5.png?v=1594777525")</f>
        <v>#NAME?</v>
      </c>
      <c r="H1568" t="e">
        <f ca="1">IMAGE("https://m.media-amazon.com/images/I/51kkYS4+1ML._AC_UL320_.jpg")</f>
        <v>#NAME?</v>
      </c>
      <c r="I1568" t="s">
        <v>3637</v>
      </c>
      <c r="J1568">
        <v>30</v>
      </c>
      <c r="K1568" s="2" t="s">
        <v>3638</v>
      </c>
      <c r="L1568">
        <v>4.7</v>
      </c>
      <c r="M1568">
        <v>45002</v>
      </c>
      <c r="O1568" t="s">
        <v>26</v>
      </c>
      <c r="P1568" t="s">
        <v>3621</v>
      </c>
      <c r="Q1568" t="s">
        <v>3639</v>
      </c>
    </row>
    <row r="1569" spans="1:17" ht="15.75" x14ac:dyDescent="0.25">
      <c r="A1569" s="3" t="str">
        <f>HYPERLINK("https://orlandohairsalon.myshopify.com/collections/frontpage/products/olaplex-no-8-bond-intense-moisture-mask", "https://orlandohairsalon.myshopify.com/collections/frontpage/products/olaplex-no-8-bond-intense-moisture-mask")</f>
        <v>https://orlandohairsalon.myshopify.com/collections/frontpage/products/olaplex-no-8-bond-intense-moisture-mask</v>
      </c>
      <c r="B1569" s="3" t="str">
        <f>HYPERLINK("https://orlandohairsalon.myshopify.com/products/olaplex-no-8-bond-intense-moisture-mask", "https://orlandohairsalon.myshopify.com/products/olaplex-no-8-bond-intense-moisture-mask")</f>
        <v>https://orlandohairsalon.myshopify.com/products/olaplex-no-8-bond-intense-moisture-mask</v>
      </c>
      <c r="C1569" t="s">
        <v>3640</v>
      </c>
      <c r="D1569" t="s">
        <v>3641</v>
      </c>
      <c r="E1569" s="3" t="str">
        <f>HYPERLINK("https://www.amazon.com/Olaplex-Bond-Intense-Moisture-Mask/dp/B092DNPHC9/ref=sr_1_1?keywords=Olaplex+No.+8+Bond+Intense+Moisture+Mask+3.3+fl.oz&amp;qid=1695259102&amp;sr=8-1", "https://www.amazon.com/Olaplex-Bond-Intense-Moisture-Mask/dp/B092DNPHC9/ref=sr_1_1?keywords=Olaplex+No.+8+Bond+Intense+Moisture+Mask+3.3+fl.oz&amp;qid=1695259102&amp;sr=8-1")</f>
        <v>https://www.amazon.com/Olaplex-Bond-Intense-Moisture-Mask/dp/B092DNPHC9/ref=sr_1_1?keywords=Olaplex+No.+8+Bond+Intense+Moisture+Mask+3.3+fl.oz&amp;qid=1695259102&amp;sr=8-1</v>
      </c>
      <c r="F1569" t="s">
        <v>3642</v>
      </c>
      <c r="G1569" t="e">
        <f ca="1">IMAGE("https://orlandohairsalon.myshopify.com/cdn/shop/products/UK300056758_OLAPLEX.jpg?v=1622486089")</f>
        <v>#NAME?</v>
      </c>
      <c r="H1569" t="e">
        <f ca="1">IMAGE("https://m.media-amazon.com/images/I/51Tqr2fSvVL._AC_UL320_.jpg")</f>
        <v>#NAME?</v>
      </c>
      <c r="I1569" t="s">
        <v>3413</v>
      </c>
      <c r="J1569">
        <v>30</v>
      </c>
      <c r="K1569" s="2" t="s">
        <v>3643</v>
      </c>
      <c r="L1569">
        <v>4.7</v>
      </c>
      <c r="M1569">
        <v>10393</v>
      </c>
      <c r="O1569" t="s">
        <v>26</v>
      </c>
      <c r="P1569" t="s">
        <v>3621</v>
      </c>
      <c r="Q1569" t="s">
        <v>3644</v>
      </c>
    </row>
    <row r="1570" spans="1:17" ht="15.75" x14ac:dyDescent="0.25">
      <c r="A1570" s="3" t="str">
        <f>HYPERLINK("https://orlandohairsalon.myshopify.com/collections/frontpage/products/olaplex-no-5-bond-maintenance-conditioner", "https://orlandohairsalon.myshopify.com/collections/frontpage/products/olaplex-no-5-bond-maintenance-conditioner")</f>
        <v>https://orlandohairsalon.myshopify.com/collections/frontpage/products/olaplex-no-5-bond-maintenance-conditioner</v>
      </c>
      <c r="B1570" s="3" t="str">
        <f>HYPERLINK("https://orlandohairsalon.myshopify.com/products/olaplex-no-5-bond-maintenance-conditioner", "https://orlandohairsalon.myshopify.com/products/olaplex-no-5-bond-maintenance-conditioner")</f>
        <v>https://orlandohairsalon.myshopify.com/products/olaplex-no-5-bond-maintenance-conditioner</v>
      </c>
      <c r="C1570" t="s">
        <v>3617</v>
      </c>
      <c r="D1570" t="s">
        <v>3617</v>
      </c>
      <c r="E1570" s="3" t="str">
        <f>HYPERLINK("https://www.amazon.com/Olaplex-No-5-Bond-Maintenance-Conditioner/dp/B07D37SBHF/ref=sr_1_1?keywords=Olaplex+No.+5+Bond+Maintenance+Conditioner&amp;qid=1695259107&amp;sr=8-1", "https://www.amazon.com/Olaplex-No-5-Bond-Maintenance-Conditioner/dp/B07D37SBHF/ref=sr_1_1?keywords=Olaplex+No.+5+Bond+Maintenance+Conditioner&amp;qid=1695259107&amp;sr=8-1")</f>
        <v>https://www.amazon.com/Olaplex-No-5-Bond-Maintenance-Conditioner/dp/B07D37SBHF/ref=sr_1_1?keywords=Olaplex+No.+5+Bond+Maintenance+Conditioner&amp;qid=1695259107&amp;sr=8-1</v>
      </c>
      <c r="F1570" t="s">
        <v>3645</v>
      </c>
      <c r="G1570" t="e">
        <f ca="1">IMAGE("https://orlandohairsalon.myshopify.com/cdn/shop/products/ola003_no5bondmaintenanceconditioner_1560x1960-gj9tz.jpg?v=1594422767")</f>
        <v>#NAME?</v>
      </c>
      <c r="H1570" t="e">
        <f ca="1">IMAGE("https://m.media-amazon.com/images/I/41ayUkLG-tL._AC_UL320_.jpg")</f>
        <v>#NAME?</v>
      </c>
      <c r="I1570" t="s">
        <v>3413</v>
      </c>
      <c r="J1570">
        <v>30</v>
      </c>
      <c r="K1570" s="2" t="s">
        <v>3643</v>
      </c>
      <c r="L1570">
        <v>4.5999999999999996</v>
      </c>
      <c r="M1570">
        <v>65144</v>
      </c>
      <c r="O1570" t="s">
        <v>26</v>
      </c>
      <c r="P1570" t="s">
        <v>3621</v>
      </c>
      <c r="Q1570" t="s">
        <v>3622</v>
      </c>
    </row>
    <row r="1571" spans="1:17" ht="15.75" x14ac:dyDescent="0.25">
      <c r="A1571" s="3" t="str">
        <f>HYPERLINK("https://orlandohairsalon.myshopify.com/collections/frontpage/products/olaplex-no-5-bond-maintenance-conditioner", "https://orlandohairsalon.myshopify.com/collections/frontpage/products/olaplex-no-5-bond-maintenance-conditioner")</f>
        <v>https://orlandohairsalon.myshopify.com/collections/frontpage/products/olaplex-no-5-bond-maintenance-conditioner</v>
      </c>
      <c r="B1571" s="3" t="str">
        <f>HYPERLINK("https://orlandohairsalon.myshopify.com/products/olaplex-no-5-bond-maintenance-conditioner", "https://orlandohairsalon.myshopify.com/products/olaplex-no-5-bond-maintenance-conditioner")</f>
        <v>https://orlandohairsalon.myshopify.com/products/olaplex-no-5-bond-maintenance-conditioner</v>
      </c>
      <c r="C1571" t="s">
        <v>3617</v>
      </c>
      <c r="D1571" t="s">
        <v>3646</v>
      </c>
      <c r="E1571" s="3" t="str">
        <f>HYPERLINK("https://www.amazon.com/Olaplex-4C-Maintenance-Clarifying-Shampoo/dp/B0B4BG3HPM/ref=sr_1_8?keywords=Olaplex+No.+5+Bond+Maintenance+Conditioner&amp;qid=1695259107&amp;sr=8-8", "https://www.amazon.com/Olaplex-4C-Maintenance-Clarifying-Shampoo/dp/B0B4BG3HPM/ref=sr_1_8?keywords=Olaplex+No.+5+Bond+Maintenance+Conditioner&amp;qid=1695259107&amp;sr=8-8")</f>
        <v>https://www.amazon.com/Olaplex-4C-Maintenance-Clarifying-Shampoo/dp/B0B4BG3HPM/ref=sr_1_8?keywords=Olaplex+No.+5+Bond+Maintenance+Conditioner&amp;qid=1695259107&amp;sr=8-8</v>
      </c>
      <c r="F1571" t="s">
        <v>3647</v>
      </c>
      <c r="G1571" t="e">
        <f ca="1">IMAGE("https://orlandohairsalon.myshopify.com/cdn/shop/products/ola003_no5bondmaintenanceconditioner_1560x1960-gj9tz.jpg?v=1594422767")</f>
        <v>#NAME?</v>
      </c>
      <c r="H1571" t="e">
        <f ca="1">IMAGE("https://m.media-amazon.com/images/I/61rBlAGTVNL._AC_UL320_.jpg")</f>
        <v>#NAME?</v>
      </c>
      <c r="I1571" t="s">
        <v>3413</v>
      </c>
      <c r="J1571">
        <v>30</v>
      </c>
      <c r="K1571" s="2" t="s">
        <v>3643</v>
      </c>
      <c r="L1571">
        <v>4.7</v>
      </c>
      <c r="M1571">
        <v>68012</v>
      </c>
      <c r="O1571" t="s">
        <v>26</v>
      </c>
      <c r="P1571" t="s">
        <v>3621</v>
      </c>
      <c r="Q1571" t="s">
        <v>3622</v>
      </c>
    </row>
    <row r="1572" spans="1:17" ht="15.75" x14ac:dyDescent="0.25">
      <c r="A1572" s="3" t="str">
        <f>HYPERLINK("https://orlandohairsalon.myshopify.com/collections/frontpage/products/olaplex-no-4-shampoo-8-5fl-oz", "https://orlandohairsalon.myshopify.com/collections/frontpage/products/olaplex-no-4-shampoo-8-5fl-oz")</f>
        <v>https://orlandohairsalon.myshopify.com/collections/frontpage/products/olaplex-no-4-shampoo-8-5fl-oz</v>
      </c>
      <c r="B1572" s="3" t="str">
        <f>HYPERLINK("https://orlandohairsalon.myshopify.com/products/olaplex-no-4-shampoo-8-5fl-oz", "https://orlandohairsalon.myshopify.com/products/olaplex-no-4-shampoo-8-5fl-oz")</f>
        <v>https://orlandohairsalon.myshopify.com/products/olaplex-no-4-shampoo-8-5fl-oz</v>
      </c>
      <c r="C1572" t="s">
        <v>3623</v>
      </c>
      <c r="D1572" t="s">
        <v>3648</v>
      </c>
      <c r="E1572" s="3" t="str">
        <f>HYPERLINK("https://www.amazon.com/Olaplex-No-4-Bond-Maintenance-Shampoo/dp/B07D37PQGL/ref=sr_1_5?keywords=Olaplex+No+4+Shampoo&amp;qid=1695259114&amp;sr=8-5", "https://www.amazon.com/Olaplex-No-4-Bond-Maintenance-Shampoo/dp/B07D37PQGL/ref=sr_1_5?keywords=Olaplex+No+4+Shampoo&amp;qid=1695259114&amp;sr=8-5")</f>
        <v>https://www.amazon.com/Olaplex-No-4-Bond-Maintenance-Shampoo/dp/B07D37PQGL/ref=sr_1_5?keywords=Olaplex+No+4+Shampoo&amp;qid=1695259114&amp;sr=8-5</v>
      </c>
      <c r="F1572" t="s">
        <v>3649</v>
      </c>
      <c r="G1572" t="e">
        <f ca="1">IMAGE("https://orlandohairsalon.myshopify.com/cdn/shop/products/ola4.jpg?v=1594421016")</f>
        <v>#NAME?</v>
      </c>
      <c r="H1572" t="e">
        <f ca="1">IMAGE("https://m.media-amazon.com/images/I/416jmfawOFL._AC_UL320_.jpg")</f>
        <v>#NAME?</v>
      </c>
      <c r="I1572" t="s">
        <v>3367</v>
      </c>
      <c r="J1572">
        <v>30</v>
      </c>
      <c r="K1572" s="2" t="s">
        <v>3650</v>
      </c>
      <c r="L1572">
        <v>4.7</v>
      </c>
      <c r="M1572">
        <v>68012</v>
      </c>
      <c r="O1572" t="s">
        <v>26</v>
      </c>
      <c r="P1572" t="s">
        <v>3621</v>
      </c>
      <c r="Q1572" t="s">
        <v>3627</v>
      </c>
    </row>
    <row r="1573" spans="1:17" ht="15.75" x14ac:dyDescent="0.25">
      <c r="A1573" s="3" t="str">
        <f>HYPERLINK("https://orlandohairsalon.myshopify.com/collections/frontpage/products/olaplex-no-4-shampoo-8-5fl-oz", "https://orlandohairsalon.myshopify.com/collections/frontpage/products/olaplex-no-4-shampoo-8-5fl-oz")</f>
        <v>https://orlandohairsalon.myshopify.com/collections/frontpage/products/olaplex-no-4-shampoo-8-5fl-oz</v>
      </c>
      <c r="B1573" s="3" t="str">
        <f>HYPERLINK("https://orlandohairsalon.myshopify.com/products/olaplex-no-4-shampoo-8-5fl-oz", "https://orlandohairsalon.myshopify.com/products/olaplex-no-4-shampoo-8-5fl-oz")</f>
        <v>https://orlandohairsalon.myshopify.com/products/olaplex-no-4-shampoo-8-5fl-oz</v>
      </c>
      <c r="C1573" t="s">
        <v>3623</v>
      </c>
      <c r="D1573" t="s">
        <v>3651</v>
      </c>
      <c r="E1573" s="3" t="str">
        <f>HYPERLINK("https://www.amazon.com/Olaplex-Blonde-EnhancerTM-Toning-Shampoo/dp/B09FYK7FKR/ref=sr_1_7?keywords=Olaplex+No+4+Shampoo&amp;qid=1695259114&amp;sr=8-7", "https://www.amazon.com/Olaplex-Blonde-EnhancerTM-Toning-Shampoo/dp/B09FYK7FKR/ref=sr_1_7?keywords=Olaplex+No+4+Shampoo&amp;qid=1695259114&amp;sr=8-7")</f>
        <v>https://www.amazon.com/Olaplex-Blonde-EnhancerTM-Toning-Shampoo/dp/B09FYK7FKR/ref=sr_1_7?keywords=Olaplex+No+4+Shampoo&amp;qid=1695259114&amp;sr=8-7</v>
      </c>
      <c r="F1573" t="s">
        <v>3652</v>
      </c>
      <c r="G1573" t="e">
        <f ca="1">IMAGE("https://orlandohairsalon.myshopify.com/cdn/shop/products/ola4.jpg?v=1594421016")</f>
        <v>#NAME?</v>
      </c>
      <c r="H1573" t="e">
        <f ca="1">IMAGE("https://m.media-amazon.com/images/I/41Ri9GDtxbL._AC_UL320_.jpg")</f>
        <v>#NAME?</v>
      </c>
      <c r="I1573" t="s">
        <v>3367</v>
      </c>
      <c r="J1573">
        <v>30</v>
      </c>
      <c r="K1573" s="2" t="s">
        <v>3650</v>
      </c>
      <c r="L1573">
        <v>4.5999999999999996</v>
      </c>
      <c r="M1573">
        <v>6558</v>
      </c>
      <c r="O1573" t="s">
        <v>26</v>
      </c>
      <c r="P1573" t="s">
        <v>3621</v>
      </c>
      <c r="Q1573" t="s">
        <v>3627</v>
      </c>
    </row>
    <row r="1574" spans="1:17" ht="15.75" x14ac:dyDescent="0.25">
      <c r="A1574" s="3" t="str">
        <f>HYPERLINK("https://orlandohairsalon.myshopify.com/collections/frontpage/products/olaplex-no-4-shampoo-8-5fl-oz", "https://orlandohairsalon.myshopify.com/collections/frontpage/products/olaplex-no-4-shampoo-8-5fl-oz")</f>
        <v>https://orlandohairsalon.myshopify.com/collections/frontpage/products/olaplex-no-4-shampoo-8-5fl-oz</v>
      </c>
      <c r="B1574" s="3" t="str">
        <f>HYPERLINK("https://orlandohairsalon.myshopify.com/products/olaplex-no-4-shampoo-8-5fl-oz", "https://orlandohairsalon.myshopify.com/products/olaplex-no-4-shampoo-8-5fl-oz")</f>
        <v>https://orlandohairsalon.myshopify.com/products/olaplex-no-4-shampoo-8-5fl-oz</v>
      </c>
      <c r="C1574" t="s">
        <v>3623</v>
      </c>
      <c r="D1574" t="s">
        <v>3646</v>
      </c>
      <c r="E1574" s="3" t="str">
        <f>HYPERLINK("https://www.amazon.com/Olaplex-4C-Maintenance-Clarifying-Shampoo/dp/B0B4BG3HPM/ref=sr_1_9?keywords=Olaplex+No+4+Shampoo&amp;qid=1695259114&amp;sr=8-9", "https://www.amazon.com/Olaplex-4C-Maintenance-Clarifying-Shampoo/dp/B0B4BG3HPM/ref=sr_1_9?keywords=Olaplex+No+4+Shampoo&amp;qid=1695259114&amp;sr=8-9")</f>
        <v>https://www.amazon.com/Olaplex-4C-Maintenance-Clarifying-Shampoo/dp/B0B4BG3HPM/ref=sr_1_9?keywords=Olaplex+No+4+Shampoo&amp;qid=1695259114&amp;sr=8-9</v>
      </c>
      <c r="F1574" t="s">
        <v>3647</v>
      </c>
      <c r="G1574" t="e">
        <f ca="1">IMAGE("https://orlandohairsalon.myshopify.com/cdn/shop/products/ola4.jpg?v=1594421016")</f>
        <v>#NAME?</v>
      </c>
      <c r="H1574" t="e">
        <f ca="1">IMAGE("https://m.media-amazon.com/images/I/61rBlAGTVNL._AC_UL320_.jpg")</f>
        <v>#NAME?</v>
      </c>
      <c r="I1574" t="s">
        <v>3367</v>
      </c>
      <c r="J1574">
        <v>30</v>
      </c>
      <c r="K1574" s="2" t="s">
        <v>3650</v>
      </c>
      <c r="L1574">
        <v>4.7</v>
      </c>
      <c r="M1574">
        <v>68012</v>
      </c>
      <c r="O1574" t="s">
        <v>26</v>
      </c>
      <c r="P1574" t="s">
        <v>3621</v>
      </c>
      <c r="Q1574" t="s">
        <v>3627</v>
      </c>
    </row>
    <row r="1575" spans="1:17" ht="15.75" x14ac:dyDescent="0.25">
      <c r="A1575" s="3" t="str">
        <f>HYPERLINK("https://orlandohairsalon.myshopify.com/collections/frontpage/products/olaplex-no-4-shampoo-8-5fl-oz", "https://orlandohairsalon.myshopify.com/collections/frontpage/products/olaplex-no-4-shampoo-8-5fl-oz")</f>
        <v>https://orlandohairsalon.myshopify.com/collections/frontpage/products/olaplex-no-4-shampoo-8-5fl-oz</v>
      </c>
      <c r="B1575" s="3" t="str">
        <f>HYPERLINK("https://orlandohairsalon.myshopify.com/products/olaplex-no-4-shampoo-8-5fl-oz", "https://orlandohairsalon.myshopify.com/products/olaplex-no-4-shampoo-8-5fl-oz")</f>
        <v>https://orlandohairsalon.myshopify.com/products/olaplex-no-4-shampoo-8-5fl-oz</v>
      </c>
      <c r="C1575" t="s">
        <v>3623</v>
      </c>
      <c r="D1575" t="s">
        <v>3653</v>
      </c>
      <c r="E1575" s="3" t="str">
        <f>HYPERLINK("https://www.amazon.com/Olaplex-No-Clean-Detox-Shampoo/dp/B0BTWR89FV/ref=sr_1_10?keywords=Olaplex+No+4+Shampoo&amp;qid=1695259114&amp;sr=8-10", "https://www.amazon.com/Olaplex-No-Clean-Detox-Shampoo/dp/B0BTWR89FV/ref=sr_1_10?keywords=Olaplex+No+4+Shampoo&amp;qid=1695259114&amp;sr=8-10")</f>
        <v>https://www.amazon.com/Olaplex-No-Clean-Detox-Shampoo/dp/B0BTWR89FV/ref=sr_1_10?keywords=Olaplex+No+4+Shampoo&amp;qid=1695259114&amp;sr=8-10</v>
      </c>
      <c r="F1575" t="s">
        <v>3654</v>
      </c>
      <c r="G1575" t="e">
        <f ca="1">IMAGE("https://orlandohairsalon.myshopify.com/cdn/shop/products/ola4.jpg?v=1594421016")</f>
        <v>#NAME?</v>
      </c>
      <c r="H1575" t="e">
        <f ca="1">IMAGE("https://m.media-amazon.com/images/I/51dCLXLSsgL._AC_UL320_.jpg")</f>
        <v>#NAME?</v>
      </c>
      <c r="I1575" t="s">
        <v>3367</v>
      </c>
      <c r="J1575">
        <v>30</v>
      </c>
      <c r="K1575" s="2" t="s">
        <v>3650</v>
      </c>
      <c r="L1575">
        <v>4.3</v>
      </c>
      <c r="M1575">
        <v>179</v>
      </c>
      <c r="O1575" t="s">
        <v>26</v>
      </c>
      <c r="P1575" t="s">
        <v>3621</v>
      </c>
      <c r="Q1575" t="s">
        <v>3627</v>
      </c>
    </row>
    <row r="1576" spans="1:17" ht="15.75" x14ac:dyDescent="0.25">
      <c r="A1576" s="3" t="str">
        <f>HYPERLINK("https://orlandohairsalon.myshopify.com/collections/frontpage/products/olaplex-no-2-bond-perfector-67-62fl-oz", "https://orlandohairsalon.myshopify.com/collections/frontpage/products/olaplex-no-2-bond-perfector-67-62fl-oz")</f>
        <v>https://orlandohairsalon.myshopify.com/collections/frontpage/products/olaplex-no-2-bond-perfector-67-62fl-oz</v>
      </c>
      <c r="B1576" s="3" t="str">
        <f>HYPERLINK("https://orlandohairsalon.myshopify.com/products/olaplex-no-2-bond-perfector-67-62fl-oz", "https://orlandohairsalon.myshopify.com/products/olaplex-no-2-bond-perfector-67-62fl-oz")</f>
        <v>https://orlandohairsalon.myshopify.com/products/olaplex-no-2-bond-perfector-67-62fl-oz</v>
      </c>
      <c r="C1576" t="s">
        <v>3655</v>
      </c>
      <c r="D1576" t="s">
        <v>3656</v>
      </c>
      <c r="E1576" s="3" t="str">
        <f>HYPERLINK("https://www.amazon.com/Olaplex-No-0-Intensive-Building-Treatment/dp/B08HTNRZMH/ref=sr_1_3?keywords=Olaplex+No.+2+Bond+Perfector+67.62+fl+oz&amp;qid=1695259103&amp;sr=8-3", "https://www.amazon.com/Olaplex-No-0-Intensive-Building-Treatment/dp/B08HTNRZMH/ref=sr_1_3?keywords=Olaplex+No.+2+Bond+Perfector+67.62+fl+oz&amp;qid=1695259103&amp;sr=8-3")</f>
        <v>https://www.amazon.com/Olaplex-No-0-Intensive-Building-Treatment/dp/B08HTNRZMH/ref=sr_1_3?keywords=Olaplex+No.+2+Bond+Perfector+67.62+fl+oz&amp;qid=1695259103&amp;sr=8-3</v>
      </c>
      <c r="F1576" t="s">
        <v>3657</v>
      </c>
      <c r="G1576" t="e">
        <f ca="1">IMAGE("https://orlandohairsalon.myshopify.com/cdn/shop/products/Orlando_Hair_Salon_6a84423f-e4a9-443a-b959-83c1f5d622d9.jpg?v=1647553314")</f>
        <v>#NAME?</v>
      </c>
      <c r="H1576" t="e">
        <f ca="1">IMAGE("https://m.media-amazon.com/images/I/51SYqu1H2NL._AC_UL320_.jpg")</f>
        <v>#NAME?</v>
      </c>
      <c r="I1576" t="s">
        <v>3658</v>
      </c>
      <c r="J1576">
        <v>30</v>
      </c>
      <c r="K1576" s="2" t="s">
        <v>3659</v>
      </c>
      <c r="L1576">
        <v>4.5</v>
      </c>
      <c r="M1576">
        <v>17681</v>
      </c>
      <c r="O1576" t="s">
        <v>26</v>
      </c>
      <c r="P1576" t="s">
        <v>39</v>
      </c>
      <c r="Q1576" t="s">
        <v>3660</v>
      </c>
    </row>
    <row r="1577" spans="1:17" ht="15.75" x14ac:dyDescent="0.25">
      <c r="A1577" s="3" t="str">
        <f t="shared" ref="A1577:B1579" si="22">HYPERLINK("https://oskinmedspa.com/products/washable-silk-mask", "https://oskinmedspa.com/products/washable-silk-mask")</f>
        <v>https://oskinmedspa.com/products/washable-silk-mask</v>
      </c>
      <c r="B1577" s="3" t="str">
        <f t="shared" si="22"/>
        <v>https://oskinmedspa.com/products/washable-silk-mask</v>
      </c>
      <c r="C1577" t="s">
        <v>3661</v>
      </c>
      <c r="D1577" t="s">
        <v>3662</v>
      </c>
      <c r="E1577" s="3" t="str">
        <f>HYPERLINK("https://www.amazon.com/ROSEWARD-Mulberry-Adjustable-Filter-Pocket-Black/dp/B08FLVD7WT/ref=sr_1_8?keywords=Silk+Face+Mask&amp;qid=1695259126&amp;sr=8-8", "https://www.amazon.com/ROSEWARD-Mulberry-Adjustable-Filter-Pocket-Black/dp/B08FLVD7WT/ref=sr_1_8?keywords=Silk+Face+Mask&amp;qid=1695259126&amp;sr=8-8")</f>
        <v>https://www.amazon.com/ROSEWARD-Mulberry-Adjustable-Filter-Pocket-Black/dp/B08FLVD7WT/ref=sr_1_8?keywords=Silk+Face+Mask&amp;qid=1695259126&amp;sr=8-8</v>
      </c>
      <c r="F1577" t="s">
        <v>3663</v>
      </c>
      <c r="G1577" t="e">
        <f ca="1">IMAGE("https://oskinmedspa.com/cdn/shop/products/OSkin-SilkMasks-Gold.jpg?v=1655753432")</f>
        <v>#NAME?</v>
      </c>
      <c r="H1577" t="e">
        <f ca="1">IMAGE("https://m.media-amazon.com/images/I/71nHQi+Qs7L._AC_UL320_.jpg")</f>
        <v>#NAME?</v>
      </c>
      <c r="I1577" t="s">
        <v>3664</v>
      </c>
      <c r="J1577">
        <v>16.989999999999998</v>
      </c>
      <c r="K1577" s="2" t="s">
        <v>3665</v>
      </c>
      <c r="L1577">
        <v>4.4000000000000004</v>
      </c>
      <c r="M1577">
        <v>5128</v>
      </c>
      <c r="O1577" t="s">
        <v>26</v>
      </c>
      <c r="P1577" t="s">
        <v>39</v>
      </c>
      <c r="Q1577" t="s">
        <v>3666</v>
      </c>
    </row>
    <row r="1578" spans="1:17" ht="15.75" x14ac:dyDescent="0.25">
      <c r="A1578" s="3" t="str">
        <f t="shared" si="22"/>
        <v>https://oskinmedspa.com/products/washable-silk-mask</v>
      </c>
      <c r="B1578" s="3" t="str">
        <f t="shared" si="22"/>
        <v>https://oskinmedspa.com/products/washable-silk-mask</v>
      </c>
      <c r="C1578" t="s">
        <v>3661</v>
      </c>
      <c r="D1578" t="s">
        <v>3667</v>
      </c>
      <c r="E1578" s="3" t="str">
        <f>HYPERLINK("https://www.amazon.com/AQUENSO-Mulberry-Washable-Breathable-Champagne/dp/B08XXJ2G6F/ref=sr_1_10?keywords=Silk+Face+Mask&amp;qid=1695259126&amp;sr=8-10", "https://www.amazon.com/AQUENSO-Mulberry-Washable-Breathable-Champagne/dp/B08XXJ2G6F/ref=sr_1_10?keywords=Silk+Face+Mask&amp;qid=1695259126&amp;sr=8-10")</f>
        <v>https://www.amazon.com/AQUENSO-Mulberry-Washable-Breathable-Champagne/dp/B08XXJ2G6F/ref=sr_1_10?keywords=Silk+Face+Mask&amp;qid=1695259126&amp;sr=8-10</v>
      </c>
      <c r="F1578" t="s">
        <v>3668</v>
      </c>
      <c r="G1578" t="e">
        <f ca="1">IMAGE("https://oskinmedspa.com/cdn/shop/products/OSkin-SilkMasks-Gold.jpg?v=1655753432")</f>
        <v>#NAME?</v>
      </c>
      <c r="H1578" t="e">
        <f ca="1">IMAGE("https://m.media-amazon.com/images/I/81Hob-xxI0L._AC_UL320_.jpg")</f>
        <v>#NAME?</v>
      </c>
      <c r="I1578" t="s">
        <v>3664</v>
      </c>
      <c r="J1578">
        <v>15.99</v>
      </c>
      <c r="K1578" s="2" t="s">
        <v>3669</v>
      </c>
      <c r="L1578">
        <v>4.3</v>
      </c>
      <c r="M1578">
        <v>406</v>
      </c>
      <c r="O1578" t="s">
        <v>26</v>
      </c>
      <c r="P1578" t="s">
        <v>39</v>
      </c>
      <c r="Q1578" t="s">
        <v>3666</v>
      </c>
    </row>
    <row r="1579" spans="1:17" ht="15.75" x14ac:dyDescent="0.25">
      <c r="A1579" s="3" t="str">
        <f t="shared" si="22"/>
        <v>https://oskinmedspa.com/products/washable-silk-mask</v>
      </c>
      <c r="B1579" s="3" t="str">
        <f t="shared" si="22"/>
        <v>https://oskinmedspa.com/products/washable-silk-mask</v>
      </c>
      <c r="C1579" t="s">
        <v>3661</v>
      </c>
      <c r="D1579" t="s">
        <v>3670</v>
      </c>
      <c r="E1579" s="3" t="str">
        <f>HYPERLINK("https://www.amazon.com/KARIZMA-Fashionable-Designer-Washable-Facemask/dp/B092JM8QK9/ref=sr_1_3?keywords=Silk+Face+Mask&amp;qid=1695259126&amp;sr=8-3", "https://www.amazon.com/KARIZMA-Fashionable-Designer-Washable-Facemask/dp/B092JM8QK9/ref=sr_1_3?keywords=Silk+Face+Mask&amp;qid=1695259126&amp;sr=8-3")</f>
        <v>https://www.amazon.com/KARIZMA-Fashionable-Designer-Washable-Facemask/dp/B092JM8QK9/ref=sr_1_3?keywords=Silk+Face+Mask&amp;qid=1695259126&amp;sr=8-3</v>
      </c>
      <c r="F1579" t="s">
        <v>3671</v>
      </c>
      <c r="G1579" t="e">
        <f ca="1">IMAGE("https://oskinmedspa.com/cdn/shop/products/OSkin-SilkMasks-Gold.jpg?v=1655753432")</f>
        <v>#NAME?</v>
      </c>
      <c r="H1579" t="e">
        <f ca="1">IMAGE("https://m.media-amazon.com/images/I/71GckdWobeS._AC_UL320_.jpg")</f>
        <v>#NAME?</v>
      </c>
      <c r="I1579" t="s">
        <v>3664</v>
      </c>
      <c r="J1579">
        <v>15.99</v>
      </c>
      <c r="K1579" s="2" t="s">
        <v>3669</v>
      </c>
      <c r="L1579">
        <v>4.2</v>
      </c>
      <c r="M1579">
        <v>967</v>
      </c>
      <c r="O1579" t="s">
        <v>26</v>
      </c>
      <c r="P1579" t="s">
        <v>39</v>
      </c>
      <c r="Q1579" t="s">
        <v>3666</v>
      </c>
    </row>
    <row r="1580" spans="1:17" ht="15.75" x14ac:dyDescent="0.25">
      <c r="A1580" s="3" t="str">
        <f>HYPERLINK("https://oskinmedspa.com/products/secret-gold-24k-mask", "https://oskinmedspa.com/products/secret-gold-24k-mask")</f>
        <v>https://oskinmedspa.com/products/secret-gold-24k-mask</v>
      </c>
      <c r="B1580" s="3" t="str">
        <f>HYPERLINK("https://oskinmedspa.com/products/secret-gold-24k-mask", "https://oskinmedspa.com/products/secret-gold-24k-mask")</f>
        <v>https://oskinmedspa.com/products/secret-gold-24k-mask</v>
      </c>
      <c r="C1580" t="s">
        <v>3672</v>
      </c>
      <c r="D1580" t="s">
        <v>3673</v>
      </c>
      <c r="E1580" s="3" t="str">
        <f>HYPERLINK("https://www.amazon.com/Skin-Care-Tightening-Anti-Wrinkle-Non-comedogenic/dp/B00KY613PQ/ref=sr_1_1?keywords=Secret+Gold+24k+Gold+Mask&amp;qid=1695259125&amp;sr=8-1", "https://www.amazon.com/Skin-Care-Tightening-Anti-Wrinkle-Non-comedogenic/dp/B00KY613PQ/ref=sr_1_1?keywords=Secret+Gold+24k+Gold+Mask&amp;qid=1695259125&amp;sr=8-1")</f>
        <v>https://www.amazon.com/Skin-Care-Tightening-Anti-Wrinkle-Non-comedogenic/dp/B00KY613PQ/ref=sr_1_1?keywords=Secret+Gold+24k+Gold+Mask&amp;qid=1695259125&amp;sr=8-1</v>
      </c>
      <c r="F1580" t="s">
        <v>3674</v>
      </c>
      <c r="G1580" t="e">
        <f ca="1">IMAGE("https://oskinmedspa.com/cdn/shop/products/OSkin-PDP-Secret-Gold.jpg?v=1652365007")</f>
        <v>#NAME?</v>
      </c>
      <c r="H1580" t="e">
        <f ca="1">IMAGE("https://m.media-amazon.com/images/I/61B61olLjqL._AC_UL320_.jpg")</f>
        <v>#NAME?</v>
      </c>
      <c r="I1580" t="s">
        <v>2565</v>
      </c>
      <c r="J1580">
        <v>139.99</v>
      </c>
      <c r="K1580" s="2" t="s">
        <v>3675</v>
      </c>
      <c r="L1580">
        <v>3.7</v>
      </c>
      <c r="M1580">
        <v>4</v>
      </c>
      <c r="O1580" t="s">
        <v>26</v>
      </c>
      <c r="P1580" t="s">
        <v>39</v>
      </c>
      <c r="Q1580" t="s">
        <v>3676</v>
      </c>
    </row>
    <row r="1581" spans="1:17" ht="15.75" x14ac:dyDescent="0.25">
      <c r="A1581" s="3" t="str">
        <f>HYPERLINK("https://oskinmedspa.com/products/milk-brightening-bar", "https://oskinmedspa.com/products/milk-brightening-bar")</f>
        <v>https://oskinmedspa.com/products/milk-brightening-bar</v>
      </c>
      <c r="B1581" s="3" t="str">
        <f>HYPERLINK("https://oskinmedspa.com/products/milk-brightening-bar", "https://oskinmedspa.com/products/milk-brightening-bar")</f>
        <v>https://oskinmedspa.com/products/milk-brightening-bar</v>
      </c>
      <c r="C1581" t="s">
        <v>3677</v>
      </c>
      <c r="D1581" t="s">
        <v>3678</v>
      </c>
      <c r="E1581" s="3" t="str">
        <f>HYPERLINK("https://www.amazon.com/OLIVIA-QUIDO-Brightening-Luxurious-Exfoliates/dp/B0BHXJ5PYY/ref=sr_1_1?keywords=Milk+Brightening+Bar&amp;qid=1695259124&amp;sr=8-1", "https://www.amazon.com/OLIVIA-QUIDO-Brightening-Luxurious-Exfoliates/dp/B0BHXJ5PYY/ref=sr_1_1?keywords=Milk+Brightening+Bar&amp;qid=1695259124&amp;sr=8-1")</f>
        <v>https://www.amazon.com/OLIVIA-QUIDO-Brightening-Luxurious-Exfoliates/dp/B0BHXJ5PYY/ref=sr_1_1?keywords=Milk+Brightening+Bar&amp;qid=1695259124&amp;sr=8-1</v>
      </c>
      <c r="F1581" t="s">
        <v>3679</v>
      </c>
      <c r="G1581" t="e">
        <f ca="1">IMAGE("https://oskinmedspa.com/cdn/shop/products/OSkin-PDP-Hero-images-Milk-Brigthening-bar.jpg?v=1653594186")</f>
        <v>#NAME?</v>
      </c>
      <c r="H1581" t="e">
        <f ca="1">IMAGE("https://m.media-amazon.com/images/I/51lh8gFA2+L._AC_UL320_.jpg")</f>
        <v>#NAME?</v>
      </c>
      <c r="I1581" t="s">
        <v>3680</v>
      </c>
      <c r="J1581">
        <v>19.989999999999998</v>
      </c>
      <c r="K1581" s="2" t="s">
        <v>3681</v>
      </c>
      <c r="L1581">
        <v>3.8</v>
      </c>
      <c r="M1581">
        <v>13</v>
      </c>
      <c r="O1581" t="s">
        <v>26</v>
      </c>
      <c r="P1581" t="s">
        <v>39</v>
      </c>
      <c r="Q1581" t="s">
        <v>3682</v>
      </c>
    </row>
    <row r="1582" spans="1:17" ht="15.75" x14ac:dyDescent="0.25">
      <c r="A1582" s="3" t="str">
        <f>HYPERLINK("https://oskinmedspa.com/products/shampoo-conditioner-bundle", "https://oskinmedspa.com/products/shampoo-conditioner-bundle")</f>
        <v>https://oskinmedspa.com/products/shampoo-conditioner-bundle</v>
      </c>
      <c r="B1582" s="3" t="str">
        <f>HYPERLINK("https://oskinmedspa.com/products/shampoo-conditioner-bundle", "https://oskinmedspa.com/products/shampoo-conditioner-bundle")</f>
        <v>https://oskinmedspa.com/products/shampoo-conditioner-bundle</v>
      </c>
      <c r="C1582" t="s">
        <v>3683</v>
      </c>
      <c r="D1582" t="s">
        <v>3684</v>
      </c>
      <c r="E1582" s="3" t="str">
        <f>HYPERLINK("https://www.amazon.com/Conditioner-Restores-Color-Treated-Sulfate-Free-Strengthens/dp/B0BM1WQFQ9/ref=sr_1_7?keywords=Healthy+Hair+Shampoo+%26+Conditioner+Bundle&amp;qid=1695259129&amp;sr=8-7", "https://www.amazon.com/Conditioner-Restores-Color-Treated-Sulfate-Free-Strengthens/dp/B0BM1WQFQ9/ref=sr_1_7?keywords=Healthy+Hair+Shampoo+%26+Conditioner+Bundle&amp;qid=1695259129&amp;sr=8-7")</f>
        <v>https://www.amazon.com/Conditioner-Restores-Color-Treated-Sulfate-Free-Strengthens/dp/B0BM1WQFQ9/ref=sr_1_7?keywords=Healthy+Hair+Shampoo+%26+Conditioner+Bundle&amp;qid=1695259129&amp;sr=8-7</v>
      </c>
      <c r="F1582" t="s">
        <v>3685</v>
      </c>
      <c r="G1582" t="e">
        <f ca="1">IMAGE("https://oskinmedspa.com/cdn/shop/products/OSkin-PDP-Hero-ShampooBundle.jpg?v=1670369937")</f>
        <v>#NAME?</v>
      </c>
      <c r="H1582" t="e">
        <f ca="1">IMAGE("https://m.media-amazon.com/images/I/41VxJ9bs7JL._AC_UL320_.jpg")</f>
        <v>#NAME?</v>
      </c>
      <c r="I1582" t="s">
        <v>2104</v>
      </c>
      <c r="J1582">
        <v>44</v>
      </c>
      <c r="K1582" s="2" t="s">
        <v>3686</v>
      </c>
      <c r="L1582">
        <v>4.5</v>
      </c>
      <c r="M1582">
        <v>61</v>
      </c>
      <c r="O1582" t="s">
        <v>26</v>
      </c>
      <c r="P1582" t="s">
        <v>39</v>
      </c>
      <c r="Q1582" t="s">
        <v>3687</v>
      </c>
    </row>
    <row r="1583" spans="1:17" ht="15.75" x14ac:dyDescent="0.25">
      <c r="A1583" s="3" t="str">
        <f>HYPERLINK("https://oskinmedspa.com/products/washable-silk-mask", "https://oskinmedspa.com/products/washable-silk-mask")</f>
        <v>https://oskinmedspa.com/products/washable-silk-mask</v>
      </c>
      <c r="B1583" s="3" t="str">
        <f>HYPERLINK("https://oskinmedspa.com/products/washable-silk-mask", "https://oskinmedspa.com/products/washable-silk-mask")</f>
        <v>https://oskinmedspa.com/products/washable-silk-mask</v>
      </c>
      <c r="C1583" t="s">
        <v>3661</v>
      </c>
      <c r="D1583" t="s">
        <v>3688</v>
      </c>
      <c r="E1583" s="3" t="str">
        <f>HYPERLINK("https://www.amazon.com/CELESTIAL-Silk-Reusable-Washable-Adjustable/dp/B08KJ1W1X8/ref=sr_1_1?keywords=Silk+Face+Mask&amp;qid=1695259126&amp;sr=8-1", "https://www.amazon.com/CELESTIAL-Silk-Reusable-Washable-Adjustable/dp/B08KJ1W1X8/ref=sr_1_1?keywords=Silk+Face+Mask&amp;qid=1695259126&amp;sr=8-1")</f>
        <v>https://www.amazon.com/CELESTIAL-Silk-Reusable-Washable-Adjustable/dp/B08KJ1W1X8/ref=sr_1_1?keywords=Silk+Face+Mask&amp;qid=1695259126&amp;sr=8-1</v>
      </c>
      <c r="F1583" t="s">
        <v>3689</v>
      </c>
      <c r="G1583" t="e">
        <f ca="1">IMAGE("https://oskinmedspa.com/cdn/shop/products/OSkin-SilkMasks-Gold.jpg?v=1655753432")</f>
        <v>#NAME?</v>
      </c>
      <c r="H1583" t="e">
        <f ca="1">IMAGE("https://m.media-amazon.com/images/I/817UAiACUxS._AC_UL320_.jpg")</f>
        <v>#NAME?</v>
      </c>
      <c r="I1583" t="s">
        <v>3664</v>
      </c>
      <c r="J1583">
        <v>12.99</v>
      </c>
      <c r="K1583" s="2" t="s">
        <v>3690</v>
      </c>
      <c r="L1583">
        <v>4.5</v>
      </c>
      <c r="M1583">
        <v>406</v>
      </c>
      <c r="O1583" t="s">
        <v>26</v>
      </c>
      <c r="P1583" t="s">
        <v>39</v>
      </c>
      <c r="Q1583" t="s">
        <v>3666</v>
      </c>
    </row>
    <row r="1584" spans="1:17" ht="15.75" x14ac:dyDescent="0.25">
      <c r="A1584" s="3" t="str">
        <f>HYPERLINK("https://oskinmedspa.com/products/daily-essentials-travel-set", "https://oskinmedspa.com/products/daily-essentials-travel-set")</f>
        <v>https://oskinmedspa.com/products/daily-essentials-travel-set</v>
      </c>
      <c r="B1584" s="3" t="str">
        <f>HYPERLINK("https://oskinmedspa.com/products/daily-essentials-travel-set", "https://oskinmedspa.com/products/daily-essentials-travel-set")</f>
        <v>https://oskinmedspa.com/products/daily-essentials-travel-set</v>
      </c>
      <c r="C1584" t="s">
        <v>3691</v>
      </c>
      <c r="D1584" t="s">
        <v>3692</v>
      </c>
      <c r="E1584" s="3" t="str">
        <f>HYPERLINK("https://www.amazon.com/Tata-Harper-Daily-Essentials-Set/dp/B0BN26QVDW/ref=sr_1_6?keywords=Daily+Essentials+Travel+Set&amp;qid=1695259126&amp;sr=8-6", "https://www.amazon.com/Tata-Harper-Daily-Essentials-Set/dp/B0BN26QVDW/ref=sr_1_6?keywords=Daily+Essentials+Travel+Set&amp;qid=1695259126&amp;sr=8-6")</f>
        <v>https://www.amazon.com/Tata-Harper-Daily-Essentials-Set/dp/B0BN26QVDW/ref=sr_1_6?keywords=Daily+Essentials+Travel+Set&amp;qid=1695259126&amp;sr=8-6</v>
      </c>
      <c r="F1584" t="s">
        <v>3693</v>
      </c>
      <c r="G1584" t="e">
        <f ca="1">IMAGE("https://oskinmedspa.com/cdn/shop/files/OSkin-DailyEssentialTravel-ProductImages2.jpg?v=1694707878")</f>
        <v>#NAME?</v>
      </c>
      <c r="H1584" t="e">
        <f ca="1">IMAGE("https://m.media-amazon.com/images/I/51lFl39MpbL._AC_UL320_.jpg")</f>
        <v>#NAME?</v>
      </c>
      <c r="I1584" t="s">
        <v>2501</v>
      </c>
      <c r="J1584">
        <v>80</v>
      </c>
      <c r="K1584" s="2" t="s">
        <v>2569</v>
      </c>
      <c r="L1584">
        <v>4.0999999999999996</v>
      </c>
      <c r="M1584">
        <v>9</v>
      </c>
      <c r="O1584" t="s">
        <v>26</v>
      </c>
      <c r="P1584" t="s">
        <v>39</v>
      </c>
      <c r="Q1584" t="s">
        <v>3694</v>
      </c>
    </row>
    <row r="1585" spans="1:17" ht="15.75" x14ac:dyDescent="0.25">
      <c r="A1585" s="3" t="str">
        <f>HYPERLINK("https://oskinmedspa.com/products/washable-silk-mask", "https://oskinmedspa.com/products/washable-silk-mask")</f>
        <v>https://oskinmedspa.com/products/washable-silk-mask</v>
      </c>
      <c r="B1585" s="3" t="str">
        <f>HYPERLINK("https://oskinmedspa.com/products/washable-silk-mask", "https://oskinmedspa.com/products/washable-silk-mask")</f>
        <v>https://oskinmedspa.com/products/washable-silk-mask</v>
      </c>
      <c r="C1585" t="s">
        <v>3661</v>
      </c>
      <c r="D1585" t="s">
        <v>3695</v>
      </c>
      <c r="E1585" s="3" t="str">
        <f>HYPERLINK("https://www.amazon.com/Reusable-Washable-Covering-Adjustable-Covers/dp/B09VBZJXW2/ref=sr_1_9?keywords=Silk+Face+Mask&amp;qid=1695259126&amp;sr=8-9", "https://www.amazon.com/Reusable-Washable-Covering-Adjustable-Covers/dp/B09VBZJXW2/ref=sr_1_9?keywords=Silk+Face+Mask&amp;qid=1695259126&amp;sr=8-9")</f>
        <v>https://www.amazon.com/Reusable-Washable-Covering-Adjustable-Covers/dp/B09VBZJXW2/ref=sr_1_9?keywords=Silk+Face+Mask&amp;qid=1695259126&amp;sr=8-9</v>
      </c>
      <c r="F1585" t="s">
        <v>3696</v>
      </c>
      <c r="G1585" t="e">
        <f ca="1">IMAGE("https://oskinmedspa.com/cdn/shop/products/OSkin-SilkMasks-Gold.jpg?v=1655753432")</f>
        <v>#NAME?</v>
      </c>
      <c r="H1585" t="e">
        <f ca="1">IMAGE("https://m.media-amazon.com/images/I/61UGt51FzBL._AC_UL320_.jpg")</f>
        <v>#NAME?</v>
      </c>
      <c r="I1585" t="s">
        <v>3664</v>
      </c>
      <c r="J1585">
        <v>12.49</v>
      </c>
      <c r="K1585" s="2" t="s">
        <v>3697</v>
      </c>
      <c r="L1585">
        <v>3.4</v>
      </c>
      <c r="M1585">
        <v>37</v>
      </c>
      <c r="O1585" t="s">
        <v>26</v>
      </c>
      <c r="P1585" t="s">
        <v>39</v>
      </c>
      <c r="Q1585" t="s">
        <v>3666</v>
      </c>
    </row>
    <row r="1586" spans="1:17" ht="15.75" x14ac:dyDescent="0.25">
      <c r="A1586" s="3" t="str">
        <f>HYPERLINK("https://oskinmedspa.com/products/washable-silk-mask", "https://oskinmedspa.com/products/washable-silk-mask")</f>
        <v>https://oskinmedspa.com/products/washable-silk-mask</v>
      </c>
      <c r="B1586" s="3" t="str">
        <f>HYPERLINK("https://oskinmedspa.com/products/washable-silk-mask", "https://oskinmedspa.com/products/washable-silk-mask")</f>
        <v>https://oskinmedspa.com/products/washable-silk-mask</v>
      </c>
      <c r="C1586" t="s">
        <v>3661</v>
      </c>
      <c r="D1586" t="s">
        <v>3698</v>
      </c>
      <c r="E1586" s="3" t="str">
        <f>HYPERLINK("https://www.amazon.com/Hypoallergenic-Washable-Reusable-Handmade-Florida/dp/B092KGQVLF/ref=sr_1_5?keywords=Silk+Face+Mask&amp;qid=1695259126&amp;sr=8-5", "https://www.amazon.com/Hypoallergenic-Washable-Reusable-Handmade-Florida/dp/B092KGQVLF/ref=sr_1_5?keywords=Silk+Face+Mask&amp;qid=1695259126&amp;sr=8-5")</f>
        <v>https://www.amazon.com/Hypoallergenic-Washable-Reusable-Handmade-Florida/dp/B092KGQVLF/ref=sr_1_5?keywords=Silk+Face+Mask&amp;qid=1695259126&amp;sr=8-5</v>
      </c>
      <c r="F1586" t="s">
        <v>3699</v>
      </c>
      <c r="G1586" t="e">
        <f ca="1">IMAGE("https://oskinmedspa.com/cdn/shop/products/OSkin-SilkMasks-Gold.jpg?v=1655753432")</f>
        <v>#NAME?</v>
      </c>
      <c r="H1586" t="e">
        <f ca="1">IMAGE("https://m.media-amazon.com/images/I/81fAhLQe-GL._AC_UL320_.jpg")</f>
        <v>#NAME?</v>
      </c>
      <c r="I1586" t="s">
        <v>3664</v>
      </c>
      <c r="J1586">
        <v>11.99</v>
      </c>
      <c r="K1586" s="2" t="s">
        <v>3700</v>
      </c>
      <c r="L1586">
        <v>4.0999999999999996</v>
      </c>
      <c r="M1586">
        <v>634</v>
      </c>
      <c r="O1586" t="s">
        <v>26</v>
      </c>
      <c r="P1586" t="s">
        <v>39</v>
      </c>
      <c r="Q1586" t="s">
        <v>3666</v>
      </c>
    </row>
    <row r="1587" spans="1:17" ht="15.75" x14ac:dyDescent="0.25">
      <c r="A1587" s="3" t="str">
        <f>HYPERLINK("https://oskinmedspa.com/products/shampoo-conditioner-bundle", "https://oskinmedspa.com/products/shampoo-conditioner-bundle")</f>
        <v>https://oskinmedspa.com/products/shampoo-conditioner-bundle</v>
      </c>
      <c r="B1587" s="3" t="str">
        <f>HYPERLINK("https://oskinmedspa.com/products/shampoo-conditioner-bundle", "https://oskinmedspa.com/products/shampoo-conditioner-bundle")</f>
        <v>https://oskinmedspa.com/products/shampoo-conditioner-bundle</v>
      </c>
      <c r="C1587" t="s">
        <v>3683</v>
      </c>
      <c r="D1587" t="s">
        <v>3701</v>
      </c>
      <c r="E1587" s="3" t="str">
        <f>HYPERLINK("https://www.amazon.com/Dr-Squatch-Shampoo-Conditioner-Set/dp/B06XTG99F9/ref=sr_1_1?keywords=Healthy+Hair+Shampoo+%26+Conditioner+Bundle&amp;qid=1695259129&amp;sr=8-1", "https://www.amazon.com/Dr-Squatch-Shampoo-Conditioner-Set/dp/B06XTG99F9/ref=sr_1_1?keywords=Healthy+Hair+Shampoo+%26+Conditioner+Bundle&amp;qid=1695259129&amp;sr=8-1")</f>
        <v>https://www.amazon.com/Dr-Squatch-Shampoo-Conditioner-Set/dp/B06XTG99F9/ref=sr_1_1?keywords=Healthy+Hair+Shampoo+%26+Conditioner+Bundle&amp;qid=1695259129&amp;sr=8-1</v>
      </c>
      <c r="F1587" t="s">
        <v>3702</v>
      </c>
      <c r="G1587" t="e">
        <f ca="1">IMAGE("https://oskinmedspa.com/cdn/shop/products/OSkin-PDP-Hero-ShampooBundle.jpg?v=1670369937")</f>
        <v>#NAME?</v>
      </c>
      <c r="H1587" t="e">
        <f ca="1">IMAGE("https://m.media-amazon.com/images/I/71xxdSIaAbL._AC_UL320_.jpg")</f>
        <v>#NAME?</v>
      </c>
      <c r="I1587" t="s">
        <v>2104</v>
      </c>
      <c r="J1587">
        <v>38.950000000000003</v>
      </c>
      <c r="K1587" s="2" t="s">
        <v>3703</v>
      </c>
      <c r="L1587">
        <v>4.5999999999999996</v>
      </c>
      <c r="M1587">
        <v>8047</v>
      </c>
      <c r="O1587" t="s">
        <v>26</v>
      </c>
      <c r="P1587" t="s">
        <v>39</v>
      </c>
      <c r="Q1587" t="s">
        <v>3687</v>
      </c>
    </row>
    <row r="1588" spans="1:17" ht="15.75" x14ac:dyDescent="0.25">
      <c r="A1588" s="3" t="str">
        <f>HYPERLINK("https://oskinmedspa.com/products/shampoo-conditioner-bundle", "https://oskinmedspa.com/products/shampoo-conditioner-bundle")</f>
        <v>https://oskinmedspa.com/products/shampoo-conditioner-bundle</v>
      </c>
      <c r="B1588" s="3" t="str">
        <f>HYPERLINK("https://oskinmedspa.com/products/shampoo-conditioner-bundle", "https://oskinmedspa.com/products/shampoo-conditioner-bundle")</f>
        <v>https://oskinmedspa.com/products/shampoo-conditioner-bundle</v>
      </c>
      <c r="C1588" t="s">
        <v>3683</v>
      </c>
      <c r="D1588" t="s">
        <v>3704</v>
      </c>
      <c r="E1588" s="3" t="str">
        <f>HYPERLINK("https://www.amazon.com/Sugar-Scalp-Intensive-Ritual-Bundle/dp/B0B6H383L9/ref=sr_1_3?keywords=Healthy+Hair+Shampoo+%26+Conditioner+Bundle&amp;qid=1695259129&amp;rdc=1&amp;sr=8-3", "https://www.amazon.com/Sugar-Scalp-Intensive-Ritual-Bundle/dp/B0B6H383L9/ref=sr_1_3?keywords=Healthy+Hair+Shampoo+%26+Conditioner+Bundle&amp;qid=1695259129&amp;rdc=1&amp;sr=8-3")</f>
        <v>https://www.amazon.com/Sugar-Scalp-Intensive-Ritual-Bundle/dp/B0B6H383L9/ref=sr_1_3?keywords=Healthy+Hair+Shampoo+%26+Conditioner+Bundle&amp;qid=1695259129&amp;rdc=1&amp;sr=8-3</v>
      </c>
      <c r="F1588" t="s">
        <v>3705</v>
      </c>
      <c r="G1588" t="e">
        <f ca="1">IMAGE("https://oskinmedspa.com/cdn/shop/products/OSkin-PDP-Hero-ShampooBundle.jpg?v=1670369937")</f>
        <v>#NAME?</v>
      </c>
      <c r="H1588" t="e">
        <f ca="1">IMAGE("https://m.media-amazon.com/images/I/81LBV-jmh3L._AC_UL320_.jpg")</f>
        <v>#NAME?</v>
      </c>
      <c r="I1588" t="s">
        <v>2104</v>
      </c>
      <c r="J1588">
        <v>36.99</v>
      </c>
      <c r="K1588" s="2" t="s">
        <v>3706</v>
      </c>
      <c r="L1588">
        <v>4.4000000000000004</v>
      </c>
      <c r="M1588">
        <v>151</v>
      </c>
      <c r="O1588" t="s">
        <v>26</v>
      </c>
      <c r="P1588" t="s">
        <v>39</v>
      </c>
      <c r="Q1588" t="s">
        <v>3687</v>
      </c>
    </row>
    <row r="1589" spans="1:17" ht="15.75" x14ac:dyDescent="0.25">
      <c r="A1589" s="3" t="str">
        <f>HYPERLINK("https://oskinmedspa.com/products/washable-silk-mask", "https://oskinmedspa.com/products/washable-silk-mask")</f>
        <v>https://oskinmedspa.com/products/washable-silk-mask</v>
      </c>
      <c r="B1589" s="3" t="str">
        <f>HYPERLINK("https://oskinmedspa.com/products/washable-silk-mask", "https://oskinmedspa.com/products/washable-silk-mask")</f>
        <v>https://oskinmedspa.com/products/washable-silk-mask</v>
      </c>
      <c r="C1589" t="s">
        <v>3661</v>
      </c>
      <c r="D1589" t="s">
        <v>3707</v>
      </c>
      <c r="E1589" s="3" t="str">
        <f>HYPERLINK("https://www.amazon.com/90210-KARIZMA-Mulberry-Fabric-Filters/dp/B08HDS5FB3/ref=sr_1_6?keywords=Silk+Face+Mask&amp;qid=1695259126&amp;sr=8-6", "https://www.amazon.com/90210-KARIZMA-Mulberry-Fabric-Filters/dp/B08HDS5FB3/ref=sr_1_6?keywords=Silk+Face+Mask&amp;qid=1695259126&amp;sr=8-6")</f>
        <v>https://www.amazon.com/90210-KARIZMA-Mulberry-Fabric-Filters/dp/B08HDS5FB3/ref=sr_1_6?keywords=Silk+Face+Mask&amp;qid=1695259126&amp;sr=8-6</v>
      </c>
      <c r="F1589" t="s">
        <v>3708</v>
      </c>
      <c r="G1589" t="e">
        <f ca="1">IMAGE("https://oskinmedspa.com/cdn/shop/products/OSkin-SilkMasks-Gold.jpg?v=1655753432")</f>
        <v>#NAME?</v>
      </c>
      <c r="H1589" t="e">
        <f ca="1">IMAGE("https://m.media-amazon.com/images/I/715LiGzt8uL._AC_UL320_.jpg")</f>
        <v>#NAME?</v>
      </c>
      <c r="I1589" t="s">
        <v>3664</v>
      </c>
      <c r="J1589">
        <v>9.99</v>
      </c>
      <c r="K1589" s="2" t="s">
        <v>3709</v>
      </c>
      <c r="L1589">
        <v>4.2</v>
      </c>
      <c r="M1589">
        <v>295</v>
      </c>
      <c r="O1589" t="s">
        <v>26</v>
      </c>
      <c r="P1589" t="s">
        <v>39</v>
      </c>
      <c r="Q1589" t="s">
        <v>3666</v>
      </c>
    </row>
    <row r="1590" spans="1:17" ht="15.75" x14ac:dyDescent="0.25">
      <c r="A1590" s="3" t="str">
        <f>HYPERLINK("https://oskinmedspa.com/products/washable-silk-mask", "https://oskinmedspa.com/products/washable-silk-mask")</f>
        <v>https://oskinmedspa.com/products/washable-silk-mask</v>
      </c>
      <c r="B1590" s="3" t="str">
        <f>HYPERLINK("https://oskinmedspa.com/products/washable-silk-mask", "https://oskinmedspa.com/products/washable-silk-mask")</f>
        <v>https://oskinmedspa.com/products/washable-silk-mask</v>
      </c>
      <c r="C1590" t="s">
        <v>3661</v>
      </c>
      <c r="D1590" t="s">
        <v>3710</v>
      </c>
      <c r="E1590" s="3" t="str">
        <f>HYPERLINK("https://www.amazon.com/Washable-Breathable-Adjustable-Mascarillas-Balaclava/dp/B09BKZNDP9/ref=sr_1_4?keywords=Silk+Face+Mask&amp;qid=1695259126&amp;sr=8-4", "https://www.amazon.com/Washable-Breathable-Adjustable-Mascarillas-Balaclava/dp/B09BKZNDP9/ref=sr_1_4?keywords=Silk+Face+Mask&amp;qid=1695259126&amp;sr=8-4")</f>
        <v>https://www.amazon.com/Washable-Breathable-Adjustable-Mascarillas-Balaclava/dp/B09BKZNDP9/ref=sr_1_4?keywords=Silk+Face+Mask&amp;qid=1695259126&amp;sr=8-4</v>
      </c>
      <c r="F1590" t="s">
        <v>3711</v>
      </c>
      <c r="G1590" t="e">
        <f ca="1">IMAGE("https://oskinmedspa.com/cdn/shop/products/OSkin-SilkMasks-Gold.jpg?v=1655753432")</f>
        <v>#NAME?</v>
      </c>
      <c r="H1590" t="e">
        <f ca="1">IMAGE("https://m.media-amazon.com/images/I/71tCN4W4x9L._AC_UL320_.jpg")</f>
        <v>#NAME?</v>
      </c>
      <c r="I1590" t="s">
        <v>3664</v>
      </c>
      <c r="J1590">
        <v>9.99</v>
      </c>
      <c r="K1590" s="2" t="s">
        <v>3709</v>
      </c>
      <c r="L1590">
        <v>4.3</v>
      </c>
      <c r="M1590">
        <v>997</v>
      </c>
      <c r="O1590" t="s">
        <v>26</v>
      </c>
      <c r="P1590" t="s">
        <v>39</v>
      </c>
      <c r="Q1590" t="s">
        <v>3666</v>
      </c>
    </row>
    <row r="1591" spans="1:17" ht="15.75" x14ac:dyDescent="0.25">
      <c r="A1591" s="3" t="str">
        <f>HYPERLINK("https://oskinmedspa.com/products/milk-brightening-bar", "https://oskinmedspa.com/products/milk-brightening-bar")</f>
        <v>https://oskinmedspa.com/products/milk-brightening-bar</v>
      </c>
      <c r="B1591" s="3" t="str">
        <f>HYPERLINK("https://oskinmedspa.com/products/milk-brightening-bar", "https://oskinmedspa.com/products/milk-brightening-bar")</f>
        <v>https://oskinmedspa.com/products/milk-brightening-bar</v>
      </c>
      <c r="C1591" t="s">
        <v>3677</v>
      </c>
      <c r="D1591" t="s">
        <v>3712</v>
      </c>
      <c r="E1591" s="3" t="str">
        <f>HYPERLINK("https://www.amazon.com/LightenUp-Milk-Protein-Exfoliating-Soap/dp/B08BTH1DPY/ref=sr_1_5?keywords=Milk+Brightening+Bar&amp;qid=1695259124&amp;sr=8-5", "https://www.amazon.com/LightenUp-Milk-Protein-Exfoliating-Soap/dp/B08BTH1DPY/ref=sr_1_5?keywords=Milk+Brightening+Bar&amp;qid=1695259124&amp;sr=8-5")</f>
        <v>https://www.amazon.com/LightenUp-Milk-Protein-Exfoliating-Soap/dp/B08BTH1DPY/ref=sr_1_5?keywords=Milk+Brightening+Bar&amp;qid=1695259124&amp;sr=8-5</v>
      </c>
      <c r="F1591" t="s">
        <v>3713</v>
      </c>
      <c r="G1591" t="e">
        <f ca="1">IMAGE("https://oskinmedspa.com/cdn/shop/products/OSkin-PDP-Hero-images-Milk-Brigthening-bar.jpg?v=1653594186")</f>
        <v>#NAME?</v>
      </c>
      <c r="H1591" t="e">
        <f ca="1">IMAGE("https://m.media-amazon.com/images/I/51mLOBB3h4L._AC_UL320_.jpg")</f>
        <v>#NAME?</v>
      </c>
      <c r="I1591" t="s">
        <v>3680</v>
      </c>
      <c r="J1591">
        <v>10.99</v>
      </c>
      <c r="K1591" s="2" t="s">
        <v>3714</v>
      </c>
      <c r="L1591">
        <v>4</v>
      </c>
      <c r="M1591">
        <v>289</v>
      </c>
      <c r="O1591" t="s">
        <v>26</v>
      </c>
      <c r="P1591" t="s">
        <v>39</v>
      </c>
      <c r="Q1591" t="s">
        <v>3682</v>
      </c>
    </row>
    <row r="1592" spans="1:17" ht="15.75" x14ac:dyDescent="0.25">
      <c r="A1592" s="3" t="str">
        <f>HYPERLINK("https://oskinmedspa.com/products/shampoo-conditioner-bundle", "https://oskinmedspa.com/products/shampoo-conditioner-bundle")</f>
        <v>https://oskinmedspa.com/products/shampoo-conditioner-bundle</v>
      </c>
      <c r="B1592" s="3" t="str">
        <f>HYPERLINK("https://oskinmedspa.com/products/shampoo-conditioner-bundle", "https://oskinmedspa.com/products/shampoo-conditioner-bundle")</f>
        <v>https://oskinmedspa.com/products/shampoo-conditioner-bundle</v>
      </c>
      <c r="C1592" t="s">
        <v>3683</v>
      </c>
      <c r="D1592" t="s">
        <v>3715</v>
      </c>
      <c r="E1592" s="3" t="str">
        <f>HYPERLINK("https://www.amazon.com/Sunny-Isle-Jamaican-Hydrating-Conditioner/dp/B0BNJXZX21/ref=sr_1_4?keywords=Healthy+Hair+Shampoo+%26+Conditioner+Bundle&amp;qid=1695259129&amp;sr=8-4", "https://www.amazon.com/Sunny-Isle-Jamaican-Hydrating-Conditioner/dp/B0BNJXZX21/ref=sr_1_4?keywords=Healthy+Hair+Shampoo+%26+Conditioner+Bundle&amp;qid=1695259129&amp;sr=8-4")</f>
        <v>https://www.amazon.com/Sunny-Isle-Jamaican-Hydrating-Conditioner/dp/B0BNJXZX21/ref=sr_1_4?keywords=Healthy+Hair+Shampoo+%26+Conditioner+Bundle&amp;qid=1695259129&amp;sr=8-4</v>
      </c>
      <c r="F1592" t="s">
        <v>3716</v>
      </c>
      <c r="G1592" t="e">
        <f ca="1">IMAGE("https://oskinmedspa.com/cdn/shop/products/OSkin-PDP-Hero-ShampooBundle.jpg?v=1670369937")</f>
        <v>#NAME?</v>
      </c>
      <c r="H1592" t="e">
        <f ca="1">IMAGE("https://m.media-amazon.com/images/I/71jqVMSqQuL._AC_UL320_.jpg")</f>
        <v>#NAME?</v>
      </c>
      <c r="I1592" t="s">
        <v>2104</v>
      </c>
      <c r="J1592">
        <v>25.49</v>
      </c>
      <c r="K1592" s="2" t="s">
        <v>3717</v>
      </c>
      <c r="L1592">
        <v>4.5</v>
      </c>
      <c r="M1592">
        <v>9</v>
      </c>
      <c r="O1592" t="s">
        <v>26</v>
      </c>
      <c r="P1592" t="s">
        <v>39</v>
      </c>
      <c r="Q1592" t="s">
        <v>3687</v>
      </c>
    </row>
    <row r="1593" spans="1:17" ht="15.75" x14ac:dyDescent="0.25">
      <c r="A1593" s="3" t="str">
        <f>HYPERLINK("https://oskinmedspa.com/products/shampoo-conditioner-bundle", "https://oskinmedspa.com/products/shampoo-conditioner-bundle")</f>
        <v>https://oskinmedspa.com/products/shampoo-conditioner-bundle</v>
      </c>
      <c r="B1593" s="3" t="str">
        <f>HYPERLINK("https://oskinmedspa.com/products/shampoo-conditioner-bundle", "https://oskinmedspa.com/products/shampoo-conditioner-bundle")</f>
        <v>https://oskinmedspa.com/products/shampoo-conditioner-bundle</v>
      </c>
      <c r="C1593" t="s">
        <v>3683</v>
      </c>
      <c r="D1593" t="s">
        <v>3718</v>
      </c>
      <c r="E1593" s="3" t="str">
        <f>HYPERLINK("https://www.amazon.com/New-Mielle-Encourages-Healthier-Conditioner/dp/B0BNQXSCNW/ref=sr_1_2?keywords=Healthy+Hair+Shampoo+%26+Conditioner+Bundle&amp;qid=1695259129&amp;sr=8-2", "https://www.amazon.com/New-Mielle-Encourages-Healthier-Conditioner/dp/B0BNQXSCNW/ref=sr_1_2?keywords=Healthy+Hair+Shampoo+%26+Conditioner+Bundle&amp;qid=1695259129&amp;sr=8-2")</f>
        <v>https://www.amazon.com/New-Mielle-Encourages-Healthier-Conditioner/dp/B0BNQXSCNW/ref=sr_1_2?keywords=Healthy+Hair+Shampoo+%26+Conditioner+Bundle&amp;qid=1695259129&amp;sr=8-2</v>
      </c>
      <c r="F1593" t="s">
        <v>3719</v>
      </c>
      <c r="G1593" t="e">
        <f ca="1">IMAGE("https://oskinmedspa.com/cdn/shop/products/OSkin-PDP-Hero-ShampooBundle.jpg?v=1670369937")</f>
        <v>#NAME?</v>
      </c>
      <c r="H1593" t="e">
        <f ca="1">IMAGE("https://m.media-amazon.com/images/I/61ar--E-pgL._AC_UL320_.jpg")</f>
        <v>#NAME?</v>
      </c>
      <c r="I1593" t="s">
        <v>2104</v>
      </c>
      <c r="J1593">
        <v>24.97</v>
      </c>
      <c r="K1593" s="2" t="s">
        <v>3720</v>
      </c>
      <c r="L1593">
        <v>4.3</v>
      </c>
      <c r="M1593">
        <v>13</v>
      </c>
      <c r="O1593" t="s">
        <v>26</v>
      </c>
      <c r="P1593" t="s">
        <v>39</v>
      </c>
      <c r="Q1593" t="s">
        <v>3687</v>
      </c>
    </row>
    <row r="1594" spans="1:17" ht="15.75" x14ac:dyDescent="0.25">
      <c r="A1594" s="3" t="str">
        <f>HYPERLINK("https://oskinmedspa.com/products/milk-brightening-bar", "https://oskinmedspa.com/products/milk-brightening-bar")</f>
        <v>https://oskinmedspa.com/products/milk-brightening-bar</v>
      </c>
      <c r="B1594" s="3" t="str">
        <f>HYPERLINK("https://oskinmedspa.com/products/milk-brightening-bar", "https://oskinmedspa.com/products/milk-brightening-bar")</f>
        <v>https://oskinmedspa.com/products/milk-brightening-bar</v>
      </c>
      <c r="C1594" t="s">
        <v>3677</v>
      </c>
      <c r="D1594" t="s">
        <v>3721</v>
      </c>
      <c r="E1594" s="3" t="str">
        <f>HYPERLINK("https://www.amazon.com/Glutathione-Brightening-Moisturizers-Acne-Firm-Vegetarian/dp/B073LR6QPP/ref=sr_1_2?keywords=Milk+Brightening+Bar&amp;qid=1695259124&amp;sr=8-2", "https://www.amazon.com/Glutathione-Brightening-Moisturizers-Acne-Firm-Vegetarian/dp/B073LR6QPP/ref=sr_1_2?keywords=Milk+Brightening+Bar&amp;qid=1695259124&amp;sr=8-2")</f>
        <v>https://www.amazon.com/Glutathione-Brightening-Moisturizers-Acne-Firm-Vegetarian/dp/B073LR6QPP/ref=sr_1_2?keywords=Milk+Brightening+Bar&amp;qid=1695259124&amp;sr=8-2</v>
      </c>
      <c r="F1594" t="s">
        <v>3722</v>
      </c>
      <c r="G1594" t="e">
        <f ca="1">IMAGE("https://oskinmedspa.com/cdn/shop/products/OSkin-PDP-Hero-images-Milk-Brigthening-bar.jpg?v=1653594186")</f>
        <v>#NAME?</v>
      </c>
      <c r="H1594" t="e">
        <f ca="1">IMAGE("https://m.media-amazon.com/images/I/51jEddh46CL._AC_UL320_.jpg")</f>
        <v>#NAME?</v>
      </c>
      <c r="I1594" t="s">
        <v>3680</v>
      </c>
      <c r="J1594">
        <v>9.98</v>
      </c>
      <c r="K1594" s="2" t="s">
        <v>3723</v>
      </c>
      <c r="L1594">
        <v>4</v>
      </c>
      <c r="M1594">
        <v>2091</v>
      </c>
      <c r="O1594" t="s">
        <v>26</v>
      </c>
      <c r="P1594" t="s">
        <v>39</v>
      </c>
      <c r="Q1594" t="s">
        <v>3682</v>
      </c>
    </row>
    <row r="1595" spans="1:17" ht="15.75" x14ac:dyDescent="0.25">
      <c r="A1595" s="3" t="str">
        <f>HYPERLINK("https://oskinmedspa.com/products/daily-essentials-regimen", "https://oskinmedspa.com/products/daily-essentials-regimen")</f>
        <v>https://oskinmedspa.com/products/daily-essentials-regimen</v>
      </c>
      <c r="B1595" s="3" t="str">
        <f>HYPERLINK("https://oskinmedspa.com/products/daily-essentials-regimen", "https://oskinmedspa.com/products/daily-essentials-regimen")</f>
        <v>https://oskinmedspa.com/products/daily-essentials-regimen</v>
      </c>
      <c r="C1595" t="s">
        <v>3724</v>
      </c>
      <c r="D1595" t="s">
        <v>3725</v>
      </c>
      <c r="E1595" s="3" t="str">
        <f>HYPERLINK("https://www.amazon.com/Privai-Anti-Aging-Essentials-Travel/dp/B081NJ219K/ref=sr_1_2?keywords=Daily+Essentials+Regimen&amp;qid=1695259125&amp;sr=8-2", "https://www.amazon.com/Privai-Anti-Aging-Essentials-Travel/dp/B081NJ219K/ref=sr_1_2?keywords=Daily+Essentials+Regimen&amp;qid=1695259125&amp;sr=8-2")</f>
        <v>https://www.amazon.com/Privai-Anti-Aging-Essentials-Travel/dp/B081NJ219K/ref=sr_1_2?keywords=Daily+Essentials+Regimen&amp;qid=1695259125&amp;sr=8-2</v>
      </c>
      <c r="F1595" t="s">
        <v>3726</v>
      </c>
      <c r="G1595" t="e">
        <f ca="1">IMAGE("https://oskinmedspa.com/cdn/shop/products/DailyEssentialsBundlesPDP.jpg?v=1654609903")</f>
        <v>#NAME?</v>
      </c>
      <c r="H1595" t="e">
        <f ca="1">IMAGE("https://m.media-amazon.com/images/I/619Pp2Ye7hL._AC_UL320_.jpg")</f>
        <v>#NAME?</v>
      </c>
      <c r="I1595" t="s">
        <v>3727</v>
      </c>
      <c r="J1595">
        <v>105</v>
      </c>
      <c r="K1595" s="2" t="s">
        <v>3728</v>
      </c>
      <c r="L1595">
        <v>4.7</v>
      </c>
      <c r="M1595">
        <v>3</v>
      </c>
      <c r="O1595" t="s">
        <v>26</v>
      </c>
      <c r="P1595" t="s">
        <v>39</v>
      </c>
      <c r="Q1595" t="s">
        <v>3729</v>
      </c>
    </row>
    <row r="1596" spans="1:17" ht="15.75" x14ac:dyDescent="0.25">
      <c r="A1596" s="3" t="str">
        <f>HYPERLINK("https://oskinmedspa.com/products/washable-silk-mask", "https://oskinmedspa.com/products/washable-silk-mask")</f>
        <v>https://oskinmedspa.com/products/washable-silk-mask</v>
      </c>
      <c r="B1596" s="3" t="str">
        <f>HYPERLINK("https://oskinmedspa.com/products/washable-silk-mask", "https://oskinmedspa.com/products/washable-silk-mask")</f>
        <v>https://oskinmedspa.com/products/washable-silk-mask</v>
      </c>
      <c r="C1596" t="s">
        <v>3661</v>
      </c>
      <c r="D1596" t="s">
        <v>3730</v>
      </c>
      <c r="E1596" s="3" t="str">
        <f>HYPERLINK("https://www.amazon.com/Beverly-Hills-KARIZMA-Mulberry-Fabric/dp/B08H1GX91G/ref=sr_1_2?keywords=Silk+Face+Mask&amp;qid=1695259126&amp;sr=8-2", "https://www.amazon.com/Beverly-Hills-KARIZMA-Mulberry-Fabric/dp/B08H1GX91G/ref=sr_1_2?keywords=Silk+Face+Mask&amp;qid=1695259126&amp;sr=8-2")</f>
        <v>https://www.amazon.com/Beverly-Hills-KARIZMA-Mulberry-Fabric/dp/B08H1GX91G/ref=sr_1_2?keywords=Silk+Face+Mask&amp;qid=1695259126&amp;sr=8-2</v>
      </c>
      <c r="F1596" t="s">
        <v>3731</v>
      </c>
      <c r="G1596" t="e">
        <f ca="1">IMAGE("https://oskinmedspa.com/cdn/shop/products/OSkin-SilkMasks-Gold.jpg?v=1655753432")</f>
        <v>#NAME?</v>
      </c>
      <c r="H1596" t="e">
        <f ca="1">IMAGE("https://m.media-amazon.com/images/I/71FNFC9KDML._AC_UL320_.jpg")</f>
        <v>#NAME?</v>
      </c>
      <c r="I1596" t="s">
        <v>3664</v>
      </c>
      <c r="J1596">
        <v>6.99</v>
      </c>
      <c r="K1596" s="2" t="s">
        <v>3732</v>
      </c>
      <c r="L1596">
        <v>4.2</v>
      </c>
      <c r="M1596">
        <v>2187</v>
      </c>
      <c r="O1596" t="s">
        <v>26</v>
      </c>
      <c r="P1596" t="s">
        <v>39</v>
      </c>
      <c r="Q1596" t="s">
        <v>3666</v>
      </c>
    </row>
    <row r="1597" spans="1:17" ht="15.75" x14ac:dyDescent="0.25">
      <c r="A1597" s="3" t="str">
        <f>HYPERLINK("https://oskinmedspa.com/products/shampoo-conditioner-bundle", "https://oskinmedspa.com/products/shampoo-conditioner-bundle")</f>
        <v>https://oskinmedspa.com/products/shampoo-conditioner-bundle</v>
      </c>
      <c r="B1597" s="3" t="str">
        <f>HYPERLINK("https://oskinmedspa.com/products/shampoo-conditioner-bundle", "https://oskinmedspa.com/products/shampoo-conditioner-bundle")</f>
        <v>https://oskinmedspa.com/products/shampoo-conditioner-bundle</v>
      </c>
      <c r="C1597" t="s">
        <v>3683</v>
      </c>
      <c r="D1597" t="s">
        <v>3733</v>
      </c>
      <c r="E1597" s="3" t="str">
        <f>HYPERLINK("https://www.amazon.com/Bundles-Bits-Volumizing-Shampoo-Conditioner/dp/B0B86NQZPS/ref=sr_1_6?keywords=Healthy+Hair+Shampoo+%26+Conditioner+Bundle&amp;qid=1695259129&amp;sr=8-6", "https://www.amazon.com/Bundles-Bits-Volumizing-Shampoo-Conditioner/dp/B0B86NQZPS/ref=sr_1_6?keywords=Healthy+Hair+Shampoo+%26+Conditioner+Bundle&amp;qid=1695259129&amp;sr=8-6")</f>
        <v>https://www.amazon.com/Bundles-Bits-Volumizing-Shampoo-Conditioner/dp/B0B86NQZPS/ref=sr_1_6?keywords=Healthy+Hair+Shampoo+%26+Conditioner+Bundle&amp;qid=1695259129&amp;sr=8-6</v>
      </c>
      <c r="F1597" t="s">
        <v>3734</v>
      </c>
      <c r="G1597" t="e">
        <f ca="1">IMAGE("https://oskinmedspa.com/cdn/shop/products/OSkin-PDP-Hero-ShampooBundle.jpg?v=1670369937")</f>
        <v>#NAME?</v>
      </c>
      <c r="H1597" t="e">
        <f ca="1">IMAGE("https://m.media-amazon.com/images/I/61A9qiKUQfL._AC_UL320_.jpg")</f>
        <v>#NAME?</v>
      </c>
      <c r="I1597" t="s">
        <v>2104</v>
      </c>
      <c r="J1597">
        <v>21.99</v>
      </c>
      <c r="K1597" s="2" t="s">
        <v>3735</v>
      </c>
      <c r="L1597">
        <v>3</v>
      </c>
      <c r="M1597">
        <v>3</v>
      </c>
      <c r="O1597" t="s">
        <v>26</v>
      </c>
      <c r="P1597" t="s">
        <v>39</v>
      </c>
      <c r="Q1597" t="s">
        <v>3687</v>
      </c>
    </row>
    <row r="1598" spans="1:17" ht="15.75" x14ac:dyDescent="0.25">
      <c r="A1598" s="3" t="str">
        <f>HYPERLINK("https://oskinmedspa.com/products/acne-benzoyl-wash-1", "https://oskinmedspa.com/products/acne-benzoyl-wash-1")</f>
        <v>https://oskinmedspa.com/products/acne-benzoyl-wash-1</v>
      </c>
      <c r="B1598" s="3" t="str">
        <f>HYPERLINK("https://oskinmedspa.com/products/acne-benzoyl-wash-1", "https://oskinmedspa.com/products/acne-benzoyl-wash-1")</f>
        <v>https://oskinmedspa.com/products/acne-benzoyl-wash-1</v>
      </c>
      <c r="C1598" t="s">
        <v>3736</v>
      </c>
      <c r="D1598" t="s">
        <v>3737</v>
      </c>
      <c r="E1598" s="3" t="str">
        <f>HYPERLINK("https://www.amazon.com/Dr-Song-Benzoyl-Peroxide-Treatment/dp/B07GJLMK14/ref=sr_1_9?keywords=Acne+Benzoyl+Wash&amp;qid=1695259128&amp;sr=8-9", "https://www.amazon.com/Dr-Song-Benzoyl-Peroxide-Treatment/dp/B07GJLMK14/ref=sr_1_9?keywords=Acne+Benzoyl+Wash&amp;qid=1695259128&amp;sr=8-9")</f>
        <v>https://www.amazon.com/Dr-Song-Benzoyl-Peroxide-Treatment/dp/B07GJLMK14/ref=sr_1_9?keywords=Acne+Benzoyl+Wash&amp;qid=1695259128&amp;sr=8-9</v>
      </c>
      <c r="F1598" t="s">
        <v>3738</v>
      </c>
      <c r="G1598" t="e">
        <f ca="1">IMAGE("https://oskinmedspa.com/cdn/shop/products/OSkin-PDP-AcneBenzolyWash-NEW.jpg?v=1677526292")</f>
        <v>#NAME?</v>
      </c>
      <c r="H1598" t="e">
        <f ca="1">IMAGE("https://m.media-amazon.com/images/I/61GGoJw0HgL._AC_UL320_.jpg")</f>
        <v>#NAME?</v>
      </c>
      <c r="I1598" t="s">
        <v>3739</v>
      </c>
      <c r="J1598">
        <v>24.92</v>
      </c>
      <c r="K1598" s="2" t="s">
        <v>3740</v>
      </c>
      <c r="L1598">
        <v>4.3</v>
      </c>
      <c r="M1598">
        <v>9927</v>
      </c>
      <c r="O1598" t="s">
        <v>26</v>
      </c>
      <c r="P1598" t="s">
        <v>39</v>
      </c>
      <c r="Q1598" t="s">
        <v>3741</v>
      </c>
    </row>
    <row r="1599" spans="1:17" ht="15.75" x14ac:dyDescent="0.25">
      <c r="A1599" s="3" t="str">
        <f>HYPERLINK("https://oskinmedspa.com/products/daily-essentials-travel-set", "https://oskinmedspa.com/products/daily-essentials-travel-set")</f>
        <v>https://oskinmedspa.com/products/daily-essentials-travel-set</v>
      </c>
      <c r="B1599" s="3" t="str">
        <f>HYPERLINK("https://oskinmedspa.com/products/daily-essentials-travel-set", "https://oskinmedspa.com/products/daily-essentials-travel-set")</f>
        <v>https://oskinmedspa.com/products/daily-essentials-travel-set</v>
      </c>
      <c r="C1599" t="s">
        <v>3691</v>
      </c>
      <c r="D1599" t="s">
        <v>3742</v>
      </c>
      <c r="E1599" s="3" t="str">
        <f>HYPERLINK("https://www.amazon.com/Compression-BAGSMART-Essentials-Lightweight-Accessories/dp/B0BFHQYW9M/ref=sr_1_2?keywords=Daily+Essentials+Travel+Set&amp;qid=1695259126&amp;sr=8-2", "https://www.amazon.com/Compression-BAGSMART-Essentials-Lightweight-Accessories/dp/B0BFHQYW9M/ref=sr_1_2?keywords=Daily+Essentials+Travel+Set&amp;qid=1695259126&amp;sr=8-2")</f>
        <v>https://www.amazon.com/Compression-BAGSMART-Essentials-Lightweight-Accessories/dp/B0BFHQYW9M/ref=sr_1_2?keywords=Daily+Essentials+Travel+Set&amp;qid=1695259126&amp;sr=8-2</v>
      </c>
      <c r="F1599" t="s">
        <v>3743</v>
      </c>
      <c r="G1599" t="e">
        <f ca="1">IMAGE("https://oskinmedspa.com/cdn/shop/files/OSkin-DailyEssentialTravel-ProductImages2.jpg?v=1694707878")</f>
        <v>#NAME?</v>
      </c>
      <c r="H1599" t="e">
        <f ca="1">IMAGE("https://m.media-amazon.com/images/I/81jPKeI8tCL._AC_UL320_.jpg")</f>
        <v>#NAME?</v>
      </c>
      <c r="I1599" t="s">
        <v>2501</v>
      </c>
      <c r="J1599">
        <v>39.99</v>
      </c>
      <c r="K1599" s="2" t="s">
        <v>3744</v>
      </c>
      <c r="L1599">
        <v>4.5999999999999996</v>
      </c>
      <c r="M1599">
        <v>6612</v>
      </c>
      <c r="O1599" t="s">
        <v>26</v>
      </c>
      <c r="P1599" t="s">
        <v>39</v>
      </c>
      <c r="Q1599" t="s">
        <v>3694</v>
      </c>
    </row>
    <row r="1600" spans="1:17" ht="15.75" x14ac:dyDescent="0.25">
      <c r="A1600" s="3" t="str">
        <f>HYPERLINK("https://oskinmedspa.com/products/milk-brightening-bar", "https://oskinmedspa.com/products/milk-brightening-bar")</f>
        <v>https://oskinmedspa.com/products/milk-brightening-bar</v>
      </c>
      <c r="B1600" s="3" t="str">
        <f>HYPERLINK("https://oskinmedspa.com/products/milk-brightening-bar", "https://oskinmedspa.com/products/milk-brightening-bar")</f>
        <v>https://oskinmedspa.com/products/milk-brightening-bar</v>
      </c>
      <c r="C1600" t="s">
        <v>3677</v>
      </c>
      <c r="D1600" t="s">
        <v>3745</v>
      </c>
      <c r="E1600" s="3" t="str">
        <f>HYPERLINK("https://www.amazon.com/Natural-Organic-Handmade-Himalayan-ounce/dp/B09XL19YS5/ref=sr_1_6?keywords=Milk+Brightening+Bar&amp;qid=1695259124&amp;sr=8-6", "https://www.amazon.com/Natural-Organic-Handmade-Himalayan-ounce/dp/B09XL19YS5/ref=sr_1_6?keywords=Milk+Brightening+Bar&amp;qid=1695259124&amp;sr=8-6")</f>
        <v>https://www.amazon.com/Natural-Organic-Handmade-Himalayan-ounce/dp/B09XL19YS5/ref=sr_1_6?keywords=Milk+Brightening+Bar&amp;qid=1695259124&amp;sr=8-6</v>
      </c>
      <c r="F1600" t="s">
        <v>3746</v>
      </c>
      <c r="G1600" t="e">
        <f ca="1">IMAGE("https://oskinmedspa.com/cdn/shop/products/OSkin-PDP-Hero-images-Milk-Brigthening-bar.jpg?v=1653594186")</f>
        <v>#NAME?</v>
      </c>
      <c r="H1600" t="e">
        <f ca="1">IMAGE("https://m.media-amazon.com/images/I/61B9uP5McHL._AC_UL320_.jpg")</f>
        <v>#NAME?</v>
      </c>
      <c r="I1600" t="s">
        <v>3680</v>
      </c>
      <c r="J1600">
        <v>8.25</v>
      </c>
      <c r="K1600" s="2" t="s">
        <v>3354</v>
      </c>
      <c r="L1600">
        <v>4.5999999999999996</v>
      </c>
      <c r="M1600">
        <v>48</v>
      </c>
      <c r="O1600" t="s">
        <v>26</v>
      </c>
      <c r="P1600" t="s">
        <v>39</v>
      </c>
      <c r="Q1600" t="s">
        <v>3682</v>
      </c>
    </row>
    <row r="1601" spans="1:17" ht="15.75" x14ac:dyDescent="0.25">
      <c r="A1601" s="3" t="str">
        <f>HYPERLINK("https://oskinmedspa.com/products/shampoo-conditioner-bundle", "https://oskinmedspa.com/products/shampoo-conditioner-bundle")</f>
        <v>https://oskinmedspa.com/products/shampoo-conditioner-bundle</v>
      </c>
      <c r="B1601" s="3" t="str">
        <f>HYPERLINK("https://oskinmedspa.com/products/shampoo-conditioner-bundle", "https://oskinmedspa.com/products/shampoo-conditioner-bundle")</f>
        <v>https://oskinmedspa.com/products/shampoo-conditioner-bundle</v>
      </c>
      <c r="C1601" t="s">
        <v>3683</v>
      </c>
      <c r="D1601" t="s">
        <v>3747</v>
      </c>
      <c r="E1601" s="3" t="str">
        <f>HYPERLINK("https://www.amazon.com/Artisanal-all-Natural-CONDITIONER-Eco-Friendly-Effective/dp/B0847D59CR/ref=sr_1_10?keywords=Healthy+Hair+Shampoo+%26+Conditioner+Bundle&amp;qid=1695259129&amp;sr=8-10", "https://www.amazon.com/Artisanal-all-Natural-CONDITIONER-Eco-Friendly-Effective/dp/B0847D59CR/ref=sr_1_10?keywords=Healthy+Hair+Shampoo+%26+Conditioner+Bundle&amp;qid=1695259129&amp;sr=8-10")</f>
        <v>https://www.amazon.com/Artisanal-all-Natural-CONDITIONER-Eco-Friendly-Effective/dp/B0847D59CR/ref=sr_1_10?keywords=Healthy+Hair+Shampoo+%26+Conditioner+Bundle&amp;qid=1695259129&amp;sr=8-10</v>
      </c>
      <c r="F1601" t="s">
        <v>3748</v>
      </c>
      <c r="G1601" t="e">
        <f ca="1">IMAGE("https://oskinmedspa.com/cdn/shop/products/OSkin-PDP-Hero-ShampooBundle.jpg?v=1670369937")</f>
        <v>#NAME?</v>
      </c>
      <c r="H1601" t="e">
        <f ca="1">IMAGE("https://m.media-amazon.com/images/I/51bYyxYUnvL._AC_UL320_.jpg")</f>
        <v>#NAME?</v>
      </c>
      <c r="I1601" t="s">
        <v>2104</v>
      </c>
      <c r="J1601">
        <v>19.440000000000001</v>
      </c>
      <c r="K1601" s="2" t="s">
        <v>3749</v>
      </c>
      <c r="L1601">
        <v>4.0999999999999996</v>
      </c>
      <c r="M1601">
        <v>42</v>
      </c>
      <c r="O1601" t="s">
        <v>26</v>
      </c>
      <c r="P1601" t="s">
        <v>39</v>
      </c>
      <c r="Q1601" t="s">
        <v>3687</v>
      </c>
    </row>
    <row r="1602" spans="1:17" ht="15.75" x14ac:dyDescent="0.25">
      <c r="A1602" s="3" t="str">
        <f>HYPERLINK("https://oskinmedspa.com/products/acne-benzoyl-wash-1", "https://oskinmedspa.com/products/acne-benzoyl-wash-1")</f>
        <v>https://oskinmedspa.com/products/acne-benzoyl-wash-1</v>
      </c>
      <c r="B1602" s="3" t="str">
        <f>HYPERLINK("https://oskinmedspa.com/products/acne-benzoyl-wash-1", "https://oskinmedspa.com/products/acne-benzoyl-wash-1")</f>
        <v>https://oskinmedspa.com/products/acne-benzoyl-wash-1</v>
      </c>
      <c r="C1602" t="s">
        <v>3736</v>
      </c>
      <c r="D1602" t="s">
        <v>3750</v>
      </c>
      <c r="E1602" s="3" t="str">
        <f>HYPERLINK("https://www.amazon.com/Humane-Regular-Strength-Acne-Wash-Dermatologist-Tested/dp/B08TRN7GNY/ref=sr_1_8?keywords=Acne+Benzoyl+Wash&amp;qid=1695259128&amp;sr=8-8", "https://www.amazon.com/Humane-Regular-Strength-Acne-Wash-Dermatologist-Tested/dp/B08TRN7GNY/ref=sr_1_8?keywords=Acne+Benzoyl+Wash&amp;qid=1695259128&amp;sr=8-8")</f>
        <v>https://www.amazon.com/Humane-Regular-Strength-Acne-Wash-Dermatologist-Tested/dp/B08TRN7GNY/ref=sr_1_8?keywords=Acne+Benzoyl+Wash&amp;qid=1695259128&amp;sr=8-8</v>
      </c>
      <c r="F1602" t="s">
        <v>3751</v>
      </c>
      <c r="G1602" t="e">
        <f ca="1">IMAGE("https://oskinmedspa.com/cdn/shop/products/OSkin-PDP-AcneBenzolyWash-NEW.jpg?v=1677526292")</f>
        <v>#NAME?</v>
      </c>
      <c r="H1602" t="e">
        <f ca="1">IMAGE("https://m.media-amazon.com/images/I/71h+14SjYmL._AC_UL320_.jpg")</f>
        <v>#NAME?</v>
      </c>
      <c r="I1602" t="s">
        <v>3739</v>
      </c>
      <c r="J1602">
        <v>21.95</v>
      </c>
      <c r="K1602" s="2" t="s">
        <v>3752</v>
      </c>
      <c r="L1602">
        <v>4.4000000000000004</v>
      </c>
      <c r="M1602">
        <v>359</v>
      </c>
      <c r="O1602" t="s">
        <v>26</v>
      </c>
      <c r="P1602" t="s">
        <v>39</v>
      </c>
      <c r="Q1602" t="s">
        <v>3741</v>
      </c>
    </row>
    <row r="1603" spans="1:17" ht="15.75" x14ac:dyDescent="0.25">
      <c r="A1603" s="3" t="str">
        <f>HYPERLINK("https://oskinmedspa.com/products/acne-cream-1", "https://oskinmedspa.com/products/acne-cream-1")</f>
        <v>https://oskinmedspa.com/products/acne-cream-1</v>
      </c>
      <c r="B1603" s="3" t="str">
        <f>HYPERLINK("https://oskinmedspa.com/products/acne-cream-1", "https://oskinmedspa.com/products/acne-cream-1")</f>
        <v>https://oskinmedspa.com/products/acne-cream-1</v>
      </c>
      <c r="C1603" t="s">
        <v>3753</v>
      </c>
      <c r="D1603" t="s">
        <v>3754</v>
      </c>
      <c r="E1603" s="3" t="str">
        <f>HYPERLINK("https://www.amazon.com/Acne-Medication-Face-Cream-AcneTreatment/dp/B0B6WNY4S8/ref=sr_1_8?keywords=Acne+Cream&amp;qid=1695259171&amp;rdc=1&amp;sr=8-8", "https://www.amazon.com/Acne-Medication-Face-Cream-AcneTreatment/dp/B0B6WNY4S8/ref=sr_1_8?keywords=Acne+Cream&amp;qid=1695259171&amp;rdc=1&amp;sr=8-8")</f>
        <v>https://www.amazon.com/Acne-Medication-Face-Cream-AcneTreatment/dp/B0B6WNY4S8/ref=sr_1_8?keywords=Acne+Cream&amp;qid=1695259171&amp;rdc=1&amp;sr=8-8</v>
      </c>
      <c r="F1603" t="s">
        <v>3755</v>
      </c>
      <c r="G1603" t="e">
        <f ca="1">IMAGE("https://oskinmedspa.com/cdn/shop/products/OSkin-PDP-AcneCream-NEW.jpg?v=1677515767")</f>
        <v>#NAME?</v>
      </c>
      <c r="H1603" t="e">
        <f ca="1">IMAGE("https://m.media-amazon.com/images/I/81msm4mTjbL._AC_UL320_.jpg")</f>
        <v>#NAME?</v>
      </c>
      <c r="I1603" t="s">
        <v>3756</v>
      </c>
      <c r="J1603">
        <v>22.89</v>
      </c>
      <c r="K1603" s="2" t="s">
        <v>3757</v>
      </c>
      <c r="L1603">
        <v>4.3</v>
      </c>
      <c r="M1603">
        <v>424</v>
      </c>
      <c r="O1603" t="s">
        <v>26</v>
      </c>
      <c r="P1603" t="s">
        <v>39</v>
      </c>
      <c r="Q1603" t="s">
        <v>3758</v>
      </c>
    </row>
    <row r="1604" spans="1:17" ht="15.75" x14ac:dyDescent="0.25">
      <c r="A1604" s="3" t="str">
        <f>HYPERLINK("https://oskinmedspa.com/products/shampoo-conditioner-bundle", "https://oskinmedspa.com/products/shampoo-conditioner-bundle")</f>
        <v>https://oskinmedspa.com/products/shampoo-conditioner-bundle</v>
      </c>
      <c r="B1604" s="3" t="str">
        <f>HYPERLINK("https://oskinmedspa.com/products/shampoo-conditioner-bundle", "https://oskinmedspa.com/products/shampoo-conditioner-bundle")</f>
        <v>https://oskinmedspa.com/products/shampoo-conditioner-bundle</v>
      </c>
      <c r="C1604" t="s">
        <v>3683</v>
      </c>
      <c r="D1604" t="s">
        <v>3759</v>
      </c>
      <c r="E1604" s="3" t="str">
        <f>HYPERLINK("https://www.amazon.com/Marc-Anthony-Volumizing-Coconut-Shampoo-Conditioner-Set/dp/B09DJQ1WDT/ref=sr_1_8?keywords=Healthy+Hair+Shampoo+%26+Conditioner+Bundle&amp;qid=1695259129&amp;sr=8-8", "https://www.amazon.com/Marc-Anthony-Volumizing-Coconut-Shampoo-Conditioner-Set/dp/B09DJQ1WDT/ref=sr_1_8?keywords=Healthy+Hair+Shampoo+%26+Conditioner+Bundle&amp;qid=1695259129&amp;sr=8-8")</f>
        <v>https://www.amazon.com/Marc-Anthony-Volumizing-Coconut-Shampoo-Conditioner-Set/dp/B09DJQ1WDT/ref=sr_1_8?keywords=Healthy+Hair+Shampoo+%26+Conditioner+Bundle&amp;qid=1695259129&amp;sr=8-8</v>
      </c>
      <c r="F1604" t="s">
        <v>3760</v>
      </c>
      <c r="G1604" t="e">
        <f ca="1">IMAGE("https://oskinmedspa.com/cdn/shop/products/OSkin-PDP-Hero-ShampooBundle.jpg?v=1670369937")</f>
        <v>#NAME?</v>
      </c>
      <c r="H1604" t="e">
        <f ca="1">IMAGE("https://m.media-amazon.com/images/I/71e7zrCMpCL._AC_UL320_.jpg")</f>
        <v>#NAME?</v>
      </c>
      <c r="I1604" t="s">
        <v>2104</v>
      </c>
      <c r="J1604">
        <v>15.72</v>
      </c>
      <c r="K1604" s="2" t="s">
        <v>3761</v>
      </c>
      <c r="L1604">
        <v>4.5</v>
      </c>
      <c r="M1604">
        <v>472</v>
      </c>
      <c r="O1604" t="s">
        <v>26</v>
      </c>
      <c r="P1604" t="s">
        <v>39</v>
      </c>
      <c r="Q1604" t="s">
        <v>3687</v>
      </c>
    </row>
    <row r="1605" spans="1:17" ht="15.75" x14ac:dyDescent="0.25">
      <c r="A1605" s="3" t="str">
        <f>HYPERLINK("https://oskinmedspa.com/products/acne-benzoyl-wash-1", "https://oskinmedspa.com/products/acne-benzoyl-wash-1")</f>
        <v>https://oskinmedspa.com/products/acne-benzoyl-wash-1</v>
      </c>
      <c r="B1605" s="3" t="str">
        <f>HYPERLINK("https://oskinmedspa.com/products/acne-benzoyl-wash-1", "https://oskinmedspa.com/products/acne-benzoyl-wash-1")</f>
        <v>https://oskinmedspa.com/products/acne-benzoyl-wash-1</v>
      </c>
      <c r="C1605" t="s">
        <v>3736</v>
      </c>
      <c r="D1605" t="s">
        <v>3762</v>
      </c>
      <c r="E1605" s="3" t="str">
        <f>HYPERLINK("https://www.amazon.com/CeraVe-Foaming-Peroxide-Strength-Fragrance/dp/B0C7J25MVB/ref=sr_1_7?keywords=Acne+Benzoyl+Wash&amp;qid=1695259128&amp;sr=8-7", "https://www.amazon.com/CeraVe-Foaming-Peroxide-Strength-Fragrance/dp/B0C7J25MVB/ref=sr_1_7?keywords=Acne+Benzoyl+Wash&amp;qid=1695259128&amp;sr=8-7")</f>
        <v>https://www.amazon.com/CeraVe-Foaming-Peroxide-Strength-Fragrance/dp/B0C7J25MVB/ref=sr_1_7?keywords=Acne+Benzoyl+Wash&amp;qid=1695259128&amp;sr=8-7</v>
      </c>
      <c r="F1605" t="s">
        <v>3763</v>
      </c>
      <c r="G1605" t="e">
        <f ca="1">IMAGE("https://oskinmedspa.com/cdn/shop/products/OSkin-PDP-AcneBenzolyWash-NEW.jpg?v=1677526292")</f>
        <v>#NAME?</v>
      </c>
      <c r="H1605" t="e">
        <f ca="1">IMAGE("https://m.media-amazon.com/images/I/81JlZZYZosL._AC_UL320_.jpg")</f>
        <v>#NAME?</v>
      </c>
      <c r="I1605" t="s">
        <v>3739</v>
      </c>
      <c r="J1605">
        <v>17.989999999999998</v>
      </c>
      <c r="K1605" s="2" t="s">
        <v>3764</v>
      </c>
      <c r="L1605">
        <v>4.5</v>
      </c>
      <c r="M1605">
        <v>54</v>
      </c>
      <c r="O1605" t="s">
        <v>26</v>
      </c>
      <c r="P1605" t="s">
        <v>39</v>
      </c>
      <c r="Q1605" t="s">
        <v>3741</v>
      </c>
    </row>
    <row r="1606" spans="1:17" ht="15.75" x14ac:dyDescent="0.25">
      <c r="A1606" s="3" t="str">
        <f>HYPERLINK("https://oskinmedspa.com/products/acne-cream-1", "https://oskinmedspa.com/products/acne-cream-1")</f>
        <v>https://oskinmedspa.com/products/acne-cream-1</v>
      </c>
      <c r="B1606" s="3" t="str">
        <f>HYPERLINK("https://oskinmedspa.com/products/acne-cream-1", "https://oskinmedspa.com/products/acne-cream-1")</f>
        <v>https://oskinmedspa.com/products/acne-cream-1</v>
      </c>
      <c r="C1606" t="s">
        <v>3753</v>
      </c>
      <c r="D1606" t="s">
        <v>3765</v>
      </c>
      <c r="E1606" s="3" t="str">
        <f>HYPERLINK("https://www.amazon.com/Roche-Posay-Effaclar-Treatment-Benzoyl-Peroxide/dp/B07DP9MCCJ/ref=sr_1_7?keywords=Acne+Cream&amp;qid=1695259171&amp;sr=8-7", "https://www.amazon.com/Roche-Posay-Effaclar-Treatment-Benzoyl-Peroxide/dp/B07DP9MCCJ/ref=sr_1_7?keywords=Acne+Cream&amp;qid=1695259171&amp;sr=8-7")</f>
        <v>https://www.amazon.com/Roche-Posay-Effaclar-Treatment-Benzoyl-Peroxide/dp/B07DP9MCCJ/ref=sr_1_7?keywords=Acne+Cream&amp;qid=1695259171&amp;sr=8-7</v>
      </c>
      <c r="F1606" t="s">
        <v>3766</v>
      </c>
      <c r="G1606" t="e">
        <f ca="1">IMAGE("https://oskinmedspa.com/cdn/shop/products/OSkin-PDP-AcneCream-NEW.jpg?v=1677515767")</f>
        <v>#NAME?</v>
      </c>
      <c r="H1606" t="e">
        <f ca="1">IMAGE("https://m.media-amazon.com/images/I/61iKMAZT1iL._AC_UL320_.jpg")</f>
        <v>#NAME?</v>
      </c>
      <c r="I1606" t="s">
        <v>3756</v>
      </c>
      <c r="J1606">
        <v>20.99</v>
      </c>
      <c r="K1606" s="2" t="s">
        <v>3767</v>
      </c>
      <c r="L1606">
        <v>4.5</v>
      </c>
      <c r="M1606">
        <v>6758</v>
      </c>
      <c r="O1606" t="s">
        <v>26</v>
      </c>
      <c r="P1606" t="s">
        <v>39</v>
      </c>
      <c r="Q1606" t="s">
        <v>3758</v>
      </c>
    </row>
    <row r="1607" spans="1:17" ht="15.75" x14ac:dyDescent="0.25">
      <c r="A1607" s="3" t="str">
        <f>HYPERLINK("https://oskinmedspa.com/products/daily-essentials-travel-set", "https://oskinmedspa.com/products/daily-essentials-travel-set")</f>
        <v>https://oskinmedspa.com/products/daily-essentials-travel-set</v>
      </c>
      <c r="B1607" s="3" t="str">
        <f>HYPERLINK("https://oskinmedspa.com/products/daily-essentials-travel-set", "https://oskinmedspa.com/products/daily-essentials-travel-set")</f>
        <v>https://oskinmedspa.com/products/daily-essentials-travel-set</v>
      </c>
      <c r="C1607" t="s">
        <v>3691</v>
      </c>
      <c r="D1607" t="s">
        <v>3768</v>
      </c>
      <c r="E1607" s="3" t="str">
        <f>HYPERLINK("https://www.amazon.com/REBONCEL-Toiletries-Essentials-All-Natural-Moisturizing/dp/B0BTNW39ZM/ref=sr_1_10?keywords=Daily+Essentials+Travel+Set&amp;qid=1695259126&amp;sr=8-10", "https://www.amazon.com/REBONCEL-Toiletries-Essentials-All-Natural-Moisturizing/dp/B0BTNW39ZM/ref=sr_1_10?keywords=Daily+Essentials+Travel+Set&amp;qid=1695259126&amp;sr=8-10")</f>
        <v>https://www.amazon.com/REBONCEL-Toiletries-Essentials-All-Natural-Moisturizing/dp/B0BTNW39ZM/ref=sr_1_10?keywords=Daily+Essentials+Travel+Set&amp;qid=1695259126&amp;sr=8-10</v>
      </c>
      <c r="F1607" t="s">
        <v>3769</v>
      </c>
      <c r="G1607" t="e">
        <f ca="1">IMAGE("https://oskinmedspa.com/cdn/shop/files/OSkin-DailyEssentialTravel-ProductImages2.jpg?v=1694707878")</f>
        <v>#NAME?</v>
      </c>
      <c r="H1607" t="e">
        <f ca="1">IMAGE("https://m.media-amazon.com/images/I/61YKiegCxqL._AC_UL320_.jpg")</f>
        <v>#NAME?</v>
      </c>
      <c r="I1607" t="s">
        <v>2501</v>
      </c>
      <c r="J1607">
        <v>23</v>
      </c>
      <c r="K1607" s="2" t="s">
        <v>2734</v>
      </c>
      <c r="L1607">
        <v>4.3</v>
      </c>
      <c r="M1607">
        <v>22</v>
      </c>
      <c r="O1607" t="s">
        <v>26</v>
      </c>
      <c r="P1607" t="s">
        <v>39</v>
      </c>
      <c r="Q1607" t="s">
        <v>3694</v>
      </c>
    </row>
    <row r="1608" spans="1:17" ht="15.75" x14ac:dyDescent="0.25">
      <c r="A1608" s="3" t="str">
        <f>HYPERLINK("https://oskinmedspa.com/products/daily-essentials-travel-set", "https://oskinmedspa.com/products/daily-essentials-travel-set")</f>
        <v>https://oskinmedspa.com/products/daily-essentials-travel-set</v>
      </c>
      <c r="B1608" s="3" t="str">
        <f>HYPERLINK("https://oskinmedspa.com/products/daily-essentials-travel-set", "https://oskinmedspa.com/products/daily-essentials-travel-set")</f>
        <v>https://oskinmedspa.com/products/daily-essentials-travel-set</v>
      </c>
      <c r="C1608" t="s">
        <v>3691</v>
      </c>
      <c r="D1608" t="s">
        <v>3770</v>
      </c>
      <c r="E1608" s="3" t="str">
        <f>HYPERLINK("https://www.amazon.com/Suitcases-Organizers-Veken-Essentials-Accessories/dp/B0C3QC22D2/ref=sr_1_9?keywords=Daily+Essentials+Travel+Set&amp;qid=1695259126&amp;sr=8-9", "https://www.amazon.com/Suitcases-Organizers-Veken-Essentials-Accessories/dp/B0C3QC22D2/ref=sr_1_9?keywords=Daily+Essentials+Travel+Set&amp;qid=1695259126&amp;sr=8-9")</f>
        <v>https://www.amazon.com/Suitcases-Organizers-Veken-Essentials-Accessories/dp/B0C3QC22D2/ref=sr_1_9?keywords=Daily+Essentials+Travel+Set&amp;qid=1695259126&amp;sr=8-9</v>
      </c>
      <c r="F1608" t="s">
        <v>3771</v>
      </c>
      <c r="G1608" t="e">
        <f ca="1">IMAGE("https://oskinmedspa.com/cdn/shop/files/OSkin-DailyEssentialTravel-ProductImages2.jpg?v=1694707878")</f>
        <v>#NAME?</v>
      </c>
      <c r="H1608" t="e">
        <f ca="1">IMAGE("https://m.media-amazon.com/images/I/71pF6xUWNSL._AC_UL320_.jpg")</f>
        <v>#NAME?</v>
      </c>
      <c r="I1608" t="s">
        <v>2501</v>
      </c>
      <c r="J1608">
        <v>21.99</v>
      </c>
      <c r="K1608" s="2" t="s">
        <v>3772</v>
      </c>
      <c r="L1608">
        <v>4.7</v>
      </c>
      <c r="M1608">
        <v>10091</v>
      </c>
      <c r="O1608" t="s">
        <v>26</v>
      </c>
      <c r="P1608" t="s">
        <v>39</v>
      </c>
      <c r="Q1608" t="s">
        <v>3694</v>
      </c>
    </row>
    <row r="1609" spans="1:17" ht="15.75" x14ac:dyDescent="0.25">
      <c r="A1609" s="3" t="str">
        <f>HYPERLINK("https://oskinmedspa.com/products/acne-benzoyl-wash-1", "https://oskinmedspa.com/products/acne-benzoyl-wash-1")</f>
        <v>https://oskinmedspa.com/products/acne-benzoyl-wash-1</v>
      </c>
      <c r="B1609" s="3" t="str">
        <f>HYPERLINK("https://oskinmedspa.com/products/acne-benzoyl-wash-1", "https://oskinmedspa.com/products/acne-benzoyl-wash-1")</f>
        <v>https://oskinmedspa.com/products/acne-benzoyl-wash-1</v>
      </c>
      <c r="C1609" t="s">
        <v>3736</v>
      </c>
      <c r="D1609" t="s">
        <v>3773</v>
      </c>
      <c r="E1609" s="3" t="str">
        <f>HYPERLINK("https://www.amazon.com/CeraVe-Treatment-Hyaluronic-Niacinamide-Sensitive/dp/B07YLJPMC3/ref=sr_1_6?keywords=Acne+Benzoyl+Wash&amp;qid=1695259128&amp;sr=8-6", "https://www.amazon.com/CeraVe-Treatment-Hyaluronic-Niacinamide-Sensitive/dp/B07YLJPMC3/ref=sr_1_6?keywords=Acne+Benzoyl+Wash&amp;qid=1695259128&amp;sr=8-6")</f>
        <v>https://www.amazon.com/CeraVe-Treatment-Hyaluronic-Niacinamide-Sensitive/dp/B07YLJPMC3/ref=sr_1_6?keywords=Acne+Benzoyl+Wash&amp;qid=1695259128&amp;sr=8-6</v>
      </c>
      <c r="F1609" t="s">
        <v>3774</v>
      </c>
      <c r="G1609" t="e">
        <f ca="1">IMAGE("https://oskinmedspa.com/cdn/shop/products/OSkin-PDP-AcneBenzolyWash-NEW.jpg?v=1677526292")</f>
        <v>#NAME?</v>
      </c>
      <c r="H1609" t="e">
        <f ca="1">IMAGE("https://m.media-amazon.com/images/I/81OQHXYinzL._AC_UL320_.jpg")</f>
        <v>#NAME?</v>
      </c>
      <c r="I1609" t="s">
        <v>3739</v>
      </c>
      <c r="J1609">
        <v>12.63</v>
      </c>
      <c r="K1609" s="2" t="s">
        <v>3775</v>
      </c>
      <c r="L1609">
        <v>4.5999999999999996</v>
      </c>
      <c r="M1609">
        <v>29251</v>
      </c>
      <c r="O1609" t="s">
        <v>26</v>
      </c>
      <c r="P1609" t="s">
        <v>39</v>
      </c>
      <c r="Q1609" t="s">
        <v>3741</v>
      </c>
    </row>
    <row r="1610" spans="1:17" ht="15.75" x14ac:dyDescent="0.25">
      <c r="A1610" s="3" t="str">
        <f>HYPERLINK("https://oskinmedspa.com/products/daily-essentials-travel-set", "https://oskinmedspa.com/products/daily-essentials-travel-set")</f>
        <v>https://oskinmedspa.com/products/daily-essentials-travel-set</v>
      </c>
      <c r="B1610" s="3" t="str">
        <f>HYPERLINK("https://oskinmedspa.com/products/daily-essentials-travel-set", "https://oskinmedspa.com/products/daily-essentials-travel-set")</f>
        <v>https://oskinmedspa.com/products/daily-essentials-travel-set</v>
      </c>
      <c r="C1610" t="s">
        <v>3691</v>
      </c>
      <c r="D1610" t="s">
        <v>3776</v>
      </c>
      <c r="E1610" s="3" t="str">
        <f>HYPERLINK("https://www.amazon.com/BAGSMART-Suitcases-Lightweight-Organizer-Organizers/dp/B09JNV515V/ref=sr_1_4?keywords=Daily+Essentials+Travel+Set&amp;qid=1695259126&amp;sr=8-4", "https://www.amazon.com/BAGSMART-Suitcases-Lightweight-Organizer-Organizers/dp/B09JNV515V/ref=sr_1_4?keywords=Daily+Essentials+Travel+Set&amp;qid=1695259126&amp;sr=8-4")</f>
        <v>https://www.amazon.com/BAGSMART-Suitcases-Lightweight-Organizer-Organizers/dp/B09JNV515V/ref=sr_1_4?keywords=Daily+Essentials+Travel+Set&amp;qid=1695259126&amp;sr=8-4</v>
      </c>
      <c r="F1610" t="s">
        <v>3777</v>
      </c>
      <c r="G1610" t="e">
        <f ca="1">IMAGE("https://oskinmedspa.com/cdn/shop/files/OSkin-DailyEssentialTravel-ProductImages2.jpg?v=1694707878")</f>
        <v>#NAME?</v>
      </c>
      <c r="H1610" t="e">
        <f ca="1">IMAGE("https://m.media-amazon.com/images/I/71eP5ffn1CL._AC_UL320_.jpg")</f>
        <v>#NAME?</v>
      </c>
      <c r="I1610" t="s">
        <v>2501</v>
      </c>
      <c r="J1610">
        <v>19.989999999999998</v>
      </c>
      <c r="K1610" s="2" t="s">
        <v>3778</v>
      </c>
      <c r="L1610">
        <v>4.5999999999999996</v>
      </c>
      <c r="M1610">
        <v>846</v>
      </c>
      <c r="O1610" t="s">
        <v>26</v>
      </c>
      <c r="P1610" t="s">
        <v>39</v>
      </c>
      <c r="Q1610" t="s">
        <v>3694</v>
      </c>
    </row>
    <row r="1611" spans="1:17" ht="15.75" x14ac:dyDescent="0.25">
      <c r="A1611" s="3" t="str">
        <f>HYPERLINK("https://oskinmedspa.com/products/acne-cream-1", "https://oskinmedspa.com/products/acne-cream-1")</f>
        <v>https://oskinmedspa.com/products/acne-cream-1</v>
      </c>
      <c r="B1611" s="3" t="str">
        <f>HYPERLINK("https://oskinmedspa.com/products/acne-cream-1", "https://oskinmedspa.com/products/acne-cream-1")</f>
        <v>https://oskinmedspa.com/products/acne-cream-1</v>
      </c>
      <c r="C1611" t="s">
        <v>3753</v>
      </c>
      <c r="D1611" t="s">
        <v>3773</v>
      </c>
      <c r="E1611" s="3" t="str">
        <f>HYPERLINK("https://www.amazon.com/CeraVe-Treatment-Hyaluronic-Niacinamide-Sensitive/dp/B07YLJPMC3/ref=sr_1_5?keywords=Acne+Cream&amp;qid=1695259171&amp;sr=8-5", "https://www.amazon.com/CeraVe-Treatment-Hyaluronic-Niacinamide-Sensitive/dp/B07YLJPMC3/ref=sr_1_5?keywords=Acne+Cream&amp;qid=1695259171&amp;sr=8-5")</f>
        <v>https://www.amazon.com/CeraVe-Treatment-Hyaluronic-Niacinamide-Sensitive/dp/B07YLJPMC3/ref=sr_1_5?keywords=Acne+Cream&amp;qid=1695259171&amp;sr=8-5</v>
      </c>
      <c r="F1611" t="s">
        <v>3774</v>
      </c>
      <c r="G1611" t="e">
        <f ca="1">IMAGE("https://oskinmedspa.com/cdn/shop/products/OSkin-PDP-AcneCream-NEW.jpg?v=1677515767")</f>
        <v>#NAME?</v>
      </c>
      <c r="H1611" t="e">
        <f ca="1">IMAGE("https://m.media-amazon.com/images/I/81OQHXYinzL._AC_UL320_.jpg")</f>
        <v>#NAME?</v>
      </c>
      <c r="I1611" t="s">
        <v>3756</v>
      </c>
      <c r="J1611">
        <v>12.27</v>
      </c>
      <c r="K1611" s="2" t="s">
        <v>3779</v>
      </c>
      <c r="L1611">
        <v>4.5999999999999996</v>
      </c>
      <c r="M1611">
        <v>29251</v>
      </c>
      <c r="O1611" t="s">
        <v>26</v>
      </c>
      <c r="P1611" t="s">
        <v>39</v>
      </c>
      <c r="Q1611" t="s">
        <v>3758</v>
      </c>
    </row>
    <row r="1612" spans="1:17" ht="15.75" x14ac:dyDescent="0.25">
      <c r="A1612" s="3" t="str">
        <f>HYPERLINK("https://oskinmedspa.com/products/washable-silk-mask", "https://oskinmedspa.com/products/washable-silk-mask")</f>
        <v>https://oskinmedspa.com/products/washable-silk-mask</v>
      </c>
      <c r="B1612" s="3" t="str">
        <f>HYPERLINK("https://oskinmedspa.com/products/washable-silk-mask", "https://oskinmedspa.com/products/washable-silk-mask")</f>
        <v>https://oskinmedspa.com/products/washable-silk-mask</v>
      </c>
      <c r="C1612" t="s">
        <v>3661</v>
      </c>
      <c r="D1612" t="s">
        <v>3780</v>
      </c>
      <c r="E1612" s="3" t="str">
        <f>HYPERLINK("https://www.amazon.com/Finishing-Touch-Flawless-Washable-Gentle/dp/B08WRFGMFL/ref=sr_1_7?keywords=Silk+Face+Mask&amp;qid=1695259126&amp;sr=8-7", "https://www.amazon.com/Finishing-Touch-Flawless-Washable-Gentle/dp/B08WRFGMFL/ref=sr_1_7?keywords=Silk+Face+Mask&amp;qid=1695259126&amp;sr=8-7")</f>
        <v>https://www.amazon.com/Finishing-Touch-Flawless-Washable-Gentle/dp/B08WRFGMFL/ref=sr_1_7?keywords=Silk+Face+Mask&amp;qid=1695259126&amp;sr=8-7</v>
      </c>
      <c r="F1612" t="s">
        <v>3781</v>
      </c>
      <c r="G1612" t="e">
        <f ca="1">IMAGE("https://oskinmedspa.com/cdn/shop/products/OSkin-SilkMasks-Gold.jpg?v=1655753432")</f>
        <v>#NAME?</v>
      </c>
      <c r="H1612" t="e">
        <f ca="1">IMAGE("https://m.media-amazon.com/images/I/81oJpxZIeUL._AC_UL320_.jpg")</f>
        <v>#NAME?</v>
      </c>
      <c r="I1612" t="s">
        <v>3664</v>
      </c>
      <c r="J1612">
        <v>2.5099999999999998</v>
      </c>
      <c r="K1612" s="2" t="s">
        <v>3782</v>
      </c>
      <c r="L1612">
        <v>4.3</v>
      </c>
      <c r="M1612">
        <v>227</v>
      </c>
      <c r="O1612" t="s">
        <v>26</v>
      </c>
      <c r="P1612" t="s">
        <v>39</v>
      </c>
      <c r="Q1612" t="s">
        <v>3666</v>
      </c>
    </row>
    <row r="1613" spans="1:17" ht="15.75" x14ac:dyDescent="0.25">
      <c r="A1613" s="3" t="str">
        <f t="shared" ref="A1613:B1616" si="23">HYPERLINK("https://oskinmedspa.com/products/acne-benzoyl-wash-1", "https://oskinmedspa.com/products/acne-benzoyl-wash-1")</f>
        <v>https://oskinmedspa.com/products/acne-benzoyl-wash-1</v>
      </c>
      <c r="B1613" s="3" t="str">
        <f t="shared" si="23"/>
        <v>https://oskinmedspa.com/products/acne-benzoyl-wash-1</v>
      </c>
      <c r="C1613" t="s">
        <v>3736</v>
      </c>
      <c r="D1613" t="s">
        <v>3783</v>
      </c>
      <c r="E1613" s="3" t="str">
        <f>HYPERLINK("https://www.amazon.com/PanOxyl-Foaming-Peroxide-Strength-Antimicrobial/dp/B081KL2QYJ/ref=sr_1_1?keywords=Acne+Benzoyl+Wash&amp;qid=1695259128&amp;sr=8-1", "https://www.amazon.com/PanOxyl-Foaming-Peroxide-Strength-Antimicrobial/dp/B081KL2QYJ/ref=sr_1_1?keywords=Acne+Benzoyl+Wash&amp;qid=1695259128&amp;sr=8-1")</f>
        <v>https://www.amazon.com/PanOxyl-Foaming-Peroxide-Strength-Antimicrobial/dp/B081KL2QYJ/ref=sr_1_1?keywords=Acne+Benzoyl+Wash&amp;qid=1695259128&amp;sr=8-1</v>
      </c>
      <c r="F1613" t="s">
        <v>3784</v>
      </c>
      <c r="G1613" t="e">
        <f ca="1">IMAGE("https://oskinmedspa.com/cdn/shop/products/OSkin-PDP-AcneBenzolyWash-NEW.jpg?v=1677526292")</f>
        <v>#NAME?</v>
      </c>
      <c r="H1613" t="e">
        <f ca="1">IMAGE("https://m.media-amazon.com/images/I/71-GCIBN8wL._AC_UL320_.jpg")</f>
        <v>#NAME?</v>
      </c>
      <c r="I1613" t="s">
        <v>3739</v>
      </c>
      <c r="J1613">
        <v>9.59</v>
      </c>
      <c r="K1613" s="2" t="s">
        <v>3785</v>
      </c>
      <c r="L1613">
        <v>4.5999999999999996</v>
      </c>
      <c r="M1613">
        <v>52797</v>
      </c>
      <c r="O1613" t="s">
        <v>26</v>
      </c>
      <c r="P1613" t="s">
        <v>39</v>
      </c>
      <c r="Q1613" t="s">
        <v>3741</v>
      </c>
    </row>
    <row r="1614" spans="1:17" ht="15.75" x14ac:dyDescent="0.25">
      <c r="A1614" s="3" t="str">
        <f t="shared" si="23"/>
        <v>https://oskinmedspa.com/products/acne-benzoyl-wash-1</v>
      </c>
      <c r="B1614" s="3" t="str">
        <f t="shared" si="23"/>
        <v>https://oskinmedspa.com/products/acne-benzoyl-wash-1</v>
      </c>
      <c r="C1614" t="s">
        <v>3736</v>
      </c>
      <c r="D1614" t="s">
        <v>3786</v>
      </c>
      <c r="E1614" s="3" t="str">
        <f>HYPERLINK("https://www.amazon.com/PanOxyl-Benzoyl-Peroxide-Control-Antimicrobial/dp/B081KLNHSG/ref=sr_1_4?keywords=Acne+Benzoyl+Wash&amp;qid=1695259128&amp;sr=8-4", "https://www.amazon.com/PanOxyl-Benzoyl-Peroxide-Control-Antimicrobial/dp/B081KLNHSG/ref=sr_1_4?keywords=Acne+Benzoyl+Wash&amp;qid=1695259128&amp;sr=8-4")</f>
        <v>https://www.amazon.com/PanOxyl-Benzoyl-Peroxide-Control-Antimicrobial/dp/B081KLNHSG/ref=sr_1_4?keywords=Acne+Benzoyl+Wash&amp;qid=1695259128&amp;sr=8-4</v>
      </c>
      <c r="F1614" t="s">
        <v>3787</v>
      </c>
      <c r="G1614" t="e">
        <f ca="1">IMAGE("https://oskinmedspa.com/cdn/shop/products/OSkin-PDP-AcneBenzolyWash-NEW.jpg?v=1677526292")</f>
        <v>#NAME?</v>
      </c>
      <c r="H1614" t="e">
        <f ca="1">IMAGE("https://m.media-amazon.com/images/I/71yvkPOVPoL._AC_UL320_.jpg")</f>
        <v>#NAME?</v>
      </c>
      <c r="I1614" t="s">
        <v>3739</v>
      </c>
      <c r="J1614">
        <v>9.3699999999999992</v>
      </c>
      <c r="K1614" s="2" t="s">
        <v>2782</v>
      </c>
      <c r="L1614">
        <v>4.5999999999999996</v>
      </c>
      <c r="M1614">
        <v>11685</v>
      </c>
      <c r="O1614" t="s">
        <v>26</v>
      </c>
      <c r="P1614" t="s">
        <v>39</v>
      </c>
      <c r="Q1614" t="s">
        <v>3741</v>
      </c>
    </row>
    <row r="1615" spans="1:17" ht="15.75" x14ac:dyDescent="0.25">
      <c r="A1615" s="3" t="str">
        <f t="shared" si="23"/>
        <v>https://oskinmedspa.com/products/acne-benzoyl-wash-1</v>
      </c>
      <c r="B1615" s="3" t="str">
        <f t="shared" si="23"/>
        <v>https://oskinmedspa.com/products/acne-benzoyl-wash-1</v>
      </c>
      <c r="C1615" t="s">
        <v>3736</v>
      </c>
      <c r="D1615" t="s">
        <v>3788</v>
      </c>
      <c r="E1615" s="3" t="str">
        <f>HYPERLINK("https://www.amazon.com/Acne-Free-Benzoyl-Peroxide-Cleansing/dp/B09FN2QRYR/ref=sr_1_5?keywords=Acne+Benzoyl+Wash&amp;qid=1695259128&amp;sr=8-5", "https://www.amazon.com/Acne-Free-Benzoyl-Peroxide-Cleansing/dp/B09FN2QRYR/ref=sr_1_5?keywords=Acne+Benzoyl+Wash&amp;qid=1695259128&amp;sr=8-5")</f>
        <v>https://www.amazon.com/Acne-Free-Benzoyl-Peroxide-Cleansing/dp/B09FN2QRYR/ref=sr_1_5?keywords=Acne+Benzoyl+Wash&amp;qid=1695259128&amp;sr=8-5</v>
      </c>
      <c r="F1615" t="s">
        <v>3789</v>
      </c>
      <c r="G1615" t="e">
        <f ca="1">IMAGE("https://oskinmedspa.com/cdn/shop/products/OSkin-PDP-AcneBenzolyWash-NEW.jpg?v=1677526292")</f>
        <v>#NAME?</v>
      </c>
      <c r="H1615" t="e">
        <f ca="1">IMAGE("https://m.media-amazon.com/images/I/81DqafdjL5L._AC_UL320_.jpg")</f>
        <v>#NAME?</v>
      </c>
      <c r="I1615" t="s">
        <v>3739</v>
      </c>
      <c r="J1615">
        <v>8.99</v>
      </c>
      <c r="K1615" s="2" t="s">
        <v>3790</v>
      </c>
      <c r="L1615">
        <v>4.5</v>
      </c>
      <c r="M1615">
        <v>434</v>
      </c>
      <c r="O1615" t="s">
        <v>26</v>
      </c>
      <c r="P1615" t="s">
        <v>39</v>
      </c>
      <c r="Q1615" t="s">
        <v>3741</v>
      </c>
    </row>
    <row r="1616" spans="1:17" ht="15.75" x14ac:dyDescent="0.25">
      <c r="A1616" s="3" t="str">
        <f t="shared" si="23"/>
        <v>https://oskinmedspa.com/products/acne-benzoyl-wash-1</v>
      </c>
      <c r="B1616" s="3" t="str">
        <f t="shared" si="23"/>
        <v>https://oskinmedspa.com/products/acne-benzoyl-wash-1</v>
      </c>
      <c r="C1616" t="s">
        <v>3736</v>
      </c>
      <c r="D1616" t="s">
        <v>3791</v>
      </c>
      <c r="E1616" s="3" t="str">
        <f>HYPERLINK("https://www.amazon.com/Perrigo-Benzoyl-Peroxide-Medication-Quantity/dp/B071HVKYJF/ref=sr_1_10?keywords=Acne+Benzoyl+Wash&amp;qid=1695259128&amp;sr=8-10", "https://www.amazon.com/Perrigo-Benzoyl-Peroxide-Medication-Quantity/dp/B071HVKYJF/ref=sr_1_10?keywords=Acne+Benzoyl+Wash&amp;qid=1695259128&amp;sr=8-10")</f>
        <v>https://www.amazon.com/Perrigo-Benzoyl-Peroxide-Medication-Quantity/dp/B071HVKYJF/ref=sr_1_10?keywords=Acne+Benzoyl+Wash&amp;qid=1695259128&amp;sr=8-10</v>
      </c>
      <c r="F1616" t="s">
        <v>3792</v>
      </c>
      <c r="G1616" t="e">
        <f ca="1">IMAGE("https://oskinmedspa.com/cdn/shop/products/OSkin-PDP-AcneBenzolyWash-NEW.jpg?v=1677526292")</f>
        <v>#NAME?</v>
      </c>
      <c r="H1616" t="e">
        <f ca="1">IMAGE("https://m.media-amazon.com/images/I/41sedFeo9iS._AC_UL320_.jpg")</f>
        <v>#NAME?</v>
      </c>
      <c r="I1616" t="s">
        <v>3739</v>
      </c>
      <c r="J1616">
        <v>8.9499999999999993</v>
      </c>
      <c r="K1616" s="2" t="s">
        <v>3793</v>
      </c>
      <c r="L1616">
        <v>4.5</v>
      </c>
      <c r="M1616">
        <v>1962</v>
      </c>
      <c r="O1616" t="s">
        <v>26</v>
      </c>
      <c r="P1616" t="s">
        <v>39</v>
      </c>
      <c r="Q1616" t="s">
        <v>3741</v>
      </c>
    </row>
    <row r="1617" spans="1:17" ht="15.75" x14ac:dyDescent="0.25">
      <c r="A1617" s="3" t="str">
        <f>HYPERLINK("https://oskinmedspa.com/products/acne-cream-1", "https://oskinmedspa.com/products/acne-cream-1")</f>
        <v>https://oskinmedspa.com/products/acne-cream-1</v>
      </c>
      <c r="B1617" s="3" t="str">
        <f>HYPERLINK("https://oskinmedspa.com/products/acne-cream-1", "https://oskinmedspa.com/products/acne-cream-1")</f>
        <v>https://oskinmedspa.com/products/acne-cream-1</v>
      </c>
      <c r="C1617" t="s">
        <v>3753</v>
      </c>
      <c r="D1617" t="s">
        <v>3794</v>
      </c>
      <c r="E1617" s="3" t="str">
        <f>HYPERLINK("https://www.amazon.com/Neutrogena-Stubborn-Treatment-Maximum-Strength-Acne-Prone/dp/B00NR1YVYU/ref=sr_1_4?keywords=Acne+Cream&amp;qid=1695259171&amp;sr=8-4", "https://www.amazon.com/Neutrogena-Stubborn-Treatment-Maximum-Strength-Acne-Prone/dp/B00NR1YVYU/ref=sr_1_4?keywords=Acne+Cream&amp;qid=1695259171&amp;sr=8-4")</f>
        <v>https://www.amazon.com/Neutrogena-Stubborn-Treatment-Maximum-Strength-Acne-Prone/dp/B00NR1YVYU/ref=sr_1_4?keywords=Acne+Cream&amp;qid=1695259171&amp;sr=8-4</v>
      </c>
      <c r="F1617" t="s">
        <v>3795</v>
      </c>
      <c r="G1617" t="e">
        <f ca="1">IMAGE("https://oskinmedspa.com/cdn/shop/products/OSkin-PDP-AcneCream-NEW.jpg?v=1677515767")</f>
        <v>#NAME?</v>
      </c>
      <c r="H1617" t="e">
        <f ca="1">IMAGE("https://m.media-amazon.com/images/I/71Y8qj3CiJL._AC_UL320_.jpg")</f>
        <v>#NAME?</v>
      </c>
      <c r="I1617" t="s">
        <v>3756</v>
      </c>
      <c r="J1617">
        <v>9.98</v>
      </c>
      <c r="K1617" s="2" t="s">
        <v>3796</v>
      </c>
      <c r="L1617">
        <v>4.4000000000000004</v>
      </c>
      <c r="M1617">
        <v>23854</v>
      </c>
      <c r="O1617" t="s">
        <v>26</v>
      </c>
      <c r="P1617" t="s">
        <v>39</v>
      </c>
      <c r="Q1617" t="s">
        <v>3758</v>
      </c>
    </row>
    <row r="1618" spans="1:17" ht="15.75" x14ac:dyDescent="0.25">
      <c r="A1618" s="3" t="str">
        <f>HYPERLINK("https://oskinmedspa.com/products/daily-essentials-regimen", "https://oskinmedspa.com/products/daily-essentials-regimen")</f>
        <v>https://oskinmedspa.com/products/daily-essentials-regimen</v>
      </c>
      <c r="B1618" s="3" t="str">
        <f>HYPERLINK("https://oskinmedspa.com/products/daily-essentials-regimen", "https://oskinmedspa.com/products/daily-essentials-regimen")</f>
        <v>https://oskinmedspa.com/products/daily-essentials-regimen</v>
      </c>
      <c r="C1618" t="s">
        <v>3724</v>
      </c>
      <c r="D1618" t="s">
        <v>3797</v>
      </c>
      <c r="E1618" s="3" t="str">
        <f>HYPERLINK("https://www.amazon.com/Urban-Skin-Rx-Formulated-Even-Looking/dp/B08CTJVJF3/ref=sr_1_1?keywords=Daily+Essentials+Regimen&amp;qid=1695259125&amp;sr=8-1", "https://www.amazon.com/Urban-Skin-Rx-Formulated-Even-Looking/dp/B08CTJVJF3/ref=sr_1_1?keywords=Daily+Essentials+Regimen&amp;qid=1695259125&amp;sr=8-1")</f>
        <v>https://www.amazon.com/Urban-Skin-Rx-Formulated-Even-Looking/dp/B08CTJVJF3/ref=sr_1_1?keywords=Daily+Essentials+Regimen&amp;qid=1695259125&amp;sr=8-1</v>
      </c>
      <c r="F1618" t="s">
        <v>3798</v>
      </c>
      <c r="G1618" t="e">
        <f ca="1">IMAGE("https://oskinmedspa.com/cdn/shop/products/DailyEssentialsBundlesPDP.jpg?v=1654609903")</f>
        <v>#NAME?</v>
      </c>
      <c r="H1618" t="e">
        <f ca="1">IMAGE("https://m.media-amazon.com/images/I/71nDryRjj1L._AC_UL320_.jpg")</f>
        <v>#NAME?</v>
      </c>
      <c r="I1618" t="s">
        <v>3727</v>
      </c>
      <c r="J1618">
        <v>29.99</v>
      </c>
      <c r="K1618" s="2" t="s">
        <v>3799</v>
      </c>
      <c r="L1618">
        <v>4.0999999999999996</v>
      </c>
      <c r="M1618">
        <v>538</v>
      </c>
      <c r="O1618" t="s">
        <v>26</v>
      </c>
      <c r="P1618" t="s">
        <v>39</v>
      </c>
      <c r="Q1618" t="s">
        <v>3729</v>
      </c>
    </row>
    <row r="1619" spans="1:17" ht="15.75" x14ac:dyDescent="0.25">
      <c r="A1619" s="3" t="str">
        <f>HYPERLINK("https://oskinmedspa.com/products/spot-eraser", "https://oskinmedspa.com/products/spot-eraser")</f>
        <v>https://oskinmedspa.com/products/spot-eraser</v>
      </c>
      <c r="B1619" s="3" t="str">
        <f>HYPERLINK("https://oskinmedspa.com/products/spot-eraser", "https://oskinmedspa.com/products/spot-eraser")</f>
        <v>https://oskinmedspa.com/products/spot-eraser</v>
      </c>
      <c r="C1619" t="s">
        <v>3800</v>
      </c>
      <c r="D1619" t="s">
        <v>3801</v>
      </c>
      <c r="E1619" s="3" t="str">
        <f>HYPERLINK("https://www.amazon.com/Dark-Spot-Hyperpigmentation-Corrector-Discoloration/dp/B0CB52VKKK/ref=sr_1_10?keywords=Kojic+Acid&amp;qid=1695259128&amp;sr=8-10", "https://www.amazon.com/Dark-Spot-Hyperpigmentation-Corrector-Discoloration/dp/B0CB52VKKK/ref=sr_1_10?keywords=Kojic+Acid&amp;qid=1695259128&amp;sr=8-10")</f>
        <v>https://www.amazon.com/Dark-Spot-Hyperpigmentation-Corrector-Discoloration/dp/B0CB52VKKK/ref=sr_1_10?keywords=Kojic+Acid&amp;qid=1695259128&amp;sr=8-10</v>
      </c>
      <c r="F1619" t="s">
        <v>3802</v>
      </c>
      <c r="G1619" t="e">
        <f ca="1">IMAGE("https://oskinmedspa.com/cdn/shop/products/OSkin-PDP-Hero-SpotEraser.jpg?v=1666883130")</f>
        <v>#NAME?</v>
      </c>
      <c r="H1619" t="e">
        <f ca="1">IMAGE("https://m.media-amazon.com/images/I/61ozMRN1KyL._AC_UL320_.jpg")</f>
        <v>#NAME?</v>
      </c>
      <c r="I1619" t="s">
        <v>3803</v>
      </c>
      <c r="J1619">
        <v>19.899999999999999</v>
      </c>
      <c r="K1619" s="2" t="s">
        <v>3804</v>
      </c>
      <c r="L1619">
        <v>4.8</v>
      </c>
      <c r="M1619">
        <v>110</v>
      </c>
      <c r="O1619" t="s">
        <v>136</v>
      </c>
      <c r="P1619" t="s">
        <v>39</v>
      </c>
      <c r="Q1619" t="s">
        <v>3805</v>
      </c>
    </row>
    <row r="1620" spans="1:17" ht="15.75" x14ac:dyDescent="0.25">
      <c r="A1620" s="3" t="str">
        <f>HYPERLINK("https://oskinmedspa.com/products/underarm-brightener", "https://oskinmedspa.com/products/underarm-brightener")</f>
        <v>https://oskinmedspa.com/products/underarm-brightener</v>
      </c>
      <c r="B1620" s="3" t="str">
        <f>HYPERLINK("https://oskinmedspa.com/products/underarm-brightener", "https://oskinmedspa.com/products/underarm-brightener")</f>
        <v>https://oskinmedspa.com/products/underarm-brightener</v>
      </c>
      <c r="C1620" t="s">
        <v>3806</v>
      </c>
      <c r="D1620" t="s">
        <v>3807</v>
      </c>
      <c r="E1620" s="3" t="str">
        <f>HYPERLINK("https://www.amazon.com/Brightener-Anti-Aging-Lightening-All-Natural-Ingredients/dp/B08D9T356H/ref=sr_1_2?keywords=Underarm+Brightener&amp;qid=1695259132&amp;sr=8-2", "https://www.amazon.com/Brightener-Anti-Aging-Lightening-All-Natural-Ingredients/dp/B08D9T356H/ref=sr_1_2?keywords=Underarm+Brightener&amp;qid=1695259132&amp;sr=8-2")</f>
        <v>https://www.amazon.com/Brightener-Anti-Aging-Lightening-All-Natural-Ingredients/dp/B08D9T356H/ref=sr_1_2?keywords=Underarm+Brightener&amp;qid=1695259132&amp;sr=8-2</v>
      </c>
      <c r="F1620" t="s">
        <v>3808</v>
      </c>
      <c r="G1620" t="e">
        <f ca="1">IMAGE("https://oskinmedspa.com/cdn/shop/products/OSkin-PDP-Underarm-Brightener.jpg?v=1652365107")</f>
        <v>#NAME?</v>
      </c>
      <c r="H1620" t="e">
        <f ca="1">IMAGE("https://m.media-amazon.com/images/I/61xK6uAEl8L._AC_UL320_.jpg")</f>
        <v>#NAME?</v>
      </c>
      <c r="I1620" t="s">
        <v>2501</v>
      </c>
      <c r="J1620">
        <v>9.99</v>
      </c>
      <c r="K1620" s="2" t="s">
        <v>3196</v>
      </c>
      <c r="L1620">
        <v>3.7</v>
      </c>
      <c r="M1620">
        <v>433</v>
      </c>
      <c r="O1620" t="s">
        <v>26</v>
      </c>
      <c r="P1620" t="s">
        <v>39</v>
      </c>
      <c r="Q1620" t="s">
        <v>3809</v>
      </c>
    </row>
    <row r="1621" spans="1:17" ht="15.75" x14ac:dyDescent="0.25">
      <c r="A1621" s="3" t="str">
        <f>HYPERLINK("https://oskinmedspa.com/products/acne-benzoyl-wash-1", "https://oskinmedspa.com/products/acne-benzoyl-wash-1")</f>
        <v>https://oskinmedspa.com/products/acne-benzoyl-wash-1</v>
      </c>
      <c r="B1621" s="3" t="str">
        <f>HYPERLINK("https://oskinmedspa.com/products/acne-benzoyl-wash-1", "https://oskinmedspa.com/products/acne-benzoyl-wash-1")</f>
        <v>https://oskinmedspa.com/products/acne-benzoyl-wash-1</v>
      </c>
      <c r="C1621" t="s">
        <v>3736</v>
      </c>
      <c r="D1621" t="s">
        <v>3810</v>
      </c>
      <c r="E1621" s="3" t="str">
        <f>HYPERLINK("https://www.amazon.com/AcneFree-Oil-Free-Cleanser-Peroxide-Breakouts/dp/B00BEUB15S/ref=sr_1_2?keywords=Acne+Benzoyl+Wash&amp;qid=1695259128&amp;sr=8-2", "https://www.amazon.com/AcneFree-Oil-Free-Cleanser-Peroxide-Breakouts/dp/B00BEUB15S/ref=sr_1_2?keywords=Acne+Benzoyl+Wash&amp;qid=1695259128&amp;sr=8-2")</f>
        <v>https://www.amazon.com/AcneFree-Oil-Free-Cleanser-Peroxide-Breakouts/dp/B00BEUB15S/ref=sr_1_2?keywords=Acne+Benzoyl+Wash&amp;qid=1695259128&amp;sr=8-2</v>
      </c>
      <c r="F1621" t="s">
        <v>3811</v>
      </c>
      <c r="G1621" t="e">
        <f ca="1">IMAGE("https://oskinmedspa.com/cdn/shop/products/OSkin-PDP-AcneBenzolyWash-NEW.jpg?v=1677526292")</f>
        <v>#NAME?</v>
      </c>
      <c r="H1621" t="e">
        <f ca="1">IMAGE("https://m.media-amazon.com/images/I/617d3174r0L._AC_UL320_.jpg")</f>
        <v>#NAME?</v>
      </c>
      <c r="I1621" t="s">
        <v>3739</v>
      </c>
      <c r="J1621">
        <v>5.99</v>
      </c>
      <c r="K1621" s="2" t="s">
        <v>3812</v>
      </c>
      <c r="L1621">
        <v>4.5999999999999996</v>
      </c>
      <c r="M1621">
        <v>6467</v>
      </c>
      <c r="O1621" t="s">
        <v>26</v>
      </c>
      <c r="P1621" t="s">
        <v>39</v>
      </c>
      <c r="Q1621" t="s">
        <v>3741</v>
      </c>
    </row>
    <row r="1622" spans="1:17" ht="15.75" x14ac:dyDescent="0.25">
      <c r="A1622" s="3" t="str">
        <f>HYPERLINK("https://oskinmedspa.com/products/acne-cream-1", "https://oskinmedspa.com/products/acne-cream-1")</f>
        <v>https://oskinmedspa.com/products/acne-cream-1</v>
      </c>
      <c r="B1622" s="3" t="str">
        <f>HYPERLINK("https://oskinmedspa.com/products/acne-cream-1", "https://oskinmedspa.com/products/acne-cream-1")</f>
        <v>https://oskinmedspa.com/products/acne-cream-1</v>
      </c>
      <c r="C1622" t="s">
        <v>3753</v>
      </c>
      <c r="D1622" t="s">
        <v>3813</v>
      </c>
      <c r="E1622" s="3" t="str">
        <f>HYPERLINK("https://www.amazon.com/ASEPXIA-Treatment-Pimples-Blackhead-Peroxide/dp/B01FJG5HFW/ref=sr_1_9?keywords=Acne+Cream&amp;qid=1695259171&amp;sr=8-9", "https://www.amazon.com/ASEPXIA-Treatment-Pimples-Blackhead-Peroxide/dp/B01FJG5HFW/ref=sr_1_9?keywords=Acne+Cream&amp;qid=1695259171&amp;sr=8-9")</f>
        <v>https://www.amazon.com/ASEPXIA-Treatment-Pimples-Blackhead-Peroxide/dp/B01FJG5HFW/ref=sr_1_9?keywords=Acne+Cream&amp;qid=1695259171&amp;sr=8-9</v>
      </c>
      <c r="F1622" t="s">
        <v>3814</v>
      </c>
      <c r="G1622" t="e">
        <f ca="1">IMAGE("https://oskinmedspa.com/cdn/shop/products/OSkin-PDP-AcneCream-NEW.jpg?v=1677515767")</f>
        <v>#NAME?</v>
      </c>
      <c r="H1622" t="e">
        <f ca="1">IMAGE("https://m.media-amazon.com/images/I/71z7dOeGi9L._AC_UL320_.jpg")</f>
        <v>#NAME?</v>
      </c>
      <c r="I1622" t="s">
        <v>3756</v>
      </c>
      <c r="J1622">
        <v>6.99</v>
      </c>
      <c r="K1622" s="2" t="s">
        <v>3815</v>
      </c>
      <c r="L1622">
        <v>4.4000000000000004</v>
      </c>
      <c r="M1622">
        <v>1950</v>
      </c>
      <c r="O1622" t="s">
        <v>26</v>
      </c>
      <c r="P1622" t="s">
        <v>39</v>
      </c>
      <c r="Q1622" t="s">
        <v>3758</v>
      </c>
    </row>
    <row r="1623" spans="1:17" ht="15.75" x14ac:dyDescent="0.25">
      <c r="A1623" s="3" t="str">
        <f>HYPERLINK("https://oskinmedspa.com/collections/shop-all-skincare/products/secret-collection-bundle", "https://oskinmedspa.com/collections/shop-all-skincare/products/secret-collection-bundle")</f>
        <v>https://oskinmedspa.com/collections/shop-all-skincare/products/secret-collection-bundle</v>
      </c>
      <c r="B1623" s="3" t="str">
        <f>HYPERLINK("https://oskinmedspa.com/products/secret-collection-bundle", "https://oskinmedspa.com/products/secret-collection-bundle")</f>
        <v>https://oskinmedspa.com/products/secret-collection-bundle</v>
      </c>
      <c r="C1623" t="s">
        <v>3816</v>
      </c>
      <c r="D1623" t="s">
        <v>3817</v>
      </c>
      <c r="E1623" s="3" t="str">
        <f>HYPERLINK("https://www.amazon.com/Luxury-Collection-Hotel-Secrets-Cover/dp/1614288569/ref=sr_1_10?keywords=The+Secret+Collection&amp;qid=1695259125&amp;sr=8-10", "https://www.amazon.com/Luxury-Collection-Hotel-Secrets-Cover/dp/1614288569/ref=sr_1_10?keywords=The+Secret+Collection&amp;qid=1695259125&amp;sr=8-10")</f>
        <v>https://www.amazon.com/Luxury-Collection-Hotel-Secrets-Cover/dp/1614288569/ref=sr_1_10?keywords=The+Secret+Collection&amp;qid=1695259125&amp;sr=8-10</v>
      </c>
      <c r="F1623" t="s">
        <v>3818</v>
      </c>
      <c r="G1623" t="e">
        <f ca="1">IMAGE("https://oskinmedspa.com/cdn/shop/products/SecretCollectionBundle-NEW.jpg?v=1658331699")</f>
        <v>#NAME?</v>
      </c>
      <c r="H1623" t="e">
        <f ca="1">IMAGE("https://m.media-amazon.com/images/I/71ovIx3mM2L._AC_UY218_.jpg")</f>
        <v>#NAME?</v>
      </c>
      <c r="I1623" t="s">
        <v>3819</v>
      </c>
      <c r="J1623">
        <v>55.47</v>
      </c>
      <c r="K1623" s="2" t="s">
        <v>3820</v>
      </c>
      <c r="L1623">
        <v>4.7</v>
      </c>
      <c r="M1623">
        <v>4</v>
      </c>
      <c r="O1623" t="s">
        <v>26</v>
      </c>
      <c r="P1623" t="s">
        <v>39</v>
      </c>
      <c r="Q1623" t="s">
        <v>3821</v>
      </c>
    </row>
    <row r="1624" spans="1:17" ht="15.75" x14ac:dyDescent="0.25">
      <c r="A1624" s="3" t="str">
        <f>HYPERLINK("https://oskinmedspa.com/products/spot-eraser", "https://oskinmedspa.com/products/spot-eraser")</f>
        <v>https://oskinmedspa.com/products/spot-eraser</v>
      </c>
      <c r="B1624" s="3" t="str">
        <f>HYPERLINK("https://oskinmedspa.com/products/spot-eraser", "https://oskinmedspa.com/products/spot-eraser")</f>
        <v>https://oskinmedspa.com/products/spot-eraser</v>
      </c>
      <c r="C1624" t="s">
        <v>3800</v>
      </c>
      <c r="D1624" t="s">
        <v>3822</v>
      </c>
      <c r="E1624" s="3" t="str">
        <f>HYPERLINK("https://www.amazon.com/Valitic-Remover-Vitamin-Collagen-Turmeric/dp/B09MFMCTRK/ref=sr_1_7?keywords=Kojic+Acid&amp;qid=1695259128&amp;sr=8-7", "https://www.amazon.com/Valitic-Remover-Vitamin-Collagen-Turmeric/dp/B09MFMCTRK/ref=sr_1_7?keywords=Kojic+Acid&amp;qid=1695259128&amp;sr=8-7")</f>
        <v>https://www.amazon.com/Valitic-Remover-Vitamin-Collagen-Turmeric/dp/B09MFMCTRK/ref=sr_1_7?keywords=Kojic+Acid&amp;qid=1695259128&amp;sr=8-7</v>
      </c>
      <c r="F1624" t="s">
        <v>3823</v>
      </c>
      <c r="G1624" t="e">
        <f ca="1">IMAGE("https://oskinmedspa.com/cdn/shop/products/OSkin-PDP-Hero-SpotEraser.jpg?v=1666883130")</f>
        <v>#NAME?</v>
      </c>
      <c r="H1624" t="e">
        <f ca="1">IMAGE("https://m.media-amazon.com/images/I/51iMh82b5UL._AC_UL320_.jpg")</f>
        <v>#NAME?</v>
      </c>
      <c r="I1624" t="s">
        <v>3803</v>
      </c>
      <c r="J1624">
        <v>14.99</v>
      </c>
      <c r="K1624" s="2" t="s">
        <v>3824</v>
      </c>
      <c r="L1624">
        <v>4.0999999999999996</v>
      </c>
      <c r="M1624">
        <v>11842</v>
      </c>
      <c r="O1624" t="s">
        <v>136</v>
      </c>
      <c r="P1624" t="s">
        <v>39</v>
      </c>
      <c r="Q1624" t="s">
        <v>3805</v>
      </c>
    </row>
    <row r="1625" spans="1:17" ht="15.75" x14ac:dyDescent="0.25">
      <c r="A1625" s="3" t="str">
        <f>HYPERLINK("https://oskinmedspa.com/products/spot-eraser", "https://oskinmedspa.com/products/spot-eraser")</f>
        <v>https://oskinmedspa.com/products/spot-eraser</v>
      </c>
      <c r="B1625" s="3" t="str">
        <f>HYPERLINK("https://oskinmedspa.com/products/spot-eraser", "https://oskinmedspa.com/products/spot-eraser")</f>
        <v>https://oskinmedspa.com/products/spot-eraser</v>
      </c>
      <c r="C1625" t="s">
        <v>3800</v>
      </c>
      <c r="D1625" t="s">
        <v>3825</v>
      </c>
      <c r="E1625" s="3" t="str">
        <f>HYPERLINK("https://www.amazon.com/Inlifay-Collagen-Turmeric-Hyaluronic-Moisturizing/dp/B0BL6LSPBH/ref=sr_1_4?keywords=Kojic+Acid&amp;qid=1695259128&amp;sr=8-4", "https://www.amazon.com/Inlifay-Collagen-Turmeric-Hyaluronic-Moisturizing/dp/B0BL6LSPBH/ref=sr_1_4?keywords=Kojic+Acid&amp;qid=1695259128&amp;sr=8-4")</f>
        <v>https://www.amazon.com/Inlifay-Collagen-Turmeric-Hyaluronic-Moisturizing/dp/B0BL6LSPBH/ref=sr_1_4?keywords=Kojic+Acid&amp;qid=1695259128&amp;sr=8-4</v>
      </c>
      <c r="F1625" t="s">
        <v>3826</v>
      </c>
      <c r="G1625" t="e">
        <f ca="1">IMAGE("https://oskinmedspa.com/cdn/shop/products/OSkin-PDP-Hero-SpotEraser.jpg?v=1666883130")</f>
        <v>#NAME?</v>
      </c>
      <c r="H1625" t="e">
        <f ca="1">IMAGE("https://m.media-amazon.com/images/I/61ZIdkc3OSL._AC_UL320_.jpg")</f>
        <v>#NAME?</v>
      </c>
      <c r="I1625" t="s">
        <v>3803</v>
      </c>
      <c r="J1625">
        <v>14.98</v>
      </c>
      <c r="K1625" s="2" t="s">
        <v>3827</v>
      </c>
      <c r="L1625">
        <v>4.5999999999999996</v>
      </c>
      <c r="M1625">
        <v>2898</v>
      </c>
      <c r="O1625" t="s">
        <v>136</v>
      </c>
      <c r="P1625" t="s">
        <v>39</v>
      </c>
      <c r="Q1625" t="s">
        <v>3805</v>
      </c>
    </row>
    <row r="1626" spans="1:17" ht="15.75" x14ac:dyDescent="0.25">
      <c r="A1626" s="3" t="str">
        <f>HYPERLINK("https://oskinmedspa.com/products/secret-gold-24k-mask", "https://oskinmedspa.com/products/secret-gold-24k-mask")</f>
        <v>https://oskinmedspa.com/products/secret-gold-24k-mask</v>
      </c>
      <c r="B1626" s="3" t="str">
        <f>HYPERLINK("https://oskinmedspa.com/products/secret-gold-24k-mask", "https://oskinmedspa.com/products/secret-gold-24k-mask")</f>
        <v>https://oskinmedspa.com/products/secret-gold-24k-mask</v>
      </c>
      <c r="C1626" t="s">
        <v>3672</v>
      </c>
      <c r="D1626" t="s">
        <v>3828</v>
      </c>
      <c r="E1626" s="3" t="str">
        <f>HYPERLINK("https://www.amazon.com/AZURE-Gold-Collagen-Firming-Sheet/dp/B085LQK14G/ref=sr_1_9?keywords=Secret+Gold+24k+Gold+Mask&amp;qid=1695259125&amp;sr=8-9", "https://www.amazon.com/AZURE-Gold-Collagen-Firming-Sheet/dp/B085LQK14G/ref=sr_1_9?keywords=Secret+Gold+24k+Gold+Mask&amp;qid=1695259125&amp;sr=8-9")</f>
        <v>https://www.amazon.com/AZURE-Gold-Collagen-Firming-Sheet/dp/B085LQK14G/ref=sr_1_9?keywords=Secret+Gold+24k+Gold+Mask&amp;qid=1695259125&amp;sr=8-9</v>
      </c>
      <c r="F1626" t="s">
        <v>3829</v>
      </c>
      <c r="G1626" t="e">
        <f ca="1">IMAGE("https://oskinmedspa.com/cdn/shop/products/OSkin-PDP-Secret-Gold.jpg?v=1652365007")</f>
        <v>#NAME?</v>
      </c>
      <c r="H1626" t="e">
        <f ca="1">IMAGE("https://m.media-amazon.com/images/I/61NH4CyS1aL._AC_UL320_.jpg")</f>
        <v>#NAME?</v>
      </c>
      <c r="I1626" t="s">
        <v>2565</v>
      </c>
      <c r="J1626">
        <v>12.99</v>
      </c>
      <c r="K1626" s="2" t="s">
        <v>3830</v>
      </c>
      <c r="L1626">
        <v>4.5999999999999996</v>
      </c>
      <c r="M1626">
        <v>548</v>
      </c>
      <c r="O1626" t="s">
        <v>26</v>
      </c>
      <c r="P1626" t="s">
        <v>39</v>
      </c>
      <c r="Q1626" t="s">
        <v>3676</v>
      </c>
    </row>
    <row r="1627" spans="1:17" ht="15.75" x14ac:dyDescent="0.25">
      <c r="A1627" s="3" t="str">
        <f>HYPERLINK("https://oskinmedspa.com/products/spot-eraser", "https://oskinmedspa.com/products/spot-eraser")</f>
        <v>https://oskinmedspa.com/products/spot-eraser</v>
      </c>
      <c r="B1627" s="3" t="str">
        <f>HYPERLINK("https://oskinmedspa.com/products/spot-eraser", "https://oskinmedspa.com/products/spot-eraser")</f>
        <v>https://oskinmedspa.com/products/spot-eraser</v>
      </c>
      <c r="C1627" t="s">
        <v>3800</v>
      </c>
      <c r="D1627" t="s">
        <v>3831</v>
      </c>
      <c r="E1627" s="3" t="str">
        <f>HYPERLINK("https://www.amazon.com/LIGHTENS-BRIGHTENS-Diminishes-Appearance-Discoloration/dp/B08D6X7G66/ref=sr_1_2?keywords=Kojic+Acid&amp;qid=1695259128&amp;sr=8-2", "https://www.amazon.com/LIGHTENS-BRIGHTENS-Diminishes-Appearance-Discoloration/dp/B08D6X7G66/ref=sr_1_2?keywords=Kojic+Acid&amp;qid=1695259128&amp;sr=8-2")</f>
        <v>https://www.amazon.com/LIGHTENS-BRIGHTENS-Diminishes-Appearance-Discoloration/dp/B08D6X7G66/ref=sr_1_2?keywords=Kojic+Acid&amp;qid=1695259128&amp;sr=8-2</v>
      </c>
      <c r="F1627" t="s">
        <v>3832</v>
      </c>
      <c r="G1627" t="e">
        <f ca="1">IMAGE("https://oskinmedspa.com/cdn/shop/products/OSkin-PDP-Hero-SpotEraser.jpg?v=1666883130")</f>
        <v>#NAME?</v>
      </c>
      <c r="H1627" t="e">
        <f ca="1">IMAGE("https://m.media-amazon.com/images/I/61B6TxJKiIL._AC_UL320_.jpg")</f>
        <v>#NAME?</v>
      </c>
      <c r="I1627" t="s">
        <v>3803</v>
      </c>
      <c r="J1627">
        <v>13.95</v>
      </c>
      <c r="K1627" s="2" t="s">
        <v>3833</v>
      </c>
      <c r="L1627">
        <v>4.2</v>
      </c>
      <c r="M1627">
        <v>448</v>
      </c>
      <c r="O1627" t="s">
        <v>136</v>
      </c>
      <c r="P1627" t="s">
        <v>39</v>
      </c>
      <c r="Q1627" t="s">
        <v>3805</v>
      </c>
    </row>
    <row r="1628" spans="1:17" ht="15.75" x14ac:dyDescent="0.25">
      <c r="A1628" s="3" t="str">
        <f>HYPERLINK("https://oskinmedspa.com/products/secret-gold-24k-mask", "https://oskinmedspa.com/products/secret-gold-24k-mask")</f>
        <v>https://oskinmedspa.com/products/secret-gold-24k-mask</v>
      </c>
      <c r="B1628" s="3" t="str">
        <f>HYPERLINK("https://oskinmedspa.com/products/secret-gold-24k-mask", "https://oskinmedspa.com/products/secret-gold-24k-mask")</f>
        <v>https://oskinmedspa.com/products/secret-gold-24k-mask</v>
      </c>
      <c r="C1628" t="s">
        <v>3672</v>
      </c>
      <c r="D1628" t="s">
        <v>3834</v>
      </c>
      <c r="E1628" s="3" t="str">
        <f>HYPERLINK("https://www.amazon.com/Gold-Firming-Face-Mask-Azure/dp/B075JRK87L/ref=sr_1_5?keywords=Secret+Gold+24k+Gold+Mask&amp;qid=1695259125&amp;sr=8-5", "https://www.amazon.com/Gold-Firming-Face-Mask-Azure/dp/B075JRK87L/ref=sr_1_5?keywords=Secret+Gold+24k+Gold+Mask&amp;qid=1695259125&amp;sr=8-5")</f>
        <v>https://www.amazon.com/Gold-Firming-Face-Mask-Azure/dp/B075JRK87L/ref=sr_1_5?keywords=Secret+Gold+24k+Gold+Mask&amp;qid=1695259125&amp;sr=8-5</v>
      </c>
      <c r="F1628" t="s">
        <v>3835</v>
      </c>
      <c r="G1628" t="e">
        <f ca="1">IMAGE("https://oskinmedspa.com/cdn/shop/products/OSkin-PDP-Secret-Gold.jpg?v=1652365007")</f>
        <v>#NAME?</v>
      </c>
      <c r="H1628" t="e">
        <f ca="1">IMAGE("https://m.media-amazon.com/images/I/81Wd8ycBx1L._AC_UL320_.jpg")</f>
        <v>#NAME?</v>
      </c>
      <c r="I1628" t="s">
        <v>2565</v>
      </c>
      <c r="J1628">
        <v>11.95</v>
      </c>
      <c r="K1628" s="2" t="s">
        <v>3836</v>
      </c>
      <c r="L1628">
        <v>4.4000000000000004</v>
      </c>
      <c r="M1628">
        <v>144</v>
      </c>
      <c r="O1628" t="s">
        <v>26</v>
      </c>
      <c r="P1628" t="s">
        <v>39</v>
      </c>
      <c r="Q1628" t="s">
        <v>3676</v>
      </c>
    </row>
    <row r="1629" spans="1:17" ht="15.75" x14ac:dyDescent="0.25">
      <c r="A1629" s="3" t="str">
        <f>HYPERLINK("https://oskinmedspa.com/products/secret-gold-24k-mask", "https://oskinmedspa.com/products/secret-gold-24k-mask")</f>
        <v>https://oskinmedspa.com/products/secret-gold-24k-mask</v>
      </c>
      <c r="B1629" s="3" t="str">
        <f>HYPERLINK("https://oskinmedspa.com/products/secret-gold-24k-mask", "https://oskinmedspa.com/products/secret-gold-24k-mask")</f>
        <v>https://oskinmedspa.com/products/secret-gold-24k-mask</v>
      </c>
      <c r="C1629" t="s">
        <v>3672</v>
      </c>
      <c r="D1629" t="s">
        <v>3837</v>
      </c>
      <c r="E1629" s="3" t="str">
        <f>HYPERLINK("https://www.amazon.com/WONDER-FAMILY-Gold-Sheet-Mask/dp/B0CFYMS147/ref=sr_1_2?keywords=Secret+Gold+24k+Gold+Mask&amp;qid=1695259125&amp;sr=8-2", "https://www.amazon.com/WONDER-FAMILY-Gold-Sheet-Mask/dp/B0CFYMS147/ref=sr_1_2?keywords=Secret+Gold+24k+Gold+Mask&amp;qid=1695259125&amp;sr=8-2")</f>
        <v>https://www.amazon.com/WONDER-FAMILY-Gold-Sheet-Mask/dp/B0CFYMS147/ref=sr_1_2?keywords=Secret+Gold+24k+Gold+Mask&amp;qid=1695259125&amp;sr=8-2</v>
      </c>
      <c r="F1629" t="s">
        <v>3838</v>
      </c>
      <c r="G1629" t="e">
        <f ca="1">IMAGE("https://oskinmedspa.com/cdn/shop/products/OSkin-PDP-Secret-Gold.jpg?v=1652365007")</f>
        <v>#NAME?</v>
      </c>
      <c r="H1629" t="e">
        <f ca="1">IMAGE("https://m.media-amazon.com/images/I/81Wa7JXqVqL._AC_UL320_.jpg")</f>
        <v>#NAME?</v>
      </c>
      <c r="I1629" t="s">
        <v>2565</v>
      </c>
      <c r="J1629">
        <v>11.5</v>
      </c>
      <c r="K1629" s="2" t="s">
        <v>3839</v>
      </c>
      <c r="L1629">
        <v>4.3</v>
      </c>
      <c r="M1629">
        <v>12</v>
      </c>
      <c r="O1629" t="s">
        <v>26</v>
      </c>
      <c r="P1629" t="s">
        <v>39</v>
      </c>
      <c r="Q1629" t="s">
        <v>3676</v>
      </c>
    </row>
    <row r="1630" spans="1:17" ht="15.75" x14ac:dyDescent="0.25">
      <c r="A1630" s="3" t="str">
        <f>HYPERLINK("https://oskinmedspa.com/products/acne-cream-1", "https://oskinmedspa.com/products/acne-cream-1")</f>
        <v>https://oskinmedspa.com/products/acne-cream-1</v>
      </c>
      <c r="B1630" s="3" t="str">
        <f>HYPERLINK("https://oskinmedspa.com/products/acne-cream-1", "https://oskinmedspa.com/products/acne-cream-1")</f>
        <v>https://oskinmedspa.com/products/acne-cream-1</v>
      </c>
      <c r="C1630" t="s">
        <v>3753</v>
      </c>
      <c r="D1630" t="s">
        <v>3840</v>
      </c>
      <c r="E1630" s="3" t="str">
        <f>HYPERLINK("https://www.amazon.com/AcneFree-Terminator-Treatment-Peroxide-Strength/dp/B0014VTOAQ/ref=sr_1_2?keywords=Acne+Cream&amp;qid=1695259171&amp;sr=8-2", "https://www.amazon.com/AcneFree-Terminator-Treatment-Peroxide-Strength/dp/B0014VTOAQ/ref=sr_1_2?keywords=Acne+Cream&amp;qid=1695259171&amp;sr=8-2")</f>
        <v>https://www.amazon.com/AcneFree-Terminator-Treatment-Peroxide-Strength/dp/B0014VTOAQ/ref=sr_1_2?keywords=Acne+Cream&amp;qid=1695259171&amp;sr=8-2</v>
      </c>
      <c r="F1630" t="s">
        <v>3841</v>
      </c>
      <c r="G1630" t="e">
        <f ca="1">IMAGE("https://oskinmedspa.com/cdn/shop/products/OSkin-PDP-AcneCream-NEW.jpg?v=1677515767")</f>
        <v>#NAME?</v>
      </c>
      <c r="H1630" t="e">
        <f ca="1">IMAGE("https://m.media-amazon.com/images/I/81ppHrCRvBL._AC_UL320_.jpg")</f>
        <v>#NAME?</v>
      </c>
      <c r="I1630" t="s">
        <v>3756</v>
      </c>
      <c r="J1630">
        <v>5.49</v>
      </c>
      <c r="K1630" s="2" t="s">
        <v>3842</v>
      </c>
      <c r="L1630">
        <v>4.4000000000000004</v>
      </c>
      <c r="M1630">
        <v>14917</v>
      </c>
      <c r="O1630" t="s">
        <v>26</v>
      </c>
      <c r="P1630" t="s">
        <v>39</v>
      </c>
      <c r="Q1630" t="s">
        <v>3758</v>
      </c>
    </row>
    <row r="1631" spans="1:17" ht="15.75" x14ac:dyDescent="0.25">
      <c r="A1631" s="3" t="str">
        <f>HYPERLINK("https://oskinmedspa.com/products/secret-gold-24k-mask", "https://oskinmedspa.com/products/secret-gold-24k-mask")</f>
        <v>https://oskinmedspa.com/products/secret-gold-24k-mask</v>
      </c>
      <c r="B1631" s="3" t="str">
        <f>HYPERLINK("https://oskinmedspa.com/products/secret-gold-24k-mask", "https://oskinmedspa.com/products/secret-gold-24k-mask")</f>
        <v>https://oskinmedspa.com/products/secret-gold-24k-mask</v>
      </c>
      <c r="C1631" t="s">
        <v>3672</v>
      </c>
      <c r="D1631" t="s">
        <v>3843</v>
      </c>
      <c r="E1631" s="3" t="str">
        <f>HYPERLINK("https://www.amazon.com/Gold-Gel-Collagen-Facial-Masks/dp/B0BLKSRS55/ref=sr_1_4?keywords=Secret+Gold+24k+Gold+Mask&amp;qid=1695259125&amp;sr=8-4", "https://www.amazon.com/Gold-Gel-Collagen-Facial-Masks/dp/B0BLKSRS55/ref=sr_1_4?keywords=Secret+Gold+24k+Gold+Mask&amp;qid=1695259125&amp;sr=8-4")</f>
        <v>https://www.amazon.com/Gold-Gel-Collagen-Facial-Masks/dp/B0BLKSRS55/ref=sr_1_4?keywords=Secret+Gold+24k+Gold+Mask&amp;qid=1695259125&amp;sr=8-4</v>
      </c>
      <c r="F1631" t="s">
        <v>3844</v>
      </c>
      <c r="G1631" t="e">
        <f ca="1">IMAGE("https://oskinmedspa.com/cdn/shop/products/OSkin-PDP-Secret-Gold.jpg?v=1652365007")</f>
        <v>#NAME?</v>
      </c>
      <c r="H1631" t="e">
        <f ca="1">IMAGE("https://m.media-amazon.com/images/I/71SXBi6waTL._AC_UL320_.jpg")</f>
        <v>#NAME?</v>
      </c>
      <c r="I1631" t="s">
        <v>2565</v>
      </c>
      <c r="J1631">
        <v>10.99</v>
      </c>
      <c r="K1631" s="2" t="s">
        <v>3845</v>
      </c>
      <c r="L1631">
        <v>3.6</v>
      </c>
      <c r="M1631">
        <v>8</v>
      </c>
      <c r="O1631" t="s">
        <v>26</v>
      </c>
      <c r="P1631" t="s">
        <v>39</v>
      </c>
      <c r="Q1631" t="s">
        <v>3676</v>
      </c>
    </row>
    <row r="1632" spans="1:17" ht="15.75" x14ac:dyDescent="0.25">
      <c r="A1632" s="3" t="str">
        <f>HYPERLINK("https://oskinmedspa.com/products/spot-eraser", "https://oskinmedspa.com/products/spot-eraser")</f>
        <v>https://oskinmedspa.com/products/spot-eraser</v>
      </c>
      <c r="B1632" s="3" t="str">
        <f>HYPERLINK("https://oskinmedspa.com/products/spot-eraser", "https://oskinmedspa.com/products/spot-eraser")</f>
        <v>https://oskinmedspa.com/products/spot-eraser</v>
      </c>
      <c r="C1632" t="s">
        <v>3800</v>
      </c>
      <c r="D1632" t="s">
        <v>3846</v>
      </c>
      <c r="E1632" s="3" t="str">
        <f>HYPERLINK("https://www.amazon.com/Kojic-Acid-Powder-50-gram/dp/B07J2VQ58X/ref=sr_1_5?keywords=Kojic+Acid&amp;qid=1695259128&amp;sr=8-5", "https://www.amazon.com/Kojic-Acid-Powder-50-gram/dp/B07J2VQ58X/ref=sr_1_5?keywords=Kojic+Acid&amp;qid=1695259128&amp;sr=8-5")</f>
        <v>https://www.amazon.com/Kojic-Acid-Powder-50-gram/dp/B07J2VQ58X/ref=sr_1_5?keywords=Kojic+Acid&amp;qid=1695259128&amp;sr=8-5</v>
      </c>
      <c r="F1632" t="s">
        <v>3847</v>
      </c>
      <c r="G1632" t="e">
        <f ca="1">IMAGE("https://oskinmedspa.com/cdn/shop/products/OSkin-PDP-Hero-SpotEraser.jpg?v=1666883130")</f>
        <v>#NAME?</v>
      </c>
      <c r="H1632" t="e">
        <f ca="1">IMAGE("https://m.media-amazon.com/images/I/71c2W6AfYTL._AC_UL320_.jpg")</f>
        <v>#NAME?</v>
      </c>
      <c r="I1632" t="s">
        <v>3803</v>
      </c>
      <c r="J1632">
        <v>11.95</v>
      </c>
      <c r="K1632" s="2" t="s">
        <v>3848</v>
      </c>
      <c r="L1632">
        <v>4.3</v>
      </c>
      <c r="M1632">
        <v>640</v>
      </c>
      <c r="O1632" t="s">
        <v>136</v>
      </c>
      <c r="P1632" t="s">
        <v>39</v>
      </c>
      <c r="Q1632" t="s">
        <v>3805</v>
      </c>
    </row>
    <row r="1633" spans="1:17" ht="15.75" x14ac:dyDescent="0.25">
      <c r="A1633" s="3" t="str">
        <f>HYPERLINK("https://oskinmedspa.com/products/acne-cream-1", "https://oskinmedspa.com/products/acne-cream-1")</f>
        <v>https://oskinmedspa.com/products/acne-cream-1</v>
      </c>
      <c r="B1633" s="3" t="str">
        <f>HYPERLINK("https://oskinmedspa.com/products/acne-cream-1", "https://oskinmedspa.com/products/acne-cream-1")</f>
        <v>https://oskinmedspa.com/products/acne-cream-1</v>
      </c>
      <c r="C1633" t="s">
        <v>3753</v>
      </c>
      <c r="D1633" t="s">
        <v>3849</v>
      </c>
      <c r="E1633" s="3" t="str">
        <f>HYPERLINK("https://www.amazon.com/Clean-Clear-Persa-Gel-Medication-Treatment/dp/B00KZ22ED4/ref=sr_1_3?keywords=Acne+Cream&amp;qid=1695259171&amp;sr=8-3", "https://www.amazon.com/Clean-Clear-Persa-Gel-Medication-Treatment/dp/B00KZ22ED4/ref=sr_1_3?keywords=Acne+Cream&amp;qid=1695259171&amp;sr=8-3")</f>
        <v>https://www.amazon.com/Clean-Clear-Persa-Gel-Medication-Treatment/dp/B00KZ22ED4/ref=sr_1_3?keywords=Acne+Cream&amp;qid=1695259171&amp;sr=8-3</v>
      </c>
      <c r="F1633" t="s">
        <v>3850</v>
      </c>
      <c r="G1633" t="e">
        <f ca="1">IMAGE("https://oskinmedspa.com/cdn/shop/products/OSkin-PDP-AcneCream-NEW.jpg?v=1677515767")</f>
        <v>#NAME?</v>
      </c>
      <c r="H1633" t="e">
        <f ca="1">IMAGE("https://m.media-amazon.com/images/I/71Q1zSAUC3L._AC_UL320_.jpg")</f>
        <v>#NAME?</v>
      </c>
      <c r="I1633" t="s">
        <v>3756</v>
      </c>
      <c r="J1633">
        <v>4.97</v>
      </c>
      <c r="K1633" s="2" t="s">
        <v>3851</v>
      </c>
      <c r="L1633">
        <v>4.5999999999999996</v>
      </c>
      <c r="M1633">
        <v>1678</v>
      </c>
      <c r="O1633" t="s">
        <v>26</v>
      </c>
      <c r="P1633" t="s">
        <v>39</v>
      </c>
      <c r="Q1633" t="s">
        <v>3758</v>
      </c>
    </row>
    <row r="1634" spans="1:17" ht="15.75" x14ac:dyDescent="0.25">
      <c r="A1634" s="3" t="str">
        <f>HYPERLINK("https://oskinmedspa.com/products/secret-gold-24k-mask", "https://oskinmedspa.com/products/secret-gold-24k-mask")</f>
        <v>https://oskinmedspa.com/products/secret-gold-24k-mask</v>
      </c>
      <c r="B1634" s="3" t="str">
        <f>HYPERLINK("https://oskinmedspa.com/products/secret-gold-24k-mask", "https://oskinmedspa.com/products/secret-gold-24k-mask")</f>
        <v>https://oskinmedspa.com/products/secret-gold-24k-mask</v>
      </c>
      <c r="C1634" t="s">
        <v>3672</v>
      </c>
      <c r="D1634" t="s">
        <v>3852</v>
      </c>
      <c r="E1634" s="3" t="str">
        <f>HYPERLINK("https://www.amazon.com/NIYET-Anti-Aging-Puffiness-Moisturizing-Rejuvenation/dp/B0C5XV59FT/ref=sr_1_3?keywords=Secret+Gold+24k+Gold+Mask&amp;qid=1695259125&amp;sr=8-3", "https://www.amazon.com/NIYET-Anti-Aging-Puffiness-Moisturizing-Rejuvenation/dp/B0C5XV59FT/ref=sr_1_3?keywords=Secret+Gold+24k+Gold+Mask&amp;qid=1695259125&amp;sr=8-3")</f>
        <v>https://www.amazon.com/NIYET-Anti-Aging-Puffiness-Moisturizing-Rejuvenation/dp/B0C5XV59FT/ref=sr_1_3?keywords=Secret+Gold+24k+Gold+Mask&amp;qid=1695259125&amp;sr=8-3</v>
      </c>
      <c r="F1634" t="s">
        <v>3853</v>
      </c>
      <c r="G1634" t="e">
        <f ca="1">IMAGE("https://oskinmedspa.com/cdn/shop/products/OSkin-PDP-Secret-Gold.jpg?v=1652365007")</f>
        <v>#NAME?</v>
      </c>
      <c r="H1634" t="e">
        <f ca="1">IMAGE("https://m.media-amazon.com/images/I/71QQVyr21oL._AC_UL320_.jpg")</f>
        <v>#NAME?</v>
      </c>
      <c r="I1634" t="s">
        <v>2565</v>
      </c>
      <c r="J1634">
        <v>9.99</v>
      </c>
      <c r="K1634" s="2" t="s">
        <v>3854</v>
      </c>
      <c r="L1634">
        <v>3.9</v>
      </c>
      <c r="M1634">
        <v>5</v>
      </c>
      <c r="O1634" t="s">
        <v>26</v>
      </c>
      <c r="P1634" t="s">
        <v>39</v>
      </c>
      <c r="Q1634" t="s">
        <v>3676</v>
      </c>
    </row>
    <row r="1635" spans="1:17" ht="15.75" x14ac:dyDescent="0.25">
      <c r="A1635" s="3" t="str">
        <f>HYPERLINK("https://oskinmedspa.com/products/secret-gold-24k-mask", "https://oskinmedspa.com/products/secret-gold-24k-mask")</f>
        <v>https://oskinmedspa.com/products/secret-gold-24k-mask</v>
      </c>
      <c r="B1635" s="3" t="str">
        <f>HYPERLINK("https://oskinmedspa.com/products/secret-gold-24k-mask", "https://oskinmedspa.com/products/secret-gold-24k-mask")</f>
        <v>https://oskinmedspa.com/products/secret-gold-24k-mask</v>
      </c>
      <c r="C1635" t="s">
        <v>3672</v>
      </c>
      <c r="D1635" t="s">
        <v>3855</v>
      </c>
      <c r="E1635" s="3" t="str">
        <f>HYPERLINK("https://www.amazon.com/Anti-Aging-Flawless-Appearances-Minimizes-Moisturizes/dp/B089M9N7CG/ref=sr_1_7?keywords=Secret+Gold+24k+Gold+Mask&amp;qid=1695259125&amp;sr=8-7", "https://www.amazon.com/Anti-Aging-Flawless-Appearances-Minimizes-Moisturizes/dp/B089M9N7CG/ref=sr_1_7?keywords=Secret+Gold+24k+Gold+Mask&amp;qid=1695259125&amp;sr=8-7")</f>
        <v>https://www.amazon.com/Anti-Aging-Flawless-Appearances-Minimizes-Moisturizes/dp/B089M9N7CG/ref=sr_1_7?keywords=Secret+Gold+24k+Gold+Mask&amp;qid=1695259125&amp;sr=8-7</v>
      </c>
      <c r="F1635" t="s">
        <v>3856</v>
      </c>
      <c r="G1635" t="e">
        <f ca="1">IMAGE("https://oskinmedspa.com/cdn/shop/products/OSkin-PDP-Secret-Gold.jpg?v=1652365007")</f>
        <v>#NAME?</v>
      </c>
      <c r="H1635" t="e">
        <f ca="1">IMAGE("https://m.media-amazon.com/images/I/61gSk7ZybuL._AC_UL320_.jpg")</f>
        <v>#NAME?</v>
      </c>
      <c r="I1635" t="s">
        <v>2565</v>
      </c>
      <c r="J1635">
        <v>9.99</v>
      </c>
      <c r="K1635" s="2" t="s">
        <v>3854</v>
      </c>
      <c r="L1635">
        <v>4.0999999999999996</v>
      </c>
      <c r="M1635">
        <v>272</v>
      </c>
      <c r="O1635" t="s">
        <v>26</v>
      </c>
      <c r="P1635" t="s">
        <v>39</v>
      </c>
      <c r="Q1635" t="s">
        <v>3676</v>
      </c>
    </row>
    <row r="1636" spans="1:17" ht="15.75" x14ac:dyDescent="0.25">
      <c r="A1636" s="3" t="str">
        <f>HYPERLINK("https://oskinmedspa.com/collections/shop-all-skincare/products/secret-collection-bundle", "https://oskinmedspa.com/collections/shop-all-skincare/products/secret-collection-bundle")</f>
        <v>https://oskinmedspa.com/collections/shop-all-skincare/products/secret-collection-bundle</v>
      </c>
      <c r="B1636" s="3" t="str">
        <f>HYPERLINK("https://oskinmedspa.com/products/secret-collection-bundle", "https://oskinmedspa.com/products/secret-collection-bundle")</f>
        <v>https://oskinmedspa.com/products/secret-collection-bundle</v>
      </c>
      <c r="C1636" t="s">
        <v>3816</v>
      </c>
      <c r="D1636" t="s">
        <v>3857</v>
      </c>
      <c r="E1636" s="3" t="str">
        <f>HYPERLINK("https://www.amazon.com/Five-Books-Collection-Hardcover-Paperback-Greatest/dp/B09TKZZTXS/ref=sr_1_1?keywords=The+Secret+Collection&amp;qid=1695259125&amp;sr=8-1", "https://www.amazon.com/Five-Books-Collection-Hardcover-Paperback-Greatest/dp/B09TKZZTXS/ref=sr_1_1?keywords=The+Secret+Collection&amp;qid=1695259125&amp;sr=8-1")</f>
        <v>https://www.amazon.com/Five-Books-Collection-Hardcover-Paperback-Greatest/dp/B09TKZZTXS/ref=sr_1_1?keywords=The+Secret+Collection&amp;qid=1695259125&amp;sr=8-1</v>
      </c>
      <c r="F1636" t="s">
        <v>3858</v>
      </c>
      <c r="G1636" t="e">
        <f ca="1">IMAGE("https://oskinmedspa.com/cdn/shop/products/SecretCollectionBundle-NEW.jpg?v=1658331699")</f>
        <v>#NAME?</v>
      </c>
      <c r="H1636" t="e">
        <f ca="1">IMAGE("https://m.media-amazon.com/images/I/51cwr70IXwL._AC_UY218_.jpg")</f>
        <v>#NAME?</v>
      </c>
      <c r="I1636" t="s">
        <v>3819</v>
      </c>
      <c r="J1636">
        <v>38.229999999999997</v>
      </c>
      <c r="K1636" s="2" t="s">
        <v>3859</v>
      </c>
      <c r="L1636">
        <v>5</v>
      </c>
      <c r="M1636">
        <v>4</v>
      </c>
      <c r="O1636" t="s">
        <v>26</v>
      </c>
      <c r="P1636" t="s">
        <v>39</v>
      </c>
      <c r="Q1636" t="s">
        <v>3821</v>
      </c>
    </row>
    <row r="1637" spans="1:17" ht="15.75" x14ac:dyDescent="0.25">
      <c r="A1637" s="3" t="str">
        <f t="shared" ref="A1637:B1640" si="24">HYPERLINK("https://oskinmedspa.com/products/spot-eraser", "https://oskinmedspa.com/products/spot-eraser")</f>
        <v>https://oskinmedspa.com/products/spot-eraser</v>
      </c>
      <c r="B1637" s="3" t="str">
        <f t="shared" si="24"/>
        <v>https://oskinmedspa.com/products/spot-eraser</v>
      </c>
      <c r="C1637" t="s">
        <v>3800</v>
      </c>
      <c r="D1637" t="s">
        <v>3860</v>
      </c>
      <c r="E1637" s="3" t="str">
        <f>HYPERLINK("https://www.amazon.com/Kojie-San-Skin-Lightening-Kojic/dp/B00R602KOQ/ref=sr_1_1?keywords=Kojic+Acid&amp;qid=1695259128&amp;sr=8-1", "https://www.amazon.com/Kojie-San-Skin-Lightening-Kojic/dp/B00R602KOQ/ref=sr_1_1?keywords=Kojic+Acid&amp;qid=1695259128&amp;sr=8-1")</f>
        <v>https://www.amazon.com/Kojie-San-Skin-Lightening-Kojic/dp/B00R602KOQ/ref=sr_1_1?keywords=Kojic+Acid&amp;qid=1695259128&amp;sr=8-1</v>
      </c>
      <c r="F1637" t="s">
        <v>3861</v>
      </c>
      <c r="G1637" t="e">
        <f ca="1">IMAGE("https://oskinmedspa.com/cdn/shop/products/OSkin-PDP-Hero-SpotEraser.jpg?v=1666883130")</f>
        <v>#NAME?</v>
      </c>
      <c r="H1637" t="e">
        <f ca="1">IMAGE("https://m.media-amazon.com/images/I/81NI50ViBzL._AC_UL320_.jpg")</f>
        <v>#NAME?</v>
      </c>
      <c r="I1637" t="s">
        <v>3803</v>
      </c>
      <c r="J1637">
        <v>9.99</v>
      </c>
      <c r="K1637" s="2" t="s">
        <v>3862</v>
      </c>
      <c r="L1637">
        <v>4.2</v>
      </c>
      <c r="M1637">
        <v>12266</v>
      </c>
      <c r="O1637" t="s">
        <v>136</v>
      </c>
      <c r="P1637" t="s">
        <v>39</v>
      </c>
      <c r="Q1637" t="s">
        <v>3805</v>
      </c>
    </row>
    <row r="1638" spans="1:17" ht="15.75" x14ac:dyDescent="0.25">
      <c r="A1638" s="3" t="str">
        <f t="shared" si="24"/>
        <v>https://oskinmedspa.com/products/spot-eraser</v>
      </c>
      <c r="B1638" s="3" t="str">
        <f t="shared" si="24"/>
        <v>https://oskinmedspa.com/products/spot-eraser</v>
      </c>
      <c r="C1638" t="s">
        <v>3800</v>
      </c>
      <c r="D1638" t="s">
        <v>3860</v>
      </c>
      <c r="E1638" s="3" t="str">
        <f>HYPERLINK("https://www.amazon.com/Original-Kojie-Facial-Beauty-Soap/dp/B08P3YFR7B/ref=sr_1_3?keywords=Kojic+Acid&amp;qid=1695259128&amp;sr=8-3", "https://www.amazon.com/Original-Kojie-Facial-Beauty-Soap/dp/B08P3YFR7B/ref=sr_1_3?keywords=Kojic+Acid&amp;qid=1695259128&amp;sr=8-3")</f>
        <v>https://www.amazon.com/Original-Kojie-Facial-Beauty-Soap/dp/B08P3YFR7B/ref=sr_1_3?keywords=Kojic+Acid&amp;qid=1695259128&amp;sr=8-3</v>
      </c>
      <c r="F1638" t="s">
        <v>3863</v>
      </c>
      <c r="G1638" t="e">
        <f ca="1">IMAGE("https://oskinmedspa.com/cdn/shop/products/OSkin-PDP-Hero-SpotEraser.jpg?v=1666883130")</f>
        <v>#NAME?</v>
      </c>
      <c r="H1638" t="e">
        <f ca="1">IMAGE("https://m.media-amazon.com/images/I/81KfioihrkL._AC_UL320_.jpg")</f>
        <v>#NAME?</v>
      </c>
      <c r="I1638" t="s">
        <v>3803</v>
      </c>
      <c r="J1638">
        <v>9.9499999999999993</v>
      </c>
      <c r="K1638" s="2" t="s">
        <v>3864</v>
      </c>
      <c r="L1638">
        <v>4.2</v>
      </c>
      <c r="M1638">
        <v>10508</v>
      </c>
      <c r="O1638" t="s">
        <v>136</v>
      </c>
      <c r="P1638" t="s">
        <v>39</v>
      </c>
      <c r="Q1638" t="s">
        <v>3805</v>
      </c>
    </row>
    <row r="1639" spans="1:17" ht="15.75" x14ac:dyDescent="0.25">
      <c r="A1639" s="3" t="str">
        <f t="shared" si="24"/>
        <v>https://oskinmedspa.com/products/spot-eraser</v>
      </c>
      <c r="B1639" s="3" t="str">
        <f t="shared" si="24"/>
        <v>https://oskinmedspa.com/products/spot-eraser</v>
      </c>
      <c r="C1639" t="s">
        <v>3800</v>
      </c>
      <c r="D1639" t="s">
        <v>3865</v>
      </c>
      <c r="E1639" s="3" t="str">
        <f>HYPERLINK("https://www.amazon.com/Whitening-Lightening-Diminishes-Appearance-Freckles/dp/B0B7Q9XXG3/ref=sr_1_8?keywords=Kojic+Acid&amp;qid=1695259128&amp;sr=8-8", "https://www.amazon.com/Whitening-Lightening-Diminishes-Appearance-Freckles/dp/B0B7Q9XXG3/ref=sr_1_8?keywords=Kojic+Acid&amp;qid=1695259128&amp;sr=8-8")</f>
        <v>https://www.amazon.com/Whitening-Lightening-Diminishes-Appearance-Freckles/dp/B0B7Q9XXG3/ref=sr_1_8?keywords=Kojic+Acid&amp;qid=1695259128&amp;sr=8-8</v>
      </c>
      <c r="F1639" t="s">
        <v>3866</v>
      </c>
      <c r="G1639" t="e">
        <f ca="1">IMAGE("https://oskinmedspa.com/cdn/shop/products/OSkin-PDP-Hero-SpotEraser.jpg?v=1666883130")</f>
        <v>#NAME?</v>
      </c>
      <c r="H1639" t="e">
        <f ca="1">IMAGE("https://m.media-amazon.com/images/I/71df5DltimL._AC_UL320_.jpg")</f>
        <v>#NAME?</v>
      </c>
      <c r="I1639" t="s">
        <v>3803</v>
      </c>
      <c r="J1639">
        <v>9.9499999999999993</v>
      </c>
      <c r="K1639" s="2" t="s">
        <v>3864</v>
      </c>
      <c r="L1639">
        <v>4.0999999999999996</v>
      </c>
      <c r="M1639">
        <v>117</v>
      </c>
      <c r="O1639" t="s">
        <v>136</v>
      </c>
      <c r="P1639" t="s">
        <v>39</v>
      </c>
      <c r="Q1639" t="s">
        <v>3805</v>
      </c>
    </row>
    <row r="1640" spans="1:17" ht="15.75" x14ac:dyDescent="0.25">
      <c r="A1640" s="3" t="str">
        <f t="shared" si="24"/>
        <v>https://oskinmedspa.com/products/spot-eraser</v>
      </c>
      <c r="B1640" s="3" t="str">
        <f t="shared" si="24"/>
        <v>https://oskinmedspa.com/products/spot-eraser</v>
      </c>
      <c r="C1640" t="s">
        <v>3800</v>
      </c>
      <c r="D1640" t="s">
        <v>3867</v>
      </c>
      <c r="E1640" s="3" t="str">
        <f>HYPERLINK("https://www.amazon.com/Brightening-Glowing-Moisturizing-Melasma-Dermatologist/dp/B071KNC9Q9/ref=sr_1_9?keywords=Kojic+Acid&amp;qid=1695259128&amp;sr=8-9", "https://www.amazon.com/Brightening-Glowing-Moisturizing-Melasma-Dermatologist/dp/B071KNC9Q9/ref=sr_1_9?keywords=Kojic+Acid&amp;qid=1695259128&amp;sr=8-9")</f>
        <v>https://www.amazon.com/Brightening-Glowing-Moisturizing-Melasma-Dermatologist/dp/B071KNC9Q9/ref=sr_1_9?keywords=Kojic+Acid&amp;qid=1695259128&amp;sr=8-9</v>
      </c>
      <c r="F1640" t="s">
        <v>3868</v>
      </c>
      <c r="G1640" t="e">
        <f ca="1">IMAGE("https://oskinmedspa.com/cdn/shop/products/OSkin-PDP-Hero-SpotEraser.jpg?v=1666883130")</f>
        <v>#NAME?</v>
      </c>
      <c r="H1640" t="e">
        <f ca="1">IMAGE("https://m.media-amazon.com/images/I/81XuZCb+T-L._AC_UL320_.jpg")</f>
        <v>#NAME?</v>
      </c>
      <c r="I1640" t="s">
        <v>3803</v>
      </c>
      <c r="J1640">
        <v>9.9499999999999993</v>
      </c>
      <c r="K1640" s="2" t="s">
        <v>3864</v>
      </c>
      <c r="L1640">
        <v>4</v>
      </c>
      <c r="M1640">
        <v>24158</v>
      </c>
      <c r="O1640" t="s">
        <v>136</v>
      </c>
      <c r="P1640" t="s">
        <v>39</v>
      </c>
      <c r="Q1640" t="s">
        <v>3805</v>
      </c>
    </row>
    <row r="1641" spans="1:17" ht="15.75" x14ac:dyDescent="0.25">
      <c r="A1641" s="3" t="str">
        <f>HYPERLINK("https://oskinmedspa.com/collections/shop-all-skincare/products/secret-collection-bundle", "https://oskinmedspa.com/collections/shop-all-skincare/products/secret-collection-bundle")</f>
        <v>https://oskinmedspa.com/collections/shop-all-skincare/products/secret-collection-bundle</v>
      </c>
      <c r="B1641" s="3" t="str">
        <f>HYPERLINK("https://oskinmedspa.com/products/secret-collection-bundle", "https://oskinmedspa.com/products/secret-collection-bundle")</f>
        <v>https://oskinmedspa.com/products/secret-collection-bundle</v>
      </c>
      <c r="C1641" t="s">
        <v>3816</v>
      </c>
      <c r="D1641" t="s">
        <v>3869</v>
      </c>
      <c r="E1641" s="3" t="str">
        <f>HYPERLINK("https://www.amazon.com/Unicorns-Secret-Collection-Moonsilver-Mountains/dp/1534439374/ref=sr_1_4?keywords=The+Secret+Collection&amp;qid=1695259125&amp;sr=8-4", "https://www.amazon.com/Unicorns-Secret-Collection-Moonsilver-Mountains/dp/1534439374/ref=sr_1_4?keywords=The+Secret+Collection&amp;qid=1695259125&amp;sr=8-4")</f>
        <v>https://www.amazon.com/Unicorns-Secret-Collection-Moonsilver-Mountains/dp/1534439374/ref=sr_1_4?keywords=The+Secret+Collection&amp;qid=1695259125&amp;sr=8-4</v>
      </c>
      <c r="F1641" t="s">
        <v>3870</v>
      </c>
      <c r="G1641" t="e">
        <f ca="1">IMAGE("https://oskinmedspa.com/cdn/shop/products/SecretCollectionBundle-NEW.jpg?v=1658331699")</f>
        <v>#NAME?</v>
      </c>
      <c r="H1641" t="e">
        <f ca="1">IMAGE("https://m.media-amazon.com/images/I/71N5Esd26FL._AC_UY218_.jpg")</f>
        <v>#NAME?</v>
      </c>
      <c r="I1641" t="s">
        <v>3819</v>
      </c>
      <c r="J1641">
        <v>32</v>
      </c>
      <c r="K1641" s="2" t="s">
        <v>3871</v>
      </c>
      <c r="L1641">
        <v>4.8</v>
      </c>
      <c r="M1641">
        <v>105</v>
      </c>
      <c r="O1641" t="s">
        <v>26</v>
      </c>
      <c r="P1641" t="s">
        <v>39</v>
      </c>
      <c r="Q1641" t="s">
        <v>3821</v>
      </c>
    </row>
    <row r="1642" spans="1:17" ht="15.75" x14ac:dyDescent="0.25">
      <c r="A1642" s="3" t="str">
        <f>HYPERLINK("https://oskinmedspa.com/products/secret-gold-24k-mask", "https://oskinmedspa.com/products/secret-gold-24k-mask")</f>
        <v>https://oskinmedspa.com/products/secret-gold-24k-mask</v>
      </c>
      <c r="B1642" s="3" t="str">
        <f>HYPERLINK("https://oskinmedspa.com/products/secret-gold-24k-mask", "https://oskinmedspa.com/products/secret-gold-24k-mask")</f>
        <v>https://oskinmedspa.com/products/secret-gold-24k-mask</v>
      </c>
      <c r="C1642" t="s">
        <v>3672</v>
      </c>
      <c r="D1642" t="s">
        <v>3872</v>
      </c>
      <c r="E1642" s="3" t="str">
        <f>HYPERLINK("https://www.amazon.com/LAPCOS-Collagen-Premium-Treatment-Puffiness/dp/B0BFC6YZPB/ref=sr_1_6?keywords=Secret+Gold+24k+Gold+Mask&amp;qid=1695259125&amp;sr=8-6", "https://www.amazon.com/LAPCOS-Collagen-Premium-Treatment-Puffiness/dp/B0BFC6YZPB/ref=sr_1_6?keywords=Secret+Gold+24k+Gold+Mask&amp;qid=1695259125&amp;sr=8-6")</f>
        <v>https://www.amazon.com/LAPCOS-Collagen-Premium-Treatment-Puffiness/dp/B0BFC6YZPB/ref=sr_1_6?keywords=Secret+Gold+24k+Gold+Mask&amp;qid=1695259125&amp;sr=8-6</v>
      </c>
      <c r="F1642" t="s">
        <v>3873</v>
      </c>
      <c r="G1642" t="e">
        <f ca="1">IMAGE("https://oskinmedspa.com/cdn/shop/products/OSkin-PDP-Secret-Gold.jpg?v=1652365007")</f>
        <v>#NAME?</v>
      </c>
      <c r="H1642" t="e">
        <f ca="1">IMAGE("https://m.media-amazon.com/images/I/61uMnXd3NTL._AC_UL320_.jpg")</f>
        <v>#NAME?</v>
      </c>
      <c r="I1642" t="s">
        <v>2565</v>
      </c>
      <c r="J1642">
        <v>8</v>
      </c>
      <c r="K1642" s="2" t="s">
        <v>3871</v>
      </c>
      <c r="L1642">
        <v>4.0999999999999996</v>
      </c>
      <c r="M1642">
        <v>33</v>
      </c>
      <c r="O1642" t="s">
        <v>26</v>
      </c>
      <c r="P1642" t="s">
        <v>39</v>
      </c>
      <c r="Q1642" t="s">
        <v>3676</v>
      </c>
    </row>
    <row r="1643" spans="1:17" ht="15.75" x14ac:dyDescent="0.25">
      <c r="A1643" s="3" t="str">
        <f>HYPERLINK("https://oskinmedspa.com/products/spot-eraser", "https://oskinmedspa.com/products/spot-eraser")</f>
        <v>https://oskinmedspa.com/products/spot-eraser</v>
      </c>
      <c r="B1643" s="3" t="str">
        <f>HYPERLINK("https://oskinmedspa.com/products/spot-eraser", "https://oskinmedspa.com/products/spot-eraser")</f>
        <v>https://oskinmedspa.com/products/spot-eraser</v>
      </c>
      <c r="C1643" t="s">
        <v>3800</v>
      </c>
      <c r="D1643" t="s">
        <v>3874</v>
      </c>
      <c r="E1643" s="3" t="str">
        <f>HYPERLINK("https://www.amazon.com/Kojic-Powder-Natural-Organic-Ounce/dp/B08SJ5HFV9/ref=sr_1_6?keywords=Kojic+Acid&amp;qid=1695259128&amp;sr=8-6", "https://www.amazon.com/Kojic-Powder-Natural-Organic-Ounce/dp/B08SJ5HFV9/ref=sr_1_6?keywords=Kojic+Acid&amp;qid=1695259128&amp;sr=8-6")</f>
        <v>https://www.amazon.com/Kojic-Powder-Natural-Organic-Ounce/dp/B08SJ5HFV9/ref=sr_1_6?keywords=Kojic+Acid&amp;qid=1695259128&amp;sr=8-6</v>
      </c>
      <c r="F1643" t="s">
        <v>3875</v>
      </c>
      <c r="G1643" t="e">
        <f ca="1">IMAGE("https://oskinmedspa.com/cdn/shop/products/OSkin-PDP-Hero-SpotEraser.jpg?v=1666883130")</f>
        <v>#NAME?</v>
      </c>
      <c r="H1643" t="e">
        <f ca="1">IMAGE("https://m.media-amazon.com/images/I/61+WeLf3L4L._AC_UL320_.jpg")</f>
        <v>#NAME?</v>
      </c>
      <c r="I1643" t="s">
        <v>3803</v>
      </c>
      <c r="J1643">
        <v>8.99</v>
      </c>
      <c r="K1643" s="2" t="s">
        <v>3876</v>
      </c>
      <c r="L1643">
        <v>4.5</v>
      </c>
      <c r="M1643">
        <v>33</v>
      </c>
      <c r="O1643" t="s">
        <v>136</v>
      </c>
      <c r="P1643" t="s">
        <v>39</v>
      </c>
      <c r="Q1643" t="s">
        <v>3805</v>
      </c>
    </row>
    <row r="1644" spans="1:17" ht="15.75" x14ac:dyDescent="0.25">
      <c r="A1644" s="3" t="str">
        <f>HYPERLINK("https://oskinmedspa.com/collections/shop-all-skincare/products/secret-collection-bundle", "https://oskinmedspa.com/collections/shop-all-skincare/products/secret-collection-bundle")</f>
        <v>https://oskinmedspa.com/collections/shop-all-skincare/products/secret-collection-bundle</v>
      </c>
      <c r="B1644" s="3" t="str">
        <f>HYPERLINK("https://oskinmedspa.com/products/secret-collection-bundle", "https://oskinmedspa.com/products/secret-collection-bundle")</f>
        <v>https://oskinmedspa.com/products/secret-collection-bundle</v>
      </c>
      <c r="C1644" t="s">
        <v>3816</v>
      </c>
      <c r="D1644" t="s">
        <v>3877</v>
      </c>
      <c r="E1644" s="3" t="str">
        <f>HYPERLINK("https://www.amazon.com/Secret-Complete-Collection-Pseudonymous-Bosch/dp/0316219819/ref=sr_1_8?keywords=The+Secret+Collection&amp;qid=1695259125&amp;sr=8-8", "https://www.amazon.com/Secret-Complete-Collection-Pseudonymous-Bosch/dp/0316219819/ref=sr_1_8?keywords=The+Secret+Collection&amp;qid=1695259125&amp;sr=8-8")</f>
        <v>https://www.amazon.com/Secret-Complete-Collection-Pseudonymous-Bosch/dp/0316219819/ref=sr_1_8?keywords=The+Secret+Collection&amp;qid=1695259125&amp;sr=8-8</v>
      </c>
      <c r="F1644" t="s">
        <v>3878</v>
      </c>
      <c r="G1644" t="e">
        <f ca="1">IMAGE("https://oskinmedspa.com/cdn/shop/products/SecretCollectionBundle-NEW.jpg?v=1658331699")</f>
        <v>#NAME?</v>
      </c>
      <c r="H1644" t="e">
        <f ca="1">IMAGE("https://m.media-amazon.com/images/I/91uPZmgs1jL._AC_UY218_.jpg")</f>
        <v>#NAME?</v>
      </c>
      <c r="I1644" t="s">
        <v>3819</v>
      </c>
      <c r="J1644">
        <v>26.99</v>
      </c>
      <c r="K1644" s="2" t="s">
        <v>3879</v>
      </c>
      <c r="L1644">
        <v>4.8</v>
      </c>
      <c r="M1644">
        <v>751</v>
      </c>
      <c r="O1644" t="s">
        <v>26</v>
      </c>
      <c r="P1644" t="s">
        <v>39</v>
      </c>
      <c r="Q1644" t="s">
        <v>3821</v>
      </c>
    </row>
    <row r="1645" spans="1:17" ht="15.75" x14ac:dyDescent="0.25">
      <c r="A1645" s="3" t="str">
        <f>HYPERLINK("https://oskinmedspa.com/collections/shop-all-skincare/products/secret-collection-bundle", "https://oskinmedspa.com/collections/shop-all-skincare/products/secret-collection-bundle")</f>
        <v>https://oskinmedspa.com/collections/shop-all-skincare/products/secret-collection-bundle</v>
      </c>
      <c r="B1645" s="3" t="str">
        <f>HYPERLINK("https://oskinmedspa.com/products/secret-collection-bundle", "https://oskinmedspa.com/products/secret-collection-bundle")</f>
        <v>https://oskinmedspa.com/products/secret-collection-bundle</v>
      </c>
      <c r="C1645" t="s">
        <v>3816</v>
      </c>
      <c r="D1645" t="s">
        <v>3880</v>
      </c>
      <c r="E1645" s="3" t="str">
        <f>HYPERLINK("https://www.amazon.com/Adventures-Secret-Explorers-Collection-Action-Packed/dp/0744072824/ref=sr_1_9?keywords=The+Secret+Collection&amp;qid=1695259125&amp;sr=8-9", "https://www.amazon.com/Adventures-Secret-Explorers-Collection-Action-Packed/dp/0744072824/ref=sr_1_9?keywords=The+Secret+Collection&amp;qid=1695259125&amp;sr=8-9")</f>
        <v>https://www.amazon.com/Adventures-Secret-Explorers-Collection-Action-Packed/dp/0744072824/ref=sr_1_9?keywords=The+Secret+Collection&amp;qid=1695259125&amp;sr=8-9</v>
      </c>
      <c r="F1645" t="s">
        <v>3881</v>
      </c>
      <c r="G1645" t="e">
        <f ca="1">IMAGE("https://oskinmedspa.com/cdn/shop/products/SecretCollectionBundle-NEW.jpg?v=1658331699")</f>
        <v>#NAME?</v>
      </c>
      <c r="H1645" t="e">
        <f ca="1">IMAGE("https://m.media-amazon.com/images/I/71dqg97jd4L._AC_UY218_.jpg")</f>
        <v>#NAME?</v>
      </c>
      <c r="I1645" t="s">
        <v>3819</v>
      </c>
      <c r="J1645">
        <v>20.49</v>
      </c>
      <c r="K1645" s="2" t="s">
        <v>3882</v>
      </c>
      <c r="L1645">
        <v>5</v>
      </c>
      <c r="M1645">
        <v>3</v>
      </c>
      <c r="O1645" t="s">
        <v>26</v>
      </c>
      <c r="P1645" t="s">
        <v>39</v>
      </c>
      <c r="Q1645" t="s">
        <v>3821</v>
      </c>
    </row>
    <row r="1646" spans="1:17" ht="15.75" x14ac:dyDescent="0.25">
      <c r="A1646" s="3" t="str">
        <f>HYPERLINK("https://oskinmedspa.com/collections/shop-all-skincare/products/secret-collection-bundle", "https://oskinmedspa.com/collections/shop-all-skincare/products/secret-collection-bundle")</f>
        <v>https://oskinmedspa.com/collections/shop-all-skincare/products/secret-collection-bundle</v>
      </c>
      <c r="B1646" s="3" t="str">
        <f>HYPERLINK("https://oskinmedspa.com/products/secret-collection-bundle", "https://oskinmedspa.com/products/secret-collection-bundle")</f>
        <v>https://oskinmedspa.com/products/secret-collection-bundle</v>
      </c>
      <c r="C1646" t="s">
        <v>3816</v>
      </c>
      <c r="D1646" t="s">
        <v>3883</v>
      </c>
      <c r="E1646" s="3" t="str">
        <f>HYPERLINK("https://www.amazon.com/Lies-Tell-Standalone-Forbidden-Collection-ebook/dp/B0C2LG5HV9/ref=sr_1_2?keywords=The+Secret+Collection&amp;qid=1695259125&amp;sr=8-2", "https://www.amazon.com/Lies-Tell-Standalone-Forbidden-Collection-ebook/dp/B0C2LG5HV9/ref=sr_1_2?keywords=The+Secret+Collection&amp;qid=1695259125&amp;sr=8-2")</f>
        <v>https://www.amazon.com/Lies-Tell-Standalone-Forbidden-Collection-ebook/dp/B0C2LG5HV9/ref=sr_1_2?keywords=The+Secret+Collection&amp;qid=1695259125&amp;sr=8-2</v>
      </c>
      <c r="F1646" t="s">
        <v>3884</v>
      </c>
      <c r="G1646" t="e">
        <f ca="1">IMAGE("https://oskinmedspa.com/cdn/shop/products/SecretCollectionBundle-NEW.jpg?v=1658331699")</f>
        <v>#NAME?</v>
      </c>
      <c r="H1646" t="e">
        <f ca="1">IMAGE("https://m.media-amazon.com/images/I/81359-VRGHL._AC_UY218_.jpg")</f>
        <v>#NAME?</v>
      </c>
      <c r="I1646" t="s">
        <v>3819</v>
      </c>
      <c r="J1646">
        <v>4.99</v>
      </c>
      <c r="K1646" s="2" t="s">
        <v>1254</v>
      </c>
      <c r="L1646">
        <v>4.3</v>
      </c>
      <c r="M1646">
        <v>219</v>
      </c>
      <c r="O1646" t="s">
        <v>26</v>
      </c>
      <c r="P1646" t="s">
        <v>39</v>
      </c>
      <c r="Q1646" t="s">
        <v>3821</v>
      </c>
    </row>
    <row r="1647" spans="1:17" ht="15.75" x14ac:dyDescent="0.25">
      <c r="A1647" s="3" t="str">
        <f>HYPERLINK("https://oskinmedspa.com/collections/shop-all-skincare/products/secret-collection-bundle", "https://oskinmedspa.com/collections/shop-all-skincare/products/secret-collection-bundle")</f>
        <v>https://oskinmedspa.com/collections/shop-all-skincare/products/secret-collection-bundle</v>
      </c>
      <c r="B1647" s="3" t="str">
        <f>HYPERLINK("https://oskinmedspa.com/products/secret-collection-bundle", "https://oskinmedspa.com/products/secret-collection-bundle")</f>
        <v>https://oskinmedspa.com/products/secret-collection-bundle</v>
      </c>
      <c r="C1647" t="s">
        <v>3816</v>
      </c>
      <c r="D1647" t="s">
        <v>3885</v>
      </c>
      <c r="E1647" s="3" t="str">
        <f>HYPERLINK("https://www.amazon.com/Watchers-Stacy-Deanne-ebook/dp/B014FS3SLK/ref=sr_1_3?keywords=The+Secret+Collection&amp;qid=1695259125&amp;sr=8-3", "https://www.amazon.com/Watchers-Stacy-Deanne-ebook/dp/B014FS3SLK/ref=sr_1_3?keywords=The+Secret+Collection&amp;qid=1695259125&amp;sr=8-3")</f>
        <v>https://www.amazon.com/Watchers-Stacy-Deanne-ebook/dp/B014FS3SLK/ref=sr_1_3?keywords=The+Secret+Collection&amp;qid=1695259125&amp;sr=8-3</v>
      </c>
      <c r="F1647" t="s">
        <v>3886</v>
      </c>
      <c r="G1647" t="e">
        <f ca="1">IMAGE("https://oskinmedspa.com/cdn/shop/products/SecretCollectionBundle-NEW.jpg?v=1658331699")</f>
        <v>#NAME?</v>
      </c>
      <c r="H1647" t="e">
        <f ca="1">IMAGE("https://m.media-amazon.com/images/I/81lN39OhkkL._AC_UY218_.jpg")</f>
        <v>#NAME?</v>
      </c>
      <c r="I1647" t="s">
        <v>3819</v>
      </c>
      <c r="J1647">
        <v>0.99</v>
      </c>
      <c r="K1647" s="2" t="s">
        <v>2343</v>
      </c>
      <c r="L1647">
        <v>4.4000000000000004</v>
      </c>
      <c r="M1647">
        <v>23</v>
      </c>
      <c r="O1647" t="s">
        <v>26</v>
      </c>
      <c r="P1647" t="s">
        <v>39</v>
      </c>
      <c r="Q1647" t="s">
        <v>3821</v>
      </c>
    </row>
    <row r="1648" spans="1:17" ht="15.75" x14ac:dyDescent="0.25">
      <c r="A1648" s="3" t="str">
        <f>HYPERLINK("https://professionalsolutions.net/products/weightless-moisturizer-spf-25", "https://professionalsolutions.net/products/weightless-moisturizer-spf-25")</f>
        <v>https://professionalsolutions.net/products/weightless-moisturizer-spf-25</v>
      </c>
      <c r="B1648" s="3" t="str">
        <f>HYPERLINK("https://professionalsolutions.net/products/weightless-moisturizer-spf-25", "https://professionalsolutions.net/products/weightless-moisturizer-spf-25")</f>
        <v>https://professionalsolutions.net/products/weightless-moisturizer-spf-25</v>
      </c>
      <c r="C1648" t="s">
        <v>3887</v>
      </c>
      <c r="D1648" t="s">
        <v>3888</v>
      </c>
      <c r="E1648" s="3" t="str">
        <f>HYPERLINK("https://www.amazon.com/DML-Facial-Moisturizer-SPF-Pack/dp/B0064JD6VQ/ref=sr_1_6?keywords=Weightless+Moisturizer+SPF+25&amp;qid=1695259182&amp;sr=8-6", "https://www.amazon.com/DML-Facial-Moisturizer-SPF-Pack/dp/B0064JD6VQ/ref=sr_1_6?keywords=Weightless+Moisturizer+SPF+25&amp;qid=1695259182&amp;sr=8-6")</f>
        <v>https://www.amazon.com/DML-Facial-Moisturizer-SPF-Pack/dp/B0064JD6VQ/ref=sr_1_6?keywords=Weightless+Moisturizer+SPF+25&amp;qid=1695259182&amp;sr=8-6</v>
      </c>
      <c r="F1648" t="s">
        <v>3889</v>
      </c>
      <c r="G1648" t="e">
        <f ca="1">IMAGE("https://professionalsolutions.net/cdn/shop/products/weightless-moisturizer-spf-25.png?v=1580232361")</f>
        <v>#NAME?</v>
      </c>
      <c r="H1648" t="e">
        <f ca="1">IMAGE("https://m.media-amazon.com/images/I/61Zy3wtiezL._AC_UL320_.jpg")</f>
        <v>#NAME?</v>
      </c>
      <c r="I1648" t="s">
        <v>3890</v>
      </c>
      <c r="J1648">
        <v>47.77</v>
      </c>
      <c r="K1648" s="2" t="s">
        <v>3891</v>
      </c>
      <c r="L1648">
        <v>4.7</v>
      </c>
      <c r="M1648">
        <v>350</v>
      </c>
      <c r="O1648" t="s">
        <v>26</v>
      </c>
      <c r="P1648" t="s">
        <v>39</v>
      </c>
      <c r="Q1648" t="s">
        <v>3892</v>
      </c>
    </row>
    <row r="1649" spans="1:17" ht="15.75" x14ac:dyDescent="0.25">
      <c r="A1649" s="3" t="str">
        <f>HYPERLINK("https://professionalsolutions.net/products/bright-beauty-peeling-pads", "https://professionalsolutions.net/products/bright-beauty-peeling-pads")</f>
        <v>https://professionalsolutions.net/products/bright-beauty-peeling-pads</v>
      </c>
      <c r="B1649" s="3" t="str">
        <f>HYPERLINK("https://professionalsolutions.net/products/bright-beauty-peeling-pads", "https://professionalsolutions.net/products/bright-beauty-peeling-pads")</f>
        <v>https://professionalsolutions.net/products/bright-beauty-peeling-pads</v>
      </c>
      <c r="C1649" t="s">
        <v>3893</v>
      </c>
      <c r="D1649" t="s">
        <v>3894</v>
      </c>
      <c r="E1649" s="3" t="str">
        <f>HYPERLINK("https://www.amazon.com/Bella-Schneider-Beauty-Exfoliating-Salicylic/dp/B00DGKH5VS/ref=sr_1_4?keywords=Bright+Beauty+Peeling+Pads&amp;qid=1695259183&amp;sr=8-4", "https://www.amazon.com/Bella-Schneider-Beauty-Exfoliating-Salicylic/dp/B00DGKH5VS/ref=sr_1_4?keywords=Bright+Beauty+Peeling+Pads&amp;qid=1695259183&amp;sr=8-4")</f>
        <v>https://www.amazon.com/Bella-Schneider-Beauty-Exfoliating-Salicylic/dp/B00DGKH5VS/ref=sr_1_4?keywords=Bright+Beauty+Peeling+Pads&amp;qid=1695259183&amp;sr=8-4</v>
      </c>
      <c r="F1649" t="s">
        <v>3895</v>
      </c>
      <c r="G1649" t="e">
        <f ca="1">IMAGE("https://professionalsolutions.net/cdn/shop/products/bright-beauty-peeling-pads.png?v=1580232089")</f>
        <v>#NAME?</v>
      </c>
      <c r="H1649" t="e">
        <f ca="1">IMAGE("https://m.media-amazon.com/images/I/51EhfGvq3SL._AC_UL320_.jpg")</f>
        <v>#NAME?</v>
      </c>
      <c r="I1649" t="s">
        <v>3896</v>
      </c>
      <c r="J1649">
        <v>68</v>
      </c>
      <c r="K1649" s="2" t="s">
        <v>3897</v>
      </c>
      <c r="L1649">
        <v>4.5999999999999996</v>
      </c>
      <c r="M1649">
        <v>14</v>
      </c>
      <c r="O1649" t="s">
        <v>26</v>
      </c>
      <c r="P1649" t="s">
        <v>39</v>
      </c>
      <c r="Q1649" t="s">
        <v>3898</v>
      </c>
    </row>
    <row r="1650" spans="1:17" ht="15.75" x14ac:dyDescent="0.25">
      <c r="A1650" s="3" t="str">
        <f>HYPERLINK("https://professionalsolutions.net/products/professional-skin-care-cucumber-eye-cream", "https://professionalsolutions.net/products/professional-skin-care-cucumber-eye-cream")</f>
        <v>https://professionalsolutions.net/products/professional-skin-care-cucumber-eye-cream</v>
      </c>
      <c r="B1650" s="3" t="str">
        <f>HYPERLINK("https://professionalsolutions.net/products/professional-skin-care-cucumber-eye-cream", "https://professionalsolutions.net/products/professional-skin-care-cucumber-eye-cream")</f>
        <v>https://professionalsolutions.net/products/professional-skin-care-cucumber-eye-cream</v>
      </c>
      <c r="C1650" t="s">
        <v>3899</v>
      </c>
      <c r="D1650" t="s">
        <v>3900</v>
      </c>
      <c r="E1650" s="3" t="str">
        <f>HYPERLINK("https://www.amazon.com/Cucumber-bioBare%C2%AE-Hyaluronic-Squalane-Peptides/dp/B0BBZCCLVD/ref=sr_1_5?keywords=Cucumber+Eye+Cream&amp;qid=1695259182&amp;sr=8-5", "https://www.amazon.com/Cucumber-bioBare%C2%AE-Hyaluronic-Squalane-Peptides/dp/B0BBZCCLVD/ref=sr_1_5?keywords=Cucumber+Eye+Cream&amp;qid=1695259182&amp;sr=8-5")</f>
        <v>https://www.amazon.com/Cucumber-bioBare%C2%AE-Hyaluronic-Squalane-Peptides/dp/B0BBZCCLVD/ref=sr_1_5?keywords=Cucumber+Eye+Cream&amp;qid=1695259182&amp;sr=8-5</v>
      </c>
      <c r="F1650" t="s">
        <v>3901</v>
      </c>
      <c r="G1650" t="e">
        <f ca="1">IMAGE("https://professionalsolutions.net/cdn/shop/products/cucumber-eye-cream.png?v=1526497045")</f>
        <v>#NAME?</v>
      </c>
      <c r="H1650" t="e">
        <f ca="1">IMAGE("https://m.media-amazon.com/images/I/41L0VU5hpuL._AC_UL320_.jpg")</f>
        <v>#NAME?</v>
      </c>
      <c r="I1650" t="s">
        <v>3319</v>
      </c>
      <c r="J1650">
        <v>39</v>
      </c>
      <c r="K1650" s="2" t="s">
        <v>3902</v>
      </c>
      <c r="L1650">
        <v>3.6</v>
      </c>
      <c r="M1650">
        <v>34</v>
      </c>
      <c r="O1650" t="s">
        <v>26</v>
      </c>
      <c r="P1650" t="s">
        <v>39</v>
      </c>
      <c r="Q1650" t="s">
        <v>3903</v>
      </c>
    </row>
    <row r="1651" spans="1:17" ht="15.75" x14ac:dyDescent="0.25">
      <c r="A1651" s="3" t="str">
        <f>HYPERLINK("https://professionalsolutions.net/products/professional-skin-care-cucumber-eye-cream", "https://professionalsolutions.net/products/professional-skin-care-cucumber-eye-cream")</f>
        <v>https://professionalsolutions.net/products/professional-skin-care-cucumber-eye-cream</v>
      </c>
      <c r="B1651" s="3" t="str">
        <f>HYPERLINK("https://professionalsolutions.net/products/professional-skin-care-cucumber-eye-cream", "https://professionalsolutions.net/products/professional-skin-care-cucumber-eye-cream")</f>
        <v>https://professionalsolutions.net/products/professional-skin-care-cucumber-eye-cream</v>
      </c>
      <c r="C1651" t="s">
        <v>3899</v>
      </c>
      <c r="D1651" t="s">
        <v>3904</v>
      </c>
      <c r="E1651" s="3" t="str">
        <f>HYPERLINK("https://www.amazon.com/Shir-Organic-Cucumber-Circles-Puffiness-Wrinkles/dp/B08JM46G9W/ref=sr_1_3?keywords=Cucumber+Eye+Cream&amp;qid=1695259182&amp;sr=8-3", "https://www.amazon.com/Shir-Organic-Cucumber-Circles-Puffiness-Wrinkles/dp/B08JM46G9W/ref=sr_1_3?keywords=Cucumber+Eye+Cream&amp;qid=1695259182&amp;sr=8-3")</f>
        <v>https://www.amazon.com/Shir-Organic-Cucumber-Circles-Puffiness-Wrinkles/dp/B08JM46G9W/ref=sr_1_3?keywords=Cucumber+Eye+Cream&amp;qid=1695259182&amp;sr=8-3</v>
      </c>
      <c r="F1651" t="s">
        <v>3905</v>
      </c>
      <c r="G1651" t="e">
        <f ca="1">IMAGE("https://professionalsolutions.net/cdn/shop/products/cucumber-eye-cream.png?v=1526497045")</f>
        <v>#NAME?</v>
      </c>
      <c r="H1651" t="e">
        <f ca="1">IMAGE("https://m.media-amazon.com/images/I/71Mv0EDInML._AC_UL320_.jpg")</f>
        <v>#NAME?</v>
      </c>
      <c r="I1651" t="s">
        <v>3319</v>
      </c>
      <c r="J1651">
        <v>39</v>
      </c>
      <c r="K1651" s="2" t="s">
        <v>3902</v>
      </c>
      <c r="L1651">
        <v>3.9</v>
      </c>
      <c r="M1651">
        <v>29</v>
      </c>
      <c r="O1651" t="s">
        <v>26</v>
      </c>
      <c r="P1651" t="s">
        <v>39</v>
      </c>
      <c r="Q1651" t="s">
        <v>3903</v>
      </c>
    </row>
    <row r="1652" spans="1:17" ht="15.75" x14ac:dyDescent="0.25">
      <c r="A1652" s="3" t="str">
        <f>HYPERLINK("https://professionalsolutions.net/products/professional-skin-care-vitamin-c-serum-12percent", "https://professionalsolutions.net/products/professional-skin-care-vitamin-c-serum-12percent")</f>
        <v>https://professionalsolutions.net/products/professional-skin-care-vitamin-c-serum-12percent</v>
      </c>
      <c r="B1652" s="3" t="str">
        <f>HYPERLINK("https://professionalsolutions.net/products/professional-skin-care-vitamin-c-serum-12percent", "https://professionalsolutions.net/products/professional-skin-care-vitamin-c-serum-12percent")</f>
        <v>https://professionalsolutions.net/products/professional-skin-care-vitamin-c-serum-12percent</v>
      </c>
      <c r="C1652" t="s">
        <v>3906</v>
      </c>
      <c r="D1652" t="s">
        <v>3907</v>
      </c>
      <c r="E1652" s="3" t="str">
        <f>HYPERLINK("https://www.amazon.com/Cosmesis-Vitamin-Serum-Concentrated-Antioxidant/dp/B0BZFPPSNR/ref=sr_1_9?keywords=Vitamin+C+Serum+12%25&amp;qid=1695259182&amp;sr=8-9", "https://www.amazon.com/Cosmesis-Vitamin-Serum-Concentrated-Antioxidant/dp/B0BZFPPSNR/ref=sr_1_9?keywords=Vitamin+C+Serum+12%25&amp;qid=1695259182&amp;sr=8-9")</f>
        <v>https://www.amazon.com/Cosmesis-Vitamin-Serum-Concentrated-Antioxidant/dp/B0BZFPPSNR/ref=sr_1_9?keywords=Vitamin+C+Serum+12%25&amp;qid=1695259182&amp;sr=8-9</v>
      </c>
      <c r="F1652" t="s">
        <v>3908</v>
      </c>
      <c r="G1652" t="e">
        <f ca="1">IMAGE("https://professionalsolutions.net/cdn/shop/products/vitamin-c-plus-serum-12-percent.png?v=1526498556")</f>
        <v>#NAME?</v>
      </c>
      <c r="H1652" t="e">
        <f ca="1">IMAGE("https://m.media-amazon.com/images/I/51qD3N4XR+L._AC_UL320_.jpg")</f>
        <v>#NAME?</v>
      </c>
      <c r="I1652" t="s">
        <v>3909</v>
      </c>
      <c r="J1652">
        <v>69.5</v>
      </c>
      <c r="K1652" s="2" t="s">
        <v>3910</v>
      </c>
      <c r="L1652">
        <v>4.2</v>
      </c>
      <c r="M1652">
        <v>26</v>
      </c>
      <c r="O1652" t="s">
        <v>26</v>
      </c>
      <c r="P1652" t="s">
        <v>39</v>
      </c>
      <c r="Q1652" t="s">
        <v>3911</v>
      </c>
    </row>
    <row r="1653" spans="1:17" ht="15.75" x14ac:dyDescent="0.25">
      <c r="A1653"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B1653"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C1653" t="s">
        <v>3912</v>
      </c>
      <c r="D1653" t="s">
        <v>2992</v>
      </c>
      <c r="E1653" s="3" t="str">
        <f>HYPERLINK("https://www.amazon.com/Paulas-Choice-Smoothing-Treatment-Exfoliator/dp/B07FMW37HT/ref=sr_1_3?keywords=Lactic+Acid+Exfoliator+10%25&amp;qid=1695259182&amp;sr=8-3", "https://www.amazon.com/Paulas-Choice-Smoothing-Treatment-Exfoliator/dp/B07FMW37HT/ref=sr_1_3?keywords=Lactic+Acid+Exfoliator+10%25&amp;qid=1695259182&amp;sr=8-3")</f>
        <v>https://www.amazon.com/Paulas-Choice-Smoothing-Treatment-Exfoliator/dp/B07FMW37HT/ref=sr_1_3?keywords=Lactic+Acid+Exfoliator+10%25&amp;qid=1695259182&amp;sr=8-3</v>
      </c>
      <c r="F1653" t="s">
        <v>2993</v>
      </c>
      <c r="G1653" t="e">
        <f ca="1">IMAGE("https://professionalsolutions.net/cdn/shop/products/lactic-acid-exfoliator-10-percent.png?v=1529810228")</f>
        <v>#NAME?</v>
      </c>
      <c r="H1653" t="e">
        <f ca="1">IMAGE("https://m.media-amazon.com/images/I/61ciG-OokkL._AC_UL320_.jpg")</f>
        <v>#NAME?</v>
      </c>
      <c r="I1653" t="s">
        <v>3913</v>
      </c>
      <c r="J1653">
        <v>39</v>
      </c>
      <c r="K1653" s="2" t="s">
        <v>3914</v>
      </c>
      <c r="L1653">
        <v>4.5</v>
      </c>
      <c r="M1653">
        <v>194</v>
      </c>
      <c r="O1653" t="s">
        <v>26</v>
      </c>
      <c r="P1653" t="s">
        <v>39</v>
      </c>
      <c r="Q1653" t="s">
        <v>3915</v>
      </c>
    </row>
    <row r="1654" spans="1:17" ht="15.75" x14ac:dyDescent="0.25">
      <c r="A1654"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B1654"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C1654" t="s">
        <v>3916</v>
      </c>
      <c r="D1654" t="s">
        <v>3917</v>
      </c>
      <c r="E1654" s="3" t="str">
        <f>HYPERLINK("https://www.amazon.com/StriVectin-AdvancedTM-Tightening-D%C3%A9collet%C3%A9-Reducing/dp/B0C5FD2G3V/ref=sr_1_10?keywords=Neck-Cessity+Neck+Firming+Cream&amp;qid=1695259188&amp;sr=8-10", "https://www.amazon.com/StriVectin-AdvancedTM-Tightening-D%C3%A9collet%C3%A9-Reducing/dp/B0C5FD2G3V/ref=sr_1_10?keywords=Neck-Cessity+Neck+Firming+Cream&amp;qid=1695259188&amp;sr=8-10")</f>
        <v>https://www.amazon.com/StriVectin-AdvancedTM-Tightening-D%C3%A9collet%C3%A9-Reducing/dp/B0C5FD2G3V/ref=sr_1_10?keywords=Neck-Cessity+Neck+Firming+Cream&amp;qid=1695259188&amp;sr=8-10</v>
      </c>
      <c r="F1654" t="s">
        <v>3918</v>
      </c>
      <c r="G1654" t="e">
        <f ca="1">IMAGE("https://professionalsolutions.net/cdn/shop/products/neck-cessity-neck-firming-cream.png?v=1529810520")</f>
        <v>#NAME?</v>
      </c>
      <c r="H1654" t="e">
        <f ca="1">IMAGE("https://m.media-amazon.com/images/I/61epgvVmQ4L._AC_UL320_.jpg")</f>
        <v>#NAME?</v>
      </c>
      <c r="I1654" t="s">
        <v>2468</v>
      </c>
      <c r="J1654">
        <v>59</v>
      </c>
      <c r="K1654" s="2" t="s">
        <v>3919</v>
      </c>
      <c r="L1654">
        <v>4.3</v>
      </c>
      <c r="M1654">
        <v>36</v>
      </c>
      <c r="O1654" t="s">
        <v>26</v>
      </c>
      <c r="P1654" t="s">
        <v>39</v>
      </c>
      <c r="Q1654" t="s">
        <v>3920</v>
      </c>
    </row>
    <row r="1655" spans="1:17" ht="15.75" x14ac:dyDescent="0.25">
      <c r="A1655" s="3" t="str">
        <f>HYPERLINK("https://professionalsolutions.net/products/weightless-moisturizer-spf-25", "https://professionalsolutions.net/products/weightless-moisturizer-spf-25")</f>
        <v>https://professionalsolutions.net/products/weightless-moisturizer-spf-25</v>
      </c>
      <c r="B1655" s="3" t="str">
        <f>HYPERLINK("https://professionalsolutions.net/products/weightless-moisturizer-spf-25", "https://professionalsolutions.net/products/weightless-moisturizer-spf-25")</f>
        <v>https://professionalsolutions.net/products/weightless-moisturizer-spf-25</v>
      </c>
      <c r="C1655" t="s">
        <v>3887</v>
      </c>
      <c r="D1655" t="s">
        <v>3921</v>
      </c>
      <c r="E1655" s="3" t="str">
        <f>HYPERLINK("https://www.amazon.com/Moisturizer-Olay-Regenerist-Collagen-Anti-Aging/dp/B075WZQ8RF/ref=sr_1_2?keywords=Weightless+Moisturizer+SPF+25&amp;qid=1695259182&amp;sr=8-2", "https://www.amazon.com/Moisturizer-Olay-Regenerist-Collagen-Anti-Aging/dp/B075WZQ8RF/ref=sr_1_2?keywords=Weightless+Moisturizer+SPF+25&amp;qid=1695259182&amp;sr=8-2")</f>
        <v>https://www.amazon.com/Moisturizer-Olay-Regenerist-Collagen-Anti-Aging/dp/B075WZQ8RF/ref=sr_1_2?keywords=Weightless+Moisturizer+SPF+25&amp;qid=1695259182&amp;sr=8-2</v>
      </c>
      <c r="F1655" t="s">
        <v>3922</v>
      </c>
      <c r="G1655" t="e">
        <f ca="1">IMAGE("https://professionalsolutions.net/cdn/shop/products/weightless-moisturizer-spf-25.png?v=1580232361")</f>
        <v>#NAME?</v>
      </c>
      <c r="H1655" t="e">
        <f ca="1">IMAGE("https://m.media-amazon.com/images/I/61fFIjIupBL._AC_UL320_.jpg")</f>
        <v>#NAME?</v>
      </c>
      <c r="I1655" t="s">
        <v>3890</v>
      </c>
      <c r="J1655">
        <v>23.39</v>
      </c>
      <c r="K1655" s="2" t="s">
        <v>3923</v>
      </c>
      <c r="L1655">
        <v>4.5999999999999996</v>
      </c>
      <c r="M1655">
        <v>11840</v>
      </c>
      <c r="O1655" t="s">
        <v>26</v>
      </c>
      <c r="P1655" t="s">
        <v>39</v>
      </c>
      <c r="Q1655" t="s">
        <v>3892</v>
      </c>
    </row>
    <row r="1656" spans="1:17" ht="15.75" x14ac:dyDescent="0.25">
      <c r="A1656" s="3" t="str">
        <f>HYPERLINK("https://professionalsolutions.net/products/professional-skin-care-100-pure-argan-oil", "https://professionalsolutions.net/products/professional-skin-care-100-pure-argan-oil")</f>
        <v>https://professionalsolutions.net/products/professional-skin-care-100-pure-argan-oil</v>
      </c>
      <c r="B1656" s="3" t="str">
        <f>HYPERLINK("https://professionalsolutions.net/products/professional-skin-care-100-pure-argan-oil", "https://professionalsolutions.net/products/professional-skin-care-100-pure-argan-oil")</f>
        <v>https://professionalsolutions.net/products/professional-skin-care-100-pure-argan-oil</v>
      </c>
      <c r="C1656" t="s">
        <v>3924</v>
      </c>
      <c r="D1656" t="s">
        <v>3925</v>
      </c>
      <c r="E1656" s="3" t="str">
        <f>HYPERLINK("https://www.amazon.com/MOROCCO-Unrefined-Available-Essential-Moisturizer/dp/B077TS8QM8/ref=sr_1_9?keywords=100%25+Pure+Argan+Oil&amp;qid=1695259189&amp;sr=8-9", "https://www.amazon.com/MOROCCO-Unrefined-Available-Essential-Moisturizer/dp/B077TS8QM8/ref=sr_1_9?keywords=100%25+Pure+Argan+Oil&amp;qid=1695259189&amp;sr=8-9")</f>
        <v>https://www.amazon.com/MOROCCO-Unrefined-Available-Essential-Moisturizer/dp/B077TS8QM8/ref=sr_1_9?keywords=100%25+Pure+Argan+Oil&amp;qid=1695259189&amp;sr=8-9</v>
      </c>
      <c r="F1656" t="s">
        <v>3926</v>
      </c>
      <c r="G1656" t="e">
        <f ca="1">IMAGE("https://professionalsolutions.net/cdn/shop/products/100percent-pure-argan-oil_png.png?v=1527644622")</f>
        <v>#NAME?</v>
      </c>
      <c r="H1656" t="e">
        <f ca="1">IMAGE("https://m.media-amazon.com/images/I/51B6zvpeDvL._AC_UL320_.jpg")</f>
        <v>#NAME?</v>
      </c>
      <c r="I1656" t="s">
        <v>3896</v>
      </c>
      <c r="J1656">
        <v>41.84</v>
      </c>
      <c r="K1656" s="2" t="s">
        <v>3927</v>
      </c>
      <c r="L1656">
        <v>4.7</v>
      </c>
      <c r="M1656">
        <v>527</v>
      </c>
      <c r="O1656" t="s">
        <v>26</v>
      </c>
      <c r="P1656" t="s">
        <v>39</v>
      </c>
      <c r="Q1656" t="s">
        <v>3928</v>
      </c>
    </row>
    <row r="1657" spans="1:17" ht="15.75" x14ac:dyDescent="0.25">
      <c r="A1657" s="3" t="str">
        <f>HYPERLINK("https://professionalsolutions.net/products/professional-skin-care-bio-placenta-rejuvenating-serum", "https://professionalsolutions.net/products/professional-skin-care-bio-placenta-rejuvenating-serum")</f>
        <v>https://professionalsolutions.net/products/professional-skin-care-bio-placenta-rejuvenating-serum</v>
      </c>
      <c r="B1657" s="3" t="str">
        <f>HYPERLINK("https://professionalsolutions.net/products/professional-skin-care-bio-placenta-rejuvenating-serum", "https://professionalsolutions.net/products/professional-skin-care-bio-placenta-rejuvenating-serum")</f>
        <v>https://professionalsolutions.net/products/professional-skin-care-bio-placenta-rejuvenating-serum</v>
      </c>
      <c r="C1657" t="s">
        <v>3929</v>
      </c>
      <c r="D1657" t="s">
        <v>3930</v>
      </c>
      <c r="E1657" s="3" t="str">
        <f>HYPERLINK("https://www.amazon.com/Growth-Factor-Serum-Face-Niacinamide/dp/B0BM8VN9J5/ref=sr_1_8?keywords=Bio-Peptide+Growth+Factor+Serum&amp;qid=1695259182&amp;sr=8-8", "https://www.amazon.com/Growth-Factor-Serum-Face-Niacinamide/dp/B0BM8VN9J5/ref=sr_1_8?keywords=Bio-Peptide+Growth+Factor+Serum&amp;qid=1695259182&amp;sr=8-8")</f>
        <v>https://www.amazon.com/Growth-Factor-Serum-Face-Niacinamide/dp/B0BM8VN9J5/ref=sr_1_8?keywords=Bio-Peptide+Growth+Factor+Serum&amp;qid=1695259182&amp;sr=8-8</v>
      </c>
      <c r="F1657" t="s">
        <v>3931</v>
      </c>
      <c r="G1657" t="e">
        <f ca="1">IMAGE("https://professionalsolutions.net/cdn/shop/products/bio-peptide-growth-factor-serum.png?v=1527864409")</f>
        <v>#NAME?</v>
      </c>
      <c r="H1657" t="e">
        <f ca="1">IMAGE("https://m.media-amazon.com/images/I/61XzhKrODrL._AC_UL320_.jpg")</f>
        <v>#NAME?</v>
      </c>
      <c r="I1657" t="s">
        <v>3932</v>
      </c>
      <c r="J1657">
        <v>84.99</v>
      </c>
      <c r="K1657" s="2" t="s">
        <v>3933</v>
      </c>
      <c r="L1657">
        <v>4.3</v>
      </c>
      <c r="M1657">
        <v>28</v>
      </c>
      <c r="O1657" t="s">
        <v>26</v>
      </c>
      <c r="P1657" t="s">
        <v>39</v>
      </c>
      <c r="Q1657" t="s">
        <v>3934</v>
      </c>
    </row>
    <row r="1658" spans="1:17" ht="15.75" x14ac:dyDescent="0.25">
      <c r="A1658"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B1658"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C1658" t="s">
        <v>3916</v>
      </c>
      <c r="D1658" t="s">
        <v>3935</v>
      </c>
      <c r="E1658" s="3" t="str">
        <f>HYPERLINK("https://www.amazon.com/Works-Firming-Neck-Treatment-Cream/dp/B083C2YPVJ/ref=sr_1_1?keywords=Neck-Cessity+Neck+Firming+Cream&amp;qid=1695259188&amp;sr=8-1", "https://www.amazon.com/Works-Firming-Neck-Treatment-Cream/dp/B083C2YPVJ/ref=sr_1_1?keywords=Neck-Cessity+Neck+Firming+Cream&amp;qid=1695259188&amp;sr=8-1")</f>
        <v>https://www.amazon.com/Works-Firming-Neck-Treatment-Cream/dp/B083C2YPVJ/ref=sr_1_1?keywords=Neck-Cessity+Neck+Firming+Cream&amp;qid=1695259188&amp;sr=8-1</v>
      </c>
      <c r="F1658" t="s">
        <v>3936</v>
      </c>
      <c r="G1658" t="e">
        <f ca="1">IMAGE("https://professionalsolutions.net/cdn/shop/products/neck-cessity-neck-firming-cream.png?v=1529810520")</f>
        <v>#NAME?</v>
      </c>
      <c r="H1658" t="e">
        <f ca="1">IMAGE("https://m.media-amazon.com/images/I/51Ar47HdlxL._AC_UL320_.jpg")</f>
        <v>#NAME?</v>
      </c>
      <c r="I1658" t="s">
        <v>2468</v>
      </c>
      <c r="J1658">
        <v>50</v>
      </c>
      <c r="K1658" s="2" t="s">
        <v>3937</v>
      </c>
      <c r="L1658">
        <v>4.2</v>
      </c>
      <c r="M1658">
        <v>28</v>
      </c>
      <c r="O1658" t="s">
        <v>26</v>
      </c>
      <c r="P1658" t="s">
        <v>39</v>
      </c>
      <c r="Q1658" t="s">
        <v>3920</v>
      </c>
    </row>
    <row r="1659" spans="1:17" ht="15.75" x14ac:dyDescent="0.25">
      <c r="A1659" s="3" t="str">
        <f>HYPERLINK("https://professionalsolutions.net/products/weightless-moisturizer-spf-25", "https://professionalsolutions.net/products/weightless-moisturizer-spf-25")</f>
        <v>https://professionalsolutions.net/products/weightless-moisturizer-spf-25</v>
      </c>
      <c r="B1659" s="3" t="str">
        <f>HYPERLINK("https://professionalsolutions.net/products/weightless-moisturizer-spf-25", "https://professionalsolutions.net/products/weightless-moisturizer-spf-25")</f>
        <v>https://professionalsolutions.net/products/weightless-moisturizer-spf-25</v>
      </c>
      <c r="C1659" t="s">
        <v>3887</v>
      </c>
      <c r="D1659" t="s">
        <v>3938</v>
      </c>
      <c r="E1659" s="3" t="str">
        <f>HYPERLINK("https://www.amazon.com/Neutrogena-Moisturizer-Sunscreen-Corrector-Glycerin/dp/B00HNSSPHC/ref=sr_1_3?keywords=Weightless+Moisturizer+SPF+25&amp;qid=1695259182&amp;sr=8-3", "https://www.amazon.com/Neutrogena-Moisturizer-Sunscreen-Corrector-Glycerin/dp/B00HNSSPHC/ref=sr_1_3?keywords=Weightless+Moisturizer+SPF+25&amp;qid=1695259182&amp;sr=8-3")</f>
        <v>https://www.amazon.com/Neutrogena-Moisturizer-Sunscreen-Corrector-Glycerin/dp/B00HNSSPHC/ref=sr_1_3?keywords=Weightless+Moisturizer+SPF+25&amp;qid=1695259182&amp;sr=8-3</v>
      </c>
      <c r="F1659" t="s">
        <v>3939</v>
      </c>
      <c r="G1659" t="e">
        <f ca="1">IMAGE("https://professionalsolutions.net/cdn/shop/products/weightless-moisturizer-spf-25.png?v=1580232361")</f>
        <v>#NAME?</v>
      </c>
      <c r="H1659" t="e">
        <f ca="1">IMAGE("https://m.media-amazon.com/images/I/61b-QbDup7L._AC_UL320_.jpg")</f>
        <v>#NAME?</v>
      </c>
      <c r="I1659" t="s">
        <v>3890</v>
      </c>
      <c r="J1659">
        <v>19.96</v>
      </c>
      <c r="K1659" s="2" t="s">
        <v>3940</v>
      </c>
      <c r="L1659">
        <v>4.5</v>
      </c>
      <c r="M1659">
        <v>13814</v>
      </c>
      <c r="O1659" t="s">
        <v>26</v>
      </c>
      <c r="P1659" t="s">
        <v>39</v>
      </c>
      <c r="Q1659" t="s">
        <v>3892</v>
      </c>
    </row>
    <row r="1660" spans="1:17" ht="15.75" x14ac:dyDescent="0.25">
      <c r="A1660"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B1660"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C1660" t="s">
        <v>3941</v>
      </c>
      <c r="D1660" t="s">
        <v>3942</v>
      </c>
      <c r="E1660" s="3" t="str">
        <f>HYPERLINK("https://www.amazon.com/100-PURE-Moisturizer-Hyaluronic-Suppleness/dp/B09KX53LWN/ref=sr_1_2?keywords=100%25+Pure+Hyaluronic+Moisturizer&amp;qid=1695259193&amp;sr=8-2", "https://www.amazon.com/100-PURE-Moisturizer-Hyaluronic-Suppleness/dp/B09KX53LWN/ref=sr_1_2?keywords=100%25+Pure+Hyaluronic+Moisturizer&amp;qid=1695259193&amp;sr=8-2")</f>
        <v>https://www.amazon.com/100-PURE-Moisturizer-Hyaluronic-Suppleness/dp/B09KX53LWN/ref=sr_1_2?keywords=100%25+Pure+Hyaluronic+Moisturizer&amp;qid=1695259193&amp;sr=8-2</v>
      </c>
      <c r="F1660" t="s">
        <v>3943</v>
      </c>
      <c r="G1660" t="e">
        <f ca="1">IMAGE("https://professionalsolutions.net/cdn/shop/products/100-percent-pure-hyaluronic-moisturizer.png?v=1526506313")</f>
        <v>#NAME?</v>
      </c>
      <c r="H1660" t="e">
        <f ca="1">IMAGE("https://m.media-amazon.com/images/I/51Da4bRfpHL._AC_UL320_.jpg")</f>
        <v>#NAME?</v>
      </c>
      <c r="I1660" t="s">
        <v>3944</v>
      </c>
      <c r="J1660">
        <v>48</v>
      </c>
      <c r="K1660" s="2" t="s">
        <v>3945</v>
      </c>
      <c r="L1660">
        <v>3.8</v>
      </c>
      <c r="M1660">
        <v>31</v>
      </c>
      <c r="O1660" t="s">
        <v>26</v>
      </c>
      <c r="P1660" t="s">
        <v>39</v>
      </c>
      <c r="Q1660" t="s">
        <v>3946</v>
      </c>
    </row>
    <row r="1661" spans="1:17" ht="15.75" x14ac:dyDescent="0.25">
      <c r="A1661"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B1661"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C1661" t="s">
        <v>3941</v>
      </c>
      <c r="D1661" t="s">
        <v>3947</v>
      </c>
      <c r="E1661" s="3" t="str">
        <f>HYPERLINK("https://www.amazon.com/100-PURE-Moisturizer-Hyaluronic-Natural/dp/B076CW7NX2/ref=sr_1_1?keywords=100%25+Pure+Hyaluronic+Moisturizer&amp;qid=1695259193&amp;sr=8-1", "https://www.amazon.com/100-PURE-Moisturizer-Hyaluronic-Natural/dp/B076CW7NX2/ref=sr_1_1?keywords=100%25+Pure+Hyaluronic+Moisturizer&amp;qid=1695259193&amp;sr=8-1")</f>
        <v>https://www.amazon.com/100-PURE-Moisturizer-Hyaluronic-Natural/dp/B076CW7NX2/ref=sr_1_1?keywords=100%25+Pure+Hyaluronic+Moisturizer&amp;qid=1695259193&amp;sr=8-1</v>
      </c>
      <c r="F1661" t="s">
        <v>3948</v>
      </c>
      <c r="G1661" t="e">
        <f ca="1">IMAGE("https://professionalsolutions.net/cdn/shop/products/100-percent-pure-hyaluronic-moisturizer.png?v=1526506313")</f>
        <v>#NAME?</v>
      </c>
      <c r="H1661" t="e">
        <f ca="1">IMAGE("https://m.media-amazon.com/images/I/71ycADKLROL._AC_UL320_.jpg")</f>
        <v>#NAME?</v>
      </c>
      <c r="I1661" t="s">
        <v>3944</v>
      </c>
      <c r="J1661">
        <v>48</v>
      </c>
      <c r="K1661" s="2" t="s">
        <v>3945</v>
      </c>
      <c r="L1661">
        <v>4.5999999999999996</v>
      </c>
      <c r="M1661">
        <v>30</v>
      </c>
      <c r="O1661" t="s">
        <v>26</v>
      </c>
      <c r="P1661" t="s">
        <v>39</v>
      </c>
      <c r="Q1661" t="s">
        <v>3946</v>
      </c>
    </row>
    <row r="1662" spans="1:17" ht="15.75" x14ac:dyDescent="0.25">
      <c r="A1662" s="3" t="str">
        <f>HYPERLINK("https://professionalsolutions.net/products/professional-skin-care-100-pure-argan-oil", "https://professionalsolutions.net/products/professional-skin-care-100-pure-argan-oil")</f>
        <v>https://professionalsolutions.net/products/professional-skin-care-100-pure-argan-oil</v>
      </c>
      <c r="B1662" s="3" t="str">
        <f>HYPERLINK("https://professionalsolutions.net/products/professional-skin-care-100-pure-argan-oil", "https://professionalsolutions.net/products/professional-skin-care-100-pure-argan-oil")</f>
        <v>https://professionalsolutions.net/products/professional-skin-care-100-pure-argan-oil</v>
      </c>
      <c r="C1662" t="s">
        <v>3924</v>
      </c>
      <c r="D1662" t="s">
        <v>3949</v>
      </c>
      <c r="E1662" s="3" t="str">
        <f>HYPERLINK("https://www.amazon.com/100-PURE-Cold-Pressed-Moisturizer-Detangler/dp/B008QA6YOC/ref=sr_1_5?keywords=100%25+Pure+Argan+Oil&amp;qid=1695259189&amp;sr=8-5", "https://www.amazon.com/100-PURE-Cold-Pressed-Moisturizer-Detangler/dp/B008QA6YOC/ref=sr_1_5?keywords=100%25+Pure+Argan+Oil&amp;qid=1695259189&amp;sr=8-5")</f>
        <v>https://www.amazon.com/100-PURE-Cold-Pressed-Moisturizer-Detangler/dp/B008QA6YOC/ref=sr_1_5?keywords=100%25+Pure+Argan+Oil&amp;qid=1695259189&amp;sr=8-5</v>
      </c>
      <c r="F1662" t="s">
        <v>3950</v>
      </c>
      <c r="G1662" t="e">
        <f ca="1">IMAGE("https://professionalsolutions.net/cdn/shop/products/100percent-pure-argan-oil_png.png?v=1527644622")</f>
        <v>#NAME?</v>
      </c>
      <c r="H1662" t="e">
        <f ca="1">IMAGE("https://m.media-amazon.com/images/I/71OJJmM7LBL._AC_UL320_.jpg")</f>
        <v>#NAME?</v>
      </c>
      <c r="I1662" t="s">
        <v>3896</v>
      </c>
      <c r="J1662">
        <v>34</v>
      </c>
      <c r="K1662" s="2" t="s">
        <v>3951</v>
      </c>
      <c r="L1662">
        <v>4.3</v>
      </c>
      <c r="M1662">
        <v>10</v>
      </c>
      <c r="O1662" t="s">
        <v>26</v>
      </c>
      <c r="P1662" t="s">
        <v>39</v>
      </c>
      <c r="Q1662" t="s">
        <v>3928</v>
      </c>
    </row>
    <row r="1663" spans="1:17" ht="15.75" x14ac:dyDescent="0.25">
      <c r="A1663" s="3" t="str">
        <f>HYPERLINK("https://professionalsolutions.net/products/professional-skin-care-cucumber-eye-cream", "https://professionalsolutions.net/products/professional-skin-care-cucumber-eye-cream")</f>
        <v>https://professionalsolutions.net/products/professional-skin-care-cucumber-eye-cream</v>
      </c>
      <c r="B1663" s="3" t="str">
        <f>HYPERLINK("https://professionalsolutions.net/products/professional-skin-care-cucumber-eye-cream", "https://professionalsolutions.net/products/professional-skin-care-cucumber-eye-cream")</f>
        <v>https://professionalsolutions.net/products/professional-skin-care-cucumber-eye-cream</v>
      </c>
      <c r="C1663" t="s">
        <v>3899</v>
      </c>
      <c r="D1663" t="s">
        <v>3952</v>
      </c>
      <c r="E1663" s="3" t="str">
        <f>HYPERLINK("https://www.amazon.com/Natural-Anti-Aging-Treatment-Circles-Wrinkles/dp/B0796YJ9ZP/ref=sr_1_4?keywords=Cucumber+Eye+Cream&amp;qid=1695259182&amp;sr=8-4", "https://www.amazon.com/Natural-Anti-Aging-Treatment-Circles-Wrinkles/dp/B0796YJ9ZP/ref=sr_1_4?keywords=Cucumber+Eye+Cream&amp;qid=1695259182&amp;sr=8-4")</f>
        <v>https://www.amazon.com/Natural-Anti-Aging-Treatment-Circles-Wrinkles/dp/B0796YJ9ZP/ref=sr_1_4?keywords=Cucumber+Eye+Cream&amp;qid=1695259182&amp;sr=8-4</v>
      </c>
      <c r="F1663" t="s">
        <v>3953</v>
      </c>
      <c r="G1663" t="e">
        <f ca="1">IMAGE("https://professionalsolutions.net/cdn/shop/products/cucumber-eye-cream.png?v=1526497045")</f>
        <v>#NAME?</v>
      </c>
      <c r="H1663" t="e">
        <f ca="1">IMAGE("https://m.media-amazon.com/images/I/71blSHZp0EL._AC_UL320_.jpg")</f>
        <v>#NAME?</v>
      </c>
      <c r="I1663" t="s">
        <v>3319</v>
      </c>
      <c r="J1663">
        <v>21.97</v>
      </c>
      <c r="K1663" s="2" t="s">
        <v>3954</v>
      </c>
      <c r="L1663">
        <v>3.9</v>
      </c>
      <c r="M1663">
        <v>546</v>
      </c>
      <c r="O1663" t="s">
        <v>26</v>
      </c>
      <c r="P1663" t="s">
        <v>39</v>
      </c>
      <c r="Q1663" t="s">
        <v>3903</v>
      </c>
    </row>
    <row r="1664" spans="1:17" ht="15.75" x14ac:dyDescent="0.25">
      <c r="A1664" s="3" t="str">
        <f>HYPERLINK("https://professionalsolutions.net/products/professional-skin-care-vitamin-c-serum-12percent", "https://professionalsolutions.net/products/professional-skin-care-vitamin-c-serum-12percent")</f>
        <v>https://professionalsolutions.net/products/professional-skin-care-vitamin-c-serum-12percent</v>
      </c>
      <c r="B1664" s="3" t="str">
        <f>HYPERLINK("https://professionalsolutions.net/products/professional-skin-care-vitamin-c-serum-12percent", "https://professionalsolutions.net/products/professional-skin-care-vitamin-c-serum-12percent")</f>
        <v>https://professionalsolutions.net/products/professional-skin-care-vitamin-c-serum-12percent</v>
      </c>
      <c r="C1664" t="s">
        <v>3906</v>
      </c>
      <c r="D1664" t="s">
        <v>3955</v>
      </c>
      <c r="E1664" s="3" t="str">
        <f>HYPERLINK("https://www.amazon.com/Paris-Revitalift-Vitamin-Hyaluronic-Moisturizer/dp/B0C3H5L532/ref=sr_1_3?keywords=Vitamin+C+Serum+12%25&amp;qid=1695259182&amp;sr=8-3", "https://www.amazon.com/Paris-Revitalift-Vitamin-Hyaluronic-Moisturizer/dp/B0C3H5L532/ref=sr_1_3?keywords=Vitamin+C+Serum+12%25&amp;qid=1695259182&amp;sr=8-3")</f>
        <v>https://www.amazon.com/Paris-Revitalift-Vitamin-Hyaluronic-Moisturizer/dp/B0C3H5L532/ref=sr_1_3?keywords=Vitamin+C+Serum+12%25&amp;qid=1695259182&amp;sr=8-3</v>
      </c>
      <c r="F1664" t="s">
        <v>3956</v>
      </c>
      <c r="G1664" t="e">
        <f ca="1">IMAGE("https://professionalsolutions.net/cdn/shop/products/vitamin-c-plus-serum-12-percent.png?v=1526498556")</f>
        <v>#NAME?</v>
      </c>
      <c r="H1664" t="e">
        <f ca="1">IMAGE("https://m.media-amazon.com/images/I/71ZtHjj2ZWL._AC_UL320_.jpg")</f>
        <v>#NAME?</v>
      </c>
      <c r="I1664" t="s">
        <v>3909</v>
      </c>
      <c r="J1664">
        <v>47.59</v>
      </c>
      <c r="K1664" s="2" t="s">
        <v>3957</v>
      </c>
      <c r="L1664">
        <v>4.5</v>
      </c>
      <c r="M1664">
        <v>44440</v>
      </c>
      <c r="O1664" t="s">
        <v>26</v>
      </c>
      <c r="P1664" t="s">
        <v>39</v>
      </c>
      <c r="Q1664" t="s">
        <v>3911</v>
      </c>
    </row>
    <row r="1665" spans="1:17" ht="15.75" x14ac:dyDescent="0.25">
      <c r="A1665"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B1665"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C1665" t="s">
        <v>3941</v>
      </c>
      <c r="D1665" t="s">
        <v>3958</v>
      </c>
      <c r="E1665" s="3" t="str">
        <f>HYPERLINK("https://www.amazon.com/Original-Hyaluronic-Acid-Serum-Refill/dp/B0047AKVW6/ref=sr_1_4?keywords=100%25+Pure+Hyaluronic+Moisturizer&amp;qid=1695259193&amp;sr=8-4", "https://www.amazon.com/Original-Hyaluronic-Acid-Serum-Refill/dp/B0047AKVW6/ref=sr_1_4?keywords=100%25+Pure+Hyaluronic+Moisturizer&amp;qid=1695259193&amp;sr=8-4")</f>
        <v>https://www.amazon.com/Original-Hyaluronic-Acid-Serum-Refill/dp/B0047AKVW6/ref=sr_1_4?keywords=100%25+Pure+Hyaluronic+Moisturizer&amp;qid=1695259193&amp;sr=8-4</v>
      </c>
      <c r="F1665" t="s">
        <v>3959</v>
      </c>
      <c r="G1665" t="e">
        <f ca="1">IMAGE("https://professionalsolutions.net/cdn/shop/products/100-percent-pure-hyaluronic-moisturizer.png?v=1526506313")</f>
        <v>#NAME?</v>
      </c>
      <c r="H1665" t="e">
        <f ca="1">IMAGE("https://m.media-amazon.com/images/I/51IVjXDjffL._AC_UL320_.jpg")</f>
        <v>#NAME?</v>
      </c>
      <c r="I1665" t="s">
        <v>3944</v>
      </c>
      <c r="J1665">
        <v>44.95</v>
      </c>
      <c r="K1665" s="2" t="s">
        <v>3960</v>
      </c>
      <c r="L1665">
        <v>4.5</v>
      </c>
      <c r="M1665">
        <v>5330</v>
      </c>
      <c r="O1665" t="s">
        <v>26</v>
      </c>
      <c r="P1665" t="s">
        <v>39</v>
      </c>
      <c r="Q1665" t="s">
        <v>3946</v>
      </c>
    </row>
    <row r="1666" spans="1:17" ht="15.75" x14ac:dyDescent="0.25">
      <c r="A1666" s="3" t="str">
        <f>HYPERLINK("https://professionalsolutions.net/products/weightless-moisturizer-spf-25", "https://professionalsolutions.net/products/weightless-moisturizer-spf-25")</f>
        <v>https://professionalsolutions.net/products/weightless-moisturizer-spf-25</v>
      </c>
      <c r="B1666" s="3" t="str">
        <f>HYPERLINK("https://professionalsolutions.net/products/weightless-moisturizer-spf-25", "https://professionalsolutions.net/products/weightless-moisturizer-spf-25")</f>
        <v>https://professionalsolutions.net/products/weightless-moisturizer-spf-25</v>
      </c>
      <c r="C1666" t="s">
        <v>3887</v>
      </c>
      <c r="D1666" t="s">
        <v>3961</v>
      </c>
      <c r="E1666" s="3" t="str">
        <f>HYPERLINK("https://www.amazon.com/DML-Facial-Moisturizer-SPF-1-5/dp/B000052YN5/ref=sr_1_7?keywords=Weightless+Moisturizer+SPF+25&amp;qid=1695259182&amp;sr=8-7", "https://www.amazon.com/DML-Facial-Moisturizer-SPF-1-5/dp/B000052YN5/ref=sr_1_7?keywords=Weightless+Moisturizer+SPF+25&amp;qid=1695259182&amp;sr=8-7")</f>
        <v>https://www.amazon.com/DML-Facial-Moisturizer-SPF-1-5/dp/B000052YN5/ref=sr_1_7?keywords=Weightless+Moisturizer+SPF+25&amp;qid=1695259182&amp;sr=8-7</v>
      </c>
      <c r="F1666" t="s">
        <v>3962</v>
      </c>
      <c r="G1666" t="e">
        <f ca="1">IMAGE("https://professionalsolutions.net/cdn/shop/products/weightless-moisturizer-spf-25.png?v=1580232361")</f>
        <v>#NAME?</v>
      </c>
      <c r="H1666" t="e">
        <f ca="1">IMAGE("https://m.media-amazon.com/images/I/41mvA3rS9GL._AC_UL320_.jpg")</f>
        <v>#NAME?</v>
      </c>
      <c r="I1666" t="s">
        <v>3890</v>
      </c>
      <c r="J1666">
        <v>16.079999999999998</v>
      </c>
      <c r="K1666" s="2" t="s">
        <v>3963</v>
      </c>
      <c r="L1666">
        <v>4.7</v>
      </c>
      <c r="M1666">
        <v>560</v>
      </c>
      <c r="O1666" t="s">
        <v>26</v>
      </c>
      <c r="P1666" t="s">
        <v>39</v>
      </c>
      <c r="Q1666" t="s">
        <v>3892</v>
      </c>
    </row>
    <row r="1667" spans="1:17" ht="15.75" x14ac:dyDescent="0.25">
      <c r="A1667" s="3" t="str">
        <f>HYPERLINK("https://professionalsolutions.net/products/professional-skin-care-vitamin-b-c-e-and-ferulic", "https://professionalsolutions.net/products/professional-skin-care-vitamin-b-c-e-and-ferulic")</f>
        <v>https://professionalsolutions.net/products/professional-skin-care-vitamin-b-c-e-and-ferulic</v>
      </c>
      <c r="B1667" s="3" t="str">
        <f>HYPERLINK("https://professionalsolutions.net/products/professional-skin-care-vitamin-b-c-e-and-ferulic", "https://professionalsolutions.net/products/professional-skin-care-vitamin-b-c-e-and-ferulic")</f>
        <v>https://professionalsolutions.net/products/professional-skin-care-vitamin-b-c-e-and-ferulic</v>
      </c>
      <c r="C1667" t="s">
        <v>3964</v>
      </c>
      <c r="D1667" t="s">
        <v>3965</v>
      </c>
      <c r="E1667" s="3" t="str">
        <f>HYPERLINK("https://www.amazon.com/BioBare-Vitamin-Ferulic-Serum-L-Ascorbic/dp/B07KV5FWXQ/ref=sr_1_1?keywords=Vitamin+C%2CB%2CE+%26+Ferulic&amp;qid=1695259203&amp;sr=8-1", "https://www.amazon.com/BioBare-Vitamin-Ferulic-Serum-L-Ascorbic/dp/B07KV5FWXQ/ref=sr_1_1?keywords=Vitamin+C%2CB%2CE+%26+Ferulic&amp;qid=1695259203&amp;sr=8-1")</f>
        <v>https://www.amazon.com/BioBare-Vitamin-Ferulic-Serum-L-Ascorbic/dp/B07KV5FWXQ/ref=sr_1_1?keywords=Vitamin+C%2CB%2CE+%26+Ferulic&amp;qid=1695259203&amp;sr=8-1</v>
      </c>
      <c r="F1667" t="s">
        <v>3966</v>
      </c>
      <c r="G1667" t="e">
        <f ca="1">IMAGE("https://professionalsolutions.net/cdn/shop/products/vitamin-c-b-e-and-ferulic.png?v=1526498522")</f>
        <v>#NAME?</v>
      </c>
      <c r="H1667" t="e">
        <f ca="1">IMAGE("https://m.media-amazon.com/images/I/61hK42HRLJL._AC_UL320_.jpg")</f>
        <v>#NAME?</v>
      </c>
      <c r="I1667" t="s">
        <v>2994</v>
      </c>
      <c r="J1667">
        <v>49</v>
      </c>
      <c r="K1667" s="2" t="s">
        <v>3967</v>
      </c>
      <c r="L1667">
        <v>4.3</v>
      </c>
      <c r="M1667">
        <v>940</v>
      </c>
      <c r="O1667" t="s">
        <v>26</v>
      </c>
      <c r="P1667" t="s">
        <v>39</v>
      </c>
      <c r="Q1667" t="s">
        <v>3968</v>
      </c>
    </row>
    <row r="1668" spans="1:17" ht="15.75" x14ac:dyDescent="0.25">
      <c r="A1668" s="3" t="str">
        <f>HYPERLINK("https://professionalsolutions.net/products/professional-skin-care-multi-peptide-serum", "https://professionalsolutions.net/products/professional-skin-care-multi-peptide-serum")</f>
        <v>https://professionalsolutions.net/products/professional-skin-care-multi-peptide-serum</v>
      </c>
      <c r="B1668" s="3" t="str">
        <f>HYPERLINK("https://professionalsolutions.net/products/professional-skin-care-multi-peptide-serum", "https://professionalsolutions.net/products/professional-skin-care-multi-peptide-serum")</f>
        <v>https://professionalsolutions.net/products/professional-skin-care-multi-peptide-serum</v>
      </c>
      <c r="C1668" t="s">
        <v>3969</v>
      </c>
      <c r="D1668" t="s">
        <v>2997</v>
      </c>
      <c r="E1668" s="3" t="str">
        <f>HYPERLINK("https://www.amazon.com/Paulas-Choice-Pro-Collagen-Multi-Peptide-Fragrance-Free/dp/B0BV3F1X4H/ref=sr_1_8?keywords=Multi+Peptide+Serum&amp;qid=1695259184&amp;sr=8-8", "https://www.amazon.com/Paulas-Choice-Pro-Collagen-Multi-Peptide-Fragrance-Free/dp/B0BV3F1X4H/ref=sr_1_8?keywords=Multi+Peptide+Serum&amp;qid=1695259184&amp;sr=8-8")</f>
        <v>https://www.amazon.com/Paulas-Choice-Pro-Collagen-Multi-Peptide-Fragrance-Free/dp/B0BV3F1X4H/ref=sr_1_8?keywords=Multi+Peptide+Serum&amp;qid=1695259184&amp;sr=8-8</v>
      </c>
      <c r="F1668" t="s">
        <v>2998</v>
      </c>
      <c r="G1668" t="e">
        <f ca="1">IMAGE("https://professionalsolutions.net/cdn/shop/products/multi-peptide-serum.png?v=1626995119")</f>
        <v>#NAME?</v>
      </c>
      <c r="H1668" t="e">
        <f ca="1">IMAGE("https://m.media-amazon.com/images/I/61Kn3VXmEHL._AC_UL320_.jpg")</f>
        <v>#NAME?</v>
      </c>
      <c r="I1668" t="s">
        <v>3932</v>
      </c>
      <c r="J1668">
        <v>58</v>
      </c>
      <c r="K1668" s="2" t="s">
        <v>3970</v>
      </c>
      <c r="L1668">
        <v>4.4000000000000004</v>
      </c>
      <c r="M1668">
        <v>95</v>
      </c>
      <c r="O1668" t="s">
        <v>26</v>
      </c>
      <c r="P1668" t="s">
        <v>39</v>
      </c>
      <c r="Q1668" t="s">
        <v>3971</v>
      </c>
    </row>
    <row r="1669" spans="1:17" ht="15.75" x14ac:dyDescent="0.25">
      <c r="A1669" s="3" t="str">
        <f>HYPERLINK("https://professionalsolutions.net/products/bright-beauty-peeling-pads", "https://professionalsolutions.net/products/bright-beauty-peeling-pads")</f>
        <v>https://professionalsolutions.net/products/bright-beauty-peeling-pads</v>
      </c>
      <c r="B1669" s="3" t="str">
        <f>HYPERLINK("https://professionalsolutions.net/products/bright-beauty-peeling-pads", "https://professionalsolutions.net/products/bright-beauty-peeling-pads")</f>
        <v>https://professionalsolutions.net/products/bright-beauty-peeling-pads</v>
      </c>
      <c r="C1669" t="s">
        <v>3893</v>
      </c>
      <c r="D1669" t="s">
        <v>3972</v>
      </c>
      <c r="E1669" s="3" t="str">
        <f>HYPERLINK("https://www.amazon.com/Neogen-Bio-Peel-Gauze-Peeling-Lemon/dp/B019RULW50/ref=sr_1_2?keywords=Bright+Beauty+Peeling+Pads&amp;qid=1695259183&amp;sr=8-2", "https://www.amazon.com/Neogen-Bio-Peel-Gauze-Peeling-Lemon/dp/B019RULW50/ref=sr_1_2?keywords=Bright+Beauty+Peeling+Pads&amp;qid=1695259183&amp;sr=8-2")</f>
        <v>https://www.amazon.com/Neogen-Bio-Peel-Gauze-Peeling-Lemon/dp/B019RULW50/ref=sr_1_2?keywords=Bright+Beauty+Peeling+Pads&amp;qid=1695259183&amp;sr=8-2</v>
      </c>
      <c r="F1669" t="s">
        <v>3973</v>
      </c>
      <c r="G1669" t="e">
        <f ca="1">IMAGE("https://professionalsolutions.net/cdn/shop/products/bright-beauty-peeling-pads.png?v=1580232089")</f>
        <v>#NAME?</v>
      </c>
      <c r="H1669" t="e">
        <f ca="1">IMAGE("https://m.media-amazon.com/images/I/71lB0qYr0EL._AC_UL320_.jpg")</f>
        <v>#NAME?</v>
      </c>
      <c r="I1669" t="s">
        <v>3896</v>
      </c>
      <c r="J1669">
        <v>27</v>
      </c>
      <c r="K1669" s="2" t="s">
        <v>3974</v>
      </c>
      <c r="L1669">
        <v>4.5999999999999996</v>
      </c>
      <c r="M1669">
        <v>5929</v>
      </c>
      <c r="O1669" t="s">
        <v>26</v>
      </c>
      <c r="P1669" t="s">
        <v>39</v>
      </c>
      <c r="Q1669" t="s">
        <v>3898</v>
      </c>
    </row>
    <row r="1670" spans="1:17" ht="15.75" x14ac:dyDescent="0.25">
      <c r="A1670" s="3" t="str">
        <f>HYPERLINK("https://professionalsolutions.net/products/professional-skin-care-triple-action-vitamin-c", "https://professionalsolutions.net/products/professional-skin-care-triple-action-vitamin-c")</f>
        <v>https://professionalsolutions.net/products/professional-skin-care-triple-action-vitamin-c</v>
      </c>
      <c r="B1670" s="3" t="str">
        <f>HYPERLINK("https://professionalsolutions.net/products/professional-skin-care-triple-action-vitamin-c", "https://professionalsolutions.net/products/professional-skin-care-triple-action-vitamin-c")</f>
        <v>https://professionalsolutions.net/products/professional-skin-care-triple-action-vitamin-c</v>
      </c>
      <c r="C1670" t="s">
        <v>3975</v>
      </c>
      <c r="D1670" t="s">
        <v>3976</v>
      </c>
      <c r="E1670" s="3" t="str">
        <f>HYPERLINK("https://www.amazon.com/nutrazul-Immune-Triple-Effervescent-Tablets/dp/B0BLT4RD8P/ref=sr_1_3?keywords=Triple+Action+Vitamin+C&amp;qid=1695259190&amp;sr=8-3", "https://www.amazon.com/nutrazul-Immune-Triple-Effervescent-Tablets/dp/B0BLT4RD8P/ref=sr_1_3?keywords=Triple+Action+Vitamin+C&amp;qid=1695259190&amp;sr=8-3")</f>
        <v>https://www.amazon.com/nutrazul-Immune-Triple-Effervescent-Tablets/dp/B0BLT4RD8P/ref=sr_1_3?keywords=Triple+Action+Vitamin+C&amp;qid=1695259190&amp;sr=8-3</v>
      </c>
      <c r="F1670" t="s">
        <v>3977</v>
      </c>
      <c r="G1670" t="e">
        <f ca="1">IMAGE("https://professionalsolutions.net/cdn/shop/products/triple-action-vitamin-c.png?v=1527641910")</f>
        <v>#NAME?</v>
      </c>
      <c r="H1670" t="e">
        <f ca="1">IMAGE("https://m.media-amazon.com/images/I/919Qu-UOxqL._AC_UL320_.jpg")</f>
        <v>#NAME?</v>
      </c>
      <c r="I1670" t="s">
        <v>2994</v>
      </c>
      <c r="J1670">
        <v>44.99</v>
      </c>
      <c r="K1670" s="2" t="s">
        <v>3978</v>
      </c>
      <c r="L1670">
        <v>4.5</v>
      </c>
      <c r="M1670">
        <v>19</v>
      </c>
      <c r="O1670" t="s">
        <v>26</v>
      </c>
      <c r="P1670" t="s">
        <v>39</v>
      </c>
      <c r="Q1670" t="s">
        <v>3979</v>
      </c>
    </row>
    <row r="1671" spans="1:17" ht="15.75" x14ac:dyDescent="0.25">
      <c r="A1671" s="3" t="str">
        <f>HYPERLINK("https://professionalsolutions.net/products/professional-skin-care-triple-action-vitamin-c", "https://professionalsolutions.net/products/professional-skin-care-triple-action-vitamin-c")</f>
        <v>https://professionalsolutions.net/products/professional-skin-care-triple-action-vitamin-c</v>
      </c>
      <c r="B1671" s="3" t="str">
        <f>HYPERLINK("https://professionalsolutions.net/products/professional-skin-care-triple-action-vitamin-c", "https://professionalsolutions.net/products/professional-skin-care-triple-action-vitamin-c")</f>
        <v>https://professionalsolutions.net/products/professional-skin-care-triple-action-vitamin-c</v>
      </c>
      <c r="C1671" t="s">
        <v>3975</v>
      </c>
      <c r="D1671" t="s">
        <v>3980</v>
      </c>
      <c r="E1671" s="3" t="str">
        <f>HYPERLINK("https://www.amazon.com/Cosmesis-Triple-Action-Vitamin-Cream/dp/B0BZFDSDCC/ref=sr_1_1?keywords=Triple+Action+Vitamin+C&amp;qid=1695259190&amp;sr=8-1", "https://www.amazon.com/Cosmesis-Triple-Action-Vitamin-Cream/dp/B0BZFDSDCC/ref=sr_1_1?keywords=Triple+Action+Vitamin+C&amp;qid=1695259190&amp;sr=8-1")</f>
        <v>https://www.amazon.com/Cosmesis-Triple-Action-Vitamin-Cream/dp/B0BZFDSDCC/ref=sr_1_1?keywords=Triple+Action+Vitamin+C&amp;qid=1695259190&amp;sr=8-1</v>
      </c>
      <c r="F1671" t="s">
        <v>3981</v>
      </c>
      <c r="G1671" t="e">
        <f ca="1">IMAGE("https://professionalsolutions.net/cdn/shop/products/triple-action-vitamin-c.png?v=1527641910")</f>
        <v>#NAME?</v>
      </c>
      <c r="H1671" t="e">
        <f ca="1">IMAGE("https://m.media-amazon.com/images/I/61x+kCplGUL._AC_UL320_.jpg")</f>
        <v>#NAME?</v>
      </c>
      <c r="I1671" t="s">
        <v>2994</v>
      </c>
      <c r="J1671">
        <v>44.25</v>
      </c>
      <c r="K1671" s="2" t="s">
        <v>3982</v>
      </c>
      <c r="L1671">
        <v>4.0999999999999996</v>
      </c>
      <c r="M1671">
        <v>24</v>
      </c>
      <c r="O1671" t="s">
        <v>26</v>
      </c>
      <c r="P1671" t="s">
        <v>39</v>
      </c>
      <c r="Q1671" t="s">
        <v>3979</v>
      </c>
    </row>
    <row r="1672" spans="1:17" ht="15.75" x14ac:dyDescent="0.25">
      <c r="A1672" s="3" t="str">
        <f>HYPERLINK("https://professionalsolutions.net/products/instant-miracle-repair-serum", "https://professionalsolutions.net/products/instant-miracle-repair-serum")</f>
        <v>https://professionalsolutions.net/products/instant-miracle-repair-serum</v>
      </c>
      <c r="B1672" s="3" t="str">
        <f>HYPERLINK("https://professionalsolutions.net/products/instant-miracle-repair-serum", "https://professionalsolutions.net/products/instant-miracle-repair-serum")</f>
        <v>https://professionalsolutions.net/products/instant-miracle-repair-serum</v>
      </c>
      <c r="C1672" t="s">
        <v>3983</v>
      </c>
      <c r="D1672" t="s">
        <v>3984</v>
      </c>
      <c r="E1672" s="3" t="str">
        <f>HYPERLINK("https://www.amazon.com/Paulas-Choice-Intensive-Wrinkle-Repair-Anti-Aging/dp/B00TU7YIC0/ref=sr_1_3?keywords=Miracle+Wrinkle+Repair+Serum&amp;qid=1695259198&amp;sr=8-3", "https://www.amazon.com/Paulas-Choice-Intensive-Wrinkle-Repair-Anti-Aging/dp/B00TU7YIC0/ref=sr_1_3?keywords=Miracle+Wrinkle+Repair+Serum&amp;qid=1695259198&amp;sr=8-3")</f>
        <v>https://www.amazon.com/Paulas-Choice-Intensive-Wrinkle-Repair-Anti-Aging/dp/B00TU7YIC0/ref=sr_1_3?keywords=Miracle+Wrinkle+Repair+Serum&amp;qid=1695259198&amp;sr=8-3</v>
      </c>
      <c r="F1672" t="s">
        <v>3985</v>
      </c>
      <c r="G1672" t="e">
        <f ca="1">IMAGE("https://professionalsolutions.net/cdn/shop/products/instant-miracle-wrinkle-repair-serum.png?v=1580929149")</f>
        <v>#NAME?</v>
      </c>
      <c r="H1672" t="e">
        <f ca="1">IMAGE("https://m.media-amazon.com/images/I/61rVo4L8SwL._AC_UL320_.jpg")</f>
        <v>#NAME?</v>
      </c>
      <c r="I1672" t="s">
        <v>3986</v>
      </c>
      <c r="J1672">
        <v>45</v>
      </c>
      <c r="K1672" s="2" t="s">
        <v>3987</v>
      </c>
      <c r="L1672">
        <v>4.5999999999999996</v>
      </c>
      <c r="M1672">
        <v>476</v>
      </c>
      <c r="O1672" t="s">
        <v>26</v>
      </c>
      <c r="P1672" t="s">
        <v>39</v>
      </c>
      <c r="Q1672" t="s">
        <v>3988</v>
      </c>
    </row>
    <row r="1673" spans="1:17" ht="15.75" x14ac:dyDescent="0.25">
      <c r="A1673"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B1673"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C1673" t="s">
        <v>3912</v>
      </c>
      <c r="D1673" t="s">
        <v>3989</v>
      </c>
      <c r="E1673" s="3" t="str">
        <f>HYPERLINK("https://www.amazon.com/Gly-Lactic-Face-Body-Cream-Lotion/dp/B08JJP1ZXV/ref=sr_1_4?keywords=Lactic+Acid+Exfoliator+10%25&amp;qid=1695259182&amp;sr=8-4", "https://www.amazon.com/Gly-Lactic-Face-Body-Cream-Lotion/dp/B08JJP1ZXV/ref=sr_1_4?keywords=Lactic+Acid+Exfoliator+10%25&amp;qid=1695259182&amp;sr=8-4")</f>
        <v>https://www.amazon.com/Gly-Lactic-Face-Body-Cream-Lotion/dp/B08JJP1ZXV/ref=sr_1_4?keywords=Lactic+Acid+Exfoliator+10%25&amp;qid=1695259182&amp;sr=8-4</v>
      </c>
      <c r="F1673" t="s">
        <v>3990</v>
      </c>
      <c r="G1673" t="e">
        <f ca="1">IMAGE("https://professionalsolutions.net/cdn/shop/products/lactic-acid-exfoliator-10-percent.png?v=1529810228")</f>
        <v>#NAME?</v>
      </c>
      <c r="H1673" t="e">
        <f ca="1">IMAGE("https://m.media-amazon.com/images/I/71H4b-vPyAL._AC_UL320_.jpg")</f>
        <v>#NAME?</v>
      </c>
      <c r="I1673" t="s">
        <v>3913</v>
      </c>
      <c r="J1673">
        <v>22.5</v>
      </c>
      <c r="K1673" s="2" t="s">
        <v>3991</v>
      </c>
      <c r="L1673">
        <v>4.5</v>
      </c>
      <c r="M1673">
        <v>232</v>
      </c>
      <c r="O1673" t="s">
        <v>26</v>
      </c>
      <c r="P1673" t="s">
        <v>39</v>
      </c>
      <c r="Q1673" t="s">
        <v>3915</v>
      </c>
    </row>
    <row r="1674" spans="1:17" ht="15.75" x14ac:dyDescent="0.25">
      <c r="A1674"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B1674"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C1674" t="s">
        <v>3941</v>
      </c>
      <c r="D1674" t="s">
        <v>3992</v>
      </c>
      <c r="E1674" s="3" t="str">
        <f>HYPERLINK("https://www.amazon.com/DNA-CODE-Skin-Care-Moisturizer/dp/B06XS4SYGV/ref=sr_1_10?keywords=100%25+Pure+Hyaluronic+Moisturizer&amp;qid=1695259193&amp;sr=8-10", "https://www.amazon.com/DNA-CODE-Skin-Care-Moisturizer/dp/B06XS4SYGV/ref=sr_1_10?keywords=100%25+Pure+Hyaluronic+Moisturizer&amp;qid=1695259193&amp;sr=8-10")</f>
        <v>https://www.amazon.com/DNA-CODE-Skin-Care-Moisturizer/dp/B06XS4SYGV/ref=sr_1_10?keywords=100%25+Pure+Hyaluronic+Moisturizer&amp;qid=1695259193&amp;sr=8-10</v>
      </c>
      <c r="F1674" t="s">
        <v>3993</v>
      </c>
      <c r="G1674" t="e">
        <f ca="1">IMAGE("https://professionalsolutions.net/cdn/shop/products/100-percent-pure-hyaluronic-moisturizer.png?v=1526506313")</f>
        <v>#NAME?</v>
      </c>
      <c r="H1674" t="e">
        <f ca="1">IMAGE("https://m.media-amazon.com/images/I/61+M2LMhbTL._AC_UL320_.jpg")</f>
        <v>#NAME?</v>
      </c>
      <c r="I1674" t="s">
        <v>3944</v>
      </c>
      <c r="J1674">
        <v>34.950000000000003</v>
      </c>
      <c r="K1674" s="2" t="s">
        <v>3994</v>
      </c>
      <c r="L1674">
        <v>4.3</v>
      </c>
      <c r="M1674">
        <v>21</v>
      </c>
      <c r="O1674" t="s">
        <v>26</v>
      </c>
      <c r="P1674" t="s">
        <v>39</v>
      </c>
      <c r="Q1674" t="s">
        <v>3946</v>
      </c>
    </row>
    <row r="1675" spans="1:17" ht="15.75" x14ac:dyDescent="0.25">
      <c r="A1675" s="3" t="str">
        <f>HYPERLINK("https://professionalsolutions.net/products/professional-skin-care-multi-peptide-cream", "https://professionalsolutions.net/products/professional-skin-care-multi-peptide-cream")</f>
        <v>https://professionalsolutions.net/products/professional-skin-care-multi-peptide-cream</v>
      </c>
      <c r="B1675" s="3" t="str">
        <f>HYPERLINK("https://professionalsolutions.net/products/professional-skin-care-multi-peptide-cream", "https://professionalsolutions.net/products/professional-skin-care-multi-peptide-cream")</f>
        <v>https://professionalsolutions.net/products/professional-skin-care-multi-peptide-cream</v>
      </c>
      <c r="C1675" t="s">
        <v>3995</v>
      </c>
      <c r="D1675" t="s">
        <v>3996</v>
      </c>
      <c r="E1675" s="3" t="str">
        <f>HYPERLINK("https://www.amazon.com/REJUVENATE-Multi-Peptide-Collagen-Stimulators-Peptides/dp/B07YZNP7QZ/ref=sr_1_8?keywords=Multi+Peptide+Cream&amp;qid=1695259184&amp;sr=8-8", "https://www.amazon.com/REJUVENATE-Multi-Peptide-Collagen-Stimulators-Peptides/dp/B07YZNP7QZ/ref=sr_1_8?keywords=Multi+Peptide+Cream&amp;qid=1695259184&amp;sr=8-8")</f>
        <v>https://www.amazon.com/REJUVENATE-Multi-Peptide-Collagen-Stimulators-Peptides/dp/B07YZNP7QZ/ref=sr_1_8?keywords=Multi+Peptide+Cream&amp;qid=1695259184&amp;sr=8-8</v>
      </c>
      <c r="F1675" t="s">
        <v>3997</v>
      </c>
      <c r="G1675" t="e">
        <f ca="1">IMAGE("https://professionalsolutions.net/cdn/shop/products/multi-peptide-cream.png?v=1526497172")</f>
        <v>#NAME?</v>
      </c>
      <c r="H1675" t="e">
        <f ca="1">IMAGE("https://m.media-amazon.com/images/I/61drbyzE7NL._AC_UL320_.jpg")</f>
        <v>#NAME?</v>
      </c>
      <c r="I1675" t="s">
        <v>3998</v>
      </c>
      <c r="J1675">
        <v>47.75</v>
      </c>
      <c r="K1675" s="2" t="s">
        <v>3999</v>
      </c>
      <c r="L1675">
        <v>4.0999999999999996</v>
      </c>
      <c r="M1675">
        <v>223</v>
      </c>
      <c r="O1675" t="s">
        <v>26</v>
      </c>
      <c r="P1675" t="s">
        <v>39</v>
      </c>
      <c r="Q1675" t="s">
        <v>4000</v>
      </c>
    </row>
    <row r="1676" spans="1:17" ht="15.75" x14ac:dyDescent="0.25">
      <c r="A1676"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B1676"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C1676" t="s">
        <v>3912</v>
      </c>
      <c r="D1676" t="s">
        <v>4001</v>
      </c>
      <c r="E1676" s="3" t="str">
        <f>HYPERLINK("https://www.amazon.com/Hyalogic-Lactic-Serum-Hyaluronic-Essential/dp/B07W44W57H/ref=sr_1_10?keywords=Lactic+Acid+Exfoliator+10%25&amp;qid=1695259182&amp;sr=8-10", "https://www.amazon.com/Hyalogic-Lactic-Serum-Hyaluronic-Essential/dp/B07W44W57H/ref=sr_1_10?keywords=Lactic+Acid+Exfoliator+10%25&amp;qid=1695259182&amp;sr=8-10")</f>
        <v>https://www.amazon.com/Hyalogic-Lactic-Serum-Hyaluronic-Essential/dp/B07W44W57H/ref=sr_1_10?keywords=Lactic+Acid+Exfoliator+10%25&amp;qid=1695259182&amp;sr=8-10</v>
      </c>
      <c r="F1676" t="s">
        <v>4002</v>
      </c>
      <c r="G1676" t="e">
        <f ca="1">IMAGE("https://professionalsolutions.net/cdn/shop/products/lactic-acid-exfoliator-10-percent.png?v=1529810228")</f>
        <v>#NAME?</v>
      </c>
      <c r="H1676" t="e">
        <f ca="1">IMAGE("https://m.media-amazon.com/images/I/712Vcy61S7L._AC_UL320_.jpg")</f>
        <v>#NAME?</v>
      </c>
      <c r="I1676" t="s">
        <v>3913</v>
      </c>
      <c r="J1676">
        <v>19.989999999999998</v>
      </c>
      <c r="K1676" s="2" t="s">
        <v>4003</v>
      </c>
      <c r="L1676">
        <v>4.5999999999999996</v>
      </c>
      <c r="M1676">
        <v>13</v>
      </c>
      <c r="O1676" t="s">
        <v>26</v>
      </c>
      <c r="P1676" t="s">
        <v>39</v>
      </c>
      <c r="Q1676" t="s">
        <v>3915</v>
      </c>
    </row>
    <row r="1677" spans="1:17" ht="15.75" x14ac:dyDescent="0.25">
      <c r="A1677" s="3" t="str">
        <f>HYPERLINK("https://professionalsolutions.net/products/professional-skin-care-hyaluronic-cream", "https://professionalsolutions.net/products/professional-skin-care-hyaluronic-cream")</f>
        <v>https://professionalsolutions.net/products/professional-skin-care-hyaluronic-cream</v>
      </c>
      <c r="B1677" s="3" t="str">
        <f>HYPERLINK("https://professionalsolutions.net/products/professional-skin-care-hyaluronic-cream", "https://professionalsolutions.net/products/professional-skin-care-hyaluronic-cream")</f>
        <v>https://professionalsolutions.net/products/professional-skin-care-hyaluronic-cream</v>
      </c>
      <c r="C1677" t="s">
        <v>4004</v>
      </c>
      <c r="D1677" t="s">
        <v>4005</v>
      </c>
      <c r="E1677" s="3" t="str">
        <f>HYPERLINK("https://www.amazon.com/Honest-Beauty-Hyaluronic-Synthetic-Dermatologist/dp/B07M7C2MPJ/ref=sr_1_9?keywords=Hyaluronic+Cream&amp;qid=1695259185&amp;sr=8-9", "https://www.amazon.com/Honest-Beauty-Hyaluronic-Synthetic-Dermatologist/dp/B07M7C2MPJ/ref=sr_1_9?keywords=Hyaluronic+Cream&amp;qid=1695259185&amp;sr=8-9")</f>
        <v>https://www.amazon.com/Honest-Beauty-Hyaluronic-Synthetic-Dermatologist/dp/B07M7C2MPJ/ref=sr_1_9?keywords=Hyaluronic+Cream&amp;qid=1695259185&amp;sr=8-9</v>
      </c>
      <c r="F1677" t="s">
        <v>4006</v>
      </c>
      <c r="G1677" t="e">
        <f ca="1">IMAGE("https://professionalsolutions.net/cdn/shop/products/hyaluronic-cream.png?v=1527641595")</f>
        <v>#NAME?</v>
      </c>
      <c r="H1677" t="e">
        <f ca="1">IMAGE("https://m.media-amazon.com/images/I/61M+DTm6yxL._AC_UL320_.jpg")</f>
        <v>#NAME?</v>
      </c>
      <c r="I1677" t="s">
        <v>3913</v>
      </c>
      <c r="J1677">
        <v>19.989999999999998</v>
      </c>
      <c r="K1677" s="2" t="s">
        <v>4003</v>
      </c>
      <c r="L1677">
        <v>4.4000000000000004</v>
      </c>
      <c r="M1677">
        <v>6764</v>
      </c>
      <c r="O1677" t="s">
        <v>26</v>
      </c>
      <c r="P1677" t="s">
        <v>39</v>
      </c>
      <c r="Q1677" t="s">
        <v>4007</v>
      </c>
    </row>
    <row r="1678" spans="1:17" ht="15.75" x14ac:dyDescent="0.25">
      <c r="A1678"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B1678"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C1678" t="s">
        <v>3912</v>
      </c>
      <c r="D1678" t="s">
        <v>3054</v>
      </c>
      <c r="E1678" s="3" t="str">
        <f>HYPERLINK("https://www.amazon.com/AHA-BHA-Exfoliating-Exfoliator-Antioxidants/dp/B083VW53LX/ref=sr_1_6?keywords=Lactic+Acid+Exfoliator+10%25&amp;qid=1695259182&amp;sr=8-6", "https://www.amazon.com/AHA-BHA-Exfoliating-Exfoliator-Antioxidants/dp/B083VW53LX/ref=sr_1_6?keywords=Lactic+Acid+Exfoliator+10%25&amp;qid=1695259182&amp;sr=8-6")</f>
        <v>https://www.amazon.com/AHA-BHA-Exfoliating-Exfoliator-Antioxidants/dp/B083VW53LX/ref=sr_1_6?keywords=Lactic+Acid+Exfoliator+10%25&amp;qid=1695259182&amp;sr=8-6</v>
      </c>
      <c r="F1678" t="s">
        <v>3055</v>
      </c>
      <c r="G1678" t="e">
        <f ca="1">IMAGE("https://professionalsolutions.net/cdn/shop/products/lactic-acid-exfoliator-10-percent.png?v=1529810228")</f>
        <v>#NAME?</v>
      </c>
      <c r="H1678" t="e">
        <f ca="1">IMAGE("https://m.media-amazon.com/images/I/71uaCPaXkrL._AC_UL320_.jpg")</f>
        <v>#NAME?</v>
      </c>
      <c r="I1678" t="s">
        <v>3913</v>
      </c>
      <c r="J1678">
        <v>19.95</v>
      </c>
      <c r="K1678" s="2" t="s">
        <v>4008</v>
      </c>
      <c r="L1678">
        <v>4.3</v>
      </c>
      <c r="M1678">
        <v>706</v>
      </c>
      <c r="O1678" t="s">
        <v>26</v>
      </c>
      <c r="P1678" t="s">
        <v>39</v>
      </c>
      <c r="Q1678" t="s">
        <v>3915</v>
      </c>
    </row>
    <row r="1679" spans="1:17" ht="15.75" x14ac:dyDescent="0.25">
      <c r="A1679" s="3" t="str">
        <f>HYPERLINK("https://professionalsolutions.net/products/professional-skin-care-bio-placenta-rejuvenating-serum", "https://professionalsolutions.net/products/professional-skin-care-bio-placenta-rejuvenating-serum")</f>
        <v>https://professionalsolutions.net/products/professional-skin-care-bio-placenta-rejuvenating-serum</v>
      </c>
      <c r="B1679" s="3" t="str">
        <f>HYPERLINK("https://professionalsolutions.net/products/professional-skin-care-bio-placenta-rejuvenating-serum", "https://professionalsolutions.net/products/professional-skin-care-bio-placenta-rejuvenating-serum")</f>
        <v>https://professionalsolutions.net/products/professional-skin-care-bio-placenta-rejuvenating-serum</v>
      </c>
      <c r="C1679" t="s">
        <v>3929</v>
      </c>
      <c r="D1679" t="s">
        <v>3996</v>
      </c>
      <c r="E1679" s="3" t="str">
        <f>HYPERLINK("https://www.amazon.com/REJUVENATE-Multi-Peptide-Collagen-Stimulators-Peptides/dp/B07YZNP7QZ/ref=sr_1_4?keywords=Bio-Peptide+Growth+Factor+Serum&amp;qid=1695259182&amp;sr=8-4", "https://www.amazon.com/REJUVENATE-Multi-Peptide-Collagen-Stimulators-Peptides/dp/B07YZNP7QZ/ref=sr_1_4?keywords=Bio-Peptide+Growth+Factor+Serum&amp;qid=1695259182&amp;sr=8-4")</f>
        <v>https://www.amazon.com/REJUVENATE-Multi-Peptide-Collagen-Stimulators-Peptides/dp/B07YZNP7QZ/ref=sr_1_4?keywords=Bio-Peptide+Growth+Factor+Serum&amp;qid=1695259182&amp;sr=8-4</v>
      </c>
      <c r="F1679" t="s">
        <v>3997</v>
      </c>
      <c r="G1679" t="e">
        <f ca="1">IMAGE("https://professionalsolutions.net/cdn/shop/products/bio-peptide-growth-factor-serum.png?v=1527864409")</f>
        <v>#NAME?</v>
      </c>
      <c r="H1679" t="e">
        <f ca="1">IMAGE("https://m.media-amazon.com/images/I/61drbyzE7NL._AC_UL320_.jpg")</f>
        <v>#NAME?</v>
      </c>
      <c r="I1679" t="s">
        <v>3932</v>
      </c>
      <c r="J1679">
        <v>47.75</v>
      </c>
      <c r="K1679" s="2" t="s">
        <v>4009</v>
      </c>
      <c r="L1679">
        <v>4.0999999999999996</v>
      </c>
      <c r="M1679">
        <v>223</v>
      </c>
      <c r="O1679" t="s">
        <v>26</v>
      </c>
      <c r="P1679" t="s">
        <v>39</v>
      </c>
      <c r="Q1679" t="s">
        <v>3934</v>
      </c>
    </row>
    <row r="1680" spans="1:17" ht="15.75" x14ac:dyDescent="0.25">
      <c r="A1680" s="3" t="str">
        <f>HYPERLINK("https://professionalsolutions.net/products/overnight-collagen-mask", "https://professionalsolutions.net/products/overnight-collagen-mask")</f>
        <v>https://professionalsolutions.net/products/overnight-collagen-mask</v>
      </c>
      <c r="B1680" s="3" t="str">
        <f>HYPERLINK("https://professionalsolutions.net/products/overnight-collagen-mask", "https://professionalsolutions.net/products/overnight-collagen-mask")</f>
        <v>https://professionalsolutions.net/products/overnight-collagen-mask</v>
      </c>
      <c r="C1680" t="s">
        <v>4010</v>
      </c>
      <c r="D1680" t="s">
        <v>4011</v>
      </c>
      <c r="E1680" s="3" t="str">
        <f>HYPERLINK("https://www.amazon.com/Noacier-Overnight-Collagen-Moisturizer-Tightening/dp/B08C8SBGJP/ref=sr_1_1?keywords=Overnight+Collagen+Mask&amp;qid=1695259213&amp;sr=8-1", "https://www.amazon.com/Noacier-Overnight-Collagen-Moisturizer-Tightening/dp/B08C8SBGJP/ref=sr_1_1?keywords=Overnight+Collagen+Mask&amp;qid=1695259213&amp;sr=8-1")</f>
        <v>https://www.amazon.com/Noacier-Overnight-Collagen-Moisturizer-Tightening/dp/B08C8SBGJP/ref=sr_1_1?keywords=Overnight+Collagen+Mask&amp;qid=1695259213&amp;sr=8-1</v>
      </c>
      <c r="F1680" t="s">
        <v>4012</v>
      </c>
      <c r="G1680" t="e">
        <f ca="1">IMAGE("https://professionalsolutions.net/cdn/shop/products/overnight-collagen-mask.png?v=1581449027")</f>
        <v>#NAME?</v>
      </c>
      <c r="H1680" t="e">
        <f ca="1">IMAGE("https://m.media-amazon.com/images/I/511xZnAUX6L._AC_UL320_.jpg")</f>
        <v>#NAME?</v>
      </c>
      <c r="I1680" t="s">
        <v>4013</v>
      </c>
      <c r="J1680">
        <v>24.99</v>
      </c>
      <c r="K1680" s="2" t="s">
        <v>4014</v>
      </c>
      <c r="L1680">
        <v>4.3</v>
      </c>
      <c r="M1680">
        <v>326</v>
      </c>
      <c r="O1680" t="s">
        <v>26</v>
      </c>
      <c r="P1680" t="s">
        <v>39</v>
      </c>
      <c r="Q1680" t="s">
        <v>4015</v>
      </c>
    </row>
    <row r="1681" spans="1:17" ht="15.75" x14ac:dyDescent="0.25">
      <c r="A1681" s="3" t="str">
        <f>HYPERLINK("https://professionalsolutions.net/products/professional-skin-care-hyaluronic-cream", "https://professionalsolutions.net/products/professional-skin-care-hyaluronic-cream")</f>
        <v>https://professionalsolutions.net/products/professional-skin-care-hyaluronic-cream</v>
      </c>
      <c r="B1681" s="3" t="str">
        <f>HYPERLINK("https://professionalsolutions.net/products/professional-skin-care-hyaluronic-cream", "https://professionalsolutions.net/products/professional-skin-care-hyaluronic-cream")</f>
        <v>https://professionalsolutions.net/products/professional-skin-care-hyaluronic-cream</v>
      </c>
      <c r="C1681" t="s">
        <v>4004</v>
      </c>
      <c r="D1681" t="s">
        <v>4016</v>
      </c>
      <c r="E1681" s="3" t="str">
        <f>HYPERLINK("https://www.amazon.com/Ialuset-Hyaluronic-Acid-Cream-Undiluted/dp/B01HNCUT0I/ref=sr_1_1?keywords=Hyaluronic+Cream&amp;qid=1695259185&amp;sr=8-1", "https://www.amazon.com/Ialuset-Hyaluronic-Acid-Cream-Undiluted/dp/B01HNCUT0I/ref=sr_1_1?keywords=Hyaluronic+Cream&amp;qid=1695259185&amp;sr=8-1")</f>
        <v>https://www.amazon.com/Ialuset-Hyaluronic-Acid-Cream-Undiluted/dp/B01HNCUT0I/ref=sr_1_1?keywords=Hyaluronic+Cream&amp;qid=1695259185&amp;sr=8-1</v>
      </c>
      <c r="F1681" t="s">
        <v>4017</v>
      </c>
      <c r="G1681" t="e">
        <f ca="1">IMAGE("https://professionalsolutions.net/cdn/shop/products/hyaluronic-cream.png?v=1527641595")</f>
        <v>#NAME?</v>
      </c>
      <c r="H1681" t="e">
        <f ca="1">IMAGE("https://m.media-amazon.com/images/I/51xn8hBQ+HL._AC_UL320_.jpg")</f>
        <v>#NAME?</v>
      </c>
      <c r="I1681" t="s">
        <v>3913</v>
      </c>
      <c r="J1681">
        <v>19.329999999999998</v>
      </c>
      <c r="K1681" s="2" t="s">
        <v>2591</v>
      </c>
      <c r="L1681">
        <v>4.5</v>
      </c>
      <c r="M1681">
        <v>1122</v>
      </c>
      <c r="O1681" t="s">
        <v>26</v>
      </c>
      <c r="P1681" t="s">
        <v>39</v>
      </c>
      <c r="Q1681" t="s">
        <v>4007</v>
      </c>
    </row>
    <row r="1682" spans="1:17" ht="15.75" x14ac:dyDescent="0.25">
      <c r="A1682" s="3" t="str">
        <f>HYPERLINK("https://professionalsolutions.net/products/professional-skin-care-multi-peptide-cream", "https://professionalsolutions.net/products/professional-skin-care-multi-peptide-cream")</f>
        <v>https://professionalsolutions.net/products/professional-skin-care-multi-peptide-cream</v>
      </c>
      <c r="B1682" s="3" t="str">
        <f>HYPERLINK("https://professionalsolutions.net/products/professional-skin-care-multi-peptide-cream", "https://professionalsolutions.net/products/professional-skin-care-multi-peptide-cream")</f>
        <v>https://professionalsolutions.net/products/professional-skin-care-multi-peptide-cream</v>
      </c>
      <c r="C1682" t="s">
        <v>3995</v>
      </c>
      <c r="D1682" t="s">
        <v>4018</v>
      </c>
      <c r="E1682" s="3" t="str">
        <f>HYPERLINK("https://www.amazon.com/Reviva-Labs-302-Multi-Peptide-Complex/dp/B0007UC7C2/ref=sr_1_9?keywords=Multi+Peptide+Cream&amp;qid=1695259184&amp;sr=8-9", "https://www.amazon.com/Reviva-Labs-302-Multi-Peptide-Complex/dp/B0007UC7C2/ref=sr_1_9?keywords=Multi+Peptide+Cream&amp;qid=1695259184&amp;sr=8-9")</f>
        <v>https://www.amazon.com/Reviva-Labs-302-Multi-Peptide-Complex/dp/B0007UC7C2/ref=sr_1_9?keywords=Multi+Peptide+Cream&amp;qid=1695259184&amp;sr=8-9</v>
      </c>
      <c r="F1682" t="s">
        <v>4019</v>
      </c>
      <c r="G1682" t="e">
        <f ca="1">IMAGE("https://professionalsolutions.net/cdn/shop/products/multi-peptide-cream.png?v=1526497172")</f>
        <v>#NAME?</v>
      </c>
      <c r="H1682" t="e">
        <f ca="1">IMAGE("https://m.media-amazon.com/images/I/71q+Mgv2qdL._AC_UL320_.jpg")</f>
        <v>#NAME?</v>
      </c>
      <c r="I1682" t="s">
        <v>3998</v>
      </c>
      <c r="J1682">
        <v>39.99</v>
      </c>
      <c r="K1682" s="2" t="s">
        <v>4020</v>
      </c>
      <c r="L1682">
        <v>3.4</v>
      </c>
      <c r="M1682">
        <v>45</v>
      </c>
      <c r="O1682" t="s">
        <v>26</v>
      </c>
      <c r="P1682" t="s">
        <v>39</v>
      </c>
      <c r="Q1682" t="s">
        <v>4000</v>
      </c>
    </row>
    <row r="1683" spans="1:17" ht="15.75" x14ac:dyDescent="0.25">
      <c r="A1683"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B1683"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C1683" t="s">
        <v>3912</v>
      </c>
      <c r="D1683" t="s">
        <v>4021</v>
      </c>
      <c r="E1683" s="3" t="str">
        <f>HYPERLINK("https://www.amazon.com/Exfoliating-Clearing-Pigmentation-Keratosis-Acne-Free/dp/B084QGT8YX/ref=sr_1_2?keywords=Lactic+Acid+Exfoliator+10%25&amp;qid=1695259182&amp;sr=8-2", "https://www.amazon.com/Exfoliating-Clearing-Pigmentation-Keratosis-Acne-Free/dp/B084QGT8YX/ref=sr_1_2?keywords=Lactic+Acid+Exfoliator+10%25&amp;qid=1695259182&amp;sr=8-2")</f>
        <v>https://www.amazon.com/Exfoliating-Clearing-Pigmentation-Keratosis-Acne-Free/dp/B084QGT8YX/ref=sr_1_2?keywords=Lactic+Acid+Exfoliator+10%25&amp;qid=1695259182&amp;sr=8-2</v>
      </c>
      <c r="F1683" t="s">
        <v>4022</v>
      </c>
      <c r="G1683" t="e">
        <f ca="1">IMAGE("https://professionalsolutions.net/cdn/shop/products/lactic-acid-exfoliator-10-percent.png?v=1529810228")</f>
        <v>#NAME?</v>
      </c>
      <c r="H1683" t="e">
        <f ca="1">IMAGE("https://m.media-amazon.com/images/I/812bHH2TYpL._AC_UL320_.jpg")</f>
        <v>#NAME?</v>
      </c>
      <c r="I1683" t="s">
        <v>3913</v>
      </c>
      <c r="J1683">
        <v>17.95</v>
      </c>
      <c r="K1683" s="2" t="s">
        <v>4023</v>
      </c>
      <c r="L1683">
        <v>4.5</v>
      </c>
      <c r="M1683">
        <v>253</v>
      </c>
      <c r="O1683" t="s">
        <v>26</v>
      </c>
      <c r="P1683" t="s">
        <v>39</v>
      </c>
      <c r="Q1683" t="s">
        <v>3915</v>
      </c>
    </row>
    <row r="1684" spans="1:17" ht="15.75" x14ac:dyDescent="0.25">
      <c r="A1684" s="3" t="str">
        <f>HYPERLINK("https://professionalsolutions.net/products/professional-skin-care-triple-action-vitamin-c", "https://professionalsolutions.net/products/professional-skin-care-triple-action-vitamin-c")</f>
        <v>https://professionalsolutions.net/products/professional-skin-care-triple-action-vitamin-c</v>
      </c>
      <c r="B1684" s="3" t="str">
        <f>HYPERLINK("https://professionalsolutions.net/products/professional-skin-care-triple-action-vitamin-c", "https://professionalsolutions.net/products/professional-skin-care-triple-action-vitamin-c")</f>
        <v>https://professionalsolutions.net/products/professional-skin-care-triple-action-vitamin-c</v>
      </c>
      <c r="C1684" t="s">
        <v>3975</v>
      </c>
      <c r="D1684" t="s">
        <v>4024</v>
      </c>
      <c r="E1684" s="3" t="str">
        <f>HYPERLINK("https://www.amazon.com/Mieux-Vita-C-Clear-skin-pad/dp/B07G1R5914/ref=sr_1_9?keywords=Triple+Action+Vitamin+C&amp;qid=1695259190&amp;sr=8-9", "https://www.amazon.com/Mieux-Vita-C-Clear-skin-pad/dp/B07G1R5914/ref=sr_1_9?keywords=Triple+Action+Vitamin+C&amp;qid=1695259190&amp;sr=8-9")</f>
        <v>https://www.amazon.com/Mieux-Vita-C-Clear-skin-pad/dp/B07G1R5914/ref=sr_1_9?keywords=Triple+Action+Vitamin+C&amp;qid=1695259190&amp;sr=8-9</v>
      </c>
      <c r="F1684" t="s">
        <v>4025</v>
      </c>
      <c r="G1684" t="e">
        <f ca="1">IMAGE("https://professionalsolutions.net/cdn/shop/products/triple-action-vitamin-c.png?v=1527641910")</f>
        <v>#NAME?</v>
      </c>
      <c r="H1684" t="e">
        <f ca="1">IMAGE("https://m.media-amazon.com/images/I/71IrggKqqsL._AC_UL320_.jpg")</f>
        <v>#NAME?</v>
      </c>
      <c r="I1684" t="s">
        <v>2994</v>
      </c>
      <c r="J1684">
        <v>33.97</v>
      </c>
      <c r="K1684" s="2" t="s">
        <v>4026</v>
      </c>
      <c r="L1684">
        <v>4.5999999999999996</v>
      </c>
      <c r="M1684">
        <v>13</v>
      </c>
      <c r="O1684" t="s">
        <v>26</v>
      </c>
      <c r="P1684" t="s">
        <v>39</v>
      </c>
      <c r="Q1684" t="s">
        <v>3979</v>
      </c>
    </row>
    <row r="1685" spans="1:17" ht="15.75" x14ac:dyDescent="0.25">
      <c r="A1685"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B1685"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C1685" t="s">
        <v>3941</v>
      </c>
      <c r="D1685" t="s">
        <v>4027</v>
      </c>
      <c r="E1685" s="3" t="str">
        <f>HYPERLINK("https://www.amazon.com/wellage-Hyaluronic-Cream-100-100-Moisturizer/dp/B0BYMJNZJ7/ref=sr_1_5?keywords=100%25+Pure+Hyaluronic+Moisturizer&amp;qid=1695259193&amp;sr=8-5", "https://www.amazon.com/wellage-Hyaluronic-Cream-100-100-Moisturizer/dp/B0BYMJNZJ7/ref=sr_1_5?keywords=100%25+Pure+Hyaluronic+Moisturizer&amp;qid=1695259193&amp;sr=8-5")</f>
        <v>https://www.amazon.com/wellage-Hyaluronic-Cream-100-100-Moisturizer/dp/B0BYMJNZJ7/ref=sr_1_5?keywords=100%25+Pure+Hyaluronic+Moisturizer&amp;qid=1695259193&amp;sr=8-5</v>
      </c>
      <c r="F1685" t="s">
        <v>4028</v>
      </c>
      <c r="G1685" t="e">
        <f ca="1">IMAGE("https://professionalsolutions.net/cdn/shop/products/100-percent-pure-hyaluronic-moisturizer.png?v=1526506313")</f>
        <v>#NAME?</v>
      </c>
      <c r="H1685" t="e">
        <f ca="1">IMAGE("https://m.media-amazon.com/images/I/51xkzKSLuzL._AC_UL320_.jpg")</f>
        <v>#NAME?</v>
      </c>
      <c r="I1685" t="s">
        <v>3944</v>
      </c>
      <c r="J1685">
        <v>28</v>
      </c>
      <c r="K1685" s="2" t="s">
        <v>4029</v>
      </c>
      <c r="L1685">
        <v>4.5999999999999996</v>
      </c>
      <c r="M1685">
        <v>52</v>
      </c>
      <c r="O1685" t="s">
        <v>26</v>
      </c>
      <c r="P1685" t="s">
        <v>39</v>
      </c>
      <c r="Q1685" t="s">
        <v>3946</v>
      </c>
    </row>
    <row r="1686" spans="1:17" ht="15.75" x14ac:dyDescent="0.25">
      <c r="A1686" s="3" t="str">
        <f>HYPERLINK("https://professionalsolutions.net/products/bright-beauty-peeling-pads", "https://professionalsolutions.net/products/bright-beauty-peeling-pads")</f>
        <v>https://professionalsolutions.net/products/bright-beauty-peeling-pads</v>
      </c>
      <c r="B1686" s="3" t="str">
        <f>HYPERLINK("https://professionalsolutions.net/products/bright-beauty-peeling-pads", "https://professionalsolutions.net/products/bright-beauty-peeling-pads")</f>
        <v>https://professionalsolutions.net/products/bright-beauty-peeling-pads</v>
      </c>
      <c r="C1686" t="s">
        <v>3893</v>
      </c>
      <c r="D1686" t="s">
        <v>4030</v>
      </c>
      <c r="E1686" s="3" t="str">
        <f>HYPERLINK("https://www.amazon.com/First-Aid-Beauty-Facial-Radiance/dp/B0CBL5NSP6/ref=sr_1_7?keywords=Bright+Beauty+Peeling+Pads&amp;qid=1695259183&amp;sr=8-7", "https://www.amazon.com/First-Aid-Beauty-Facial-Radiance/dp/B0CBL5NSP6/ref=sr_1_7?keywords=Bright+Beauty+Peeling+Pads&amp;qid=1695259183&amp;sr=8-7")</f>
        <v>https://www.amazon.com/First-Aid-Beauty-Facial-Radiance/dp/B0CBL5NSP6/ref=sr_1_7?keywords=Bright+Beauty+Peeling+Pads&amp;qid=1695259183&amp;sr=8-7</v>
      </c>
      <c r="F1686" t="s">
        <v>4031</v>
      </c>
      <c r="G1686" t="e">
        <f ca="1">IMAGE("https://professionalsolutions.net/cdn/shop/products/bright-beauty-peeling-pads.png?v=1580232089")</f>
        <v>#NAME?</v>
      </c>
      <c r="H1686" t="e">
        <f ca="1">IMAGE("https://m.media-amazon.com/images/I/71S6RMf3YhL._AC_UL320_.jpg")</f>
        <v>#NAME?</v>
      </c>
      <c r="I1686" t="s">
        <v>3896</v>
      </c>
      <c r="J1686">
        <v>20</v>
      </c>
      <c r="K1686" s="2" t="s">
        <v>4032</v>
      </c>
      <c r="L1686">
        <v>4.5</v>
      </c>
      <c r="M1686">
        <v>49</v>
      </c>
      <c r="O1686" t="s">
        <v>26</v>
      </c>
      <c r="P1686" t="s">
        <v>39</v>
      </c>
      <c r="Q1686" t="s">
        <v>3898</v>
      </c>
    </row>
    <row r="1687" spans="1:17" ht="15.75" x14ac:dyDescent="0.25">
      <c r="A1687" s="3" t="str">
        <f>HYPERLINK("https://professionalsolutions.net/products/professional-skin-care-hyaluronic-cream", "https://professionalsolutions.net/products/professional-skin-care-hyaluronic-cream")</f>
        <v>https://professionalsolutions.net/products/professional-skin-care-hyaluronic-cream</v>
      </c>
      <c r="B1687" s="3" t="str">
        <f>HYPERLINK("https://professionalsolutions.net/products/professional-skin-care-hyaluronic-cream", "https://professionalsolutions.net/products/professional-skin-care-hyaluronic-cream")</f>
        <v>https://professionalsolutions.net/products/professional-skin-care-hyaluronic-cream</v>
      </c>
      <c r="C1687" t="s">
        <v>4004</v>
      </c>
      <c r="D1687" t="s">
        <v>3045</v>
      </c>
      <c r="E1687" s="3" t="str">
        <f>HYPERLINK("https://www.amazon.com/Neutrogena-Hyaluronic-Hydrating-Moisturizer-Gel-Cream/dp/B00NR1YQK4/ref=sr_1_3?keywords=Hyaluronic+Cream&amp;qid=1695259185&amp;sr=8-3", "https://www.amazon.com/Neutrogena-Hyaluronic-Hydrating-Moisturizer-Gel-Cream/dp/B00NR1YQK4/ref=sr_1_3?keywords=Hyaluronic+Cream&amp;qid=1695259185&amp;sr=8-3")</f>
        <v>https://www.amazon.com/Neutrogena-Hyaluronic-Hydrating-Moisturizer-Gel-Cream/dp/B00NR1YQK4/ref=sr_1_3?keywords=Hyaluronic+Cream&amp;qid=1695259185&amp;sr=8-3</v>
      </c>
      <c r="F1687" t="s">
        <v>3046</v>
      </c>
      <c r="G1687" t="e">
        <f ca="1">IMAGE("https://professionalsolutions.net/cdn/shop/products/hyaluronic-cream.png?v=1527641595")</f>
        <v>#NAME?</v>
      </c>
      <c r="H1687" t="e">
        <f ca="1">IMAGE("https://m.media-amazon.com/images/I/71Z+wNMRYYL._AC_UL320_.jpg")</f>
        <v>#NAME?</v>
      </c>
      <c r="I1687" t="s">
        <v>3913</v>
      </c>
      <c r="J1687">
        <v>17.55</v>
      </c>
      <c r="K1687" s="2" t="s">
        <v>4033</v>
      </c>
      <c r="L1687">
        <v>4.5999999999999996</v>
      </c>
      <c r="M1687">
        <v>44115</v>
      </c>
      <c r="O1687" t="s">
        <v>26</v>
      </c>
      <c r="P1687" t="s">
        <v>39</v>
      </c>
      <c r="Q1687" t="s">
        <v>4007</v>
      </c>
    </row>
    <row r="1688" spans="1:17" ht="15.75" x14ac:dyDescent="0.25">
      <c r="A1688" s="3" t="str">
        <f>HYPERLINK("https://professionalsolutions.net/products/professional-skin-care-vitamin-c-serum-12percent", "https://professionalsolutions.net/products/professional-skin-care-vitamin-c-serum-12percent")</f>
        <v>https://professionalsolutions.net/products/professional-skin-care-vitamin-c-serum-12percent</v>
      </c>
      <c r="B1688" s="3" t="str">
        <f>HYPERLINK("https://professionalsolutions.net/products/professional-skin-care-vitamin-c-serum-12percent", "https://professionalsolutions.net/products/professional-skin-care-vitamin-c-serum-12percent")</f>
        <v>https://professionalsolutions.net/products/professional-skin-care-vitamin-c-serum-12percent</v>
      </c>
      <c r="C1688" t="s">
        <v>3906</v>
      </c>
      <c r="D1688" t="s">
        <v>4034</v>
      </c>
      <c r="E1688" s="3" t="str">
        <f>HYPERLINK("https://www.amazon.com/TMR-Cosmetics-Vitamin-Serum-Face/dp/B098LT1WFK/ref=sr_1_10?keywords=Vitamin+C+Serum+12%25&amp;qid=1695259182&amp;sr=8-10", "https://www.amazon.com/TMR-Cosmetics-Vitamin-Serum-Face/dp/B098LT1WFK/ref=sr_1_10?keywords=Vitamin+C+Serum+12%25&amp;qid=1695259182&amp;sr=8-10")</f>
        <v>https://www.amazon.com/TMR-Cosmetics-Vitamin-Serum-Face/dp/B098LT1WFK/ref=sr_1_10?keywords=Vitamin+C+Serum+12%25&amp;qid=1695259182&amp;sr=8-10</v>
      </c>
      <c r="F1688" t="s">
        <v>4035</v>
      </c>
      <c r="G1688" t="e">
        <f ca="1">IMAGE("https://professionalsolutions.net/cdn/shop/products/vitamin-c-plus-serum-12-percent.png?v=1526498556")</f>
        <v>#NAME?</v>
      </c>
      <c r="H1688" t="e">
        <f ca="1">IMAGE("https://m.media-amazon.com/images/I/51KxtwpAYRS._AC_UL320_.jpg")</f>
        <v>#NAME?</v>
      </c>
      <c r="I1688" t="s">
        <v>3909</v>
      </c>
      <c r="J1688">
        <v>27.95</v>
      </c>
      <c r="K1688" s="2" t="s">
        <v>4036</v>
      </c>
      <c r="L1688">
        <v>5</v>
      </c>
      <c r="M1688">
        <v>3</v>
      </c>
      <c r="O1688" t="s">
        <v>26</v>
      </c>
      <c r="P1688" t="s">
        <v>39</v>
      </c>
      <c r="Q1688" t="s">
        <v>3911</v>
      </c>
    </row>
    <row r="1689" spans="1:17" ht="15.75" x14ac:dyDescent="0.25">
      <c r="A1689" s="3" t="str">
        <f>HYPERLINK("https://professionalsolutions.net/products/professional-skin-care-hyaluronic-cream", "https://professionalsolutions.net/products/professional-skin-care-hyaluronic-cream")</f>
        <v>https://professionalsolutions.net/products/professional-skin-care-hyaluronic-cream</v>
      </c>
      <c r="B1689" s="3" t="str">
        <f>HYPERLINK("https://professionalsolutions.net/products/professional-skin-care-hyaluronic-cream", "https://professionalsolutions.net/products/professional-skin-care-hyaluronic-cream")</f>
        <v>https://professionalsolutions.net/products/professional-skin-care-hyaluronic-cream</v>
      </c>
      <c r="C1689" t="s">
        <v>4004</v>
      </c>
      <c r="D1689" t="s">
        <v>4037</v>
      </c>
      <c r="E1689" s="3" t="str">
        <f>HYPERLINK("https://www.amazon.com/COSRX-Hyaluronic-Intensive-Cream-100ml/dp/B072FH17NJ/ref=sr_1_4?keywords=Hyaluronic+Cream&amp;qid=1695259185&amp;sr=8-4", "https://www.amazon.com/COSRX-Hyaluronic-Intensive-Cream-100ml/dp/B072FH17NJ/ref=sr_1_4?keywords=Hyaluronic+Cream&amp;qid=1695259185&amp;sr=8-4")</f>
        <v>https://www.amazon.com/COSRX-Hyaluronic-Intensive-Cream-100ml/dp/B072FH17NJ/ref=sr_1_4?keywords=Hyaluronic+Cream&amp;qid=1695259185&amp;sr=8-4</v>
      </c>
      <c r="F1689" t="s">
        <v>4038</v>
      </c>
      <c r="G1689" t="e">
        <f ca="1">IMAGE("https://professionalsolutions.net/cdn/shop/products/hyaluronic-cream.png?v=1527641595")</f>
        <v>#NAME?</v>
      </c>
      <c r="H1689" t="e">
        <f ca="1">IMAGE("https://m.media-amazon.com/images/I/61pTyy0RnLS._AC_UL320_.jpg")</f>
        <v>#NAME?</v>
      </c>
      <c r="I1689" t="s">
        <v>3913</v>
      </c>
      <c r="J1689">
        <v>16.77</v>
      </c>
      <c r="K1689" s="2" t="s">
        <v>4039</v>
      </c>
      <c r="L1689">
        <v>4.5999999999999996</v>
      </c>
      <c r="M1689">
        <v>2648</v>
      </c>
      <c r="O1689" t="s">
        <v>26</v>
      </c>
      <c r="P1689" t="s">
        <v>39</v>
      </c>
      <c r="Q1689" t="s">
        <v>4007</v>
      </c>
    </row>
    <row r="1690" spans="1:17" ht="15.75" x14ac:dyDescent="0.25">
      <c r="A1690" s="3" t="str">
        <f>HYPERLINK("https://professionalsolutions.net/products/professional-skin-care-retinol-cream", "https://professionalsolutions.net/products/professional-skin-care-retinol-cream")</f>
        <v>https://professionalsolutions.net/products/professional-skin-care-retinol-cream</v>
      </c>
      <c r="B1690" s="3" t="str">
        <f>HYPERLINK("https://professionalsolutions.net/products/professional-skin-care-retinol-cream", "https://professionalsolutions.net/products/professional-skin-care-retinol-cream")</f>
        <v>https://professionalsolutions.net/products/professional-skin-care-retinol-cream</v>
      </c>
      <c r="C1690" t="s">
        <v>4040</v>
      </c>
      <c r="D1690" t="s">
        <v>4041</v>
      </c>
      <c r="E1690" s="3" t="str">
        <f>HYPERLINK("https://www.amazon.com/LilyAna-Naturals-Retinol-Cream-Moisturizer/dp/B01ES349CY/ref=sr_1_5?keywords=Retinol+Cream&amp;qid=1695259183&amp;rdc=1&amp;sr=8-5", "https://www.amazon.com/LilyAna-Naturals-Retinol-Cream-Moisturizer/dp/B01ES349CY/ref=sr_1_5?keywords=Retinol+Cream&amp;qid=1695259183&amp;rdc=1&amp;sr=8-5")</f>
        <v>https://www.amazon.com/LilyAna-Naturals-Retinol-Cream-Moisturizer/dp/B01ES349CY/ref=sr_1_5?keywords=Retinol+Cream&amp;qid=1695259183&amp;rdc=1&amp;sr=8-5</v>
      </c>
      <c r="F1690" t="s">
        <v>4042</v>
      </c>
      <c r="G1690" t="e">
        <f ca="1">IMAGE("https://professionalsolutions.net/cdn/shop/products/retinol-cream.png?v=1526514066")</f>
        <v>#NAME?</v>
      </c>
      <c r="H1690" t="e">
        <f ca="1">IMAGE("https://m.media-amazon.com/images/I/61b1jZpqQcL._AC_UL320_.jpg")</f>
        <v>#NAME?</v>
      </c>
      <c r="I1690" t="s">
        <v>2468</v>
      </c>
      <c r="J1690">
        <v>25.01</v>
      </c>
      <c r="K1690" s="2" t="s">
        <v>4043</v>
      </c>
      <c r="L1690">
        <v>4.4000000000000004</v>
      </c>
      <c r="M1690">
        <v>38872</v>
      </c>
      <c r="O1690" t="s">
        <v>26</v>
      </c>
      <c r="P1690" t="s">
        <v>39</v>
      </c>
      <c r="Q1690" t="s">
        <v>4044</v>
      </c>
    </row>
    <row r="1691" spans="1:17" ht="15.75" x14ac:dyDescent="0.25">
      <c r="A1691" s="3" t="str">
        <f>HYPERLINK("https://professionalsolutions.net/products/professional-skin-care-retinol-cream", "https://professionalsolutions.net/products/professional-skin-care-retinol-cream")</f>
        <v>https://professionalsolutions.net/products/professional-skin-care-retinol-cream</v>
      </c>
      <c r="B1691" s="3" t="str">
        <f>HYPERLINK("https://professionalsolutions.net/products/professional-skin-care-retinol-cream", "https://professionalsolutions.net/products/professional-skin-care-retinol-cream")</f>
        <v>https://professionalsolutions.net/products/professional-skin-care-retinol-cream</v>
      </c>
      <c r="C1691" t="s">
        <v>4040</v>
      </c>
      <c r="D1691" t="s">
        <v>4045</v>
      </c>
      <c r="E1691" s="3" t="str">
        <f>HYPERLINK("https://www.amazon.com/RoC-Anti-Aging-Anti-Wrinkle-Moisturizer-Hyaluronic/dp/B0744JV661/ref=sr_1_9?keywords=Retinol+Cream&amp;qid=1695259183&amp;sr=8-9", "https://www.amazon.com/RoC-Anti-Aging-Anti-Wrinkle-Moisturizer-Hyaluronic/dp/B0744JV661/ref=sr_1_9?keywords=Retinol+Cream&amp;qid=1695259183&amp;sr=8-9")</f>
        <v>https://www.amazon.com/RoC-Anti-Aging-Anti-Wrinkle-Moisturizer-Hyaluronic/dp/B0744JV661/ref=sr_1_9?keywords=Retinol+Cream&amp;qid=1695259183&amp;sr=8-9</v>
      </c>
      <c r="F1691" t="s">
        <v>4046</v>
      </c>
      <c r="G1691" t="e">
        <f ca="1">IMAGE("https://professionalsolutions.net/cdn/shop/products/retinol-cream.png?v=1526514066")</f>
        <v>#NAME?</v>
      </c>
      <c r="H1691" t="e">
        <f ca="1">IMAGE("https://m.media-amazon.com/images/I/61SiBX0BZkL._AC_UL320_.jpg")</f>
        <v>#NAME?</v>
      </c>
      <c r="I1691" t="s">
        <v>2468</v>
      </c>
      <c r="J1691">
        <v>24.97</v>
      </c>
      <c r="K1691" s="2" t="s">
        <v>4047</v>
      </c>
      <c r="L1691">
        <v>4.5999999999999996</v>
      </c>
      <c r="M1691">
        <v>8728</v>
      </c>
      <c r="O1691" t="s">
        <v>26</v>
      </c>
      <c r="P1691" t="s">
        <v>39</v>
      </c>
      <c r="Q1691" t="s">
        <v>4044</v>
      </c>
    </row>
    <row r="1692" spans="1:17" ht="15.75" x14ac:dyDescent="0.25">
      <c r="A1692" s="3" t="str">
        <f>HYPERLINK("https://professionalsolutions.net/products/professional-skin-care-vitamin-c-serum-12percent", "https://professionalsolutions.net/products/professional-skin-care-vitamin-c-serum-12percent")</f>
        <v>https://professionalsolutions.net/products/professional-skin-care-vitamin-c-serum-12percent</v>
      </c>
      <c r="B1692" s="3" t="str">
        <f>HYPERLINK("https://professionalsolutions.net/products/professional-skin-care-vitamin-c-serum-12percent", "https://professionalsolutions.net/products/professional-skin-care-vitamin-c-serum-12percent")</f>
        <v>https://professionalsolutions.net/products/professional-skin-care-vitamin-c-serum-12percent</v>
      </c>
      <c r="C1692" t="s">
        <v>3906</v>
      </c>
      <c r="D1692" t="s">
        <v>4048</v>
      </c>
      <c r="E1692" s="3" t="str">
        <f>HYPERLINK("https://www.amazon.com/LOreal-Paris-Moisturizing-Brightening-Moisturizer/dp/B0B645WSPG/ref=sr_1_1?keywords=Vitamin+C+Serum+12%25&amp;qid=1695259182&amp;sr=8-1", "https://www.amazon.com/LOreal-Paris-Moisturizing-Brightening-Moisturizer/dp/B0B645WSPG/ref=sr_1_1?keywords=Vitamin+C+Serum+12%25&amp;qid=1695259182&amp;sr=8-1")</f>
        <v>https://www.amazon.com/LOreal-Paris-Moisturizing-Brightening-Moisturizer/dp/B0B645WSPG/ref=sr_1_1?keywords=Vitamin+C+Serum+12%25&amp;qid=1695259182&amp;sr=8-1</v>
      </c>
      <c r="F1692" t="s">
        <v>4049</v>
      </c>
      <c r="G1692" t="e">
        <f ca="1">IMAGE("https://professionalsolutions.net/cdn/shop/products/vitamin-c-plus-serum-12-percent.png?v=1526498556")</f>
        <v>#NAME?</v>
      </c>
      <c r="H1692" t="e">
        <f ca="1">IMAGE("https://m.media-amazon.com/images/I/813rPE4IcKL._AC_UL320_.jpg")</f>
        <v>#NAME?</v>
      </c>
      <c r="I1692" t="s">
        <v>3909</v>
      </c>
      <c r="J1692">
        <v>25.97</v>
      </c>
      <c r="K1692" s="2" t="s">
        <v>4050</v>
      </c>
      <c r="L1692">
        <v>4.4000000000000004</v>
      </c>
      <c r="M1692">
        <v>1142</v>
      </c>
      <c r="O1692" t="s">
        <v>26</v>
      </c>
      <c r="P1692" t="s">
        <v>39</v>
      </c>
      <c r="Q1692" t="s">
        <v>3911</v>
      </c>
    </row>
    <row r="1693" spans="1:17" ht="15.75" x14ac:dyDescent="0.25">
      <c r="A1693"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B1693"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C1693" t="s">
        <v>3916</v>
      </c>
      <c r="D1693" t="s">
        <v>4051</v>
      </c>
      <c r="E1693" s="3" t="str">
        <f>HYPERLINK("https://www.amazon.com/Tightening-Improves-Elasticity-Moisturizer-D%C3%A9collet%C3%A9/dp/B0BCKYQS3J/ref=sr_1_8?keywords=Neck-Cessity+Neck+Firming+Cream&amp;qid=1695259188&amp;sr=8-8", "https://www.amazon.com/Tightening-Improves-Elasticity-Moisturizer-D%C3%A9collet%C3%A9/dp/B0BCKYQS3J/ref=sr_1_8?keywords=Neck-Cessity+Neck+Firming+Cream&amp;qid=1695259188&amp;sr=8-8")</f>
        <v>https://www.amazon.com/Tightening-Improves-Elasticity-Moisturizer-D%C3%A9collet%C3%A9/dp/B0BCKYQS3J/ref=sr_1_8?keywords=Neck-Cessity+Neck+Firming+Cream&amp;qid=1695259188&amp;sr=8-8</v>
      </c>
      <c r="F1693" t="s">
        <v>4052</v>
      </c>
      <c r="G1693" t="e">
        <f ca="1">IMAGE("https://professionalsolutions.net/cdn/shop/products/neck-cessity-neck-firming-cream.png?v=1529810520")</f>
        <v>#NAME?</v>
      </c>
      <c r="H1693" t="e">
        <f ca="1">IMAGE("https://m.media-amazon.com/images/I/61eZbn5LxIL._AC_UL320_.jpg")</f>
        <v>#NAME?</v>
      </c>
      <c r="I1693" t="s">
        <v>2468</v>
      </c>
      <c r="J1693">
        <v>22.9</v>
      </c>
      <c r="K1693" s="2" t="s">
        <v>4053</v>
      </c>
      <c r="L1693">
        <v>4.4000000000000004</v>
      </c>
      <c r="M1693">
        <v>939</v>
      </c>
      <c r="O1693" t="s">
        <v>26</v>
      </c>
      <c r="P1693" t="s">
        <v>39</v>
      </c>
      <c r="Q1693" t="s">
        <v>3920</v>
      </c>
    </row>
    <row r="1694" spans="1:17" ht="15.75" x14ac:dyDescent="0.25">
      <c r="A1694" s="3" t="str">
        <f>HYPERLINK("https://professionalsolutions.net/products/professional-skin-care-hyaluronic-cream", "https://professionalsolutions.net/products/professional-skin-care-hyaluronic-cream")</f>
        <v>https://professionalsolutions.net/products/professional-skin-care-hyaluronic-cream</v>
      </c>
      <c r="B1694" s="3" t="str">
        <f>HYPERLINK("https://professionalsolutions.net/products/professional-skin-care-hyaluronic-cream", "https://professionalsolutions.net/products/professional-skin-care-hyaluronic-cream")</f>
        <v>https://professionalsolutions.net/products/professional-skin-care-hyaluronic-cream</v>
      </c>
      <c r="C1694" t="s">
        <v>4004</v>
      </c>
      <c r="D1694" t="s">
        <v>4054</v>
      </c>
      <c r="E1694" s="3" t="str">
        <f>HYPERLINK("https://www.amazon.com/Hyaluronic-Anti-Aging-Squalane-Wrinkles-Elastalift/dp/B088KRDZ2H/ref=sr_1_8?keywords=Hyaluronic+Cream&amp;qid=1695259185&amp;sr=8-8", "https://www.amazon.com/Hyaluronic-Anti-Aging-Squalane-Wrinkles-Elastalift/dp/B088KRDZ2H/ref=sr_1_8?keywords=Hyaluronic+Cream&amp;qid=1695259185&amp;sr=8-8")</f>
        <v>https://www.amazon.com/Hyaluronic-Anti-Aging-Squalane-Wrinkles-Elastalift/dp/B088KRDZ2H/ref=sr_1_8?keywords=Hyaluronic+Cream&amp;qid=1695259185&amp;sr=8-8</v>
      </c>
      <c r="F1694" t="s">
        <v>4055</v>
      </c>
      <c r="G1694" t="e">
        <f ca="1">IMAGE("https://professionalsolutions.net/cdn/shop/products/hyaluronic-cream.png?v=1527641595")</f>
        <v>#NAME?</v>
      </c>
      <c r="H1694" t="e">
        <f ca="1">IMAGE("https://m.media-amazon.com/images/I/61yGWMxq+UL._AC_UL320_.jpg")</f>
        <v>#NAME?</v>
      </c>
      <c r="I1694" t="s">
        <v>3913</v>
      </c>
      <c r="J1694">
        <v>14.99</v>
      </c>
      <c r="K1694" s="2" t="s">
        <v>4056</v>
      </c>
      <c r="L1694">
        <v>4.5</v>
      </c>
      <c r="M1694">
        <v>753</v>
      </c>
      <c r="O1694" t="s">
        <v>26</v>
      </c>
      <c r="P1694" t="s">
        <v>39</v>
      </c>
      <c r="Q1694" t="s">
        <v>4007</v>
      </c>
    </row>
    <row r="1695" spans="1:17" ht="15.75" x14ac:dyDescent="0.25">
      <c r="A1695" s="3" t="str">
        <f>HYPERLINK("https://professionalsolutions.net/products/professional-skin-care-vitamin-b-c-e-and-ferulic", "https://professionalsolutions.net/products/professional-skin-care-vitamin-b-c-e-and-ferulic")</f>
        <v>https://professionalsolutions.net/products/professional-skin-care-vitamin-b-c-e-and-ferulic</v>
      </c>
      <c r="B1695" s="3" t="str">
        <f>HYPERLINK("https://professionalsolutions.net/products/professional-skin-care-vitamin-b-c-e-and-ferulic", "https://professionalsolutions.net/products/professional-skin-care-vitamin-b-c-e-and-ferulic")</f>
        <v>https://professionalsolutions.net/products/professional-skin-care-vitamin-b-c-e-and-ferulic</v>
      </c>
      <c r="C1695" t="s">
        <v>3964</v>
      </c>
      <c r="D1695" t="s">
        <v>4057</v>
      </c>
      <c r="E1695" s="3" t="str">
        <f>HYPERLINK("https://www.amazon.com/Goldfaden-MD-Daily-Body-Cleanser/dp/B002LDXUVU/ref=sr_1_6?keywords=Vitamin+C%2CB%2CE+%26+Ferulic&amp;qid=1695259203&amp;sr=8-6", "https://www.amazon.com/Goldfaden-MD-Daily-Body-Cleanser/dp/B002LDXUVU/ref=sr_1_6?keywords=Vitamin+C%2CB%2CE+%26+Ferulic&amp;qid=1695259203&amp;sr=8-6")</f>
        <v>https://www.amazon.com/Goldfaden-MD-Daily-Body-Cleanser/dp/B002LDXUVU/ref=sr_1_6?keywords=Vitamin+C%2CB%2CE+%26+Ferulic&amp;qid=1695259203&amp;sr=8-6</v>
      </c>
      <c r="F1695" t="s">
        <v>4058</v>
      </c>
      <c r="G1695" t="e">
        <f ca="1">IMAGE("https://professionalsolutions.net/cdn/shop/products/vitamin-c-b-e-and-ferulic.png?v=1526498522")</f>
        <v>#NAME?</v>
      </c>
      <c r="H1695" t="e">
        <f ca="1">IMAGE("https://m.media-amazon.com/images/I/619HYOF--SL._AC_UL320_.jpg")</f>
        <v>#NAME?</v>
      </c>
      <c r="I1695" t="s">
        <v>2994</v>
      </c>
      <c r="J1695">
        <v>28</v>
      </c>
      <c r="K1695" s="2" t="s">
        <v>4059</v>
      </c>
      <c r="L1695">
        <v>3.7</v>
      </c>
      <c r="M1695">
        <v>42</v>
      </c>
      <c r="O1695" t="s">
        <v>26</v>
      </c>
      <c r="P1695" t="s">
        <v>39</v>
      </c>
      <c r="Q1695" t="s">
        <v>3968</v>
      </c>
    </row>
    <row r="1696" spans="1:17" ht="15.75" x14ac:dyDescent="0.25">
      <c r="A1696" s="3" t="str">
        <f>HYPERLINK("https://professionalsolutions.net/products/professional-skin-care-vitamin-b-c-e-and-ferulic", "https://professionalsolutions.net/products/professional-skin-care-vitamin-b-c-e-and-ferulic")</f>
        <v>https://professionalsolutions.net/products/professional-skin-care-vitamin-b-c-e-and-ferulic</v>
      </c>
      <c r="B1696" s="3" t="str">
        <f>HYPERLINK("https://professionalsolutions.net/products/professional-skin-care-vitamin-b-c-e-and-ferulic", "https://professionalsolutions.net/products/professional-skin-care-vitamin-b-c-e-and-ferulic")</f>
        <v>https://professionalsolutions.net/products/professional-skin-care-vitamin-b-c-e-and-ferulic</v>
      </c>
      <c r="C1696" t="s">
        <v>3964</v>
      </c>
      <c r="D1696" t="s">
        <v>4060</v>
      </c>
      <c r="E1696" s="3" t="str">
        <f>HYPERLINK("https://www.amazon.com/Mad-Hippie-Vitamin-Hyaluronic-Ferulic/dp/B00DKF7XPW/ref=sr_1_5?keywords=Vitamin+C%2CB%2CE+%26+Ferulic&amp;qid=1695259203&amp;sr=8-5", "https://www.amazon.com/Mad-Hippie-Vitamin-Hyaluronic-Ferulic/dp/B00DKF7XPW/ref=sr_1_5?keywords=Vitamin+C%2CB%2CE+%26+Ferulic&amp;qid=1695259203&amp;sr=8-5")</f>
        <v>https://www.amazon.com/Mad-Hippie-Vitamin-Hyaluronic-Ferulic/dp/B00DKF7XPW/ref=sr_1_5?keywords=Vitamin+C%2CB%2CE+%26+Ferulic&amp;qid=1695259203&amp;sr=8-5</v>
      </c>
      <c r="F1696" t="s">
        <v>4061</v>
      </c>
      <c r="G1696" t="e">
        <f ca="1">IMAGE("https://professionalsolutions.net/cdn/shop/products/vitamin-c-b-e-and-ferulic.png?v=1526498522")</f>
        <v>#NAME?</v>
      </c>
      <c r="H1696" t="e">
        <f ca="1">IMAGE("https://m.media-amazon.com/images/I/71Dy5R6ElUL._AC_UL320_.jpg")</f>
        <v>#NAME?</v>
      </c>
      <c r="I1696" t="s">
        <v>2994</v>
      </c>
      <c r="J1696">
        <v>27.99</v>
      </c>
      <c r="K1696" s="2" t="s">
        <v>4062</v>
      </c>
      <c r="L1696">
        <v>4.5999999999999996</v>
      </c>
      <c r="M1696">
        <v>7416</v>
      </c>
      <c r="O1696" t="s">
        <v>26</v>
      </c>
      <c r="P1696" t="s">
        <v>39</v>
      </c>
      <c r="Q1696" t="s">
        <v>3968</v>
      </c>
    </row>
    <row r="1697" spans="1:17" ht="15.75" x14ac:dyDescent="0.25">
      <c r="A1697" s="3" t="str">
        <f>HYPERLINK("https://professionalsolutions.net/products/professional-skin-care-cucumber-eye-cream", "https://professionalsolutions.net/products/professional-skin-care-cucumber-eye-cream")</f>
        <v>https://professionalsolutions.net/products/professional-skin-care-cucumber-eye-cream</v>
      </c>
      <c r="B1697" s="3" t="str">
        <f>HYPERLINK("https://professionalsolutions.net/products/professional-skin-care-cucumber-eye-cream", "https://professionalsolutions.net/products/professional-skin-care-cucumber-eye-cream")</f>
        <v>https://professionalsolutions.net/products/professional-skin-care-cucumber-eye-cream</v>
      </c>
      <c r="C1697" t="s">
        <v>3899</v>
      </c>
      <c r="D1697" t="s">
        <v>4063</v>
      </c>
      <c r="E1697" s="3" t="str">
        <f>HYPERLINK("https://www.amazon.com/Physicians-Formula-Refreshment-Cucumber-Puffer/dp/B077PR1PNW/ref=sr_1_1?keywords=Cucumber+Eye+Cream&amp;qid=1695259182&amp;sr=8-1", "https://www.amazon.com/Physicians-Formula-Refreshment-Cucumber-Puffer/dp/B077PR1PNW/ref=sr_1_1?keywords=Cucumber+Eye+Cream&amp;qid=1695259182&amp;sr=8-1")</f>
        <v>https://www.amazon.com/Physicians-Formula-Refreshment-Cucumber-Puffer/dp/B077PR1PNW/ref=sr_1_1?keywords=Cucumber+Eye+Cream&amp;qid=1695259182&amp;sr=8-1</v>
      </c>
      <c r="F1697" t="s">
        <v>4064</v>
      </c>
      <c r="G1697" t="e">
        <f ca="1">IMAGE("https://professionalsolutions.net/cdn/shop/products/cucumber-eye-cream.png?v=1526497045")</f>
        <v>#NAME?</v>
      </c>
      <c r="H1697" t="e">
        <f ca="1">IMAGE("https://m.media-amazon.com/images/I/61+ER7KyH3L._AC_UL320_.jpg")</f>
        <v>#NAME?</v>
      </c>
      <c r="I1697" t="s">
        <v>3319</v>
      </c>
      <c r="J1697">
        <v>10.99</v>
      </c>
      <c r="K1697" s="2" t="s">
        <v>4065</v>
      </c>
      <c r="L1697">
        <v>4.2</v>
      </c>
      <c r="M1697">
        <v>2827</v>
      </c>
      <c r="O1697" t="s">
        <v>26</v>
      </c>
      <c r="P1697" t="s">
        <v>39</v>
      </c>
      <c r="Q1697" t="s">
        <v>3903</v>
      </c>
    </row>
    <row r="1698" spans="1:17" ht="15.75" x14ac:dyDescent="0.25">
      <c r="A1698"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B1698"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C1698" t="s">
        <v>3916</v>
      </c>
      <c r="D1698" t="s">
        <v>4066</v>
      </c>
      <c r="E1698" s="3" t="str">
        <f>HYPERLINK("https://www.amazon.com/Tightener-Tightening-Moisturizer-Hyaluronic-Acid-Lifting/dp/B0B28615TM/ref=sr_1_7?keywords=Neck-Cessity+Neck+Firming+Cream&amp;qid=1695259188&amp;sr=8-7", "https://www.amazon.com/Tightener-Tightening-Moisturizer-Hyaluronic-Acid-Lifting/dp/B0B28615TM/ref=sr_1_7?keywords=Neck-Cessity+Neck+Firming+Cream&amp;qid=1695259188&amp;sr=8-7")</f>
        <v>https://www.amazon.com/Tightener-Tightening-Moisturizer-Hyaluronic-Acid-Lifting/dp/B0B28615TM/ref=sr_1_7?keywords=Neck-Cessity+Neck+Firming+Cream&amp;qid=1695259188&amp;sr=8-7</v>
      </c>
      <c r="F1698" t="s">
        <v>4067</v>
      </c>
      <c r="G1698" t="e">
        <f ca="1">IMAGE("https://professionalsolutions.net/cdn/shop/products/neck-cessity-neck-firming-cream.png?v=1529810520")</f>
        <v>#NAME?</v>
      </c>
      <c r="H1698" t="e">
        <f ca="1">IMAGE("https://m.media-amazon.com/images/I/717hff0UV0L._AC_UL320_.jpg")</f>
        <v>#NAME?</v>
      </c>
      <c r="I1698" t="s">
        <v>2468</v>
      </c>
      <c r="J1698">
        <v>21.95</v>
      </c>
      <c r="K1698" s="2" t="s">
        <v>4068</v>
      </c>
      <c r="L1698">
        <v>4.3</v>
      </c>
      <c r="M1698">
        <v>1168</v>
      </c>
      <c r="O1698" t="s">
        <v>26</v>
      </c>
      <c r="P1698" t="s">
        <v>39</v>
      </c>
      <c r="Q1698" t="s">
        <v>3920</v>
      </c>
    </row>
    <row r="1699" spans="1:17" ht="15.75" x14ac:dyDescent="0.25">
      <c r="A1699" s="3" t="str">
        <f>HYPERLINK("https://professionalsolutions.net/products/professional-skin-care-hyaluronic-cream", "https://professionalsolutions.net/products/professional-skin-care-hyaluronic-cream")</f>
        <v>https://professionalsolutions.net/products/professional-skin-care-hyaluronic-cream</v>
      </c>
      <c r="B1699" s="3" t="str">
        <f>HYPERLINK("https://professionalsolutions.net/products/professional-skin-care-hyaluronic-cream", "https://professionalsolutions.net/products/professional-skin-care-hyaluronic-cream")</f>
        <v>https://professionalsolutions.net/products/professional-skin-care-hyaluronic-cream</v>
      </c>
      <c r="C1699" t="s">
        <v>4004</v>
      </c>
      <c r="D1699" t="s">
        <v>4069</v>
      </c>
      <c r="E1699" s="3" t="str">
        <f>HYPERLINK("https://www.amazon.com/CeraVe-Skin-Renewing-Night-Cream/dp/B00SNPCSUY/ref=sr_1_5?keywords=Hyaluronic+Cream&amp;qid=1695259185&amp;sr=8-5", "https://www.amazon.com/CeraVe-Skin-Renewing-Night-Cream/dp/B00SNPCSUY/ref=sr_1_5?keywords=Hyaluronic+Cream&amp;qid=1695259185&amp;sr=8-5")</f>
        <v>https://www.amazon.com/CeraVe-Skin-Renewing-Night-Cream/dp/B00SNPCSUY/ref=sr_1_5?keywords=Hyaluronic+Cream&amp;qid=1695259185&amp;sr=8-5</v>
      </c>
      <c r="F1699" t="s">
        <v>4070</v>
      </c>
      <c r="G1699" t="e">
        <f ca="1">IMAGE("https://professionalsolutions.net/cdn/shop/products/hyaluronic-cream.png?v=1527641595")</f>
        <v>#NAME?</v>
      </c>
      <c r="H1699" t="e">
        <f ca="1">IMAGE("https://m.media-amazon.com/images/I/71r7bLsvaVL._AC_UL320_.jpg")</f>
        <v>#NAME?</v>
      </c>
      <c r="I1699" t="s">
        <v>3913</v>
      </c>
      <c r="J1699">
        <v>14.44</v>
      </c>
      <c r="K1699" s="2" t="s">
        <v>4071</v>
      </c>
      <c r="L1699">
        <v>4.5999999999999996</v>
      </c>
      <c r="M1699">
        <v>38966</v>
      </c>
      <c r="O1699" t="s">
        <v>26</v>
      </c>
      <c r="P1699" t="s">
        <v>39</v>
      </c>
      <c r="Q1699" t="s">
        <v>4007</v>
      </c>
    </row>
    <row r="1700" spans="1:17" ht="15.75" x14ac:dyDescent="0.25">
      <c r="A1700" s="3" t="str">
        <f>HYPERLINK("https://professionalsolutions.net/products/weightless-moisturizer-spf-25", "https://professionalsolutions.net/products/weightless-moisturizer-spf-25")</f>
        <v>https://professionalsolutions.net/products/weightless-moisturizer-spf-25</v>
      </c>
      <c r="B1700" s="3" t="str">
        <f>HYPERLINK("https://professionalsolutions.net/products/weightless-moisturizer-spf-25", "https://professionalsolutions.net/products/weightless-moisturizer-spf-25")</f>
        <v>https://professionalsolutions.net/products/weightless-moisturizer-spf-25</v>
      </c>
      <c r="C1700" t="s">
        <v>3887</v>
      </c>
      <c r="D1700" t="s">
        <v>4072</v>
      </c>
      <c r="E1700" s="3" t="str">
        <f>HYPERLINK("https://www.amazon.com/St-Ives-Solutions-Moisturizer-Hydrates/dp/B09DDCX9TX/ref=sr_1_4?keywords=Weightless+Moisturizer+SPF+25&amp;qid=1695259182&amp;sr=8-4", "https://www.amazon.com/St-Ives-Solutions-Moisturizer-Hydrates/dp/B09DDCX9TX/ref=sr_1_4?keywords=Weightless+Moisturizer+SPF+25&amp;qid=1695259182&amp;sr=8-4")</f>
        <v>https://www.amazon.com/St-Ives-Solutions-Moisturizer-Hydrates/dp/B09DDCX9TX/ref=sr_1_4?keywords=Weightless+Moisturizer+SPF+25&amp;qid=1695259182&amp;sr=8-4</v>
      </c>
      <c r="F1700" t="s">
        <v>4073</v>
      </c>
      <c r="G1700" t="e">
        <f ca="1">IMAGE("https://professionalsolutions.net/cdn/shop/products/weightless-moisturizer-spf-25.png?v=1580232361")</f>
        <v>#NAME?</v>
      </c>
      <c r="H1700" t="e">
        <f ca="1">IMAGE("https://m.media-amazon.com/images/I/61AQKJ6t4iL._AC_UL320_.jpg")</f>
        <v>#NAME?</v>
      </c>
      <c r="I1700" t="s">
        <v>3890</v>
      </c>
      <c r="J1700">
        <v>8.86</v>
      </c>
      <c r="K1700" s="2" t="s">
        <v>4074</v>
      </c>
      <c r="L1700">
        <v>4.4000000000000004</v>
      </c>
      <c r="M1700">
        <v>151</v>
      </c>
      <c r="O1700" t="s">
        <v>26</v>
      </c>
      <c r="P1700" t="s">
        <v>39</v>
      </c>
      <c r="Q1700" t="s">
        <v>3892</v>
      </c>
    </row>
    <row r="1701" spans="1:17" ht="15.75" x14ac:dyDescent="0.25">
      <c r="A1701" s="3" t="str">
        <f>HYPERLINK("https://professionalsolutions.net/products/professional-skin-care-100-pure-argan-oil", "https://professionalsolutions.net/products/professional-skin-care-100-pure-argan-oil")</f>
        <v>https://professionalsolutions.net/products/professional-skin-care-100-pure-argan-oil</v>
      </c>
      <c r="B1701" s="3" t="str">
        <f>HYPERLINK("https://professionalsolutions.net/products/professional-skin-care-100-pure-argan-oil", "https://professionalsolutions.net/products/professional-skin-care-100-pure-argan-oil")</f>
        <v>https://professionalsolutions.net/products/professional-skin-care-100-pure-argan-oil</v>
      </c>
      <c r="C1701" t="s">
        <v>3924</v>
      </c>
      <c r="D1701" t="s">
        <v>4075</v>
      </c>
      <c r="E1701" s="3" t="str">
        <f>HYPERLINK("https://www.amazon.com/Kate-Blanc-Cosmetics-Stimulate-Moisturizer/dp/B06WWLKQX5/ref=sr_1_3?keywords=100%25+Pure+Argan+Oil&amp;qid=1695259189&amp;sr=8-3", "https://www.amazon.com/Kate-Blanc-Cosmetics-Stimulate-Moisturizer/dp/B06WWLKQX5/ref=sr_1_3?keywords=100%25+Pure+Argan+Oil&amp;qid=1695259189&amp;sr=8-3")</f>
        <v>https://www.amazon.com/Kate-Blanc-Cosmetics-Stimulate-Moisturizer/dp/B06WWLKQX5/ref=sr_1_3?keywords=100%25+Pure+Argan+Oil&amp;qid=1695259189&amp;sr=8-3</v>
      </c>
      <c r="F1701" t="s">
        <v>4076</v>
      </c>
      <c r="G1701" t="e">
        <f ca="1">IMAGE("https://professionalsolutions.net/cdn/shop/products/100percent-pure-argan-oil_png.png?v=1527644622")</f>
        <v>#NAME?</v>
      </c>
      <c r="H1701" t="e">
        <f ca="1">IMAGE("https://m.media-amazon.com/images/I/619cs7mo26L._AC_UL320_.jpg")</f>
        <v>#NAME?</v>
      </c>
      <c r="I1701" t="s">
        <v>3896</v>
      </c>
      <c r="J1701">
        <v>15.95</v>
      </c>
      <c r="K1701" s="2" t="s">
        <v>4077</v>
      </c>
      <c r="L1701">
        <v>4.5999999999999996</v>
      </c>
      <c r="M1701">
        <v>9949</v>
      </c>
      <c r="O1701" t="s">
        <v>26</v>
      </c>
      <c r="P1701" t="s">
        <v>39</v>
      </c>
      <c r="Q1701" t="s">
        <v>3928</v>
      </c>
    </row>
    <row r="1702" spans="1:17" ht="15.75" x14ac:dyDescent="0.25">
      <c r="A1702" s="3" t="str">
        <f>HYPERLINK("https://professionalsolutions.net/products/professional-skin-care-hyaluronic-cream", "https://professionalsolutions.net/products/professional-skin-care-hyaluronic-cream")</f>
        <v>https://professionalsolutions.net/products/professional-skin-care-hyaluronic-cream</v>
      </c>
      <c r="B1702" s="3" t="str">
        <f>HYPERLINK("https://professionalsolutions.net/products/professional-skin-care-hyaluronic-cream", "https://professionalsolutions.net/products/professional-skin-care-hyaluronic-cream")</f>
        <v>https://professionalsolutions.net/products/professional-skin-care-hyaluronic-cream</v>
      </c>
      <c r="C1702" t="s">
        <v>4004</v>
      </c>
      <c r="D1702" t="s">
        <v>4078</v>
      </c>
      <c r="E1702" s="3" t="str">
        <f>HYPERLINK("https://www.amazon.com/Retinol-Cream-Face-Hyaluronic-Acid/dp/B09TTNWNQL/ref=sr_1_10?keywords=Hyaluronic+Cream&amp;qid=1695259185&amp;sr=8-10", "https://www.amazon.com/Retinol-Cream-Face-Hyaluronic-Acid/dp/B09TTNWNQL/ref=sr_1_10?keywords=Hyaluronic+Cream&amp;qid=1695259185&amp;sr=8-10")</f>
        <v>https://www.amazon.com/Retinol-Cream-Face-Hyaluronic-Acid/dp/B09TTNWNQL/ref=sr_1_10?keywords=Hyaluronic+Cream&amp;qid=1695259185&amp;sr=8-10</v>
      </c>
      <c r="F1702" t="s">
        <v>4079</v>
      </c>
      <c r="G1702" t="e">
        <f ca="1">IMAGE("https://professionalsolutions.net/cdn/shop/products/hyaluronic-cream.png?v=1527641595")</f>
        <v>#NAME?</v>
      </c>
      <c r="H1702" t="e">
        <f ca="1">IMAGE("https://m.media-amazon.com/images/I/711SoiORUlL._AC_UL320_.jpg")</f>
        <v>#NAME?</v>
      </c>
      <c r="I1702" t="s">
        <v>3913</v>
      </c>
      <c r="J1702">
        <v>13.39</v>
      </c>
      <c r="K1702" s="2" t="s">
        <v>4080</v>
      </c>
      <c r="L1702">
        <v>4.4000000000000004</v>
      </c>
      <c r="M1702">
        <v>3381</v>
      </c>
      <c r="O1702" t="s">
        <v>26</v>
      </c>
      <c r="P1702" t="s">
        <v>39</v>
      </c>
      <c r="Q1702" t="s">
        <v>4007</v>
      </c>
    </row>
    <row r="1703" spans="1:17" ht="15.75" x14ac:dyDescent="0.25">
      <c r="A1703" s="3" t="str">
        <f>HYPERLINK("https://professionalsolutions.net/products/professional-skin-care-triple-action-vitamin-c", "https://professionalsolutions.net/products/professional-skin-care-triple-action-vitamin-c")</f>
        <v>https://professionalsolutions.net/products/professional-skin-care-triple-action-vitamin-c</v>
      </c>
      <c r="B1703" s="3" t="str">
        <f>HYPERLINK("https://professionalsolutions.net/products/professional-skin-care-triple-action-vitamin-c", "https://professionalsolutions.net/products/professional-skin-care-triple-action-vitamin-c")</f>
        <v>https://professionalsolutions.net/products/professional-skin-care-triple-action-vitamin-c</v>
      </c>
      <c r="C1703" t="s">
        <v>3975</v>
      </c>
      <c r="D1703" t="s">
        <v>4081</v>
      </c>
      <c r="E1703" s="3" t="str">
        <f>HYPERLINK("https://www.amazon.com/SilverCeuticals-Triple-Action-Silver-Gummies/dp/B0C7WG3K4Z/ref=sr_1_10?keywords=Triple+Action+Vitamin+C&amp;qid=1695259190&amp;sr=8-10", "https://www.amazon.com/SilverCeuticals-Triple-Action-Silver-Gummies/dp/B0C7WG3K4Z/ref=sr_1_10?keywords=Triple+Action+Vitamin+C&amp;qid=1695259190&amp;sr=8-10")</f>
        <v>https://www.amazon.com/SilverCeuticals-Triple-Action-Silver-Gummies/dp/B0C7WG3K4Z/ref=sr_1_10?keywords=Triple+Action+Vitamin+C&amp;qid=1695259190&amp;sr=8-10</v>
      </c>
      <c r="F1703" t="s">
        <v>4082</v>
      </c>
      <c r="G1703" t="e">
        <f ca="1">IMAGE("https://professionalsolutions.net/cdn/shop/products/triple-action-vitamin-c.png?v=1527641910")</f>
        <v>#NAME?</v>
      </c>
      <c r="H1703" t="e">
        <f ca="1">IMAGE("https://m.media-amazon.com/images/I/512rxYC6drL._AC_UL320_.jpg")</f>
        <v>#NAME?</v>
      </c>
      <c r="I1703" t="s">
        <v>2994</v>
      </c>
      <c r="J1703">
        <v>24.99</v>
      </c>
      <c r="K1703" s="2" t="s">
        <v>4083</v>
      </c>
      <c r="L1703">
        <v>4.3</v>
      </c>
      <c r="M1703">
        <v>21</v>
      </c>
      <c r="O1703" t="s">
        <v>26</v>
      </c>
      <c r="P1703" t="s">
        <v>39</v>
      </c>
      <c r="Q1703" t="s">
        <v>3979</v>
      </c>
    </row>
    <row r="1704" spans="1:17" ht="15.75" x14ac:dyDescent="0.25">
      <c r="A1704"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B1704"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C1704" t="s">
        <v>3916</v>
      </c>
      <c r="D1704" t="s">
        <v>4084</v>
      </c>
      <c r="E1704" s="3" t="str">
        <f>HYPERLINK("https://www.amazon.com/LEMCUH-Firming-Tightening-Moisturizer-D%C3%A9collet%C3%A9/dp/B0C8L9CXFY/ref=sr_1_5?keywords=Neck-Cessity+Neck+Firming+Cream&amp;qid=1695259188&amp;sr=8-5", "https://www.amazon.com/LEMCUH-Firming-Tightening-Moisturizer-D%C3%A9collet%C3%A9/dp/B0C8L9CXFY/ref=sr_1_5?keywords=Neck-Cessity+Neck+Firming+Cream&amp;qid=1695259188&amp;sr=8-5")</f>
        <v>https://www.amazon.com/LEMCUH-Firming-Tightening-Moisturizer-D%C3%A9collet%C3%A9/dp/B0C8L9CXFY/ref=sr_1_5?keywords=Neck-Cessity+Neck+Firming+Cream&amp;qid=1695259188&amp;sr=8-5</v>
      </c>
      <c r="F1704" t="s">
        <v>4085</v>
      </c>
      <c r="G1704" t="e">
        <f ca="1">IMAGE("https://professionalsolutions.net/cdn/shop/products/neck-cessity-neck-firming-cream.png?v=1529810520")</f>
        <v>#NAME?</v>
      </c>
      <c r="H1704" t="e">
        <f ca="1">IMAGE("https://m.media-amazon.com/images/I/71OVcmepQVL._AC_UL320_.jpg")</f>
        <v>#NAME?</v>
      </c>
      <c r="I1704" t="s">
        <v>2468</v>
      </c>
      <c r="J1704">
        <v>19.989999999999998</v>
      </c>
      <c r="K1704" s="2" t="s">
        <v>4086</v>
      </c>
      <c r="L1704">
        <v>4.7</v>
      </c>
      <c r="M1704">
        <v>170</v>
      </c>
      <c r="O1704" t="s">
        <v>26</v>
      </c>
      <c r="P1704" t="s">
        <v>39</v>
      </c>
      <c r="Q1704" t="s">
        <v>3920</v>
      </c>
    </row>
    <row r="1705" spans="1:17" ht="15.75" x14ac:dyDescent="0.25">
      <c r="A1705" s="3" t="str">
        <f>HYPERLINK("https://professionalsolutions.net/products/professional-skin-care-retinol-cream", "https://professionalsolutions.net/products/professional-skin-care-retinol-cream")</f>
        <v>https://professionalsolutions.net/products/professional-skin-care-retinol-cream</v>
      </c>
      <c r="B1705" s="3" t="str">
        <f>HYPERLINK("https://professionalsolutions.net/products/professional-skin-care-retinol-cream", "https://professionalsolutions.net/products/professional-skin-care-retinol-cream")</f>
        <v>https://professionalsolutions.net/products/professional-skin-care-retinol-cream</v>
      </c>
      <c r="C1705" t="s">
        <v>4040</v>
      </c>
      <c r="D1705" t="s">
        <v>4087</v>
      </c>
      <c r="E1705" s="3" t="str">
        <f>HYPERLINK("https://www.amazon.com/Retinol-Cream-Face-Anti-Wrinkle-Natural-Ingredient/dp/B0B5TBVX6C/ref=sr_1_7?keywords=Retinol+Cream&amp;qid=1695259183&amp;sr=8-7", "https://www.amazon.com/Retinol-Cream-Face-Anti-Wrinkle-Natural-Ingredient/dp/B0B5TBVX6C/ref=sr_1_7?keywords=Retinol+Cream&amp;qid=1695259183&amp;sr=8-7")</f>
        <v>https://www.amazon.com/Retinol-Cream-Face-Anti-Wrinkle-Natural-Ingredient/dp/B0B5TBVX6C/ref=sr_1_7?keywords=Retinol+Cream&amp;qid=1695259183&amp;sr=8-7</v>
      </c>
      <c r="F1705" t="s">
        <v>4088</v>
      </c>
      <c r="G1705" t="e">
        <f ca="1">IMAGE("https://professionalsolutions.net/cdn/shop/products/retinol-cream.png?v=1526514066")</f>
        <v>#NAME?</v>
      </c>
      <c r="H1705" t="e">
        <f ca="1">IMAGE("https://m.media-amazon.com/images/I/719nZyBfTNL._AC_UL320_.jpg")</f>
        <v>#NAME?</v>
      </c>
      <c r="I1705" t="s">
        <v>2468</v>
      </c>
      <c r="J1705">
        <v>19.989999999999998</v>
      </c>
      <c r="K1705" s="2" t="s">
        <v>4086</v>
      </c>
      <c r="L1705">
        <v>4.5999999999999996</v>
      </c>
      <c r="M1705">
        <v>2586</v>
      </c>
      <c r="O1705" t="s">
        <v>26</v>
      </c>
      <c r="P1705" t="s">
        <v>39</v>
      </c>
      <c r="Q1705" t="s">
        <v>4044</v>
      </c>
    </row>
    <row r="1706" spans="1:17" ht="15.75" x14ac:dyDescent="0.25">
      <c r="A1706" s="3" t="str">
        <f>HYPERLINK("https://professionalsolutions.net/products/professional-skin-care-100-pure-argan-oil", "https://professionalsolutions.net/products/professional-skin-care-100-pure-argan-oil")</f>
        <v>https://professionalsolutions.net/products/professional-skin-care-100-pure-argan-oil</v>
      </c>
      <c r="B1706" s="3" t="str">
        <f>HYPERLINK("https://professionalsolutions.net/products/professional-skin-care-100-pure-argan-oil", "https://professionalsolutions.net/products/professional-skin-care-100-pure-argan-oil")</f>
        <v>https://professionalsolutions.net/products/professional-skin-care-100-pure-argan-oil</v>
      </c>
      <c r="C1706" t="s">
        <v>3924</v>
      </c>
      <c r="D1706" t="s">
        <v>4089</v>
      </c>
      <c r="E1706" s="3" t="str">
        <f>HYPERLINK("https://www.amazon.com/Organic-Pressed-Stimulate-Moisturizer-Protector/dp/B08KTGQCGV/ref=sr_1_6?keywords=100%25+Pure+Argan+Oil&amp;qid=1695259189&amp;sr=8-6", "https://www.amazon.com/Organic-Pressed-Stimulate-Moisturizer-Protector/dp/B08KTGQCGV/ref=sr_1_6?keywords=100%25+Pure+Argan+Oil&amp;qid=1695259189&amp;sr=8-6")</f>
        <v>https://www.amazon.com/Organic-Pressed-Stimulate-Moisturizer-Protector/dp/B08KTGQCGV/ref=sr_1_6?keywords=100%25+Pure+Argan+Oil&amp;qid=1695259189&amp;sr=8-6</v>
      </c>
      <c r="F1706" t="s">
        <v>4090</v>
      </c>
      <c r="G1706" t="e">
        <f ca="1">IMAGE("https://professionalsolutions.net/cdn/shop/products/100percent-pure-argan-oil_png.png?v=1527644622")</f>
        <v>#NAME?</v>
      </c>
      <c r="H1706" t="e">
        <f ca="1">IMAGE("https://m.media-amazon.com/images/I/71nqwd7ohXL._AC_UL320_.jpg")</f>
        <v>#NAME?</v>
      </c>
      <c r="I1706" t="s">
        <v>3896</v>
      </c>
      <c r="J1706">
        <v>14.99</v>
      </c>
      <c r="K1706" s="2" t="s">
        <v>4091</v>
      </c>
      <c r="L1706">
        <v>4.5999999999999996</v>
      </c>
      <c r="M1706">
        <v>2346</v>
      </c>
      <c r="O1706" t="s">
        <v>26</v>
      </c>
      <c r="P1706" t="s">
        <v>39</v>
      </c>
      <c r="Q1706" t="s">
        <v>3928</v>
      </c>
    </row>
    <row r="1707" spans="1:17" ht="15.75" x14ac:dyDescent="0.25">
      <c r="A1707" s="3" t="str">
        <f>HYPERLINK("https://professionalsolutions.net/products/professional-skin-care-hyaluronic-cream", "https://professionalsolutions.net/products/professional-skin-care-hyaluronic-cream")</f>
        <v>https://professionalsolutions.net/products/professional-skin-care-hyaluronic-cream</v>
      </c>
      <c r="B1707" s="3" t="str">
        <f>HYPERLINK("https://professionalsolutions.net/products/professional-skin-care-hyaluronic-cream", "https://professionalsolutions.net/products/professional-skin-care-hyaluronic-cream")</f>
        <v>https://professionalsolutions.net/products/professional-skin-care-hyaluronic-cream</v>
      </c>
      <c r="C1707" t="s">
        <v>4004</v>
      </c>
      <c r="D1707" t="s">
        <v>4092</v>
      </c>
      <c r="E1707" s="3" t="str">
        <f>HYPERLINK("https://www.amazon.com/l-f-Moisturizer-Nourishing-Hyaluronic-Cruelty-Free/dp/B08127SC4G/ref=sr_1_6?keywords=Hyaluronic+Cream&amp;qid=1695259185&amp;sr=8-6", "https://www.amazon.com/l-f-Moisturizer-Nourishing-Hyaluronic-Cruelty-Free/dp/B08127SC4G/ref=sr_1_6?keywords=Hyaluronic+Cream&amp;qid=1695259185&amp;sr=8-6")</f>
        <v>https://www.amazon.com/l-f-Moisturizer-Nourishing-Hyaluronic-Cruelty-Free/dp/B08127SC4G/ref=sr_1_6?keywords=Hyaluronic+Cream&amp;qid=1695259185&amp;sr=8-6</v>
      </c>
      <c r="F1707" t="s">
        <v>4093</v>
      </c>
      <c r="G1707" t="e">
        <f ca="1">IMAGE("https://professionalsolutions.net/cdn/shop/products/hyaluronic-cream.png?v=1527641595")</f>
        <v>#NAME?</v>
      </c>
      <c r="H1707" t="e">
        <f ca="1">IMAGE("https://m.media-amazon.com/images/I/617vWWDZ18L._AC_UL320_.jpg")</f>
        <v>#NAME?</v>
      </c>
      <c r="I1707" t="s">
        <v>3913</v>
      </c>
      <c r="J1707">
        <v>12.64</v>
      </c>
      <c r="K1707" s="2" t="s">
        <v>4094</v>
      </c>
      <c r="L1707">
        <v>4.5999999999999996</v>
      </c>
      <c r="M1707">
        <v>7944</v>
      </c>
      <c r="O1707" t="s">
        <v>26</v>
      </c>
      <c r="P1707" t="s">
        <v>39</v>
      </c>
      <c r="Q1707" t="s">
        <v>4007</v>
      </c>
    </row>
    <row r="1708" spans="1:17" ht="15.75" x14ac:dyDescent="0.25">
      <c r="A1708" s="3" t="str">
        <f>HYPERLINK("https://professionalsolutions.net/products/overnight-collagen-mask", "https://professionalsolutions.net/products/overnight-collagen-mask")</f>
        <v>https://professionalsolutions.net/products/overnight-collagen-mask</v>
      </c>
      <c r="B1708" s="3" t="str">
        <f>HYPERLINK("https://professionalsolutions.net/products/overnight-collagen-mask", "https://professionalsolutions.net/products/overnight-collagen-mask")</f>
        <v>https://professionalsolutions.net/products/overnight-collagen-mask</v>
      </c>
      <c r="C1708" t="s">
        <v>4010</v>
      </c>
      <c r="D1708" t="s">
        <v>4095</v>
      </c>
      <c r="E1708" s="3" t="str">
        <f>HYPERLINK("https://www.amazon.com/Biodance-Bio-Collagen-Tightening-Hydrating-Molecular/dp/B0B2RM68G2/ref=sr_1_4?keywords=Overnight+Collagen+Mask&amp;qid=1695259213&amp;sr=8-4", "https://www.amazon.com/Biodance-Bio-Collagen-Tightening-Hydrating-Molecular/dp/B0B2RM68G2/ref=sr_1_4?keywords=Overnight+Collagen+Mask&amp;qid=1695259213&amp;sr=8-4")</f>
        <v>https://www.amazon.com/Biodance-Bio-Collagen-Tightening-Hydrating-Molecular/dp/B0B2RM68G2/ref=sr_1_4?keywords=Overnight+Collagen+Mask&amp;qid=1695259213&amp;sr=8-4</v>
      </c>
      <c r="F1708" t="s">
        <v>4096</v>
      </c>
      <c r="G1708" t="e">
        <f ca="1">IMAGE("https://professionalsolutions.net/cdn/shop/products/overnight-collagen-mask.png?v=1581449027")</f>
        <v>#NAME?</v>
      </c>
      <c r="H1708" t="e">
        <f ca="1">IMAGE("https://m.media-amazon.com/images/I/51tUmDDCLLL._AC_UL320_.jpg")</f>
        <v>#NAME?</v>
      </c>
      <c r="I1708" t="s">
        <v>4013</v>
      </c>
      <c r="J1708">
        <v>16</v>
      </c>
      <c r="K1708" s="2" t="s">
        <v>4097</v>
      </c>
      <c r="L1708">
        <v>4.0999999999999996</v>
      </c>
      <c r="M1708">
        <v>160</v>
      </c>
      <c r="O1708" t="s">
        <v>26</v>
      </c>
      <c r="P1708" t="s">
        <v>39</v>
      </c>
      <c r="Q1708" t="s">
        <v>4015</v>
      </c>
    </row>
    <row r="1709" spans="1:17" ht="15.75" x14ac:dyDescent="0.25">
      <c r="A1709" s="3" t="str">
        <f>HYPERLINK("https://professionalsolutions.net/products/professional-skin-care-retinol-cream", "https://professionalsolutions.net/products/professional-skin-care-retinol-cream")</f>
        <v>https://professionalsolutions.net/products/professional-skin-care-retinol-cream</v>
      </c>
      <c r="B1709" s="3" t="str">
        <f>HYPERLINK("https://professionalsolutions.net/products/professional-skin-care-retinol-cream", "https://professionalsolutions.net/products/professional-skin-care-retinol-cream")</f>
        <v>https://professionalsolutions.net/products/professional-skin-care-retinol-cream</v>
      </c>
      <c r="C1709" t="s">
        <v>4040</v>
      </c>
      <c r="D1709" t="s">
        <v>4098</v>
      </c>
      <c r="E1709" s="3" t="str">
        <f>HYPERLINK("https://www.amazon.com/Retinol-Moisturizer-Wrinkle-wrinkles-Retinoid/dp/B08FBFDYR8/ref=sr_1_3?keywords=Retinol+Cream&amp;qid=1695259183&amp;sr=8-3", "https://www.amazon.com/Retinol-Moisturizer-Wrinkle-wrinkles-Retinoid/dp/B08FBFDYR8/ref=sr_1_3?keywords=Retinol+Cream&amp;qid=1695259183&amp;sr=8-3")</f>
        <v>https://www.amazon.com/Retinol-Moisturizer-Wrinkle-wrinkles-Retinoid/dp/B08FBFDYR8/ref=sr_1_3?keywords=Retinol+Cream&amp;qid=1695259183&amp;sr=8-3</v>
      </c>
      <c r="F1709" t="s">
        <v>4099</v>
      </c>
      <c r="G1709" t="e">
        <f ca="1">IMAGE("https://professionalsolutions.net/cdn/shop/products/retinol-cream.png?v=1526514066")</f>
        <v>#NAME?</v>
      </c>
      <c r="H1709" t="e">
        <f ca="1">IMAGE("https://m.media-amazon.com/images/I/71mF-DWpbWL._AC_UL320_.jpg")</f>
        <v>#NAME?</v>
      </c>
      <c r="I1709" t="s">
        <v>2468</v>
      </c>
      <c r="J1709">
        <v>18.95</v>
      </c>
      <c r="K1709" s="2" t="s">
        <v>4100</v>
      </c>
      <c r="L1709">
        <v>4.7</v>
      </c>
      <c r="M1709">
        <v>48894</v>
      </c>
      <c r="O1709" t="s">
        <v>26</v>
      </c>
      <c r="P1709" t="s">
        <v>39</v>
      </c>
      <c r="Q1709" t="s">
        <v>4044</v>
      </c>
    </row>
    <row r="1710" spans="1:17" ht="15.75" x14ac:dyDescent="0.25">
      <c r="A1710" s="3" t="str">
        <f>HYPERLINK("https://professionalsolutions.net/products/professional-skin-care-triple-action-vitamin-c", "https://professionalsolutions.net/products/professional-skin-care-triple-action-vitamin-c")</f>
        <v>https://professionalsolutions.net/products/professional-skin-care-triple-action-vitamin-c</v>
      </c>
      <c r="B1710" s="3" t="str">
        <f>HYPERLINK("https://professionalsolutions.net/products/professional-skin-care-triple-action-vitamin-c", "https://professionalsolutions.net/products/professional-skin-care-triple-action-vitamin-c")</f>
        <v>https://professionalsolutions.net/products/professional-skin-care-triple-action-vitamin-c</v>
      </c>
      <c r="C1710" t="s">
        <v>3975</v>
      </c>
      <c r="D1710" t="s">
        <v>4101</v>
      </c>
      <c r="E1710" s="3" t="str">
        <f>HYPERLINK("https://www.amazon.com/No-7-Luminate-Wrinkles-Reduced/dp/B07R4XBR83/ref=sr_1_2?keywords=Triple+Action+Vitamin+C&amp;qid=1695259190&amp;sr=8-2", "https://www.amazon.com/No-7-Luminate-Wrinkles-Reduced/dp/B07R4XBR83/ref=sr_1_2?keywords=Triple+Action+Vitamin+C&amp;qid=1695259190&amp;sr=8-2")</f>
        <v>https://www.amazon.com/No-7-Luminate-Wrinkles-Reduced/dp/B07R4XBR83/ref=sr_1_2?keywords=Triple+Action+Vitamin+C&amp;qid=1695259190&amp;sr=8-2</v>
      </c>
      <c r="F1710" t="s">
        <v>4102</v>
      </c>
      <c r="G1710" t="e">
        <f ca="1">IMAGE("https://professionalsolutions.net/cdn/shop/products/triple-action-vitamin-c.png?v=1527641910")</f>
        <v>#NAME?</v>
      </c>
      <c r="H1710" t="e">
        <f ca="1">IMAGE("https://m.media-amazon.com/images/I/510zmqEfNVL._AC_UL320_.jpg")</f>
        <v>#NAME?</v>
      </c>
      <c r="I1710" t="s">
        <v>2994</v>
      </c>
      <c r="J1710">
        <v>23.5</v>
      </c>
      <c r="K1710" s="2" t="s">
        <v>4103</v>
      </c>
      <c r="L1710">
        <v>4.5999999999999996</v>
      </c>
      <c r="M1710">
        <v>4106</v>
      </c>
      <c r="O1710" t="s">
        <v>26</v>
      </c>
      <c r="P1710" t="s">
        <v>39</v>
      </c>
      <c r="Q1710" t="s">
        <v>3979</v>
      </c>
    </row>
    <row r="1711" spans="1:17" ht="15.75" x14ac:dyDescent="0.25">
      <c r="A1711" s="3" t="str">
        <f>HYPERLINK("https://professionalsolutions.net/products/professional-skin-care-vitamin-c-serum-12percent", "https://professionalsolutions.net/products/professional-skin-care-vitamin-c-serum-12percent")</f>
        <v>https://professionalsolutions.net/products/professional-skin-care-vitamin-c-serum-12percent</v>
      </c>
      <c r="B1711" s="3" t="str">
        <f>HYPERLINK("https://professionalsolutions.net/products/professional-skin-care-vitamin-c-serum-12percent", "https://professionalsolutions.net/products/professional-skin-care-vitamin-c-serum-12percent")</f>
        <v>https://professionalsolutions.net/products/professional-skin-care-vitamin-c-serum-12percent</v>
      </c>
      <c r="C1711" t="s">
        <v>3906</v>
      </c>
      <c r="D1711" t="s">
        <v>4104</v>
      </c>
      <c r="E1711" s="3" t="str">
        <f>HYPERLINK("https://www.amazon.com/LOreal-Paris-Revitalift-Intensives-Salicylic/dp/B0BMJVWLTK/ref=sr_1_2?keywords=Vitamin+C+Serum+12%25&amp;qid=1695259182&amp;sr=8-2", "https://www.amazon.com/LOreal-Paris-Revitalift-Intensives-Salicylic/dp/B0BMJVWLTK/ref=sr_1_2?keywords=Vitamin+C+Serum+12%25&amp;qid=1695259182&amp;sr=8-2")</f>
        <v>https://www.amazon.com/LOreal-Paris-Revitalift-Intensives-Salicylic/dp/B0BMJVWLTK/ref=sr_1_2?keywords=Vitamin+C+Serum+12%25&amp;qid=1695259182&amp;sr=8-2</v>
      </c>
      <c r="F1711" t="s">
        <v>4105</v>
      </c>
      <c r="G1711" t="e">
        <f ca="1">IMAGE("https://professionalsolutions.net/cdn/shop/products/vitamin-c-plus-serum-12-percent.png?v=1526498556")</f>
        <v>#NAME?</v>
      </c>
      <c r="H1711" t="e">
        <f ca="1">IMAGE("https://m.media-amazon.com/images/I/81J91gu6n3L._AC_UL320_.jpg")</f>
        <v>#NAME?</v>
      </c>
      <c r="I1711" t="s">
        <v>3909</v>
      </c>
      <c r="J1711">
        <v>20.25</v>
      </c>
      <c r="K1711" s="2" t="s">
        <v>4106</v>
      </c>
      <c r="L1711">
        <v>4.5</v>
      </c>
      <c r="M1711">
        <v>189</v>
      </c>
      <c r="O1711" t="s">
        <v>26</v>
      </c>
      <c r="P1711" t="s">
        <v>39</v>
      </c>
      <c r="Q1711" t="s">
        <v>3911</v>
      </c>
    </row>
    <row r="1712" spans="1:17" ht="15.75" x14ac:dyDescent="0.25">
      <c r="A1712" s="3" t="str">
        <f>HYPERLINK("https://professionalsolutions.net/products/professional-skin-care-vitamin-c-serum-12percent", "https://professionalsolutions.net/products/professional-skin-care-vitamin-c-serum-12percent")</f>
        <v>https://professionalsolutions.net/products/professional-skin-care-vitamin-c-serum-12percent</v>
      </c>
      <c r="B1712" s="3" t="str">
        <f>HYPERLINK("https://professionalsolutions.net/products/professional-skin-care-vitamin-c-serum-12percent", "https://professionalsolutions.net/products/professional-skin-care-vitamin-c-serum-12percent")</f>
        <v>https://professionalsolutions.net/products/professional-skin-care-vitamin-c-serum-12percent</v>
      </c>
      <c r="C1712" t="s">
        <v>3906</v>
      </c>
      <c r="D1712" t="s">
        <v>4107</v>
      </c>
      <c r="E1712" s="3" t="str">
        <f>HYPERLINK("https://www.amazon.com/Seoul-Ceuticals-Korean-Skin-Care/dp/B072K1LNNY/ref=sr_1_8?keywords=Vitamin+C+Serum+12%25&amp;qid=1695259182&amp;sr=8-8", "https://www.amazon.com/Seoul-Ceuticals-Korean-Skin-Care/dp/B072K1LNNY/ref=sr_1_8?keywords=Vitamin+C+Serum+12%25&amp;qid=1695259182&amp;sr=8-8")</f>
        <v>https://www.amazon.com/Seoul-Ceuticals-Korean-Skin-Care/dp/B072K1LNNY/ref=sr_1_8?keywords=Vitamin+C+Serum+12%25&amp;qid=1695259182&amp;sr=8-8</v>
      </c>
      <c r="F1712" t="s">
        <v>4108</v>
      </c>
      <c r="G1712" t="e">
        <f ca="1">IMAGE("https://professionalsolutions.net/cdn/shop/products/vitamin-c-plus-serum-12-percent.png?v=1526498556")</f>
        <v>#NAME?</v>
      </c>
      <c r="H1712" t="e">
        <f ca="1">IMAGE("https://m.media-amazon.com/images/I/71A-OkDQNAL._AC_UL320_.jpg")</f>
        <v>#NAME?</v>
      </c>
      <c r="I1712" t="s">
        <v>3909</v>
      </c>
      <c r="J1712">
        <v>20</v>
      </c>
      <c r="K1712" s="2" t="s">
        <v>4109</v>
      </c>
      <c r="L1712">
        <v>4.3</v>
      </c>
      <c r="M1712">
        <v>20806</v>
      </c>
      <c r="O1712" t="s">
        <v>26</v>
      </c>
      <c r="P1712" t="s">
        <v>39</v>
      </c>
      <c r="Q1712" t="s">
        <v>3911</v>
      </c>
    </row>
    <row r="1713" spans="1:17" ht="15.75" x14ac:dyDescent="0.25">
      <c r="A1713" s="3" t="str">
        <f>HYPERLINK("https://professionalsolutions.net/products/professional-skin-care-triple-action-vitamin-c", "https://professionalsolutions.net/products/professional-skin-care-triple-action-vitamin-c")</f>
        <v>https://professionalsolutions.net/products/professional-skin-care-triple-action-vitamin-c</v>
      </c>
      <c r="B1713" s="3" t="str">
        <f>HYPERLINK("https://professionalsolutions.net/products/professional-skin-care-triple-action-vitamin-c", "https://professionalsolutions.net/products/professional-skin-care-triple-action-vitamin-c")</f>
        <v>https://professionalsolutions.net/products/professional-skin-care-triple-action-vitamin-c</v>
      </c>
      <c r="C1713" t="s">
        <v>3975</v>
      </c>
      <c r="D1713" t="s">
        <v>4110</v>
      </c>
      <c r="E1713" s="3" t="str">
        <f>HYPERLINK("https://www.amazon.com/Luminate-Triple-Action-Night-Cream/dp/B0B174QZGX/ref=sr_1_8?keywords=Triple+Action+Vitamin+C&amp;qid=1695259190&amp;sr=8-8", "https://www.amazon.com/Luminate-Triple-Action-Night-Cream/dp/B0B174QZGX/ref=sr_1_8?keywords=Triple+Action+Vitamin+C&amp;qid=1695259190&amp;sr=8-8")</f>
        <v>https://www.amazon.com/Luminate-Triple-Action-Night-Cream/dp/B0B174QZGX/ref=sr_1_8?keywords=Triple+Action+Vitamin+C&amp;qid=1695259190&amp;sr=8-8</v>
      </c>
      <c r="F1713" t="s">
        <v>4111</v>
      </c>
      <c r="G1713" t="e">
        <f ca="1">IMAGE("https://professionalsolutions.net/cdn/shop/products/triple-action-vitamin-c.png?v=1527641910")</f>
        <v>#NAME?</v>
      </c>
      <c r="H1713" t="e">
        <f ca="1">IMAGE("https://m.media-amazon.com/images/I/61eowKEYRqL._AC_UL320_.jpg")</f>
        <v>#NAME?</v>
      </c>
      <c r="I1713" t="s">
        <v>2994</v>
      </c>
      <c r="J1713">
        <v>22.85</v>
      </c>
      <c r="K1713" s="2" t="s">
        <v>4112</v>
      </c>
      <c r="L1713">
        <v>5</v>
      </c>
      <c r="M1713">
        <v>11</v>
      </c>
      <c r="O1713" t="s">
        <v>26</v>
      </c>
      <c r="P1713" t="s">
        <v>39</v>
      </c>
      <c r="Q1713" t="s">
        <v>3979</v>
      </c>
    </row>
    <row r="1714" spans="1:17" ht="15.75" x14ac:dyDescent="0.25">
      <c r="A1714" s="3" t="str">
        <f>HYPERLINK("https://professionalsolutions.net/products/instant-miracle-repair-serum", "https://professionalsolutions.net/products/instant-miracle-repair-serum")</f>
        <v>https://professionalsolutions.net/products/instant-miracle-repair-serum</v>
      </c>
      <c r="B1714" s="3" t="str">
        <f>HYPERLINK("https://professionalsolutions.net/products/instant-miracle-repair-serum", "https://professionalsolutions.net/products/instant-miracle-repair-serum")</f>
        <v>https://professionalsolutions.net/products/instant-miracle-repair-serum</v>
      </c>
      <c r="C1714" t="s">
        <v>3983</v>
      </c>
      <c r="D1714" t="s">
        <v>4113</v>
      </c>
      <c r="E1714" s="3" t="str">
        <f>HYPERLINK("https://www.amazon.com/Neutrogena-Concentrated-Lightweight-Anti-wrinkle-Treatment/dp/B07GPZYZBC/ref=sr_1_4?keywords=Miracle+Wrinkle+Repair+Serum&amp;qid=1695259198&amp;sr=8-4", "https://www.amazon.com/Neutrogena-Concentrated-Lightweight-Anti-wrinkle-Treatment/dp/B07GPZYZBC/ref=sr_1_4?keywords=Miracle+Wrinkle+Repair+Serum&amp;qid=1695259198&amp;sr=8-4")</f>
        <v>https://www.amazon.com/Neutrogena-Concentrated-Lightweight-Anti-wrinkle-Treatment/dp/B07GPZYZBC/ref=sr_1_4?keywords=Miracle+Wrinkle+Repair+Serum&amp;qid=1695259198&amp;sr=8-4</v>
      </c>
      <c r="F1714" t="s">
        <v>4114</v>
      </c>
      <c r="G1714" t="e">
        <f ca="1">IMAGE("https://professionalsolutions.net/cdn/shop/products/instant-miracle-wrinkle-repair-serum.png?v=1580929149")</f>
        <v>#NAME?</v>
      </c>
      <c r="H1714" t="e">
        <f ca="1">IMAGE("https://m.media-amazon.com/images/I/61FALqOXZTL._AC_UL320_.jpg")</f>
        <v>#NAME?</v>
      </c>
      <c r="I1714" t="s">
        <v>3986</v>
      </c>
      <c r="J1714">
        <v>23.68</v>
      </c>
      <c r="K1714" s="2" t="s">
        <v>4115</v>
      </c>
      <c r="L1714">
        <v>4.4000000000000004</v>
      </c>
      <c r="M1714">
        <v>8980</v>
      </c>
      <c r="O1714" t="s">
        <v>26</v>
      </c>
      <c r="P1714" t="s">
        <v>39</v>
      </c>
      <c r="Q1714" t="s">
        <v>3988</v>
      </c>
    </row>
    <row r="1715" spans="1:17" ht="15.75" x14ac:dyDescent="0.25">
      <c r="A1715" s="3" t="str">
        <f>HYPERLINK("https://professionalsolutions.net/products/professional-skin-care-multi-peptide-serum", "https://professionalsolutions.net/products/professional-skin-care-multi-peptide-serum")</f>
        <v>https://professionalsolutions.net/products/professional-skin-care-multi-peptide-serum</v>
      </c>
      <c r="B1715" s="3" t="str">
        <f>HYPERLINK("https://professionalsolutions.net/products/professional-skin-care-multi-peptide-serum", "https://professionalsolutions.net/products/professional-skin-care-multi-peptide-serum")</f>
        <v>https://professionalsolutions.net/products/professional-skin-care-multi-peptide-serum</v>
      </c>
      <c r="C1715" t="s">
        <v>3969</v>
      </c>
      <c r="D1715" t="s">
        <v>4116</v>
      </c>
      <c r="E1715" s="3" t="str">
        <f>HYPERLINK("https://www.amazon.com/Restore-Renew-Multi-Action-Milliliter/dp/B072FCDDHJ/ref=sr_1_5?keywords=Multi+Peptide+Serum&amp;qid=1695259184&amp;sr=8-5", "https://www.amazon.com/Restore-Renew-Multi-Action-Milliliter/dp/B072FCDDHJ/ref=sr_1_5?keywords=Multi+Peptide+Serum&amp;qid=1695259184&amp;sr=8-5")</f>
        <v>https://www.amazon.com/Restore-Renew-Multi-Action-Milliliter/dp/B072FCDDHJ/ref=sr_1_5?keywords=Multi+Peptide+Serum&amp;qid=1695259184&amp;sr=8-5</v>
      </c>
      <c r="F1715" t="s">
        <v>4117</v>
      </c>
      <c r="G1715" t="e">
        <f ca="1">IMAGE("https://professionalsolutions.net/cdn/shop/products/multi-peptide-serum.png?v=1626995119")</f>
        <v>#NAME?</v>
      </c>
      <c r="H1715" t="e">
        <f ca="1">IMAGE("https://m.media-amazon.com/images/I/51-8vpNe3WL._AC_UL320_.jpg")</f>
        <v>#NAME?</v>
      </c>
      <c r="I1715" t="s">
        <v>3932</v>
      </c>
      <c r="J1715">
        <v>28.98</v>
      </c>
      <c r="K1715" s="2" t="s">
        <v>4118</v>
      </c>
      <c r="L1715">
        <v>4.5</v>
      </c>
      <c r="M1715">
        <v>2654</v>
      </c>
      <c r="O1715" t="s">
        <v>26</v>
      </c>
      <c r="P1715" t="s">
        <v>39</v>
      </c>
      <c r="Q1715" t="s">
        <v>3971</v>
      </c>
    </row>
    <row r="1716" spans="1:17" ht="15.75" x14ac:dyDescent="0.25">
      <c r="A1716" s="3" t="str">
        <f>HYPERLINK("https://professionalsolutions.net/products/professional-skin-care-multi-peptide-cream", "https://professionalsolutions.net/products/professional-skin-care-multi-peptide-cream")</f>
        <v>https://professionalsolutions.net/products/professional-skin-care-multi-peptide-cream</v>
      </c>
      <c r="B1716" s="3" t="str">
        <f>HYPERLINK("https://professionalsolutions.net/products/professional-skin-care-multi-peptide-cream", "https://professionalsolutions.net/products/professional-skin-care-multi-peptide-cream")</f>
        <v>https://professionalsolutions.net/products/professional-skin-care-multi-peptide-cream</v>
      </c>
      <c r="C1716" t="s">
        <v>3995</v>
      </c>
      <c r="D1716" t="s">
        <v>4119</v>
      </c>
      <c r="E1716" s="3" t="str">
        <f>HYPERLINK("https://www.amazon.com/Evolve-Organic-Beauty-Moisture-Small-Batch/dp/B09ZJ6KJR3/ref=sr_1_4?keywords=Multi+Peptide+Cream&amp;qid=1695259184&amp;sr=8-4", "https://www.amazon.com/Evolve-Organic-Beauty-Moisture-Small-Batch/dp/B09ZJ6KJR3/ref=sr_1_4?keywords=Multi+Peptide+Cream&amp;qid=1695259184&amp;sr=8-4")</f>
        <v>https://www.amazon.com/Evolve-Organic-Beauty-Moisture-Small-Batch/dp/B09ZJ6KJR3/ref=sr_1_4?keywords=Multi+Peptide+Cream&amp;qid=1695259184&amp;sr=8-4</v>
      </c>
      <c r="F1716" t="s">
        <v>4120</v>
      </c>
      <c r="G1716" t="e">
        <f ca="1">IMAGE("https://professionalsolutions.net/cdn/shop/products/multi-peptide-cream.png?v=1526497172")</f>
        <v>#NAME?</v>
      </c>
      <c r="H1716" t="e">
        <f ca="1">IMAGE("https://m.media-amazon.com/images/I/51-VUKfPSdL._AC_UL320_.jpg")</f>
        <v>#NAME?</v>
      </c>
      <c r="I1716" t="s">
        <v>3998</v>
      </c>
      <c r="J1716">
        <v>26</v>
      </c>
      <c r="K1716" s="2" t="s">
        <v>4121</v>
      </c>
      <c r="L1716">
        <v>3.8</v>
      </c>
      <c r="M1716">
        <v>39</v>
      </c>
      <c r="O1716" t="s">
        <v>26</v>
      </c>
      <c r="P1716" t="s">
        <v>39</v>
      </c>
      <c r="Q1716" t="s">
        <v>4000</v>
      </c>
    </row>
    <row r="1717" spans="1:17" ht="15.75" x14ac:dyDescent="0.25">
      <c r="A1717" s="3" t="str">
        <f>HYPERLINK("https://professionalsolutions.net/products/professional-skin-care-triple-action-vitamin-c", "https://professionalsolutions.net/products/professional-skin-care-triple-action-vitamin-c")</f>
        <v>https://professionalsolutions.net/products/professional-skin-care-triple-action-vitamin-c</v>
      </c>
      <c r="B1717" s="3" t="str">
        <f>HYPERLINK("https://professionalsolutions.net/products/professional-skin-care-triple-action-vitamin-c", "https://professionalsolutions.net/products/professional-skin-care-triple-action-vitamin-c")</f>
        <v>https://professionalsolutions.net/products/professional-skin-care-triple-action-vitamin-c</v>
      </c>
      <c r="C1717" t="s">
        <v>3975</v>
      </c>
      <c r="D1717" t="s">
        <v>4122</v>
      </c>
      <c r="E1717" s="3" t="str">
        <f>HYPERLINK("https://www.amazon.com/Lift-Luminate-Serum30ml-Triple-Action/dp/B01GQVAVKA/ref=sr_1_4?keywords=Triple+Action+Vitamin+C&amp;qid=1695259190&amp;sr=8-4", "https://www.amazon.com/Lift-Luminate-Serum30ml-Triple-Action/dp/B01GQVAVKA/ref=sr_1_4?keywords=Triple+Action+Vitamin+C&amp;qid=1695259190&amp;sr=8-4")</f>
        <v>https://www.amazon.com/Lift-Luminate-Serum30ml-Triple-Action/dp/B01GQVAVKA/ref=sr_1_4?keywords=Triple+Action+Vitamin+C&amp;qid=1695259190&amp;sr=8-4</v>
      </c>
      <c r="F1717" t="s">
        <v>4123</v>
      </c>
      <c r="G1717" t="e">
        <f ca="1">IMAGE("https://professionalsolutions.net/cdn/shop/products/triple-action-vitamin-c.png?v=1527641910")</f>
        <v>#NAME?</v>
      </c>
      <c r="H1717" t="e">
        <f ca="1">IMAGE("https://m.media-amazon.com/images/I/610LKmoYRHL._AC_UL320_.jpg")</f>
        <v>#NAME?</v>
      </c>
      <c r="I1717" t="s">
        <v>2994</v>
      </c>
      <c r="J1717">
        <v>21.8</v>
      </c>
      <c r="K1717" s="2" t="s">
        <v>4124</v>
      </c>
      <c r="L1717">
        <v>4.5</v>
      </c>
      <c r="M1717">
        <v>2664</v>
      </c>
      <c r="O1717" t="s">
        <v>26</v>
      </c>
      <c r="P1717" t="s">
        <v>39</v>
      </c>
      <c r="Q1717" t="s">
        <v>3979</v>
      </c>
    </row>
    <row r="1718" spans="1:17" ht="15.75" x14ac:dyDescent="0.25">
      <c r="A1718" s="3" t="str">
        <f>HYPERLINK("https://professionalsolutions.net/products/professional-skin-care-vitamin-c-serum-12percent", "https://professionalsolutions.net/products/professional-skin-care-vitamin-c-serum-12percent")</f>
        <v>https://professionalsolutions.net/products/professional-skin-care-vitamin-c-serum-12percent</v>
      </c>
      <c r="B1718" s="3" t="str">
        <f>HYPERLINK("https://professionalsolutions.net/products/professional-skin-care-vitamin-c-serum-12percent", "https://professionalsolutions.net/products/professional-skin-care-vitamin-c-serum-12percent")</f>
        <v>https://professionalsolutions.net/products/professional-skin-care-vitamin-c-serum-12percent</v>
      </c>
      <c r="C1718" t="s">
        <v>3906</v>
      </c>
      <c r="D1718" t="s">
        <v>4125</v>
      </c>
      <c r="E1718" s="3" t="str">
        <f>HYPERLINK("https://www.amazon.com/Vanicream-Vitamin-Serum-Fragrance-Formaldehyde/dp/B0BJ4GZTK1/ref=sr_1_5?keywords=Vitamin+C+Serum+12%25&amp;qid=1695259182&amp;sr=8-5", "https://www.amazon.com/Vanicream-Vitamin-Serum-Fragrance-Formaldehyde/dp/B0BJ4GZTK1/ref=sr_1_5?keywords=Vitamin+C+Serum+12%25&amp;qid=1695259182&amp;sr=8-5")</f>
        <v>https://www.amazon.com/Vanicream-Vitamin-Serum-Fragrance-Formaldehyde/dp/B0BJ4GZTK1/ref=sr_1_5?keywords=Vitamin+C+Serum+12%25&amp;qid=1695259182&amp;sr=8-5</v>
      </c>
      <c r="F1718" t="s">
        <v>4126</v>
      </c>
      <c r="G1718" t="e">
        <f ca="1">IMAGE("https://professionalsolutions.net/cdn/shop/products/vitamin-c-plus-serum-12-percent.png?v=1526498556")</f>
        <v>#NAME?</v>
      </c>
      <c r="H1718" t="e">
        <f ca="1">IMAGE("https://m.media-amazon.com/images/I/71MSy+pVjNL._AC_UL320_.jpg")</f>
        <v>#NAME?</v>
      </c>
      <c r="I1718" t="s">
        <v>3909</v>
      </c>
      <c r="J1718">
        <v>18.989999999999998</v>
      </c>
      <c r="K1718" s="2" t="s">
        <v>4127</v>
      </c>
      <c r="L1718">
        <v>4.5</v>
      </c>
      <c r="M1718">
        <v>526</v>
      </c>
      <c r="O1718" t="s">
        <v>26</v>
      </c>
      <c r="P1718" t="s">
        <v>39</v>
      </c>
      <c r="Q1718" t="s">
        <v>3911</v>
      </c>
    </row>
    <row r="1719" spans="1:17" ht="15.75" x14ac:dyDescent="0.25">
      <c r="A1719" s="3" t="str">
        <f>HYPERLINK("https://professionalsolutions.net/products/bright-beauty-peeling-pads", "https://professionalsolutions.net/products/bright-beauty-peeling-pads")</f>
        <v>https://professionalsolutions.net/products/bright-beauty-peeling-pads</v>
      </c>
      <c r="B1719" s="3" t="str">
        <f>HYPERLINK("https://professionalsolutions.net/products/bright-beauty-peeling-pads", "https://professionalsolutions.net/products/bright-beauty-peeling-pads")</f>
        <v>https://professionalsolutions.net/products/bright-beauty-peeling-pads</v>
      </c>
      <c r="C1719" t="s">
        <v>3893</v>
      </c>
      <c r="D1719" t="s">
        <v>4128</v>
      </c>
      <c r="E1719" s="3" t="str">
        <f>HYPERLINK("https://www.amazon.com/Pacifica-Brightening-White-Orange-Count/dp/B08P8K2M6Z/ref=sr_1_1?keywords=Bright+Beauty+Peeling+Pads&amp;qid=1695259183&amp;sr=8-1", "https://www.amazon.com/Pacifica-Brightening-White-Orange-Count/dp/B08P8K2M6Z/ref=sr_1_1?keywords=Bright+Beauty+Peeling+Pads&amp;qid=1695259183&amp;sr=8-1")</f>
        <v>https://www.amazon.com/Pacifica-Brightening-White-Orange-Count/dp/B08P8K2M6Z/ref=sr_1_1?keywords=Bright+Beauty+Peeling+Pads&amp;qid=1695259183&amp;sr=8-1</v>
      </c>
      <c r="F1719" t="s">
        <v>4129</v>
      </c>
      <c r="G1719" t="e">
        <f ca="1">IMAGE("https://professionalsolutions.net/cdn/shop/products/bright-beauty-peeling-pads.png?v=1580232089")</f>
        <v>#NAME?</v>
      </c>
      <c r="H1719" t="e">
        <f ca="1">IMAGE("https://m.media-amazon.com/images/I/61h1ebFCBBL._AC_UL320_.jpg")</f>
        <v>#NAME?</v>
      </c>
      <c r="I1719" t="s">
        <v>3896</v>
      </c>
      <c r="J1719">
        <v>12.99</v>
      </c>
      <c r="K1719" s="2" t="s">
        <v>4130</v>
      </c>
      <c r="L1719">
        <v>4.5</v>
      </c>
      <c r="M1719">
        <v>601</v>
      </c>
      <c r="O1719" t="s">
        <v>26</v>
      </c>
      <c r="P1719" t="s">
        <v>39</v>
      </c>
      <c r="Q1719" t="s">
        <v>3898</v>
      </c>
    </row>
    <row r="1720" spans="1:17" ht="15.75" x14ac:dyDescent="0.25">
      <c r="A1720" s="3" t="str">
        <f>HYPERLINK("https://professionalsolutions.net/products/professional-skin-care-100-pure-argan-oil", "https://professionalsolutions.net/products/professional-skin-care-100-pure-argan-oil")</f>
        <v>https://professionalsolutions.net/products/professional-skin-care-100-pure-argan-oil</v>
      </c>
      <c r="B1720" s="3" t="str">
        <f>HYPERLINK("https://professionalsolutions.net/products/professional-skin-care-100-pure-argan-oil", "https://professionalsolutions.net/products/professional-skin-care-100-pure-argan-oil")</f>
        <v>https://professionalsolutions.net/products/professional-skin-care-100-pure-argan-oil</v>
      </c>
      <c r="C1720" t="s">
        <v>3924</v>
      </c>
      <c r="D1720" t="s">
        <v>4131</v>
      </c>
      <c r="E1720" s="3" t="str">
        <f>HYPERLINK("https://www.amazon.com/PURA-DOR-Certified-Anti-Aging-Moisturizer/dp/B004Z209HS/ref=sr_1_4?keywords=100%25+Pure+Argan+Oil&amp;qid=1695259189&amp;sr=8-4", "https://www.amazon.com/PURA-DOR-Certified-Anti-Aging-Moisturizer/dp/B004Z209HS/ref=sr_1_4?keywords=100%25+Pure+Argan+Oil&amp;qid=1695259189&amp;sr=8-4")</f>
        <v>https://www.amazon.com/PURA-DOR-Certified-Anti-Aging-Moisturizer/dp/B004Z209HS/ref=sr_1_4?keywords=100%25+Pure+Argan+Oil&amp;qid=1695259189&amp;sr=8-4</v>
      </c>
      <c r="F1720" t="s">
        <v>4132</v>
      </c>
      <c r="G1720" t="e">
        <f ca="1">IMAGE("https://professionalsolutions.net/cdn/shop/products/100percent-pure-argan-oil_png.png?v=1527644622")</f>
        <v>#NAME?</v>
      </c>
      <c r="H1720" t="e">
        <f ca="1">IMAGE("https://m.media-amazon.com/images/I/81WZE7AStjL._AC_UL320_.jpg")</f>
        <v>#NAME?</v>
      </c>
      <c r="I1720" t="s">
        <v>3896</v>
      </c>
      <c r="J1720">
        <v>12.99</v>
      </c>
      <c r="K1720" s="2" t="s">
        <v>4130</v>
      </c>
      <c r="L1720">
        <v>4.5</v>
      </c>
      <c r="M1720">
        <v>14150</v>
      </c>
      <c r="O1720" t="s">
        <v>26</v>
      </c>
      <c r="P1720" t="s">
        <v>39</v>
      </c>
      <c r="Q1720" t="s">
        <v>3928</v>
      </c>
    </row>
    <row r="1721" spans="1:17" ht="15.75" x14ac:dyDescent="0.25">
      <c r="A1721" s="3" t="str">
        <f>HYPERLINK("https://professionalsolutions.net/products/professional-skin-care-retinol-cream", "https://professionalsolutions.net/products/professional-skin-care-retinol-cream")</f>
        <v>https://professionalsolutions.net/products/professional-skin-care-retinol-cream</v>
      </c>
      <c r="B1721" s="3" t="str">
        <f>HYPERLINK("https://professionalsolutions.net/products/professional-skin-care-retinol-cream", "https://professionalsolutions.net/products/professional-skin-care-retinol-cream")</f>
        <v>https://professionalsolutions.net/products/professional-skin-care-retinol-cream</v>
      </c>
      <c r="C1721" t="s">
        <v>4040</v>
      </c>
      <c r="D1721" t="s">
        <v>4133</v>
      </c>
      <c r="E1721" s="3" t="str">
        <f>HYPERLINK("https://www.amazon.com/Neutrogena-Wrinkle-Anti-Wrinkle-Accelerated-Moisturizer/dp/B004D2C4Q4/ref=sr_1_10?keywords=Retinol+Cream&amp;qid=1695259183&amp;sr=8-10", "https://www.amazon.com/Neutrogena-Wrinkle-Anti-Wrinkle-Accelerated-Moisturizer/dp/B004D2C4Q4/ref=sr_1_10?keywords=Retinol+Cream&amp;qid=1695259183&amp;sr=8-10")</f>
        <v>https://www.amazon.com/Neutrogena-Wrinkle-Anti-Wrinkle-Accelerated-Moisturizer/dp/B004D2C4Q4/ref=sr_1_10?keywords=Retinol+Cream&amp;qid=1695259183&amp;sr=8-10</v>
      </c>
      <c r="F1721" t="s">
        <v>4134</v>
      </c>
      <c r="G1721" t="e">
        <f ca="1">IMAGE("https://professionalsolutions.net/cdn/shop/products/retinol-cream.png?v=1526514066")</f>
        <v>#NAME?</v>
      </c>
      <c r="H1721" t="e">
        <f ca="1">IMAGE("https://m.media-amazon.com/images/I/81YhkTX4zhL._AC_UL320_.jpg")</f>
        <v>#NAME?</v>
      </c>
      <c r="I1721" t="s">
        <v>2468</v>
      </c>
      <c r="J1721">
        <v>16.91</v>
      </c>
      <c r="K1721" s="2" t="s">
        <v>4135</v>
      </c>
      <c r="L1721">
        <v>4.5</v>
      </c>
      <c r="M1721">
        <v>14837</v>
      </c>
      <c r="O1721" t="s">
        <v>26</v>
      </c>
      <c r="P1721" t="s">
        <v>39</v>
      </c>
      <c r="Q1721" t="s">
        <v>4044</v>
      </c>
    </row>
    <row r="1722" spans="1:17" ht="15.75" x14ac:dyDescent="0.25">
      <c r="A1722" s="3" t="str">
        <f>HYPERLINK("https://professionalsolutions.net/products/professional-skin-care-multi-peptide-serum", "https://professionalsolutions.net/products/professional-skin-care-multi-peptide-serum")</f>
        <v>https://professionalsolutions.net/products/professional-skin-care-multi-peptide-serum</v>
      </c>
      <c r="B1722" s="3" t="str">
        <f>HYPERLINK("https://professionalsolutions.net/products/professional-skin-care-multi-peptide-serum", "https://professionalsolutions.net/products/professional-skin-care-multi-peptide-serum")</f>
        <v>https://professionalsolutions.net/products/professional-skin-care-multi-peptide-serum</v>
      </c>
      <c r="C1722" t="s">
        <v>3969</v>
      </c>
      <c r="D1722" t="s">
        <v>4136</v>
      </c>
      <c r="E1722" s="3" t="str">
        <f>HYPERLINK("https://www.amazon.com/Multi-Technology-Peptide-Formally-Buffet-milliliters/dp/B07CNFMYYD/ref=sr_1_1?keywords=Multi+Peptide+Serum&amp;qid=1695259184&amp;sr=8-1", "https://www.amazon.com/Multi-Technology-Peptide-Formally-Buffet-milliliters/dp/B07CNFMYYD/ref=sr_1_1?keywords=Multi+Peptide+Serum&amp;qid=1695259184&amp;sr=8-1")</f>
        <v>https://www.amazon.com/Multi-Technology-Peptide-Formally-Buffet-milliliters/dp/B07CNFMYYD/ref=sr_1_1?keywords=Multi+Peptide+Serum&amp;qid=1695259184&amp;sr=8-1</v>
      </c>
      <c r="F1722" t="s">
        <v>4137</v>
      </c>
      <c r="G1722" t="e">
        <f ca="1">IMAGE("https://professionalsolutions.net/cdn/shop/products/multi-peptide-serum.png?v=1626995119")</f>
        <v>#NAME?</v>
      </c>
      <c r="H1722" t="e">
        <f ca="1">IMAGE("https://m.media-amazon.com/images/I/516n9Dfk5vL._AC_UL320_.jpg")</f>
        <v>#NAME?</v>
      </c>
      <c r="I1722" t="s">
        <v>3932</v>
      </c>
      <c r="J1722">
        <v>25.95</v>
      </c>
      <c r="K1722" s="2" t="s">
        <v>4138</v>
      </c>
      <c r="L1722">
        <v>4.5999999999999996</v>
      </c>
      <c r="M1722">
        <v>2682</v>
      </c>
      <c r="O1722" t="s">
        <v>26</v>
      </c>
      <c r="P1722" t="s">
        <v>39</v>
      </c>
      <c r="Q1722" t="s">
        <v>3971</v>
      </c>
    </row>
    <row r="1723" spans="1:17" ht="15.75" x14ac:dyDescent="0.25">
      <c r="A1723" s="3" t="str">
        <f>HYPERLINK("https://professionalsolutions.net/products/overnight-collagen-mask", "https://professionalsolutions.net/products/overnight-collagen-mask")</f>
        <v>https://professionalsolutions.net/products/overnight-collagen-mask</v>
      </c>
      <c r="B1723" s="3" t="str">
        <f>HYPERLINK("https://professionalsolutions.net/products/overnight-collagen-mask", "https://professionalsolutions.net/products/overnight-collagen-mask")</f>
        <v>https://professionalsolutions.net/products/overnight-collagen-mask</v>
      </c>
      <c r="C1723" t="s">
        <v>4010</v>
      </c>
      <c r="D1723" t="s">
        <v>4139</v>
      </c>
      <c r="E1723" s="3" t="str">
        <f>HYPERLINK("https://www.amazon.com/Cr%C3%A8me-Shop-Anti-aging-Collagen-Overnight/dp/B072R4C8DP/ref=sr_1_6?keywords=Overnight+Collagen+Mask&amp;qid=1695259213&amp;sr=8-6", "https://www.amazon.com/Cr%C3%A8me-Shop-Anti-aging-Collagen-Overnight/dp/B072R4C8DP/ref=sr_1_6?keywords=Overnight+Collagen+Mask&amp;qid=1695259213&amp;sr=8-6")</f>
        <v>https://www.amazon.com/Cr%C3%A8me-Shop-Anti-aging-Collagen-Overnight/dp/B072R4C8DP/ref=sr_1_6?keywords=Overnight+Collagen+Mask&amp;qid=1695259213&amp;sr=8-6</v>
      </c>
      <c r="F1723" t="s">
        <v>4140</v>
      </c>
      <c r="G1723" t="e">
        <f ca="1">IMAGE("https://professionalsolutions.net/cdn/shop/products/overnight-collagen-mask.png?v=1581449027")</f>
        <v>#NAME?</v>
      </c>
      <c r="H1723" t="e">
        <f ca="1">IMAGE("https://m.media-amazon.com/images/I/310DvG641dL._AC_UL320_.jpg")</f>
        <v>#NAME?</v>
      </c>
      <c r="I1723" t="s">
        <v>4013</v>
      </c>
      <c r="J1723">
        <v>13.52</v>
      </c>
      <c r="K1723" s="2" t="s">
        <v>4141</v>
      </c>
      <c r="L1723">
        <v>4.5</v>
      </c>
      <c r="M1723">
        <v>228</v>
      </c>
      <c r="O1723" t="s">
        <v>26</v>
      </c>
      <c r="P1723" t="s">
        <v>39</v>
      </c>
      <c r="Q1723" t="s">
        <v>4015</v>
      </c>
    </row>
    <row r="1724" spans="1:17" ht="15.75" x14ac:dyDescent="0.25">
      <c r="A1724" s="3" t="str">
        <f>HYPERLINK("https://professionalsolutions.net/products/professional-skin-care-vitamin-b-c-e-and-ferulic", "https://professionalsolutions.net/products/professional-skin-care-vitamin-b-c-e-and-ferulic")</f>
        <v>https://professionalsolutions.net/products/professional-skin-care-vitamin-b-c-e-and-ferulic</v>
      </c>
      <c r="B1724" s="3" t="str">
        <f>HYPERLINK("https://professionalsolutions.net/products/professional-skin-care-vitamin-b-c-e-and-ferulic", "https://professionalsolutions.net/products/professional-skin-care-vitamin-b-c-e-and-ferulic")</f>
        <v>https://professionalsolutions.net/products/professional-skin-care-vitamin-b-c-e-and-ferulic</v>
      </c>
      <c r="C1724" t="s">
        <v>3964</v>
      </c>
      <c r="D1724" t="s">
        <v>4142</v>
      </c>
      <c r="E1724" s="3" t="str">
        <f>HYPERLINK("https://www.amazon.com/Hyaluronic-Antioxidant-Anti-aging-Wrinkles-Sensitive/dp/B08BNFG471/ref=sr_1_3?keywords=Vitamin+C%2CB%2CE+%26+Ferulic&amp;qid=1695259203&amp;sr=8-3", "https://www.amazon.com/Hyaluronic-Antioxidant-Anti-aging-Wrinkles-Sensitive/dp/B08BNFG471/ref=sr_1_3?keywords=Vitamin+C%2CB%2CE+%26+Ferulic&amp;qid=1695259203&amp;sr=8-3")</f>
        <v>https://www.amazon.com/Hyaluronic-Antioxidant-Anti-aging-Wrinkles-Sensitive/dp/B08BNFG471/ref=sr_1_3?keywords=Vitamin+C%2CB%2CE+%26+Ferulic&amp;qid=1695259203&amp;sr=8-3</v>
      </c>
      <c r="F1724" t="s">
        <v>4143</v>
      </c>
      <c r="G1724" t="e">
        <f ca="1">IMAGE("https://professionalsolutions.net/cdn/shop/products/vitamin-c-b-e-and-ferulic.png?v=1526498522")</f>
        <v>#NAME?</v>
      </c>
      <c r="H1724" t="e">
        <f ca="1">IMAGE("https://m.media-amazon.com/images/I/616Sl7Qg3wL._AC_UL320_.jpg")</f>
        <v>#NAME?</v>
      </c>
      <c r="I1724" t="s">
        <v>2994</v>
      </c>
      <c r="J1724">
        <v>20</v>
      </c>
      <c r="K1724" s="2" t="s">
        <v>2687</v>
      </c>
      <c r="L1724">
        <v>3.8</v>
      </c>
      <c r="M1724">
        <v>55</v>
      </c>
      <c r="O1724" t="s">
        <v>26</v>
      </c>
      <c r="P1724" t="s">
        <v>39</v>
      </c>
      <c r="Q1724" t="s">
        <v>3968</v>
      </c>
    </row>
    <row r="1725" spans="1:17" ht="15.75" x14ac:dyDescent="0.25">
      <c r="A1725" s="3" t="str">
        <f>HYPERLINK("https://professionalsolutions.net/products/professional-skin-care-vitamin-b-c-e-and-ferulic", "https://professionalsolutions.net/products/professional-skin-care-vitamin-b-c-e-and-ferulic")</f>
        <v>https://professionalsolutions.net/products/professional-skin-care-vitamin-b-c-e-and-ferulic</v>
      </c>
      <c r="B1725" s="3" t="str">
        <f>HYPERLINK("https://professionalsolutions.net/products/professional-skin-care-vitamin-b-c-e-and-ferulic", "https://professionalsolutions.net/products/professional-skin-care-vitamin-b-c-e-and-ferulic")</f>
        <v>https://professionalsolutions.net/products/professional-skin-care-vitamin-b-c-e-and-ferulic</v>
      </c>
      <c r="C1725" t="s">
        <v>3964</v>
      </c>
      <c r="D1725" t="s">
        <v>4144</v>
      </c>
      <c r="E1725" s="3" t="str">
        <f>HYPERLINK("https://www.amazon.com/Vitamin-Face-Serum-L-Ascorbic-Brightening/dp/B0BVRP97DV/ref=sr_1_10?keywords=Vitamin+C%2CB%2CE+%26+Ferulic&amp;qid=1695259203&amp;sr=8-10", "https://www.amazon.com/Vitamin-Face-Serum-L-Ascorbic-Brightening/dp/B0BVRP97DV/ref=sr_1_10?keywords=Vitamin+C%2CB%2CE+%26+Ferulic&amp;qid=1695259203&amp;sr=8-10")</f>
        <v>https://www.amazon.com/Vitamin-Face-Serum-L-Ascorbic-Brightening/dp/B0BVRP97DV/ref=sr_1_10?keywords=Vitamin+C%2CB%2CE+%26+Ferulic&amp;qid=1695259203&amp;sr=8-10</v>
      </c>
      <c r="F1725" t="s">
        <v>4145</v>
      </c>
      <c r="G1725" t="e">
        <f ca="1">IMAGE("https://professionalsolutions.net/cdn/shop/products/vitamin-c-b-e-and-ferulic.png?v=1526498522")</f>
        <v>#NAME?</v>
      </c>
      <c r="H1725" t="e">
        <f ca="1">IMAGE("https://m.media-amazon.com/images/I/61Y5VY9OUdL._AC_UL320_.jpg")</f>
        <v>#NAME?</v>
      </c>
      <c r="I1725" t="s">
        <v>2994</v>
      </c>
      <c r="J1725">
        <v>19.989999999999998</v>
      </c>
      <c r="K1725" s="2" t="s">
        <v>4146</v>
      </c>
      <c r="L1725">
        <v>4.7</v>
      </c>
      <c r="M1725">
        <v>373</v>
      </c>
      <c r="O1725" t="s">
        <v>26</v>
      </c>
      <c r="P1725" t="s">
        <v>39</v>
      </c>
      <c r="Q1725" t="s">
        <v>3968</v>
      </c>
    </row>
    <row r="1726" spans="1:17" ht="15.75" x14ac:dyDescent="0.25">
      <c r="A1726"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B1726"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C1726" t="s">
        <v>3916</v>
      </c>
      <c r="D1726" t="s">
        <v>4147</v>
      </c>
      <c r="E1726" s="3" t="str">
        <f>HYPERLINK("https://www.amazon.com/NIVEA-Firming-Wrinkle-Moisturizing-Wrinkles/dp/B0CF2TGX9K/ref=sr_1_4?keywords=Neck-Cessity+Neck+Firming+Cream&amp;qid=1695259188&amp;sr=8-4", "https://www.amazon.com/NIVEA-Firming-Wrinkle-Moisturizing-Wrinkles/dp/B0CF2TGX9K/ref=sr_1_4?keywords=Neck-Cessity+Neck+Firming+Cream&amp;qid=1695259188&amp;sr=8-4")</f>
        <v>https://www.amazon.com/NIVEA-Firming-Wrinkle-Moisturizing-Wrinkles/dp/B0CF2TGX9K/ref=sr_1_4?keywords=Neck-Cessity+Neck+Firming+Cream&amp;qid=1695259188&amp;sr=8-4</v>
      </c>
      <c r="F1726" t="s">
        <v>4148</v>
      </c>
      <c r="G1726" t="e">
        <f ca="1">IMAGE("https://professionalsolutions.net/cdn/shop/products/neck-cessity-neck-firming-cream.png?v=1529810520")</f>
        <v>#NAME?</v>
      </c>
      <c r="H1726" t="e">
        <f ca="1">IMAGE("https://m.media-amazon.com/images/I/61V5yLdz0PL._AC_UL320_.jpg")</f>
        <v>#NAME?</v>
      </c>
      <c r="I1726" t="s">
        <v>2468</v>
      </c>
      <c r="J1726">
        <v>15.99</v>
      </c>
      <c r="K1726" s="2" t="s">
        <v>4149</v>
      </c>
      <c r="L1726">
        <v>4</v>
      </c>
      <c r="M1726">
        <v>2</v>
      </c>
      <c r="O1726" t="s">
        <v>26</v>
      </c>
      <c r="P1726" t="s">
        <v>39</v>
      </c>
      <c r="Q1726" t="s">
        <v>3920</v>
      </c>
    </row>
    <row r="1727" spans="1:17" ht="15.75" x14ac:dyDescent="0.25">
      <c r="A1727" s="3" t="str">
        <f>HYPERLINK("https://professionalsolutions.net/products/professional-skin-care-multi-peptide-serum", "https://professionalsolutions.net/products/professional-skin-care-multi-peptide-serum")</f>
        <v>https://professionalsolutions.net/products/professional-skin-care-multi-peptide-serum</v>
      </c>
      <c r="B1727" s="3" t="str">
        <f>HYPERLINK("https://professionalsolutions.net/products/professional-skin-care-multi-peptide-serum", "https://professionalsolutions.net/products/professional-skin-care-multi-peptide-serum")</f>
        <v>https://professionalsolutions.net/products/professional-skin-care-multi-peptide-serum</v>
      </c>
      <c r="C1727" t="s">
        <v>3969</v>
      </c>
      <c r="D1727" t="s">
        <v>4150</v>
      </c>
      <c r="E1727" s="3" t="str">
        <f>HYPERLINK("https://www.amazon.com/Matrixyl-Argireline-Hyaluronic-Anti-Aging-Anti-Wrinkle/dp/B0C8W71689/ref=sr_1_9?keywords=Multi+Peptide+Serum&amp;qid=1695259184&amp;sr=8-9", "https://www.amazon.com/Matrixyl-Argireline-Hyaluronic-Anti-Aging-Anti-Wrinkle/dp/B0C8W71689/ref=sr_1_9?keywords=Multi+Peptide+Serum&amp;qid=1695259184&amp;sr=8-9")</f>
        <v>https://www.amazon.com/Matrixyl-Argireline-Hyaluronic-Anti-Aging-Anti-Wrinkle/dp/B0C8W71689/ref=sr_1_9?keywords=Multi+Peptide+Serum&amp;qid=1695259184&amp;sr=8-9</v>
      </c>
      <c r="F1727" t="s">
        <v>4151</v>
      </c>
      <c r="G1727" t="e">
        <f ca="1">IMAGE("https://professionalsolutions.net/cdn/shop/products/multi-peptide-serum.png?v=1626995119")</f>
        <v>#NAME?</v>
      </c>
      <c r="H1727" t="e">
        <f ca="1">IMAGE("https://m.media-amazon.com/images/I/512xYM5FdHL._AC_UL320_.jpg")</f>
        <v>#NAME?</v>
      </c>
      <c r="I1727" t="s">
        <v>3932</v>
      </c>
      <c r="J1727">
        <v>24.95</v>
      </c>
      <c r="K1727" s="2" t="s">
        <v>4152</v>
      </c>
      <c r="L1727">
        <v>3.8</v>
      </c>
      <c r="M1727">
        <v>8</v>
      </c>
      <c r="O1727" t="s">
        <v>26</v>
      </c>
      <c r="P1727" t="s">
        <v>39</v>
      </c>
      <c r="Q1727" t="s">
        <v>3971</v>
      </c>
    </row>
    <row r="1728" spans="1:17" ht="15.75" x14ac:dyDescent="0.25">
      <c r="A1728"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B1728"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C1728" t="s">
        <v>3912</v>
      </c>
      <c r="D1728" t="s">
        <v>4153</v>
      </c>
      <c r="E1728" s="3" t="str">
        <f>HYPERLINK("https://www.amazon.com/Minimalist-Exfoliating-Beginners-Glycolic-Salicylic/dp/B08GG5X3WZ/ref=sr_1_7?keywords=Lactic+Acid+Exfoliator+10%25&amp;qid=1695259182&amp;sr=8-7", "https://www.amazon.com/Minimalist-Exfoliating-Beginners-Glycolic-Salicylic/dp/B08GG5X3WZ/ref=sr_1_7?keywords=Lactic+Acid+Exfoliator+10%25&amp;qid=1695259182&amp;sr=8-7")</f>
        <v>https://www.amazon.com/Minimalist-Exfoliating-Beginners-Glycolic-Salicylic/dp/B08GG5X3WZ/ref=sr_1_7?keywords=Lactic+Acid+Exfoliator+10%25&amp;qid=1695259182&amp;sr=8-7</v>
      </c>
      <c r="F1728" t="s">
        <v>4154</v>
      </c>
      <c r="G1728" t="e">
        <f ca="1">IMAGE("https://professionalsolutions.net/cdn/shop/products/lactic-acid-exfoliator-10-percent.png?v=1529810228")</f>
        <v>#NAME?</v>
      </c>
      <c r="H1728" t="e">
        <f ca="1">IMAGE("https://m.media-amazon.com/images/I/71VZom1wRcL._AC_UL320_.jpg")</f>
        <v>#NAME?</v>
      </c>
      <c r="I1728" t="s">
        <v>3913</v>
      </c>
      <c r="J1728">
        <v>9.99</v>
      </c>
      <c r="K1728" s="2" t="s">
        <v>4155</v>
      </c>
      <c r="L1728">
        <v>4.2</v>
      </c>
      <c r="M1728">
        <v>1815</v>
      </c>
      <c r="O1728" t="s">
        <v>26</v>
      </c>
      <c r="P1728" t="s">
        <v>39</v>
      </c>
      <c r="Q1728" t="s">
        <v>3915</v>
      </c>
    </row>
    <row r="1729" spans="1:17" ht="15.75" x14ac:dyDescent="0.25">
      <c r="A1729"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B1729"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C1729" t="s">
        <v>3912</v>
      </c>
      <c r="D1729" t="s">
        <v>4156</v>
      </c>
      <c r="E1729" s="3" t="str">
        <f>HYPERLINK("https://www.amazon.com/Medix-5-5-Exfoliating-Expression-Dermatologist/dp/B08KSK1ZY6/ref=sr_1_1?keywords=Lactic+Acid+Exfoliator+10%25&amp;qid=1695259182&amp;sr=8-1", "https://www.amazon.com/Medix-5-5-Exfoliating-Expression-Dermatologist/dp/B08KSK1ZY6/ref=sr_1_1?keywords=Lactic+Acid+Exfoliator+10%25&amp;qid=1695259182&amp;sr=8-1")</f>
        <v>https://www.amazon.com/Medix-5-5-Exfoliating-Expression-Dermatologist/dp/B08KSK1ZY6/ref=sr_1_1?keywords=Lactic+Acid+Exfoliator+10%25&amp;qid=1695259182&amp;sr=8-1</v>
      </c>
      <c r="F1729" t="s">
        <v>4157</v>
      </c>
      <c r="G1729" t="e">
        <f ca="1">IMAGE("https://professionalsolutions.net/cdn/shop/products/lactic-acid-exfoliator-10-percent.png?v=1529810228")</f>
        <v>#NAME?</v>
      </c>
      <c r="H1729" t="e">
        <f ca="1">IMAGE("https://m.media-amazon.com/images/I/81hB3j3YDKL._AC_UL320_.jpg")</f>
        <v>#NAME?</v>
      </c>
      <c r="I1729" t="s">
        <v>3913</v>
      </c>
      <c r="J1729">
        <v>9.99</v>
      </c>
      <c r="K1729" s="2" t="s">
        <v>4155</v>
      </c>
      <c r="L1729">
        <v>4.4000000000000004</v>
      </c>
      <c r="M1729">
        <v>1672</v>
      </c>
      <c r="O1729" t="s">
        <v>26</v>
      </c>
      <c r="P1729" t="s">
        <v>39</v>
      </c>
      <c r="Q1729" t="s">
        <v>3915</v>
      </c>
    </row>
    <row r="1730" spans="1:17" ht="15.75" x14ac:dyDescent="0.25">
      <c r="A1730" s="3" t="str">
        <f>HYPERLINK("https://professionalsolutions.net/products/professional-skin-care-multi-peptide-cream", "https://professionalsolutions.net/products/professional-skin-care-multi-peptide-cream")</f>
        <v>https://professionalsolutions.net/products/professional-skin-care-multi-peptide-cream</v>
      </c>
      <c r="B1730" s="3" t="str">
        <f>HYPERLINK("https://professionalsolutions.net/products/professional-skin-care-multi-peptide-cream", "https://professionalsolutions.net/products/professional-skin-care-multi-peptide-cream")</f>
        <v>https://professionalsolutions.net/products/professional-skin-care-multi-peptide-cream</v>
      </c>
      <c r="C1730" t="s">
        <v>3995</v>
      </c>
      <c r="D1730" t="s">
        <v>4158</v>
      </c>
      <c r="E1730" s="3" t="str">
        <f>HYPERLINK("https://www.amazon.com/Restore-Renew-Multi-Action-Night/dp/B0B988NPBF/ref=sr_1_6?keywords=Multi+Peptide+Cream&amp;qid=1695259184&amp;sr=8-6", "https://www.amazon.com/Restore-Renew-Multi-Action-Night/dp/B0B988NPBF/ref=sr_1_6?keywords=Multi+Peptide+Cream&amp;qid=1695259184&amp;sr=8-6")</f>
        <v>https://www.amazon.com/Restore-Renew-Multi-Action-Night/dp/B0B988NPBF/ref=sr_1_6?keywords=Multi+Peptide+Cream&amp;qid=1695259184&amp;sr=8-6</v>
      </c>
      <c r="F1730" t="s">
        <v>4159</v>
      </c>
      <c r="G1730" t="e">
        <f ca="1">IMAGE("https://professionalsolutions.net/cdn/shop/products/multi-peptide-cream.png?v=1526497172")</f>
        <v>#NAME?</v>
      </c>
      <c r="H1730" t="e">
        <f ca="1">IMAGE("https://m.media-amazon.com/images/I/512Zhubeq+L._AC_UL320_.jpg")</f>
        <v>#NAME?</v>
      </c>
      <c r="I1730" t="s">
        <v>3998</v>
      </c>
      <c r="J1730">
        <v>21.9</v>
      </c>
      <c r="K1730" s="2" t="s">
        <v>4160</v>
      </c>
      <c r="L1730">
        <v>4.5</v>
      </c>
      <c r="M1730">
        <v>329</v>
      </c>
      <c r="O1730" t="s">
        <v>26</v>
      </c>
      <c r="P1730" t="s">
        <v>39</v>
      </c>
      <c r="Q1730" t="s">
        <v>4000</v>
      </c>
    </row>
    <row r="1731" spans="1:17" ht="15.75" x14ac:dyDescent="0.25">
      <c r="A1731"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B1731" s="3" t="str">
        <f>HYPERLINK("https://professionalsolutions.net/products/professional-skin-care-100-pure-hyaluronic-moisturizer", "https://professionalsolutions.net/products/professional-skin-care-100-pure-hyaluronic-moisturizer")</f>
        <v>https://professionalsolutions.net/products/professional-skin-care-100-pure-hyaluronic-moisturizer</v>
      </c>
      <c r="C1731" t="s">
        <v>3941</v>
      </c>
      <c r="D1731" t="s">
        <v>4161</v>
      </c>
      <c r="E1731" s="3" t="str">
        <f>HYPERLINK("https://www.amazon.com/Hyaluronic-Hydration-Moisture-Reducing-Brightening/dp/B0090UJFYI/ref=sr_1_3?keywords=100%25+Pure+Hyaluronic+Moisturizer&amp;qid=1695259193&amp;sr=8-3", "https://www.amazon.com/Hyaluronic-Hydration-Moisture-Reducing-Brightening/dp/B0090UJFYI/ref=sr_1_3?keywords=100%25+Pure+Hyaluronic+Moisturizer&amp;qid=1695259193&amp;sr=8-3")</f>
        <v>https://www.amazon.com/Hyaluronic-Hydration-Moisture-Reducing-Brightening/dp/B0090UJFYI/ref=sr_1_3?keywords=100%25+Pure+Hyaluronic+Moisturizer&amp;qid=1695259193&amp;sr=8-3</v>
      </c>
      <c r="F1731" t="s">
        <v>4162</v>
      </c>
      <c r="G1731" t="e">
        <f ca="1">IMAGE("https://professionalsolutions.net/cdn/shop/products/100-percent-pure-hyaluronic-moisturizer.png?v=1526506313")</f>
        <v>#NAME?</v>
      </c>
      <c r="H1731" t="e">
        <f ca="1">IMAGE("https://m.media-amazon.com/images/I/61CazCt3zfL._AC_UL320_.jpg")</f>
        <v>#NAME?</v>
      </c>
      <c r="I1731" t="s">
        <v>3944</v>
      </c>
      <c r="J1731">
        <v>14.98</v>
      </c>
      <c r="K1731" s="2" t="s">
        <v>4163</v>
      </c>
      <c r="L1731">
        <v>4.4000000000000004</v>
      </c>
      <c r="M1731">
        <v>39577</v>
      </c>
      <c r="O1731" t="s">
        <v>26</v>
      </c>
      <c r="P1731" t="s">
        <v>39</v>
      </c>
      <c r="Q1731" t="s">
        <v>3946</v>
      </c>
    </row>
    <row r="1732" spans="1:17" ht="15.75" x14ac:dyDescent="0.25">
      <c r="A1732" s="3" t="str">
        <f>HYPERLINK("https://professionalsolutions.net/products/professional-skin-care-retinol-cream", "https://professionalsolutions.net/products/professional-skin-care-retinol-cream")</f>
        <v>https://professionalsolutions.net/products/professional-skin-care-retinol-cream</v>
      </c>
      <c r="B1732" s="3" t="str">
        <f>HYPERLINK("https://professionalsolutions.net/products/professional-skin-care-retinol-cream", "https://professionalsolutions.net/products/professional-skin-care-retinol-cream")</f>
        <v>https://professionalsolutions.net/products/professional-skin-care-retinol-cream</v>
      </c>
      <c r="C1732" t="s">
        <v>4040</v>
      </c>
      <c r="D1732" t="s">
        <v>4164</v>
      </c>
      <c r="E1732" s="3" t="str">
        <f>HYPERLINK("https://www.amazon.com/Retinol-Cream-Face-Collagen-Hyaluronic/dp/B0C78G8TXK/ref=sr_1_6?keywords=Retinol+Cream&amp;qid=1695259183&amp;sr=8-6", "https://www.amazon.com/Retinol-Cream-Face-Collagen-Hyaluronic/dp/B0C78G8TXK/ref=sr_1_6?keywords=Retinol+Cream&amp;qid=1695259183&amp;sr=8-6")</f>
        <v>https://www.amazon.com/Retinol-Cream-Face-Collagen-Hyaluronic/dp/B0C78G8TXK/ref=sr_1_6?keywords=Retinol+Cream&amp;qid=1695259183&amp;sr=8-6</v>
      </c>
      <c r="F1732" t="s">
        <v>4165</v>
      </c>
      <c r="G1732" t="e">
        <f ca="1">IMAGE("https://professionalsolutions.net/cdn/shop/products/retinol-cream.png?v=1526514066")</f>
        <v>#NAME?</v>
      </c>
      <c r="H1732" t="e">
        <f ca="1">IMAGE("https://m.media-amazon.com/images/I/810noaqJm0L._AC_UL320_.jpg")</f>
        <v>#NAME?</v>
      </c>
      <c r="I1732" t="s">
        <v>2468</v>
      </c>
      <c r="J1732">
        <v>13.99</v>
      </c>
      <c r="K1732" s="2" t="s">
        <v>4166</v>
      </c>
      <c r="L1732">
        <v>4.8</v>
      </c>
      <c r="M1732">
        <v>4280</v>
      </c>
      <c r="O1732" t="s">
        <v>26</v>
      </c>
      <c r="P1732" t="s">
        <v>39</v>
      </c>
      <c r="Q1732" t="s">
        <v>4044</v>
      </c>
    </row>
    <row r="1733" spans="1:17" ht="15.75" x14ac:dyDescent="0.25">
      <c r="A1733" s="3" t="str">
        <f>HYPERLINK("https://professionalsolutions.net/products/overnight-collagen-mask", "https://professionalsolutions.net/products/overnight-collagen-mask")</f>
        <v>https://professionalsolutions.net/products/overnight-collagen-mask</v>
      </c>
      <c r="B1733" s="3" t="str">
        <f>HYPERLINK("https://professionalsolutions.net/products/overnight-collagen-mask", "https://professionalsolutions.net/products/overnight-collagen-mask")</f>
        <v>https://professionalsolutions.net/products/overnight-collagen-mask</v>
      </c>
      <c r="C1733" t="s">
        <v>4010</v>
      </c>
      <c r="D1733" t="s">
        <v>4167</v>
      </c>
      <c r="E1733" s="3" t="str">
        <f>HYPERLINK("https://www.amazon.com/Valjean-Renew-Collagen-Enzymes-Sleeping/dp/B07K3579DK/ref=sr_1_2?keywords=Overnight+Collagen+Mask&amp;qid=1695259213&amp;sr=8-2", "https://www.amazon.com/Valjean-Renew-Collagen-Enzymes-Sleeping/dp/B07K3579DK/ref=sr_1_2?keywords=Overnight+Collagen+Mask&amp;qid=1695259213&amp;sr=8-2")</f>
        <v>https://www.amazon.com/Valjean-Renew-Collagen-Enzymes-Sleeping/dp/B07K3579DK/ref=sr_1_2?keywords=Overnight+Collagen+Mask&amp;qid=1695259213&amp;sr=8-2</v>
      </c>
      <c r="F1733" t="s">
        <v>4168</v>
      </c>
      <c r="G1733" t="e">
        <f ca="1">IMAGE("https://professionalsolutions.net/cdn/shop/products/overnight-collagen-mask.png?v=1581449027")</f>
        <v>#NAME?</v>
      </c>
      <c r="H1733" t="e">
        <f ca="1">IMAGE("https://m.media-amazon.com/images/I/51c38mNlE8L._AC_UL320_.jpg")</f>
        <v>#NAME?</v>
      </c>
      <c r="I1733" t="s">
        <v>4013</v>
      </c>
      <c r="J1733">
        <v>11.7</v>
      </c>
      <c r="K1733" s="2" t="s">
        <v>4169</v>
      </c>
      <c r="L1733">
        <v>4.3</v>
      </c>
      <c r="M1733">
        <v>490</v>
      </c>
      <c r="O1733" t="s">
        <v>26</v>
      </c>
      <c r="P1733" t="s">
        <v>39</v>
      </c>
      <c r="Q1733" t="s">
        <v>4015</v>
      </c>
    </row>
    <row r="1734" spans="1:17" ht="15.75" x14ac:dyDescent="0.25">
      <c r="A1734"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B1734" s="3" t="str">
        <f>HYPERLINK("https://professionalsolutions.net/products/professional-skin-care-lactic-acid-exfoliator-10percent", "https://professionalsolutions.net/products/professional-skin-care-lactic-acid-exfoliator-10percent")</f>
        <v>https://professionalsolutions.net/products/professional-skin-care-lactic-acid-exfoliator-10percent</v>
      </c>
      <c r="C1734" t="s">
        <v>3912</v>
      </c>
      <c r="D1734" t="s">
        <v>4170</v>
      </c>
      <c r="E1734" s="3" t="str">
        <f>HYPERLINK("https://www.amazon.com/ROLANYIN-Lactic-Acid-Exfoliator-Serum/dp/B0BZYDRPFP/ref=sr_1_8?keywords=Lactic+Acid+Exfoliator+10%25&amp;qid=1695259182&amp;sr=8-8", "https://www.amazon.com/ROLANYIN-Lactic-Acid-Exfoliator-Serum/dp/B0BZYDRPFP/ref=sr_1_8?keywords=Lactic+Acid+Exfoliator+10%25&amp;qid=1695259182&amp;sr=8-8")</f>
        <v>https://www.amazon.com/ROLANYIN-Lactic-Acid-Exfoliator-Serum/dp/B0BZYDRPFP/ref=sr_1_8?keywords=Lactic+Acid+Exfoliator+10%25&amp;qid=1695259182&amp;sr=8-8</v>
      </c>
      <c r="F1734" t="s">
        <v>4171</v>
      </c>
      <c r="G1734" t="e">
        <f ca="1">IMAGE("https://professionalsolutions.net/cdn/shop/products/lactic-acid-exfoliator-10-percent.png?v=1529810228")</f>
        <v>#NAME?</v>
      </c>
      <c r="H1734" t="e">
        <f ca="1">IMAGE("https://m.media-amazon.com/images/I/61vk9HOxqBL._AC_UL320_.jpg")</f>
        <v>#NAME?</v>
      </c>
      <c r="I1734" t="s">
        <v>3913</v>
      </c>
      <c r="J1734">
        <v>8.98</v>
      </c>
      <c r="K1734" s="2" t="s">
        <v>4172</v>
      </c>
      <c r="L1734">
        <v>4</v>
      </c>
      <c r="M1734">
        <v>20</v>
      </c>
      <c r="O1734" t="s">
        <v>26</v>
      </c>
      <c r="P1734" t="s">
        <v>39</v>
      </c>
      <c r="Q1734" t="s">
        <v>3915</v>
      </c>
    </row>
    <row r="1735" spans="1:17" ht="15.75" x14ac:dyDescent="0.25">
      <c r="A1735" s="3" t="str">
        <f>HYPERLINK("https://professionalsolutions.net/products/professional-skin-care-retinol-cream", "https://professionalsolutions.net/products/professional-skin-care-retinol-cream")</f>
        <v>https://professionalsolutions.net/products/professional-skin-care-retinol-cream</v>
      </c>
      <c r="B1735" s="3" t="str">
        <f>HYPERLINK("https://professionalsolutions.net/products/professional-skin-care-retinol-cream", "https://professionalsolutions.net/products/professional-skin-care-retinol-cream")</f>
        <v>https://professionalsolutions.net/products/professional-skin-care-retinol-cream</v>
      </c>
      <c r="C1735" t="s">
        <v>4040</v>
      </c>
      <c r="D1735" t="s">
        <v>4078</v>
      </c>
      <c r="E1735" s="3" t="str">
        <f>HYPERLINK("https://www.amazon.com/Retinol-Cream-Face-Hyaluronic-Acid/dp/B09TTNWNQL/ref=sr_1_8?keywords=Retinol+Cream&amp;qid=1695259183&amp;sr=8-8", "https://www.amazon.com/Retinol-Cream-Face-Hyaluronic-Acid/dp/B09TTNWNQL/ref=sr_1_8?keywords=Retinol+Cream&amp;qid=1695259183&amp;sr=8-8")</f>
        <v>https://www.amazon.com/Retinol-Cream-Face-Hyaluronic-Acid/dp/B09TTNWNQL/ref=sr_1_8?keywords=Retinol+Cream&amp;qid=1695259183&amp;sr=8-8</v>
      </c>
      <c r="F1735" t="s">
        <v>4079</v>
      </c>
      <c r="G1735" t="e">
        <f ca="1">IMAGE("https://professionalsolutions.net/cdn/shop/products/retinol-cream.png?v=1526514066")</f>
        <v>#NAME?</v>
      </c>
      <c r="H1735" t="e">
        <f ca="1">IMAGE("https://m.media-amazon.com/images/I/711SoiORUlL._AC_UL320_.jpg")</f>
        <v>#NAME?</v>
      </c>
      <c r="I1735" t="s">
        <v>2468</v>
      </c>
      <c r="J1735">
        <v>13.39</v>
      </c>
      <c r="K1735" s="2" t="s">
        <v>4173</v>
      </c>
      <c r="L1735">
        <v>4.4000000000000004</v>
      </c>
      <c r="M1735">
        <v>3381</v>
      </c>
      <c r="O1735" t="s">
        <v>26</v>
      </c>
      <c r="P1735" t="s">
        <v>39</v>
      </c>
      <c r="Q1735" t="s">
        <v>4044</v>
      </c>
    </row>
    <row r="1736" spans="1:17" ht="15.75" x14ac:dyDescent="0.25">
      <c r="A1736" s="3" t="str">
        <f t="shared" ref="A1736:B1738" si="25">HYPERLINK("https://professionalsolutions.net/products/professional-skin-care-100-pure-argan-oil", "https://professionalsolutions.net/products/professional-skin-care-100-pure-argan-oil")</f>
        <v>https://professionalsolutions.net/products/professional-skin-care-100-pure-argan-oil</v>
      </c>
      <c r="B1736" s="3" t="str">
        <f t="shared" si="25"/>
        <v>https://professionalsolutions.net/products/professional-skin-care-100-pure-argan-oil</v>
      </c>
      <c r="C1736" t="s">
        <v>3924</v>
      </c>
      <c r="D1736" t="s">
        <v>4174</v>
      </c>
      <c r="E1736" s="3" t="str">
        <f>HYPERLINK("https://www.amazon.com/Sheamoisture-Multi-Tasking-Smooth-Argan-Formula/dp/B07NQKB9WF/ref=sr_1_1?keywords=100%25+Pure+Argan+Oil&amp;qid=1695259189&amp;sr=8-1", "https://www.amazon.com/Sheamoisture-Multi-Tasking-Smooth-Argan-Formula/dp/B07NQKB9WF/ref=sr_1_1?keywords=100%25+Pure+Argan+Oil&amp;qid=1695259189&amp;sr=8-1")</f>
        <v>https://www.amazon.com/Sheamoisture-Multi-Tasking-Smooth-Argan-Formula/dp/B07NQKB9WF/ref=sr_1_1?keywords=100%25+Pure+Argan+Oil&amp;qid=1695259189&amp;sr=8-1</v>
      </c>
      <c r="F1736" t="s">
        <v>4175</v>
      </c>
      <c r="G1736" t="e">
        <f ca="1">IMAGE("https://professionalsolutions.net/cdn/shop/products/100percent-pure-argan-oil_png.png?v=1527644622")</f>
        <v>#NAME?</v>
      </c>
      <c r="H1736" t="e">
        <f ca="1">IMAGE("https://m.media-amazon.com/images/I/61cf+cIZVbL._AC_UL320_.jpg")</f>
        <v>#NAME?</v>
      </c>
      <c r="I1736" t="s">
        <v>3896</v>
      </c>
      <c r="J1736">
        <v>9.99</v>
      </c>
      <c r="K1736" s="2" t="s">
        <v>4176</v>
      </c>
      <c r="L1736">
        <v>4.4000000000000004</v>
      </c>
      <c r="M1736">
        <v>1384</v>
      </c>
      <c r="O1736" t="s">
        <v>26</v>
      </c>
      <c r="P1736" t="s">
        <v>39</v>
      </c>
      <c r="Q1736" t="s">
        <v>3928</v>
      </c>
    </row>
    <row r="1737" spans="1:17" ht="15.75" x14ac:dyDescent="0.25">
      <c r="A1737" s="3" t="str">
        <f t="shared" si="25"/>
        <v>https://professionalsolutions.net/products/professional-skin-care-100-pure-argan-oil</v>
      </c>
      <c r="B1737" s="3" t="str">
        <f t="shared" si="25"/>
        <v>https://professionalsolutions.net/products/professional-skin-care-100-pure-argan-oil</v>
      </c>
      <c r="C1737" t="s">
        <v>3924</v>
      </c>
      <c r="D1737" t="s">
        <v>4177</v>
      </c>
      <c r="E1737" s="3" t="str">
        <f>HYPERLINK("https://www.amazon.com/Cliganic-Organic-Moroccan-Natural-Pressed/dp/B07QBLQ7V6/ref=sr_1_2?keywords=100%25+Pure+Argan+Oil&amp;qid=1695259189&amp;sr=8-2", "https://www.amazon.com/Cliganic-Organic-Moroccan-Natural-Pressed/dp/B07QBLQ7V6/ref=sr_1_2?keywords=100%25+Pure+Argan+Oil&amp;qid=1695259189&amp;sr=8-2")</f>
        <v>https://www.amazon.com/Cliganic-Organic-Moroccan-Natural-Pressed/dp/B07QBLQ7V6/ref=sr_1_2?keywords=100%25+Pure+Argan+Oil&amp;qid=1695259189&amp;sr=8-2</v>
      </c>
      <c r="F1737" t="s">
        <v>4178</v>
      </c>
      <c r="G1737" t="e">
        <f ca="1">IMAGE("https://professionalsolutions.net/cdn/shop/products/100percent-pure-argan-oil_png.png?v=1527644622")</f>
        <v>#NAME?</v>
      </c>
      <c r="H1737" t="e">
        <f ca="1">IMAGE("https://m.media-amazon.com/images/I/812ntCZhXSL._AC_UL320_.jpg")</f>
        <v>#NAME?</v>
      </c>
      <c r="I1737" t="s">
        <v>3896</v>
      </c>
      <c r="J1737">
        <v>9.99</v>
      </c>
      <c r="K1737" s="2" t="s">
        <v>4176</v>
      </c>
      <c r="L1737">
        <v>4.5999999999999996</v>
      </c>
      <c r="M1737">
        <v>27719</v>
      </c>
      <c r="O1737" t="s">
        <v>26</v>
      </c>
      <c r="P1737" t="s">
        <v>39</v>
      </c>
      <c r="Q1737" t="s">
        <v>3928</v>
      </c>
    </row>
    <row r="1738" spans="1:17" ht="15.75" x14ac:dyDescent="0.25">
      <c r="A1738" s="3" t="str">
        <f t="shared" si="25"/>
        <v>https://professionalsolutions.net/products/professional-skin-care-100-pure-argan-oil</v>
      </c>
      <c r="B1738" s="3" t="str">
        <f t="shared" si="25"/>
        <v>https://professionalsolutions.net/products/professional-skin-care-100-pure-argan-oil</v>
      </c>
      <c r="C1738" t="s">
        <v>3924</v>
      </c>
      <c r="D1738" t="s">
        <v>4179</v>
      </c>
      <c r="E1738" s="3" t="str">
        <f>HYPERLINK("https://www.amazon.com/Pure-Body-Naturals-Organic-Argan/dp/B00OR0UE00/ref=sr_1_7?keywords=100%25+Pure+Argan+Oil&amp;qid=1695259189&amp;sr=8-7", "https://www.amazon.com/Pure-Body-Naturals-Organic-Argan/dp/B00OR0UE00/ref=sr_1_7?keywords=100%25+Pure+Argan+Oil&amp;qid=1695259189&amp;sr=8-7")</f>
        <v>https://www.amazon.com/Pure-Body-Naturals-Organic-Argan/dp/B00OR0UE00/ref=sr_1_7?keywords=100%25+Pure+Argan+Oil&amp;qid=1695259189&amp;sr=8-7</v>
      </c>
      <c r="F1738" t="s">
        <v>4180</v>
      </c>
      <c r="G1738" t="e">
        <f ca="1">IMAGE("https://professionalsolutions.net/cdn/shop/products/100percent-pure-argan-oil_png.png?v=1527644622")</f>
        <v>#NAME?</v>
      </c>
      <c r="H1738" t="e">
        <f ca="1">IMAGE("https://m.media-amazon.com/images/I/61hSIaRlK8L._AC_UL320_.jpg")</f>
        <v>#NAME?</v>
      </c>
      <c r="I1738" t="s">
        <v>3896</v>
      </c>
      <c r="J1738">
        <v>9.99</v>
      </c>
      <c r="K1738" s="2" t="s">
        <v>4176</v>
      </c>
      <c r="L1738">
        <v>4.5999999999999996</v>
      </c>
      <c r="M1738">
        <v>1613</v>
      </c>
      <c r="O1738" t="s">
        <v>26</v>
      </c>
      <c r="P1738" t="s">
        <v>39</v>
      </c>
      <c r="Q1738" t="s">
        <v>3928</v>
      </c>
    </row>
    <row r="1739" spans="1:17" ht="15.75" x14ac:dyDescent="0.25">
      <c r="A1739"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B1739" s="3" t="str">
        <f>HYPERLINK("https://professionalsolutions.net/products/professional-skin-care-neck-cessity-neck-firming-cream", "https://professionalsolutions.net/products/professional-skin-care-neck-cessity-neck-firming-cream")</f>
        <v>https://professionalsolutions.net/products/professional-skin-care-neck-cessity-neck-firming-cream</v>
      </c>
      <c r="C1739" t="s">
        <v>3916</v>
      </c>
      <c r="D1739" t="s">
        <v>4181</v>
      </c>
      <c r="E1739" s="3" t="str">
        <f>HYPERLINK("https://www.amazon.com/HSBCC-Peptides-Moisturizer-Advanced-Tightening/dp/B0811DRT92/ref=sr_1_3?keywords=Neck-Cessity+Neck+Firming+Cream&amp;qid=1695259188&amp;sr=8-3", "https://www.amazon.com/HSBCC-Peptides-Moisturizer-Advanced-Tightening/dp/B0811DRT92/ref=sr_1_3?keywords=Neck-Cessity+Neck+Firming+Cream&amp;qid=1695259188&amp;sr=8-3")</f>
        <v>https://www.amazon.com/HSBCC-Peptides-Moisturizer-Advanced-Tightening/dp/B0811DRT92/ref=sr_1_3?keywords=Neck-Cessity+Neck+Firming+Cream&amp;qid=1695259188&amp;sr=8-3</v>
      </c>
      <c r="F1739" t="s">
        <v>4182</v>
      </c>
      <c r="G1739" t="e">
        <f ca="1">IMAGE("https://professionalsolutions.net/cdn/shop/products/neck-cessity-neck-firming-cream.png?v=1529810520")</f>
        <v>#NAME?</v>
      </c>
      <c r="H1739" t="e">
        <f ca="1">IMAGE("https://m.media-amazon.com/images/I/61OHyLs2hrL._AC_UL320_.jpg")</f>
        <v>#NAME?</v>
      </c>
      <c r="I1739" t="s">
        <v>2468</v>
      </c>
      <c r="J1739">
        <v>13.19</v>
      </c>
      <c r="K1739" s="2" t="s">
        <v>4183</v>
      </c>
      <c r="L1739">
        <v>4.4000000000000004</v>
      </c>
      <c r="M1739">
        <v>2845</v>
      </c>
      <c r="O1739" t="s">
        <v>26</v>
      </c>
      <c r="P1739" t="s">
        <v>39</v>
      </c>
      <c r="Q1739" t="s">
        <v>3920</v>
      </c>
    </row>
    <row r="1740" spans="1:17" ht="15.75" x14ac:dyDescent="0.25">
      <c r="A1740" s="3" t="str">
        <f>HYPERLINK("https://professionalsolutions.net/products/professional-skin-care-triple-action-vitamin-c", "https://professionalsolutions.net/products/professional-skin-care-triple-action-vitamin-c")</f>
        <v>https://professionalsolutions.net/products/professional-skin-care-triple-action-vitamin-c</v>
      </c>
      <c r="B1740" s="3" t="str">
        <f>HYPERLINK("https://professionalsolutions.net/products/professional-skin-care-triple-action-vitamin-c", "https://professionalsolutions.net/products/professional-skin-care-triple-action-vitamin-c")</f>
        <v>https://professionalsolutions.net/products/professional-skin-care-triple-action-vitamin-c</v>
      </c>
      <c r="C1740" t="s">
        <v>3975</v>
      </c>
      <c r="D1740" t="s">
        <v>4184</v>
      </c>
      <c r="E1740" s="3" t="str">
        <f>HYPERLINK("https://www.amazon.com/Elderberry-Gummies-Supports-Vitamin-Fructose/dp/B08M364DFX/ref=sr_1_7?keywords=Triple+Action+Vitamin+C&amp;qid=1695259190&amp;sr=8-7", "https://www.amazon.com/Elderberry-Gummies-Supports-Vitamin-Fructose/dp/B08M364DFX/ref=sr_1_7?keywords=Triple+Action+Vitamin+C&amp;qid=1695259190&amp;sr=8-7")</f>
        <v>https://www.amazon.com/Elderberry-Gummies-Supports-Vitamin-Fructose/dp/B08M364DFX/ref=sr_1_7?keywords=Triple+Action+Vitamin+C&amp;qid=1695259190&amp;sr=8-7</v>
      </c>
      <c r="F1740" t="s">
        <v>4185</v>
      </c>
      <c r="G1740" t="e">
        <f ca="1">IMAGE("https://professionalsolutions.net/cdn/shop/products/triple-action-vitamin-c.png?v=1527641910")</f>
        <v>#NAME?</v>
      </c>
      <c r="H1740" t="e">
        <f ca="1">IMAGE("https://m.media-amazon.com/images/I/716CkO0jxpL._AC_UL320_.jpg")</f>
        <v>#NAME?</v>
      </c>
      <c r="I1740" t="s">
        <v>2994</v>
      </c>
      <c r="J1740">
        <v>15.99</v>
      </c>
      <c r="K1740" s="2" t="s">
        <v>3097</v>
      </c>
      <c r="L1740">
        <v>4.3</v>
      </c>
      <c r="M1740">
        <v>38</v>
      </c>
      <c r="O1740" t="s">
        <v>26</v>
      </c>
      <c r="P1740" t="s">
        <v>39</v>
      </c>
      <c r="Q1740" t="s">
        <v>3979</v>
      </c>
    </row>
    <row r="1741" spans="1:17" ht="15.75" x14ac:dyDescent="0.25">
      <c r="A1741" s="3" t="str">
        <f>HYPERLINK("https://professionalsolutions.net/products/professional-skin-care-multi-peptide-cream", "https://professionalsolutions.net/products/professional-skin-care-multi-peptide-cream")</f>
        <v>https://professionalsolutions.net/products/professional-skin-care-multi-peptide-cream</v>
      </c>
      <c r="B1741" s="3" t="str">
        <f>HYPERLINK("https://professionalsolutions.net/products/professional-skin-care-multi-peptide-cream", "https://professionalsolutions.net/products/professional-skin-care-multi-peptide-cream")</f>
        <v>https://professionalsolutions.net/products/professional-skin-care-multi-peptide-cream</v>
      </c>
      <c r="C1741" t="s">
        <v>3995</v>
      </c>
      <c r="D1741" t="s">
        <v>4186</v>
      </c>
      <c r="E1741" s="3" t="str">
        <f>HYPERLINK("https://www.amazon.com/Acure-Radically-Rejuvenating-Whipped-Night/dp/B07NJ4H5S3/ref=sr_1_2?keywords=Multi+Peptide+Cream&amp;qid=1695259184&amp;sr=8-2", "https://www.amazon.com/Acure-Radically-Rejuvenating-Whipped-Night/dp/B07NJ4H5S3/ref=sr_1_2?keywords=Multi+Peptide+Cream&amp;qid=1695259184&amp;sr=8-2")</f>
        <v>https://www.amazon.com/Acure-Radically-Rejuvenating-Whipped-Night/dp/B07NJ4H5S3/ref=sr_1_2?keywords=Multi+Peptide+Cream&amp;qid=1695259184&amp;sr=8-2</v>
      </c>
      <c r="F1741" t="s">
        <v>4187</v>
      </c>
      <c r="G1741" t="e">
        <f ca="1">IMAGE("https://professionalsolutions.net/cdn/shop/products/multi-peptide-cream.png?v=1526497172")</f>
        <v>#NAME?</v>
      </c>
      <c r="H1741" t="e">
        <f ca="1">IMAGE("https://m.media-amazon.com/images/I/41cQxpp1o3L._AC_UL320_.jpg")</f>
        <v>#NAME?</v>
      </c>
      <c r="I1741" t="s">
        <v>3998</v>
      </c>
      <c r="J1741">
        <v>17.899999999999999</v>
      </c>
      <c r="K1741" s="2" t="s">
        <v>4188</v>
      </c>
      <c r="L1741">
        <v>4.4000000000000004</v>
      </c>
      <c r="M1741">
        <v>2152</v>
      </c>
      <c r="O1741" t="s">
        <v>26</v>
      </c>
      <c r="P1741" t="s">
        <v>39</v>
      </c>
      <c r="Q1741" t="s">
        <v>4000</v>
      </c>
    </row>
    <row r="1742" spans="1:17" ht="15.75" x14ac:dyDescent="0.25">
      <c r="A1742" s="3" t="str">
        <f>HYPERLINK("https://professionalsolutions.net/products/professional-skin-care-multi-peptide-cream", "https://professionalsolutions.net/products/professional-skin-care-multi-peptide-cream")</f>
        <v>https://professionalsolutions.net/products/professional-skin-care-multi-peptide-cream</v>
      </c>
      <c r="B1742" s="3" t="str">
        <f>HYPERLINK("https://professionalsolutions.net/products/professional-skin-care-multi-peptide-cream", "https://professionalsolutions.net/products/professional-skin-care-multi-peptide-cream")</f>
        <v>https://professionalsolutions.net/products/professional-skin-care-multi-peptide-cream</v>
      </c>
      <c r="C1742" t="s">
        <v>3995</v>
      </c>
      <c r="D1742" t="s">
        <v>4189</v>
      </c>
      <c r="E1742" s="3" t="str">
        <f>HYPERLINK("https://www.amazon.com/Conscious-Chemist-Lightweight-Moisturiser-Fragrance/dp/B09TLB8FQ4/ref=sr_1_7?keywords=Multi+Peptide+Cream&amp;qid=1695259184&amp;sr=8-7", "https://www.amazon.com/Conscious-Chemist-Lightweight-Moisturiser-Fragrance/dp/B09TLB8FQ4/ref=sr_1_7?keywords=Multi+Peptide+Cream&amp;qid=1695259184&amp;sr=8-7")</f>
        <v>https://www.amazon.com/Conscious-Chemist-Lightweight-Moisturiser-Fragrance/dp/B09TLB8FQ4/ref=sr_1_7?keywords=Multi+Peptide+Cream&amp;qid=1695259184&amp;sr=8-7</v>
      </c>
      <c r="F1742" t="s">
        <v>4190</v>
      </c>
      <c r="G1742" t="e">
        <f ca="1">IMAGE("https://professionalsolutions.net/cdn/shop/products/multi-peptide-cream.png?v=1526497172")</f>
        <v>#NAME?</v>
      </c>
      <c r="H1742" t="e">
        <f ca="1">IMAGE("https://m.media-amazon.com/images/I/51jp4SDeMVL._AC_UL320_.jpg")</f>
        <v>#NAME?</v>
      </c>
      <c r="I1742" t="s">
        <v>3998</v>
      </c>
      <c r="J1742">
        <v>16.989999999999998</v>
      </c>
      <c r="K1742" s="2" t="s">
        <v>4191</v>
      </c>
      <c r="L1742">
        <v>4.3</v>
      </c>
      <c r="M1742">
        <v>156</v>
      </c>
      <c r="O1742" t="s">
        <v>26</v>
      </c>
      <c r="P1742" t="s">
        <v>39</v>
      </c>
      <c r="Q1742" t="s">
        <v>4000</v>
      </c>
    </row>
    <row r="1743" spans="1:17" ht="15.75" x14ac:dyDescent="0.25">
      <c r="A1743" s="3" t="str">
        <f>HYPERLINK("https://professionalsolutions.net/products/instant-miracle-repair-serum", "https://professionalsolutions.net/products/instant-miracle-repair-serum")</f>
        <v>https://professionalsolutions.net/products/instant-miracle-repair-serum</v>
      </c>
      <c r="B1743" s="3" t="str">
        <f>HYPERLINK("https://professionalsolutions.net/products/instant-miracle-repair-serum", "https://professionalsolutions.net/products/instant-miracle-repair-serum")</f>
        <v>https://professionalsolutions.net/products/instant-miracle-repair-serum</v>
      </c>
      <c r="C1743" t="s">
        <v>3983</v>
      </c>
      <c r="D1743" t="s">
        <v>4192</v>
      </c>
      <c r="E1743" s="3" t="str">
        <f>HYPERLINK("https://www.amazon.com/Collagen-Brightening-Wrinkles-Microneedling-Hyaluronic/dp/B013O70Z3M/ref=sr_1_10?keywords=Miracle+Wrinkle+Repair+Serum&amp;qid=1695259198&amp;sr=8-10", "https://www.amazon.com/Collagen-Brightening-Wrinkles-Microneedling-Hyaluronic/dp/B013O70Z3M/ref=sr_1_10?keywords=Miracle+Wrinkle+Repair+Serum&amp;qid=1695259198&amp;sr=8-10")</f>
        <v>https://www.amazon.com/Collagen-Brightening-Wrinkles-Microneedling-Hyaluronic/dp/B013O70Z3M/ref=sr_1_10?keywords=Miracle+Wrinkle+Repair+Serum&amp;qid=1695259198&amp;sr=8-10</v>
      </c>
      <c r="F1743" t="s">
        <v>4193</v>
      </c>
      <c r="G1743" t="e">
        <f ca="1">IMAGE("https://professionalsolutions.net/cdn/shop/products/instant-miracle-wrinkle-repair-serum.png?v=1580929149")</f>
        <v>#NAME?</v>
      </c>
      <c r="H1743" t="e">
        <f ca="1">IMAGE("https://m.media-amazon.com/images/I/71Lwwg9kfFL._AC_UL320_.jpg")</f>
        <v>#NAME?</v>
      </c>
      <c r="I1743" t="s">
        <v>3986</v>
      </c>
      <c r="J1743">
        <v>14.99</v>
      </c>
      <c r="K1743" s="2" t="s">
        <v>4194</v>
      </c>
      <c r="L1743">
        <v>4.3</v>
      </c>
      <c r="M1743">
        <v>16479</v>
      </c>
      <c r="O1743" t="s">
        <v>26</v>
      </c>
      <c r="P1743" t="s">
        <v>39</v>
      </c>
      <c r="Q1743" t="s">
        <v>3988</v>
      </c>
    </row>
    <row r="1744" spans="1:17" ht="15.75" x14ac:dyDescent="0.25">
      <c r="A1744" s="3" t="str">
        <f>HYPERLINK("https://professionalsolutions.net/products/professional-skin-care-triple-action-vitamin-c", "https://professionalsolutions.net/products/professional-skin-care-triple-action-vitamin-c")</f>
        <v>https://professionalsolutions.net/products/professional-skin-care-triple-action-vitamin-c</v>
      </c>
      <c r="B1744" s="3" t="str">
        <f>HYPERLINK("https://professionalsolutions.net/products/professional-skin-care-triple-action-vitamin-c", "https://professionalsolutions.net/products/professional-skin-care-triple-action-vitamin-c")</f>
        <v>https://professionalsolutions.net/products/professional-skin-care-triple-action-vitamin-c</v>
      </c>
      <c r="C1744" t="s">
        <v>3975</v>
      </c>
      <c r="D1744" t="s">
        <v>4195</v>
      </c>
      <c r="E1744" s="3" t="str">
        <f>HYPERLINK("https://www.amazon.com/Emergen-C-Support-Supplement-Antioxidants-Electrolytes/dp/B00NNR38JC/ref=sr_1_5?keywords=Triple+Action+Vitamin+C&amp;qid=1695259190&amp;sr=8-5", "https://www.amazon.com/Emergen-C-Support-Supplement-Antioxidants-Electrolytes/dp/B00NNR38JC/ref=sr_1_5?keywords=Triple+Action+Vitamin+C&amp;qid=1695259190&amp;sr=8-5")</f>
        <v>https://www.amazon.com/Emergen-C-Support-Supplement-Antioxidants-Electrolytes/dp/B00NNR38JC/ref=sr_1_5?keywords=Triple+Action+Vitamin+C&amp;qid=1695259190&amp;sr=8-5</v>
      </c>
      <c r="F1744" t="s">
        <v>4196</v>
      </c>
      <c r="G1744" t="e">
        <f ca="1">IMAGE("https://professionalsolutions.net/cdn/shop/products/triple-action-vitamin-c.png?v=1527641910")</f>
        <v>#NAME?</v>
      </c>
      <c r="H1744" t="e">
        <f ca="1">IMAGE("https://m.media-amazon.com/images/I/712NwOYTSJL._AC_UL320_.jpg")</f>
        <v>#NAME?</v>
      </c>
      <c r="I1744" t="s">
        <v>2994</v>
      </c>
      <c r="J1744">
        <v>14.44</v>
      </c>
      <c r="K1744" s="2" t="s">
        <v>4197</v>
      </c>
      <c r="L1744">
        <v>4.8</v>
      </c>
      <c r="M1744">
        <v>39472</v>
      </c>
      <c r="O1744" t="s">
        <v>26</v>
      </c>
      <c r="P1744" t="s">
        <v>39</v>
      </c>
      <c r="Q1744" t="s">
        <v>3979</v>
      </c>
    </row>
    <row r="1745" spans="1:17" ht="15.75" x14ac:dyDescent="0.25">
      <c r="A1745" s="3" t="str">
        <f>HYPERLINK("https://professionalsolutions.net/products/professional-skin-care-multi-peptide-cream", "https://professionalsolutions.net/products/professional-skin-care-multi-peptide-cream")</f>
        <v>https://professionalsolutions.net/products/professional-skin-care-multi-peptide-cream</v>
      </c>
      <c r="B1745" s="3" t="str">
        <f>HYPERLINK("https://professionalsolutions.net/products/professional-skin-care-multi-peptide-cream", "https://professionalsolutions.net/products/professional-skin-care-multi-peptide-cream")</f>
        <v>https://professionalsolutions.net/products/professional-skin-care-multi-peptide-cream</v>
      </c>
      <c r="C1745" t="s">
        <v>3995</v>
      </c>
      <c r="D1745" t="s">
        <v>4198</v>
      </c>
      <c r="E1745" s="3" t="str">
        <f>HYPERLINK("https://www.amazon.com/Multi-Peptide-Eye-Cream-Improved-Naturium/dp/B09KHK2BM1/ref=sr_1_1?keywords=Multi+Peptide+Cream&amp;qid=1695259184&amp;sr=8-1", "https://www.amazon.com/Multi-Peptide-Eye-Cream-Improved-Naturium/dp/B09KHK2BM1/ref=sr_1_1?keywords=Multi+Peptide+Cream&amp;qid=1695259184&amp;sr=8-1")</f>
        <v>https://www.amazon.com/Multi-Peptide-Eye-Cream-Improved-Naturium/dp/B09KHK2BM1/ref=sr_1_1?keywords=Multi+Peptide+Cream&amp;qid=1695259184&amp;sr=8-1</v>
      </c>
      <c r="F1745" t="s">
        <v>4199</v>
      </c>
      <c r="G1745" t="e">
        <f ca="1">IMAGE("https://professionalsolutions.net/cdn/shop/products/multi-peptide-cream.png?v=1526497172")</f>
        <v>#NAME?</v>
      </c>
      <c r="H1745" t="e">
        <f ca="1">IMAGE("https://m.media-amazon.com/images/I/61U1zE6PB-L._AC_UL320_.jpg")</f>
        <v>#NAME?</v>
      </c>
      <c r="I1745" t="s">
        <v>3998</v>
      </c>
      <c r="J1745">
        <v>15.99</v>
      </c>
      <c r="K1745" s="2" t="s">
        <v>4200</v>
      </c>
      <c r="L1745">
        <v>4.5</v>
      </c>
      <c r="M1745">
        <v>326</v>
      </c>
      <c r="O1745" t="s">
        <v>26</v>
      </c>
      <c r="P1745" t="s">
        <v>39</v>
      </c>
      <c r="Q1745" t="s">
        <v>4000</v>
      </c>
    </row>
    <row r="1746" spans="1:17" ht="15.75" x14ac:dyDescent="0.25">
      <c r="A1746" s="3" t="str">
        <f>HYPERLINK("https://professionalsolutions.net/products/professional-skin-care-100-pure-argan-oil", "https://professionalsolutions.net/products/professional-skin-care-100-pure-argan-oil")</f>
        <v>https://professionalsolutions.net/products/professional-skin-care-100-pure-argan-oil</v>
      </c>
      <c r="B1746" s="3" t="str">
        <f>HYPERLINK("https://professionalsolutions.net/products/professional-skin-care-100-pure-argan-oil", "https://professionalsolutions.net/products/professional-skin-care-100-pure-argan-oil")</f>
        <v>https://professionalsolutions.net/products/professional-skin-care-100-pure-argan-oil</v>
      </c>
      <c r="C1746" t="s">
        <v>3924</v>
      </c>
      <c r="D1746" t="s">
        <v>4201</v>
      </c>
      <c r="E1746" s="3" t="str">
        <f>HYPERLINK("https://www.amazon.com/Mountain-Top-Organic-Pressed-Unrefined/dp/B07YWT34VD/ref=sr_1_8?keywords=100%25+Pure+Argan+Oil&amp;qid=1695259189&amp;sr=8-8", "https://www.amazon.com/Mountain-Top-Organic-Pressed-Unrefined/dp/B07YWT34VD/ref=sr_1_8?keywords=100%25+Pure+Argan+Oil&amp;qid=1695259189&amp;sr=8-8")</f>
        <v>https://www.amazon.com/Mountain-Top-Organic-Pressed-Unrefined/dp/B07YWT34VD/ref=sr_1_8?keywords=100%25+Pure+Argan+Oil&amp;qid=1695259189&amp;sr=8-8</v>
      </c>
      <c r="F1746" t="s">
        <v>4202</v>
      </c>
      <c r="G1746" t="e">
        <f ca="1">IMAGE("https://professionalsolutions.net/cdn/shop/products/100percent-pure-argan-oil_png.png?v=1527644622")</f>
        <v>#NAME?</v>
      </c>
      <c r="H1746" t="e">
        <f ca="1">IMAGE("https://m.media-amazon.com/images/I/51-sqlzSlhL._AC_UL320_.jpg")</f>
        <v>#NAME?</v>
      </c>
      <c r="I1746" t="s">
        <v>3896</v>
      </c>
      <c r="J1746">
        <v>7.44</v>
      </c>
      <c r="K1746" s="2" t="s">
        <v>4203</v>
      </c>
      <c r="L1746">
        <v>4.5</v>
      </c>
      <c r="M1746">
        <v>1005</v>
      </c>
      <c r="O1746" t="s">
        <v>26</v>
      </c>
      <c r="P1746" t="s">
        <v>39</v>
      </c>
      <c r="Q1746" t="s">
        <v>3928</v>
      </c>
    </row>
    <row r="1747" spans="1:17" ht="15.75" x14ac:dyDescent="0.25">
      <c r="A1747" s="3" t="str">
        <f t="shared" ref="A1747:B1749" si="26">HYPERLINK("https://professionalsolutions.net/products/professional-skin-care-100-pure-hyaluronic-moisturizer", "https://professionalsolutions.net/products/professional-skin-care-100-pure-hyaluronic-moisturizer")</f>
        <v>https://professionalsolutions.net/products/professional-skin-care-100-pure-hyaluronic-moisturizer</v>
      </c>
      <c r="B1747" s="3" t="str">
        <f t="shared" si="26"/>
        <v>https://professionalsolutions.net/products/professional-skin-care-100-pure-hyaluronic-moisturizer</v>
      </c>
      <c r="C1747" t="s">
        <v>3941</v>
      </c>
      <c r="D1747" t="s">
        <v>4204</v>
      </c>
      <c r="E1747" s="3" t="str">
        <f>HYPERLINK("https://www.amazon.com/Hyaluronic-Anti-Aging-Moisturizing-Dr-Brenner/dp/B079G6MF1B/ref=sr_1_8?keywords=100%25+Pure+Hyaluronic+Moisturizer&amp;qid=1695259193&amp;sr=8-8", "https://www.amazon.com/Hyaluronic-Anti-Aging-Moisturizing-Dr-Brenner/dp/B079G6MF1B/ref=sr_1_8?keywords=100%25+Pure+Hyaluronic+Moisturizer&amp;qid=1695259193&amp;sr=8-8")</f>
        <v>https://www.amazon.com/Hyaluronic-Anti-Aging-Moisturizing-Dr-Brenner/dp/B079G6MF1B/ref=sr_1_8?keywords=100%25+Pure+Hyaluronic+Moisturizer&amp;qid=1695259193&amp;sr=8-8</v>
      </c>
      <c r="F1747" t="s">
        <v>4205</v>
      </c>
      <c r="G1747" t="e">
        <f ca="1">IMAGE("https://professionalsolutions.net/cdn/shop/products/100-percent-pure-hyaluronic-moisturizer.png?v=1526506313")</f>
        <v>#NAME?</v>
      </c>
      <c r="H1747" t="e">
        <f ca="1">IMAGE("https://m.media-amazon.com/images/I/71mG40OObYL._AC_UL320_.jpg")</f>
        <v>#NAME?</v>
      </c>
      <c r="I1747" t="s">
        <v>3944</v>
      </c>
      <c r="J1747">
        <v>9.99</v>
      </c>
      <c r="K1747" s="2" t="s">
        <v>4206</v>
      </c>
      <c r="L1747">
        <v>4.3</v>
      </c>
      <c r="M1747">
        <v>955</v>
      </c>
      <c r="O1747" t="s">
        <v>26</v>
      </c>
      <c r="P1747" t="s">
        <v>39</v>
      </c>
      <c r="Q1747" t="s">
        <v>3946</v>
      </c>
    </row>
    <row r="1748" spans="1:17" ht="15.75" x14ac:dyDescent="0.25">
      <c r="A1748" s="3" t="str">
        <f t="shared" si="26"/>
        <v>https://professionalsolutions.net/products/professional-skin-care-100-pure-hyaluronic-moisturizer</v>
      </c>
      <c r="B1748" s="3" t="str">
        <f t="shared" si="26"/>
        <v>https://professionalsolutions.net/products/professional-skin-care-100-pure-hyaluronic-moisturizer</v>
      </c>
      <c r="C1748" t="s">
        <v>3941</v>
      </c>
      <c r="D1748" t="s">
        <v>4207</v>
      </c>
      <c r="E1748" s="3" t="str">
        <f>HYPERLINK("https://www.amazon.com/Best-Selling-Hyaluronic-Pure-Highest-Anti-Aging-Paraben-free-Best/dp/B00CLILRMY/ref=sr_1_6?keywords=100%25+Pure+Hyaluronic+Moisturizer&amp;qid=1695259193&amp;rdc=1&amp;sr=8-6", "https://www.amazon.com/Best-Selling-Hyaluronic-Pure-Highest-Anti-Aging-Paraben-free-Best/dp/B00CLILRMY/ref=sr_1_6?keywords=100%25+Pure+Hyaluronic+Moisturizer&amp;qid=1695259193&amp;rdc=1&amp;sr=8-6")</f>
        <v>https://www.amazon.com/Best-Selling-Hyaluronic-Pure-Highest-Anti-Aging-Paraben-free-Best/dp/B00CLILRMY/ref=sr_1_6?keywords=100%25+Pure+Hyaluronic+Moisturizer&amp;qid=1695259193&amp;rdc=1&amp;sr=8-6</v>
      </c>
      <c r="F1748" t="s">
        <v>4208</v>
      </c>
      <c r="G1748" t="e">
        <f ca="1">IMAGE("https://professionalsolutions.net/cdn/shop/products/100-percent-pure-hyaluronic-moisturizer.png?v=1526506313")</f>
        <v>#NAME?</v>
      </c>
      <c r="H1748" t="e">
        <f ca="1">IMAGE("https://m.media-amazon.com/images/I/61TP7PKiB4L._AC_UL320_.jpg")</f>
        <v>#NAME?</v>
      </c>
      <c r="I1748" t="s">
        <v>3944</v>
      </c>
      <c r="J1748">
        <v>9.99</v>
      </c>
      <c r="K1748" s="2" t="s">
        <v>4206</v>
      </c>
      <c r="L1748">
        <v>4.3</v>
      </c>
      <c r="M1748">
        <v>5999</v>
      </c>
      <c r="O1748" t="s">
        <v>26</v>
      </c>
      <c r="P1748" t="s">
        <v>39</v>
      </c>
      <c r="Q1748" t="s">
        <v>3946</v>
      </c>
    </row>
    <row r="1749" spans="1:17" ht="15.75" x14ac:dyDescent="0.25">
      <c r="A1749" s="3" t="str">
        <f t="shared" si="26"/>
        <v>https://professionalsolutions.net/products/professional-skin-care-100-pure-hyaluronic-moisturizer</v>
      </c>
      <c r="B1749" s="3" t="str">
        <f t="shared" si="26"/>
        <v>https://professionalsolutions.net/products/professional-skin-care-100-pure-hyaluronic-moisturizer</v>
      </c>
      <c r="C1749" t="s">
        <v>3941</v>
      </c>
      <c r="D1749" t="s">
        <v>4209</v>
      </c>
      <c r="E1749" s="3" t="str">
        <f>HYPERLINK("https://www.amazon.com/Anti-Aging-Wrinkle-Filler-Hyaluronic/dp/B005XP4YNQ/ref=sr_1_7?keywords=100%25+Pure+Hyaluronic+Moisturizer&amp;qid=1695259193&amp;sr=8-7", "https://www.amazon.com/Anti-Aging-Wrinkle-Filler-Hyaluronic/dp/B005XP4YNQ/ref=sr_1_7?keywords=100%25+Pure+Hyaluronic+Moisturizer&amp;qid=1695259193&amp;sr=8-7")</f>
        <v>https://www.amazon.com/Anti-Aging-Wrinkle-Filler-Hyaluronic/dp/B005XP4YNQ/ref=sr_1_7?keywords=100%25+Pure+Hyaluronic+Moisturizer&amp;qid=1695259193&amp;sr=8-7</v>
      </c>
      <c r="F1749" t="s">
        <v>4210</v>
      </c>
      <c r="G1749" t="e">
        <f ca="1">IMAGE("https://professionalsolutions.net/cdn/shop/products/100-percent-pure-hyaluronic-moisturizer.png?v=1526506313")</f>
        <v>#NAME?</v>
      </c>
      <c r="H1749" t="e">
        <f ca="1">IMAGE("https://m.media-amazon.com/images/I/613buYulGVL._AC_UL320_.jpg")</f>
        <v>#NAME?</v>
      </c>
      <c r="I1749" t="s">
        <v>3944</v>
      </c>
      <c r="J1749">
        <v>9.49</v>
      </c>
      <c r="K1749" s="2" t="s">
        <v>4211</v>
      </c>
      <c r="L1749">
        <v>4.2</v>
      </c>
      <c r="M1749">
        <v>1121</v>
      </c>
      <c r="O1749" t="s">
        <v>26</v>
      </c>
      <c r="P1749" t="s">
        <v>39</v>
      </c>
      <c r="Q1749" t="s">
        <v>3946</v>
      </c>
    </row>
    <row r="1750" spans="1:17" ht="15.75" x14ac:dyDescent="0.25">
      <c r="A1750" s="3" t="str">
        <f>HYPERLINK("https://professionalsolutions.net/products/professional-skin-care-retinol-cream", "https://professionalsolutions.net/products/professional-skin-care-retinol-cream")</f>
        <v>https://professionalsolutions.net/products/professional-skin-care-retinol-cream</v>
      </c>
      <c r="B1750" s="3" t="str">
        <f>HYPERLINK("https://professionalsolutions.net/products/professional-skin-care-retinol-cream", "https://professionalsolutions.net/products/professional-skin-care-retinol-cream")</f>
        <v>https://professionalsolutions.net/products/professional-skin-care-retinol-cream</v>
      </c>
      <c r="C1750" t="s">
        <v>4040</v>
      </c>
      <c r="D1750" t="s">
        <v>4212</v>
      </c>
      <c r="E1750" s="3" t="str">
        <f>HYPERLINK("https://www.amazon.com/Good-Molecules-Gentle-Retinol-Cream/dp/B09BST7MMP/ref=sr_1_4?keywords=Retinol+Cream&amp;qid=1695259183&amp;sr=8-4", "https://www.amazon.com/Good-Molecules-Gentle-Retinol-Cream/dp/B09BST7MMP/ref=sr_1_4?keywords=Retinol+Cream&amp;qid=1695259183&amp;sr=8-4")</f>
        <v>https://www.amazon.com/Good-Molecules-Gentle-Retinol-Cream/dp/B09BST7MMP/ref=sr_1_4?keywords=Retinol+Cream&amp;qid=1695259183&amp;sr=8-4</v>
      </c>
      <c r="F1750" t="s">
        <v>4213</v>
      </c>
      <c r="G1750" t="e">
        <f ca="1">IMAGE("https://professionalsolutions.net/cdn/shop/products/retinol-cream.png?v=1526514066")</f>
        <v>#NAME?</v>
      </c>
      <c r="H1750" t="e">
        <f ca="1">IMAGE("https://m.media-amazon.com/images/I/41bm35wxY8L._AC_UL320_.jpg")</f>
        <v>#NAME?</v>
      </c>
      <c r="I1750" t="s">
        <v>2468</v>
      </c>
      <c r="J1750">
        <v>8</v>
      </c>
      <c r="K1750" s="2" t="s">
        <v>4214</v>
      </c>
      <c r="L1750">
        <v>4.5</v>
      </c>
      <c r="M1750">
        <v>1074</v>
      </c>
      <c r="O1750" t="s">
        <v>26</v>
      </c>
      <c r="P1750" t="s">
        <v>39</v>
      </c>
      <c r="Q1750" t="s">
        <v>4044</v>
      </c>
    </row>
    <row r="1751" spans="1:17" ht="15.75" x14ac:dyDescent="0.25">
      <c r="A1751" s="3" t="str">
        <f>HYPERLINK("https://prolisok-store.com/collections/bath-and-shower/products/versace-bright-crystal-by-gianni-versace-body-lotion-6-7-oz", "https://prolisok-store.com/collections/bath-and-shower/products/versace-bright-crystal-by-gianni-versace-body-lotion-6-7-oz")</f>
        <v>https://prolisok-store.com/collections/bath-and-shower/products/versace-bright-crystal-by-gianni-versace-body-lotion-6-7-oz</v>
      </c>
      <c r="B1751" s="3" t="str">
        <f>HYPERLINK("https://prolisok-store.com/products/versace-bright-crystal-by-gianni-versace-body-lotion-6-7-oz", "https://prolisok-store.com/products/versace-bright-crystal-by-gianni-versace-body-lotion-6-7-oz")</f>
        <v>https://prolisok-store.com/products/versace-bright-crystal-by-gianni-versace-body-lotion-6-7-oz</v>
      </c>
      <c r="C1751" t="s">
        <v>4215</v>
      </c>
      <c r="D1751" t="s">
        <v>4216</v>
      </c>
      <c r="E1751" s="3" t="str">
        <f>HYPERLINK("https://www.amazon.com/Versace-Bright-Crystal-Gianni-Lotion/dp/B00BOJV0KK/ref=sr_1_3?keywords=Versace+bright+crystal+by+gianni+versace+body+lotion+6.7+oz&amp;qid=1695259223&amp;sr=8-3", "https://www.amazon.com/Versace-Bright-Crystal-Gianni-Lotion/dp/B00BOJV0KK/ref=sr_1_3?keywords=Versace+bright+crystal+by+gianni+versace+body+lotion+6.7+oz&amp;qid=1695259223&amp;sr=8-3")</f>
        <v>https://www.amazon.com/Versace-Bright-Crystal-Gianni-Lotion/dp/B00BOJV0KK/ref=sr_1_3?keywords=Versace+bright+crystal+by+gianni+versace+body+lotion+6.7+oz&amp;qid=1695259223&amp;sr=8-3</v>
      </c>
      <c r="F1751" t="s">
        <v>4217</v>
      </c>
      <c r="G1751" t="e">
        <f ca="1">IMAGE("https://prolisok-store.com/cdn/shop/products/145895_300x.jpg?v=1694532077")</f>
        <v>#NAME?</v>
      </c>
      <c r="H1751" t="e">
        <f ca="1">IMAGE("https://m.media-amazon.com/images/I/31ccEeeDxwL._AC_UL320_.jpg")</f>
        <v>#NAME?</v>
      </c>
      <c r="I1751" t="s">
        <v>4218</v>
      </c>
      <c r="J1751">
        <v>82.99</v>
      </c>
      <c r="K1751" s="2" t="s">
        <v>4219</v>
      </c>
      <c r="L1751">
        <v>4.7</v>
      </c>
      <c r="M1751">
        <v>192</v>
      </c>
      <c r="O1751" t="s">
        <v>26</v>
      </c>
      <c r="P1751" t="s">
        <v>39</v>
      </c>
      <c r="Q1751" t="s">
        <v>4220</v>
      </c>
    </row>
    <row r="1752" spans="1:17" ht="15.75" x14ac:dyDescent="0.25">
      <c r="A1752" s="3" t="str">
        <f>HYPERLINK("https://prolisok-store.com/collections/bath-and-shower/products/white-tea-by-elizabeth-arden-shower-gel-13-5-oz", "https://prolisok-store.com/collections/bath-and-shower/products/white-tea-by-elizabeth-arden-shower-gel-13-5-oz")</f>
        <v>https://prolisok-store.com/collections/bath-and-shower/products/white-tea-by-elizabeth-arden-shower-gel-13-5-oz</v>
      </c>
      <c r="B1752" s="3" t="str">
        <f>HYPERLINK("https://prolisok-store.com/products/white-tea-by-elizabeth-arden-shower-gel-13-5-oz", "https://prolisok-store.com/products/white-tea-by-elizabeth-arden-shower-gel-13-5-oz")</f>
        <v>https://prolisok-store.com/products/white-tea-by-elizabeth-arden-shower-gel-13-5-oz</v>
      </c>
      <c r="C1752" t="s">
        <v>4221</v>
      </c>
      <c r="D1752" t="s">
        <v>4222</v>
      </c>
      <c r="E1752" s="3" t="str">
        <f>HYPERLINK("https://www.amazon.com/Elizabeth-Arden-White-Indulgence-Cream/dp/B01N4LCTIY/ref=sr_1_3?keywords=White+tea+by+elizabeth+arden+shower+gel+13.5+oz&amp;qid=1695259223&amp;sr=8-3", "https://www.amazon.com/Elizabeth-Arden-White-Indulgence-Cream/dp/B01N4LCTIY/ref=sr_1_3?keywords=White+tea+by+elizabeth+arden+shower+gel+13.5+oz&amp;qid=1695259223&amp;sr=8-3")</f>
        <v>https://www.amazon.com/Elizabeth-Arden-White-Indulgence-Cream/dp/B01N4LCTIY/ref=sr_1_3?keywords=White+tea+by+elizabeth+arden+shower+gel+13.5+oz&amp;qid=1695259223&amp;sr=8-3</v>
      </c>
      <c r="F1752" t="s">
        <v>4223</v>
      </c>
      <c r="G1752" t="e">
        <f ca="1">IMAGE("https://prolisok-store.com/cdn/shop/products/403529_300x.jpg?v=1693407395")</f>
        <v>#NAME?</v>
      </c>
      <c r="H1752" t="e">
        <f ca="1">IMAGE("https://m.media-amazon.com/images/I/41H9bJt20fL._AC_UL320_.jpg")</f>
        <v>#NAME?</v>
      </c>
      <c r="I1752" t="s">
        <v>748</v>
      </c>
      <c r="J1752">
        <v>34</v>
      </c>
      <c r="K1752" s="2" t="s">
        <v>4224</v>
      </c>
      <c r="L1752">
        <v>4.5</v>
      </c>
      <c r="M1752">
        <v>2164</v>
      </c>
      <c r="O1752" t="s">
        <v>26</v>
      </c>
      <c r="P1752" t="s">
        <v>39</v>
      </c>
      <c r="Q1752" t="s">
        <v>4225</v>
      </c>
    </row>
    <row r="1753" spans="1:17" ht="15.75" x14ac:dyDescent="0.25">
      <c r="A1753" s="3" t="str">
        <f>HYPERLINK("https://prolisok-store.com/collections/bath-and-shower/products/green-tea-by-elizabeth-arden-shower-gel-6-8-oz", "https://prolisok-store.com/collections/bath-and-shower/products/green-tea-by-elizabeth-arden-shower-gel-6-8-oz")</f>
        <v>https://prolisok-store.com/collections/bath-and-shower/products/green-tea-by-elizabeth-arden-shower-gel-6-8-oz</v>
      </c>
      <c r="B1753" s="3" t="str">
        <f>HYPERLINK("https://prolisok-store.com/products/green-tea-by-elizabeth-arden-shower-gel-6-8-oz", "https://prolisok-store.com/products/green-tea-by-elizabeth-arden-shower-gel-6-8-oz")</f>
        <v>https://prolisok-store.com/products/green-tea-by-elizabeth-arden-shower-gel-6-8-oz</v>
      </c>
      <c r="C1753" t="s">
        <v>4226</v>
      </c>
      <c r="D1753" t="s">
        <v>4227</v>
      </c>
      <c r="E1753" s="3" t="str">
        <f>HYPERLINK("https://www.amazon.com/Elizabeth-Arden-Green-Refreshing-Lotion/dp/B0020MM7K2/ref=sr_1_2?keywords=Green+tea+by+elizabeth+arden+shower+gel+6.8+oz&amp;qid=1695259231&amp;sr=8-2", "https://www.amazon.com/Elizabeth-Arden-Green-Refreshing-Lotion/dp/B0020MM7K2/ref=sr_1_2?keywords=Green+tea+by+elizabeth+arden+shower+gel+6.8+oz&amp;qid=1695259231&amp;sr=8-2")</f>
        <v>https://www.amazon.com/Elizabeth-Arden-Green-Refreshing-Lotion/dp/B0020MM7K2/ref=sr_1_2?keywords=Green+tea+by+elizabeth+arden+shower+gel+6.8+oz&amp;qid=1695259231&amp;sr=8-2</v>
      </c>
      <c r="F1753" t="s">
        <v>4228</v>
      </c>
      <c r="G1753" t="e">
        <f ca="1">IMAGE("https://prolisok-store.com/cdn/shop/products/116101_300x.jpg?v=1693407289")</f>
        <v>#NAME?</v>
      </c>
      <c r="H1753" t="e">
        <f ca="1">IMAGE("https://m.media-amazon.com/images/I/41vZTUs0rrL._AC_UL320_.jpg")</f>
        <v>#NAME?</v>
      </c>
      <c r="I1753" t="s">
        <v>4229</v>
      </c>
      <c r="J1753">
        <v>19</v>
      </c>
      <c r="K1753" s="2" t="s">
        <v>4230</v>
      </c>
      <c r="L1753">
        <v>4.5999999999999996</v>
      </c>
      <c r="M1753">
        <v>790</v>
      </c>
      <c r="O1753" t="s">
        <v>26</v>
      </c>
      <c r="P1753" t="s">
        <v>39</v>
      </c>
      <c r="Q1753" t="s">
        <v>4231</v>
      </c>
    </row>
    <row r="1754" spans="1:17" ht="15.75" x14ac:dyDescent="0.25">
      <c r="A1754" s="3" t="str">
        <f>HYPERLINK("https://prolisok-store.com/collections/bath-and-shower/products/versace-bright-crystal-by-gianni-versace-body-lotion-6-7-oz", "https://prolisok-store.com/collections/bath-and-shower/products/versace-bright-crystal-by-gianni-versace-body-lotion-6-7-oz")</f>
        <v>https://prolisok-store.com/collections/bath-and-shower/products/versace-bright-crystal-by-gianni-versace-body-lotion-6-7-oz</v>
      </c>
      <c r="B1754" s="3" t="str">
        <f>HYPERLINK("https://prolisok-store.com/products/versace-bright-crystal-by-gianni-versace-body-lotion-6-7-oz", "https://prolisok-store.com/products/versace-bright-crystal-by-gianni-versace-body-lotion-6-7-oz")</f>
        <v>https://prolisok-store.com/products/versace-bright-crystal-by-gianni-versace-body-lotion-6-7-oz</v>
      </c>
      <c r="C1754" t="s">
        <v>4215</v>
      </c>
      <c r="D1754" t="s">
        <v>4232</v>
      </c>
      <c r="E1754" s="3" t="str">
        <f>HYPERLINK("https://www.amazon.com/Versace-Bright-Crystal-Women-Lotion/dp/B07YZJMKLV/ref=sr_1_6?keywords=Versace+bright+crystal+by+gianni+versace+body+lotion+6.7+oz&amp;qid=1695259223&amp;sr=8-6", "https://www.amazon.com/Versace-Bright-Crystal-Women-Lotion/dp/B07YZJMKLV/ref=sr_1_6?keywords=Versace+bright+crystal+by+gianni+versace+body+lotion+6.7+oz&amp;qid=1695259223&amp;sr=8-6")</f>
        <v>https://www.amazon.com/Versace-Bright-Crystal-Women-Lotion/dp/B07YZJMKLV/ref=sr_1_6?keywords=Versace+bright+crystal+by+gianni+versace+body+lotion+6.7+oz&amp;qid=1695259223&amp;sr=8-6</v>
      </c>
      <c r="F1754" t="s">
        <v>4233</v>
      </c>
      <c r="G1754" t="e">
        <f ca="1">IMAGE("https://prolisok-store.com/cdn/shop/products/145895_300x.jpg?v=1694532077")</f>
        <v>#NAME?</v>
      </c>
      <c r="H1754" t="e">
        <f ca="1">IMAGE("https://m.media-amazon.com/images/I/71c5GBcDHaL._AC_UL320_.jpg")</f>
        <v>#NAME?</v>
      </c>
      <c r="I1754" t="s">
        <v>4218</v>
      </c>
      <c r="J1754">
        <v>54.73</v>
      </c>
      <c r="K1754" s="2" t="s">
        <v>4234</v>
      </c>
      <c r="L1754">
        <v>4.5</v>
      </c>
      <c r="M1754">
        <v>13</v>
      </c>
      <c r="O1754" t="s">
        <v>26</v>
      </c>
      <c r="P1754" t="s">
        <v>39</v>
      </c>
      <c r="Q1754" t="s">
        <v>4220</v>
      </c>
    </row>
    <row r="1755" spans="1:17" ht="15.75" x14ac:dyDescent="0.25">
      <c r="A1755" s="3" t="str">
        <f>HYPERLINK("https://prolisok-store.com/collections/bath-and-shower/products/lair-du-temps-by-nina-ricci-shower-gel-6-8-oz", "https://prolisok-store.com/collections/bath-and-shower/products/lair-du-temps-by-nina-ricci-shower-gel-6-8-oz")</f>
        <v>https://prolisok-store.com/collections/bath-and-shower/products/lair-du-temps-by-nina-ricci-shower-gel-6-8-oz</v>
      </c>
      <c r="B1755" s="3" t="str">
        <f>HYPERLINK("https://prolisok-store.com/products/lair-du-temps-by-nina-ricci-shower-gel-6-8-oz", "https://prolisok-store.com/products/lair-du-temps-by-nina-ricci-shower-gel-6-8-oz")</f>
        <v>https://prolisok-store.com/products/lair-du-temps-by-nina-ricci-shower-gel-6-8-oz</v>
      </c>
      <c r="C1755" t="s">
        <v>4235</v>
      </c>
      <c r="D1755" t="s">
        <v>4236</v>
      </c>
      <c r="E1755" s="3" t="str">
        <f>HYPERLINK("https://www.amazon.com/Nina-Ricci-Perfumed-Shower-Gel-6-7/dp/B001B1GRB8/ref=sr_1_2?keywords=L%27air+du+temps+by+nina+ricci+shower+gel+6.8+oz&amp;qid=1695259226&amp;sr=8-2", "https://www.amazon.com/Nina-Ricci-Perfumed-Shower-Gel-6-7/dp/B001B1GRB8/ref=sr_1_2?keywords=L%27air+du+temps+by+nina+ricci+shower+gel+6.8+oz&amp;qid=1695259226&amp;sr=8-2")</f>
        <v>https://www.amazon.com/Nina-Ricci-Perfumed-Shower-Gel-6-7/dp/B001B1GRB8/ref=sr_1_2?keywords=L%27air+du+temps+by+nina+ricci+shower+gel+6.8+oz&amp;qid=1695259226&amp;sr=8-2</v>
      </c>
      <c r="F1755" t="s">
        <v>4237</v>
      </c>
      <c r="G1755" t="e">
        <f ca="1">IMAGE("https://prolisok-store.com/cdn/shop/products/123487_300x.jpg?v=1693407468")</f>
        <v>#NAME?</v>
      </c>
      <c r="H1755" t="e">
        <f ca="1">IMAGE("https://m.media-amazon.com/images/I/5191JyTlsKL._AC_UL320_.jpg")</f>
        <v>#NAME?</v>
      </c>
      <c r="I1755" t="s">
        <v>4238</v>
      </c>
      <c r="J1755">
        <v>57.9</v>
      </c>
      <c r="K1755" s="2" t="s">
        <v>4239</v>
      </c>
      <c r="L1755">
        <v>3.5</v>
      </c>
      <c r="M1755">
        <v>31</v>
      </c>
      <c r="O1755" t="s">
        <v>26</v>
      </c>
      <c r="P1755" t="s">
        <v>39</v>
      </c>
      <c r="Q1755" t="s">
        <v>4240</v>
      </c>
    </row>
    <row r="1756" spans="1:17" ht="15.75" x14ac:dyDescent="0.25">
      <c r="A1756" s="3" t="str">
        <f>HYPERLINK("https://prolisok-store.com/collections/bath-and-shower/products/lair-du-temps-by-nina-ricci-shower-gel-6-8-oz", "https://prolisok-store.com/collections/bath-and-shower/products/lair-du-temps-by-nina-ricci-shower-gel-6-8-oz")</f>
        <v>https://prolisok-store.com/collections/bath-and-shower/products/lair-du-temps-by-nina-ricci-shower-gel-6-8-oz</v>
      </c>
      <c r="B1756" s="3" t="str">
        <f>HYPERLINK("https://prolisok-store.com/products/lair-du-temps-by-nina-ricci-shower-gel-6-8-oz", "https://prolisok-store.com/products/lair-du-temps-by-nina-ricci-shower-gel-6-8-oz")</f>
        <v>https://prolisok-store.com/products/lair-du-temps-by-nina-ricci-shower-gel-6-8-oz</v>
      </c>
      <c r="C1756" t="s">
        <v>4235</v>
      </c>
      <c r="D1756" t="s">
        <v>4241</v>
      </c>
      <c r="E1756" s="3" t="str">
        <f>HYPERLINK("https://www.amazon.com/Temps-Nina-Ricci-Women-Toilette/dp/B0BSL4SV85/ref=sr_1_9?keywords=L%27air+du+temps+by+nina+ricci+shower+gel+6.8+oz&amp;qid=1695259226&amp;sr=8-9", "https://www.amazon.com/Temps-Nina-Ricci-Women-Toilette/dp/B0BSL4SV85/ref=sr_1_9?keywords=L%27air+du+temps+by+nina+ricci+shower+gel+6.8+oz&amp;qid=1695259226&amp;sr=8-9")</f>
        <v>https://www.amazon.com/Temps-Nina-Ricci-Women-Toilette/dp/B0BSL4SV85/ref=sr_1_9?keywords=L%27air+du+temps+by+nina+ricci+shower+gel+6.8+oz&amp;qid=1695259226&amp;sr=8-9</v>
      </c>
      <c r="F1756" t="s">
        <v>4242</v>
      </c>
      <c r="G1756" t="e">
        <f ca="1">IMAGE("https://prolisok-store.com/cdn/shop/products/123487_300x.jpg?v=1693407468")</f>
        <v>#NAME?</v>
      </c>
      <c r="H1756" t="e">
        <f ca="1">IMAGE("https://m.media-amazon.com/images/I/51y+EA3cJ6L._AC_UL320_.jpg")</f>
        <v>#NAME?</v>
      </c>
      <c r="I1756" t="s">
        <v>4238</v>
      </c>
      <c r="J1756">
        <v>53.45</v>
      </c>
      <c r="K1756" s="2" t="s">
        <v>4243</v>
      </c>
      <c r="L1756">
        <v>5</v>
      </c>
      <c r="M1756">
        <v>3</v>
      </c>
      <c r="O1756" t="s">
        <v>26</v>
      </c>
      <c r="P1756" t="s">
        <v>39</v>
      </c>
      <c r="Q1756" t="s">
        <v>4240</v>
      </c>
    </row>
    <row r="1757" spans="1:17" ht="15.75" x14ac:dyDescent="0.25">
      <c r="A1757" s="3" t="str">
        <f>HYPERLINK("https://prolisok-store.com/collections/bath-and-shower/products/versace-bright-crystal-by-gianni-versace-body-lotion-6-7-oz", "https://prolisok-store.com/collections/bath-and-shower/products/versace-bright-crystal-by-gianni-versace-body-lotion-6-7-oz")</f>
        <v>https://prolisok-store.com/collections/bath-and-shower/products/versace-bright-crystal-by-gianni-versace-body-lotion-6-7-oz</v>
      </c>
      <c r="B1757" s="3" t="str">
        <f>HYPERLINK("https://prolisok-store.com/products/versace-bright-crystal-by-gianni-versace-body-lotion-6-7-oz", "https://prolisok-store.com/products/versace-bright-crystal-by-gianni-versace-body-lotion-6-7-oz")</f>
        <v>https://prolisok-store.com/products/versace-bright-crystal-by-gianni-versace-body-lotion-6-7-oz</v>
      </c>
      <c r="C1757" t="s">
        <v>4215</v>
      </c>
      <c r="D1757" t="s">
        <v>4244</v>
      </c>
      <c r="E1757" s="3" t="str">
        <f>HYPERLINK("https://www.amazon.com/Bright-Crystal-Versace-Body-Lotion/dp/B0018S4A7M/ref=sr_1_2?keywords=Versace+bright+crystal+by+gianni+versace+body+lotion+6.7+oz&amp;qid=1695259223&amp;sr=8-2", "https://www.amazon.com/Bright-Crystal-Versace-Body-Lotion/dp/B0018S4A7M/ref=sr_1_2?keywords=Versace+bright+crystal+by+gianni+versace+body+lotion+6.7+oz&amp;qid=1695259223&amp;sr=8-2")</f>
        <v>https://www.amazon.com/Bright-Crystal-Versace-Body-Lotion/dp/B0018S4A7M/ref=sr_1_2?keywords=Versace+bright+crystal+by+gianni+versace+body+lotion+6.7+oz&amp;qid=1695259223&amp;sr=8-2</v>
      </c>
      <c r="F1757" t="s">
        <v>4245</v>
      </c>
      <c r="G1757" t="e">
        <f ca="1">IMAGE("https://prolisok-store.com/cdn/shop/products/145895_300x.jpg?v=1694532077")</f>
        <v>#NAME?</v>
      </c>
      <c r="H1757" t="e">
        <f ca="1">IMAGE("https://m.media-amazon.com/images/I/61Y0YdVosRL._AC_UL320_.jpg")</f>
        <v>#NAME?</v>
      </c>
      <c r="I1757" t="s">
        <v>4218</v>
      </c>
      <c r="J1757">
        <v>49.61</v>
      </c>
      <c r="K1757" s="2" t="s">
        <v>4246</v>
      </c>
      <c r="L1757">
        <v>4.7</v>
      </c>
      <c r="M1757">
        <v>26</v>
      </c>
      <c r="O1757" t="s">
        <v>26</v>
      </c>
      <c r="P1757" t="s">
        <v>39</v>
      </c>
      <c r="Q1757" t="s">
        <v>4220</v>
      </c>
    </row>
    <row r="1758" spans="1:17" ht="15.75" x14ac:dyDescent="0.25">
      <c r="A1758" s="3" t="str">
        <f>HYPERLINK("https://prolisok-store.com/collections/bath-and-shower/products/lair-du-temps-by-nina-ricci-shower-gel-6-8-oz", "https://prolisok-store.com/collections/bath-and-shower/products/lair-du-temps-by-nina-ricci-shower-gel-6-8-oz")</f>
        <v>https://prolisok-store.com/collections/bath-and-shower/products/lair-du-temps-by-nina-ricci-shower-gel-6-8-oz</v>
      </c>
      <c r="B1758" s="3" t="str">
        <f>HYPERLINK("https://prolisok-store.com/products/lair-du-temps-by-nina-ricci-shower-gel-6-8-oz", "https://prolisok-store.com/products/lair-du-temps-by-nina-ricci-shower-gel-6-8-oz")</f>
        <v>https://prolisok-store.com/products/lair-du-temps-by-nina-ricci-shower-gel-6-8-oz</v>
      </c>
      <c r="C1758" t="s">
        <v>4235</v>
      </c>
      <c r="D1758" t="s">
        <v>4247</v>
      </c>
      <c r="E1758" s="3" t="str">
        <f>HYPERLINK("https://www.amazon.com/TEMPS-Nina-Ricci-Toilette-Spray/dp/B002SUJ1K0/ref=sr_1_6?keywords=L%27air+du+temps+by+nina+ricci+shower+gel+6.8+oz&amp;qid=1695259226&amp;sr=8-6", "https://www.amazon.com/TEMPS-Nina-Ricci-Toilette-Spray/dp/B002SUJ1K0/ref=sr_1_6?keywords=L%27air+du+temps+by+nina+ricci+shower+gel+6.8+oz&amp;qid=1695259226&amp;sr=8-6")</f>
        <v>https://www.amazon.com/TEMPS-Nina-Ricci-Toilette-Spray/dp/B002SUJ1K0/ref=sr_1_6?keywords=L%27air+du+temps+by+nina+ricci+shower+gel+6.8+oz&amp;qid=1695259226&amp;sr=8-6</v>
      </c>
      <c r="F1758" t="s">
        <v>4248</v>
      </c>
      <c r="G1758" t="e">
        <f ca="1">IMAGE("https://prolisok-store.com/cdn/shop/products/123487_300x.jpg?v=1693407468")</f>
        <v>#NAME?</v>
      </c>
      <c r="H1758" t="e">
        <f ca="1">IMAGE("https://m.media-amazon.com/images/I/51QcZtlXN-L._AC_UL320_.jpg")</f>
        <v>#NAME?</v>
      </c>
      <c r="I1758" t="s">
        <v>4238</v>
      </c>
      <c r="J1758">
        <v>43.79</v>
      </c>
      <c r="K1758" s="2" t="s">
        <v>4249</v>
      </c>
      <c r="L1758">
        <v>4.5999999999999996</v>
      </c>
      <c r="M1758">
        <v>384</v>
      </c>
      <c r="O1758" t="s">
        <v>26</v>
      </c>
      <c r="P1758" t="s">
        <v>39</v>
      </c>
      <c r="Q1758" t="s">
        <v>4240</v>
      </c>
    </row>
    <row r="1759" spans="1:17" ht="15.75" x14ac:dyDescent="0.25">
      <c r="A1759" s="3" t="str">
        <f>HYPERLINK("https://prolisok-store.com/collections/bath-and-shower/products/versace-bright-crystal-by-gianni-versace-body-lotion-6-7-oz", "https://prolisok-store.com/collections/bath-and-shower/products/versace-bright-crystal-by-gianni-versace-body-lotion-6-7-oz")</f>
        <v>https://prolisok-store.com/collections/bath-and-shower/products/versace-bright-crystal-by-gianni-versace-body-lotion-6-7-oz</v>
      </c>
      <c r="B1759" s="3" t="str">
        <f>HYPERLINK("https://prolisok-store.com/products/versace-bright-crystal-by-gianni-versace-body-lotion-6-7-oz", "https://prolisok-store.com/products/versace-bright-crystal-by-gianni-versace-body-lotion-6-7-oz")</f>
        <v>https://prolisok-store.com/products/versace-bright-crystal-by-gianni-versace-body-lotion-6-7-oz</v>
      </c>
      <c r="C1759" t="s">
        <v>4215</v>
      </c>
      <c r="D1759" t="s">
        <v>4250</v>
      </c>
      <c r="E1759" s="3" t="str">
        <f>HYPERLINK("https://www.amazon.com/Versace-Bright-Crystal-Gianni-6-7-Ounce/dp/B000VOJIQM/ref=sr_1_1?keywords=Versace+bright+crystal+by+gianni+versace+body+lotion+6.7+oz&amp;qid=1695259223&amp;sr=8-1", "https://www.amazon.com/Versace-Bright-Crystal-Gianni-6-7-Ounce/dp/B000VOJIQM/ref=sr_1_1?keywords=Versace+bright+crystal+by+gianni+versace+body+lotion+6.7+oz&amp;qid=1695259223&amp;sr=8-1")</f>
        <v>https://www.amazon.com/Versace-Bright-Crystal-Gianni-6-7-Ounce/dp/B000VOJIQM/ref=sr_1_1?keywords=Versace+bright+crystal+by+gianni+versace+body+lotion+6.7+oz&amp;qid=1695259223&amp;sr=8-1</v>
      </c>
      <c r="F1759" t="s">
        <v>4251</v>
      </c>
      <c r="G1759" t="e">
        <f ca="1">IMAGE("https://prolisok-store.com/cdn/shop/products/145895_300x.jpg?v=1694532077")</f>
        <v>#NAME?</v>
      </c>
      <c r="H1759" t="e">
        <f ca="1">IMAGE("https://m.media-amazon.com/images/I/41Er0QdEqtL._AC_UL320_.jpg")</f>
        <v>#NAME?</v>
      </c>
      <c r="I1759" t="s">
        <v>4218</v>
      </c>
      <c r="J1759">
        <v>38.56</v>
      </c>
      <c r="K1759" s="2" t="s">
        <v>4252</v>
      </c>
      <c r="L1759">
        <v>4.5999999999999996</v>
      </c>
      <c r="M1759">
        <v>646</v>
      </c>
      <c r="O1759" t="s">
        <v>26</v>
      </c>
      <c r="P1759" t="s">
        <v>39</v>
      </c>
      <c r="Q1759" t="s">
        <v>4220</v>
      </c>
    </row>
    <row r="1760" spans="1:17" ht="15.75" x14ac:dyDescent="0.25">
      <c r="A1760" s="3" t="str">
        <f>HYPERLINK("https://prolisok-store.com/collections/bath-and-shower/products/versace-bright-crystal-by-gianni-versace-body-lotion-6-7-oz", "https://prolisok-store.com/collections/bath-and-shower/products/versace-bright-crystal-by-gianni-versace-body-lotion-6-7-oz")</f>
        <v>https://prolisok-store.com/collections/bath-and-shower/products/versace-bright-crystal-by-gianni-versace-body-lotion-6-7-oz</v>
      </c>
      <c r="B1760" s="3" t="str">
        <f>HYPERLINK("https://prolisok-store.com/products/versace-bright-crystal-by-gianni-versace-body-lotion-6-7-oz", "https://prolisok-store.com/products/versace-bright-crystal-by-gianni-versace-body-lotion-6-7-oz")</f>
        <v>https://prolisok-store.com/products/versace-bright-crystal-by-gianni-versace-body-lotion-6-7-oz</v>
      </c>
      <c r="C1760" t="s">
        <v>4215</v>
      </c>
      <c r="D1760" t="s">
        <v>4253</v>
      </c>
      <c r="E1760" s="3" t="str">
        <f>HYPERLINK("https://www.amazon.com/Versace-Bright-Crystal-Piece-Mini/dp/B007UGQ3I0/ref=sr_1_4?keywords=Versace+bright+crystal+by+gianni+versace+body+lotion+6.7+oz&amp;qid=1695259223&amp;sr=8-4", "https://www.amazon.com/Versace-Bright-Crystal-Piece-Mini/dp/B007UGQ3I0/ref=sr_1_4?keywords=Versace+bright+crystal+by+gianni+versace+body+lotion+6.7+oz&amp;qid=1695259223&amp;sr=8-4")</f>
        <v>https://www.amazon.com/Versace-Bright-Crystal-Piece-Mini/dp/B007UGQ3I0/ref=sr_1_4?keywords=Versace+bright+crystal+by+gianni+versace+body+lotion+6.7+oz&amp;qid=1695259223&amp;sr=8-4</v>
      </c>
      <c r="F1760" t="s">
        <v>4254</v>
      </c>
      <c r="G1760" t="e">
        <f ca="1">IMAGE("https://prolisok-store.com/cdn/shop/products/145895_300x.jpg?v=1694532077")</f>
        <v>#NAME?</v>
      </c>
      <c r="H1760" t="e">
        <f ca="1">IMAGE("https://m.media-amazon.com/images/I/51VGMlqG25L._AC_UL320_.jpg")</f>
        <v>#NAME?</v>
      </c>
      <c r="I1760" t="s">
        <v>4218</v>
      </c>
      <c r="J1760">
        <v>36.99</v>
      </c>
      <c r="K1760" s="2" t="s">
        <v>4255</v>
      </c>
      <c r="L1760">
        <v>4.5999999999999996</v>
      </c>
      <c r="M1760">
        <v>34</v>
      </c>
      <c r="O1760" t="s">
        <v>26</v>
      </c>
      <c r="P1760" t="s">
        <v>39</v>
      </c>
      <c r="Q1760" t="s">
        <v>4220</v>
      </c>
    </row>
    <row r="1761" spans="1:17" ht="15.75" x14ac:dyDescent="0.25">
      <c r="A1761" s="3" t="str">
        <f>HYPERLINK("https://prolisok-store.com/collections/bath-and-shower/products/lair-du-temps-by-nina-ricci-shower-gel-6-8-oz", "https://prolisok-store.com/collections/bath-and-shower/products/lair-du-temps-by-nina-ricci-shower-gel-6-8-oz")</f>
        <v>https://prolisok-store.com/collections/bath-and-shower/products/lair-du-temps-by-nina-ricci-shower-gel-6-8-oz</v>
      </c>
      <c r="B1761" s="3" t="str">
        <f>HYPERLINK("https://prolisok-store.com/products/lair-du-temps-by-nina-ricci-shower-gel-6-8-oz", "https://prolisok-store.com/products/lair-du-temps-by-nina-ricci-shower-gel-6-8-oz")</f>
        <v>https://prolisok-store.com/products/lair-du-temps-by-nina-ricci-shower-gel-6-8-oz</v>
      </c>
      <c r="C1761" t="s">
        <v>4235</v>
      </c>
      <c r="D1761" t="s">
        <v>4256</v>
      </c>
      <c r="E1761" s="3" t="str">
        <f>HYPERLINK("https://www.amazon.com/Nina-Ricci-Gentle-Shower-Temps/dp/B000Q2YBDO/ref=sr_1_1?keywords=L%27air+du+temps+by+nina+ricci+shower+gel+6.8+oz&amp;qid=1695259226&amp;sr=8-1", "https://www.amazon.com/Nina-Ricci-Gentle-Shower-Temps/dp/B000Q2YBDO/ref=sr_1_1?keywords=L%27air+du+temps+by+nina+ricci+shower+gel+6.8+oz&amp;qid=1695259226&amp;sr=8-1")</f>
        <v>https://www.amazon.com/Nina-Ricci-Gentle-Shower-Temps/dp/B000Q2YBDO/ref=sr_1_1?keywords=L%27air+du+temps+by+nina+ricci+shower+gel+6.8+oz&amp;qid=1695259226&amp;sr=8-1</v>
      </c>
      <c r="F1761" t="s">
        <v>4257</v>
      </c>
      <c r="G1761" t="e">
        <f ca="1">IMAGE("https://prolisok-store.com/cdn/shop/products/123487_300x.jpg?v=1693407468")</f>
        <v>#NAME?</v>
      </c>
      <c r="H1761" t="e">
        <f ca="1">IMAGE("https://m.media-amazon.com/images/I/51NDkqqhygL._AC_UL320_.jpg")</f>
        <v>#NAME?</v>
      </c>
      <c r="I1761" t="s">
        <v>4238</v>
      </c>
      <c r="J1761">
        <v>38</v>
      </c>
      <c r="K1761" s="2" t="s">
        <v>4258</v>
      </c>
      <c r="L1761">
        <v>4.7</v>
      </c>
      <c r="M1761">
        <v>222</v>
      </c>
      <c r="O1761" t="s">
        <v>26</v>
      </c>
      <c r="P1761" t="s">
        <v>39</v>
      </c>
      <c r="Q1761" t="s">
        <v>4240</v>
      </c>
    </row>
    <row r="1762" spans="1:17" ht="15.75" x14ac:dyDescent="0.25">
      <c r="A1762" s="3" t="str">
        <f>HYPERLINK("https://prolisok-store.com/collections/bath-and-shower/products/lair-du-temps-by-nina-ricci-shower-gel-6-8-oz", "https://prolisok-store.com/collections/bath-and-shower/products/lair-du-temps-by-nina-ricci-shower-gel-6-8-oz")</f>
        <v>https://prolisok-store.com/collections/bath-and-shower/products/lair-du-temps-by-nina-ricci-shower-gel-6-8-oz</v>
      </c>
      <c r="B1762" s="3" t="str">
        <f>HYPERLINK("https://prolisok-store.com/products/lair-du-temps-by-nina-ricci-shower-gel-6-8-oz", "https://prolisok-store.com/products/lair-du-temps-by-nina-ricci-shower-gel-6-8-oz")</f>
        <v>https://prolisok-store.com/products/lair-du-temps-by-nina-ricci-shower-gel-6-8-oz</v>
      </c>
      <c r="C1762" t="s">
        <v>4235</v>
      </c>
      <c r="D1762" t="s">
        <v>4259</v>
      </c>
      <c r="E1762" s="3" t="str">
        <f>HYPERLINK("https://www.amazon.com/Temps-Nina-Ricci-Women-Toilette/dp/B000XDY6PO/ref=sr_1_8?keywords=L%27air+du+temps+by+nina+ricci+shower+gel+6.8+oz&amp;qid=1695259226&amp;sr=8-8", "https://www.amazon.com/Temps-Nina-Ricci-Women-Toilette/dp/B000XDY6PO/ref=sr_1_8?keywords=L%27air+du+temps+by+nina+ricci+shower+gel+6.8+oz&amp;qid=1695259226&amp;sr=8-8")</f>
        <v>https://www.amazon.com/Temps-Nina-Ricci-Women-Toilette/dp/B000XDY6PO/ref=sr_1_8?keywords=L%27air+du+temps+by+nina+ricci+shower+gel+6.8+oz&amp;qid=1695259226&amp;sr=8-8</v>
      </c>
      <c r="F1762" t="s">
        <v>4260</v>
      </c>
      <c r="G1762" t="e">
        <f ca="1">IMAGE("https://prolisok-store.com/cdn/shop/products/123487_300x.jpg?v=1693407468")</f>
        <v>#NAME?</v>
      </c>
      <c r="H1762" t="e">
        <f ca="1">IMAGE("https://m.media-amazon.com/images/I/21IcQ0luquL._AC_UL320_.jpg")</f>
        <v>#NAME?</v>
      </c>
      <c r="I1762" t="s">
        <v>4238</v>
      </c>
      <c r="J1762">
        <v>34.99</v>
      </c>
      <c r="K1762" s="2" t="s">
        <v>4261</v>
      </c>
      <c r="L1762">
        <v>4.0999999999999996</v>
      </c>
      <c r="M1762">
        <v>42</v>
      </c>
      <c r="O1762" t="s">
        <v>26</v>
      </c>
      <c r="P1762" t="s">
        <v>39</v>
      </c>
      <c r="Q1762" t="s">
        <v>4240</v>
      </c>
    </row>
    <row r="1763" spans="1:17" ht="15.75" x14ac:dyDescent="0.25">
      <c r="A1763" s="3" t="str">
        <f>HYPERLINK("https://prolisok-store.com/collections/bath-and-shower/products/versace-bright-crystal-by-gianni-versace-body-lotion-6-7-oz", "https://prolisok-store.com/collections/bath-and-shower/products/versace-bright-crystal-by-gianni-versace-body-lotion-6-7-oz")</f>
        <v>https://prolisok-store.com/collections/bath-and-shower/products/versace-bright-crystal-by-gianni-versace-body-lotion-6-7-oz</v>
      </c>
      <c r="B1763" s="3" t="str">
        <f>HYPERLINK("https://prolisok-store.com/products/versace-bright-crystal-by-gianni-versace-body-lotion-6-7-oz", "https://prolisok-store.com/products/versace-bright-crystal-by-gianni-versace-body-lotion-6-7-oz")</f>
        <v>https://prolisok-store.com/products/versace-bright-crystal-by-gianni-versace-body-lotion-6-7-oz</v>
      </c>
      <c r="C1763" t="s">
        <v>4215</v>
      </c>
      <c r="D1763" t="s">
        <v>4262</v>
      </c>
      <c r="E1763" s="3" t="str">
        <f>HYPERLINK("https://www.amazon.com/VERSACE-CRYSTAL-Gianni-Versace-WOMEN/dp/B004JAK1JW/ref=sr_1_5?keywords=Versace+bright+crystal+by+gianni+versace+body+lotion+6.7+oz&amp;qid=1695259223&amp;sr=8-5", "https://www.amazon.com/VERSACE-CRYSTAL-Gianni-Versace-WOMEN/dp/B004JAK1JW/ref=sr_1_5?keywords=Versace+bright+crystal+by+gianni+versace+body+lotion+6.7+oz&amp;qid=1695259223&amp;sr=8-5")</f>
        <v>https://www.amazon.com/VERSACE-CRYSTAL-Gianni-Versace-WOMEN/dp/B004JAK1JW/ref=sr_1_5?keywords=Versace+bright+crystal+by+gianni+versace+body+lotion+6.7+oz&amp;qid=1695259223&amp;sr=8-5</v>
      </c>
      <c r="F1763" t="s">
        <v>4263</v>
      </c>
      <c r="G1763" t="e">
        <f ca="1">IMAGE("https://prolisok-store.com/cdn/shop/products/145895_300x.jpg?v=1694532077")</f>
        <v>#NAME?</v>
      </c>
      <c r="H1763" t="e">
        <f ca="1">IMAGE("https://m.media-amazon.com/images/I/51tej3-L2eL._AC_UL320_.jpg")</f>
        <v>#NAME?</v>
      </c>
      <c r="I1763" t="s">
        <v>4218</v>
      </c>
      <c r="J1763">
        <v>29.98</v>
      </c>
      <c r="K1763" s="2" t="s">
        <v>4264</v>
      </c>
      <c r="L1763">
        <v>4.4000000000000004</v>
      </c>
      <c r="M1763">
        <v>94</v>
      </c>
      <c r="O1763" t="s">
        <v>26</v>
      </c>
      <c r="P1763" t="s">
        <v>39</v>
      </c>
      <c r="Q1763" t="s">
        <v>4220</v>
      </c>
    </row>
    <row r="1764" spans="1:17" ht="15.75" x14ac:dyDescent="0.25">
      <c r="A1764" s="3" t="str">
        <f>HYPERLINK("https://prolisok-store.com/collections/bath-and-shower/products/lair-du-temps-by-nina-ricci-shower-gel-6-8-oz", "https://prolisok-store.com/collections/bath-and-shower/products/lair-du-temps-by-nina-ricci-shower-gel-6-8-oz")</f>
        <v>https://prolisok-store.com/collections/bath-and-shower/products/lair-du-temps-by-nina-ricci-shower-gel-6-8-oz</v>
      </c>
      <c r="B1764" s="3" t="str">
        <f>HYPERLINK("https://prolisok-store.com/products/lair-du-temps-by-nina-ricci-shower-gel-6-8-oz", "https://prolisok-store.com/products/lair-du-temps-by-nina-ricci-shower-gel-6-8-oz")</f>
        <v>https://prolisok-store.com/products/lair-du-temps-by-nina-ricci-shower-gel-6-8-oz</v>
      </c>
      <c r="C1764" t="s">
        <v>4235</v>
      </c>
      <c r="D1764" t="s">
        <v>4265</v>
      </c>
      <c r="E1764" s="3" t="str">
        <f>HYPERLINK("https://www.amazon.com/LAIR-DU-TEMPS-Nina-Ricci/dp/B00EOP8VZI/ref=sr_1_5?keywords=L%27air+du+temps+by+nina+ricci+shower+gel+6.8+oz&amp;qid=1695259226&amp;sr=8-5", "https://www.amazon.com/LAIR-DU-TEMPS-Nina-Ricci/dp/B00EOP8VZI/ref=sr_1_5?keywords=L%27air+du+temps+by+nina+ricci+shower+gel+6.8+oz&amp;qid=1695259226&amp;sr=8-5")</f>
        <v>https://www.amazon.com/LAIR-DU-TEMPS-Nina-Ricci/dp/B00EOP8VZI/ref=sr_1_5?keywords=L%27air+du+temps+by+nina+ricci+shower+gel+6.8+oz&amp;qid=1695259226&amp;sr=8-5</v>
      </c>
      <c r="F1764" t="s">
        <v>4266</v>
      </c>
      <c r="G1764" t="e">
        <f ca="1">IMAGE("https://prolisok-store.com/cdn/shop/products/123487_300x.jpg?v=1693407468")</f>
        <v>#NAME?</v>
      </c>
      <c r="H1764" t="e">
        <f ca="1">IMAGE("https://m.media-amazon.com/images/I/116ReJJ1U6L._AC_UL320_.jpg")</f>
        <v>#NAME?</v>
      </c>
      <c r="I1764" t="s">
        <v>4238</v>
      </c>
      <c r="J1764">
        <v>25.8</v>
      </c>
      <c r="K1764" s="2" t="s">
        <v>4267</v>
      </c>
      <c r="L1764">
        <v>3.9</v>
      </c>
      <c r="M1764">
        <v>6</v>
      </c>
      <c r="O1764" t="s">
        <v>26</v>
      </c>
      <c r="P1764" t="s">
        <v>39</v>
      </c>
      <c r="Q1764" t="s">
        <v>4240</v>
      </c>
    </row>
    <row r="1765" spans="1:17" ht="15.75" x14ac:dyDescent="0.25">
      <c r="A1765" s="3" t="str">
        <f>HYPERLINK("https://prolisok-store.com/collections/personal-care/products/mustang-by-estee-lauder-aftershave-1-oz", "https://prolisok-store.com/collections/personal-care/products/mustang-by-estee-lauder-aftershave-1-oz")</f>
        <v>https://prolisok-store.com/collections/personal-care/products/mustang-by-estee-lauder-aftershave-1-oz</v>
      </c>
      <c r="B1765" s="3" t="str">
        <f>HYPERLINK("https://prolisok-store.com/products/mustang-by-estee-lauder-aftershave-1-oz", "https://prolisok-store.com/products/mustang-by-estee-lauder-aftershave-1-oz")</f>
        <v>https://prolisok-store.com/products/mustang-by-estee-lauder-aftershave-1-oz</v>
      </c>
      <c r="C1765" t="s">
        <v>4268</v>
      </c>
      <c r="D1765" t="s">
        <v>4269</v>
      </c>
      <c r="E1765" s="3" t="str">
        <f>HYPERLINK("https://www.amazon.com/MUSTANG-Estee-Lauder-COLOGNE-SPRAY/dp/B004UHW70A/ref=sr_1_1?keywords=Mustang+by+estee+lauder+aftershave+1+oz&amp;qid=1695259253&amp;sr=8-1", "https://www.amazon.com/MUSTANG-Estee-Lauder-COLOGNE-SPRAY/dp/B004UHW70A/ref=sr_1_1?keywords=Mustang+by+estee+lauder+aftershave+1+oz&amp;qid=1695259253&amp;sr=8-1")</f>
        <v>https://www.amazon.com/MUSTANG-Estee-Lauder-COLOGNE-SPRAY/dp/B004UHW70A/ref=sr_1_1?keywords=Mustang+by+estee+lauder+aftershave+1+oz&amp;qid=1695259253&amp;sr=8-1</v>
      </c>
      <c r="F1765" t="s">
        <v>4270</v>
      </c>
      <c r="G1765" t="e">
        <f ca="1">IMAGE("https://prolisok-store.com/cdn/shop/products/164118_300x.jpg?v=1690900273")</f>
        <v>#NAME?</v>
      </c>
      <c r="H1765" t="e">
        <f ca="1">IMAGE("https://m.media-amazon.com/images/I/41Cqp18QH7L._AC_UL320_.jpg")</f>
        <v>#NAME?</v>
      </c>
      <c r="I1765" t="s">
        <v>4271</v>
      </c>
      <c r="J1765">
        <v>42.69</v>
      </c>
      <c r="K1765" s="2" t="s">
        <v>4272</v>
      </c>
      <c r="L1765">
        <v>2.5</v>
      </c>
      <c r="M1765">
        <v>2</v>
      </c>
      <c r="O1765" t="s">
        <v>26</v>
      </c>
      <c r="P1765" t="s">
        <v>39</v>
      </c>
      <c r="Q1765" t="s">
        <v>4273</v>
      </c>
    </row>
    <row r="1766" spans="1:17" ht="15.75" x14ac:dyDescent="0.25">
      <c r="A1766" s="3" t="str">
        <f>HYPERLINK("https://prolisok-store.com/collections/personal-care/products/mustang-blue-by-estee-lauder-body-spray-6-8-oz", "https://prolisok-store.com/collections/personal-care/products/mustang-blue-by-estee-lauder-body-spray-6-8-oz")</f>
        <v>https://prolisok-store.com/collections/personal-care/products/mustang-blue-by-estee-lauder-body-spray-6-8-oz</v>
      </c>
      <c r="B1766" s="3" t="str">
        <f>HYPERLINK("https://prolisok-store.com/products/mustang-blue-by-estee-lauder-body-spray-6-8-oz", "https://prolisok-store.com/products/mustang-blue-by-estee-lauder-body-spray-6-8-oz")</f>
        <v>https://prolisok-store.com/products/mustang-blue-by-estee-lauder-body-spray-6-8-oz</v>
      </c>
      <c r="C1766" t="s">
        <v>4274</v>
      </c>
      <c r="D1766" t="s">
        <v>4269</v>
      </c>
      <c r="E1766" s="3" t="str">
        <f>HYPERLINK("https://www.amazon.com/MUSTANG-Estee-Lauder-COLOGNE-SPRAY/dp/B004UHW70A/ref=sr_1_1?keywords=Mustang+blue+by+estee+lauder+body+spray+6.8+oz&amp;qid=1695259257&amp;sr=8-1", "https://www.amazon.com/MUSTANG-Estee-Lauder-COLOGNE-SPRAY/dp/B004UHW70A/ref=sr_1_1?keywords=Mustang+blue+by+estee+lauder+body+spray+6.8+oz&amp;qid=1695259257&amp;sr=8-1")</f>
        <v>https://www.amazon.com/MUSTANG-Estee-Lauder-COLOGNE-SPRAY/dp/B004UHW70A/ref=sr_1_1?keywords=Mustang+blue+by+estee+lauder+body+spray+6.8+oz&amp;qid=1695259257&amp;sr=8-1</v>
      </c>
      <c r="F1766" t="s">
        <v>4270</v>
      </c>
      <c r="G1766" t="e">
        <f ca="1">IMAGE("https://prolisok-store.com/cdn/shop/products/462944_300x.jpg?v=1690900277")</f>
        <v>#NAME?</v>
      </c>
      <c r="H1766" t="e">
        <f ca="1">IMAGE("https://m.media-amazon.com/images/I/41Cqp18QH7L._AC_UL320_.jpg")</f>
        <v>#NAME?</v>
      </c>
      <c r="I1766" t="s">
        <v>4275</v>
      </c>
      <c r="J1766">
        <v>42.69</v>
      </c>
      <c r="K1766" s="2" t="s">
        <v>4276</v>
      </c>
      <c r="L1766">
        <v>2.5</v>
      </c>
      <c r="M1766">
        <v>2</v>
      </c>
      <c r="O1766" t="s">
        <v>26</v>
      </c>
      <c r="P1766" t="s">
        <v>39</v>
      </c>
      <c r="Q1766" t="s">
        <v>4277</v>
      </c>
    </row>
    <row r="1767" spans="1:17" ht="15.75" x14ac:dyDescent="0.25">
      <c r="A1767" s="3" t="str">
        <f>HYPERLINK("https://prolisok-store.com/collections/personal-care/products/eau-du-soir-by-sisley-deodorant-spray-5-oz", "https://prolisok-store.com/collections/personal-care/products/eau-du-soir-by-sisley-deodorant-spray-5-oz")</f>
        <v>https://prolisok-store.com/collections/personal-care/products/eau-du-soir-by-sisley-deodorant-spray-5-oz</v>
      </c>
      <c r="B1767" s="3" t="str">
        <f>HYPERLINK("https://prolisok-store.com/products/eau-du-soir-by-sisley-deodorant-spray-5-oz", "https://prolisok-store.com/products/eau-du-soir-by-sisley-deodorant-spray-5-oz")</f>
        <v>https://prolisok-store.com/products/eau-du-soir-by-sisley-deodorant-spray-5-oz</v>
      </c>
      <c r="C1767" t="s">
        <v>4278</v>
      </c>
      <c r="D1767" t="s">
        <v>4279</v>
      </c>
      <c r="E1767" s="3" t="str">
        <f>HYPERLINK("https://www.amazon.com/Sisley-Soir-Parfum-Spray-Women/dp/B00022DIO6/ref=sr_1_7?keywords=Eau+du+soir+by+sisley+deodorant+spray+5+oz&amp;qid=1695259253&amp;sr=8-7", "https://www.amazon.com/Sisley-Soir-Parfum-Spray-Women/dp/B00022DIO6/ref=sr_1_7?keywords=Eau+du+soir+by+sisley+deodorant+spray+5+oz&amp;qid=1695259253&amp;sr=8-7")</f>
        <v>https://www.amazon.com/Sisley-Soir-Parfum-Spray-Women/dp/B00022DIO6/ref=sr_1_7?keywords=Eau+du+soir+by+sisley+deodorant+spray+5+oz&amp;qid=1695259253&amp;sr=8-7</v>
      </c>
      <c r="F1767" t="s">
        <v>4280</v>
      </c>
      <c r="G1767" t="e">
        <f ca="1">IMAGE("https://prolisok-store.com/cdn/shop/products/287064_300x.jpg?v=1690900587")</f>
        <v>#NAME?</v>
      </c>
      <c r="H1767" t="e">
        <f ca="1">IMAGE("https://m.media-amazon.com/images/I/61zktumd26L._AC_UL320_.jpg")</f>
        <v>#NAME?</v>
      </c>
      <c r="I1767" t="s">
        <v>4281</v>
      </c>
      <c r="J1767">
        <v>124.45</v>
      </c>
      <c r="K1767" s="2" t="s">
        <v>4282</v>
      </c>
      <c r="L1767">
        <v>4.2</v>
      </c>
      <c r="M1767">
        <v>74</v>
      </c>
      <c r="O1767" t="s">
        <v>26</v>
      </c>
      <c r="P1767" t="s">
        <v>39</v>
      </c>
      <c r="Q1767" t="s">
        <v>4283</v>
      </c>
    </row>
    <row r="1768" spans="1:17" ht="15.75" x14ac:dyDescent="0.25">
      <c r="A1768" s="3" t="str">
        <f>HYPERLINK("https://prolisok-store.com/collections/personal-care/products/versace-bright-crystal-by-gianni-versace-deodorant-stick-1-7-oz", "https://prolisok-store.com/collections/personal-care/products/versace-bright-crystal-by-gianni-versace-deodorant-stick-1-7-oz")</f>
        <v>https://prolisok-store.com/collections/personal-care/products/versace-bright-crystal-by-gianni-versace-deodorant-stick-1-7-oz</v>
      </c>
      <c r="B1768" s="3" t="str">
        <f>HYPERLINK("https://prolisok-store.com/products/versace-bright-crystal-by-gianni-versace-deodorant-stick-1-7-oz", "https://prolisok-store.com/products/versace-bright-crystal-by-gianni-versace-deodorant-stick-1-7-oz")</f>
        <v>https://prolisok-store.com/products/versace-bright-crystal-by-gianni-versace-deodorant-stick-1-7-oz</v>
      </c>
      <c r="C1768" t="s">
        <v>4284</v>
      </c>
      <c r="D1768" t="s">
        <v>4285</v>
      </c>
      <c r="E1768" s="3" t="str">
        <f>HYPERLINK("https://www.amazon.com/VERSACE-BRIGHT-CRYSTAL-Gianni-Versace/dp/B00BOJGEF6/ref=sr_1_6?keywords=Versace+bright+crystal+by+gianni+versace+deodorant+stick+1.7+oz&amp;qid=1695259254&amp;sr=8-6", "https://www.amazon.com/VERSACE-BRIGHT-CRYSTAL-Gianni-Versace/dp/B00BOJGEF6/ref=sr_1_6?keywords=Versace+bright+crystal+by+gianni+versace+deodorant+stick+1.7+oz&amp;qid=1695259254&amp;sr=8-6")</f>
        <v>https://www.amazon.com/VERSACE-BRIGHT-CRYSTAL-Gianni-Versace/dp/B00BOJGEF6/ref=sr_1_6?keywords=Versace+bright+crystal+by+gianni+versace+deodorant+stick+1.7+oz&amp;qid=1695259254&amp;sr=8-6</v>
      </c>
      <c r="F1768" t="s">
        <v>4286</v>
      </c>
      <c r="G1768" t="e">
        <f ca="1">IMAGE("https://prolisok-store.com/cdn/shop/products/303570_300x.jpg?v=1694532057")</f>
        <v>#NAME?</v>
      </c>
      <c r="H1768" t="e">
        <f ca="1">IMAGE("https://m.media-amazon.com/images/I/615DQ7-8iVL._AC_UL320_.jpg")</f>
        <v>#NAME?</v>
      </c>
      <c r="I1768" t="s">
        <v>4287</v>
      </c>
      <c r="J1768">
        <v>58.66</v>
      </c>
      <c r="K1768" s="2" t="s">
        <v>4288</v>
      </c>
      <c r="L1768">
        <v>5</v>
      </c>
      <c r="M1768">
        <v>1</v>
      </c>
      <c r="O1768" t="s">
        <v>26</v>
      </c>
      <c r="P1768" t="s">
        <v>39</v>
      </c>
      <c r="Q1768" t="s">
        <v>4289</v>
      </c>
    </row>
    <row r="1769" spans="1:17" ht="15.75" x14ac:dyDescent="0.25">
      <c r="A1769" s="3" t="str">
        <f>HYPERLINK("https://prolisok-store.com/collections/personal-care/products/eau-du-soir-by-sisley-deodorant-spray-5-oz", "https://prolisok-store.com/collections/personal-care/products/eau-du-soir-by-sisley-deodorant-spray-5-oz")</f>
        <v>https://prolisok-store.com/collections/personal-care/products/eau-du-soir-by-sisley-deodorant-spray-5-oz</v>
      </c>
      <c r="B1769" s="3" t="str">
        <f>HYPERLINK("https://prolisok-store.com/products/eau-du-soir-by-sisley-deodorant-spray-5-oz", "https://prolisok-store.com/products/eau-du-soir-by-sisley-deodorant-spray-5-oz")</f>
        <v>https://prolisok-store.com/products/eau-du-soir-by-sisley-deodorant-spray-5-oz</v>
      </c>
      <c r="C1769" t="s">
        <v>4278</v>
      </c>
      <c r="D1769" t="s">
        <v>4290</v>
      </c>
      <c r="E1769" s="3" t="str">
        <f>HYPERLINK("https://www.amazon.com/Soir-Sisley-Women-Parfum-Spray/dp/B000JLAR9Y/ref=sr_1_5?keywords=Eau+du+soir+by+sisley+deodorant+spray+5+oz&amp;qid=1695259253&amp;sr=8-5", "https://www.amazon.com/Soir-Sisley-Women-Parfum-Spray/dp/B000JLAR9Y/ref=sr_1_5?keywords=Eau+du+soir+by+sisley+deodorant+spray+5+oz&amp;qid=1695259253&amp;sr=8-5")</f>
        <v>https://www.amazon.com/Soir-Sisley-Women-Parfum-Spray/dp/B000JLAR9Y/ref=sr_1_5?keywords=Eau+du+soir+by+sisley+deodorant+spray+5+oz&amp;qid=1695259253&amp;sr=8-5</v>
      </c>
      <c r="F1769" t="s">
        <v>4291</v>
      </c>
      <c r="G1769" t="e">
        <f ca="1">IMAGE("https://prolisok-store.com/cdn/shop/products/287064_300x.jpg?v=1690900587")</f>
        <v>#NAME?</v>
      </c>
      <c r="H1769" t="e">
        <f ca="1">IMAGE("https://m.media-amazon.com/images/I/519zrRkKxbL._AC_UL320_.jpg")</f>
        <v>#NAME?</v>
      </c>
      <c r="I1769" t="s">
        <v>4281</v>
      </c>
      <c r="J1769">
        <v>90.8</v>
      </c>
      <c r="K1769" s="2" t="s">
        <v>4292</v>
      </c>
      <c r="L1769">
        <v>4</v>
      </c>
      <c r="M1769">
        <v>90</v>
      </c>
      <c r="O1769" t="s">
        <v>26</v>
      </c>
      <c r="P1769" t="s">
        <v>39</v>
      </c>
      <c r="Q1769" t="s">
        <v>4283</v>
      </c>
    </row>
    <row r="1770" spans="1:17" ht="15.75" x14ac:dyDescent="0.25">
      <c r="A1770" s="3" t="str">
        <f>HYPERLINK("https://prolisok-store.com/collections/personal-care/products/red-door-by-elizabeth-arden-deodorant-cream-1-5-oz", "https://prolisok-store.com/collections/personal-care/products/red-door-by-elizabeth-arden-deodorant-cream-1-5-oz")</f>
        <v>https://prolisok-store.com/collections/personal-care/products/red-door-by-elizabeth-arden-deodorant-cream-1-5-oz</v>
      </c>
      <c r="B1770" s="3" t="str">
        <f>HYPERLINK("https://prolisok-store.com/products/red-door-by-elizabeth-arden-deodorant-cream-1-5-oz", "https://prolisok-store.com/products/red-door-by-elizabeth-arden-deodorant-cream-1-5-oz")</f>
        <v>https://prolisok-store.com/products/red-door-by-elizabeth-arden-deodorant-cream-1-5-oz</v>
      </c>
      <c r="C1770" t="s">
        <v>4293</v>
      </c>
      <c r="D1770" t="s">
        <v>4294</v>
      </c>
      <c r="E1770" s="3" t="str">
        <f>HYPERLINK("https://www.amazon.com/Grass-Perfume-Elizabeth-Deodorant-shopping/dp/B09JNSKDJR/ref=sr_1_3?keywords=Red+door+by+elizabeth+arden+deodorant+cream+1.5+oz&amp;qid=1695259253&amp;sr=8-3", "https://www.amazon.com/Grass-Perfume-Elizabeth-Deodorant-shopping/dp/B09JNSKDJR/ref=sr_1_3?keywords=Red+door+by+elizabeth+arden+deodorant+cream+1.5+oz&amp;qid=1695259253&amp;sr=8-3")</f>
        <v>https://www.amazon.com/Grass-Perfume-Elizabeth-Deodorant-shopping/dp/B09JNSKDJR/ref=sr_1_3?keywords=Red+door+by+elizabeth+arden+deodorant+cream+1.5+oz&amp;qid=1695259253&amp;sr=8-3</v>
      </c>
      <c r="F1770" t="s">
        <v>4295</v>
      </c>
      <c r="G1770" t="e">
        <f ca="1">IMAGE("https://prolisok-store.com/cdn/shop/products/131840_300x.jpg?v=1693407323")</f>
        <v>#NAME?</v>
      </c>
      <c r="H1770" t="e">
        <f ca="1">IMAGE("https://m.media-amazon.com/images/I/31XMS1lZRsL._AC_UL320_.jpg")</f>
        <v>#NAME?</v>
      </c>
      <c r="I1770" t="s">
        <v>4296</v>
      </c>
      <c r="J1770">
        <v>11.99</v>
      </c>
      <c r="K1770" s="2" t="s">
        <v>4297</v>
      </c>
      <c r="L1770">
        <v>4.5999999999999996</v>
      </c>
      <c r="M1770">
        <v>30</v>
      </c>
      <c r="O1770" t="s">
        <v>26</v>
      </c>
      <c r="P1770" t="s">
        <v>39</v>
      </c>
      <c r="Q1770" t="s">
        <v>4298</v>
      </c>
    </row>
    <row r="1771" spans="1:17" ht="15.75" x14ac:dyDescent="0.25">
      <c r="A1771" s="3" t="str">
        <f>HYPERLINK("https://prolisok-store.com/collections/personal-care/products/green-tea-by-elizabeth-arden-deodorant-cream-1-5-oz", "https://prolisok-store.com/collections/personal-care/products/green-tea-by-elizabeth-arden-deodorant-cream-1-5-oz")</f>
        <v>https://prolisok-store.com/collections/personal-care/products/green-tea-by-elizabeth-arden-deodorant-cream-1-5-oz</v>
      </c>
      <c r="B1771" s="3" t="str">
        <f>HYPERLINK("https://prolisok-store.com/products/green-tea-by-elizabeth-arden-deodorant-cream-1-5-oz", "https://prolisok-store.com/products/green-tea-by-elizabeth-arden-deodorant-cream-1-5-oz")</f>
        <v>https://prolisok-store.com/products/green-tea-by-elizabeth-arden-deodorant-cream-1-5-oz</v>
      </c>
      <c r="C1771" t="s">
        <v>4299</v>
      </c>
      <c r="D1771" t="s">
        <v>4294</v>
      </c>
      <c r="E1771" s="3" t="str">
        <f>HYPERLINK("https://www.amazon.com/Grass-Perfume-Elizabeth-Deodorant-shopping/dp/B09JNSKDJR/ref=sr_1_3?keywords=Green+tea+by+elizabeth+arden+deodorant+cream+1.5+oz&amp;qid=1695259265&amp;sr=8-3", "https://www.amazon.com/Grass-Perfume-Elizabeth-Deodorant-shopping/dp/B09JNSKDJR/ref=sr_1_3?keywords=Green+tea+by+elizabeth+arden+deodorant+cream+1.5+oz&amp;qid=1695259265&amp;sr=8-3")</f>
        <v>https://www.amazon.com/Grass-Perfume-Elizabeth-Deodorant-shopping/dp/B09JNSKDJR/ref=sr_1_3?keywords=Green+tea+by+elizabeth+arden+deodorant+cream+1.5+oz&amp;qid=1695259265&amp;sr=8-3</v>
      </c>
      <c r="F1771" t="s">
        <v>4295</v>
      </c>
      <c r="G1771" t="e">
        <f ca="1">IMAGE("https://prolisok-store.com/cdn/shop/products/131843_300x.jpg?v=1693407293")</f>
        <v>#NAME?</v>
      </c>
      <c r="H1771" t="e">
        <f ca="1">IMAGE("https://m.media-amazon.com/images/I/31XMS1lZRsL._AC_UL320_.jpg")</f>
        <v>#NAME?</v>
      </c>
      <c r="I1771" t="s">
        <v>4300</v>
      </c>
      <c r="J1771">
        <v>11.99</v>
      </c>
      <c r="K1771" s="2" t="s">
        <v>4301</v>
      </c>
      <c r="L1771">
        <v>4.5999999999999996</v>
      </c>
      <c r="M1771">
        <v>30</v>
      </c>
      <c r="O1771" t="s">
        <v>26</v>
      </c>
      <c r="P1771" t="s">
        <v>39</v>
      </c>
      <c r="Q1771" t="s">
        <v>4302</v>
      </c>
    </row>
    <row r="1772" spans="1:17" ht="15.75" x14ac:dyDescent="0.25">
      <c r="A1772" s="3" t="str">
        <f>HYPERLINK("https://prolisok-store.com/collections/personal-care/products/blue-grass-by-elizabeth-arden-deodorant-cream-1-5-oz", "https://prolisok-store.com/collections/personal-care/products/blue-grass-by-elizabeth-arden-deodorant-cream-1-5-oz")</f>
        <v>https://prolisok-store.com/collections/personal-care/products/blue-grass-by-elizabeth-arden-deodorant-cream-1-5-oz</v>
      </c>
      <c r="B1772" s="3" t="str">
        <f>HYPERLINK("https://prolisok-store.com/products/blue-grass-by-elizabeth-arden-deodorant-cream-1-5-oz", "https://prolisok-store.com/products/blue-grass-by-elizabeth-arden-deodorant-cream-1-5-oz")</f>
        <v>https://prolisok-store.com/products/blue-grass-by-elizabeth-arden-deodorant-cream-1-5-oz</v>
      </c>
      <c r="C1772" t="s">
        <v>4303</v>
      </c>
      <c r="D1772" t="s">
        <v>4304</v>
      </c>
      <c r="E1772" s="3" t="str">
        <f>HYPERLINK("https://www.amazon.com/Deodorant-Elizabeth-Preferred-commodity-t-fex-417507/dp/B09HTNSWN5/ref=sr_1_2?keywords=Blue+grass+by+elizabeth+arden+deodorant+cream+1.5+oz&amp;qid=1695259255&amp;sr=8-2", "https://www.amazon.com/Deodorant-Elizabeth-Preferred-commodity-t-fex-417507/dp/B09HTNSWN5/ref=sr_1_2?keywords=Blue+grass+by+elizabeth+arden+deodorant+cream+1.5+oz&amp;qid=1695259255&amp;sr=8-2")</f>
        <v>https://www.amazon.com/Deodorant-Elizabeth-Preferred-commodity-t-fex-417507/dp/B09HTNSWN5/ref=sr_1_2?keywords=Blue+grass+by+elizabeth+arden+deodorant+cream+1.5+oz&amp;qid=1695259255&amp;sr=8-2</v>
      </c>
      <c r="F1772" t="s">
        <v>4305</v>
      </c>
      <c r="G1772" t="e">
        <f ca="1">IMAGE("https://prolisok-store.com/cdn/shop/products/118006_300x.jpg?v=1693407304")</f>
        <v>#NAME?</v>
      </c>
      <c r="H1772" t="e">
        <f ca="1">IMAGE("https://m.media-amazon.com/images/I/31XMS1lZRsL._AC_UL320_.jpg")</f>
        <v>#NAME?</v>
      </c>
      <c r="I1772" t="s">
        <v>4296</v>
      </c>
      <c r="J1772">
        <v>11.5</v>
      </c>
      <c r="K1772" s="2" t="s">
        <v>4306</v>
      </c>
      <c r="L1772">
        <v>4.4000000000000004</v>
      </c>
      <c r="M1772">
        <v>63</v>
      </c>
      <c r="O1772" t="s">
        <v>26</v>
      </c>
      <c r="P1772" t="s">
        <v>39</v>
      </c>
      <c r="Q1772" t="s">
        <v>4307</v>
      </c>
    </row>
    <row r="1773" spans="1:17" ht="15.75" x14ac:dyDescent="0.25">
      <c r="A1773" s="3" t="str">
        <f>HYPERLINK("https://prolisok-store.com/collections/personal-care/products/red-door-by-elizabeth-arden-deodorant-cream-1-5-oz", "https://prolisok-store.com/collections/personal-care/products/red-door-by-elizabeth-arden-deodorant-cream-1-5-oz")</f>
        <v>https://prolisok-store.com/collections/personal-care/products/red-door-by-elizabeth-arden-deodorant-cream-1-5-oz</v>
      </c>
      <c r="B1773" s="3" t="str">
        <f>HYPERLINK("https://prolisok-store.com/products/red-door-by-elizabeth-arden-deodorant-cream-1-5-oz", "https://prolisok-store.com/products/red-door-by-elizabeth-arden-deodorant-cream-1-5-oz")</f>
        <v>https://prolisok-store.com/products/red-door-by-elizabeth-arden-deodorant-cream-1-5-oz</v>
      </c>
      <c r="C1773" t="s">
        <v>4293</v>
      </c>
      <c r="D1773" t="s">
        <v>4304</v>
      </c>
      <c r="E1773" s="3" t="str">
        <f>HYPERLINK("https://www.amazon.com/Deodorant-Elizabeth-Preferred-commodity-t-fex-417507/dp/B09HTNSWN5/ref=sr_1_2?keywords=Red+door+by+elizabeth+arden+deodorant+cream+1.5+oz&amp;qid=1695259253&amp;sr=8-2", "https://www.amazon.com/Deodorant-Elizabeth-Preferred-commodity-t-fex-417507/dp/B09HTNSWN5/ref=sr_1_2?keywords=Red+door+by+elizabeth+arden+deodorant+cream+1.5+oz&amp;qid=1695259253&amp;sr=8-2")</f>
        <v>https://www.amazon.com/Deodorant-Elizabeth-Preferred-commodity-t-fex-417507/dp/B09HTNSWN5/ref=sr_1_2?keywords=Red+door+by+elizabeth+arden+deodorant+cream+1.5+oz&amp;qid=1695259253&amp;sr=8-2</v>
      </c>
      <c r="F1773" t="s">
        <v>4305</v>
      </c>
      <c r="G1773" t="e">
        <f ca="1">IMAGE("https://prolisok-store.com/cdn/shop/products/131840_300x.jpg?v=1693407323")</f>
        <v>#NAME?</v>
      </c>
      <c r="H1773" t="e">
        <f ca="1">IMAGE("https://m.media-amazon.com/images/I/31XMS1lZRsL._AC_UL320_.jpg")</f>
        <v>#NAME?</v>
      </c>
      <c r="I1773" t="s">
        <v>4296</v>
      </c>
      <c r="J1773">
        <v>11.5</v>
      </c>
      <c r="K1773" s="2" t="s">
        <v>4306</v>
      </c>
      <c r="L1773">
        <v>4.4000000000000004</v>
      </c>
      <c r="M1773">
        <v>63</v>
      </c>
      <c r="O1773" t="s">
        <v>26</v>
      </c>
      <c r="P1773" t="s">
        <v>39</v>
      </c>
      <c r="Q1773" t="s">
        <v>4298</v>
      </c>
    </row>
    <row r="1774" spans="1:17" ht="15.75" x14ac:dyDescent="0.25">
      <c r="A1774" s="3" t="str">
        <f>HYPERLINK("https://prolisok-store.com/collections/personal-care/products/green-tea-by-elizabeth-arden-deodorant-cream-1-5-oz", "https://prolisok-store.com/collections/personal-care/products/green-tea-by-elizabeth-arden-deodorant-cream-1-5-oz")</f>
        <v>https://prolisok-store.com/collections/personal-care/products/green-tea-by-elizabeth-arden-deodorant-cream-1-5-oz</v>
      </c>
      <c r="B1774" s="3" t="str">
        <f>HYPERLINK("https://prolisok-store.com/products/green-tea-by-elizabeth-arden-deodorant-cream-1-5-oz", "https://prolisok-store.com/products/green-tea-by-elizabeth-arden-deodorant-cream-1-5-oz")</f>
        <v>https://prolisok-store.com/products/green-tea-by-elizabeth-arden-deodorant-cream-1-5-oz</v>
      </c>
      <c r="C1774" t="s">
        <v>4299</v>
      </c>
      <c r="D1774" t="s">
        <v>4304</v>
      </c>
      <c r="E1774" s="3" t="str">
        <f>HYPERLINK("https://www.amazon.com/Deodorant-Elizabeth-Preferred-commodity-t-fex-417507/dp/B09HTNSWN5/ref=sr_1_4?keywords=Green+tea+by+elizabeth+arden+deodorant+cream+1.5+oz&amp;qid=1695259265&amp;sr=8-4", "https://www.amazon.com/Deodorant-Elizabeth-Preferred-commodity-t-fex-417507/dp/B09HTNSWN5/ref=sr_1_4?keywords=Green+tea+by+elizabeth+arden+deodorant+cream+1.5+oz&amp;qid=1695259265&amp;sr=8-4")</f>
        <v>https://www.amazon.com/Deodorant-Elizabeth-Preferred-commodity-t-fex-417507/dp/B09HTNSWN5/ref=sr_1_4?keywords=Green+tea+by+elizabeth+arden+deodorant+cream+1.5+oz&amp;qid=1695259265&amp;sr=8-4</v>
      </c>
      <c r="F1774" t="s">
        <v>4305</v>
      </c>
      <c r="G1774" t="e">
        <f ca="1">IMAGE("https://prolisok-store.com/cdn/shop/products/131843_300x.jpg?v=1693407293")</f>
        <v>#NAME?</v>
      </c>
      <c r="H1774" t="e">
        <f ca="1">IMAGE("https://m.media-amazon.com/images/I/31XMS1lZRsL._AC_UL320_.jpg")</f>
        <v>#NAME?</v>
      </c>
      <c r="I1774" t="s">
        <v>4300</v>
      </c>
      <c r="J1774">
        <v>11.5</v>
      </c>
      <c r="K1774" s="2" t="s">
        <v>4308</v>
      </c>
      <c r="L1774">
        <v>4.4000000000000004</v>
      </c>
      <c r="M1774">
        <v>63</v>
      </c>
      <c r="O1774" t="s">
        <v>26</v>
      </c>
      <c r="P1774" t="s">
        <v>39</v>
      </c>
      <c r="Q1774" t="s">
        <v>4302</v>
      </c>
    </row>
    <row r="1775" spans="1:17" ht="15.75" x14ac:dyDescent="0.25">
      <c r="A1775" s="3" t="str">
        <f>HYPERLINK("https://prolisok-store.com/collections/personal-care/products/eau-de-private-collection-by-estee-lauder-fragrance-spray-1-7-oz", "https://prolisok-store.com/collections/personal-care/products/eau-de-private-collection-by-estee-lauder-fragrance-spray-1-7-oz")</f>
        <v>https://prolisok-store.com/collections/personal-care/products/eau-de-private-collection-by-estee-lauder-fragrance-spray-1-7-oz</v>
      </c>
      <c r="B1775" s="3" t="str">
        <f>HYPERLINK("https://prolisok-store.com/products/eau-de-private-collection-by-estee-lauder-fragrance-spray-1-7-oz", "https://prolisok-store.com/products/eau-de-private-collection-by-estee-lauder-fragrance-spray-1-7-oz")</f>
        <v>https://prolisok-store.com/products/eau-de-private-collection-by-estee-lauder-fragrance-spray-1-7-oz</v>
      </c>
      <c r="C1775" t="s">
        <v>4309</v>
      </c>
      <c r="D1775" t="s">
        <v>4310</v>
      </c>
      <c r="E1775" s="3" t="str">
        <f>HYPERLINK("https://www.amazon.com/Estee-Lauder-Collection-Tuberose-Gardenia/dp/B004ZQ8VUG/ref=sr_1_6?keywords=Eau+de+private+collection+by+estee+lauder+fragrance+spray+1.7+oz&amp;qid=1695259266&amp;sr=8-6", "https://www.amazon.com/Estee-Lauder-Collection-Tuberose-Gardenia/dp/B004ZQ8VUG/ref=sr_1_6?keywords=Eau+de+private+collection+by+estee+lauder+fragrance+spray+1.7+oz&amp;qid=1695259266&amp;sr=8-6")</f>
        <v>https://www.amazon.com/Estee-Lauder-Collection-Tuberose-Gardenia/dp/B004ZQ8VUG/ref=sr_1_6?keywords=Eau+de+private+collection+by+estee+lauder+fragrance+spray+1.7+oz&amp;qid=1695259266&amp;sr=8-6</v>
      </c>
      <c r="F1775" t="s">
        <v>4311</v>
      </c>
      <c r="G1775" t="e">
        <f ca="1">IMAGE("https://prolisok-store.com/cdn/shop/products/199595_300x.jpg?v=1690900285")</f>
        <v>#NAME?</v>
      </c>
      <c r="H1775" t="e">
        <f ca="1">IMAGE("https://m.media-amazon.com/images/I/81WjR5sbstL._AC_UL320_.jpg")</f>
        <v>#NAME?</v>
      </c>
      <c r="I1775" t="s">
        <v>4312</v>
      </c>
      <c r="J1775">
        <v>114</v>
      </c>
      <c r="K1775" s="2" t="s">
        <v>4313</v>
      </c>
      <c r="L1775">
        <v>4.7</v>
      </c>
      <c r="M1775">
        <v>395</v>
      </c>
      <c r="O1775" t="s">
        <v>26</v>
      </c>
      <c r="P1775" t="s">
        <v>39</v>
      </c>
      <c r="Q1775" t="s">
        <v>4314</v>
      </c>
    </row>
    <row r="1776" spans="1:17" ht="15.75" x14ac:dyDescent="0.25">
      <c r="A1776" s="3" t="str">
        <f>HYPERLINK("https://prolisok-store.com/collections/personal-care/products/bed-head-men-by-tigi-balm-down-cooling-aftershave-4-2-oz", "https://prolisok-store.com/collections/personal-care/products/bed-head-men-by-tigi-balm-down-cooling-aftershave-4-2-oz")</f>
        <v>https://prolisok-store.com/collections/personal-care/products/bed-head-men-by-tigi-balm-down-cooling-aftershave-4-2-oz</v>
      </c>
      <c r="B1776" s="3" t="str">
        <f>HYPERLINK("https://prolisok-store.com/products/bed-head-men-by-tigi-balm-down-cooling-aftershave-4-2-oz", "https://prolisok-store.com/products/bed-head-men-by-tigi-balm-down-cooling-aftershave-4-2-oz")</f>
        <v>https://prolisok-store.com/products/bed-head-men-by-tigi-balm-down-cooling-aftershave-4-2-oz</v>
      </c>
      <c r="C1776" t="s">
        <v>4315</v>
      </c>
      <c r="D1776" t="s">
        <v>4316</v>
      </c>
      <c r="E1776" s="3" t="str">
        <f>HYPERLINK("https://www.amazon.com/Bed-Head-Men-Aftershave-Ounce/dp/B06VXND8LX/ref=sr_1_1?keywords=Bed+head+men+by+tigi+balm+down+cooling+aftershave+4.2+oz&amp;qid=1695259266&amp;sr=8-1", "https://www.amazon.com/Bed-Head-Men-Aftershave-Ounce/dp/B06VXND8LX/ref=sr_1_1?keywords=Bed+head+men+by+tigi+balm+down+cooling+aftershave+4.2+oz&amp;qid=1695259266&amp;sr=8-1")</f>
        <v>https://www.amazon.com/Bed-Head-Men-Aftershave-Ounce/dp/B06VXND8LX/ref=sr_1_1?keywords=Bed+head+men+by+tigi+balm+down+cooling+aftershave+4.2+oz&amp;qid=1695259266&amp;sr=8-1</v>
      </c>
      <c r="F1776" t="s">
        <v>4317</v>
      </c>
      <c r="G1776" t="e">
        <f ca="1">IMAGE("https://prolisok-store.com/cdn/shop/products/334718_300x.jpg?v=1690900124")</f>
        <v>#NAME?</v>
      </c>
      <c r="H1776" t="e">
        <f ca="1">IMAGE("https://m.media-amazon.com/images/I/61eVSLJc6WL._AC_UL320_.jpg")</f>
        <v>#NAME?</v>
      </c>
      <c r="I1776" t="s">
        <v>4318</v>
      </c>
      <c r="J1776">
        <v>14.4</v>
      </c>
      <c r="K1776" s="2" t="s">
        <v>4319</v>
      </c>
      <c r="L1776">
        <v>4.2</v>
      </c>
      <c r="M1776">
        <v>107</v>
      </c>
      <c r="O1776" t="s">
        <v>26</v>
      </c>
      <c r="P1776" t="s">
        <v>39</v>
      </c>
      <c r="Q1776" t="s">
        <v>4320</v>
      </c>
    </row>
    <row r="1777" spans="1:17" ht="15.75" x14ac:dyDescent="0.25">
      <c r="A1777" s="3" t="str">
        <f>HYPERLINK("https://prolisok-store.com/collections/personal-care/products/versace-bright-crystal-by-gianni-versace-deodorant-stick-1-7-oz", "https://prolisok-store.com/collections/personal-care/products/versace-bright-crystal-by-gianni-versace-deodorant-stick-1-7-oz")</f>
        <v>https://prolisok-store.com/collections/personal-care/products/versace-bright-crystal-by-gianni-versace-deodorant-stick-1-7-oz</v>
      </c>
      <c r="B1777" s="3" t="str">
        <f>HYPERLINK("https://prolisok-store.com/products/versace-bright-crystal-by-gianni-versace-deodorant-stick-1-7-oz", "https://prolisok-store.com/products/versace-bright-crystal-by-gianni-versace-deodorant-stick-1-7-oz")</f>
        <v>https://prolisok-store.com/products/versace-bright-crystal-by-gianni-versace-deodorant-stick-1-7-oz</v>
      </c>
      <c r="C1777" t="s">
        <v>4284</v>
      </c>
      <c r="D1777" t="s">
        <v>4321</v>
      </c>
      <c r="E1777" s="3" t="str">
        <f>HYPERLINK("https://www.amazon.com/Versace-Bright-Crystal-Gianni-Deodorant/dp/B000SSQJYU/ref=sr_1_1?keywords=Versace+bright+crystal+by+gianni+versace+deodorant+stick+1.7+oz&amp;qid=1695259254&amp;sr=8-1", "https://www.amazon.com/Versace-Bright-Crystal-Gianni-Deodorant/dp/B000SSQJYU/ref=sr_1_1?keywords=Versace+bright+crystal+by+gianni+versace+deodorant+stick+1.7+oz&amp;qid=1695259254&amp;sr=8-1")</f>
        <v>https://www.amazon.com/Versace-Bright-Crystal-Gianni-Deodorant/dp/B000SSQJYU/ref=sr_1_1?keywords=Versace+bright+crystal+by+gianni+versace+deodorant+stick+1.7+oz&amp;qid=1695259254&amp;sr=8-1</v>
      </c>
      <c r="F1777" t="s">
        <v>4322</v>
      </c>
      <c r="G1777" t="e">
        <f ca="1">IMAGE("https://prolisok-store.com/cdn/shop/products/303570_300x.jpg?v=1694532057")</f>
        <v>#NAME?</v>
      </c>
      <c r="H1777" t="e">
        <f ca="1">IMAGE("https://m.media-amazon.com/images/I/41XDmDrbGFL._AC_UL320_.jpg")</f>
        <v>#NAME?</v>
      </c>
      <c r="I1777" t="s">
        <v>4287</v>
      </c>
      <c r="J1777">
        <v>28.86</v>
      </c>
      <c r="K1777" s="2" t="s">
        <v>4323</v>
      </c>
      <c r="L1777">
        <v>4.4000000000000004</v>
      </c>
      <c r="M1777">
        <v>255</v>
      </c>
      <c r="O1777" t="s">
        <v>26</v>
      </c>
      <c r="P1777" t="s">
        <v>39</v>
      </c>
      <c r="Q1777" t="s">
        <v>4289</v>
      </c>
    </row>
    <row r="1778" spans="1:17" ht="15.75" x14ac:dyDescent="0.25">
      <c r="A1778" s="3" t="str">
        <f>HYPERLINK("https://prolisok-store.com/collections/personal-care/products/versace-bright-crystal-by-gianni-versace-deodorant-stick-1-7-oz", "https://prolisok-store.com/collections/personal-care/products/versace-bright-crystal-by-gianni-versace-deodorant-stick-1-7-oz")</f>
        <v>https://prolisok-store.com/collections/personal-care/products/versace-bright-crystal-by-gianni-versace-deodorant-stick-1-7-oz</v>
      </c>
      <c r="B1778" s="3" t="str">
        <f>HYPERLINK("https://prolisok-store.com/products/versace-bright-crystal-by-gianni-versace-deodorant-stick-1-7-oz", "https://prolisok-store.com/products/versace-bright-crystal-by-gianni-versace-deodorant-stick-1-7-oz")</f>
        <v>https://prolisok-store.com/products/versace-bright-crystal-by-gianni-versace-deodorant-stick-1-7-oz</v>
      </c>
      <c r="C1778" t="s">
        <v>4284</v>
      </c>
      <c r="D1778" t="s">
        <v>4324</v>
      </c>
      <c r="E1778" s="3" t="str">
        <f>HYPERLINK("https://www.amazon.com/Yellow-Diamond-Versace-Women-Deodorant/dp/B009RQTFPE/ref=sr_1_3?keywords=Versace+bright+crystal+by+gianni+versace+deodorant+stick+1.7+oz&amp;qid=1695259254&amp;sr=8-3", "https://www.amazon.com/Yellow-Diamond-Versace-Women-Deodorant/dp/B009RQTFPE/ref=sr_1_3?keywords=Versace+bright+crystal+by+gianni+versace+deodorant+stick+1.7+oz&amp;qid=1695259254&amp;sr=8-3")</f>
        <v>https://www.amazon.com/Yellow-Diamond-Versace-Women-Deodorant/dp/B009RQTFPE/ref=sr_1_3?keywords=Versace+bright+crystal+by+gianni+versace+deodorant+stick+1.7+oz&amp;qid=1695259254&amp;sr=8-3</v>
      </c>
      <c r="F1778" t="s">
        <v>4325</v>
      </c>
      <c r="G1778" t="e">
        <f ca="1">IMAGE("https://prolisok-store.com/cdn/shop/products/303570_300x.jpg?v=1694532057")</f>
        <v>#NAME?</v>
      </c>
      <c r="H1778" t="e">
        <f ca="1">IMAGE("https://m.media-amazon.com/images/I/41Pfn-8LwKL._AC_UL320_.jpg")</f>
        <v>#NAME?</v>
      </c>
      <c r="I1778" t="s">
        <v>4287</v>
      </c>
      <c r="J1778">
        <v>26.51</v>
      </c>
      <c r="K1778" s="2" t="s">
        <v>4326</v>
      </c>
      <c r="L1778">
        <v>4</v>
      </c>
      <c r="M1778">
        <v>150</v>
      </c>
      <c r="O1778" t="s">
        <v>26</v>
      </c>
      <c r="P1778" t="s">
        <v>39</v>
      </c>
      <c r="Q1778" t="s">
        <v>4289</v>
      </c>
    </row>
    <row r="1779" spans="1:17" ht="15.75" x14ac:dyDescent="0.25">
      <c r="A1779" s="3" t="str">
        <f>HYPERLINK("https://prolisok-store.com/collections/personal-care/products/eau-de-private-collection-by-estee-lauder-fragrance-spray-1-7-oz", "https://prolisok-store.com/collections/personal-care/products/eau-de-private-collection-by-estee-lauder-fragrance-spray-1-7-oz")</f>
        <v>https://prolisok-store.com/collections/personal-care/products/eau-de-private-collection-by-estee-lauder-fragrance-spray-1-7-oz</v>
      </c>
      <c r="B1779" s="3" t="str">
        <f>HYPERLINK("https://prolisok-store.com/products/eau-de-private-collection-by-estee-lauder-fragrance-spray-1-7-oz", "https://prolisok-store.com/products/eau-de-private-collection-by-estee-lauder-fragrance-spray-1-7-oz")</f>
        <v>https://prolisok-store.com/products/eau-de-private-collection-by-estee-lauder-fragrance-spray-1-7-oz</v>
      </c>
      <c r="C1779" t="s">
        <v>4309</v>
      </c>
      <c r="D1779" t="s">
        <v>4327</v>
      </c>
      <c r="E1779" s="3" t="str">
        <f>HYPERLINK("https://www.amazon.com/Private-Collection-Estee-Lauder-Women/dp/B000P22T98/ref=sr_1_3?keywords=Eau+de+private+collection+by+estee+lauder+fragrance+spray+1.7+oz&amp;qid=1695259266&amp;sr=8-3", "https://www.amazon.com/Private-Collection-Estee-Lauder-Women/dp/B000P22T98/ref=sr_1_3?keywords=Eau+de+private+collection+by+estee+lauder+fragrance+spray+1.7+oz&amp;qid=1695259266&amp;sr=8-3")</f>
        <v>https://www.amazon.com/Private-Collection-Estee-Lauder-Women/dp/B000P22T98/ref=sr_1_3?keywords=Eau+de+private+collection+by+estee+lauder+fragrance+spray+1.7+oz&amp;qid=1695259266&amp;sr=8-3</v>
      </c>
      <c r="F1779" t="s">
        <v>4328</v>
      </c>
      <c r="G1779" t="e">
        <f ca="1">IMAGE("https://prolisok-store.com/cdn/shop/products/199595_300x.jpg?v=1690900285")</f>
        <v>#NAME?</v>
      </c>
      <c r="H1779" t="e">
        <f ca="1">IMAGE("https://m.media-amazon.com/images/I/41B3zrFFleL._AC_UL320_.jpg")</f>
        <v>#NAME?</v>
      </c>
      <c r="I1779" t="s">
        <v>4312</v>
      </c>
      <c r="J1779">
        <v>67</v>
      </c>
      <c r="K1779" s="2" t="s">
        <v>4329</v>
      </c>
      <c r="L1779">
        <v>4.5999999999999996</v>
      </c>
      <c r="M1779">
        <v>80</v>
      </c>
      <c r="O1779" t="s">
        <v>26</v>
      </c>
      <c r="P1779" t="s">
        <v>39</v>
      </c>
      <c r="Q1779" t="s">
        <v>4314</v>
      </c>
    </row>
    <row r="1780" spans="1:17" ht="15.75" x14ac:dyDescent="0.25">
      <c r="A1780" s="3" t="str">
        <f>HYPERLINK("https://prolisok-store.com/collections/personal-care/products/eau-de-private-collection-by-estee-lauder-fragrance-spray-1-7-oz", "https://prolisok-store.com/collections/personal-care/products/eau-de-private-collection-by-estee-lauder-fragrance-spray-1-7-oz")</f>
        <v>https://prolisok-store.com/collections/personal-care/products/eau-de-private-collection-by-estee-lauder-fragrance-spray-1-7-oz</v>
      </c>
      <c r="B1780" s="3" t="str">
        <f>HYPERLINK("https://prolisok-store.com/products/eau-de-private-collection-by-estee-lauder-fragrance-spray-1-7-oz", "https://prolisok-store.com/products/eau-de-private-collection-by-estee-lauder-fragrance-spray-1-7-oz")</f>
        <v>https://prolisok-store.com/products/eau-de-private-collection-by-estee-lauder-fragrance-spray-1-7-oz</v>
      </c>
      <c r="C1780" t="s">
        <v>4309</v>
      </c>
      <c r="D1780" t="s">
        <v>4330</v>
      </c>
      <c r="E1780" s="3" t="str">
        <f>HYPERLINK("https://www.amazon.com/Private-Collection-Estee-Lauder-Fragrance/dp/B01MTJ0OSL/ref=sr_1_2?keywords=Eau+de+private+collection+by+estee+lauder+fragrance+spray+1.7+oz&amp;qid=1695259266&amp;sr=8-2", "https://www.amazon.com/Private-Collection-Estee-Lauder-Fragrance/dp/B01MTJ0OSL/ref=sr_1_2?keywords=Eau+de+private+collection+by+estee+lauder+fragrance+spray+1.7+oz&amp;qid=1695259266&amp;sr=8-2")</f>
        <v>https://www.amazon.com/Private-Collection-Estee-Lauder-Fragrance/dp/B01MTJ0OSL/ref=sr_1_2?keywords=Eau+de+private+collection+by+estee+lauder+fragrance+spray+1.7+oz&amp;qid=1695259266&amp;sr=8-2</v>
      </c>
      <c r="F1780" t="s">
        <v>4331</v>
      </c>
      <c r="G1780" t="e">
        <f ca="1">IMAGE("https://prolisok-store.com/cdn/shop/products/199595_300x.jpg?v=1690900285")</f>
        <v>#NAME?</v>
      </c>
      <c r="H1780" t="e">
        <f ca="1">IMAGE("https://m.media-amazon.com/images/I/41vWpqqNMRL._AC_UL320_.jpg")</f>
        <v>#NAME?</v>
      </c>
      <c r="I1780" t="s">
        <v>4312</v>
      </c>
      <c r="J1780">
        <v>66.900000000000006</v>
      </c>
      <c r="K1780" s="2" t="s">
        <v>4332</v>
      </c>
      <c r="L1780">
        <v>4.5</v>
      </c>
      <c r="M1780">
        <v>143</v>
      </c>
      <c r="O1780" t="s">
        <v>26</v>
      </c>
      <c r="P1780" t="s">
        <v>39</v>
      </c>
      <c r="Q1780" t="s">
        <v>4314</v>
      </c>
    </row>
    <row r="1781" spans="1:17" ht="15.75" x14ac:dyDescent="0.25">
      <c r="A1781" s="3" t="str">
        <f>HYPERLINK("https://prolisok-store.com/collections/personal-care/products/blue-grass-by-elizabeth-arden-deodorant-cream-1-5-oz", "https://prolisok-store.com/collections/personal-care/products/blue-grass-by-elizabeth-arden-deodorant-cream-1-5-oz")</f>
        <v>https://prolisok-store.com/collections/personal-care/products/blue-grass-by-elizabeth-arden-deodorant-cream-1-5-oz</v>
      </c>
      <c r="B1781" s="3" t="str">
        <f>HYPERLINK("https://prolisok-store.com/products/blue-grass-by-elizabeth-arden-deodorant-cream-1-5-oz", "https://prolisok-store.com/products/blue-grass-by-elizabeth-arden-deodorant-cream-1-5-oz")</f>
        <v>https://prolisok-store.com/products/blue-grass-by-elizabeth-arden-deodorant-cream-1-5-oz</v>
      </c>
      <c r="C1781" t="s">
        <v>4303</v>
      </c>
      <c r="D1781" t="s">
        <v>4294</v>
      </c>
      <c r="E1781" s="3" t="str">
        <f>HYPERLINK("https://www.amazon.com/Grass-Perfume-Elizabeth-Deodorant-shopping/dp/B09JNSKDJR/ref=sr_1_3?keywords=Blue+grass+by+elizabeth+arden+deodorant+cream+1.5+oz&amp;qid=1695259255&amp;sr=8-3", "https://www.amazon.com/Grass-Perfume-Elizabeth-Deodorant-shopping/dp/B09JNSKDJR/ref=sr_1_3?keywords=Blue+grass+by+elizabeth+arden+deodorant+cream+1.5+oz&amp;qid=1695259255&amp;sr=8-3")</f>
        <v>https://www.amazon.com/Grass-Perfume-Elizabeth-Deodorant-shopping/dp/B09JNSKDJR/ref=sr_1_3?keywords=Blue+grass+by+elizabeth+arden+deodorant+cream+1.5+oz&amp;qid=1695259255&amp;sr=8-3</v>
      </c>
      <c r="F1781" t="s">
        <v>4295</v>
      </c>
      <c r="G1781" t="e">
        <f ca="1">IMAGE("https://prolisok-store.com/cdn/shop/products/118006_300x.jpg?v=1693407304")</f>
        <v>#NAME?</v>
      </c>
      <c r="H1781" t="e">
        <f ca="1">IMAGE("https://m.media-amazon.com/images/I/31XMS1lZRsL._AC_UL320_.jpg")</f>
        <v>#NAME?</v>
      </c>
      <c r="I1781" t="s">
        <v>4296</v>
      </c>
      <c r="J1781">
        <v>5.99</v>
      </c>
      <c r="K1781" s="2" t="s">
        <v>4333</v>
      </c>
      <c r="L1781">
        <v>4.5999999999999996</v>
      </c>
      <c r="M1781">
        <v>30</v>
      </c>
      <c r="O1781" t="s">
        <v>26</v>
      </c>
      <c r="P1781" t="s">
        <v>39</v>
      </c>
      <c r="Q1781" t="s">
        <v>4307</v>
      </c>
    </row>
    <row r="1782" spans="1:17" ht="15.75" x14ac:dyDescent="0.25">
      <c r="A1782" s="3" t="str">
        <f>HYPERLINK("https://prolisok-store.com/collections/personal-care/products/eau-de-private-collection-by-estee-lauder-fragrance-spray-1-7-oz", "https://prolisok-store.com/collections/personal-care/products/eau-de-private-collection-by-estee-lauder-fragrance-spray-1-7-oz")</f>
        <v>https://prolisok-store.com/collections/personal-care/products/eau-de-private-collection-by-estee-lauder-fragrance-spray-1-7-oz</v>
      </c>
      <c r="B1782" s="3" t="str">
        <f>HYPERLINK("https://prolisok-store.com/products/eau-de-private-collection-by-estee-lauder-fragrance-spray-1-7-oz", "https://prolisok-store.com/products/eau-de-private-collection-by-estee-lauder-fragrance-spray-1-7-oz")</f>
        <v>https://prolisok-store.com/products/eau-de-private-collection-by-estee-lauder-fragrance-spray-1-7-oz</v>
      </c>
      <c r="C1782" t="s">
        <v>4309</v>
      </c>
      <c r="D1782" t="s">
        <v>4334</v>
      </c>
      <c r="E1782" s="3" t="str">
        <f>HYPERLINK("https://www.amazon.com/Private-Collection-Estee-Lauder-Fragrance/dp/B000NVCTMS/ref=sr_1_1?keywords=Eau+de+private+collection+by+estee+lauder+fragrance+spray+1.7+oz&amp;qid=1695259266&amp;sr=8-1", "https://www.amazon.com/Private-Collection-Estee-Lauder-Fragrance/dp/B000NVCTMS/ref=sr_1_1?keywords=Eau+de+private+collection+by+estee+lauder+fragrance+spray+1.7+oz&amp;qid=1695259266&amp;sr=8-1")</f>
        <v>https://www.amazon.com/Private-Collection-Estee-Lauder-Fragrance/dp/B000NVCTMS/ref=sr_1_1?keywords=Eau+de+private+collection+by+estee+lauder+fragrance+spray+1.7+oz&amp;qid=1695259266&amp;sr=8-1</v>
      </c>
      <c r="F1782" t="s">
        <v>4335</v>
      </c>
      <c r="G1782" t="e">
        <f ca="1">IMAGE("https://prolisok-store.com/cdn/shop/products/199595_300x.jpg?v=1690900285")</f>
        <v>#NAME?</v>
      </c>
      <c r="H1782" t="e">
        <f ca="1">IMAGE("https://m.media-amazon.com/images/I/51rcGDPtwRL._AC_UL320_.jpg")</f>
        <v>#NAME?</v>
      </c>
      <c r="I1782" t="s">
        <v>4312</v>
      </c>
      <c r="J1782">
        <v>49.95</v>
      </c>
      <c r="K1782" s="2" t="s">
        <v>4336</v>
      </c>
      <c r="L1782">
        <v>4.5</v>
      </c>
      <c r="M1782">
        <v>617</v>
      </c>
      <c r="O1782" t="s">
        <v>26</v>
      </c>
      <c r="P1782" t="s">
        <v>39</v>
      </c>
      <c r="Q1782" t="s">
        <v>4314</v>
      </c>
    </row>
    <row r="1783" spans="1:17" ht="15.75" x14ac:dyDescent="0.25">
      <c r="A1783" s="3" t="str">
        <f>HYPERLINK("https://prolisok-store.com/collections/personal-care/products/eau-de-private-collection-by-estee-lauder-fragrance-spray-1-7-oz", "https://prolisok-store.com/collections/personal-care/products/eau-de-private-collection-by-estee-lauder-fragrance-spray-1-7-oz")</f>
        <v>https://prolisok-store.com/collections/personal-care/products/eau-de-private-collection-by-estee-lauder-fragrance-spray-1-7-oz</v>
      </c>
      <c r="B1783" s="3" t="str">
        <f>HYPERLINK("https://prolisok-store.com/products/eau-de-private-collection-by-estee-lauder-fragrance-spray-1-7-oz", "https://prolisok-store.com/products/eau-de-private-collection-by-estee-lauder-fragrance-spray-1-7-oz")</f>
        <v>https://prolisok-store.com/products/eau-de-private-collection-by-estee-lauder-fragrance-spray-1-7-oz</v>
      </c>
      <c r="C1783" t="s">
        <v>4309</v>
      </c>
      <c r="D1783" t="s">
        <v>4337</v>
      </c>
      <c r="E1783" s="3" t="str">
        <f>HYPERLINK("https://www.amazon.com/Sensuous-Estee-Lauder-Parfum-Spray/dp/B00DDFJNYS/ref=sr_1_5?keywords=Eau+de+private+collection+by+estee+lauder+fragrance+spray+1.7+oz&amp;qid=1695259266&amp;sr=8-5", "https://www.amazon.com/Sensuous-Estee-Lauder-Parfum-Spray/dp/B00DDFJNYS/ref=sr_1_5?keywords=Eau+de+private+collection+by+estee+lauder+fragrance+spray+1.7+oz&amp;qid=1695259266&amp;sr=8-5")</f>
        <v>https://www.amazon.com/Sensuous-Estee-Lauder-Parfum-Spray/dp/B00DDFJNYS/ref=sr_1_5?keywords=Eau+de+private+collection+by+estee+lauder+fragrance+spray+1.7+oz&amp;qid=1695259266&amp;sr=8-5</v>
      </c>
      <c r="F1783" t="s">
        <v>4338</v>
      </c>
      <c r="G1783" t="e">
        <f ca="1">IMAGE("https://prolisok-store.com/cdn/shop/products/199595_300x.jpg?v=1690900285")</f>
        <v>#NAME?</v>
      </c>
      <c r="H1783" t="e">
        <f ca="1">IMAGE("https://m.media-amazon.com/images/I/513UOocYULL._AC_UL320_.jpg")</f>
        <v>#NAME?</v>
      </c>
      <c r="I1783" t="s">
        <v>4312</v>
      </c>
      <c r="J1783">
        <v>42</v>
      </c>
      <c r="K1783" s="2" t="s">
        <v>4339</v>
      </c>
      <c r="L1783">
        <v>4.7</v>
      </c>
      <c r="M1783">
        <v>2299</v>
      </c>
      <c r="O1783" t="s">
        <v>26</v>
      </c>
      <c r="P1783" t="s">
        <v>39</v>
      </c>
      <c r="Q1783" t="s">
        <v>4314</v>
      </c>
    </row>
    <row r="1784" spans="1:17" ht="15.75" x14ac:dyDescent="0.25">
      <c r="A1784" s="3" t="str">
        <f>HYPERLINK("https://prolisok-store.com/collections/personal-care/products/versace-bright-crystal-by-gianni-versace-deodorant-stick-1-7-oz", "https://prolisok-store.com/collections/personal-care/products/versace-bright-crystal-by-gianni-versace-deodorant-stick-1-7-oz")</f>
        <v>https://prolisok-store.com/collections/personal-care/products/versace-bright-crystal-by-gianni-versace-deodorant-stick-1-7-oz</v>
      </c>
      <c r="B1784" s="3" t="str">
        <f>HYPERLINK("https://prolisok-store.com/products/versace-bright-crystal-by-gianni-versace-deodorant-stick-1-7-oz", "https://prolisok-store.com/products/versace-bright-crystal-by-gianni-versace-deodorant-stick-1-7-oz")</f>
        <v>https://prolisok-store.com/products/versace-bright-crystal-by-gianni-versace-deodorant-stick-1-7-oz</v>
      </c>
      <c r="C1784" t="s">
        <v>4284</v>
      </c>
      <c r="D1784" t="s">
        <v>4340</v>
      </c>
      <c r="E1784" s="3" t="str">
        <f>HYPERLINK("https://www.amazon.com/VERSACE-CRYSTAL-Gianni-Versace-CRYSTAL-EDT/dp/B07T4269V6/ref=sr_1_7?keywords=Versace+bright+crystal+by+gianni+versace+deodorant+stick+1.7+oz&amp;qid=1695259254&amp;sr=8-7", "https://www.amazon.com/VERSACE-CRYSTAL-Gianni-Versace-CRYSTAL-EDT/dp/B07T4269V6/ref=sr_1_7?keywords=Versace+bright+crystal+by+gianni+versace+deodorant+stick+1.7+oz&amp;qid=1695259254&amp;sr=8-7")</f>
        <v>https://www.amazon.com/VERSACE-CRYSTAL-Gianni-Versace-CRYSTAL-EDT/dp/B07T4269V6/ref=sr_1_7?keywords=Versace+bright+crystal+by+gianni+versace+deodorant+stick+1.7+oz&amp;qid=1695259254&amp;sr=8-7</v>
      </c>
      <c r="F1784" t="s">
        <v>4341</v>
      </c>
      <c r="G1784" t="e">
        <f ca="1">IMAGE("https://prolisok-store.com/cdn/shop/products/303570_300x.jpg?v=1694532057")</f>
        <v>#NAME?</v>
      </c>
      <c r="H1784" t="e">
        <f ca="1">IMAGE("https://m.media-amazon.com/images/I/51Mu5QJ-BjL._AC_UL320_.jpg")</f>
        <v>#NAME?</v>
      </c>
      <c r="I1784" t="s">
        <v>4287</v>
      </c>
      <c r="J1784">
        <v>9.9600000000000009</v>
      </c>
      <c r="K1784" s="2" t="s">
        <v>4342</v>
      </c>
      <c r="L1784">
        <v>4.4000000000000004</v>
      </c>
      <c r="M1784">
        <v>2331</v>
      </c>
      <c r="O1784" t="s">
        <v>26</v>
      </c>
      <c r="P1784" t="s">
        <v>39</v>
      </c>
      <c r="Q1784" t="s">
        <v>4289</v>
      </c>
    </row>
    <row r="1785" spans="1:17" ht="15.75" x14ac:dyDescent="0.25">
      <c r="A1785" s="3" t="str">
        <f>HYPERLINK("https://prolisok-store.com/collections/premium/products/obagi-professional-c-serum-10-vitamin-c-facial-serum-with-concentrated-10-l-ascorbic-acid-for-normal-to-oily-skin-1-0-fl-oz", "https://prolisok-store.com/collections/premium/products/obagi-professional-c-serum-10-vitamin-c-facial-serum-with-concentrated-10-l-ascorbic-acid-for-normal-to-oily-skin-1-0-fl-oz")</f>
        <v>https://prolisok-store.com/collections/premium/products/obagi-professional-c-serum-10-vitamin-c-facial-serum-with-concentrated-10-l-ascorbic-acid-for-normal-to-oily-skin-1-0-fl-oz</v>
      </c>
      <c r="B1785" s="3" t="str">
        <f>HYPERLINK("https://prolisok-store.com/products/obagi-professional-c-serum-10-vitamin-c-facial-serum-with-concentrated-10-l-ascorbic-acid-for-normal-to-oily-skin-1-0-fl-oz", "https://prolisok-store.com/products/obagi-professional-c-serum-10-vitamin-c-facial-serum-with-concentrated-10-l-ascorbic-acid-for-normal-to-oily-skin-1-0-fl-oz")</f>
        <v>https://prolisok-store.com/products/obagi-professional-c-serum-10-vitamin-c-facial-serum-with-concentrated-10-l-ascorbic-acid-for-normal-to-oily-skin-1-0-fl-oz</v>
      </c>
      <c r="C1785" t="s">
        <v>4343</v>
      </c>
      <c r="D1785" t="s">
        <v>4344</v>
      </c>
      <c r="E1785" s="3"/>
      <c r="F1785" t="s">
        <v>4345</v>
      </c>
      <c r="G1785" t="e">
        <f ca="1">IMAGE("https://prolisok-store.com/cdn/shop/files/51jz8tQragS._SL1500_300x.jpg?v=1682417093")</f>
        <v>#NAME?</v>
      </c>
      <c r="H1785" t="e">
        <f ca="1">IMAGE("https://m.media-amazon.com/images/I/71izUUhUshL._AC_UL320_.jpg")</f>
        <v>#NAME?</v>
      </c>
      <c r="I1785" t="s">
        <v>4346</v>
      </c>
      <c r="J1785">
        <v>241.4</v>
      </c>
      <c r="K1785" s="2" t="s">
        <v>4347</v>
      </c>
      <c r="L1785">
        <v>3.7</v>
      </c>
      <c r="M1785">
        <v>29</v>
      </c>
      <c r="O1785" t="s">
        <v>26</v>
      </c>
      <c r="P1785" t="s">
        <v>39</v>
      </c>
      <c r="Q1785" t="s">
        <v>4348</v>
      </c>
    </row>
    <row r="1786" spans="1:17" ht="15.75" x14ac:dyDescent="0.25">
      <c r="A1786" s="3" t="str">
        <f>HYPERLINK("https://prolisok-store.com/collections/premium/products/atelier-cologne-oolang-infini-cologne-3-3-ounce", "https://prolisok-store.com/collections/premium/products/atelier-cologne-oolang-infini-cologne-3-3-ounce")</f>
        <v>https://prolisok-store.com/collections/premium/products/atelier-cologne-oolang-infini-cologne-3-3-ounce</v>
      </c>
      <c r="B1786" s="3" t="str">
        <f>HYPERLINK("https://prolisok-store.com/products/atelier-cologne-oolang-infini-cologne-3-3-ounce", "https://prolisok-store.com/products/atelier-cologne-oolang-infini-cologne-3-3-ounce")</f>
        <v>https://prolisok-store.com/products/atelier-cologne-oolang-infini-cologne-3-3-ounce</v>
      </c>
      <c r="C1786" t="s">
        <v>4349</v>
      </c>
      <c r="D1786" t="s">
        <v>4350</v>
      </c>
      <c r="E1786" s="3" t="str">
        <f>HYPERLINK("https://www.amazon.com/Atelier-Cologne-Parfum-Oolang-Infini/dp/B007PPGZTS/ref=sr_1_2?keywords=atelier+cologne+oolong+infini+cologne%2C+3.3+ounce&amp;qid=1695259290&amp;sr=8-2", "https://www.amazon.com/Atelier-Cologne-Parfum-Oolang-Infini/dp/B007PPGZTS/ref=sr_1_2?keywords=atelier+cologne+oolong+infini+cologne%2C+3.3+ounce&amp;qid=1695259290&amp;sr=8-2")</f>
        <v>https://www.amazon.com/Atelier-Cologne-Parfum-Oolang-Infini/dp/B007PPGZTS/ref=sr_1_2?keywords=atelier+cologne+oolong+infini+cologne%2C+3.3+ounce&amp;qid=1695259290&amp;sr=8-2</v>
      </c>
      <c r="F1786" t="s">
        <v>4351</v>
      </c>
      <c r="G1786" t="e">
        <f ca="1">IMAGE("https://prolisok-store.com/cdn/shop/products/AtelierCologneOolangInfini-1_300x.jpg?v=1683715757")</f>
        <v>#NAME?</v>
      </c>
      <c r="H1786" t="e">
        <f ca="1">IMAGE("https://m.media-amazon.com/images/I/61TeyY+pbnL._AC_UL320_.jpg")</f>
        <v>#NAME?</v>
      </c>
      <c r="I1786" t="s">
        <v>4346</v>
      </c>
      <c r="J1786">
        <v>223.05</v>
      </c>
      <c r="K1786" s="2" t="s">
        <v>4352</v>
      </c>
      <c r="L1786">
        <v>4.3</v>
      </c>
      <c r="M1786">
        <v>147</v>
      </c>
      <c r="O1786" t="s">
        <v>26</v>
      </c>
      <c r="P1786" t="s">
        <v>39</v>
      </c>
      <c r="Q1786" t="s">
        <v>4353</v>
      </c>
    </row>
    <row r="1787" spans="1:17" ht="15.75" x14ac:dyDescent="0.25">
      <c r="A1787" s="3" t="str">
        <f>HYPERLINK("https://prolisok-store.com/collections/premium/products/obagi-professional-c-serum-20-vitamin-c-facial-serum-with-concentrated-20-l-ascorbic-acid-for-normal-to-oily-skin-1-0-fl-oz", "https://prolisok-store.com/collections/premium/products/obagi-professional-c-serum-20-vitamin-c-facial-serum-with-concentrated-20-l-ascorbic-acid-for-normal-to-oily-skin-1-0-fl-oz")</f>
        <v>https://prolisok-store.com/collections/premium/products/obagi-professional-c-serum-20-vitamin-c-facial-serum-with-concentrated-20-l-ascorbic-acid-for-normal-to-oily-skin-1-0-fl-oz</v>
      </c>
      <c r="B1787" s="3" t="str">
        <f>HYPERLINK("https://prolisok-store.com/products/obagi-professional-c-serum-20-vitamin-c-facial-serum-with-concentrated-20-l-ascorbic-acid-for-normal-to-oily-skin-1-0-fl-oz", "https://prolisok-store.com/products/obagi-professional-c-serum-20-vitamin-c-facial-serum-with-concentrated-20-l-ascorbic-acid-for-normal-to-oily-skin-1-0-fl-oz")</f>
        <v>https://prolisok-store.com/products/obagi-professional-c-serum-20-vitamin-c-facial-serum-with-concentrated-20-l-ascorbic-acid-for-normal-to-oily-skin-1-0-fl-oz</v>
      </c>
      <c r="C1787" t="s">
        <v>4354</v>
      </c>
      <c r="D1787" t="s">
        <v>4344</v>
      </c>
      <c r="E1787" s="3"/>
      <c r="F1787" t="s">
        <v>4345</v>
      </c>
      <c r="G1787" t="e">
        <f ca="1">IMAGE("https://prolisok-store.com/cdn/shop/files/71nOSCHqa9L._SL1500_300x.jpg?v=1682416466")</f>
        <v>#NAME?</v>
      </c>
      <c r="H1787" t="e">
        <f ca="1">IMAGE("https://m.media-amazon.com/images/I/71izUUhUshL._AC_UL320_.jpg")</f>
        <v>#NAME?</v>
      </c>
      <c r="I1787" t="s">
        <v>4355</v>
      </c>
      <c r="J1787">
        <v>241.4</v>
      </c>
      <c r="K1787" s="2" t="s">
        <v>4356</v>
      </c>
      <c r="L1787">
        <v>3.7</v>
      </c>
      <c r="M1787">
        <v>29</v>
      </c>
      <c r="O1787" t="s">
        <v>26</v>
      </c>
      <c r="P1787" t="s">
        <v>39</v>
      </c>
      <c r="Q1787" t="s">
        <v>4357</v>
      </c>
    </row>
    <row r="1788" spans="1:17" ht="15.75" x14ac:dyDescent="0.25">
      <c r="A1788" s="3" t="str">
        <f>HYPERLINK("https://prolisok-store.com/collections/premium/products/3ce-mood-recipe-matte-lip-color-909", "https://prolisok-store.com/collections/premium/products/3ce-mood-recipe-matte-lip-color-909")</f>
        <v>https://prolisok-store.com/collections/premium/products/3ce-mood-recipe-matte-lip-color-909</v>
      </c>
      <c r="B1788" s="3" t="str">
        <f>HYPERLINK("https://prolisok-store.com/products/3ce-mood-recipe-matte-lip-color-909", "https://prolisok-store.com/products/3ce-mood-recipe-matte-lip-color-909")</f>
        <v>https://prolisok-store.com/products/3ce-mood-recipe-matte-lip-color-909</v>
      </c>
      <c r="C1788" t="s">
        <v>4358</v>
      </c>
      <c r="D1788" t="s">
        <v>4359</v>
      </c>
      <c r="E1788" s="3" t="str">
        <f>HYPERLINK("https://www.amazon.com/3CE-MOOD-RECIPE-MATTE-COLOR/dp/B0777JF4PR/ref=sr_1_4?keywords=3CE+Mood+Recipe+Matte+Lip+Color%2C+909&amp;qid=1695259303&amp;sr=8-4", "https://www.amazon.com/3CE-MOOD-RECIPE-MATTE-COLOR/dp/B0777JF4PR/ref=sr_1_4?keywords=3CE+Mood+Recipe+Matte+Lip+Color%2C+909&amp;qid=1695259303&amp;sr=8-4")</f>
        <v>https://www.amazon.com/3CE-MOOD-RECIPE-MATTE-COLOR/dp/B0777JF4PR/ref=sr_1_4?keywords=3CE+Mood+Recipe+Matte+Lip+Color%2C+909&amp;qid=1695259303&amp;sr=8-4</v>
      </c>
      <c r="F1788" t="s">
        <v>4360</v>
      </c>
      <c r="G1788" t="e">
        <f ca="1">IMAGE("https://prolisok-store.com/cdn/shop/files/41q_eA_m8iL._SL1000_300x.jpg?v=1693221579")</f>
        <v>#NAME?</v>
      </c>
      <c r="H1788" t="e">
        <f ca="1">IMAGE("https://m.media-amazon.com/images/I/41lZN7xGY7L._AC_UL320_.jpg")</f>
        <v>#NAME?</v>
      </c>
      <c r="I1788" t="s">
        <v>3392</v>
      </c>
      <c r="J1788">
        <v>32</v>
      </c>
      <c r="K1788" s="2" t="s">
        <v>4361</v>
      </c>
      <c r="L1788">
        <v>4</v>
      </c>
      <c r="M1788">
        <v>35</v>
      </c>
      <c r="O1788" t="s">
        <v>26</v>
      </c>
      <c r="P1788" t="s">
        <v>39</v>
      </c>
      <c r="Q1788" t="s">
        <v>4362</v>
      </c>
    </row>
    <row r="1789" spans="1:17" ht="15.75" x14ac:dyDescent="0.25">
      <c r="A1789" s="3" t="str">
        <f>HYPERLINK("https://prolisok-store.com/collections/premium/products/3ce-mood-recipe-matte-lip-color-116", "https://prolisok-store.com/collections/premium/products/3ce-mood-recipe-matte-lip-color-116")</f>
        <v>https://prolisok-store.com/collections/premium/products/3ce-mood-recipe-matte-lip-color-116</v>
      </c>
      <c r="B1789" s="3" t="str">
        <f>HYPERLINK("https://prolisok-store.com/products/3ce-mood-recipe-matte-lip-color-116", "https://prolisok-store.com/products/3ce-mood-recipe-matte-lip-color-116")</f>
        <v>https://prolisok-store.com/products/3ce-mood-recipe-matte-lip-color-116</v>
      </c>
      <c r="C1789" t="s">
        <v>4363</v>
      </c>
      <c r="D1789" t="s">
        <v>4364</v>
      </c>
      <c r="E1789" s="3" t="str">
        <f>HYPERLINK("https://www.amazon.com/3CE-MOOD-RECIPE-MATTE-COLOR/dp/B0777DZC8Q/ref=sr_1_6?keywords=3CE+Mood+Recipe+Matte+Lip+Color%2C+116&amp;qid=1695259303&amp;sr=8-6", "https://www.amazon.com/3CE-MOOD-RECIPE-MATTE-COLOR/dp/B0777DZC8Q/ref=sr_1_6?keywords=3CE+Mood+Recipe+Matte+Lip+Color%2C+116&amp;qid=1695259303&amp;sr=8-6")</f>
        <v>https://www.amazon.com/3CE-MOOD-RECIPE-MATTE-COLOR/dp/B0777DZC8Q/ref=sr_1_6?keywords=3CE+Mood+Recipe+Matte+Lip+Color%2C+116&amp;qid=1695259303&amp;sr=8-6</v>
      </c>
      <c r="F1789" t="s">
        <v>4365</v>
      </c>
      <c r="G1789" t="e">
        <f ca="1">IMAGE("https://prolisok-store.com/cdn/shop/files/31C87n4RBaL_300x.jpg?v=1693221452")</f>
        <v>#NAME?</v>
      </c>
      <c r="H1789" t="e">
        <f ca="1">IMAGE("https://m.media-amazon.com/images/I/31TEnxtE9lL._AC_UL320_.jpg")</f>
        <v>#NAME?</v>
      </c>
      <c r="I1789" t="s">
        <v>3392</v>
      </c>
      <c r="J1789">
        <v>32</v>
      </c>
      <c r="K1789" s="2" t="s">
        <v>4361</v>
      </c>
      <c r="L1789">
        <v>5</v>
      </c>
      <c r="M1789">
        <v>2</v>
      </c>
      <c r="O1789" t="s">
        <v>26</v>
      </c>
      <c r="P1789" t="s">
        <v>39</v>
      </c>
      <c r="Q1789" t="s">
        <v>4366</v>
      </c>
    </row>
    <row r="1790" spans="1:17" ht="15.75" x14ac:dyDescent="0.25">
      <c r="A1790" s="3" t="str">
        <f>HYPERLINK("https://prolisok-store.com/collections/premium/products/3ce-mood-recipe-matte-lip-color-116", "https://prolisok-store.com/collections/premium/products/3ce-mood-recipe-matte-lip-color-116")</f>
        <v>https://prolisok-store.com/collections/premium/products/3ce-mood-recipe-matte-lip-color-116</v>
      </c>
      <c r="B1790" s="3" t="str">
        <f>HYPERLINK("https://prolisok-store.com/products/3ce-mood-recipe-matte-lip-color-116", "https://prolisok-store.com/products/3ce-mood-recipe-matte-lip-color-116")</f>
        <v>https://prolisok-store.com/products/3ce-mood-recipe-matte-lip-color-116</v>
      </c>
      <c r="C1790" t="s">
        <v>4363</v>
      </c>
      <c r="D1790" t="s">
        <v>4359</v>
      </c>
      <c r="E1790" s="3" t="str">
        <f>HYPERLINK("https://www.amazon.com/3CE-MOOD-RECIPE-MATTE-COLOR/dp/B0777JF4PR/ref=sr_1_5?keywords=3CE+Mood+Recipe+Matte+Lip+Color%2C+116&amp;qid=1695259303&amp;sr=8-5", "https://www.amazon.com/3CE-MOOD-RECIPE-MATTE-COLOR/dp/B0777JF4PR/ref=sr_1_5?keywords=3CE+Mood+Recipe+Matte+Lip+Color%2C+116&amp;qid=1695259303&amp;sr=8-5")</f>
        <v>https://www.amazon.com/3CE-MOOD-RECIPE-MATTE-COLOR/dp/B0777JF4PR/ref=sr_1_5?keywords=3CE+Mood+Recipe+Matte+Lip+Color%2C+116&amp;qid=1695259303&amp;sr=8-5</v>
      </c>
      <c r="F1790" t="s">
        <v>4360</v>
      </c>
      <c r="G1790" t="e">
        <f ca="1">IMAGE("https://prolisok-store.com/cdn/shop/files/31C87n4RBaL_300x.jpg?v=1693221452")</f>
        <v>#NAME?</v>
      </c>
      <c r="H1790" t="e">
        <f ca="1">IMAGE("https://m.media-amazon.com/images/I/41lZN7xGY7L._AC_UL320_.jpg")</f>
        <v>#NAME?</v>
      </c>
      <c r="I1790" t="s">
        <v>3392</v>
      </c>
      <c r="J1790">
        <v>32</v>
      </c>
      <c r="K1790" s="2" t="s">
        <v>4361</v>
      </c>
      <c r="L1790">
        <v>4</v>
      </c>
      <c r="M1790">
        <v>35</v>
      </c>
      <c r="O1790" t="s">
        <v>26</v>
      </c>
      <c r="P1790" t="s">
        <v>39</v>
      </c>
      <c r="Q1790" t="s">
        <v>4366</v>
      </c>
    </row>
    <row r="1791" spans="1:17" ht="15.75" x14ac:dyDescent="0.25">
      <c r="A1791" s="3" t="str">
        <f>HYPERLINK("https://prolisok-store.com/collections/premium/products/3ce-mood-recipe-matte-lip-color-909", "https://prolisok-store.com/collections/premium/products/3ce-mood-recipe-matte-lip-color-909")</f>
        <v>https://prolisok-store.com/collections/premium/products/3ce-mood-recipe-matte-lip-color-909</v>
      </c>
      <c r="B1791" s="3" t="str">
        <f>HYPERLINK("https://prolisok-store.com/products/3ce-mood-recipe-matte-lip-color-909", "https://prolisok-store.com/products/3ce-mood-recipe-matte-lip-color-909")</f>
        <v>https://prolisok-store.com/products/3ce-mood-recipe-matte-lip-color-909</v>
      </c>
      <c r="C1791" t="s">
        <v>4358</v>
      </c>
      <c r="D1791" t="s">
        <v>4364</v>
      </c>
      <c r="E1791" s="3" t="str">
        <f>HYPERLINK("https://www.amazon.com/3CE-MOOD-RECIPE-MATTE-COLOR/dp/B0777DZC8Q/ref=sr_1_6?keywords=3CE+Mood+Recipe+Matte+Lip+Color%2C+909&amp;qid=1695259303&amp;sr=8-6", "https://www.amazon.com/3CE-MOOD-RECIPE-MATTE-COLOR/dp/B0777DZC8Q/ref=sr_1_6?keywords=3CE+Mood+Recipe+Matte+Lip+Color%2C+909&amp;qid=1695259303&amp;sr=8-6")</f>
        <v>https://www.amazon.com/3CE-MOOD-RECIPE-MATTE-COLOR/dp/B0777DZC8Q/ref=sr_1_6?keywords=3CE+Mood+Recipe+Matte+Lip+Color%2C+909&amp;qid=1695259303&amp;sr=8-6</v>
      </c>
      <c r="F1791" t="s">
        <v>4365</v>
      </c>
      <c r="G1791" t="e">
        <f ca="1">IMAGE("https://prolisok-store.com/cdn/shop/files/41q_eA_m8iL._SL1000_300x.jpg?v=1693221579")</f>
        <v>#NAME?</v>
      </c>
      <c r="H1791" t="e">
        <f ca="1">IMAGE("https://m.media-amazon.com/images/I/31TEnxtE9lL._AC_UL320_.jpg")</f>
        <v>#NAME?</v>
      </c>
      <c r="I1791" t="s">
        <v>3392</v>
      </c>
      <c r="J1791">
        <v>32</v>
      </c>
      <c r="K1791" s="2" t="s">
        <v>4361</v>
      </c>
      <c r="L1791">
        <v>5</v>
      </c>
      <c r="M1791">
        <v>2</v>
      </c>
      <c r="O1791" t="s">
        <v>26</v>
      </c>
      <c r="P1791" t="s">
        <v>39</v>
      </c>
      <c r="Q1791" t="s">
        <v>4362</v>
      </c>
    </row>
    <row r="1792" spans="1:17" ht="15.75" x14ac:dyDescent="0.25">
      <c r="A1792" s="3" t="str">
        <f>HYPERLINK("https://prolisok-store.com/collections/premium/products/3ce-mood-recipe-matte-lip-color-909", "https://prolisok-store.com/collections/premium/products/3ce-mood-recipe-matte-lip-color-909")</f>
        <v>https://prolisok-store.com/collections/premium/products/3ce-mood-recipe-matte-lip-color-909</v>
      </c>
      <c r="B1792" s="3" t="str">
        <f>HYPERLINK("https://prolisok-store.com/products/3ce-mood-recipe-matte-lip-color-909", "https://prolisok-store.com/products/3ce-mood-recipe-matte-lip-color-909")</f>
        <v>https://prolisok-store.com/products/3ce-mood-recipe-matte-lip-color-909</v>
      </c>
      <c r="C1792" t="s">
        <v>4358</v>
      </c>
      <c r="D1792" t="s">
        <v>4367</v>
      </c>
      <c r="E1792" s="3" t="str">
        <f>HYPERLINK("https://www.amazon.com/Concept-Eyes-Recipe-Matte-Color/dp/B01N52PM26/ref=sr_1_7?keywords=3CE+Mood+Recipe+Matte+Lip+Color%2C+909&amp;qid=1695259303&amp;sr=8-7", "https://www.amazon.com/Concept-Eyes-Recipe-Matte-Color/dp/B01N52PM26/ref=sr_1_7?keywords=3CE+Mood+Recipe+Matte+Lip+Color%2C+909&amp;qid=1695259303&amp;sr=8-7")</f>
        <v>https://www.amazon.com/Concept-Eyes-Recipe-Matte-Color/dp/B01N52PM26/ref=sr_1_7?keywords=3CE+Mood+Recipe+Matte+Lip+Color%2C+909&amp;qid=1695259303&amp;sr=8-7</v>
      </c>
      <c r="F1792" t="s">
        <v>4368</v>
      </c>
      <c r="G1792" t="e">
        <f ca="1">IMAGE("https://prolisok-store.com/cdn/shop/files/41q_eA_m8iL._SL1000_300x.jpg?v=1693221579")</f>
        <v>#NAME?</v>
      </c>
      <c r="H1792" t="e">
        <f ca="1">IMAGE("https://m.media-amazon.com/images/I/61XkvzPhvPL._AC_UL320_.jpg")</f>
        <v>#NAME?</v>
      </c>
      <c r="I1792" t="s">
        <v>3392</v>
      </c>
      <c r="J1792">
        <v>32</v>
      </c>
      <c r="K1792" s="2" t="s">
        <v>4361</v>
      </c>
      <c r="L1792">
        <v>2.5</v>
      </c>
      <c r="M1792">
        <v>2</v>
      </c>
      <c r="O1792" t="s">
        <v>26</v>
      </c>
      <c r="P1792" t="s">
        <v>39</v>
      </c>
      <c r="Q1792" t="s">
        <v>4362</v>
      </c>
    </row>
    <row r="1793" spans="1:17" ht="15.75" x14ac:dyDescent="0.25">
      <c r="A1793" s="3" t="str">
        <f>HYPERLINK("https://prolisok-store.com/collections/premium/products/3ce-mood-recipe-matte-lip-color-116", "https://prolisok-store.com/collections/premium/products/3ce-mood-recipe-matte-lip-color-116")</f>
        <v>https://prolisok-store.com/collections/premium/products/3ce-mood-recipe-matte-lip-color-116</v>
      </c>
      <c r="B1793" s="3" t="str">
        <f>HYPERLINK("https://prolisok-store.com/products/3ce-mood-recipe-matte-lip-color-116", "https://prolisok-store.com/products/3ce-mood-recipe-matte-lip-color-116")</f>
        <v>https://prolisok-store.com/products/3ce-mood-recipe-matte-lip-color-116</v>
      </c>
      <c r="C1793" t="s">
        <v>4363</v>
      </c>
      <c r="D1793" t="s">
        <v>4367</v>
      </c>
      <c r="E1793" s="3" t="str">
        <f>HYPERLINK("https://www.amazon.com/Concept-Eyes-Recipe-Matte-Color/dp/B01N52PM26/ref=sr_1_7?keywords=3CE+Mood+Recipe+Matte+Lip+Color%2C+116&amp;qid=1695259303&amp;sr=8-7", "https://www.amazon.com/Concept-Eyes-Recipe-Matte-Color/dp/B01N52PM26/ref=sr_1_7?keywords=3CE+Mood+Recipe+Matte+Lip+Color%2C+116&amp;qid=1695259303&amp;sr=8-7")</f>
        <v>https://www.amazon.com/Concept-Eyes-Recipe-Matte-Color/dp/B01N52PM26/ref=sr_1_7?keywords=3CE+Mood+Recipe+Matte+Lip+Color%2C+116&amp;qid=1695259303&amp;sr=8-7</v>
      </c>
      <c r="F1793" t="s">
        <v>4368</v>
      </c>
      <c r="G1793" t="e">
        <f ca="1">IMAGE("https://prolisok-store.com/cdn/shop/files/31C87n4RBaL_300x.jpg?v=1693221452")</f>
        <v>#NAME?</v>
      </c>
      <c r="H1793" t="e">
        <f ca="1">IMAGE("https://m.media-amazon.com/images/I/61XkvzPhvPL._AC_UL320_.jpg")</f>
        <v>#NAME?</v>
      </c>
      <c r="I1793" t="s">
        <v>3392</v>
      </c>
      <c r="J1793">
        <v>32</v>
      </c>
      <c r="K1793" s="2" t="s">
        <v>4361</v>
      </c>
      <c r="L1793">
        <v>2.5</v>
      </c>
      <c r="M1793">
        <v>2</v>
      </c>
      <c r="O1793" t="s">
        <v>26</v>
      </c>
      <c r="P1793" t="s">
        <v>39</v>
      </c>
      <c r="Q1793" t="s">
        <v>4366</v>
      </c>
    </row>
    <row r="1794" spans="1:17" ht="15.75" x14ac:dyDescent="0.25">
      <c r="A1794" s="3" t="str">
        <f>HYPERLINK("https://prolisok-store.com/collections/premium/products/la-mer-soft-fluid-found-sf20-120", "https://prolisok-store.com/collections/premium/products/la-mer-soft-fluid-found-sf20-120")</f>
        <v>https://prolisok-store.com/collections/premium/products/la-mer-soft-fluid-found-sf20-120</v>
      </c>
      <c r="B1794" s="3" t="str">
        <f>HYPERLINK("https://prolisok-store.com/products/la-mer-soft-fluid-found-sf20-120", "https://prolisok-store.com/products/la-mer-soft-fluid-found-sf20-120")</f>
        <v>https://prolisok-store.com/products/la-mer-soft-fluid-found-sf20-120</v>
      </c>
      <c r="C1794" t="s">
        <v>4369</v>
      </c>
      <c r="D1794" t="s">
        <v>4370</v>
      </c>
      <c r="E1794" s="3" t="str">
        <f>HYPERLINK("https://www.amazon.com/Soft-Fluid-Foundation-SPF20-Shell/dp/B01MG7U45H/ref=sr_1_9?keywords=La+Mer+Soft+Fluid+Foundation+SF20+120&amp;qid=1695259292&amp;sr=8-9", "https://www.amazon.com/Soft-Fluid-Foundation-SPF20-Shell/dp/B01MG7U45H/ref=sr_1_9?keywords=La+Mer+Soft+Fluid+Foundation+SF20+120&amp;qid=1695259292&amp;sr=8-9")</f>
        <v>https://www.amazon.com/Soft-Fluid-Foundation-SPF20-Shell/dp/B01MG7U45H/ref=sr_1_9?keywords=La+Mer+Soft+Fluid+Foundation+SF20+120&amp;qid=1695259292&amp;sr=8-9</v>
      </c>
      <c r="F1794" t="s">
        <v>4371</v>
      </c>
      <c r="G1794" t="e">
        <f ca="1">IMAGE("https://prolisok-store.com/cdn/shop/products/41uQN86fQQL._SL1000_300x.jpg?v=1674030569")</f>
        <v>#NAME?</v>
      </c>
      <c r="H1794" t="e">
        <f ca="1">IMAGE("https://m.media-amazon.com/images/I/71101CnQpFL._AC_UL320_.jpg")</f>
        <v>#NAME?</v>
      </c>
      <c r="I1794" t="s">
        <v>4346</v>
      </c>
      <c r="J1794">
        <v>200</v>
      </c>
      <c r="K1794" s="2" t="s">
        <v>4372</v>
      </c>
      <c r="L1794">
        <v>4.0999999999999996</v>
      </c>
      <c r="M1794">
        <v>12</v>
      </c>
      <c r="O1794" t="s">
        <v>26</v>
      </c>
      <c r="P1794" t="s">
        <v>39</v>
      </c>
      <c r="Q1794" t="s">
        <v>4373</v>
      </c>
    </row>
    <row r="1795" spans="1:17" ht="15.75" x14ac:dyDescent="0.25">
      <c r="A1795" s="3" t="str">
        <f>HYPERLINK("https://prolisok-store.com/collections/premium/products/elixir-superieur-enrich-wrinkle-cream-l-22g", "https://prolisok-store.com/collections/premium/products/elixir-superieur-enrich-wrinkle-cream-l-22g")</f>
        <v>https://prolisok-store.com/collections/premium/products/elixir-superieur-enrich-wrinkle-cream-l-22g</v>
      </c>
      <c r="B1795" s="3" t="str">
        <f>HYPERLINK("https://prolisok-store.com/products/elixir-superieur-enrich-wrinkle-cream-l-22g", "https://prolisok-store.com/products/elixir-superieur-enrich-wrinkle-cream-l-22g")</f>
        <v>https://prolisok-store.com/products/elixir-superieur-enrich-wrinkle-cream-l-22g</v>
      </c>
      <c r="C1795" t="s">
        <v>4374</v>
      </c>
      <c r="D1795" t="s">
        <v>4375</v>
      </c>
      <c r="E1795" s="3" t="str">
        <f>HYPERLINK("https://www.amazon.com/Japan-Health-Beauty-Shiseido-Superieur/dp/B016VYIAYQ/ref=sr_1_2?keywords=ELIXIR+SUPERIEUR+Enriched+Wrinkle+Cream+L+22g&amp;qid=1695259304&amp;sr=8-2", "https://www.amazon.com/Japan-Health-Beauty-Shiseido-Superieur/dp/B016VYIAYQ/ref=sr_1_2?keywords=ELIXIR+SUPERIEUR+Enriched+Wrinkle+Cream+L+22g&amp;qid=1695259304&amp;sr=8-2")</f>
        <v>https://www.amazon.com/Japan-Health-Beauty-Shiseido-Superieur/dp/B016VYIAYQ/ref=sr_1_2?keywords=ELIXIR+SUPERIEUR+Enriched+Wrinkle+Cream+L+22g&amp;qid=1695259304&amp;sr=8-2</v>
      </c>
      <c r="F1795" t="s">
        <v>4376</v>
      </c>
      <c r="G1795" t="e">
        <f ca="1">IMAGE("https://prolisok-store.com/cdn/shop/files/61mKag_0VYL._SL1500_300x.jpg?v=1692865233")</f>
        <v>#NAME?</v>
      </c>
      <c r="H1795" t="e">
        <f ca="1">IMAGE("https://m.media-amazon.com/images/I/71b6HQpuekL._AC_UL320_.jpg")</f>
        <v>#NAME?</v>
      </c>
      <c r="I1795" t="s">
        <v>3476</v>
      </c>
      <c r="J1795">
        <v>154.99</v>
      </c>
      <c r="K1795" s="2" t="s">
        <v>4377</v>
      </c>
      <c r="L1795">
        <v>4.2</v>
      </c>
      <c r="M1795">
        <v>46</v>
      </c>
      <c r="O1795" t="s">
        <v>26</v>
      </c>
      <c r="P1795" t="s">
        <v>39</v>
      </c>
      <c r="Q1795" t="s">
        <v>4378</v>
      </c>
    </row>
    <row r="1796" spans="1:17" ht="15.75" x14ac:dyDescent="0.25">
      <c r="A1796" s="3" t="str">
        <f>HYPERLINK("https://prolisok-store.com/collections/premium/products/obagi-professional-c-serum-20-vitamin-c-facial-serum-with-concentrated-20-l-ascorbic-acid-for-normal-to-oily-skin-1-0-fl-oz", "https://prolisok-store.com/collections/premium/products/obagi-professional-c-serum-20-vitamin-c-facial-serum-with-concentrated-20-l-ascorbic-acid-for-normal-to-oily-skin-1-0-fl-oz")</f>
        <v>https://prolisok-store.com/collections/premium/products/obagi-professional-c-serum-20-vitamin-c-facial-serum-with-concentrated-20-l-ascorbic-acid-for-normal-to-oily-skin-1-0-fl-oz</v>
      </c>
      <c r="B1796" s="3" t="str">
        <f>HYPERLINK("https://prolisok-store.com/products/obagi-professional-c-serum-20-vitamin-c-facial-serum-with-concentrated-20-l-ascorbic-acid-for-normal-to-oily-skin-1-0-fl-oz", "https://prolisok-store.com/products/obagi-professional-c-serum-20-vitamin-c-facial-serum-with-concentrated-20-l-ascorbic-acid-for-normal-to-oily-skin-1-0-fl-oz")</f>
        <v>https://prolisok-store.com/products/obagi-professional-c-serum-20-vitamin-c-facial-serum-with-concentrated-20-l-ascorbic-acid-for-normal-to-oily-skin-1-0-fl-oz</v>
      </c>
      <c r="C1796" t="s">
        <v>4354</v>
      </c>
      <c r="D1796" t="s">
        <v>4379</v>
      </c>
      <c r="E1796" s="3"/>
      <c r="F1796" t="s">
        <v>4380</v>
      </c>
      <c r="G1796" t="e">
        <f ca="1">IMAGE("https://prolisok-store.com/cdn/shop/files/71nOSCHqa9L._SL1500_300x.jpg?v=1682416466")</f>
        <v>#NAME?</v>
      </c>
      <c r="H1796" t="e">
        <f ca="1">IMAGE("https://m.media-amazon.com/images/I/41nB-hlYvGL._AC_UL320_.jpg")</f>
        <v>#NAME?</v>
      </c>
      <c r="I1796" t="s">
        <v>4355</v>
      </c>
      <c r="J1796">
        <v>230</v>
      </c>
      <c r="K1796" s="2" t="s">
        <v>4381</v>
      </c>
      <c r="L1796">
        <v>4.5999999999999996</v>
      </c>
      <c r="M1796">
        <v>601</v>
      </c>
      <c r="O1796" t="s">
        <v>26</v>
      </c>
      <c r="P1796" t="s">
        <v>39</v>
      </c>
      <c r="Q1796" t="s">
        <v>4357</v>
      </c>
    </row>
    <row r="1797" spans="1:17" ht="15.75" x14ac:dyDescent="0.25">
      <c r="A1797" s="3" t="str">
        <f>HYPERLINK("https://prolisok-store.com/collections/premium/products/3ce-mood-recipe-matte-lip-color-116", "https://prolisok-store.com/collections/premium/products/3ce-mood-recipe-matte-lip-color-116")</f>
        <v>https://prolisok-store.com/collections/premium/products/3ce-mood-recipe-matte-lip-color-116</v>
      </c>
      <c r="B1797" s="3" t="str">
        <f>HYPERLINK("https://prolisok-store.com/products/3ce-mood-recipe-matte-lip-color-116", "https://prolisok-store.com/products/3ce-mood-recipe-matte-lip-color-116")</f>
        <v>https://prolisok-store.com/products/3ce-mood-recipe-matte-lip-color-116</v>
      </c>
      <c r="C1797" t="s">
        <v>4363</v>
      </c>
      <c r="D1797" t="s">
        <v>4382</v>
      </c>
      <c r="E1797" s="3" t="str">
        <f>HYPERLINK("https://www.amazon.com/3CE-MOOD-RECIPE-MATTE-COLOR/dp/B078TCLM3H/ref=sr_1_10?keywords=3CE+Mood+Recipe+Matte+Lip+Color%2C+116&amp;qid=1695259303&amp;sr=8-10", "https://www.amazon.com/3CE-MOOD-RECIPE-MATTE-COLOR/dp/B078TCLM3H/ref=sr_1_10?keywords=3CE+Mood+Recipe+Matte+Lip+Color%2C+116&amp;qid=1695259303&amp;sr=8-10")</f>
        <v>https://www.amazon.com/3CE-MOOD-RECIPE-MATTE-COLOR/dp/B078TCLM3H/ref=sr_1_10?keywords=3CE+Mood+Recipe+Matte+Lip+Color%2C+116&amp;qid=1695259303&amp;sr=8-10</v>
      </c>
      <c r="F1797" t="s">
        <v>4383</v>
      </c>
      <c r="G1797" t="e">
        <f ca="1">IMAGE("https://prolisok-store.com/cdn/shop/files/31C87n4RBaL_300x.jpg?v=1693221452")</f>
        <v>#NAME?</v>
      </c>
      <c r="H1797" t="e">
        <f ca="1">IMAGE("https://m.media-amazon.com/images/I/41Yh+Te0AjL._AC_UL320_.jpg")</f>
        <v>#NAME?</v>
      </c>
      <c r="I1797" t="s">
        <v>3392</v>
      </c>
      <c r="J1797">
        <v>29.99</v>
      </c>
      <c r="K1797" s="2" t="s">
        <v>4384</v>
      </c>
      <c r="L1797">
        <v>4.5</v>
      </c>
      <c r="M1797">
        <v>6</v>
      </c>
      <c r="O1797" t="s">
        <v>26</v>
      </c>
      <c r="P1797" t="s">
        <v>39</v>
      </c>
      <c r="Q1797" t="s">
        <v>4366</v>
      </c>
    </row>
    <row r="1798" spans="1:17" ht="15.75" x14ac:dyDescent="0.25">
      <c r="A1798" s="3" t="str">
        <f>HYPERLINK("https://prolisok-store.com/collections/premium/products/3ce-mood-recipe-matte-lip-color-909", "https://prolisok-store.com/collections/premium/products/3ce-mood-recipe-matte-lip-color-909")</f>
        <v>https://prolisok-store.com/collections/premium/products/3ce-mood-recipe-matte-lip-color-909</v>
      </c>
      <c r="B1798" s="3" t="str">
        <f>HYPERLINK("https://prolisok-store.com/products/3ce-mood-recipe-matte-lip-color-909", "https://prolisok-store.com/products/3ce-mood-recipe-matte-lip-color-909")</f>
        <v>https://prolisok-store.com/products/3ce-mood-recipe-matte-lip-color-909</v>
      </c>
      <c r="C1798" t="s">
        <v>4358</v>
      </c>
      <c r="D1798" t="s">
        <v>4385</v>
      </c>
      <c r="E1798" s="3" t="str">
        <f>HYPERLINK("https://www.amazon.com/3CE-Recipe-Matte-Color-No-215/dp/B079HTSF9W/ref=sr_1_8?keywords=3CE+Mood+Recipe+Matte+Lip+Color%2C+909&amp;qid=1695259303&amp;sr=8-8", "https://www.amazon.com/3CE-Recipe-Matte-Color-No-215/dp/B079HTSF9W/ref=sr_1_8?keywords=3CE+Mood+Recipe+Matte+Lip+Color%2C+909&amp;qid=1695259303&amp;sr=8-8")</f>
        <v>https://www.amazon.com/3CE-Recipe-Matte-Color-No-215/dp/B079HTSF9W/ref=sr_1_8?keywords=3CE+Mood+Recipe+Matte+Lip+Color%2C+909&amp;qid=1695259303&amp;sr=8-8</v>
      </c>
      <c r="F1798" t="s">
        <v>4386</v>
      </c>
      <c r="G1798" t="e">
        <f ca="1">IMAGE("https://prolisok-store.com/cdn/shop/files/41q_eA_m8iL._SL1000_300x.jpg?v=1693221579")</f>
        <v>#NAME?</v>
      </c>
      <c r="H1798" t="e">
        <f ca="1">IMAGE("https://m.media-amazon.com/images/I/71Xr5MhF-SL._AC_UL320_.jpg")</f>
        <v>#NAME?</v>
      </c>
      <c r="I1798" t="s">
        <v>3392</v>
      </c>
      <c r="J1798">
        <v>29.89</v>
      </c>
      <c r="K1798" s="2" t="s">
        <v>4387</v>
      </c>
      <c r="L1798">
        <v>3.7</v>
      </c>
      <c r="M1798">
        <v>17</v>
      </c>
      <c r="O1798" t="s">
        <v>26</v>
      </c>
      <c r="P1798" t="s">
        <v>39</v>
      </c>
      <c r="Q1798" t="s">
        <v>4362</v>
      </c>
    </row>
    <row r="1799" spans="1:17" ht="15.75" x14ac:dyDescent="0.25">
      <c r="A1799" s="3" t="str">
        <f>HYPERLINK("https://prolisok-store.com/collections/premium/products/drunk-elephant-lala-retro-whipped-cream-50-milliliters", "https://prolisok-store.com/collections/premium/products/drunk-elephant-lala-retro-whipped-cream-50-milliliters")</f>
        <v>https://prolisok-store.com/collections/premium/products/drunk-elephant-lala-retro-whipped-cream-50-milliliters</v>
      </c>
      <c r="B1799" s="3" t="str">
        <f>HYPERLINK("https://prolisok-store.com/products/drunk-elephant-lala-retro-whipped-cream-50-milliliters", "https://prolisok-store.com/products/drunk-elephant-lala-retro-whipped-cream-50-milliliters")</f>
        <v>https://prolisok-store.com/products/drunk-elephant-lala-retro-whipped-cream-50-milliliters</v>
      </c>
      <c r="C1799" t="s">
        <v>4388</v>
      </c>
      <c r="D1799" t="s">
        <v>4389</v>
      </c>
      <c r="E1799" s="3" t="str">
        <f>HYPERLINK("https://www.amazon.com/Drunk-Elephant-Renewal-Babyfacial-Moisturizer/dp/B07CH6Y844/ref=sr_1_3?keywords=Drunk+Elephant+Lala+Retro+Whipped+Cream+50+Milliliters&amp;qid=1695259287&amp;sr=8-3", "https://www.amazon.com/Drunk-Elephant-Renewal-Babyfacial-Moisturizer/dp/B07CH6Y844/ref=sr_1_3?keywords=Drunk+Elephant+Lala+Retro+Whipped+Cream+50+Milliliters&amp;qid=1695259287&amp;sr=8-3")</f>
        <v>https://www.amazon.com/Drunk-Elephant-Renewal-Babyfacial-Moisturizer/dp/B07CH6Y844/ref=sr_1_3?keywords=Drunk+Elephant+Lala+Retro+Whipped+Cream+50+Milliliters&amp;qid=1695259287&amp;sr=8-3</v>
      </c>
      <c r="F1799" t="s">
        <v>4390</v>
      </c>
      <c r="G1799" t="e">
        <f ca="1">IMAGE("https://prolisok-store.com/cdn/shop/files/51ybUrn6ZWL._SL1500_300x.jpg?v=1686223860")</f>
        <v>#NAME?</v>
      </c>
      <c r="H1799" t="e">
        <f ca="1">IMAGE("https://m.media-amazon.com/images/I/51F8VPkHiXL._AC_UL320_.jpg")</f>
        <v>#NAME?</v>
      </c>
      <c r="I1799" t="s">
        <v>3566</v>
      </c>
      <c r="J1799">
        <v>129.99</v>
      </c>
      <c r="K1799" s="2" t="s">
        <v>4391</v>
      </c>
      <c r="L1799">
        <v>4.5</v>
      </c>
      <c r="M1799">
        <v>97</v>
      </c>
      <c r="O1799" t="s">
        <v>26</v>
      </c>
      <c r="P1799" t="s">
        <v>2472</v>
      </c>
      <c r="Q1799" t="s">
        <v>4392</v>
      </c>
    </row>
    <row r="1800" spans="1:17" ht="15.75" x14ac:dyDescent="0.25">
      <c r="A1800" s="3" t="str">
        <f>HYPERLINK("https://prolisok-store.com/collections/premium/products/zo-skin-health-daily-power-defense", "https://prolisok-store.com/collections/premium/products/zo-skin-health-daily-power-defense")</f>
        <v>https://prolisok-store.com/collections/premium/products/zo-skin-health-daily-power-defense</v>
      </c>
      <c r="B1800" s="3" t="str">
        <f>HYPERLINK("https://prolisok-store.com/products/zo-skin-health-daily-power-defense", "https://prolisok-store.com/products/zo-skin-health-daily-power-defense")</f>
        <v>https://prolisok-store.com/products/zo-skin-health-daily-power-defense</v>
      </c>
      <c r="C1800" t="s">
        <v>4393</v>
      </c>
      <c r="D1800" t="s">
        <v>4394</v>
      </c>
      <c r="E1800" s="3" t="str">
        <f>HYPERLINK("https://www.amazon.com/ZO-SKIN-HEALTH-Daily-Defense/dp/B0C3WFQFCD/ref=sr_1_1?keywords=ZO+Skin+Health+Daily+Power+Defense&amp;qid=1695259288&amp;sr=8-1", "https://www.amazon.com/ZO-SKIN-HEALTH-Daily-Defense/dp/B0C3WFQFCD/ref=sr_1_1?keywords=ZO+Skin+Health+Daily+Power+Defense&amp;qid=1695259288&amp;sr=8-1")</f>
        <v>https://www.amazon.com/ZO-SKIN-HEALTH-Daily-Defense/dp/B0C3WFQFCD/ref=sr_1_1?keywords=ZO+Skin+Health+Daily+Power+Defense&amp;qid=1695259288&amp;sr=8-1</v>
      </c>
      <c r="F1800" t="s">
        <v>4395</v>
      </c>
      <c r="G1800" t="e">
        <f ca="1">IMAGE("https://prolisok-store.com/cdn/shop/files/dpd.mob.pdp.gbl_300x.png?v=1682669514")</f>
        <v>#NAME?</v>
      </c>
      <c r="H1800" t="e">
        <f ca="1">IMAGE("https://m.media-amazon.com/images/I/51rIjPg9UYL._AC_UL320_.jpg")</f>
        <v>#NAME?</v>
      </c>
      <c r="I1800" t="s">
        <v>3404</v>
      </c>
      <c r="J1800">
        <v>110.48</v>
      </c>
      <c r="K1800" s="2" t="s">
        <v>4396</v>
      </c>
      <c r="L1800">
        <v>4.4000000000000004</v>
      </c>
      <c r="M1800">
        <v>33</v>
      </c>
      <c r="O1800" t="s">
        <v>26</v>
      </c>
      <c r="P1800" t="s">
        <v>39</v>
      </c>
      <c r="Q1800" t="s">
        <v>4397</v>
      </c>
    </row>
    <row r="1801" spans="1:17" ht="15.75" x14ac:dyDescent="0.25">
      <c r="A1801" s="3" t="str">
        <f>HYPERLINK("https://prolisok-store.com/collections/premium/products/rose-31-eau-de-parfum", "https://prolisok-store.com/collections/premium/products/rose-31-eau-de-parfum")</f>
        <v>https://prolisok-store.com/collections/premium/products/rose-31-eau-de-parfum</v>
      </c>
      <c r="B1801" s="3" t="str">
        <f>HYPERLINK("https://prolisok-store.com/products/rose-31-eau-de-parfum", "https://prolisok-store.com/products/rose-31-eau-de-parfum")</f>
        <v>https://prolisok-store.com/products/rose-31-eau-de-parfum</v>
      </c>
      <c r="C1801" t="s">
        <v>4398</v>
      </c>
      <c r="D1801" t="s">
        <v>4399</v>
      </c>
      <c r="E1801" s="3" t="str">
        <f>HYPERLINK("https://www.amazon.com/Labo-Parfum-Spray-1-7oz-Unisex/dp/B071J8QXDF/ref=sr_1_1?keywords=Le+Labo+Eau+de+Parfum+Rose+31&amp;qid=1695259291&amp;sr=8-1", "https://www.amazon.com/Labo-Parfum-Spray-1-7oz-Unisex/dp/B071J8QXDF/ref=sr_1_1?keywords=Le+Labo+Eau+de+Parfum+Rose+31&amp;qid=1695259291&amp;sr=8-1")</f>
        <v>https://www.amazon.com/Labo-Parfum-Spray-1-7oz-Unisex/dp/B071J8QXDF/ref=sr_1_1?keywords=Le+Labo+Eau+de+Parfum+Rose+31&amp;qid=1695259291&amp;sr=8-1</v>
      </c>
      <c r="F1801" t="s">
        <v>4400</v>
      </c>
      <c r="G1801" t="e">
        <f ca="1">IMAGE("https://prolisok-store.com/cdn/shop/files/31i5LX5FJDL_300x.jpg?v=1689761245")</f>
        <v>#NAME?</v>
      </c>
      <c r="H1801" t="e">
        <f ca="1">IMAGE("https://m.media-amazon.com/images/I/51ca6nq8S+L._AC_UL320_.jpg")</f>
        <v>#NAME?</v>
      </c>
      <c r="I1801" t="s">
        <v>4401</v>
      </c>
      <c r="J1801">
        <v>199</v>
      </c>
      <c r="K1801" s="2" t="s">
        <v>4402</v>
      </c>
      <c r="L1801">
        <v>3.6</v>
      </c>
      <c r="M1801">
        <v>31</v>
      </c>
      <c r="O1801" t="s">
        <v>26</v>
      </c>
      <c r="P1801" t="s">
        <v>39</v>
      </c>
      <c r="Q1801" t="s">
        <v>4403</v>
      </c>
    </row>
    <row r="1802" spans="1:17" ht="15.75" x14ac:dyDescent="0.25">
      <c r="A1802" s="3" t="str">
        <f>HYPERLINK("https://prolisok-store.com/collections/premium/products/3ce-mood-recipe-face-blush-rose-beige", "https://prolisok-store.com/collections/premium/products/3ce-mood-recipe-face-blush-rose-beige")</f>
        <v>https://prolisok-store.com/collections/premium/products/3ce-mood-recipe-face-blush-rose-beige</v>
      </c>
      <c r="B1802" s="3" t="str">
        <f>HYPERLINK("https://prolisok-store.com/products/3ce-mood-recipe-face-blush-rose-beige", "https://prolisok-store.com/products/3ce-mood-recipe-face-blush-rose-beige")</f>
        <v>https://prolisok-store.com/products/3ce-mood-recipe-face-blush-rose-beige</v>
      </c>
      <c r="C1802" t="s">
        <v>4404</v>
      </c>
      <c r="D1802" t="s">
        <v>4405</v>
      </c>
      <c r="E1802" s="3" t="str">
        <f>HYPERLINK("https://www.amazon.com/MOOD-RECIPE-FACE-BLUSH-MONO/dp/B0777NGV7S/ref=sr_1_5?keywords=3CE+Mood+Recipe+Face+Blush+-&amp;qid=1695259301&amp;sr=8-5", "https://www.amazon.com/MOOD-RECIPE-FACE-BLUSH-MONO/dp/B0777NGV7S/ref=sr_1_5?keywords=3CE+Mood+Recipe+Face+Blush+-&amp;qid=1695259301&amp;sr=8-5")</f>
        <v>https://www.amazon.com/MOOD-RECIPE-FACE-BLUSH-MONO/dp/B0777NGV7S/ref=sr_1_5?keywords=3CE+Mood+Recipe+Face+Blush+-&amp;qid=1695259301&amp;sr=8-5</v>
      </c>
      <c r="F1802" t="s">
        <v>4406</v>
      </c>
      <c r="G1802" t="e">
        <f ca="1">IMAGE("https://prolisok-store.com/cdn/shop/files/31TTnrkqldL_300x.jpg?v=1683820558")</f>
        <v>#NAME?</v>
      </c>
      <c r="H1802" t="e">
        <f ca="1">IMAGE("https://m.media-amazon.com/images/I/31rkG9bJNoL._AC_UL320_.jpg")</f>
        <v>#NAME?</v>
      </c>
      <c r="I1802" t="s">
        <v>3392</v>
      </c>
      <c r="J1802">
        <v>28.79</v>
      </c>
      <c r="K1802" s="2" t="s">
        <v>4407</v>
      </c>
      <c r="L1802">
        <v>4.5999999999999996</v>
      </c>
      <c r="M1802">
        <v>22</v>
      </c>
      <c r="O1802" t="s">
        <v>26</v>
      </c>
      <c r="P1802" t="s">
        <v>39</v>
      </c>
      <c r="Q1802" t="s">
        <v>4408</v>
      </c>
    </row>
    <row r="1803" spans="1:17" ht="15.75" x14ac:dyDescent="0.25">
      <c r="A1803" s="3" t="str">
        <f>HYPERLINK("https://prolisok-store.com/collections/premium/products/3ce-new-velvet-lip-tint-absorbed-love-long-lasting-matte-finish", "https://prolisok-store.com/collections/premium/products/3ce-new-velvet-lip-tint-absorbed-love-long-lasting-matte-finish")</f>
        <v>https://prolisok-store.com/collections/premium/products/3ce-new-velvet-lip-tint-absorbed-love-long-lasting-matte-finish</v>
      </c>
      <c r="B1803" s="3" t="str">
        <f>HYPERLINK("https://prolisok-store.com/products/3ce-new-velvet-lip-tint-absorbed-love-long-lasting-matte-finish", "https://prolisok-store.com/products/3ce-new-velvet-lip-tint-absorbed-love-long-lasting-matte-finish")</f>
        <v>https://prolisok-store.com/products/3ce-new-velvet-lip-tint-absorbed-love-long-lasting-matte-finish</v>
      </c>
      <c r="C1803" t="s">
        <v>4409</v>
      </c>
      <c r="D1803" t="s">
        <v>4410</v>
      </c>
      <c r="E1803" s="3" t="str">
        <f>HYPERLINK("https://www.amazon.com/Velvet-Simply-Speaking-lasting-finish/dp/B07DJ5BL6K/ref=sr_1_3?keywords=3CE+New+Velvet+Lip+Tint&amp;qid=1695259303&amp;sr=8-3", "https://www.amazon.com/Velvet-Simply-Speaking-lasting-finish/dp/B07DJ5BL6K/ref=sr_1_3?keywords=3CE+New+Velvet+Lip+Tint&amp;qid=1695259303&amp;sr=8-3")</f>
        <v>https://www.amazon.com/Velvet-Simply-Speaking-lasting-finish/dp/B07DJ5BL6K/ref=sr_1_3?keywords=3CE+New+Velvet+Lip+Tint&amp;qid=1695259303&amp;sr=8-3</v>
      </c>
      <c r="F1803" t="s">
        <v>4411</v>
      </c>
      <c r="G1803" t="e">
        <f ca="1">IMAGE("https://prolisok-store.com/cdn/shop/files/41TsD5LcYOL_300x.jpg?v=1683818722")</f>
        <v>#NAME?</v>
      </c>
      <c r="H1803" t="e">
        <f ca="1">IMAGE("https://m.media-amazon.com/images/I/51bGwuosuVL._AC_UL320_.jpg")</f>
        <v>#NAME?</v>
      </c>
      <c r="I1803" t="s">
        <v>3392</v>
      </c>
      <c r="J1803">
        <v>28.5</v>
      </c>
      <c r="K1803" s="2" t="s">
        <v>4412</v>
      </c>
      <c r="L1803">
        <v>5</v>
      </c>
      <c r="M1803">
        <v>2</v>
      </c>
      <c r="O1803" t="s">
        <v>26</v>
      </c>
      <c r="P1803" t="s">
        <v>39</v>
      </c>
      <c r="Q1803" t="s">
        <v>4413</v>
      </c>
    </row>
    <row r="1804" spans="1:17" ht="15.75" x14ac:dyDescent="0.25">
      <c r="A1804" s="3" t="str">
        <f>HYPERLINK("https://prolisok-store.com/collections/premium/products/3ce-mood-recipe-matte-lip-color-3-concept-eyes-season-2-220-hit-me-up", "https://prolisok-store.com/collections/premium/products/3ce-mood-recipe-matte-lip-color-3-concept-eyes-season-2-220-hit-me-up")</f>
        <v>https://prolisok-store.com/collections/premium/products/3ce-mood-recipe-matte-lip-color-3-concept-eyes-season-2-220-hit-me-up</v>
      </c>
      <c r="B1804"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1804" t="s">
        <v>4414</v>
      </c>
      <c r="D1804" t="s">
        <v>4415</v>
      </c>
      <c r="E1804" s="3" t="str">
        <f>HYPERLINK("https://www.amazon.com/3CE-Recipe-Concept-Season-Mirrorlike/dp/B078TCYVC7/ref=sr_1_7?keywords=3CE+Mood+Recipe+Matte+Lip+Color+3+Concept+Eyes+Season+2+%28%23220+Hit+Me+Up%29&amp;qid=1695259305&amp;sr=8-7", "https://www.amazon.com/3CE-Recipe-Concept-Season-Mirrorlike/dp/B078TCYVC7/ref=sr_1_7?keywords=3CE+Mood+Recipe+Matte+Lip+Color+3+Concept+Eyes+Season+2+%28%23220+Hit+Me+Up%29&amp;qid=1695259305&amp;sr=8-7")</f>
        <v>https://www.amazon.com/3CE-Recipe-Concept-Season-Mirrorlike/dp/B078TCYVC7/ref=sr_1_7?keywords=3CE+Mood+Recipe+Matte+Lip+Color+3+Concept+Eyes+Season+2+%28%23220+Hit+Me+Up%29&amp;qid=1695259305&amp;sr=8-7</v>
      </c>
      <c r="F1804" t="s">
        <v>4416</v>
      </c>
      <c r="G1804" t="e">
        <f ca="1">IMAGE("https://prolisok-store.com/cdn/shop/files/41eAqvNQC-L._SL1000_300x.jpg?v=1693219330")</f>
        <v>#NAME?</v>
      </c>
      <c r="H1804" t="e">
        <f ca="1">IMAGE("https://m.media-amazon.com/images/I/41+cYXm6Q3L._AC_UL320_.jpg")</f>
        <v>#NAME?</v>
      </c>
      <c r="I1804" t="s">
        <v>3392</v>
      </c>
      <c r="J1804">
        <v>28.06</v>
      </c>
      <c r="K1804" s="2" t="s">
        <v>4417</v>
      </c>
      <c r="L1804">
        <v>3.5</v>
      </c>
      <c r="M1804">
        <v>16</v>
      </c>
      <c r="O1804" t="s">
        <v>26</v>
      </c>
      <c r="P1804" t="s">
        <v>39</v>
      </c>
      <c r="Q1804" t="s">
        <v>4418</v>
      </c>
    </row>
    <row r="1805" spans="1:17" ht="15.75" x14ac:dyDescent="0.25">
      <c r="A1805" s="3" t="str">
        <f>HYPERLINK("https://prolisok-store.com/collections/premium/products/diptyque-figuier-candle", "https://prolisok-store.com/collections/premium/products/diptyque-figuier-candle")</f>
        <v>https://prolisok-store.com/collections/premium/products/diptyque-figuier-candle</v>
      </c>
      <c r="B1805" s="3" t="str">
        <f>HYPERLINK("https://prolisok-store.com/products/diptyque-figuier-candle", "https://prolisok-store.com/products/diptyque-figuier-candle")</f>
        <v>https://prolisok-store.com/products/diptyque-figuier-candle</v>
      </c>
      <c r="C1805" t="s">
        <v>4419</v>
      </c>
      <c r="D1805" t="s">
        <v>4420</v>
      </c>
      <c r="E1805" s="3" t="str">
        <f>HYPERLINK("https://www.amazon.com/Diptyque-Set-Five-Scented-Candles/dp/B08FP55867/ref=sr_1_6?keywords=Diptyque+Figuier+Candle&amp;qid=1695259309&amp;sr=8-6", "https://www.amazon.com/Diptyque-Set-Five-Scented-Candles/dp/B08FP55867/ref=sr_1_6?keywords=Diptyque+Figuier+Candle&amp;qid=1695259309&amp;sr=8-6")</f>
        <v>https://www.amazon.com/Diptyque-Set-Five-Scented-Candles/dp/B08FP55867/ref=sr_1_6?keywords=Diptyque+Figuier+Candle&amp;qid=1695259309&amp;sr=8-6</v>
      </c>
      <c r="F1805" t="s">
        <v>4421</v>
      </c>
      <c r="G1805" t="e">
        <f ca="1">IMAGE("https://prolisok-store.com/cdn/shop/files/61-a7DkEOyL._AC_SL1024_300x.jpg?v=1693226218")</f>
        <v>#NAME?</v>
      </c>
      <c r="H1805" t="e">
        <f ca="1">IMAGE("https://m.media-amazon.com/images/I/81Lmnls3vEL._AC_UL320_.jpg")</f>
        <v>#NAME?</v>
      </c>
      <c r="I1805" t="s">
        <v>3476</v>
      </c>
      <c r="J1805">
        <v>137.99</v>
      </c>
      <c r="K1805" s="2" t="s">
        <v>4422</v>
      </c>
      <c r="L1805">
        <v>4.0999999999999996</v>
      </c>
      <c r="M1805">
        <v>27</v>
      </c>
      <c r="O1805" t="s">
        <v>26</v>
      </c>
      <c r="P1805" t="s">
        <v>39</v>
      </c>
      <c r="Q1805" t="s">
        <v>4423</v>
      </c>
    </row>
    <row r="1806" spans="1:17" ht="15.75" x14ac:dyDescent="0.25">
      <c r="A1806" s="3" t="str">
        <f>HYPERLINK("https://prolisok-store.com/collections/premium/products/dabalash-eye-lash-enhancer", "https://prolisok-store.com/collections/premium/products/dabalash-eye-lash-enhancer")</f>
        <v>https://prolisok-store.com/collections/premium/products/dabalash-eye-lash-enhancer</v>
      </c>
      <c r="B1806" s="3" t="str">
        <f>HYPERLINK("https://prolisok-store.com/products/dabalash-eye-lash-enhancer", "https://prolisok-store.com/products/dabalash-eye-lash-enhancer")</f>
        <v>https://prolisok-store.com/products/dabalash-eye-lash-enhancer</v>
      </c>
      <c r="C1806" t="s">
        <v>4424</v>
      </c>
      <c r="D1806" t="s">
        <v>4425</v>
      </c>
      <c r="E1806" s="3" t="str">
        <f>HYPERLINK("https://www.amazon.com/Dabalash-Eye-Lash-Enhancer-PACK/dp/B09F9L3ZXH/ref=sr_1_2?keywords=Dabalash+Eye+Lash+Enhancer&amp;qid=1695259291&amp;sr=8-2", "https://www.amazon.com/Dabalash-Eye-Lash-Enhancer-PACK/dp/B09F9L3ZXH/ref=sr_1_2?keywords=Dabalash+Eye+Lash+Enhancer&amp;qid=1695259291&amp;sr=8-2")</f>
        <v>https://www.amazon.com/Dabalash-Eye-Lash-Enhancer-PACK/dp/B09F9L3ZXH/ref=sr_1_2?keywords=Dabalash+Eye+Lash+Enhancer&amp;qid=1695259291&amp;sr=8-2</v>
      </c>
      <c r="F1806" t="s">
        <v>4426</v>
      </c>
      <c r="G1806" t="e">
        <f ca="1">IMAGE("https://prolisok-store.com/cdn/shop/files/71dLRMnmysL._AC_SL1500_300x.jpg?v=1692864868")</f>
        <v>#NAME?</v>
      </c>
      <c r="H1806" t="e">
        <f ca="1">IMAGE("https://m.media-amazon.com/images/I/31Jj6Enas4L._AC_UL320_.jpg")</f>
        <v>#NAME?</v>
      </c>
      <c r="I1806" t="s">
        <v>3458</v>
      </c>
      <c r="J1806">
        <v>67.92</v>
      </c>
      <c r="K1806" s="2" t="s">
        <v>4427</v>
      </c>
      <c r="L1806">
        <v>5</v>
      </c>
      <c r="M1806">
        <v>1</v>
      </c>
      <c r="O1806" t="s">
        <v>26</v>
      </c>
      <c r="P1806" t="s">
        <v>39</v>
      </c>
      <c r="Q1806" t="s">
        <v>4428</v>
      </c>
    </row>
    <row r="1807" spans="1:17" ht="15.75" x14ac:dyDescent="0.25">
      <c r="A1807" s="3" t="str">
        <f>HYPERLINK("https://prolisok-store.com/collections/premium/products/narciso-rodriguez-fleur-musc-for-women-eau-de-parfum-spray-3-4-ounce", "https://prolisok-store.com/collections/premium/products/narciso-rodriguez-fleur-musc-for-women-eau-de-parfum-spray-3-4-ounce")</f>
        <v>https://prolisok-store.com/collections/premium/products/narciso-rodriguez-fleur-musc-for-women-eau-de-parfum-spray-3-4-ounce</v>
      </c>
      <c r="B1807" s="3" t="str">
        <f>HYPERLINK("https://prolisok-store.com/products/narciso-rodriguez-fleur-musc-for-women-eau-de-parfum-spray-3-4-ounce", "https://prolisok-store.com/products/narciso-rodriguez-fleur-musc-for-women-eau-de-parfum-spray-3-4-ounce")</f>
        <v>https://prolisok-store.com/products/narciso-rodriguez-fleur-musc-for-women-eau-de-parfum-spray-3-4-ounce</v>
      </c>
      <c r="C1807" t="s">
        <v>4429</v>
      </c>
      <c r="D1807" t="s">
        <v>4430</v>
      </c>
      <c r="E1807" s="3" t="str">
        <f>HYPERLINK("https://www.amazon.com/Narciso-Rodriguezfor-Fleur-Musc-150Ml/dp/B07B4CBK2N/ref=sr_1_2?keywords=Narciso+Rodriguez+Fleur+Musc+for+Women+Eau+de+Parfum+Spray%2C+3.4+Ounce&amp;qid=1695259296&amp;sr=8-2", "https://www.amazon.com/Narciso-Rodriguezfor-Fleur-Musc-150Ml/dp/B07B4CBK2N/ref=sr_1_2?keywords=Narciso+Rodriguez+Fleur+Musc+for+Women+Eau+de+Parfum+Spray%2C+3.4+Ounce&amp;qid=1695259296&amp;sr=8-2")</f>
        <v>https://www.amazon.com/Narciso-Rodriguezfor-Fleur-Musc-150Ml/dp/B07B4CBK2N/ref=sr_1_2?keywords=Narciso+Rodriguez+Fleur+Musc+for+Women+Eau+de+Parfum+Spray%2C+3.4+Ounce&amp;qid=1695259296&amp;sr=8-2</v>
      </c>
      <c r="F1807" t="s">
        <v>4431</v>
      </c>
      <c r="G1807" t="e">
        <f ca="1">IMAGE("https://prolisok-store.com/cdn/shop/files/41h0kt3e3BS_300x.jpg?v=1689760200")</f>
        <v>#NAME?</v>
      </c>
      <c r="H1807" t="e">
        <f ca="1">IMAGE("https://m.media-amazon.com/images/I/513Co3vj1uL._AC_UL320_.jpg")</f>
        <v>#NAME?</v>
      </c>
      <c r="I1807" t="s">
        <v>4432</v>
      </c>
      <c r="J1807">
        <v>151.88999999999999</v>
      </c>
      <c r="K1807" s="2" t="s">
        <v>4433</v>
      </c>
      <c r="L1807">
        <v>4.3</v>
      </c>
      <c r="M1807">
        <v>25</v>
      </c>
      <c r="O1807" t="s">
        <v>26</v>
      </c>
      <c r="P1807" t="s">
        <v>39</v>
      </c>
      <c r="Q1807" t="s">
        <v>4434</v>
      </c>
    </row>
    <row r="1808" spans="1:17" ht="15.75" x14ac:dyDescent="0.25">
      <c r="A1808" s="3" t="str">
        <f>HYPERLINK("https://prolisok-store.com/collections/premium/products/3ce-mood-recipe-matte-lip-color-116", "https://prolisok-store.com/collections/premium/products/3ce-mood-recipe-matte-lip-color-116")</f>
        <v>https://prolisok-store.com/collections/premium/products/3ce-mood-recipe-matte-lip-color-116</v>
      </c>
      <c r="B1808" s="3" t="str">
        <f>HYPERLINK("https://prolisok-store.com/products/3ce-mood-recipe-matte-lip-color-116", "https://prolisok-store.com/products/3ce-mood-recipe-matte-lip-color-116")</f>
        <v>https://prolisok-store.com/products/3ce-mood-recipe-matte-lip-color-116</v>
      </c>
      <c r="C1808" t="s">
        <v>4363</v>
      </c>
      <c r="D1808" t="s">
        <v>4363</v>
      </c>
      <c r="E1808" s="3" t="str">
        <f>HYPERLINK("https://www.amazon.com/3CE-Mood-Recipe-Matte-Color/dp/B079W98JCS/ref=sr_1_1?keywords=3CE+Mood+Recipe+Matte+Lip+Color%2C+116&amp;qid=1695259303&amp;sr=8-1", "https://www.amazon.com/3CE-Mood-Recipe-Matte-Color/dp/B079W98JCS/ref=sr_1_1?keywords=3CE+Mood+Recipe+Matte+Lip+Color%2C+116&amp;qid=1695259303&amp;sr=8-1")</f>
        <v>https://www.amazon.com/3CE-Mood-Recipe-Matte-Color/dp/B079W98JCS/ref=sr_1_1?keywords=3CE+Mood+Recipe+Matte+Lip+Color%2C+116&amp;qid=1695259303&amp;sr=8-1</v>
      </c>
      <c r="F1808" t="s">
        <v>4435</v>
      </c>
      <c r="G1808" t="e">
        <f ca="1">IMAGE("https://prolisok-store.com/cdn/shop/files/31C87n4RBaL_300x.jpg?v=1693221452")</f>
        <v>#NAME?</v>
      </c>
      <c r="H1808" t="e">
        <f ca="1">IMAGE("https://m.media-amazon.com/images/I/31C87n4RBaL._AC_UL320_.jpg")</f>
        <v>#NAME?</v>
      </c>
      <c r="I1808" t="s">
        <v>3392</v>
      </c>
      <c r="J1808">
        <v>25.99</v>
      </c>
      <c r="K1808" s="2" t="s">
        <v>4436</v>
      </c>
      <c r="L1808">
        <v>4.2</v>
      </c>
      <c r="M1808">
        <v>33</v>
      </c>
      <c r="O1808" t="s">
        <v>26</v>
      </c>
      <c r="P1808" t="s">
        <v>39</v>
      </c>
      <c r="Q1808" t="s">
        <v>4366</v>
      </c>
    </row>
    <row r="1809" spans="1:17" ht="15.75" x14ac:dyDescent="0.25">
      <c r="A1809" s="3" t="str">
        <f>HYPERLINK("https://prolisok-store.com/collections/premium/products/3ce-mood-recipe-matte-lip-color-909", "https://prolisok-store.com/collections/premium/products/3ce-mood-recipe-matte-lip-color-909")</f>
        <v>https://prolisok-store.com/collections/premium/products/3ce-mood-recipe-matte-lip-color-909</v>
      </c>
      <c r="B1809" s="3" t="str">
        <f>HYPERLINK("https://prolisok-store.com/products/3ce-mood-recipe-matte-lip-color-909", "https://prolisok-store.com/products/3ce-mood-recipe-matte-lip-color-909")</f>
        <v>https://prolisok-store.com/products/3ce-mood-recipe-matte-lip-color-909</v>
      </c>
      <c r="C1809" t="s">
        <v>4358</v>
      </c>
      <c r="D1809" t="s">
        <v>4437</v>
      </c>
      <c r="E1809" s="3" t="str">
        <f>HYPERLINK("https://www.amazon.com/Recipe-Matte-Color-Concept-Season/dp/B077CLJGZG/ref=sr_1_5?keywords=3CE+Mood+Recipe+Matte+Lip+Color%2C+909&amp;qid=1695259303&amp;sr=8-5", "https://www.amazon.com/Recipe-Matte-Color-Concept-Season/dp/B077CLJGZG/ref=sr_1_5?keywords=3CE+Mood+Recipe+Matte+Lip+Color%2C+909&amp;qid=1695259303&amp;sr=8-5")</f>
        <v>https://www.amazon.com/Recipe-Matte-Color-Concept-Season/dp/B077CLJGZG/ref=sr_1_5?keywords=3CE+Mood+Recipe+Matte+Lip+Color%2C+909&amp;qid=1695259303&amp;sr=8-5</v>
      </c>
      <c r="F1809" t="s">
        <v>4438</v>
      </c>
      <c r="G1809" t="e">
        <f ca="1">IMAGE("https://prolisok-store.com/cdn/shop/files/41q_eA_m8iL._SL1000_300x.jpg?v=1693221579")</f>
        <v>#NAME?</v>
      </c>
      <c r="H1809" t="e">
        <f ca="1">IMAGE("https://m.media-amazon.com/images/I/518kiA+OAQL._AC_UL320_.jpg")</f>
        <v>#NAME?</v>
      </c>
      <c r="I1809" t="s">
        <v>3392</v>
      </c>
      <c r="J1809">
        <v>25.88</v>
      </c>
      <c r="K1809" s="2" t="s">
        <v>4439</v>
      </c>
      <c r="L1809">
        <v>4</v>
      </c>
      <c r="M1809">
        <v>20</v>
      </c>
      <c r="O1809" t="s">
        <v>26</v>
      </c>
      <c r="P1809" t="s">
        <v>39</v>
      </c>
      <c r="Q1809" t="s">
        <v>4362</v>
      </c>
    </row>
    <row r="1810" spans="1:17" ht="15.75" x14ac:dyDescent="0.25">
      <c r="A1810" s="3" t="str">
        <f>HYPERLINK("https://prolisok-store.com/collections/premium/products/3ce-mood-recipe-matte-lip-color-3-concept-eyes-season-2-220-hit-me-up", "https://prolisok-store.com/collections/premium/products/3ce-mood-recipe-matte-lip-color-3-concept-eyes-season-2-220-hit-me-up")</f>
        <v>https://prolisok-store.com/collections/premium/products/3ce-mood-recipe-matte-lip-color-3-concept-eyes-season-2-220-hit-me-up</v>
      </c>
      <c r="B1810"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1810" t="s">
        <v>4414</v>
      </c>
      <c r="D1810" t="s">
        <v>4437</v>
      </c>
      <c r="E1810" s="3" t="str">
        <f>HYPERLINK("https://www.amazon.com/Recipe-Matte-Color-Concept-Season/dp/B077CLJGZG/ref=sr_1_3?keywords=3CE+Mood+Recipe+Matte+Lip+Color+3+Concept+Eyes+Season+2+%28%23220+Hit+Me+Up%29&amp;qid=1695259305&amp;sr=8-3", "https://www.amazon.com/Recipe-Matte-Color-Concept-Season/dp/B077CLJGZG/ref=sr_1_3?keywords=3CE+Mood+Recipe+Matte+Lip+Color+3+Concept+Eyes+Season+2+%28%23220+Hit+Me+Up%29&amp;qid=1695259305&amp;sr=8-3")</f>
        <v>https://www.amazon.com/Recipe-Matte-Color-Concept-Season/dp/B077CLJGZG/ref=sr_1_3?keywords=3CE+Mood+Recipe+Matte+Lip+Color+3+Concept+Eyes+Season+2+%28%23220+Hit+Me+Up%29&amp;qid=1695259305&amp;sr=8-3</v>
      </c>
      <c r="F1810" t="s">
        <v>4438</v>
      </c>
      <c r="G1810" t="e">
        <f ca="1">IMAGE("https://prolisok-store.com/cdn/shop/files/41eAqvNQC-L._SL1000_300x.jpg?v=1693219330")</f>
        <v>#NAME?</v>
      </c>
      <c r="H1810" t="e">
        <f ca="1">IMAGE("https://m.media-amazon.com/images/I/518kiA+OAQL._AC_UL320_.jpg")</f>
        <v>#NAME?</v>
      </c>
      <c r="I1810" t="s">
        <v>3392</v>
      </c>
      <c r="J1810">
        <v>25.88</v>
      </c>
      <c r="K1810" s="2" t="s">
        <v>4439</v>
      </c>
      <c r="L1810">
        <v>4</v>
      </c>
      <c r="M1810">
        <v>20</v>
      </c>
      <c r="O1810" t="s">
        <v>26</v>
      </c>
      <c r="P1810" t="s">
        <v>39</v>
      </c>
      <c r="Q1810" t="s">
        <v>4418</v>
      </c>
    </row>
    <row r="1811" spans="1:17" ht="15.75" x14ac:dyDescent="0.25">
      <c r="A1811" s="3" t="str">
        <f>HYPERLINK("https://prolisok-store.com/collections/premium/products/suqqu-the-cream-foundation-110-spf25-pa-30g-japan", "https://prolisok-store.com/collections/premium/products/suqqu-the-cream-foundation-110-spf25-pa-30g-japan")</f>
        <v>https://prolisok-store.com/collections/premium/products/suqqu-the-cream-foundation-110-spf25-pa-30g-japan</v>
      </c>
      <c r="B1811" s="3" t="str">
        <f>HYPERLINK("https://prolisok-store.com/products/suqqu-the-cream-foundation-110-spf25-pa-30g-japan", "https://prolisok-store.com/products/suqqu-the-cream-foundation-110-spf25-pa-30g-japan")</f>
        <v>https://prolisok-store.com/products/suqqu-the-cream-foundation-110-spf25-pa-30g-japan</v>
      </c>
      <c r="C1811" t="s">
        <v>4440</v>
      </c>
      <c r="D1811" t="s">
        <v>4441</v>
      </c>
      <c r="E1811" s="3" t="str">
        <f>HYPERLINK("https://www.amazon.com/Suqqu-Cream-Foundation-SPF25-Japan/dp/B08H871CL1/ref=sr_1_1?keywords=Suqqu+The+Cream+Foundation+%28110%29+SPF25+PA%2B%2B+30g+Japan&amp;qid=1695259305&amp;sr=8-1", "https://www.amazon.com/Suqqu-Cream-Foundation-SPF25-Japan/dp/B08H871CL1/ref=sr_1_1?keywords=Suqqu+The+Cream+Foundation+%28110%29+SPF25+PA%2B%2B+30g+Japan&amp;qid=1695259305&amp;sr=8-1")</f>
        <v>https://www.amazon.com/Suqqu-Cream-Foundation-SPF25-Japan/dp/B08H871CL1/ref=sr_1_1?keywords=Suqqu+The+Cream+Foundation+%28110%29+SPF25+PA%2B%2B+30g+Japan&amp;qid=1695259305&amp;sr=8-1</v>
      </c>
      <c r="F1811" t="s">
        <v>4442</v>
      </c>
      <c r="G1811" t="e">
        <f ca="1">IMAGE("https://prolisok-store.com/cdn/shop/files/51FTjwGjP4L._SL1280_300x.jpg?v=1693221938")</f>
        <v>#NAME?</v>
      </c>
      <c r="H1811" t="e">
        <f ca="1">IMAGE("https://m.media-amazon.com/images/I/21doHVWc8uL._AC_UL320_.jpg")</f>
        <v>#NAME?</v>
      </c>
      <c r="I1811" t="s">
        <v>3404</v>
      </c>
      <c r="J1811">
        <v>94.47</v>
      </c>
      <c r="K1811" s="2" t="s">
        <v>4443</v>
      </c>
      <c r="L1811">
        <v>3.7</v>
      </c>
      <c r="M1811">
        <v>6</v>
      </c>
      <c r="O1811" t="s">
        <v>26</v>
      </c>
      <c r="P1811" t="s">
        <v>39</v>
      </c>
      <c r="Q1811" t="s">
        <v>4444</v>
      </c>
    </row>
    <row r="1812" spans="1:17" ht="15.75" x14ac:dyDescent="0.25">
      <c r="A1812" s="3" t="str">
        <f>HYPERLINK("https://prolisok-store.com/collections/premium/products/3ce-mood-recipe-matte-lip-color-909", "https://prolisok-store.com/collections/premium/products/3ce-mood-recipe-matte-lip-color-909")</f>
        <v>https://prolisok-store.com/collections/premium/products/3ce-mood-recipe-matte-lip-color-909</v>
      </c>
      <c r="B1812" s="3" t="str">
        <f>HYPERLINK("https://prolisok-store.com/products/3ce-mood-recipe-matte-lip-color-909", "https://prolisok-store.com/products/3ce-mood-recipe-matte-lip-color-909")</f>
        <v>https://prolisok-store.com/products/3ce-mood-recipe-matte-lip-color-909</v>
      </c>
      <c r="C1812" t="s">
        <v>4358</v>
      </c>
      <c r="D1812" t="s">
        <v>4358</v>
      </c>
      <c r="E1812" s="3" t="str">
        <f>HYPERLINK("https://www.amazon.com/3CE-Mood-Recipe-Matte-Color/dp/B079W9GLQL/ref=sr_1_1?keywords=3CE+Mood+Recipe+Matte+Lip+Color%2C+909&amp;qid=1695259303&amp;sr=8-1", "https://www.amazon.com/3CE-Mood-Recipe-Matte-Color/dp/B079W9GLQL/ref=sr_1_1?keywords=3CE+Mood+Recipe+Matte+Lip+Color%2C+909&amp;qid=1695259303&amp;sr=8-1")</f>
        <v>https://www.amazon.com/3CE-Mood-Recipe-Matte-Color/dp/B079W9GLQL/ref=sr_1_1?keywords=3CE+Mood+Recipe+Matte+Lip+Color%2C+909&amp;qid=1695259303&amp;sr=8-1</v>
      </c>
      <c r="F1812" t="s">
        <v>4445</v>
      </c>
      <c r="G1812" t="e">
        <f ca="1">IMAGE("https://prolisok-store.com/cdn/shop/files/41q_eA_m8iL._SL1000_300x.jpg?v=1693221579")</f>
        <v>#NAME?</v>
      </c>
      <c r="H1812" t="e">
        <f ca="1">IMAGE("https://m.media-amazon.com/images/I/41q+eA+m8iL._AC_UL320_.jpg")</f>
        <v>#NAME?</v>
      </c>
      <c r="I1812" t="s">
        <v>3392</v>
      </c>
      <c r="J1812">
        <v>24.99</v>
      </c>
      <c r="K1812" s="2" t="s">
        <v>4446</v>
      </c>
      <c r="L1812">
        <v>4.2</v>
      </c>
      <c r="M1812">
        <v>33</v>
      </c>
      <c r="O1812" t="s">
        <v>26</v>
      </c>
      <c r="P1812" t="s">
        <v>39</v>
      </c>
      <c r="Q1812" t="s">
        <v>4362</v>
      </c>
    </row>
    <row r="1813" spans="1:17" ht="15.75" x14ac:dyDescent="0.25">
      <c r="A1813" s="3" t="str">
        <f>HYPERLINK("https://prolisok-store.com/collections/premium/products/diptyque-philosykos-eau-de-toilette-3-4-oz", "https://prolisok-store.com/collections/premium/products/diptyque-philosykos-eau-de-toilette-3-4-oz")</f>
        <v>https://prolisok-store.com/collections/premium/products/diptyque-philosykos-eau-de-toilette-3-4-oz</v>
      </c>
      <c r="B1813" s="3" t="str">
        <f>HYPERLINK("https://prolisok-store.com/products/diptyque-philosykos-eau-de-toilette-3-4-oz", "https://prolisok-store.com/products/diptyque-philosykos-eau-de-toilette-3-4-oz")</f>
        <v>https://prolisok-store.com/products/diptyque-philosykos-eau-de-toilette-3-4-oz</v>
      </c>
      <c r="C1813" t="s">
        <v>4447</v>
      </c>
      <c r="D1813" t="s">
        <v>4448</v>
      </c>
      <c r="E1813" s="3" t="str">
        <f>HYPERLINK("https://www.amazon.com/Diptyque-Philosykos-1-7-Toilette-Spray/dp/B00134T8XC/ref=sr_1_6?keywords=Diptyque+Philosykos+Eau+de+Toilette-3.4+oz&amp;qid=1695259286&amp;sr=8-6", "https://www.amazon.com/Diptyque-Philosykos-1-7-Toilette-Spray/dp/B00134T8XC/ref=sr_1_6?keywords=Diptyque+Philosykos+Eau+de+Toilette-3.4+oz&amp;qid=1695259286&amp;sr=8-6")</f>
        <v>https://www.amazon.com/Diptyque-Philosykos-1-7-Toilette-Spray/dp/B00134T8XC/ref=sr_1_6?keywords=Diptyque+Philosykos+Eau+de+Toilette-3.4+oz&amp;qid=1695259286&amp;sr=8-6</v>
      </c>
      <c r="F1813" t="s">
        <v>4449</v>
      </c>
      <c r="G1813" t="e">
        <f ca="1">IMAGE("https://prolisok-store.com/cdn/shop/products/DiptyquePhilosykosEau-3.4oz_300x.jpg?v=1683715790")</f>
        <v>#NAME?</v>
      </c>
      <c r="H1813" t="e">
        <f ca="1">IMAGE("https://m.media-amazon.com/images/I/61y7cSIAnXL._AC_UL320_.jpg")</f>
        <v>#NAME?</v>
      </c>
      <c r="I1813" t="s">
        <v>4355</v>
      </c>
      <c r="J1813">
        <v>180</v>
      </c>
      <c r="K1813" s="2" t="s">
        <v>4450</v>
      </c>
      <c r="L1813">
        <v>4.2</v>
      </c>
      <c r="M1813">
        <v>36</v>
      </c>
      <c r="O1813" t="s">
        <v>26</v>
      </c>
      <c r="P1813" t="s">
        <v>39</v>
      </c>
      <c r="Q1813" t="s">
        <v>4451</v>
      </c>
    </row>
    <row r="1814" spans="1:17" ht="15.75" x14ac:dyDescent="0.25">
      <c r="A1814" s="3" t="str">
        <f>HYPERLINK("https://prolisok-store.com/collections/premium/products/estee-lauder-pure-color-envy-sculpting-lipstick-360-fierce-0-12-ounce", "https://prolisok-store.com/collections/premium/products/estee-lauder-pure-color-envy-sculpting-lipstick-360-fierce-0-12-ounce")</f>
        <v>https://prolisok-store.com/collections/premium/products/estee-lauder-pure-color-envy-sculpting-lipstick-360-fierce-0-12-ounce</v>
      </c>
      <c r="B1814"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1814" t="s">
        <v>4452</v>
      </c>
      <c r="D1814" t="s">
        <v>4453</v>
      </c>
      <c r="E1814" s="3" t="str">
        <f>HYPERLINK("https://www.amazon.com/Color-Sculpting-Lipstick-Naked-Desire/dp/B0711X8CQF/ref=sr_1_10?keywords=Estee+Lauder+Pure+Color+Envy+Sculpting+Lipstick&amp;qid=1695259287&amp;sr=8-10", "https://www.amazon.com/Color-Sculpting-Lipstick-Naked-Desire/dp/B0711X8CQF/ref=sr_1_10?keywords=Estee+Lauder+Pure+Color+Envy+Sculpting+Lipstick&amp;qid=1695259287&amp;sr=8-10")</f>
        <v>https://www.amazon.com/Color-Sculpting-Lipstick-Naked-Desire/dp/B0711X8CQF/ref=sr_1_10?keywords=Estee+Lauder+Pure+Color+Envy+Sculpting+Lipstick&amp;qid=1695259287&amp;sr=8-10</v>
      </c>
      <c r="F1814" t="s">
        <v>4454</v>
      </c>
      <c r="G1814" t="e">
        <f ca="1">IMAGE("https://prolisok-store.com/cdn/shop/products/61OXcvCJbTL._SL1500_300x.jpg?v=1681307706")</f>
        <v>#NAME?</v>
      </c>
      <c r="H1814" t="e">
        <f ca="1">IMAGE("https://m.media-amazon.com/images/I/51F3zkBu40L._AC_UL320_.jpg")</f>
        <v>#NAME?</v>
      </c>
      <c r="I1814" t="s">
        <v>3419</v>
      </c>
      <c r="J1814">
        <v>44.97</v>
      </c>
      <c r="K1814" s="2" t="s">
        <v>4455</v>
      </c>
      <c r="L1814">
        <v>5</v>
      </c>
      <c r="M1814">
        <v>1</v>
      </c>
      <c r="O1814" t="s">
        <v>26</v>
      </c>
      <c r="P1814" t="s">
        <v>39</v>
      </c>
      <c r="Q1814" t="s">
        <v>4456</v>
      </c>
    </row>
    <row r="1815" spans="1:17" ht="15.75" x14ac:dyDescent="0.25">
      <c r="A1815" s="3" t="str">
        <f>HYPERLINK("https://prolisok-store.com/collections/premium/products/atelier-cologne-oolang-infini-cologne-3-3-ounce", "https://prolisok-store.com/collections/premium/products/atelier-cologne-oolang-infini-cologne-3-3-ounce")</f>
        <v>https://prolisok-store.com/collections/premium/products/atelier-cologne-oolang-infini-cologne-3-3-ounce</v>
      </c>
      <c r="B1815" s="3" t="str">
        <f>HYPERLINK("https://prolisok-store.com/products/atelier-cologne-oolang-infini-cologne-3-3-ounce", "https://prolisok-store.com/products/atelier-cologne-oolang-infini-cologne-3-3-ounce")</f>
        <v>https://prolisok-store.com/products/atelier-cologne-oolang-infini-cologne-3-3-ounce</v>
      </c>
      <c r="C1815" t="s">
        <v>4349</v>
      </c>
      <c r="D1815" t="s">
        <v>4457</v>
      </c>
      <c r="E1815" s="3" t="str">
        <f>HYPERLINK("https://www.amazon.com/Atelier-Cologne-Grand-Neroli-Ounce/dp/B009TQ0SRQ/ref=sr_1_7?keywords=atelier+cologne+oolong+infini+cologne%2C+3.3+ounce&amp;qid=1695259290&amp;sr=8-7", "https://www.amazon.com/Atelier-Cologne-Grand-Neroli-Ounce/dp/B009TQ0SRQ/ref=sr_1_7?keywords=atelier+cologne+oolong+infini+cologne%2C+3.3+ounce&amp;qid=1695259290&amp;sr=8-7")</f>
        <v>https://www.amazon.com/Atelier-Cologne-Grand-Neroli-Ounce/dp/B009TQ0SRQ/ref=sr_1_7?keywords=atelier+cologne+oolong+infini+cologne%2C+3.3+ounce&amp;qid=1695259290&amp;sr=8-7</v>
      </c>
      <c r="F1815" t="s">
        <v>4458</v>
      </c>
      <c r="G1815" t="e">
        <f ca="1">IMAGE("https://prolisok-store.com/cdn/shop/products/AtelierCologneOolangInfini-1_300x.jpg?v=1683715757")</f>
        <v>#NAME?</v>
      </c>
      <c r="H1815" t="e">
        <f ca="1">IMAGE("https://m.media-amazon.com/images/I/51sd6zuXV-L._AC_UL320_.jpg")</f>
        <v>#NAME?</v>
      </c>
      <c r="I1815" t="s">
        <v>4346</v>
      </c>
      <c r="J1815">
        <v>149</v>
      </c>
      <c r="K1815" s="2" t="s">
        <v>4459</v>
      </c>
      <c r="L1815">
        <v>4.0999999999999996</v>
      </c>
      <c r="M1815">
        <v>23</v>
      </c>
      <c r="O1815" t="s">
        <v>26</v>
      </c>
      <c r="P1815" t="s">
        <v>39</v>
      </c>
      <c r="Q1815" t="s">
        <v>4353</v>
      </c>
    </row>
    <row r="1816" spans="1:17" ht="15.75" x14ac:dyDescent="0.25">
      <c r="A1816" s="3" t="str">
        <f>HYPERLINK("https://prolisok-store.com/collections/premium/products/estee-lauder-pure-color-envy-sculpting-lipstick-360-fierce-0-12-ounce", "https://prolisok-store.com/collections/premium/products/estee-lauder-pure-color-envy-sculpting-lipstick-360-fierce-0-12-ounce")</f>
        <v>https://prolisok-store.com/collections/premium/products/estee-lauder-pure-color-envy-sculpting-lipstick-360-fierce-0-12-ounce</v>
      </c>
      <c r="B1816"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1816" t="s">
        <v>4452</v>
      </c>
      <c r="D1816" t="s">
        <v>4460</v>
      </c>
      <c r="E1816" s="3" t="str">
        <f>HYPERLINK("https://www.amazon.com/Color-Sculpting-Lipsticks-Estee-Lauder/dp/B08F5KM9RB/ref=sr_1_5?keywords=Estee+Lauder+Pure+Color+Envy+Sculpting+Lipstick&amp;qid=1695259287&amp;sr=8-5", "https://www.amazon.com/Color-Sculpting-Lipsticks-Estee-Lauder/dp/B08F5KM9RB/ref=sr_1_5?keywords=Estee+Lauder+Pure+Color+Envy+Sculpting+Lipstick&amp;qid=1695259287&amp;sr=8-5")</f>
        <v>https://www.amazon.com/Color-Sculpting-Lipsticks-Estee-Lauder/dp/B08F5KM9RB/ref=sr_1_5?keywords=Estee+Lauder+Pure+Color+Envy+Sculpting+Lipstick&amp;qid=1695259287&amp;sr=8-5</v>
      </c>
      <c r="F1816" t="s">
        <v>4461</v>
      </c>
      <c r="G1816" t="e">
        <f ca="1">IMAGE("https://prolisok-store.com/cdn/shop/products/61OXcvCJbTL._SL1500_300x.jpg?v=1681307706")</f>
        <v>#NAME?</v>
      </c>
      <c r="H1816" t="e">
        <f ca="1">IMAGE("https://m.media-amazon.com/images/I/61YL-9mu3lS._AC_UL320_.jpg")</f>
        <v>#NAME?</v>
      </c>
      <c r="I1816" t="s">
        <v>3419</v>
      </c>
      <c r="J1816">
        <v>44.35</v>
      </c>
      <c r="K1816" s="2" t="s">
        <v>4462</v>
      </c>
      <c r="L1816">
        <v>4.3</v>
      </c>
      <c r="M1816">
        <v>22</v>
      </c>
      <c r="O1816" t="s">
        <v>26</v>
      </c>
      <c r="P1816" t="s">
        <v>39</v>
      </c>
      <c r="Q1816" t="s">
        <v>4456</v>
      </c>
    </row>
    <row r="1817" spans="1:17" ht="15.75" x14ac:dyDescent="0.25">
      <c r="A1817" s="3" t="str">
        <f>HYPERLINK("https://prolisok-store.com/collections/premium/products/la-mer-soft-fluid-found-sf20-120", "https://prolisok-store.com/collections/premium/products/la-mer-soft-fluid-found-sf20-120")</f>
        <v>https://prolisok-store.com/collections/premium/products/la-mer-soft-fluid-found-sf20-120</v>
      </c>
      <c r="B1817" s="3" t="str">
        <f>HYPERLINK("https://prolisok-store.com/products/la-mer-soft-fluid-found-sf20-120", "https://prolisok-store.com/products/la-mer-soft-fluid-found-sf20-120")</f>
        <v>https://prolisok-store.com/products/la-mer-soft-fluid-found-sf20-120</v>
      </c>
      <c r="C1817" t="s">
        <v>4369</v>
      </c>
      <c r="D1817" t="s">
        <v>4463</v>
      </c>
      <c r="E1817" s="3" t="str">
        <f>HYPERLINK("https://www.amazon.com/Mer-Soft-Fluid-Foundation-Ivory/dp/B01M30X0KO/ref=sr_1_3?keywords=La+Mer+Soft+Fluid+Foundation+SF20+120&amp;qid=1695259292&amp;sr=8-3", "https://www.amazon.com/Mer-Soft-Fluid-Foundation-Ivory/dp/B01M30X0KO/ref=sr_1_3?keywords=La+Mer+Soft+Fluid+Foundation+SF20+120&amp;qid=1695259292&amp;sr=8-3")</f>
        <v>https://www.amazon.com/Mer-Soft-Fluid-Foundation-Ivory/dp/B01M30X0KO/ref=sr_1_3?keywords=La+Mer+Soft+Fluid+Foundation+SF20+120&amp;qid=1695259292&amp;sr=8-3</v>
      </c>
      <c r="F1817" t="s">
        <v>4464</v>
      </c>
      <c r="G1817" t="e">
        <f ca="1">IMAGE("https://prolisok-store.com/cdn/shop/products/41uQN86fQQL._SL1000_300x.jpg?v=1674030569")</f>
        <v>#NAME?</v>
      </c>
      <c r="H1817" t="e">
        <f ca="1">IMAGE("https://m.media-amazon.com/images/I/71foDwwBTlL._AC_UL320_.jpg")</f>
        <v>#NAME?</v>
      </c>
      <c r="I1817" t="s">
        <v>4346</v>
      </c>
      <c r="J1817">
        <v>147</v>
      </c>
      <c r="K1817" s="2" t="s">
        <v>4465</v>
      </c>
      <c r="L1817">
        <v>3.6</v>
      </c>
      <c r="M1817">
        <v>9</v>
      </c>
      <c r="O1817" t="s">
        <v>26</v>
      </c>
      <c r="P1817" t="s">
        <v>39</v>
      </c>
      <c r="Q1817" t="s">
        <v>4373</v>
      </c>
    </row>
    <row r="1818" spans="1:17" ht="15.75" x14ac:dyDescent="0.25">
      <c r="A1818" s="3" t="str">
        <f>HYPERLINK("https://prolisok-store.com/collections/premium/products/the-soft-fluid-foundation-spf-20-1-oz-porcelain", "https://prolisok-store.com/collections/premium/products/the-soft-fluid-foundation-spf-20-1-oz-porcelain")</f>
        <v>https://prolisok-store.com/collections/premium/products/the-soft-fluid-foundation-spf-20-1-oz-porcelain</v>
      </c>
      <c r="B1818" s="3" t="str">
        <f>HYPERLINK("https://prolisok-store.com/products/the-soft-fluid-foundation-spf-20-1-oz-porcelain", "https://prolisok-store.com/products/the-soft-fluid-foundation-spf-20-1-oz-porcelain")</f>
        <v>https://prolisok-store.com/products/the-soft-fluid-foundation-spf-20-1-oz-porcelain</v>
      </c>
      <c r="C1818" t="s">
        <v>4466</v>
      </c>
      <c r="D1818" t="s">
        <v>4463</v>
      </c>
      <c r="E1818" s="3" t="str">
        <f>HYPERLINK("https://www.amazon.com/Mer-Soft-Fluid-Foundation-Ivory/dp/B01M30X0KO/ref=sr_1_4?keywords=La+Mer+The+Soft+Fluid+Foundation+SPF+20-1+oz.+Porcelain&amp;qid=1695259298&amp;sr=8-4", "https://www.amazon.com/Mer-Soft-Fluid-Foundation-Ivory/dp/B01M30X0KO/ref=sr_1_4?keywords=La+Mer+The+Soft+Fluid+Foundation+SPF+20-1+oz.+Porcelain&amp;qid=1695259298&amp;sr=8-4")</f>
        <v>https://www.amazon.com/Mer-Soft-Fluid-Foundation-Ivory/dp/B01M30X0KO/ref=sr_1_4?keywords=La+Mer+The+Soft+Fluid+Foundation+SPF+20-1+oz.+Porcelain&amp;qid=1695259298&amp;sr=8-4</v>
      </c>
      <c r="F1818" t="s">
        <v>4464</v>
      </c>
      <c r="G1818" t="e">
        <f ca="1">IMAGE("https://prolisok-store.com/cdn/shop/products/41wgXKYLRyL._SL1000_300x.jpg?v=1674109756")</f>
        <v>#NAME?</v>
      </c>
      <c r="H1818" t="e">
        <f ca="1">IMAGE("https://m.media-amazon.com/images/I/71foDwwBTlL._AC_UL320_.jpg")</f>
        <v>#NAME?</v>
      </c>
      <c r="I1818" t="s">
        <v>4346</v>
      </c>
      <c r="J1818">
        <v>147</v>
      </c>
      <c r="K1818" s="2" t="s">
        <v>4465</v>
      </c>
      <c r="L1818">
        <v>3.6</v>
      </c>
      <c r="M1818">
        <v>9</v>
      </c>
      <c r="O1818" t="s">
        <v>26</v>
      </c>
      <c r="P1818" t="s">
        <v>2501</v>
      </c>
      <c r="Q1818" t="s">
        <v>4467</v>
      </c>
    </row>
    <row r="1819" spans="1:17" ht="15.75" x14ac:dyDescent="0.25">
      <c r="A1819" s="3" t="str">
        <f>HYPERLINK("https://prolisok-store.com/collections/premium/products/3ce-new-velvet-lip-tint-absorbed-love-long-lasting-matte-finish", "https://prolisok-store.com/collections/premium/products/3ce-new-velvet-lip-tint-absorbed-love-long-lasting-matte-finish")</f>
        <v>https://prolisok-store.com/collections/premium/products/3ce-new-velvet-lip-tint-absorbed-love-long-lasting-matte-finish</v>
      </c>
      <c r="B1819" s="3" t="str">
        <f>HYPERLINK("https://prolisok-store.com/products/3ce-new-velvet-lip-tint-absorbed-love-long-lasting-matte-finish", "https://prolisok-store.com/products/3ce-new-velvet-lip-tint-absorbed-love-long-lasting-matte-finish")</f>
        <v>https://prolisok-store.com/products/3ce-new-velvet-lip-tint-absorbed-love-long-lasting-matte-finish</v>
      </c>
      <c r="C1819" t="s">
        <v>4409</v>
      </c>
      <c r="D1819" t="s">
        <v>4409</v>
      </c>
      <c r="E1819" s="3" t="str">
        <f>HYPERLINK("https://www.amazon.com/Velvet-ABSORBED-lasting-matte-finish/dp/B07DJ4BWFQ/ref=sr_1_2?keywords=3CE+New+Velvet+Lip+Tint&amp;qid=1695259303&amp;sr=8-2", "https://www.amazon.com/Velvet-ABSORBED-lasting-matte-finish/dp/B07DJ4BWFQ/ref=sr_1_2?keywords=3CE+New+Velvet+Lip+Tint&amp;qid=1695259303&amp;sr=8-2")</f>
        <v>https://www.amazon.com/Velvet-ABSORBED-lasting-matte-finish/dp/B07DJ4BWFQ/ref=sr_1_2?keywords=3CE+New+Velvet+Lip+Tint&amp;qid=1695259303&amp;sr=8-2</v>
      </c>
      <c r="F1819" t="s">
        <v>4468</v>
      </c>
      <c r="G1819" t="e">
        <f ca="1">IMAGE("https://prolisok-store.com/cdn/shop/files/41TsD5LcYOL_300x.jpg?v=1683818722")</f>
        <v>#NAME?</v>
      </c>
      <c r="H1819" t="e">
        <f ca="1">IMAGE("https://m.media-amazon.com/images/I/41TsD5LcYOL._AC_UL320_.jpg")</f>
        <v>#NAME?</v>
      </c>
      <c r="I1819" t="s">
        <v>3392</v>
      </c>
      <c r="J1819">
        <v>23.38</v>
      </c>
      <c r="K1819" s="2" t="s">
        <v>4469</v>
      </c>
      <c r="L1819">
        <v>4.3</v>
      </c>
      <c r="M1819">
        <v>8</v>
      </c>
      <c r="O1819" t="s">
        <v>26</v>
      </c>
      <c r="P1819" t="s">
        <v>39</v>
      </c>
      <c r="Q1819" t="s">
        <v>4413</v>
      </c>
    </row>
    <row r="1820" spans="1:17" ht="15.75" x14ac:dyDescent="0.25">
      <c r="A1820" s="3" t="str">
        <f>HYPERLINK("https://prolisok-store.com/collections/premium/products/3ce-mood-recipe-matte-lip-color-3-concept-eyes-season-2-220-hit-me-up", "https://prolisok-store.com/collections/premium/products/3ce-mood-recipe-matte-lip-color-3-concept-eyes-season-2-220-hit-me-up")</f>
        <v>https://prolisok-store.com/collections/premium/products/3ce-mood-recipe-matte-lip-color-3-concept-eyes-season-2-220-hit-me-up</v>
      </c>
      <c r="B1820"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1820" t="s">
        <v>4414</v>
      </c>
      <c r="D1820" t="s">
        <v>4470</v>
      </c>
      <c r="E1820" s="3" t="str">
        <f>HYPERLINK("https://www.amazon.com/Recipe-Matte-Color-Concept-Season/dp/B077CMF9NB/ref=sr_1_5?keywords=3CE+Mood+Recipe+Matte+Lip+Color+3+Concept+Eyes+Season+2+%28%23220+Hit+Me+Up%29&amp;qid=1695259305&amp;sr=8-5", "https://www.amazon.com/Recipe-Matte-Color-Concept-Season/dp/B077CMF9NB/ref=sr_1_5?keywords=3CE+Mood+Recipe+Matte+Lip+Color+3+Concept+Eyes+Season+2+%28%23220+Hit+Me+Up%29&amp;qid=1695259305&amp;sr=8-5")</f>
        <v>https://www.amazon.com/Recipe-Matte-Color-Concept-Season/dp/B077CMF9NB/ref=sr_1_5?keywords=3CE+Mood+Recipe+Matte+Lip+Color+3+Concept+Eyes+Season+2+%28%23220+Hit+Me+Up%29&amp;qid=1695259305&amp;sr=8-5</v>
      </c>
      <c r="F1820" t="s">
        <v>4471</v>
      </c>
      <c r="G1820" t="e">
        <f ca="1">IMAGE("https://prolisok-store.com/cdn/shop/files/41eAqvNQC-L._SL1000_300x.jpg?v=1693219330")</f>
        <v>#NAME?</v>
      </c>
      <c r="H1820" t="e">
        <f ca="1">IMAGE("https://m.media-amazon.com/images/I/31Mkk3Fv3nL._AC_UL320_.jpg")</f>
        <v>#NAME?</v>
      </c>
      <c r="I1820" t="s">
        <v>3392</v>
      </c>
      <c r="J1820">
        <v>23.22</v>
      </c>
      <c r="K1820" s="2" t="s">
        <v>4472</v>
      </c>
      <c r="L1820">
        <v>4.0999999999999996</v>
      </c>
      <c r="M1820">
        <v>43</v>
      </c>
      <c r="O1820" t="s">
        <v>26</v>
      </c>
      <c r="P1820" t="s">
        <v>39</v>
      </c>
      <c r="Q1820" t="s">
        <v>4418</v>
      </c>
    </row>
    <row r="1821" spans="1:17" ht="15.75" x14ac:dyDescent="0.25">
      <c r="A1821" s="3" t="str">
        <f>HYPERLINK("https://prolisok-store.com/collections/premium/products/3ce-mood-recipe-matte-lip-color-116", "https://prolisok-store.com/collections/premium/products/3ce-mood-recipe-matte-lip-color-116")</f>
        <v>https://prolisok-store.com/collections/premium/products/3ce-mood-recipe-matte-lip-color-116</v>
      </c>
      <c r="B1821" s="3" t="str">
        <f>HYPERLINK("https://prolisok-store.com/products/3ce-mood-recipe-matte-lip-color-116", "https://prolisok-store.com/products/3ce-mood-recipe-matte-lip-color-116")</f>
        <v>https://prolisok-store.com/products/3ce-mood-recipe-matte-lip-color-116</v>
      </c>
      <c r="C1821" t="s">
        <v>4363</v>
      </c>
      <c r="D1821" t="s">
        <v>4470</v>
      </c>
      <c r="E1821" s="3" t="str">
        <f>HYPERLINK("https://www.amazon.com/Recipe-Matte-Color-Concept-Season/dp/B077CMF9NB/ref=sr_1_9?keywords=3CE+Mood+Recipe+Matte+Lip+Color%2C+116&amp;qid=1695259303&amp;sr=8-9", "https://www.amazon.com/Recipe-Matte-Color-Concept-Season/dp/B077CMF9NB/ref=sr_1_9?keywords=3CE+Mood+Recipe+Matte+Lip+Color%2C+116&amp;qid=1695259303&amp;sr=8-9")</f>
        <v>https://www.amazon.com/Recipe-Matte-Color-Concept-Season/dp/B077CMF9NB/ref=sr_1_9?keywords=3CE+Mood+Recipe+Matte+Lip+Color%2C+116&amp;qid=1695259303&amp;sr=8-9</v>
      </c>
      <c r="F1821" t="s">
        <v>4471</v>
      </c>
      <c r="G1821" t="e">
        <f ca="1">IMAGE("https://prolisok-store.com/cdn/shop/files/31C87n4RBaL_300x.jpg?v=1693221452")</f>
        <v>#NAME?</v>
      </c>
      <c r="H1821" t="e">
        <f ca="1">IMAGE("https://m.media-amazon.com/images/I/31Mkk3Fv3nL._AC_UL320_.jpg")</f>
        <v>#NAME?</v>
      </c>
      <c r="I1821" t="s">
        <v>3392</v>
      </c>
      <c r="J1821">
        <v>23.22</v>
      </c>
      <c r="K1821" s="2" t="s">
        <v>4472</v>
      </c>
      <c r="L1821">
        <v>4.0999999999999996</v>
      </c>
      <c r="M1821">
        <v>43</v>
      </c>
      <c r="O1821" t="s">
        <v>26</v>
      </c>
      <c r="P1821" t="s">
        <v>39</v>
      </c>
      <c r="Q1821" t="s">
        <v>4366</v>
      </c>
    </row>
    <row r="1822" spans="1:17" ht="15.75" x14ac:dyDescent="0.25">
      <c r="A1822" s="3" t="str">
        <f>HYPERLINK("https://prolisok-store.com/collections/premium/products/3ce-mood-recipe-matte-lip-color-3-concept-eyes-season-2-220-hit-me-up", "https://prolisok-store.com/collections/premium/products/3ce-mood-recipe-matte-lip-color-3-concept-eyes-season-2-220-hit-me-up")</f>
        <v>https://prolisok-store.com/collections/premium/products/3ce-mood-recipe-matte-lip-color-3-concept-eyes-season-2-220-hit-me-up</v>
      </c>
      <c r="B1822"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1822" t="s">
        <v>4414</v>
      </c>
      <c r="D1822" t="s">
        <v>4473</v>
      </c>
      <c r="E1822" s="3" t="str">
        <f>HYPERLINK("https://www.amazon.com/Recipe-Matte-Color-Concept-Season/dp/B077CK73GB/ref=sr_1_2?keywords=3CE+Mood+Recipe+Matte+Lip+Color+3+Concept+Eyes+Season+2+%28%23220+Hit+Me+Up%29&amp;qid=1695259305&amp;sr=8-2", "https://www.amazon.com/Recipe-Matte-Color-Concept-Season/dp/B077CK73GB/ref=sr_1_2?keywords=3CE+Mood+Recipe+Matte+Lip+Color+3+Concept+Eyes+Season+2+%28%23220+Hit+Me+Up%29&amp;qid=1695259305&amp;sr=8-2")</f>
        <v>https://www.amazon.com/Recipe-Matte-Color-Concept-Season/dp/B077CK73GB/ref=sr_1_2?keywords=3CE+Mood+Recipe+Matte+Lip+Color+3+Concept+Eyes+Season+2+%28%23220+Hit+Me+Up%29&amp;qid=1695259305&amp;sr=8-2</v>
      </c>
      <c r="F1822" t="s">
        <v>4474</v>
      </c>
      <c r="G1822" t="e">
        <f ca="1">IMAGE("https://prolisok-store.com/cdn/shop/files/41eAqvNQC-L._SL1000_300x.jpg?v=1693219330")</f>
        <v>#NAME?</v>
      </c>
      <c r="H1822" t="e">
        <f ca="1">IMAGE("https://m.media-amazon.com/images/I/3171c0+mu0S._AC_UL320_.jpg")</f>
        <v>#NAME?</v>
      </c>
      <c r="I1822" t="s">
        <v>3392</v>
      </c>
      <c r="J1822">
        <v>23</v>
      </c>
      <c r="K1822" s="2" t="s">
        <v>4475</v>
      </c>
      <c r="L1822">
        <v>3.6</v>
      </c>
      <c r="M1822">
        <v>7</v>
      </c>
      <c r="O1822" t="s">
        <v>26</v>
      </c>
      <c r="P1822" t="s">
        <v>39</v>
      </c>
      <c r="Q1822" t="s">
        <v>4418</v>
      </c>
    </row>
    <row r="1823" spans="1:17" ht="15.75" x14ac:dyDescent="0.25">
      <c r="A1823" s="3" t="str">
        <f>HYPERLINK("https://prolisok-store.com/collections/premium/products/3ce-mood-recipe-matte-lip-color-909", "https://prolisok-store.com/collections/premium/products/3ce-mood-recipe-matte-lip-color-909")</f>
        <v>https://prolisok-store.com/collections/premium/products/3ce-mood-recipe-matte-lip-color-909</v>
      </c>
      <c r="B1823" s="3" t="str">
        <f>HYPERLINK("https://prolisok-store.com/products/3ce-mood-recipe-matte-lip-color-909", "https://prolisok-store.com/products/3ce-mood-recipe-matte-lip-color-909")</f>
        <v>https://prolisok-store.com/products/3ce-mood-recipe-matte-lip-color-909</v>
      </c>
      <c r="C1823" t="s">
        <v>4358</v>
      </c>
      <c r="D1823" t="s">
        <v>4473</v>
      </c>
      <c r="E1823" s="3" t="str">
        <f>HYPERLINK("https://www.amazon.com/Recipe-Matte-Color-Concept-Season/dp/B077CK73GB/ref=sr_1_3?keywords=3CE+Mood+Recipe+Matte+Lip+Color%2C+909&amp;qid=1695259303&amp;sr=8-3", "https://www.amazon.com/Recipe-Matte-Color-Concept-Season/dp/B077CK73GB/ref=sr_1_3?keywords=3CE+Mood+Recipe+Matte+Lip+Color%2C+909&amp;qid=1695259303&amp;sr=8-3")</f>
        <v>https://www.amazon.com/Recipe-Matte-Color-Concept-Season/dp/B077CK73GB/ref=sr_1_3?keywords=3CE+Mood+Recipe+Matte+Lip+Color%2C+909&amp;qid=1695259303&amp;sr=8-3</v>
      </c>
      <c r="F1823" t="s">
        <v>4474</v>
      </c>
      <c r="G1823" t="e">
        <f ca="1">IMAGE("https://prolisok-store.com/cdn/shop/files/41q_eA_m8iL._SL1000_300x.jpg?v=1693221579")</f>
        <v>#NAME?</v>
      </c>
      <c r="H1823" t="e">
        <f ca="1">IMAGE("https://m.media-amazon.com/images/I/3171c0+mu0S._AC_UL320_.jpg")</f>
        <v>#NAME?</v>
      </c>
      <c r="I1823" t="s">
        <v>3392</v>
      </c>
      <c r="J1823">
        <v>23</v>
      </c>
      <c r="K1823" s="2" t="s">
        <v>4475</v>
      </c>
      <c r="L1823">
        <v>3.6</v>
      </c>
      <c r="M1823">
        <v>7</v>
      </c>
      <c r="O1823" t="s">
        <v>26</v>
      </c>
      <c r="P1823" t="s">
        <v>39</v>
      </c>
      <c r="Q1823" t="s">
        <v>4362</v>
      </c>
    </row>
    <row r="1824" spans="1:17" ht="15.75" x14ac:dyDescent="0.25">
      <c r="A1824" s="3" t="str">
        <f>HYPERLINK("https://prolisok-store.com/collections/premium/products/3ce-mood-recipe-matte-lip-color-116", "https://prolisok-store.com/collections/premium/products/3ce-mood-recipe-matte-lip-color-116")</f>
        <v>https://prolisok-store.com/collections/premium/products/3ce-mood-recipe-matte-lip-color-116</v>
      </c>
      <c r="B1824" s="3" t="str">
        <f>HYPERLINK("https://prolisok-store.com/products/3ce-mood-recipe-matte-lip-color-116", "https://prolisok-store.com/products/3ce-mood-recipe-matte-lip-color-116")</f>
        <v>https://prolisok-store.com/products/3ce-mood-recipe-matte-lip-color-116</v>
      </c>
      <c r="C1824" t="s">
        <v>4363</v>
      </c>
      <c r="D1824" t="s">
        <v>4473</v>
      </c>
      <c r="E1824" s="3" t="str">
        <f>HYPERLINK("https://www.amazon.com/Recipe-Matte-Color-Concept-Season/dp/B077CK73GB/ref=sr_1_4?keywords=3CE+Mood+Recipe+Matte+Lip+Color%2C+116&amp;qid=1695259303&amp;sr=8-4", "https://www.amazon.com/Recipe-Matte-Color-Concept-Season/dp/B077CK73GB/ref=sr_1_4?keywords=3CE+Mood+Recipe+Matte+Lip+Color%2C+116&amp;qid=1695259303&amp;sr=8-4")</f>
        <v>https://www.amazon.com/Recipe-Matte-Color-Concept-Season/dp/B077CK73GB/ref=sr_1_4?keywords=3CE+Mood+Recipe+Matte+Lip+Color%2C+116&amp;qid=1695259303&amp;sr=8-4</v>
      </c>
      <c r="F1824" t="s">
        <v>4474</v>
      </c>
      <c r="G1824" t="e">
        <f ca="1">IMAGE("https://prolisok-store.com/cdn/shop/files/31C87n4RBaL_300x.jpg?v=1693221452")</f>
        <v>#NAME?</v>
      </c>
      <c r="H1824" t="e">
        <f ca="1">IMAGE("https://m.media-amazon.com/images/I/3171c0+mu0S._AC_UL320_.jpg")</f>
        <v>#NAME?</v>
      </c>
      <c r="I1824" t="s">
        <v>3392</v>
      </c>
      <c r="J1824">
        <v>23</v>
      </c>
      <c r="K1824" s="2" t="s">
        <v>4475</v>
      </c>
      <c r="L1824">
        <v>3.6</v>
      </c>
      <c r="M1824">
        <v>7</v>
      </c>
      <c r="O1824" t="s">
        <v>26</v>
      </c>
      <c r="P1824" t="s">
        <v>39</v>
      </c>
      <c r="Q1824" t="s">
        <v>4366</v>
      </c>
    </row>
    <row r="1825" spans="1:17" ht="15.75" x14ac:dyDescent="0.25">
      <c r="A1825" s="3" t="str">
        <f>HYPERLINK("https://prolisok-store.com/collections/premium/products/3ce-mood-recipe-face-blush-rose-beige", "https://prolisok-store.com/collections/premium/products/3ce-mood-recipe-face-blush-rose-beige")</f>
        <v>https://prolisok-store.com/collections/premium/products/3ce-mood-recipe-face-blush-rose-beige</v>
      </c>
      <c r="B1825" s="3" t="str">
        <f>HYPERLINK("https://prolisok-store.com/products/3ce-mood-recipe-face-blush-rose-beige", "https://prolisok-store.com/products/3ce-mood-recipe-face-blush-rose-beige")</f>
        <v>https://prolisok-store.com/products/3ce-mood-recipe-face-blush-rose-beige</v>
      </c>
      <c r="C1825" t="s">
        <v>4404</v>
      </c>
      <c r="D1825" t="s">
        <v>4404</v>
      </c>
      <c r="E1825" s="3" t="str">
        <f>HYPERLINK("https://www.amazon.com/3CE-Mood-Recipe-Face-Blush/dp/B0777H6BSW/ref=sr_1_2?keywords=3CE+Mood+Recipe+Face+Blush+-&amp;qid=1695259301&amp;sr=8-2", "https://www.amazon.com/3CE-Mood-Recipe-Face-Blush/dp/B0777H6BSW/ref=sr_1_2?keywords=3CE+Mood+Recipe+Face+Blush+-&amp;qid=1695259301&amp;sr=8-2")</f>
        <v>https://www.amazon.com/3CE-Mood-Recipe-Face-Blush/dp/B0777H6BSW/ref=sr_1_2?keywords=3CE+Mood+Recipe+Face+Blush+-&amp;qid=1695259301&amp;sr=8-2</v>
      </c>
      <c r="F1825" t="s">
        <v>4476</v>
      </c>
      <c r="G1825" t="e">
        <f ca="1">IMAGE("https://prolisok-store.com/cdn/shop/files/31TTnrkqldL_300x.jpg?v=1683820558")</f>
        <v>#NAME?</v>
      </c>
      <c r="H1825" t="e">
        <f ca="1">IMAGE("https://m.media-amazon.com/images/I/31TTnrkqldL._AC_UL320_.jpg")</f>
        <v>#NAME?</v>
      </c>
      <c r="I1825" t="s">
        <v>3392</v>
      </c>
      <c r="J1825">
        <v>23</v>
      </c>
      <c r="K1825" s="2" t="s">
        <v>4475</v>
      </c>
      <c r="L1825">
        <v>4.5999999999999996</v>
      </c>
      <c r="M1825">
        <v>137</v>
      </c>
      <c r="O1825" t="s">
        <v>26</v>
      </c>
      <c r="P1825" t="s">
        <v>39</v>
      </c>
      <c r="Q1825" t="s">
        <v>4408</v>
      </c>
    </row>
    <row r="1826" spans="1:17" ht="15.75" x14ac:dyDescent="0.25">
      <c r="A1826" s="3" t="str">
        <f>HYPERLINK("https://prolisok-store.com/collections/premium/products/3ce-mood-recipe-matte-lip-color-3-concept-eyes-season-2-220-hit-me-up", "https://prolisok-store.com/collections/premium/products/3ce-mood-recipe-matte-lip-color-3-concept-eyes-season-2-220-hit-me-up")</f>
        <v>https://prolisok-store.com/collections/premium/products/3ce-mood-recipe-matte-lip-color-3-concept-eyes-season-2-220-hit-me-up</v>
      </c>
      <c r="B1826"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1826" t="s">
        <v>4414</v>
      </c>
      <c r="D1826" t="s">
        <v>4477</v>
      </c>
      <c r="E1826" s="3" t="str">
        <f>HYPERLINK("https://www.amazon.com/Recipe-Matte-Color-Concept-Season/dp/B077CJX6Z5/ref=sr_1_6?keywords=3CE+Mood+Recipe+Matte+Lip+Color+3+Concept+Eyes+Season+2+%28%23220+Hit+Me+Up%29&amp;qid=1695259305&amp;sr=8-6", "https://www.amazon.com/Recipe-Matte-Color-Concept-Season/dp/B077CJX6Z5/ref=sr_1_6?keywords=3CE+Mood+Recipe+Matte+Lip+Color+3+Concept+Eyes+Season+2+%28%23220+Hit+Me+Up%29&amp;qid=1695259305&amp;sr=8-6")</f>
        <v>https://www.amazon.com/Recipe-Matte-Color-Concept-Season/dp/B077CJX6Z5/ref=sr_1_6?keywords=3CE+Mood+Recipe+Matte+Lip+Color+3+Concept+Eyes+Season+2+%28%23220+Hit+Me+Up%29&amp;qid=1695259305&amp;sr=8-6</v>
      </c>
      <c r="F1826" t="s">
        <v>4478</v>
      </c>
      <c r="G1826" t="e">
        <f ca="1">IMAGE("https://prolisok-store.com/cdn/shop/files/41eAqvNQC-L._SL1000_300x.jpg?v=1693219330")</f>
        <v>#NAME?</v>
      </c>
      <c r="H1826" t="e">
        <f ca="1">IMAGE("https://m.media-amazon.com/images/I/31JumltrZnL._AC_UL320_.jpg")</f>
        <v>#NAME?</v>
      </c>
      <c r="I1826" t="s">
        <v>3392</v>
      </c>
      <c r="J1826">
        <v>22.96</v>
      </c>
      <c r="K1826" s="2" t="s">
        <v>4479</v>
      </c>
      <c r="L1826">
        <v>4.2</v>
      </c>
      <c r="M1826">
        <v>32</v>
      </c>
      <c r="O1826" t="s">
        <v>26</v>
      </c>
      <c r="P1826" t="s">
        <v>39</v>
      </c>
      <c r="Q1826" t="s">
        <v>4418</v>
      </c>
    </row>
    <row r="1827" spans="1:17" ht="15.75" x14ac:dyDescent="0.25">
      <c r="A1827" s="3" t="str">
        <f>HYPERLINK("https://prolisok-store.com/collections/premium/products/estee-lauder-pure-color-envy-sculpting-lipstick-360-fierce-0-12-ounce", "https://prolisok-store.com/collections/premium/products/estee-lauder-pure-color-envy-sculpting-lipstick-360-fierce-0-12-ounce")</f>
        <v>https://prolisok-store.com/collections/premium/products/estee-lauder-pure-color-envy-sculpting-lipstick-360-fierce-0-12-ounce</v>
      </c>
      <c r="B1827"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1827" t="s">
        <v>4452</v>
      </c>
      <c r="D1827" t="s">
        <v>4480</v>
      </c>
      <c r="E1827" s="3" t="str">
        <f>HYPERLINK("https://www.amazon.com/Estee-Lauder-Sculpting-Lipstick-Irresistible/dp/B088S6R9VZ/ref=sr_1_3?keywords=Estee+Lauder+Pure+Color+Envy+Sculpting+Lipstick&amp;qid=1695259287&amp;sr=8-3", "https://www.amazon.com/Estee-Lauder-Sculpting-Lipstick-Irresistible/dp/B088S6R9VZ/ref=sr_1_3?keywords=Estee+Lauder+Pure+Color+Envy+Sculpting+Lipstick&amp;qid=1695259287&amp;sr=8-3")</f>
        <v>https://www.amazon.com/Estee-Lauder-Sculpting-Lipstick-Irresistible/dp/B088S6R9VZ/ref=sr_1_3?keywords=Estee+Lauder+Pure+Color+Envy+Sculpting+Lipstick&amp;qid=1695259287&amp;sr=8-3</v>
      </c>
      <c r="F1827" t="s">
        <v>4481</v>
      </c>
      <c r="G1827" t="e">
        <f ca="1">IMAGE("https://prolisok-store.com/cdn/shop/products/61OXcvCJbTL._SL1500_300x.jpg?v=1681307706")</f>
        <v>#NAME?</v>
      </c>
      <c r="H1827" t="e">
        <f ca="1">IMAGE("https://m.media-amazon.com/images/I/513lsWVR9UL._AC_UL320_.jpg")</f>
        <v>#NAME?</v>
      </c>
      <c r="I1827" t="s">
        <v>3419</v>
      </c>
      <c r="J1827">
        <v>42.94</v>
      </c>
      <c r="K1827" s="2" t="s">
        <v>4482</v>
      </c>
      <c r="L1827">
        <v>4.5999999999999996</v>
      </c>
      <c r="M1827">
        <v>147</v>
      </c>
      <c r="O1827" t="s">
        <v>26</v>
      </c>
      <c r="P1827" t="s">
        <v>39</v>
      </c>
      <c r="Q1827" t="s">
        <v>4456</v>
      </c>
    </row>
    <row r="1828" spans="1:17" ht="15.75" x14ac:dyDescent="0.25">
      <c r="A1828" s="3" t="str">
        <f>HYPERLINK("https://prolisok-store.com/collections/premium/products/obagi-professional-c-serum-10-vitamin-c-facial-serum-with-concentrated-10-l-ascorbic-acid-for-normal-to-oily-skin-1-0-fl-oz", "https://prolisok-store.com/collections/premium/products/obagi-professional-c-serum-10-vitamin-c-facial-serum-with-concentrated-10-l-ascorbic-acid-for-normal-to-oily-skin-1-0-fl-oz")</f>
        <v>https://prolisok-store.com/collections/premium/products/obagi-professional-c-serum-10-vitamin-c-facial-serum-with-concentrated-10-l-ascorbic-acid-for-normal-to-oily-skin-1-0-fl-oz</v>
      </c>
      <c r="B1828" s="3" t="str">
        <f>HYPERLINK("https://prolisok-store.com/products/obagi-professional-c-serum-10-vitamin-c-facial-serum-with-concentrated-10-l-ascorbic-acid-for-normal-to-oily-skin-1-0-fl-oz", "https://prolisok-store.com/products/obagi-professional-c-serum-10-vitamin-c-facial-serum-with-concentrated-10-l-ascorbic-acid-for-normal-to-oily-skin-1-0-fl-oz")</f>
        <v>https://prolisok-store.com/products/obagi-professional-c-serum-10-vitamin-c-facial-serum-with-concentrated-10-l-ascorbic-acid-for-normal-to-oily-skin-1-0-fl-oz</v>
      </c>
      <c r="C1828" t="s">
        <v>4343</v>
      </c>
      <c r="D1828" t="s">
        <v>4354</v>
      </c>
      <c r="E1828" s="3" t="str">
        <f>HYPERLINK("https://www.amazon.com/Obagi-Professional-C-Serum-Fl-Oz/dp/B00F6XZZMY/ref=sr_1_1?keywords=Obagi+Professional+C+Serum+10%25%2C+Vitamin+C+Facial+Serum+with+Concentrated+10%25+L+Ascorbic+Acid+for+Normal+to+Oily+Skin%2C+1.0+Fl+Oz.&amp;qid=1695259294&amp;rdc=1&amp;sr=8-1", "https://www.amazon.com/Obagi-Professional-C-Serum-Fl-Oz/dp/B00F6XZZMY/ref=sr_1_1?keywords=Obagi+Professional+C+Serum+10%25%2C+Vitamin+C+Facial+Serum+with+Concentrated+10%25+L+Ascorbic+Acid+for+Normal+to+Oily+Skin%2C+1.0+Fl+Oz.&amp;qid=1695259294&amp;rdc=1&amp;sr=8-1")</f>
        <v>https://www.amazon.com/Obagi-Professional-C-Serum-Fl-Oz/dp/B00F6XZZMY/ref=sr_1_1?keywords=Obagi+Professional+C+Serum+10%25%2C+Vitamin+C+Facial+Serum+with+Concentrated+10%25+L+Ascorbic+Acid+for+Normal+to+Oily+Skin%2C+1.0+Fl+Oz.&amp;qid=1695259294&amp;rdc=1&amp;sr=8-1</v>
      </c>
      <c r="F1828" t="s">
        <v>4483</v>
      </c>
      <c r="G1828" t="e">
        <f ca="1">IMAGE("https://prolisok-store.com/cdn/shop/files/51jz8tQragS._SL1500_300x.jpg?v=1682417093")</f>
        <v>#NAME?</v>
      </c>
      <c r="H1828" t="e">
        <f ca="1">IMAGE("https://m.media-amazon.com/images/I/513F4gFv5NL._AC_UL320_.jpg")</f>
        <v>#NAME?</v>
      </c>
      <c r="I1828" t="s">
        <v>4346</v>
      </c>
      <c r="J1828">
        <v>142</v>
      </c>
      <c r="K1828" s="2" t="s">
        <v>4484</v>
      </c>
      <c r="L1828">
        <v>4.5999999999999996</v>
      </c>
      <c r="M1828">
        <v>1513</v>
      </c>
      <c r="O1828" t="s">
        <v>26</v>
      </c>
      <c r="P1828" t="s">
        <v>39</v>
      </c>
      <c r="Q1828" t="s">
        <v>4348</v>
      </c>
    </row>
    <row r="1829" spans="1:17" ht="15.75" x14ac:dyDescent="0.25">
      <c r="A1829" s="3" t="str">
        <f>HYPERLINK("https://prolisok-store.com/collections/premium/products/diptyque-philosykos-eau-de-toilette-3-4-oz", "https://prolisok-store.com/collections/premium/products/diptyque-philosykos-eau-de-toilette-3-4-oz")</f>
        <v>https://prolisok-store.com/collections/premium/products/diptyque-philosykos-eau-de-toilette-3-4-oz</v>
      </c>
      <c r="B1829" s="3" t="str">
        <f>HYPERLINK("https://prolisok-store.com/products/diptyque-philosykos-eau-de-toilette-3-4-oz", "https://prolisok-store.com/products/diptyque-philosykos-eau-de-toilette-3-4-oz")</f>
        <v>https://prolisok-store.com/products/diptyque-philosykos-eau-de-toilette-3-4-oz</v>
      </c>
      <c r="C1829" t="s">
        <v>4447</v>
      </c>
      <c r="D1829" t="s">
        <v>4485</v>
      </c>
      <c r="E1829" s="3" t="str">
        <f>HYPERLINK("https://www.amazon.com/Diptyque-Vetyverio-Eau-Toilette-3-4-oz/dp/B00992AGY0/ref=sr_1_3?keywords=Diptyque+Philosykos+Eau+de+Toilette-3.4+oz&amp;qid=1695259286&amp;sr=8-3", "https://www.amazon.com/Diptyque-Vetyverio-Eau-Toilette-3-4-oz/dp/B00992AGY0/ref=sr_1_3?keywords=Diptyque+Philosykos+Eau+de+Toilette-3.4+oz&amp;qid=1695259286&amp;sr=8-3")</f>
        <v>https://www.amazon.com/Diptyque-Vetyverio-Eau-Toilette-3-4-oz/dp/B00992AGY0/ref=sr_1_3?keywords=Diptyque+Philosykos+Eau+de+Toilette-3.4+oz&amp;qid=1695259286&amp;sr=8-3</v>
      </c>
      <c r="F1829" t="s">
        <v>4486</v>
      </c>
      <c r="G1829" t="e">
        <f ca="1">IMAGE("https://prolisok-store.com/cdn/shop/products/DiptyquePhilosykosEau-3.4oz_300x.jpg?v=1683715790")</f>
        <v>#NAME?</v>
      </c>
      <c r="H1829" t="e">
        <f ca="1">IMAGE("https://m.media-amazon.com/images/I/71DHMzbC3xL._AC_UL320_.jpg")</f>
        <v>#NAME?</v>
      </c>
      <c r="I1829" t="s">
        <v>4355</v>
      </c>
      <c r="J1829">
        <v>169</v>
      </c>
      <c r="K1829" s="2" t="s">
        <v>4487</v>
      </c>
      <c r="L1829">
        <v>4.7</v>
      </c>
      <c r="M1829">
        <v>19</v>
      </c>
      <c r="O1829" t="s">
        <v>26</v>
      </c>
      <c r="P1829" t="s">
        <v>39</v>
      </c>
      <c r="Q1829" t="s">
        <v>4451</v>
      </c>
    </row>
    <row r="1830" spans="1:17" ht="15.75" x14ac:dyDescent="0.25">
      <c r="A1830" s="3" t="str">
        <f>HYPERLINK("https://prolisok-store.com/collections/premium/products/diptyque-tam-dao-eau-de-toilette-3-4-oz", "https://prolisok-store.com/collections/premium/products/diptyque-tam-dao-eau-de-toilette-3-4-oz")</f>
        <v>https://prolisok-store.com/collections/premium/products/diptyque-tam-dao-eau-de-toilette-3-4-oz</v>
      </c>
      <c r="B1830" s="3" t="str">
        <f>HYPERLINK("https://prolisok-store.com/products/diptyque-tam-dao-eau-de-toilette-3-4-oz", "https://prolisok-store.com/products/diptyque-tam-dao-eau-de-toilette-3-4-oz")</f>
        <v>https://prolisok-store.com/products/diptyque-tam-dao-eau-de-toilette-3-4-oz</v>
      </c>
      <c r="C1830" t="s">
        <v>4488</v>
      </c>
      <c r="D1830" t="s">
        <v>4485</v>
      </c>
      <c r="E1830" s="3" t="str">
        <f>HYPERLINK("https://www.amazon.com/Diptyque-Vetyverio-Eau-Toilette-3-4-oz/dp/B00992AGY0/ref=sr_1_3?keywords=Diptyque+Tam+Dao+Eau+de+Toilette-3.4+oz.&amp;qid=1695259287&amp;sr=8-3", "https://www.amazon.com/Diptyque-Vetyverio-Eau-Toilette-3-4-oz/dp/B00992AGY0/ref=sr_1_3?keywords=Diptyque+Tam+Dao+Eau+de+Toilette-3.4+oz.&amp;qid=1695259287&amp;sr=8-3")</f>
        <v>https://www.amazon.com/Diptyque-Vetyverio-Eau-Toilette-3-4-oz/dp/B00992AGY0/ref=sr_1_3?keywords=Diptyque+Tam+Dao+Eau+de+Toilette-3.4+oz.&amp;qid=1695259287&amp;sr=8-3</v>
      </c>
      <c r="F1830" t="s">
        <v>4486</v>
      </c>
      <c r="G1830" t="e">
        <f ca="1">IMAGE("https://prolisok-store.com/cdn/shop/products/DiptyqueTamDaoEaudeToilette-3.4oz_-1_300x.jpg?v=1683715785")</f>
        <v>#NAME?</v>
      </c>
      <c r="H1830" t="e">
        <f ca="1">IMAGE("https://m.media-amazon.com/images/I/71DHMzbC3xL._AC_UL320_.jpg")</f>
        <v>#NAME?</v>
      </c>
      <c r="I1830" t="s">
        <v>4355</v>
      </c>
      <c r="J1830">
        <v>169</v>
      </c>
      <c r="K1830" s="2" t="s">
        <v>4487</v>
      </c>
      <c r="L1830">
        <v>4.7</v>
      </c>
      <c r="M1830">
        <v>19</v>
      </c>
      <c r="O1830" t="s">
        <v>26</v>
      </c>
      <c r="P1830" t="s">
        <v>2988</v>
      </c>
      <c r="Q1830" t="s">
        <v>4489</v>
      </c>
    </row>
    <row r="1831" spans="1:17" ht="15.75" x14ac:dyDescent="0.25">
      <c r="A1831" s="3" t="str">
        <f>HYPERLINK("https://prolisok-store.com/collections/premium/products/3ce-mood-recipe-matte-lip-color-116", "https://prolisok-store.com/collections/premium/products/3ce-mood-recipe-matte-lip-color-116")</f>
        <v>https://prolisok-store.com/collections/premium/products/3ce-mood-recipe-matte-lip-color-116</v>
      </c>
      <c r="B1831" s="3" t="str">
        <f>HYPERLINK("https://prolisok-store.com/products/3ce-mood-recipe-matte-lip-color-116", "https://prolisok-store.com/products/3ce-mood-recipe-matte-lip-color-116")</f>
        <v>https://prolisok-store.com/products/3ce-mood-recipe-matte-lip-color-116</v>
      </c>
      <c r="C1831" t="s">
        <v>4363</v>
      </c>
      <c r="D1831" t="s">
        <v>4414</v>
      </c>
      <c r="E1831" s="3" t="str">
        <f>HYPERLINK("https://www.amazon.com/3CE-Recipe-Matte-Concept-Season/dp/B078T8881J/ref=sr_1_8?keywords=3CE+Mood+Recipe+Matte+Lip+Color%2C+116&amp;qid=1695259303&amp;sr=8-8", "https://www.amazon.com/3CE-Recipe-Matte-Concept-Season/dp/B078T8881J/ref=sr_1_8?keywords=3CE+Mood+Recipe+Matte+Lip+Color%2C+116&amp;qid=1695259303&amp;sr=8-8")</f>
        <v>https://www.amazon.com/3CE-Recipe-Matte-Concept-Season/dp/B078T8881J/ref=sr_1_8?keywords=3CE+Mood+Recipe+Matte+Lip+Color%2C+116&amp;qid=1695259303&amp;sr=8-8</v>
      </c>
      <c r="F1831" t="s">
        <v>4490</v>
      </c>
      <c r="G1831" t="e">
        <f ca="1">IMAGE("https://prolisok-store.com/cdn/shop/files/31C87n4RBaL_300x.jpg?v=1693221452")</f>
        <v>#NAME?</v>
      </c>
      <c r="H1831" t="e">
        <f ca="1">IMAGE("https://m.media-amazon.com/images/I/41eAqvNQC-L._AC_UL320_.jpg")</f>
        <v>#NAME?</v>
      </c>
      <c r="I1831" t="s">
        <v>3392</v>
      </c>
      <c r="J1831">
        <v>22.5</v>
      </c>
      <c r="K1831" s="2" t="s">
        <v>4491</v>
      </c>
      <c r="L1831">
        <v>4.3</v>
      </c>
      <c r="M1831">
        <v>5</v>
      </c>
      <c r="O1831" t="s">
        <v>26</v>
      </c>
      <c r="P1831" t="s">
        <v>39</v>
      </c>
      <c r="Q1831" t="s">
        <v>4366</v>
      </c>
    </row>
    <row r="1832" spans="1:17" ht="15.75" x14ac:dyDescent="0.25">
      <c r="A1832" s="3" t="str">
        <f>HYPERLINK("https://prolisok-store.com/collections/premium/products/3ce-mood-recipe-matte-lip-color-3-concept-eyes-season-2-220-hit-me-up", "https://prolisok-store.com/collections/premium/products/3ce-mood-recipe-matte-lip-color-3-concept-eyes-season-2-220-hit-me-up")</f>
        <v>https://prolisok-store.com/collections/premium/products/3ce-mood-recipe-matte-lip-color-3-concept-eyes-season-2-220-hit-me-up</v>
      </c>
      <c r="B1832"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1832" t="s">
        <v>4414</v>
      </c>
      <c r="D1832" t="s">
        <v>4414</v>
      </c>
      <c r="E1832" s="3" t="str">
        <f>HYPERLINK("https://www.amazon.com/3CE-Recipe-Matte-Concept-Season/dp/B078T8881J/ref=sr_1_1?keywords=3CE+Mood+Recipe+Matte+Lip+Color+3+Concept+Eyes+Season+2+%28%23220+Hit+Me+Up%29&amp;qid=1695259305&amp;sr=8-1", "https://www.amazon.com/3CE-Recipe-Matte-Concept-Season/dp/B078T8881J/ref=sr_1_1?keywords=3CE+Mood+Recipe+Matte+Lip+Color+3+Concept+Eyes+Season+2+%28%23220+Hit+Me+Up%29&amp;qid=1695259305&amp;sr=8-1")</f>
        <v>https://www.amazon.com/3CE-Recipe-Matte-Concept-Season/dp/B078T8881J/ref=sr_1_1?keywords=3CE+Mood+Recipe+Matte+Lip+Color+3+Concept+Eyes+Season+2+%28%23220+Hit+Me+Up%29&amp;qid=1695259305&amp;sr=8-1</v>
      </c>
      <c r="F1832" t="s">
        <v>4490</v>
      </c>
      <c r="G1832" t="e">
        <f ca="1">IMAGE("https://prolisok-store.com/cdn/shop/files/41eAqvNQC-L._SL1000_300x.jpg?v=1693219330")</f>
        <v>#NAME?</v>
      </c>
      <c r="H1832" t="e">
        <f ca="1">IMAGE("https://m.media-amazon.com/images/I/41eAqvNQC-L._AC_UL320_.jpg")</f>
        <v>#NAME?</v>
      </c>
      <c r="I1832" t="s">
        <v>3392</v>
      </c>
      <c r="J1832">
        <v>22.5</v>
      </c>
      <c r="K1832" s="2" t="s">
        <v>4491</v>
      </c>
      <c r="L1832">
        <v>4.3</v>
      </c>
      <c r="M1832">
        <v>5</v>
      </c>
      <c r="O1832" t="s">
        <v>26</v>
      </c>
      <c r="P1832" t="s">
        <v>39</v>
      </c>
      <c r="Q1832" t="s">
        <v>4418</v>
      </c>
    </row>
    <row r="1833" spans="1:17" ht="15.75" x14ac:dyDescent="0.25">
      <c r="A1833" s="3" t="str">
        <f>HYPERLINK("https://prolisok-store.com/collections/premium/products/3ce-mood-recipe-matte-lip-color-909", "https://prolisok-store.com/collections/premium/products/3ce-mood-recipe-matte-lip-color-909")</f>
        <v>https://prolisok-store.com/collections/premium/products/3ce-mood-recipe-matte-lip-color-909</v>
      </c>
      <c r="B1833" s="3" t="str">
        <f>HYPERLINK("https://prolisok-store.com/products/3ce-mood-recipe-matte-lip-color-909", "https://prolisok-store.com/products/3ce-mood-recipe-matte-lip-color-909")</f>
        <v>https://prolisok-store.com/products/3ce-mood-recipe-matte-lip-color-909</v>
      </c>
      <c r="C1833" t="s">
        <v>4358</v>
      </c>
      <c r="D1833" t="s">
        <v>4414</v>
      </c>
      <c r="E1833" s="3" t="str">
        <f>HYPERLINK("https://www.amazon.com/3CE-Recipe-Matte-Concept-Season/dp/B078T8881J/ref=sr_1_10?keywords=3CE+Mood+Recipe+Matte+Lip+Color%2C+909&amp;qid=1695259303&amp;sr=8-10", "https://www.amazon.com/3CE-Recipe-Matte-Concept-Season/dp/B078T8881J/ref=sr_1_10?keywords=3CE+Mood+Recipe+Matte+Lip+Color%2C+909&amp;qid=1695259303&amp;sr=8-10")</f>
        <v>https://www.amazon.com/3CE-Recipe-Matte-Concept-Season/dp/B078T8881J/ref=sr_1_10?keywords=3CE+Mood+Recipe+Matte+Lip+Color%2C+909&amp;qid=1695259303&amp;sr=8-10</v>
      </c>
      <c r="F1833" t="s">
        <v>4490</v>
      </c>
      <c r="G1833" t="e">
        <f ca="1">IMAGE("https://prolisok-store.com/cdn/shop/files/41q_eA_m8iL._SL1000_300x.jpg?v=1693221579")</f>
        <v>#NAME?</v>
      </c>
      <c r="H1833" t="e">
        <f ca="1">IMAGE("https://m.media-amazon.com/images/I/41eAqvNQC-L._AC_UL320_.jpg")</f>
        <v>#NAME?</v>
      </c>
      <c r="I1833" t="s">
        <v>3392</v>
      </c>
      <c r="J1833">
        <v>22.5</v>
      </c>
      <c r="K1833" s="2" t="s">
        <v>4491</v>
      </c>
      <c r="L1833">
        <v>4.3</v>
      </c>
      <c r="M1833">
        <v>5</v>
      </c>
      <c r="O1833" t="s">
        <v>26</v>
      </c>
      <c r="P1833" t="s">
        <v>39</v>
      </c>
      <c r="Q1833" t="s">
        <v>4362</v>
      </c>
    </row>
    <row r="1834" spans="1:17" ht="15.75" x14ac:dyDescent="0.25">
      <c r="A1834" s="3" t="str">
        <f>HYPERLINK("https://prolisok-store.com/collections/premium/products/diptyque-philosykos-eau-de-toilette-3-4-oz", "https://prolisok-store.com/collections/premium/products/diptyque-philosykos-eau-de-toilette-3-4-oz")</f>
        <v>https://prolisok-store.com/collections/premium/products/diptyque-philosykos-eau-de-toilette-3-4-oz</v>
      </c>
      <c r="B1834" s="3" t="str">
        <f>HYPERLINK("https://prolisok-store.com/products/diptyque-philosykos-eau-de-toilette-3-4-oz", "https://prolisok-store.com/products/diptyque-philosykos-eau-de-toilette-3-4-oz")</f>
        <v>https://prolisok-store.com/products/diptyque-philosykos-eau-de-toilette-3-4-oz</v>
      </c>
      <c r="C1834" t="s">
        <v>4447</v>
      </c>
      <c r="D1834" t="s">
        <v>4492</v>
      </c>
      <c r="E1834" s="3" t="str">
        <f>HYPERLINK("https://www.amazon.com/Diptyque-Olene-Eau-Toilette-3-4-oz/dp/B00992AF7I/ref=sr_1_4?keywords=Diptyque+Philosykos+Eau+de+Toilette-3.4+oz&amp;qid=1695259286&amp;sr=8-4", "https://www.amazon.com/Diptyque-Olene-Eau-Toilette-3-4-oz/dp/B00992AF7I/ref=sr_1_4?keywords=Diptyque+Philosykos+Eau+de+Toilette-3.4+oz&amp;qid=1695259286&amp;sr=8-4")</f>
        <v>https://www.amazon.com/Diptyque-Olene-Eau-Toilette-3-4-oz/dp/B00992AF7I/ref=sr_1_4?keywords=Diptyque+Philosykos+Eau+de+Toilette-3.4+oz&amp;qid=1695259286&amp;sr=8-4</v>
      </c>
      <c r="F1834" t="s">
        <v>4493</v>
      </c>
      <c r="G1834" t="e">
        <f ca="1">IMAGE("https://prolisok-store.com/cdn/shop/products/DiptyquePhilosykosEau-3.4oz_300x.jpg?v=1683715790")</f>
        <v>#NAME?</v>
      </c>
      <c r="H1834" t="e">
        <f ca="1">IMAGE("https://m.media-amazon.com/images/I/61y8cVJYx0L._AC_UL320_.jpg")</f>
        <v>#NAME?</v>
      </c>
      <c r="I1834" t="s">
        <v>4355</v>
      </c>
      <c r="J1834">
        <v>168.71</v>
      </c>
      <c r="K1834" s="2" t="s">
        <v>4494</v>
      </c>
      <c r="L1834">
        <v>4</v>
      </c>
      <c r="M1834">
        <v>28</v>
      </c>
      <c r="O1834" t="s">
        <v>26</v>
      </c>
      <c r="P1834" t="s">
        <v>39</v>
      </c>
      <c r="Q1834" t="s">
        <v>4451</v>
      </c>
    </row>
    <row r="1835" spans="1:17" ht="15.75" x14ac:dyDescent="0.25">
      <c r="A1835" s="3" t="str">
        <f>HYPERLINK("https://prolisok-store.com/collections/premium/products/3ce-velvet-lip-tint-4g-stylenanda-private", "https://prolisok-store.com/collections/premium/products/3ce-velvet-lip-tint-4g-stylenanda-private")</f>
        <v>https://prolisok-store.com/collections/premium/products/3ce-velvet-lip-tint-4g-stylenanda-private</v>
      </c>
      <c r="B1835" s="3" t="str">
        <f>HYPERLINK("https://prolisok-store.com/products/3ce-velvet-lip-tint-4g-stylenanda-private", "https://prolisok-store.com/products/3ce-velvet-lip-tint-4g-stylenanda-private")</f>
        <v>https://prolisok-store.com/products/3ce-velvet-lip-tint-4g-stylenanda-private</v>
      </c>
      <c r="C1835" t="s">
        <v>4495</v>
      </c>
      <c r="D1835" t="s">
        <v>4496</v>
      </c>
      <c r="E1835" s="3" t="str">
        <f>HYPERLINK("https://www.amazon.com/3CE-Velvet-VELVET-TINT-PRIVATE/dp/B0795FH4GQ/ref=sr_1_6?keywords=3CE+Velvet+Lip+Tint+%284g%29+Stylenanda+%28Private%29&amp;qid=1695259303&amp;sr=8-6", "https://www.amazon.com/3CE-Velvet-VELVET-TINT-PRIVATE/dp/B0795FH4GQ/ref=sr_1_6?keywords=3CE+Velvet+Lip+Tint+%284g%29+Stylenanda+%28Private%29&amp;qid=1695259303&amp;sr=8-6")</f>
        <v>https://www.amazon.com/3CE-Velvet-VELVET-TINT-PRIVATE/dp/B0795FH4GQ/ref=sr_1_6?keywords=3CE+Velvet+Lip+Tint+%284g%29+Stylenanda+%28Private%29&amp;qid=1695259303&amp;sr=8-6</v>
      </c>
      <c r="F1835" t="s">
        <v>4497</v>
      </c>
      <c r="G1835" t="e">
        <f ca="1">IMAGE("https://prolisok-store.com/cdn/shop/files/51lsOgwPjWL._SL1000_300x.jpg?v=1683819884")</f>
        <v>#NAME?</v>
      </c>
      <c r="H1835" t="e">
        <f ca="1">IMAGE("https://m.media-amazon.com/images/I/31y0jY7-a6L._AC_UL320_.jpg")</f>
        <v>#NAME?</v>
      </c>
      <c r="I1835" t="s">
        <v>3392</v>
      </c>
      <c r="J1835">
        <v>22.44</v>
      </c>
      <c r="K1835" s="2" t="s">
        <v>4498</v>
      </c>
      <c r="L1835">
        <v>4.2</v>
      </c>
      <c r="M1835">
        <v>20</v>
      </c>
      <c r="O1835" t="s">
        <v>26</v>
      </c>
      <c r="P1835" t="s">
        <v>39</v>
      </c>
      <c r="Q1835" t="s">
        <v>4499</v>
      </c>
    </row>
    <row r="1836" spans="1:17" ht="15.75" x14ac:dyDescent="0.25">
      <c r="A1836" s="3" t="str">
        <f>HYPERLINK("https://prolisok-store.com/collections/premium/products/the-soft-fluid-foundation-spf-20-1-oz-porcelain", "https://prolisok-store.com/collections/premium/products/the-soft-fluid-foundation-spf-20-1-oz-porcelain")</f>
        <v>https://prolisok-store.com/collections/premium/products/the-soft-fluid-foundation-spf-20-1-oz-porcelain</v>
      </c>
      <c r="B1836" s="3" t="str">
        <f>HYPERLINK("https://prolisok-store.com/products/the-soft-fluid-foundation-spf-20-1-oz-porcelain", "https://prolisok-store.com/products/the-soft-fluid-foundation-spf-20-1-oz-porcelain")</f>
        <v>https://prolisok-store.com/products/the-soft-fluid-foundation-spf-20-1-oz-porcelain</v>
      </c>
      <c r="C1836" t="s">
        <v>4466</v>
      </c>
      <c r="D1836" t="s">
        <v>4500</v>
      </c>
      <c r="E1836" s="3" t="str">
        <f>HYPERLINK("https://www.amazon.com/Mer-Soft-Fluid-Long-Foundation/dp/B01MG45I4H/ref=sr_1_8?keywords=La+Mer+The+Soft+Fluid+Foundation+SPF+20-1+oz.+Porcelain&amp;qid=1695259298&amp;sr=8-8", "https://www.amazon.com/Mer-Soft-Fluid-Long-Foundation/dp/B01MG45I4H/ref=sr_1_8?keywords=La+Mer+The+Soft+Fluid+Foundation+SPF+20-1+oz.+Porcelain&amp;qid=1695259298&amp;sr=8-8")</f>
        <v>https://www.amazon.com/Mer-Soft-Fluid-Long-Foundation/dp/B01MG45I4H/ref=sr_1_8?keywords=La+Mer+The+Soft+Fluid+Foundation+SPF+20-1+oz.+Porcelain&amp;qid=1695259298&amp;sr=8-8</v>
      </c>
      <c r="F1836" t="s">
        <v>4501</v>
      </c>
      <c r="G1836" t="e">
        <f ca="1">IMAGE("https://prolisok-store.com/cdn/shop/products/41wgXKYLRyL._SL1000_300x.jpg?v=1674109756")</f>
        <v>#NAME?</v>
      </c>
      <c r="H1836" t="e">
        <f ca="1">IMAGE("https://m.media-amazon.com/images/I/51oqFtChOJL._AC_UL320_.jpg")</f>
        <v>#NAME?</v>
      </c>
      <c r="I1836" t="s">
        <v>4346</v>
      </c>
      <c r="J1836">
        <v>140</v>
      </c>
      <c r="K1836" s="2" t="s">
        <v>4502</v>
      </c>
      <c r="L1836">
        <v>4.7</v>
      </c>
      <c r="M1836">
        <v>29</v>
      </c>
      <c r="O1836" t="s">
        <v>26</v>
      </c>
      <c r="P1836" t="s">
        <v>2501</v>
      </c>
      <c r="Q1836" t="s">
        <v>4467</v>
      </c>
    </row>
    <row r="1837" spans="1:17" ht="15.75" x14ac:dyDescent="0.25">
      <c r="A1837" s="3" t="str">
        <f>HYPERLINK("https://prolisok-store.com/collections/premium/products/la-mer-the-moisturizing-soft-lotion", "https://prolisok-store.com/collections/premium/products/la-mer-the-moisturizing-soft-lotion")</f>
        <v>https://prolisok-store.com/collections/premium/products/la-mer-the-moisturizing-soft-lotion</v>
      </c>
      <c r="B1837" s="3" t="str">
        <f>HYPERLINK("https://prolisok-store.com/products/la-mer-the-moisturizing-soft-lotion", "https://prolisok-store.com/products/la-mer-the-moisturizing-soft-lotion")</f>
        <v>https://prolisok-store.com/products/la-mer-the-moisturizing-soft-lotion</v>
      </c>
      <c r="C1837" t="s">
        <v>4503</v>
      </c>
      <c r="D1837" t="s">
        <v>4504</v>
      </c>
      <c r="E1837" s="3" t="str">
        <f>HYPERLINK("https://www.amazon.com/Mer-Moisturizing-Cream-Unisex-Ounce/dp/B009AWTPE6/ref=sr_1_8?keywords=La+Mer+The+Moisturizing+Soft+Lotion&amp;qid=1695259290&amp;sr=8-8", "https://www.amazon.com/Mer-Moisturizing-Cream-Unisex-Ounce/dp/B009AWTPE6/ref=sr_1_8?keywords=La+Mer+The+Moisturizing+Soft+Lotion&amp;qid=1695259290&amp;sr=8-8")</f>
        <v>https://www.amazon.com/Mer-Moisturizing-Cream-Unisex-Ounce/dp/B009AWTPE6/ref=sr_1_8?keywords=La+Mer+The+Moisturizing+Soft+Lotion&amp;qid=1695259290&amp;sr=8-8</v>
      </c>
      <c r="F1837" t="s">
        <v>4505</v>
      </c>
      <c r="G1837" t="e">
        <f ca="1">IMAGE("https://prolisok-store.com/cdn/shop/products/61uLYCnMy9L._SL1500_300x.jpg?v=1667997816")</f>
        <v>#NAME?</v>
      </c>
      <c r="H1837" t="e">
        <f ca="1">IMAGE("https://m.media-amazon.com/images/I/71NAMlm8B1L._AC_UL320_.jpg")</f>
        <v>#NAME?</v>
      </c>
      <c r="I1837" t="s">
        <v>4506</v>
      </c>
      <c r="J1837">
        <v>188.27</v>
      </c>
      <c r="K1837" s="2" t="s">
        <v>4507</v>
      </c>
      <c r="L1837">
        <v>4</v>
      </c>
      <c r="M1837">
        <v>166</v>
      </c>
      <c r="O1837" t="s">
        <v>26</v>
      </c>
      <c r="P1837" t="s">
        <v>39</v>
      </c>
      <c r="Q1837" t="s">
        <v>4508</v>
      </c>
    </row>
    <row r="1838" spans="1:17" ht="15.75" x14ac:dyDescent="0.25">
      <c r="A1838" s="3" t="str">
        <f>HYPERLINK("https://prolisok-store.com/collections/premium/products/diptyque-lombre-dans-leau-eau-de-toilette-spray-for-women-100ml-3-4-fl-oz", "https://prolisok-store.com/collections/premium/products/diptyque-lombre-dans-leau-eau-de-toilette-spray-for-women-100ml-3-4-fl-oz")</f>
        <v>https://prolisok-store.com/collections/premium/products/diptyque-lombre-dans-leau-eau-de-toilette-spray-for-women-100ml-3-4-fl-oz</v>
      </c>
      <c r="B1838" s="3" t="str">
        <f>HYPERLINK("https://prolisok-store.com/products/diptyque-lombre-dans-leau-eau-de-toilette-spray-for-women-100ml-3-4-fl-oz", "https://prolisok-store.com/products/diptyque-lombre-dans-leau-eau-de-toilette-spray-for-women-100ml-3-4-fl-oz")</f>
        <v>https://prolisok-store.com/products/diptyque-lombre-dans-leau-eau-de-toilette-spray-for-women-100ml-3-4-fl-oz</v>
      </c>
      <c r="C1838" t="s">
        <v>4509</v>
      </c>
      <c r="D1838" t="s">
        <v>4510</v>
      </c>
      <c r="E1838" s="3" t="str">
        <f>HYPERLINK("https://www.amazon.com/Diptyque-Lombre-Parfum-Spray-Women/dp/B00L36HV0W/ref=sr_1_2?keywords=Diptyque+L%27ombre+Dans+L%27eau+Eau+De+Toilette+Spray+For+Women+100Ml+3.4+Fl+Oz&amp;qid=1695259303&amp;sr=8-2", "https://www.amazon.com/Diptyque-Lombre-Parfum-Spray-Women/dp/B00L36HV0W/ref=sr_1_2?keywords=Diptyque+L%27ombre+Dans+L%27eau+Eau+De+Toilette+Spray+For+Women+100Ml+3.4+Fl+Oz&amp;qid=1695259303&amp;sr=8-2")</f>
        <v>https://www.amazon.com/Diptyque-Lombre-Parfum-Spray-Women/dp/B00L36HV0W/ref=sr_1_2?keywords=Diptyque+L%27ombre+Dans+L%27eau+Eau+De+Toilette+Spray+For+Women+100Ml+3.4+Fl+Oz&amp;qid=1695259303&amp;sr=8-2</v>
      </c>
      <c r="F1838" t="s">
        <v>4511</v>
      </c>
      <c r="G1838" t="e">
        <f ca="1">IMAGE("https://prolisok-store.com/cdn/shop/products/DiptyqueL_ombreDansL_eau_300x.jpg?v=1683715765")</f>
        <v>#NAME?</v>
      </c>
      <c r="H1838" t="e">
        <f ca="1">IMAGE("https://m.media-amazon.com/images/I/71T+KosckiL._AC_UL320_.jpg")</f>
        <v>#NAME?</v>
      </c>
      <c r="I1838" t="s">
        <v>4355</v>
      </c>
      <c r="J1838">
        <v>161.07</v>
      </c>
      <c r="K1838" s="2" t="s">
        <v>4512</v>
      </c>
      <c r="L1838">
        <v>5</v>
      </c>
      <c r="M1838">
        <v>2</v>
      </c>
      <c r="O1838" t="s">
        <v>26</v>
      </c>
      <c r="P1838" t="s">
        <v>2988</v>
      </c>
      <c r="Q1838" t="s">
        <v>4513</v>
      </c>
    </row>
    <row r="1839" spans="1:17" ht="15.75" x14ac:dyDescent="0.25">
      <c r="A1839" s="3" t="str">
        <f>HYPERLINK("https://prolisok-store.com/collections/premium/products/atelier-cologne-oolang-infini-cologne-3-3-ounce", "https://prolisok-store.com/collections/premium/products/atelier-cologne-oolang-infini-cologne-3-3-ounce")</f>
        <v>https://prolisok-store.com/collections/premium/products/atelier-cologne-oolang-infini-cologne-3-3-ounce</v>
      </c>
      <c r="B1839" s="3" t="str">
        <f>HYPERLINK("https://prolisok-store.com/products/atelier-cologne-oolang-infini-cologne-3-3-ounce", "https://prolisok-store.com/products/atelier-cologne-oolang-infini-cologne-3-3-ounce")</f>
        <v>https://prolisok-store.com/products/atelier-cologne-oolang-infini-cologne-3-3-ounce</v>
      </c>
      <c r="C1839" t="s">
        <v>4349</v>
      </c>
      <c r="D1839" t="s">
        <v>4514</v>
      </c>
      <c r="E1839" s="3" t="str">
        <f>HYPERLINK("https://www.amazon.com/Atelier-Cologne-Bois-Blonds-Ounce/dp/B009TQ0TFW/ref=sr_1_6?keywords=atelier+cologne+oolong+infini+cologne%2C+3.3+ounce&amp;qid=1695259290&amp;sr=8-6", "https://www.amazon.com/Atelier-Cologne-Bois-Blonds-Ounce/dp/B009TQ0TFW/ref=sr_1_6?keywords=atelier+cologne+oolong+infini+cologne%2C+3.3+ounce&amp;qid=1695259290&amp;sr=8-6")</f>
        <v>https://www.amazon.com/Atelier-Cologne-Bois-Blonds-Ounce/dp/B009TQ0TFW/ref=sr_1_6?keywords=atelier+cologne+oolong+infini+cologne%2C+3.3+ounce&amp;qid=1695259290&amp;sr=8-6</v>
      </c>
      <c r="F1839" t="s">
        <v>4515</v>
      </c>
      <c r="G1839" t="e">
        <f ca="1">IMAGE("https://prolisok-store.com/cdn/shop/products/AtelierCologneOolangInfini-1_300x.jpg?v=1683715757")</f>
        <v>#NAME?</v>
      </c>
      <c r="H1839" t="e">
        <f ca="1">IMAGE("https://m.media-amazon.com/images/I/51aBlNY9WHL._AC_UL320_.jpg")</f>
        <v>#NAME?</v>
      </c>
      <c r="I1839" t="s">
        <v>4346</v>
      </c>
      <c r="J1839">
        <v>132.97999999999999</v>
      </c>
      <c r="K1839" s="2" t="s">
        <v>4516</v>
      </c>
      <c r="L1839">
        <v>3.6</v>
      </c>
      <c r="M1839">
        <v>12</v>
      </c>
      <c r="O1839" t="s">
        <v>26</v>
      </c>
      <c r="P1839" t="s">
        <v>39</v>
      </c>
      <c r="Q1839" t="s">
        <v>4353</v>
      </c>
    </row>
    <row r="1840" spans="1:17" ht="15.75" x14ac:dyDescent="0.25">
      <c r="A1840" s="3" t="str">
        <f>HYPERLINK("https://prolisok-store.com/collections/premium/products/3ce-mood-recipe-face-blush-rose-beige", "https://prolisok-store.com/collections/premium/products/3ce-mood-recipe-face-blush-rose-beige")</f>
        <v>https://prolisok-store.com/collections/premium/products/3ce-mood-recipe-face-blush-rose-beige</v>
      </c>
      <c r="B1840" s="3" t="str">
        <f>HYPERLINK("https://prolisok-store.com/products/3ce-mood-recipe-face-blush-rose-beige", "https://prolisok-store.com/products/3ce-mood-recipe-face-blush-rose-beige")</f>
        <v>https://prolisok-store.com/products/3ce-mood-recipe-face-blush-rose-beige</v>
      </c>
      <c r="C1840" t="s">
        <v>4404</v>
      </c>
      <c r="D1840" t="s">
        <v>4517</v>
      </c>
      <c r="E1840" s="3" t="str">
        <f>HYPERLINK("https://www.amazon.com/MOOD-RECIPE-FACE-BLUSH-PEACH/dp/B0777FK974/ref=sr_1_4?keywords=3CE+Mood+Recipe+Face+Blush+-&amp;qid=1695259301&amp;sr=8-4", "https://www.amazon.com/MOOD-RECIPE-FACE-BLUSH-PEACH/dp/B0777FK974/ref=sr_1_4?keywords=3CE+Mood+Recipe+Face+Blush+-&amp;qid=1695259301&amp;sr=8-4")</f>
        <v>https://www.amazon.com/MOOD-RECIPE-FACE-BLUSH-PEACH/dp/B0777FK974/ref=sr_1_4?keywords=3CE+Mood+Recipe+Face+Blush+-&amp;qid=1695259301&amp;sr=8-4</v>
      </c>
      <c r="F1840" t="s">
        <v>4518</v>
      </c>
      <c r="G1840" t="e">
        <f ca="1">IMAGE("https://prolisok-store.com/cdn/shop/files/31TTnrkqldL_300x.jpg?v=1683820558")</f>
        <v>#NAME?</v>
      </c>
      <c r="H1840" t="e">
        <f ca="1">IMAGE("https://m.media-amazon.com/images/I/41p47yBnZFL._AC_UL320_.jpg")</f>
        <v>#NAME?</v>
      </c>
      <c r="I1840" t="s">
        <v>3392</v>
      </c>
      <c r="J1840">
        <v>21.18</v>
      </c>
      <c r="K1840" s="2" t="s">
        <v>4519</v>
      </c>
      <c r="L1840">
        <v>4.8</v>
      </c>
      <c r="M1840">
        <v>25</v>
      </c>
      <c r="O1840" t="s">
        <v>26</v>
      </c>
      <c r="P1840" t="s">
        <v>39</v>
      </c>
      <c r="Q1840" t="s">
        <v>4408</v>
      </c>
    </row>
    <row r="1841" spans="1:17" ht="15.75" x14ac:dyDescent="0.25">
      <c r="A1841" s="3" t="str">
        <f>HYPERLINK("https://prolisok-store.com/collections/premium/products/drunk-elephant-lala-retro-whipped-cream-50-milliliters", "https://prolisok-store.com/collections/premium/products/drunk-elephant-lala-retro-whipped-cream-50-milliliters")</f>
        <v>https://prolisok-store.com/collections/premium/products/drunk-elephant-lala-retro-whipped-cream-50-milliliters</v>
      </c>
      <c r="B1841" s="3" t="str">
        <f>HYPERLINK("https://prolisok-store.com/products/drunk-elephant-lala-retro-whipped-cream-50-milliliters", "https://prolisok-store.com/products/drunk-elephant-lala-retro-whipped-cream-50-milliliters")</f>
        <v>https://prolisok-store.com/products/drunk-elephant-lala-retro-whipped-cream-50-milliliters</v>
      </c>
      <c r="C1841" t="s">
        <v>4388</v>
      </c>
      <c r="D1841" t="s">
        <v>4520</v>
      </c>
      <c r="E1841" s="3" t="str">
        <f>HYPERLINK("https://www.amazon.com/Drunk-Elephant-Moisturizer-Cleanser-Whipped/dp/B07CH346S8/ref=sr_1_4?keywords=Drunk+Elephant+Lala+Retro+Whipped+Cream+50+Milliliters&amp;qid=1695259287&amp;sr=8-4", "https://www.amazon.com/Drunk-Elephant-Moisturizer-Cleanser-Whipped/dp/B07CH346S8/ref=sr_1_4?keywords=Drunk+Elephant+Lala+Retro+Whipped+Cream+50+Milliliters&amp;qid=1695259287&amp;sr=8-4")</f>
        <v>https://www.amazon.com/Drunk-Elephant-Moisturizer-Cleanser-Whipped/dp/B07CH346S8/ref=sr_1_4?keywords=Drunk+Elephant+Lala+Retro+Whipped+Cream+50+Milliliters&amp;qid=1695259287&amp;sr=8-4</v>
      </c>
      <c r="F1841" t="s">
        <v>4521</v>
      </c>
      <c r="G1841" t="e">
        <f ca="1">IMAGE("https://prolisok-store.com/cdn/shop/files/51ybUrn6ZWL._SL1500_300x.jpg?v=1686223860")</f>
        <v>#NAME?</v>
      </c>
      <c r="H1841" t="e">
        <f ca="1">IMAGE("https://m.media-amazon.com/images/I/71kkfZpaOjL._AC_UL320_.jpg")</f>
        <v>#NAME?</v>
      </c>
      <c r="I1841" t="s">
        <v>3566</v>
      </c>
      <c r="J1841">
        <v>92</v>
      </c>
      <c r="K1841" s="2" t="s">
        <v>4522</v>
      </c>
      <c r="L1841">
        <v>4.3</v>
      </c>
      <c r="M1841">
        <v>31</v>
      </c>
      <c r="O1841" t="s">
        <v>26</v>
      </c>
      <c r="P1841" t="s">
        <v>2472</v>
      </c>
      <c r="Q1841" t="s">
        <v>4392</v>
      </c>
    </row>
    <row r="1842" spans="1:17" ht="15.75" x14ac:dyDescent="0.25">
      <c r="A1842" s="3" t="str">
        <f>HYPERLINK("https://prolisok-store.com/collections/premium/products/3ce-velvet-lip-tint-4g-stylenanda-private", "https://prolisok-store.com/collections/premium/products/3ce-velvet-lip-tint-4g-stylenanda-private")</f>
        <v>https://prolisok-store.com/collections/premium/products/3ce-velvet-lip-tint-4g-stylenanda-private</v>
      </c>
      <c r="B1842" s="3" t="str">
        <f>HYPERLINK("https://prolisok-store.com/products/3ce-velvet-lip-tint-4g-stylenanda-private", "https://prolisok-store.com/products/3ce-velvet-lip-tint-4g-stylenanda-private")</f>
        <v>https://prolisok-store.com/products/3ce-velvet-lip-tint-4g-stylenanda-private</v>
      </c>
      <c r="C1842" t="s">
        <v>4495</v>
      </c>
      <c r="D1842" t="s">
        <v>4523</v>
      </c>
      <c r="E1842" s="3" t="str">
        <f>HYPERLINK("https://www.amazon.com/Velvet-colors-Newly-Launched-Stylenanda/dp/B076J83H6F/ref=sr_1_2?keywords=3CE+Velvet+Lip+Tint+%284g%29+Stylenanda+%28Private%29&amp;qid=1695259303&amp;sr=8-2", "https://www.amazon.com/Velvet-colors-Newly-Launched-Stylenanda/dp/B076J83H6F/ref=sr_1_2?keywords=3CE+Velvet+Lip+Tint+%284g%29+Stylenanda+%28Private%29&amp;qid=1695259303&amp;sr=8-2")</f>
        <v>https://www.amazon.com/Velvet-colors-Newly-Launched-Stylenanda/dp/B076J83H6F/ref=sr_1_2?keywords=3CE+Velvet+Lip+Tint+%284g%29+Stylenanda+%28Private%29&amp;qid=1695259303&amp;sr=8-2</v>
      </c>
      <c r="F1842" t="s">
        <v>4524</v>
      </c>
      <c r="G1842" t="e">
        <f ca="1">IMAGE("https://prolisok-store.com/cdn/shop/files/51lsOgwPjWL._SL1000_300x.jpg?v=1683819884")</f>
        <v>#NAME?</v>
      </c>
      <c r="H1842" t="e">
        <f ca="1">IMAGE("https://m.media-amazon.com/images/I/51vrAPNxfqL._AC_UL320_.jpg")</f>
        <v>#NAME?</v>
      </c>
      <c r="I1842" t="s">
        <v>3392</v>
      </c>
      <c r="J1842">
        <v>21</v>
      </c>
      <c r="K1842" s="2" t="s">
        <v>4525</v>
      </c>
      <c r="L1842">
        <v>4.5</v>
      </c>
      <c r="M1842">
        <v>4</v>
      </c>
      <c r="O1842" t="s">
        <v>26</v>
      </c>
      <c r="P1842" t="s">
        <v>39</v>
      </c>
      <c r="Q1842" t="s">
        <v>4499</v>
      </c>
    </row>
    <row r="1843" spans="1:17" ht="15.75" x14ac:dyDescent="0.25">
      <c r="A1843" s="3" t="str">
        <f>HYPERLINK("https://prolisok-store.com/collections/premium/products/byredo-rose-of-no-mans-land-eau-de-parfum-spray-3-3-ounce", "https://prolisok-store.com/collections/premium/products/byredo-rose-of-no-mans-land-eau-de-parfum-spray-3-3-ounce")</f>
        <v>https://prolisok-store.com/collections/premium/products/byredo-rose-of-no-mans-land-eau-de-parfum-spray-3-3-ounce</v>
      </c>
      <c r="B1843" s="3" t="str">
        <f>HYPERLINK("https://prolisok-store.com/products/byredo-rose-of-no-mans-land-eau-de-parfum-spray-3-3-ounce", "https://prolisok-store.com/products/byredo-rose-of-no-mans-land-eau-de-parfum-spray-3-3-ounce")</f>
        <v>https://prolisok-store.com/products/byredo-rose-of-no-mans-land-eau-de-parfum-spray-3-3-ounce</v>
      </c>
      <c r="C1843" t="s">
        <v>4526</v>
      </c>
      <c r="D1843" t="s">
        <v>4526</v>
      </c>
      <c r="E1843" s="3" t="str">
        <f>HYPERLINK("https://www.amazon.com/Byredo-Rose-Parfum-Spray-Ounce/dp/B017JBDXBK/ref=sr_1_1?keywords=Byredo+Rose+of+No+Man%27s+Land+Eau+De+Parfum+Spray%2C+3.3+Ounce&amp;qid=1695259292&amp;sr=8-1", "https://www.amazon.com/Byredo-Rose-Parfum-Spray-Ounce/dp/B017JBDXBK/ref=sr_1_1?keywords=Byredo+Rose+of+No+Man%27s+Land+Eau+De+Parfum+Spray%2C+3.3+Ounce&amp;qid=1695259292&amp;sr=8-1")</f>
        <v>https://www.amazon.com/Byredo-Rose-Parfum-Spray-Ounce/dp/B017JBDXBK/ref=sr_1_1?keywords=Byredo+Rose+of+No+Man%27s+Land+Eau+De+Parfum+Spray%2C+3.3+Ounce&amp;qid=1695259292&amp;sr=8-1</v>
      </c>
      <c r="F1843" t="s">
        <v>4527</v>
      </c>
      <c r="G1843" t="e">
        <f ca="1">IMAGE("https://prolisok-store.com/cdn/shop/files/ByredoRoseofNoMan_sLand4_300x.jpg?v=1687511871")</f>
        <v>#NAME?</v>
      </c>
      <c r="H1843" t="e">
        <f ca="1">IMAGE("https://m.media-amazon.com/images/I/61AlpP54RsL._AC_UL320_.jpg")</f>
        <v>#NAME?</v>
      </c>
      <c r="I1843" t="s">
        <v>4355</v>
      </c>
      <c r="J1843">
        <v>157</v>
      </c>
      <c r="K1843" s="2" t="s">
        <v>4528</v>
      </c>
      <c r="L1843">
        <v>4.0999999999999996</v>
      </c>
      <c r="M1843">
        <v>91</v>
      </c>
      <c r="O1843" t="s">
        <v>26</v>
      </c>
      <c r="P1843" t="s">
        <v>39</v>
      </c>
      <c r="Q1843" t="s">
        <v>4529</v>
      </c>
    </row>
    <row r="1844" spans="1:17" ht="15.75" x14ac:dyDescent="0.25">
      <c r="A1844" s="3" t="str">
        <f>HYPERLINK("https://prolisok-store.com/collections/premium/products/3ce-velvet-lip-tint-4g-stylenanda-private", "https://prolisok-store.com/collections/premium/products/3ce-velvet-lip-tint-4g-stylenanda-private")</f>
        <v>https://prolisok-store.com/collections/premium/products/3ce-velvet-lip-tint-4g-stylenanda-private</v>
      </c>
      <c r="B1844" s="3" t="str">
        <f>HYPERLINK("https://prolisok-store.com/products/3ce-velvet-lip-tint-4g-stylenanda-private", "https://prolisok-store.com/products/3ce-velvet-lip-tint-4g-stylenanda-private")</f>
        <v>https://prolisok-store.com/products/3ce-velvet-lip-tint-4g-stylenanda-private</v>
      </c>
      <c r="C1844" t="s">
        <v>4495</v>
      </c>
      <c r="D1844" t="s">
        <v>4530</v>
      </c>
      <c r="E1844" s="3" t="str">
        <f>HYPERLINK("https://www.amazon.com/Velvet-colors-Launched-Stylenanda-Private/dp/B076J9P2Q5/ref=sr_1_1?keywords=3CE+Velvet+Lip+Tint+%284g%29+Stylenanda+%28Private%29&amp;qid=1695259303&amp;sr=8-1", "https://www.amazon.com/Velvet-colors-Launched-Stylenanda-Private/dp/B076J9P2Q5/ref=sr_1_1?keywords=3CE+Velvet+Lip+Tint+%284g%29+Stylenanda+%28Private%29&amp;qid=1695259303&amp;sr=8-1")</f>
        <v>https://www.amazon.com/Velvet-colors-Launched-Stylenanda-Private/dp/B076J9P2Q5/ref=sr_1_1?keywords=3CE+Velvet+Lip+Tint+%284g%29+Stylenanda+%28Private%29&amp;qid=1695259303&amp;sr=8-1</v>
      </c>
      <c r="F1844" t="s">
        <v>4531</v>
      </c>
      <c r="G1844" t="e">
        <f ca="1">IMAGE("https://prolisok-store.com/cdn/shop/files/51lsOgwPjWL._SL1000_300x.jpg?v=1683819884")</f>
        <v>#NAME?</v>
      </c>
      <c r="H1844" t="e">
        <f ca="1">IMAGE("https://m.media-amazon.com/images/I/51lsOgwPjWL._AC_UL320_.jpg")</f>
        <v>#NAME?</v>
      </c>
      <c r="I1844" t="s">
        <v>3392</v>
      </c>
      <c r="J1844">
        <v>20.9</v>
      </c>
      <c r="K1844" s="2" t="s">
        <v>4532</v>
      </c>
      <c r="L1844">
        <v>4.4000000000000004</v>
      </c>
      <c r="M1844">
        <v>10</v>
      </c>
      <c r="O1844" t="s">
        <v>26</v>
      </c>
      <c r="P1844" t="s">
        <v>39</v>
      </c>
      <c r="Q1844" t="s">
        <v>4499</v>
      </c>
    </row>
    <row r="1845" spans="1:17" ht="15.75" x14ac:dyDescent="0.25">
      <c r="A1845" s="3" t="str">
        <f>HYPERLINK("https://prolisok-store.com/collections/premium/products/3ce-mood-recipe-matte-lip-color-3-concept-eyes-season-2-220-hit-me-up", "https://prolisok-store.com/collections/premium/products/3ce-mood-recipe-matte-lip-color-3-concept-eyes-season-2-220-hit-me-up")</f>
        <v>https://prolisok-store.com/collections/premium/products/3ce-mood-recipe-matte-lip-color-3-concept-eyes-season-2-220-hit-me-up</v>
      </c>
      <c r="B1845"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1845" t="s">
        <v>4414</v>
      </c>
      <c r="D1845" t="s">
        <v>4533</v>
      </c>
      <c r="E1845" s="3" t="str">
        <f>HYPERLINK("https://www.amazon.com/Recipe-Matte-Color-Concept-Season/dp/B077CL1Y59/ref=sr_1_4?keywords=3CE+Mood+Recipe+Matte+Lip+Color+3+Concept+Eyes+Season+2+%28%23220+Hit+Me+Up%29&amp;qid=1695259305&amp;sr=8-4", "https://www.amazon.com/Recipe-Matte-Color-Concept-Season/dp/B077CL1Y59/ref=sr_1_4?keywords=3CE+Mood+Recipe+Matte+Lip+Color+3+Concept+Eyes+Season+2+%28%23220+Hit+Me+Up%29&amp;qid=1695259305&amp;sr=8-4")</f>
        <v>https://www.amazon.com/Recipe-Matte-Color-Concept-Season/dp/B077CL1Y59/ref=sr_1_4?keywords=3CE+Mood+Recipe+Matte+Lip+Color+3+Concept+Eyes+Season+2+%28%23220+Hit+Me+Up%29&amp;qid=1695259305&amp;sr=8-4</v>
      </c>
      <c r="F1845" t="s">
        <v>4534</v>
      </c>
      <c r="G1845" t="e">
        <f ca="1">IMAGE("https://prolisok-store.com/cdn/shop/files/41eAqvNQC-L._SL1000_300x.jpg?v=1693219330")</f>
        <v>#NAME?</v>
      </c>
      <c r="H1845" t="e">
        <f ca="1">IMAGE("https://m.media-amazon.com/images/I/21tv+5J12vL._AC_UL320_.jpg")</f>
        <v>#NAME?</v>
      </c>
      <c r="I1845" t="s">
        <v>3392</v>
      </c>
      <c r="J1845">
        <v>20.86</v>
      </c>
      <c r="K1845" s="2" t="s">
        <v>4535</v>
      </c>
      <c r="L1845">
        <v>4</v>
      </c>
      <c r="M1845">
        <v>39</v>
      </c>
      <c r="O1845" t="s">
        <v>26</v>
      </c>
      <c r="P1845" t="s">
        <v>39</v>
      </c>
      <c r="Q1845" t="s">
        <v>4418</v>
      </c>
    </row>
    <row r="1846" spans="1:17" ht="15.75" x14ac:dyDescent="0.25">
      <c r="A1846" s="3" t="str">
        <f>HYPERLINK("https://prolisok-store.com/collections/premium/products/3ce-mood-recipe-matte-lip-color-116", "https://prolisok-store.com/collections/premium/products/3ce-mood-recipe-matte-lip-color-116")</f>
        <v>https://prolisok-store.com/collections/premium/products/3ce-mood-recipe-matte-lip-color-116</v>
      </c>
      <c r="B1846" s="3" t="str">
        <f>HYPERLINK("https://prolisok-store.com/products/3ce-mood-recipe-matte-lip-color-116", "https://prolisok-store.com/products/3ce-mood-recipe-matte-lip-color-116")</f>
        <v>https://prolisok-store.com/products/3ce-mood-recipe-matte-lip-color-116</v>
      </c>
      <c r="C1846" t="s">
        <v>4363</v>
      </c>
      <c r="D1846" t="s">
        <v>4533</v>
      </c>
      <c r="E1846" s="3" t="str">
        <f>HYPERLINK("https://www.amazon.com/Recipe-Matte-Color-Concept-Season/dp/B077CL1Y59/ref=sr_1_2?keywords=3CE+Mood+Recipe+Matte+Lip+Color%2C+116&amp;qid=1695259303&amp;sr=8-2", "https://www.amazon.com/Recipe-Matte-Color-Concept-Season/dp/B077CL1Y59/ref=sr_1_2?keywords=3CE+Mood+Recipe+Matte+Lip+Color%2C+116&amp;qid=1695259303&amp;sr=8-2")</f>
        <v>https://www.amazon.com/Recipe-Matte-Color-Concept-Season/dp/B077CL1Y59/ref=sr_1_2?keywords=3CE+Mood+Recipe+Matte+Lip+Color%2C+116&amp;qid=1695259303&amp;sr=8-2</v>
      </c>
      <c r="F1846" t="s">
        <v>4534</v>
      </c>
      <c r="G1846" t="e">
        <f ca="1">IMAGE("https://prolisok-store.com/cdn/shop/files/31C87n4RBaL_300x.jpg?v=1693221452")</f>
        <v>#NAME?</v>
      </c>
      <c r="H1846" t="e">
        <f ca="1">IMAGE("https://m.media-amazon.com/images/I/21tv+5J12vL._AC_UL320_.jpg")</f>
        <v>#NAME?</v>
      </c>
      <c r="I1846" t="s">
        <v>3392</v>
      </c>
      <c r="J1846">
        <v>20.86</v>
      </c>
      <c r="K1846" s="2" t="s">
        <v>4535</v>
      </c>
      <c r="L1846">
        <v>4</v>
      </c>
      <c r="M1846">
        <v>39</v>
      </c>
      <c r="O1846" t="s">
        <v>26</v>
      </c>
      <c r="P1846" t="s">
        <v>39</v>
      </c>
      <c r="Q1846" t="s">
        <v>4366</v>
      </c>
    </row>
    <row r="1847" spans="1:17" ht="15.75" x14ac:dyDescent="0.25">
      <c r="A1847" s="3" t="str">
        <f>HYPERLINK("https://prolisok-store.com/collections/premium/products/3ce-mood-recipe-matte-lip-color-909", "https://prolisok-store.com/collections/premium/products/3ce-mood-recipe-matte-lip-color-909")</f>
        <v>https://prolisok-store.com/collections/premium/products/3ce-mood-recipe-matte-lip-color-909</v>
      </c>
      <c r="B1847" s="3" t="str">
        <f>HYPERLINK("https://prolisok-store.com/products/3ce-mood-recipe-matte-lip-color-909", "https://prolisok-store.com/products/3ce-mood-recipe-matte-lip-color-909")</f>
        <v>https://prolisok-store.com/products/3ce-mood-recipe-matte-lip-color-909</v>
      </c>
      <c r="C1847" t="s">
        <v>4358</v>
      </c>
      <c r="D1847" t="s">
        <v>4533</v>
      </c>
      <c r="E1847" s="3" t="str">
        <f>HYPERLINK("https://www.amazon.com/Recipe-Matte-Color-Concept-Season/dp/B077CL1Y59/ref=sr_1_9?keywords=3CE+Mood+Recipe+Matte+Lip+Color%2C+909&amp;qid=1695259303&amp;sr=8-9", "https://www.amazon.com/Recipe-Matte-Color-Concept-Season/dp/B077CL1Y59/ref=sr_1_9?keywords=3CE+Mood+Recipe+Matte+Lip+Color%2C+909&amp;qid=1695259303&amp;sr=8-9")</f>
        <v>https://www.amazon.com/Recipe-Matte-Color-Concept-Season/dp/B077CL1Y59/ref=sr_1_9?keywords=3CE+Mood+Recipe+Matte+Lip+Color%2C+909&amp;qid=1695259303&amp;sr=8-9</v>
      </c>
      <c r="F1847" t="s">
        <v>4534</v>
      </c>
      <c r="G1847" t="e">
        <f ca="1">IMAGE("https://prolisok-store.com/cdn/shop/files/41q_eA_m8iL._SL1000_300x.jpg?v=1693221579")</f>
        <v>#NAME?</v>
      </c>
      <c r="H1847" t="e">
        <f ca="1">IMAGE("https://m.media-amazon.com/images/I/21tv+5J12vL._AC_UL320_.jpg")</f>
        <v>#NAME?</v>
      </c>
      <c r="I1847" t="s">
        <v>3392</v>
      </c>
      <c r="J1847">
        <v>20.86</v>
      </c>
      <c r="K1847" s="2" t="s">
        <v>4535</v>
      </c>
      <c r="L1847">
        <v>4</v>
      </c>
      <c r="M1847">
        <v>39</v>
      </c>
      <c r="O1847" t="s">
        <v>26</v>
      </c>
      <c r="P1847" t="s">
        <v>39</v>
      </c>
      <c r="Q1847" t="s">
        <v>4362</v>
      </c>
    </row>
    <row r="1848" spans="1:17" ht="15.75" x14ac:dyDescent="0.25">
      <c r="A1848" s="3" t="str">
        <f>HYPERLINK("https://prolisok-store.com/collections/premium/products/3ce-velvet-lip-tint-4g-stylenanda-private", "https://prolisok-store.com/collections/premium/products/3ce-velvet-lip-tint-4g-stylenanda-private")</f>
        <v>https://prolisok-store.com/collections/premium/products/3ce-velvet-lip-tint-4g-stylenanda-private</v>
      </c>
      <c r="B1848" s="3" t="str">
        <f>HYPERLINK("https://prolisok-store.com/products/3ce-velvet-lip-tint-4g-stylenanda-private", "https://prolisok-store.com/products/3ce-velvet-lip-tint-4g-stylenanda-private")</f>
        <v>https://prolisok-store.com/products/3ce-velvet-lip-tint-4g-stylenanda-private</v>
      </c>
      <c r="C1848" t="s">
        <v>4495</v>
      </c>
      <c r="D1848" t="s">
        <v>4536</v>
      </c>
      <c r="E1848" s="3" t="str">
        <f>HYPERLINK("https://www.amazon.com/Velvet-colors-Newly-Launched-Stylenanda/dp/B076J8C8XJ/ref=sr_1_4?keywords=3CE+Velvet+Lip+Tint+%284g%29+Stylenanda+%28Private%29&amp;qid=1695259303&amp;sr=8-4", "https://www.amazon.com/Velvet-colors-Newly-Launched-Stylenanda/dp/B076J8C8XJ/ref=sr_1_4?keywords=3CE+Velvet+Lip+Tint+%284g%29+Stylenanda+%28Private%29&amp;qid=1695259303&amp;sr=8-4")</f>
        <v>https://www.amazon.com/Velvet-colors-Newly-Launched-Stylenanda/dp/B076J8C8XJ/ref=sr_1_4?keywords=3CE+Velvet+Lip+Tint+%284g%29+Stylenanda+%28Private%29&amp;qid=1695259303&amp;sr=8-4</v>
      </c>
      <c r="F1848" t="s">
        <v>4537</v>
      </c>
      <c r="G1848" t="e">
        <f ca="1">IMAGE("https://prolisok-store.com/cdn/shop/files/51lsOgwPjWL._SL1000_300x.jpg?v=1683819884")</f>
        <v>#NAME?</v>
      </c>
      <c r="H1848" t="e">
        <f ca="1">IMAGE("https://m.media-amazon.com/images/I/51vIe0hDVvL._AC_UL320_.jpg")</f>
        <v>#NAME?</v>
      </c>
      <c r="I1848" t="s">
        <v>3392</v>
      </c>
      <c r="J1848">
        <v>20.63</v>
      </c>
      <c r="K1848" s="2" t="s">
        <v>4538</v>
      </c>
      <c r="L1848">
        <v>3.3</v>
      </c>
      <c r="M1848">
        <v>30</v>
      </c>
      <c r="O1848" t="s">
        <v>26</v>
      </c>
      <c r="P1848" t="s">
        <v>39</v>
      </c>
      <c r="Q1848" t="s">
        <v>4499</v>
      </c>
    </row>
    <row r="1849" spans="1:17" ht="15.75" x14ac:dyDescent="0.25">
      <c r="A1849" s="3" t="str">
        <f>HYPERLINK("https://prolisok-store.com/collections/premium/products/diptyque-figuier-candle", "https://prolisok-store.com/collections/premium/products/diptyque-figuier-candle")</f>
        <v>https://prolisok-store.com/collections/premium/products/diptyque-figuier-candle</v>
      </c>
      <c r="B1849" s="3" t="str">
        <f>HYPERLINK("https://prolisok-store.com/products/diptyque-figuier-candle", "https://prolisok-store.com/products/diptyque-figuier-candle")</f>
        <v>https://prolisok-store.com/products/diptyque-figuier-candle</v>
      </c>
      <c r="C1849" t="s">
        <v>4419</v>
      </c>
      <c r="D1849" t="s">
        <v>4539</v>
      </c>
      <c r="E1849" s="3" t="str">
        <f>HYPERLINK("https://www.amazon.com/Diptyque-Green-Figuier-Candle-10-2-oz/dp/B00309YVPS/ref=sr_1_4?keywords=Diptyque+Figuier+Candle&amp;qid=1695259309&amp;sr=8-4", "https://www.amazon.com/Diptyque-Green-Figuier-Candle-10-2-oz/dp/B00309YVPS/ref=sr_1_4?keywords=Diptyque+Figuier+Candle&amp;qid=1695259309&amp;sr=8-4")</f>
        <v>https://www.amazon.com/Diptyque-Green-Figuier-Candle-10-2-oz/dp/B00309YVPS/ref=sr_1_4?keywords=Diptyque+Figuier+Candle&amp;qid=1695259309&amp;sr=8-4</v>
      </c>
      <c r="F1849" t="s">
        <v>4540</v>
      </c>
      <c r="G1849" t="e">
        <f ca="1">IMAGE("https://prolisok-store.com/cdn/shop/files/61-a7DkEOyL._AC_SL1024_300x.jpg?v=1693226218")</f>
        <v>#NAME?</v>
      </c>
      <c r="H1849" t="e">
        <f ca="1">IMAGE("https://m.media-amazon.com/images/I/61TATziIU9L._AC_UL320_.jpg")</f>
        <v>#NAME?</v>
      </c>
      <c r="I1849" t="s">
        <v>3476</v>
      </c>
      <c r="J1849">
        <v>102</v>
      </c>
      <c r="K1849" s="2" t="s">
        <v>4541</v>
      </c>
      <c r="L1849">
        <v>4.0999999999999996</v>
      </c>
      <c r="M1849">
        <v>44</v>
      </c>
      <c r="O1849" t="s">
        <v>26</v>
      </c>
      <c r="P1849" t="s">
        <v>39</v>
      </c>
      <c r="Q1849" t="s">
        <v>4423</v>
      </c>
    </row>
    <row r="1850" spans="1:17" ht="15.75" x14ac:dyDescent="0.25">
      <c r="A1850" s="3" t="str">
        <f>HYPERLINK("https://prolisok-store.com/collections/premium/products/3ce-new-mood-recipe-face-blush-style-nanda-3-concept-eyes-mono-pink", "https://prolisok-store.com/collections/premium/products/3ce-new-mood-recipe-face-blush-style-nanda-3-concept-eyes-mono-pink")</f>
        <v>https://prolisok-store.com/collections/premium/products/3ce-new-mood-recipe-face-blush-style-nanda-3-concept-eyes-mono-pink</v>
      </c>
      <c r="B1850" s="3" t="str">
        <f>HYPERLINK("https://prolisok-store.com/products/3ce-new-mood-recipe-face-blush-style-nanda-3-concept-eyes-mono-pink", "https://prolisok-store.com/products/3ce-new-mood-recipe-face-blush-style-nanda-3-concept-eyes-mono-pink")</f>
        <v>https://prolisok-store.com/products/3ce-new-mood-recipe-face-blush-style-nanda-3-concept-eyes-mono-pink</v>
      </c>
      <c r="C1850" t="s">
        <v>4542</v>
      </c>
      <c r="D1850" t="s">
        <v>4543</v>
      </c>
      <c r="E1850" s="3" t="str">
        <f>HYPERLINK("https://www.amazon.com/Recipe-Blush-Style-Concept-Season/dp/B077CKPKH1/ref=sr_1_2?keywords=3CE+NEW+Mood+Recipe+Face+Blush+Style+Nanda+3+Concept+Eyes+%28Mono+Pink%29&amp;qid=1695259307&amp;sr=8-2", "https://www.amazon.com/Recipe-Blush-Style-Concept-Season/dp/B077CKPKH1/ref=sr_1_2?keywords=3CE+NEW+Mood+Recipe+Face+Blush+Style+Nanda+3+Concept+Eyes+%28Mono+Pink%29&amp;qid=1695259307&amp;sr=8-2")</f>
        <v>https://www.amazon.com/Recipe-Blush-Style-Concept-Season/dp/B077CKPKH1/ref=sr_1_2?keywords=3CE+NEW+Mood+Recipe+Face+Blush+Style+Nanda+3+Concept+Eyes+%28Mono+Pink%29&amp;qid=1695259307&amp;sr=8-2</v>
      </c>
      <c r="F1850" t="s">
        <v>4544</v>
      </c>
      <c r="G1850" t="e">
        <f ca="1">IMAGE("https://prolisok-store.com/cdn/shop/files/41mwDCFhDfL_300x.jpg?v=1683820366")</f>
        <v>#NAME?</v>
      </c>
      <c r="H1850" t="e">
        <f ca="1">IMAGE("https://m.media-amazon.com/images/I/31BJ6j6MJLL._AC_UL320_.jpg")</f>
        <v>#NAME?</v>
      </c>
      <c r="I1850" t="s">
        <v>3392</v>
      </c>
      <c r="J1850">
        <v>20.29</v>
      </c>
      <c r="K1850" s="2" t="s">
        <v>4545</v>
      </c>
      <c r="L1850">
        <v>4.3</v>
      </c>
      <c r="M1850">
        <v>45</v>
      </c>
      <c r="O1850" t="s">
        <v>26</v>
      </c>
      <c r="P1850" t="s">
        <v>39</v>
      </c>
      <c r="Q1850" t="s">
        <v>4546</v>
      </c>
    </row>
    <row r="1851" spans="1:17" ht="15.75" x14ac:dyDescent="0.25">
      <c r="A1851" s="3" t="str">
        <f>HYPERLINK("https://prolisok-store.com/collections/premium/products/3ce-mood-recipe-face-blush-rose-beige", "https://prolisok-store.com/collections/premium/products/3ce-mood-recipe-face-blush-rose-beige")</f>
        <v>https://prolisok-store.com/collections/premium/products/3ce-mood-recipe-face-blush-rose-beige</v>
      </c>
      <c r="B1851" s="3" t="str">
        <f>HYPERLINK("https://prolisok-store.com/products/3ce-mood-recipe-face-blush-rose-beige", "https://prolisok-store.com/products/3ce-mood-recipe-face-blush-rose-beige")</f>
        <v>https://prolisok-store.com/products/3ce-mood-recipe-face-blush-rose-beige</v>
      </c>
      <c r="C1851" t="s">
        <v>4404</v>
      </c>
      <c r="D1851" t="s">
        <v>4543</v>
      </c>
      <c r="E1851" s="3" t="str">
        <f>HYPERLINK("https://www.amazon.com/Recipe-Blush-Style-Concept-Season/dp/B077CKPKH1/ref=sr_1_6?keywords=3CE+Mood+Recipe+Face+Blush+-&amp;qid=1695259301&amp;sr=8-6", "https://www.amazon.com/Recipe-Blush-Style-Concept-Season/dp/B077CKPKH1/ref=sr_1_6?keywords=3CE+Mood+Recipe+Face+Blush+-&amp;qid=1695259301&amp;sr=8-6")</f>
        <v>https://www.amazon.com/Recipe-Blush-Style-Concept-Season/dp/B077CKPKH1/ref=sr_1_6?keywords=3CE+Mood+Recipe+Face+Blush+-&amp;qid=1695259301&amp;sr=8-6</v>
      </c>
      <c r="F1851" t="s">
        <v>4544</v>
      </c>
      <c r="G1851" t="e">
        <f ca="1">IMAGE("https://prolisok-store.com/cdn/shop/files/31TTnrkqldL_300x.jpg?v=1683820558")</f>
        <v>#NAME?</v>
      </c>
      <c r="H1851" t="e">
        <f ca="1">IMAGE("https://m.media-amazon.com/images/I/31BJ6j6MJLL._AC_UL320_.jpg")</f>
        <v>#NAME?</v>
      </c>
      <c r="I1851" t="s">
        <v>3392</v>
      </c>
      <c r="J1851">
        <v>20.29</v>
      </c>
      <c r="K1851" s="2" t="s">
        <v>4545</v>
      </c>
      <c r="L1851">
        <v>4.3</v>
      </c>
      <c r="M1851">
        <v>45</v>
      </c>
      <c r="O1851" t="s">
        <v>26</v>
      </c>
      <c r="P1851" t="s">
        <v>39</v>
      </c>
      <c r="Q1851" t="s">
        <v>4408</v>
      </c>
    </row>
    <row r="1852" spans="1:17" ht="15.75" x14ac:dyDescent="0.25">
      <c r="A1852" s="3" t="str">
        <f>HYPERLINK("https://prolisok-store.com/collections/premium/products/estee-lauder-advanced-night-repair-synchronized-multi-recovery-complex-unisex-1-7-oz", "https://prolisok-store.com/collections/premium/products/estee-lauder-advanced-night-repair-synchronized-multi-recovery-complex-unisex-1-7-oz")</f>
        <v>https://prolisok-store.com/collections/premium/products/estee-lauder-advanced-night-repair-synchronized-multi-recovery-complex-unisex-1-7-oz</v>
      </c>
      <c r="B1852"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1852" t="s">
        <v>4547</v>
      </c>
      <c r="D1852" t="s">
        <v>4548</v>
      </c>
      <c r="E1852" s="3" t="str">
        <f>HYPERLINK("https://www.amazon.com/Estee-Lauder-Advanced-Synchronized-Multi-Recovery/dp/B093FGRR8F/ref=sr_1_3?keywords=Estee+Lauder+Advanced+Night+Repair+Synchronized+Multi-Recovery+Complex%2C+Unisex%2C+1.7+Oz&amp;qid=1695259294&amp;sr=8-3", "https://www.amazon.com/Estee-Lauder-Advanced-Synchronized-Multi-Recovery/dp/B093FGRR8F/ref=sr_1_3?keywords=Estee+Lauder+Advanced+Night+Repair+Synchronized+Multi-Recovery+Complex%2C+Unisex%2C+1.7+Oz&amp;qid=1695259294&amp;sr=8-3")</f>
        <v>https://www.amazon.com/Estee-Lauder-Advanced-Synchronized-Multi-Recovery/dp/B093FGRR8F/ref=sr_1_3?keywords=Estee+Lauder+Advanced+Night+Repair+Synchronized+Multi-Recovery+Complex%2C+Unisex%2C+1.7+Oz&amp;qid=1695259294&amp;sr=8-3</v>
      </c>
      <c r="F1852" t="s">
        <v>4549</v>
      </c>
      <c r="G1852" t="e">
        <f ca="1">IMAGE("https://prolisok-store.com/cdn/shop/files/511qVnU1eNL._SL1000_300x.jpg?v=1687507525")</f>
        <v>#NAME?</v>
      </c>
      <c r="H1852" t="e">
        <f ca="1">IMAGE("https://m.media-amazon.com/images/I/61G0S4CUiUL._AC_UL320_.jpg")</f>
        <v>#NAME?</v>
      </c>
      <c r="I1852" t="s">
        <v>3476</v>
      </c>
      <c r="J1852">
        <v>99.95</v>
      </c>
      <c r="K1852" s="2" t="s">
        <v>4550</v>
      </c>
      <c r="L1852">
        <v>3.5</v>
      </c>
      <c r="M1852">
        <v>12</v>
      </c>
      <c r="O1852" t="s">
        <v>26</v>
      </c>
      <c r="P1852" t="s">
        <v>39</v>
      </c>
      <c r="Q1852" t="s">
        <v>4551</v>
      </c>
    </row>
    <row r="1853" spans="1:17" ht="15.75" x14ac:dyDescent="0.25">
      <c r="A1853" s="3" t="str">
        <f>HYPERLINK("https://prolisok-store.com/collections/premium/products/estee-lauder-advanced-night-repair-synchronized-multi-recovery-complex-unisex-1-7-oz", "https://prolisok-store.com/collections/premium/products/estee-lauder-advanced-night-repair-synchronized-multi-recovery-complex-unisex-1-7-oz")</f>
        <v>https://prolisok-store.com/collections/premium/products/estee-lauder-advanced-night-repair-synchronized-multi-recovery-complex-unisex-1-7-oz</v>
      </c>
      <c r="B1853"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1853" t="s">
        <v>4547</v>
      </c>
      <c r="D1853" t="s">
        <v>4552</v>
      </c>
      <c r="E1853" s="3" t="str">
        <f>HYPERLINK("https://www.amazon.com/Lauder-Advanced-Synchronized-Multi-Recovery-Complex/dp/B08HRNFY49/ref=sr_1_4?keywords=Estee+Lauder+Advanced+Night+Repair+Synchronized+Multi-Recovery+Complex%2C+Unisex%2C+1.7+Oz&amp;qid=1695259294&amp;sr=8-4", "https://www.amazon.com/Lauder-Advanced-Synchronized-Multi-Recovery-Complex/dp/B08HRNFY49/ref=sr_1_4?keywords=Estee+Lauder+Advanced+Night+Repair+Synchronized+Multi-Recovery+Complex%2C+Unisex%2C+1.7+Oz&amp;qid=1695259294&amp;sr=8-4")</f>
        <v>https://www.amazon.com/Lauder-Advanced-Synchronized-Multi-Recovery-Complex/dp/B08HRNFY49/ref=sr_1_4?keywords=Estee+Lauder+Advanced+Night+Repair+Synchronized+Multi-Recovery+Complex%2C+Unisex%2C+1.7+Oz&amp;qid=1695259294&amp;sr=8-4</v>
      </c>
      <c r="F1853" t="s">
        <v>4553</v>
      </c>
      <c r="G1853" t="e">
        <f ca="1">IMAGE("https://prolisok-store.com/cdn/shop/files/511qVnU1eNL._SL1000_300x.jpg?v=1687507525")</f>
        <v>#NAME?</v>
      </c>
      <c r="H1853" t="e">
        <f ca="1">IMAGE("https://m.media-amazon.com/images/I/611NuVh5ikL._AC_UL320_.jpg")</f>
        <v>#NAME?</v>
      </c>
      <c r="I1853" t="s">
        <v>3476</v>
      </c>
      <c r="J1853">
        <v>99.95</v>
      </c>
      <c r="K1853" s="2" t="s">
        <v>4550</v>
      </c>
      <c r="L1853">
        <v>4.3</v>
      </c>
      <c r="M1853">
        <v>62</v>
      </c>
      <c r="O1853" t="s">
        <v>26</v>
      </c>
      <c r="P1853" t="s">
        <v>39</v>
      </c>
      <c r="Q1853" t="s">
        <v>4551</v>
      </c>
    </row>
    <row r="1854" spans="1:17" ht="15.75" x14ac:dyDescent="0.25">
      <c r="A1854" s="3" t="str">
        <f>HYPERLINK("https://prolisok-store.com/collections/premium/products/loewe-001-man-3-4-oz-eau-de-parfum-spray", "https://prolisok-store.com/collections/premium/products/loewe-001-man-3-4-oz-eau-de-parfum-spray")</f>
        <v>https://prolisok-store.com/collections/premium/products/loewe-001-man-3-4-oz-eau-de-parfum-spray</v>
      </c>
      <c r="B1854" s="3" t="str">
        <f>HYPERLINK("https://prolisok-store.com/products/loewe-001-man-3-4-oz-eau-de-parfum-spray", "https://prolisok-store.com/products/loewe-001-man-3-4-oz-eau-de-parfum-spray")</f>
        <v>https://prolisok-store.com/products/loewe-001-man-3-4-oz-eau-de-parfum-spray</v>
      </c>
      <c r="C1854" t="s">
        <v>4554</v>
      </c>
      <c r="D1854" t="s">
        <v>4555</v>
      </c>
      <c r="E1854" s="3" t="str">
        <f>HYPERLINK("https://www.amazon.com/Loewe-Woman-Parfum-Spray-Women/dp/B084BJ1BNC/ref=sr_1_2?keywords=loewe+001+man+3.4+oz+eau+de+parfum+spray&amp;qid=1695259287&amp;sr=8-2", "https://www.amazon.com/Loewe-Woman-Parfum-Spray-Women/dp/B084BJ1BNC/ref=sr_1_2?keywords=loewe+001+man+3.4+oz+eau+de+parfum+spray&amp;qid=1695259287&amp;sr=8-2")</f>
        <v>https://www.amazon.com/Loewe-Woman-Parfum-Spray-Women/dp/B084BJ1BNC/ref=sr_1_2?keywords=loewe+001+man+3.4+oz+eau+de+parfum+spray&amp;qid=1695259287&amp;sr=8-2</v>
      </c>
      <c r="F1854" t="s">
        <v>4556</v>
      </c>
      <c r="G1854" t="e">
        <f ca="1">IMAGE("https://prolisok-store.com/cdn/shop/products/Loewe001Man3.4oz_300x.jpg?v=1683715745")</f>
        <v>#NAME?</v>
      </c>
      <c r="H1854" t="e">
        <f ca="1">IMAGE("https://m.media-amazon.com/images/I/51PdIceBBtL._AC_UL320_.jpg")</f>
        <v>#NAME?</v>
      </c>
      <c r="I1854" t="s">
        <v>3476</v>
      </c>
      <c r="J1854">
        <v>99.42</v>
      </c>
      <c r="K1854" s="2" t="s">
        <v>4557</v>
      </c>
      <c r="L1854">
        <v>4.4000000000000004</v>
      </c>
      <c r="M1854">
        <v>22</v>
      </c>
      <c r="O1854" t="s">
        <v>26</v>
      </c>
      <c r="P1854" t="s">
        <v>2994</v>
      </c>
      <c r="Q1854" t="s">
        <v>4558</v>
      </c>
    </row>
    <row r="1855" spans="1:17" ht="15.75" x14ac:dyDescent="0.25">
      <c r="A1855" s="3" t="str">
        <f>HYPERLINK("https://prolisok-store.com/collections/premium/products/atelier-cologne-oolang-infini-cologne-3-3-ounce", "https://prolisok-store.com/collections/premium/products/atelier-cologne-oolang-infini-cologne-3-3-ounce")</f>
        <v>https://prolisok-store.com/collections/premium/products/atelier-cologne-oolang-infini-cologne-3-3-ounce</v>
      </c>
      <c r="B1855" s="3" t="str">
        <f>HYPERLINK("https://prolisok-store.com/products/atelier-cologne-oolang-infini-cologne-3-3-ounce", "https://prolisok-store.com/products/atelier-cologne-oolang-infini-cologne-3-3-ounce")</f>
        <v>https://prolisok-store.com/products/atelier-cologne-oolang-infini-cologne-3-3-ounce</v>
      </c>
      <c r="C1855" t="s">
        <v>4349</v>
      </c>
      <c r="D1855" t="s">
        <v>4559</v>
      </c>
      <c r="E1855" s="3" t="str">
        <f>HYPERLINK("https://www.amazon.com/Atelier-Cologne-Trefle-Pur-Ounce/dp/B009TQ5PMO/ref=sr_1_4?keywords=atelier+cologne+oolong+infini+cologne%2C+3.3+ounce&amp;qid=1695259290&amp;sr=8-4", "https://www.amazon.com/Atelier-Cologne-Trefle-Pur-Ounce/dp/B009TQ5PMO/ref=sr_1_4?keywords=atelier+cologne+oolong+infini+cologne%2C+3.3+ounce&amp;qid=1695259290&amp;sr=8-4")</f>
        <v>https://www.amazon.com/Atelier-Cologne-Trefle-Pur-Ounce/dp/B009TQ5PMO/ref=sr_1_4?keywords=atelier+cologne+oolong+infini+cologne%2C+3.3+ounce&amp;qid=1695259290&amp;sr=8-4</v>
      </c>
      <c r="F1855" t="s">
        <v>4560</v>
      </c>
      <c r="G1855" t="e">
        <f ca="1">IMAGE("https://prolisok-store.com/cdn/shop/products/AtelierCologneOolangInfini-1_300x.jpg?v=1683715757")</f>
        <v>#NAME?</v>
      </c>
      <c r="H1855" t="e">
        <f ca="1">IMAGE("https://m.media-amazon.com/images/I/61dGpAqVN-L._AC_UL320_.jpg")</f>
        <v>#NAME?</v>
      </c>
      <c r="I1855" t="s">
        <v>4346</v>
      </c>
      <c r="J1855">
        <v>119.68</v>
      </c>
      <c r="K1855" s="2" t="s">
        <v>4561</v>
      </c>
      <c r="L1855">
        <v>4.0999999999999996</v>
      </c>
      <c r="M1855">
        <v>9</v>
      </c>
      <c r="O1855" t="s">
        <v>26</v>
      </c>
      <c r="P1855" t="s">
        <v>39</v>
      </c>
      <c r="Q1855" t="s">
        <v>4353</v>
      </c>
    </row>
    <row r="1856" spans="1:17" ht="15.75" x14ac:dyDescent="0.25">
      <c r="A1856" s="3" t="str">
        <f>HYPERLINK("https://prolisok-store.com/collections/premium/products/3ce-velvet-lip-tint-4g-stylenanda-private", "https://prolisok-store.com/collections/premium/products/3ce-velvet-lip-tint-4g-stylenanda-private")</f>
        <v>https://prolisok-store.com/collections/premium/products/3ce-velvet-lip-tint-4g-stylenanda-private</v>
      </c>
      <c r="B1856" s="3" t="str">
        <f>HYPERLINK("https://prolisok-store.com/products/3ce-velvet-lip-tint-4g-stylenanda-private", "https://prolisok-store.com/products/3ce-velvet-lip-tint-4g-stylenanda-private")</f>
        <v>https://prolisok-store.com/products/3ce-velvet-lip-tint-4g-stylenanda-private</v>
      </c>
      <c r="C1856" t="s">
        <v>4495</v>
      </c>
      <c r="D1856" t="s">
        <v>4562</v>
      </c>
      <c r="E1856" s="3" t="str">
        <f>HYPERLINK("https://www.amazon.com/3CE-Velvet-Launched-Stylenanda-Childlike/dp/B076J8T94Z/ref=sr_1_3?keywords=3CE+Velvet+Lip+Tint+%284g%29+Stylenanda+%28Private%29&amp;qid=1695259303&amp;sr=8-3", "https://www.amazon.com/3CE-Velvet-Launched-Stylenanda-Childlike/dp/B076J8T94Z/ref=sr_1_3?keywords=3CE+Velvet+Lip+Tint+%284g%29+Stylenanda+%28Private%29&amp;qid=1695259303&amp;sr=8-3")</f>
        <v>https://www.amazon.com/3CE-Velvet-Launched-Stylenanda-Childlike/dp/B076J8T94Z/ref=sr_1_3?keywords=3CE+Velvet+Lip+Tint+%284g%29+Stylenanda+%28Private%29&amp;qid=1695259303&amp;sr=8-3</v>
      </c>
      <c r="F1856" t="s">
        <v>4563</v>
      </c>
      <c r="G1856" t="e">
        <f ca="1">IMAGE("https://prolisok-store.com/cdn/shop/files/51lsOgwPjWL._SL1000_300x.jpg?v=1683819884")</f>
        <v>#NAME?</v>
      </c>
      <c r="H1856" t="e">
        <f ca="1">IMAGE("https://m.media-amazon.com/images/I/51jcI8m3SjL._AC_UL320_.jpg")</f>
        <v>#NAME?</v>
      </c>
      <c r="I1856" t="s">
        <v>3392</v>
      </c>
      <c r="J1856">
        <v>19</v>
      </c>
      <c r="K1856" s="2" t="s">
        <v>4564</v>
      </c>
      <c r="L1856">
        <v>3.8</v>
      </c>
      <c r="M1856">
        <v>13</v>
      </c>
      <c r="O1856" t="s">
        <v>26</v>
      </c>
      <c r="P1856" t="s">
        <v>39</v>
      </c>
      <c r="Q1856" t="s">
        <v>4499</v>
      </c>
    </row>
    <row r="1857" spans="1:17" ht="15.75" x14ac:dyDescent="0.25">
      <c r="A1857" s="3" t="str">
        <f>HYPERLINK("https://prolisok-store.com/collections/premium/products/3ce-velvet-lip-tint-4g-ea-stylenanda-childlike", "https://prolisok-store.com/collections/premium/products/3ce-velvet-lip-tint-4g-ea-stylenanda-childlike")</f>
        <v>https://prolisok-store.com/collections/premium/products/3ce-velvet-lip-tint-4g-ea-stylenanda-childlike</v>
      </c>
      <c r="B1857" s="3" t="str">
        <f>HYPERLINK("https://prolisok-store.com/products/3ce-velvet-lip-tint-4g-ea-stylenanda-childlike", "https://prolisok-store.com/products/3ce-velvet-lip-tint-4g-ea-stylenanda-childlike")</f>
        <v>https://prolisok-store.com/products/3ce-velvet-lip-tint-4g-ea-stylenanda-childlike</v>
      </c>
      <c r="C1857" t="s">
        <v>4565</v>
      </c>
      <c r="D1857" t="s">
        <v>4562</v>
      </c>
      <c r="E1857" s="3" t="str">
        <f>HYPERLINK("https://www.amazon.com/3CE-Velvet-Launched-Stylenanda-Childlike/dp/B076J8T94Z/ref=sr_1_2?keywords=3CE+Velvet+Lip+Tint+%284g%2Fea%29+Stylenanda+%28Childlike%29&amp;qid=1695259305&amp;sr=8-2", "https://www.amazon.com/3CE-Velvet-Launched-Stylenanda-Childlike/dp/B076J8T94Z/ref=sr_1_2?keywords=3CE+Velvet+Lip+Tint+%284g%2Fea%29+Stylenanda+%28Childlike%29&amp;qid=1695259305&amp;sr=8-2")</f>
        <v>https://www.amazon.com/3CE-Velvet-Launched-Stylenanda-Childlike/dp/B076J8T94Z/ref=sr_1_2?keywords=3CE+Velvet+Lip+Tint+%284g%2Fea%29+Stylenanda+%28Childlike%29&amp;qid=1695259305&amp;sr=8-2</v>
      </c>
      <c r="F1857" t="s">
        <v>4563</v>
      </c>
      <c r="G1857" t="e">
        <f ca="1">IMAGE("https://prolisok-store.com/cdn/shop/files/51jcI8m3SjL._SL1000_300x.jpg?v=1683818942")</f>
        <v>#NAME?</v>
      </c>
      <c r="H1857" t="e">
        <f ca="1">IMAGE("https://m.media-amazon.com/images/I/51jcI8m3SjL._AC_UL320_.jpg")</f>
        <v>#NAME?</v>
      </c>
      <c r="I1857" t="s">
        <v>3392</v>
      </c>
      <c r="J1857">
        <v>19</v>
      </c>
      <c r="K1857" s="2" t="s">
        <v>4564</v>
      </c>
      <c r="L1857">
        <v>3.8</v>
      </c>
      <c r="M1857">
        <v>13</v>
      </c>
      <c r="O1857" t="s">
        <v>26</v>
      </c>
      <c r="P1857" t="s">
        <v>39</v>
      </c>
      <c r="Q1857" t="s">
        <v>4566</v>
      </c>
    </row>
    <row r="1858" spans="1:17" ht="15.75" x14ac:dyDescent="0.25">
      <c r="A1858" s="3" t="str">
        <f>HYPERLINK("https://prolisok-store.com/collections/premium/products/kilian-eau-de-parfum-refillable-spray-1-7-oz", "https://prolisok-store.com/collections/premium/products/kilian-eau-de-parfum-refillable-spray-1-7-oz")</f>
        <v>https://prolisok-store.com/collections/premium/products/kilian-eau-de-parfum-refillable-spray-1-7-oz</v>
      </c>
      <c r="B1858" s="3" t="str">
        <f>HYPERLINK("https://prolisok-store.com/products/kilian-eau-de-parfum-refillable-spray-1-7-oz", "https://prolisok-store.com/products/kilian-eau-de-parfum-refillable-spray-1-7-oz")</f>
        <v>https://prolisok-store.com/products/kilian-eau-de-parfum-refillable-spray-1-7-oz</v>
      </c>
      <c r="C1858" t="s">
        <v>4567</v>
      </c>
      <c r="D1858" t="s">
        <v>4568</v>
      </c>
      <c r="E1858" s="3" t="str">
        <f>HYPERLINK("https://www.amazon.com/Kilian-Aphrodisiac-Refillable-Parfum-Unisex/dp/B002U79OQC/ref=sr_1_3?keywords=Kilian+Eau+De+Parfum+Refillable+Spray+1.7+oz&amp;qid=1695259299&amp;sr=8-3", "https://www.amazon.com/Kilian-Aphrodisiac-Refillable-Parfum-Unisex/dp/B002U79OQC/ref=sr_1_3?keywords=Kilian+Eau+De+Parfum+Refillable+Spray+1.7+oz&amp;qid=1695259299&amp;sr=8-3")</f>
        <v>https://www.amazon.com/Kilian-Aphrodisiac-Refillable-Parfum-Unisex/dp/B002U79OQC/ref=sr_1_3?keywords=Kilian+Eau+De+Parfum+Refillable+Spray+1.7+oz&amp;qid=1695259299&amp;sr=8-3</v>
      </c>
      <c r="F1858" t="s">
        <v>4569</v>
      </c>
      <c r="G1858" t="e">
        <f ca="1">IMAGE("https://prolisok-store.com/cdn/shop/files/41qHQCLW06L._SL1000_300x.jpg?v=1690803520")</f>
        <v>#NAME?</v>
      </c>
      <c r="H1858" t="e">
        <f ca="1">IMAGE("https://m.media-amazon.com/images/I/61YZYhzcEvL._AC_UL320_.jpg")</f>
        <v>#NAME?</v>
      </c>
      <c r="I1858" t="s">
        <v>4570</v>
      </c>
      <c r="J1858">
        <v>284.82</v>
      </c>
      <c r="K1858" s="2" t="s">
        <v>4571</v>
      </c>
      <c r="L1858">
        <v>4.0999999999999996</v>
      </c>
      <c r="M1858">
        <v>10</v>
      </c>
      <c r="O1858" t="s">
        <v>26</v>
      </c>
      <c r="P1858" t="s">
        <v>39</v>
      </c>
      <c r="Q1858" t="s">
        <v>4572</v>
      </c>
    </row>
    <row r="1859" spans="1:17" ht="15.75" x14ac:dyDescent="0.25">
      <c r="A1859" s="3" t="str">
        <f>HYPERLINK("https://prolisok-store.com/collections/premium/products/obagi-professional-c-serum-20-vitamin-c-facial-serum-with-concentrated-20-l-ascorbic-acid-for-normal-to-oily-skin-1-0-fl-oz", "https://prolisok-store.com/collections/premium/products/obagi-professional-c-serum-20-vitamin-c-facial-serum-with-concentrated-20-l-ascorbic-acid-for-normal-to-oily-skin-1-0-fl-oz")</f>
        <v>https://prolisok-store.com/collections/premium/products/obagi-professional-c-serum-20-vitamin-c-facial-serum-with-concentrated-20-l-ascorbic-acid-for-normal-to-oily-skin-1-0-fl-oz</v>
      </c>
      <c r="B1859" s="3" t="str">
        <f>HYPERLINK("https://prolisok-store.com/products/obagi-professional-c-serum-20-vitamin-c-facial-serum-with-concentrated-20-l-ascorbic-acid-for-normal-to-oily-skin-1-0-fl-oz", "https://prolisok-store.com/products/obagi-professional-c-serum-20-vitamin-c-facial-serum-with-concentrated-20-l-ascorbic-acid-for-normal-to-oily-skin-1-0-fl-oz")</f>
        <v>https://prolisok-store.com/products/obagi-professional-c-serum-20-vitamin-c-facial-serum-with-concentrated-20-l-ascorbic-acid-for-normal-to-oily-skin-1-0-fl-oz</v>
      </c>
      <c r="C1859" t="s">
        <v>4354</v>
      </c>
      <c r="D1859" t="s">
        <v>4354</v>
      </c>
      <c r="E1859" s="3" t="str">
        <f>HYPERLINK("https://www.amazon.com/Obagi-Professional-C-Serum-Fl-Oz/dp/B00F6XZZMY/ref=sr_1_1?keywords=Obagi+Professional+C+Serum+20%25%2C+Vitamin+C+Facial+Serum+with+Concentrated+20%25+L+Ascorbic+Acid+for+Normal+to+Oily+Skin%2C+1.0+Fl+Oz&amp;qid=1695259286&amp;rdc=1&amp;sr=8-1", "https://www.amazon.com/Obagi-Professional-C-Serum-Fl-Oz/dp/B00F6XZZMY/ref=sr_1_1?keywords=Obagi+Professional+C+Serum+20%25%2C+Vitamin+C+Facial+Serum+with+Concentrated+20%25+L+Ascorbic+Acid+for+Normal+to+Oily+Skin%2C+1.0+Fl+Oz&amp;qid=1695259286&amp;rdc=1&amp;sr=8-1")</f>
        <v>https://www.amazon.com/Obagi-Professional-C-Serum-Fl-Oz/dp/B00F6XZZMY/ref=sr_1_1?keywords=Obagi+Professional+C+Serum+20%25%2C+Vitamin+C+Facial+Serum+with+Concentrated+20%25+L+Ascorbic+Acid+for+Normal+to+Oily+Skin%2C+1.0+Fl+Oz&amp;qid=1695259286&amp;rdc=1&amp;sr=8-1</v>
      </c>
      <c r="F1859" t="s">
        <v>4483</v>
      </c>
      <c r="G1859" t="e">
        <f ca="1">IMAGE("https://prolisok-store.com/cdn/shop/files/71nOSCHqa9L._SL1500_300x.jpg?v=1682416466")</f>
        <v>#NAME?</v>
      </c>
      <c r="H1859" t="e">
        <f ca="1">IMAGE("https://m.media-amazon.com/images/I/513F4gFv5NL._AC_UL320_.jpg")</f>
        <v>#NAME?</v>
      </c>
      <c r="I1859" t="s">
        <v>4355</v>
      </c>
      <c r="J1859">
        <v>142</v>
      </c>
      <c r="K1859" s="2" t="s">
        <v>4573</v>
      </c>
      <c r="L1859">
        <v>4.5999999999999996</v>
      </c>
      <c r="M1859">
        <v>1513</v>
      </c>
      <c r="O1859" t="s">
        <v>26</v>
      </c>
      <c r="P1859" t="s">
        <v>39</v>
      </c>
      <c r="Q1859" t="s">
        <v>4357</v>
      </c>
    </row>
    <row r="1860" spans="1:17" ht="15.75" x14ac:dyDescent="0.25">
      <c r="A1860" s="3" t="str">
        <f>HYPERLINK("https://prolisok-store.com/collections/premium/products/clarins-extra-firming-neck-and-decollete-cream", "https://prolisok-store.com/collections/premium/products/clarins-extra-firming-neck-and-decollete-cream")</f>
        <v>https://prolisok-store.com/collections/premium/products/clarins-extra-firming-neck-and-decollete-cream</v>
      </c>
      <c r="B1860" s="3" t="str">
        <f>HYPERLINK("https://prolisok-store.com/products/clarins-extra-firming-neck-and-decollete-cream", "https://prolisok-store.com/products/clarins-extra-firming-neck-and-decollete-cream")</f>
        <v>https://prolisok-store.com/products/clarins-extra-firming-neck-and-decollete-cream</v>
      </c>
      <c r="C1860" t="s">
        <v>4574</v>
      </c>
      <c r="D1860" t="s">
        <v>4575</v>
      </c>
      <c r="E1860" s="3" t="str">
        <f>HYPERLINK("https://www.amazon.com/Clarins-Super-Restorative-D%C3%A9colett%C3%A9-Concentrate/dp/B01BG0SS4M/ref=sr_1_2?keywords=Clarins+Extra-Firming+Neck+and+D%C3%A9collet%C3%A9+Cream&amp;qid=1695259301&amp;sr=8-2", "https://www.amazon.com/Clarins-Super-Restorative-D%C3%A9colett%C3%A9-Concentrate/dp/B01BG0SS4M/ref=sr_1_2?keywords=Clarins+Extra-Firming+Neck+and+D%C3%A9collet%C3%A9+Cream&amp;qid=1695259301&amp;sr=8-2")</f>
        <v>https://www.amazon.com/Clarins-Super-Restorative-D%C3%A9colett%C3%A9-Concentrate/dp/B01BG0SS4M/ref=sr_1_2?keywords=Clarins+Extra-Firming+Neck+and+D%C3%A9collet%C3%A9+Cream&amp;qid=1695259301&amp;sr=8-2</v>
      </c>
      <c r="F1860" t="s">
        <v>4576</v>
      </c>
      <c r="G1860" t="e">
        <f ca="1">IMAGE("https://prolisok-store.com/cdn/shop/files/6188DnkFSjL._SL1500_300x.jpg?v=1682417456")</f>
        <v>#NAME?</v>
      </c>
      <c r="H1860" t="e">
        <f ca="1">IMAGE("https://m.media-amazon.com/images/I/51Jpj2StusL._AC_UL320_.jpg")</f>
        <v>#NAME?</v>
      </c>
      <c r="I1860" t="s">
        <v>4346</v>
      </c>
      <c r="J1860">
        <v>118</v>
      </c>
      <c r="K1860" s="2" t="s">
        <v>4577</v>
      </c>
      <c r="L1860">
        <v>4.5999999999999996</v>
      </c>
      <c r="M1860">
        <v>1219</v>
      </c>
      <c r="O1860" t="s">
        <v>26</v>
      </c>
      <c r="P1860" t="s">
        <v>39</v>
      </c>
      <c r="Q1860" t="s">
        <v>4578</v>
      </c>
    </row>
    <row r="1861" spans="1:17" ht="15.75" x14ac:dyDescent="0.25">
      <c r="A1861" s="3" t="str">
        <f>HYPERLINK("https://prolisok-store.com/collections/premium/products/diptyque-tam-dao-eau-de-toilette-3-4-oz", "https://prolisok-store.com/collections/premium/products/diptyque-tam-dao-eau-de-toilette-3-4-oz")</f>
        <v>https://prolisok-store.com/collections/premium/products/diptyque-tam-dao-eau-de-toilette-3-4-oz</v>
      </c>
      <c r="B1861" s="3" t="str">
        <f>HYPERLINK("https://prolisok-store.com/products/diptyque-tam-dao-eau-de-toilette-3-4-oz", "https://prolisok-store.com/products/diptyque-tam-dao-eau-de-toilette-3-4-oz")</f>
        <v>https://prolisok-store.com/products/diptyque-tam-dao-eau-de-toilette-3-4-oz</v>
      </c>
      <c r="C1861" t="s">
        <v>4488</v>
      </c>
      <c r="D1861" t="s">
        <v>4579</v>
      </c>
      <c r="E1861" s="3" t="str">
        <f>HYPERLINK("https://www.amazon.com/Diptyque-Tam-Dao-Eau-Toilette-3-4/dp/B002SQ6WII/ref=sr_1_1?keywords=Diptyque+Tam+Dao+Eau+de+Toilette-3.4+oz.&amp;qid=1695259287&amp;sr=8-1", "https://www.amazon.com/Diptyque-Tam-Dao-Eau-Toilette-3-4/dp/B002SQ6WII/ref=sr_1_1?keywords=Diptyque+Tam+Dao+Eau+de+Toilette-3.4+oz.&amp;qid=1695259287&amp;sr=8-1")</f>
        <v>https://www.amazon.com/Diptyque-Tam-Dao-Eau-Toilette-3-4/dp/B002SQ6WII/ref=sr_1_1?keywords=Diptyque+Tam+Dao+Eau+de+Toilette-3.4+oz.&amp;qid=1695259287&amp;sr=8-1</v>
      </c>
      <c r="F1861" t="s">
        <v>4580</v>
      </c>
      <c r="G1861" t="e">
        <f ca="1">IMAGE("https://prolisok-store.com/cdn/shop/products/DiptyqueTamDaoEaudeToilette-3.4oz_-1_300x.jpg?v=1683715785")</f>
        <v>#NAME?</v>
      </c>
      <c r="H1861" t="e">
        <f ca="1">IMAGE("https://m.media-amazon.com/images/I/71TM5bVktEL._AC_UL320_.jpg")</f>
        <v>#NAME?</v>
      </c>
      <c r="I1861" t="s">
        <v>4355</v>
      </c>
      <c r="J1861">
        <v>140.69</v>
      </c>
      <c r="K1861" s="2" t="s">
        <v>4581</v>
      </c>
      <c r="L1861">
        <v>3.9</v>
      </c>
      <c r="M1861">
        <v>95</v>
      </c>
      <c r="O1861" t="s">
        <v>26</v>
      </c>
      <c r="P1861" t="s">
        <v>2988</v>
      </c>
      <c r="Q1861" t="s">
        <v>4489</v>
      </c>
    </row>
    <row r="1862" spans="1:17" ht="15.75" x14ac:dyDescent="0.25">
      <c r="A1862" s="3" t="str">
        <f>HYPERLINK("https://prolisok-store.com/collections/premium/products/diptyque-philosykos-eau-de-toilette-3-4-oz", "https://prolisok-store.com/collections/premium/products/diptyque-philosykos-eau-de-toilette-3-4-oz")</f>
        <v>https://prolisok-store.com/collections/premium/products/diptyque-philosykos-eau-de-toilette-3-4-oz</v>
      </c>
      <c r="B1862" s="3" t="str">
        <f>HYPERLINK("https://prolisok-store.com/products/diptyque-philosykos-eau-de-toilette-3-4-oz", "https://prolisok-store.com/products/diptyque-philosykos-eau-de-toilette-3-4-oz")</f>
        <v>https://prolisok-store.com/products/diptyque-philosykos-eau-de-toilette-3-4-oz</v>
      </c>
      <c r="C1862" t="s">
        <v>4447</v>
      </c>
      <c r="D1862" t="s">
        <v>4579</v>
      </c>
      <c r="E1862" s="3" t="str">
        <f>HYPERLINK("https://www.amazon.com/Diptyque-Tam-Dao-Eau-Toilette-3-4/dp/B002SQ6WII/ref=sr_1_2?keywords=Diptyque+Philosykos+Eau+de+Toilette-3.4+oz&amp;qid=1695259286&amp;sr=8-2", "https://www.amazon.com/Diptyque-Tam-Dao-Eau-Toilette-3-4/dp/B002SQ6WII/ref=sr_1_2?keywords=Diptyque+Philosykos+Eau+de+Toilette-3.4+oz&amp;qid=1695259286&amp;sr=8-2")</f>
        <v>https://www.amazon.com/Diptyque-Tam-Dao-Eau-Toilette-3-4/dp/B002SQ6WII/ref=sr_1_2?keywords=Diptyque+Philosykos+Eau+de+Toilette-3.4+oz&amp;qid=1695259286&amp;sr=8-2</v>
      </c>
      <c r="F1862" t="s">
        <v>4580</v>
      </c>
      <c r="G1862" t="e">
        <f ca="1">IMAGE("https://prolisok-store.com/cdn/shop/products/DiptyquePhilosykosEau-3.4oz_300x.jpg?v=1683715790")</f>
        <v>#NAME?</v>
      </c>
      <c r="H1862" t="e">
        <f ca="1">IMAGE("https://m.media-amazon.com/images/I/71TM5bVktEL._AC_UL320_.jpg")</f>
        <v>#NAME?</v>
      </c>
      <c r="I1862" t="s">
        <v>4355</v>
      </c>
      <c r="J1862">
        <v>140.69</v>
      </c>
      <c r="K1862" s="2" t="s">
        <v>4581</v>
      </c>
      <c r="L1862">
        <v>3.9</v>
      </c>
      <c r="M1862">
        <v>95</v>
      </c>
      <c r="O1862" t="s">
        <v>26</v>
      </c>
      <c r="P1862" t="s">
        <v>39</v>
      </c>
      <c r="Q1862" t="s">
        <v>4451</v>
      </c>
    </row>
    <row r="1863" spans="1:17" ht="15.75" x14ac:dyDescent="0.25">
      <c r="A1863" s="3" t="str">
        <f>HYPERLINK("https://prolisok-store.com/collections/premium/products/zo-skin-health-wrinkle-texture-repair-0-5-retinol-1-7-oz-50ml-formerly-called-zo-medical-retamax%E2%84%A2-active-vitamin-a-micro-emulsion-0-5-retinol", "https://prolisok-store.com/collections/premium/products/zo-skin-health-wrinkle-texture-repair-0-5-retinol-1-7-oz-50ml-formerly-called-zo-medical-retamax%E2%84%A2-active-vitamin-a-micro-emulsion-0-5-retinol")</f>
        <v>https://prolisok-store.com/collections/premium/products/zo-skin-health-wrinkle-texture-repair-0-5-retinol-1-7-oz-50ml-formerly-called-zo-medical-retamax%E2%84%A2-active-vitamin-a-micro-emulsion-0-5-retinol</v>
      </c>
      <c r="B1863" s="3" t="str">
        <f>HYPERLINK("https://prolisok-store.com/products/zo-skin-health-wrinkle-texture-repair-0-5-retinol-1-7-oz-50ml-formerly-called-zo-medical-retamax%e2%84%a2-active-vitamin-a-micro-emulsion-0-5-retinol", "https://prolisok-store.com/products/zo-skin-health-wrinkle-texture-repair-0-5-retinol-1-7-oz-50ml-formerly-called-zo-medical-retamax%e2%84%a2-active-vitamin-a-micro-emulsion-0-5-retinol")</f>
        <v>https://prolisok-store.com/products/zo-skin-health-wrinkle-texture-repair-0-5-retinol-1-7-oz-50ml-formerly-called-zo-medical-retamax%e2%84%a2-active-vitamin-a-micro-emulsion-0-5-retinol</v>
      </c>
      <c r="C1863" t="s">
        <v>4582</v>
      </c>
      <c r="D1863" t="s">
        <v>4583</v>
      </c>
      <c r="E1863" s="3" t="str">
        <f>HYPERLINK("https://www.amazon.com/WRINKLE-Retinol-formerly-RetamaxTM-Emulsion/dp/B0BS9R7RRK/ref=sr_1_4?keywords=ZO+Skin+Health+Wrinkle+%2B+Texture+Repair&amp;qid=1695259302&amp;sr=8-4", "https://www.amazon.com/WRINKLE-Retinol-formerly-RetamaxTM-Emulsion/dp/B0BS9R7RRK/ref=sr_1_4?keywords=ZO+Skin+Health+Wrinkle+%2B+Texture+Repair&amp;qid=1695259302&amp;sr=8-4")</f>
        <v>https://www.amazon.com/WRINKLE-Retinol-formerly-RetamaxTM-Emulsion/dp/B0BS9R7RRK/ref=sr_1_4?keywords=ZO+Skin+Health+Wrinkle+%2B+Texture+Repair&amp;qid=1695259302&amp;sr=8-4</v>
      </c>
      <c r="F1863" t="s">
        <v>4584</v>
      </c>
      <c r="G1863" t="e">
        <f ca="1">IMAGE("https://prolisok-store.com/cdn/shop/products/41Sp6bw4ThL_300x.jpg?v=1674059188")</f>
        <v>#NAME?</v>
      </c>
      <c r="H1863" t="e">
        <f ca="1">IMAGE("https://m.media-amazon.com/images/I/61WW2JYSScL._AC_UL320_.jpg")</f>
        <v>#NAME?</v>
      </c>
      <c r="I1863" t="s">
        <v>3404</v>
      </c>
      <c r="J1863">
        <v>70</v>
      </c>
      <c r="K1863" s="2" t="s">
        <v>4585</v>
      </c>
      <c r="L1863">
        <v>2</v>
      </c>
      <c r="M1863">
        <v>1</v>
      </c>
      <c r="O1863" t="s">
        <v>26</v>
      </c>
      <c r="P1863" t="s">
        <v>39</v>
      </c>
      <c r="Q1863" t="s">
        <v>4586</v>
      </c>
    </row>
    <row r="1864" spans="1:17" ht="15.75" x14ac:dyDescent="0.25">
      <c r="A1864" s="3" t="str">
        <f>HYPERLINK("https://prolisok-store.com/collections/premium/products/diptyque-figuier-candle", "https://prolisok-store.com/collections/premium/products/diptyque-figuier-candle")</f>
        <v>https://prolisok-store.com/collections/premium/products/diptyque-figuier-candle</v>
      </c>
      <c r="B1864" s="3" t="str">
        <f>HYPERLINK("https://prolisok-store.com/products/diptyque-figuier-candle", "https://prolisok-store.com/products/diptyque-figuier-candle")</f>
        <v>https://prolisok-store.com/products/diptyque-figuier-candle</v>
      </c>
      <c r="C1864" t="s">
        <v>4419</v>
      </c>
      <c r="D1864" t="s">
        <v>4587</v>
      </c>
      <c r="E1864" s="3" t="str">
        <f>HYPERLINK("https://www.amazon.com/Diptyque-Votive-Candle-Trio-Baies-Figuier/dp/B003XT04ME/ref=sr_1_5?keywords=Diptyque+Figuier+Candle&amp;qid=1695259309&amp;sr=8-5", "https://www.amazon.com/Diptyque-Votive-Candle-Trio-Baies-Figuier/dp/B003XT04ME/ref=sr_1_5?keywords=Diptyque+Figuier+Candle&amp;qid=1695259309&amp;sr=8-5")</f>
        <v>https://www.amazon.com/Diptyque-Votive-Candle-Trio-Baies-Figuier/dp/B003XT04ME/ref=sr_1_5?keywords=Diptyque+Figuier+Candle&amp;qid=1695259309&amp;sr=8-5</v>
      </c>
      <c r="F1864" t="s">
        <v>4588</v>
      </c>
      <c r="G1864" t="e">
        <f ca="1">IMAGE("https://prolisok-store.com/cdn/shop/files/61-a7DkEOyL._AC_SL1024_300x.jpg?v=1693226218")</f>
        <v>#NAME?</v>
      </c>
      <c r="H1864" t="e">
        <f ca="1">IMAGE("https://m.media-amazon.com/images/I/61gvY5u07AL._AC_UL320_.jpg")</f>
        <v>#NAME?</v>
      </c>
      <c r="I1864" t="s">
        <v>3476</v>
      </c>
      <c r="J1864">
        <v>93</v>
      </c>
      <c r="K1864" s="2" t="s">
        <v>4589</v>
      </c>
      <c r="L1864">
        <v>4.5</v>
      </c>
      <c r="M1864">
        <v>103</v>
      </c>
      <c r="O1864" t="s">
        <v>26</v>
      </c>
      <c r="P1864" t="s">
        <v>39</v>
      </c>
      <c r="Q1864" t="s">
        <v>4423</v>
      </c>
    </row>
    <row r="1865" spans="1:17" ht="15.75" x14ac:dyDescent="0.25">
      <c r="A1865" s="3" t="str">
        <f>HYPERLINK("https://prolisok-store.com/collections/premium/products/obagi-professional-c-serum-10-vitamin-c-facial-serum-with-concentrated-10-l-ascorbic-acid-for-normal-to-oily-skin-1-0-fl-oz", "https://prolisok-store.com/collections/premium/products/obagi-professional-c-serum-10-vitamin-c-facial-serum-with-concentrated-10-l-ascorbic-acid-for-normal-to-oily-skin-1-0-fl-oz")</f>
        <v>https://prolisok-store.com/collections/premium/products/obagi-professional-c-serum-10-vitamin-c-facial-serum-with-concentrated-10-l-ascorbic-acid-for-normal-to-oily-skin-1-0-fl-oz</v>
      </c>
      <c r="B1865" s="3" t="str">
        <f>HYPERLINK("https://prolisok-store.com/products/obagi-professional-c-serum-10-vitamin-c-facial-serum-with-concentrated-10-l-ascorbic-acid-for-normal-to-oily-skin-1-0-fl-oz", "https://prolisok-store.com/products/obagi-professional-c-serum-10-vitamin-c-facial-serum-with-concentrated-10-l-ascorbic-acid-for-normal-to-oily-skin-1-0-fl-oz")</f>
        <v>https://prolisok-store.com/products/obagi-professional-c-serum-10-vitamin-c-facial-serum-with-concentrated-10-l-ascorbic-acid-for-normal-to-oily-skin-1-0-fl-oz</v>
      </c>
      <c r="C1865" t="s">
        <v>4343</v>
      </c>
      <c r="D1865" t="s">
        <v>4379</v>
      </c>
      <c r="E1865" s="3" t="str">
        <f>HYPERLINK("https://www.amazon.com/Obagi-Professional-C-Serum-Fl-Oz/dp/B00F6XZVHS/ref=sr_1_4?keywords=Obagi+Professional+C+Serum+10%25%2C+Vitamin+C+Facial+Serum+with+Concentrated+10%25+L+Ascorbic+Acid+for+Normal+to+Oily+Skin%2C+1.0+Fl+Oz.&amp;qid=1695259294&amp;sr=8-4", "https://www.amazon.com/Obagi-Professional-C-Serum-Fl-Oz/dp/B00F6XZVHS/ref=sr_1_4?keywords=Obagi+Professional+C+Serum+10%25%2C+Vitamin+C+Facial+Serum+with+Concentrated+10%25+L+Ascorbic+Acid+for+Normal+to+Oily+Skin%2C+1.0+Fl+Oz.&amp;qid=1695259294&amp;sr=8-4")</f>
        <v>https://www.amazon.com/Obagi-Professional-C-Serum-Fl-Oz/dp/B00F6XZVHS/ref=sr_1_4?keywords=Obagi+Professional+C+Serum+10%25%2C+Vitamin+C+Facial+Serum+with+Concentrated+10%25+L+Ascorbic+Acid+for+Normal+to+Oily+Skin%2C+1.0+Fl+Oz.&amp;qid=1695259294&amp;sr=8-4</v>
      </c>
      <c r="F1865" t="s">
        <v>4590</v>
      </c>
      <c r="G1865" t="e">
        <f ca="1">IMAGE("https://prolisok-store.com/cdn/shop/files/51jz8tQragS._SL1500_300x.jpg?v=1682417093")</f>
        <v>#NAME?</v>
      </c>
      <c r="H1865" t="e">
        <f ca="1">IMAGE("https://m.media-amazon.com/images/I/61ZLgPkkTfL._AC_UL320_.jpg")</f>
        <v>#NAME?</v>
      </c>
      <c r="I1865" t="s">
        <v>4346</v>
      </c>
      <c r="J1865">
        <v>115</v>
      </c>
      <c r="K1865" s="2" t="s">
        <v>4591</v>
      </c>
      <c r="L1865">
        <v>4.5999999999999996</v>
      </c>
      <c r="M1865">
        <v>601</v>
      </c>
      <c r="O1865" t="s">
        <v>26</v>
      </c>
      <c r="P1865" t="s">
        <v>39</v>
      </c>
      <c r="Q1865" t="s">
        <v>4348</v>
      </c>
    </row>
    <row r="1866" spans="1:17" ht="15.75" x14ac:dyDescent="0.25">
      <c r="A1866" s="3" t="str">
        <f>HYPERLINK("https://prolisok-store.com/collections/premium/products/la-mer-the-moisturizing-soft-lotion", "https://prolisok-store.com/collections/premium/products/la-mer-the-moisturizing-soft-lotion")</f>
        <v>https://prolisok-store.com/collections/premium/products/la-mer-the-moisturizing-soft-lotion</v>
      </c>
      <c r="B1866" s="3" t="str">
        <f>HYPERLINK("https://prolisok-store.com/products/la-mer-the-moisturizing-soft-lotion", "https://prolisok-store.com/products/la-mer-the-moisturizing-soft-lotion")</f>
        <v>https://prolisok-store.com/products/la-mer-the-moisturizing-soft-lotion</v>
      </c>
      <c r="C1866" t="s">
        <v>4503</v>
      </c>
      <c r="D1866" t="s">
        <v>4592</v>
      </c>
      <c r="E1866" s="3" t="str">
        <f>HYPERLINK("https://www.amazon.com/Mer-Moisturizing-Matte-Lotion-1-7oz/dp/B071K9Q21H/ref=sr_1_2?keywords=La+Mer+The+Moisturizing+Soft+Lotion&amp;qid=1695259290&amp;sr=8-2", "https://www.amazon.com/Mer-Moisturizing-Matte-Lotion-1-7oz/dp/B071K9Q21H/ref=sr_1_2?keywords=La+Mer+The+Moisturizing+Soft+Lotion&amp;qid=1695259290&amp;sr=8-2")</f>
        <v>https://www.amazon.com/Mer-Moisturizing-Matte-Lotion-1-7oz/dp/B071K9Q21H/ref=sr_1_2?keywords=La+Mer+The+Moisturizing+Soft+Lotion&amp;qid=1695259290&amp;sr=8-2</v>
      </c>
      <c r="F1866" t="s">
        <v>4593</v>
      </c>
      <c r="G1866" t="e">
        <f ca="1">IMAGE("https://prolisok-store.com/cdn/shop/products/61uLYCnMy9L._SL1500_300x.jpg?v=1667997816")</f>
        <v>#NAME?</v>
      </c>
      <c r="H1866" t="e">
        <f ca="1">IMAGE("https://m.media-amazon.com/images/I/51nCt5bhYbL._AC_UL320_.jpg")</f>
        <v>#NAME?</v>
      </c>
      <c r="I1866" t="s">
        <v>4506</v>
      </c>
      <c r="J1866">
        <v>159.36000000000001</v>
      </c>
      <c r="K1866" s="2" t="s">
        <v>4594</v>
      </c>
      <c r="L1866">
        <v>3.9</v>
      </c>
      <c r="M1866">
        <v>19</v>
      </c>
      <c r="O1866" t="s">
        <v>26</v>
      </c>
      <c r="P1866" t="s">
        <v>39</v>
      </c>
      <c r="Q1866" t="s">
        <v>4508</v>
      </c>
    </row>
    <row r="1867" spans="1:17" ht="15.75" x14ac:dyDescent="0.25">
      <c r="A1867" s="3" t="str">
        <f>HYPERLINK("https://prolisok-store.com/collections/premium/products/make-up-for-ever-ultra-hd-microfinishing-pressed-powder-translucent", "https://prolisok-store.com/collections/premium/products/make-up-for-ever-ultra-hd-microfinishing-pressed-powder-translucent")</f>
        <v>https://prolisok-store.com/collections/premium/products/make-up-for-ever-ultra-hd-microfinishing-pressed-powder-translucent</v>
      </c>
      <c r="B1867" s="3" t="str">
        <f>HYPERLINK("https://prolisok-store.com/products/make-up-for-ever-ultra-hd-microfinishing-pressed-powder-translucent", "https://prolisok-store.com/products/make-up-for-ever-ultra-hd-microfinishing-pressed-powder-translucent")</f>
        <v>https://prolisok-store.com/products/make-up-for-ever-ultra-hd-microfinishing-pressed-powder-translucent</v>
      </c>
      <c r="C1867" t="s">
        <v>4595</v>
      </c>
      <c r="D1867" t="s">
        <v>4596</v>
      </c>
      <c r="E1867" s="3" t="str">
        <f>HYPERLINK("https://www.amazon.com/Make-Up-Ever-Microfinish-Pressed/dp/B00IO92GU6/ref=sr_1_8?keywords=MAKE+UP+FOR+EVER+Ultra+HD+Microfinishing+Pressed+Powder+Translucent&amp;qid=1695259297&amp;sr=8-8", "https://www.amazon.com/Make-Up-Ever-Microfinish-Pressed/dp/B00IO92GU6/ref=sr_1_8?keywords=MAKE+UP+FOR+EVER+Ultra+HD+Microfinishing+Pressed+Powder+Translucent&amp;qid=1695259297&amp;sr=8-8")</f>
        <v>https://www.amazon.com/Make-Up-Ever-Microfinish-Pressed/dp/B00IO92GU6/ref=sr_1_8?keywords=MAKE+UP+FOR+EVER+Ultra+HD+Microfinishing+Pressed+Powder+Translucent&amp;qid=1695259297&amp;sr=8-8</v>
      </c>
      <c r="F1867" t="s">
        <v>4597</v>
      </c>
      <c r="G1867" t="e">
        <f ca="1">IMAGE("https://prolisok-store.com/cdn/shop/files/611llduh92L._SL1500_300x.jpg?v=1693220499")</f>
        <v>#NAME?</v>
      </c>
      <c r="H1867" t="e">
        <f ca="1">IMAGE("https://m.media-amazon.com/images/I/713Q6-WxD2L._AC_UL320_.jpg")</f>
        <v>#NAME?</v>
      </c>
      <c r="I1867" t="s">
        <v>3419</v>
      </c>
      <c r="J1867">
        <v>33.979999999999997</v>
      </c>
      <c r="K1867" s="2" t="s">
        <v>4598</v>
      </c>
      <c r="L1867">
        <v>4</v>
      </c>
      <c r="M1867">
        <v>147</v>
      </c>
      <c r="O1867" t="s">
        <v>26</v>
      </c>
      <c r="P1867" t="s">
        <v>39</v>
      </c>
      <c r="Q1867" t="s">
        <v>4599</v>
      </c>
    </row>
    <row r="1868" spans="1:17" ht="15.75" x14ac:dyDescent="0.25">
      <c r="A1868" s="3" t="str">
        <f>HYPERLINK("https://prolisok-store.com/collections/premium/products/la-mer-the-concentrate-1-7-oz-50-ml", "https://prolisok-store.com/collections/premium/products/la-mer-the-concentrate-1-7-oz-50-ml")</f>
        <v>https://prolisok-store.com/collections/premium/products/la-mer-the-concentrate-1-7-oz-50-ml</v>
      </c>
      <c r="B1868" s="3" t="str">
        <f>HYPERLINK("https://prolisok-store.com/products/la-mer-the-concentrate-1-7-oz-50-ml", "https://prolisok-store.com/products/la-mer-the-concentrate-1-7-oz-50-ml")</f>
        <v>https://prolisok-store.com/products/la-mer-the-concentrate-1-7-oz-50-ml</v>
      </c>
      <c r="C1868" t="s">
        <v>4600</v>
      </c>
      <c r="D1868" t="s">
        <v>4601</v>
      </c>
      <c r="E1868" s="3" t="str">
        <f>HYPERLINK("https://www.amazon.com/Mer-Lifting-Firming-Mask-1-7oz/dp/B00JAFGY2Y/ref=sr_1_3?keywords=La+Mer+The+Concentrate%2C+1.7+oz.%2F+50+mL&amp;qid=1695259293&amp;sr=8-3", "https://www.amazon.com/Mer-Lifting-Firming-Mask-1-7oz/dp/B00JAFGY2Y/ref=sr_1_3?keywords=La+Mer+The+Concentrate%2C+1.7+oz.%2F+50+mL&amp;qid=1695259293&amp;sr=8-3")</f>
        <v>https://www.amazon.com/Mer-Lifting-Firming-Mask-1-7oz/dp/B00JAFGY2Y/ref=sr_1_3?keywords=La+Mer+The+Concentrate%2C+1.7+oz.%2F+50+mL&amp;qid=1695259293&amp;sr=8-3</v>
      </c>
      <c r="F1868" t="s">
        <v>4602</v>
      </c>
      <c r="G1868" t="e">
        <f ca="1">IMAGE("https://prolisok-store.com/cdn/shop/products/31C2y6MzmQL_300x.jpg?v=1667506388")</f>
        <v>#NAME?</v>
      </c>
      <c r="H1868" t="e">
        <f ca="1">IMAGE("https://m.media-amazon.com/images/I/61QOI1W3xyL._AC_UL320_.jpg")</f>
        <v>#NAME?</v>
      </c>
      <c r="I1868" t="s">
        <v>4603</v>
      </c>
      <c r="J1868">
        <v>179.99</v>
      </c>
      <c r="K1868" s="2" t="s">
        <v>4604</v>
      </c>
      <c r="L1868">
        <v>3.9</v>
      </c>
      <c r="M1868">
        <v>25</v>
      </c>
      <c r="O1868" t="s">
        <v>26</v>
      </c>
      <c r="P1868" t="s">
        <v>39</v>
      </c>
      <c r="Q1868" t="s">
        <v>4605</v>
      </c>
    </row>
    <row r="1869" spans="1:17" ht="15.75" x14ac:dyDescent="0.25">
      <c r="A1869" s="3" t="str">
        <f>HYPERLINK("https://prolisok-store.com/collections/premium/products/by-kilian-good-girl-gone-bad-1-7-fl-oz", "https://prolisok-store.com/collections/premium/products/by-kilian-good-girl-gone-bad-1-7-fl-oz")</f>
        <v>https://prolisok-store.com/collections/premium/products/by-kilian-good-girl-gone-bad-1-7-fl-oz</v>
      </c>
      <c r="B1869" s="3" t="str">
        <f>HYPERLINK("https://prolisok-store.com/products/by-kilian-good-girl-gone-bad-1-7-fl-oz", "https://prolisok-store.com/products/by-kilian-good-girl-gone-bad-1-7-fl-oz")</f>
        <v>https://prolisok-store.com/products/by-kilian-good-girl-gone-bad-1-7-fl-oz</v>
      </c>
      <c r="C1869" t="s">
        <v>4606</v>
      </c>
      <c r="D1869" t="s">
        <v>4607</v>
      </c>
      <c r="E1869" s="3" t="str">
        <f>HYPERLINK("https://www.amazon.com/Kilian-women-Parfum-Good-extreme/dp/B08B81VSLS/ref=sr_1_2?keywords=By+Kilian+-+Good+Girl+Gone+Bad+-+1.7+fl.+Oz&amp;qid=1695259301&amp;sr=8-2", "https://www.amazon.com/Kilian-women-Parfum-Good-extreme/dp/B08B81VSLS/ref=sr_1_2?keywords=By+Kilian+-+Good+Girl+Gone+Bad+-+1.7+fl.+Oz&amp;qid=1695259301&amp;sr=8-2")</f>
        <v>https://www.amazon.com/Kilian-women-Parfum-Good-extreme/dp/B08B81VSLS/ref=sr_1_2?keywords=By+Kilian+-+Good+Girl+Gone+Bad+-+1.7+fl.+Oz&amp;qid=1695259301&amp;sr=8-2</v>
      </c>
      <c r="F1869" t="s">
        <v>4608</v>
      </c>
      <c r="G1869" t="e">
        <f ca="1">IMAGE("https://prolisok-store.com/cdn/shop/files/41o-yGm4K6L_300x.jpg?v=1686655714")</f>
        <v>#NAME?</v>
      </c>
      <c r="H1869" t="e">
        <f ca="1">IMAGE("https://m.media-amazon.com/images/I/71xloSccjiL._AC_UL320_.jpg")</f>
        <v>#NAME?</v>
      </c>
      <c r="I1869" t="s">
        <v>4609</v>
      </c>
      <c r="J1869">
        <v>258.5</v>
      </c>
      <c r="K1869" s="2" t="s">
        <v>4610</v>
      </c>
      <c r="L1869">
        <v>3.6</v>
      </c>
      <c r="M1869">
        <v>4</v>
      </c>
      <c r="O1869" t="s">
        <v>26</v>
      </c>
      <c r="P1869" t="s">
        <v>39</v>
      </c>
      <c r="Q1869" t="s">
        <v>4611</v>
      </c>
    </row>
    <row r="1870" spans="1:17" ht="15.75" x14ac:dyDescent="0.25">
      <c r="A1870" s="3" t="str">
        <f>HYPERLINK("https://prolisok-store.com/collections/premium/products/diptyque-philosykos-eau-de-toilette-3-4-oz", "https://prolisok-store.com/collections/premium/products/diptyque-philosykos-eau-de-toilette-3-4-oz")</f>
        <v>https://prolisok-store.com/collections/premium/products/diptyque-philosykos-eau-de-toilette-3-4-oz</v>
      </c>
      <c r="B1870" s="3" t="str">
        <f>HYPERLINK("https://prolisok-store.com/products/diptyque-philosykos-eau-de-toilette-3-4-oz", "https://prolisok-store.com/products/diptyque-philosykos-eau-de-toilette-3-4-oz")</f>
        <v>https://prolisok-store.com/products/diptyque-philosykos-eau-de-toilette-3-4-oz</v>
      </c>
      <c r="C1870" t="s">
        <v>4447</v>
      </c>
      <c r="D1870" t="s">
        <v>4612</v>
      </c>
      <c r="E1870" s="3" t="str">
        <f>HYPERLINK("https://www.amazon.com/diptyque-Volutes-Eau-Toilette-3-4-oz/dp/B009U9SWW0/ref=sr_1_5?keywords=Diptyque+Philosykos+Eau+de+Toilette-3.4+oz&amp;qid=1695259286&amp;sr=8-5", "https://www.amazon.com/diptyque-Volutes-Eau-Toilette-3-4-oz/dp/B009U9SWW0/ref=sr_1_5?keywords=Diptyque+Philosykos+Eau+de+Toilette-3.4+oz&amp;qid=1695259286&amp;sr=8-5")</f>
        <v>https://www.amazon.com/diptyque-Volutes-Eau-Toilette-3-4-oz/dp/B009U9SWW0/ref=sr_1_5?keywords=Diptyque+Philosykos+Eau+de+Toilette-3.4+oz&amp;qid=1695259286&amp;sr=8-5</v>
      </c>
      <c r="F1870" t="s">
        <v>4613</v>
      </c>
      <c r="G1870" t="e">
        <f ca="1">IMAGE("https://prolisok-store.com/cdn/shop/products/DiptyquePhilosykosEau-3.4oz_300x.jpg?v=1683715790")</f>
        <v>#NAME?</v>
      </c>
      <c r="H1870" t="e">
        <f ca="1">IMAGE("https://m.media-amazon.com/images/I/71UkP8LwVRL._AC_UL320_.jpg")</f>
        <v>#NAME?</v>
      </c>
      <c r="I1870" t="s">
        <v>4355</v>
      </c>
      <c r="J1870">
        <v>134</v>
      </c>
      <c r="K1870" s="2" t="s">
        <v>4614</v>
      </c>
      <c r="L1870">
        <v>4.3</v>
      </c>
      <c r="M1870">
        <v>4</v>
      </c>
      <c r="O1870" t="s">
        <v>26</v>
      </c>
      <c r="P1870" t="s">
        <v>39</v>
      </c>
      <c r="Q1870" t="s">
        <v>4451</v>
      </c>
    </row>
    <row r="1871" spans="1:17" ht="15.75" x14ac:dyDescent="0.25">
      <c r="A1871" s="3" t="str">
        <f>HYPERLINK("https://prolisok-store.com/collections/premium/products/diptyque-tam-dao-eau-de-toilette-3-4-oz", "https://prolisok-store.com/collections/premium/products/diptyque-tam-dao-eau-de-toilette-3-4-oz")</f>
        <v>https://prolisok-store.com/collections/premium/products/diptyque-tam-dao-eau-de-toilette-3-4-oz</v>
      </c>
      <c r="B1871" s="3" t="str">
        <f>HYPERLINK("https://prolisok-store.com/products/diptyque-tam-dao-eau-de-toilette-3-4-oz", "https://prolisok-store.com/products/diptyque-tam-dao-eau-de-toilette-3-4-oz")</f>
        <v>https://prolisok-store.com/products/diptyque-tam-dao-eau-de-toilette-3-4-oz</v>
      </c>
      <c r="C1871" t="s">
        <v>4488</v>
      </c>
      <c r="D1871" t="s">
        <v>4612</v>
      </c>
      <c r="E1871" s="3" t="str">
        <f>HYPERLINK("https://www.amazon.com/diptyque-Volutes-Eau-Toilette-3-4-oz/dp/B009U9SWW0/ref=sr_1_6?keywords=Diptyque+Tam+Dao+Eau+de+Toilette-3.4+oz.&amp;qid=1695259287&amp;sr=8-6", "https://www.amazon.com/diptyque-Volutes-Eau-Toilette-3-4-oz/dp/B009U9SWW0/ref=sr_1_6?keywords=Diptyque+Tam+Dao+Eau+de+Toilette-3.4+oz.&amp;qid=1695259287&amp;sr=8-6")</f>
        <v>https://www.amazon.com/diptyque-Volutes-Eau-Toilette-3-4-oz/dp/B009U9SWW0/ref=sr_1_6?keywords=Diptyque+Tam+Dao+Eau+de+Toilette-3.4+oz.&amp;qid=1695259287&amp;sr=8-6</v>
      </c>
      <c r="F1871" t="s">
        <v>4613</v>
      </c>
      <c r="G1871" t="e">
        <f ca="1">IMAGE("https://prolisok-store.com/cdn/shop/products/DiptyqueTamDaoEaudeToilette-3.4oz_-1_300x.jpg?v=1683715785")</f>
        <v>#NAME?</v>
      </c>
      <c r="H1871" t="e">
        <f ca="1">IMAGE("https://m.media-amazon.com/images/I/71UkP8LwVRL._AC_UL320_.jpg")</f>
        <v>#NAME?</v>
      </c>
      <c r="I1871" t="s">
        <v>4355</v>
      </c>
      <c r="J1871">
        <v>134</v>
      </c>
      <c r="K1871" s="2" t="s">
        <v>4614</v>
      </c>
      <c r="L1871">
        <v>4.3</v>
      </c>
      <c r="M1871">
        <v>4</v>
      </c>
      <c r="O1871" t="s">
        <v>26</v>
      </c>
      <c r="P1871" t="s">
        <v>2988</v>
      </c>
      <c r="Q1871" t="s">
        <v>4489</v>
      </c>
    </row>
    <row r="1872" spans="1:17" ht="15.75" x14ac:dyDescent="0.25">
      <c r="A1872" s="3" t="str">
        <f>HYPERLINK("https://prolisok-store.com/collections/premium/products/diptyque-roses-candle-6-5-oz", "https://prolisok-store.com/collections/premium/products/diptyque-roses-candle-6-5-oz")</f>
        <v>https://prolisok-store.com/collections/premium/products/diptyque-roses-candle-6-5-oz</v>
      </c>
      <c r="B1872" s="3" t="str">
        <f>HYPERLINK("https://prolisok-store.com/products/diptyque-roses-candle-6-5-oz", "https://prolisok-store.com/products/diptyque-roses-candle-6-5-oz")</f>
        <v>https://prolisok-store.com/products/diptyque-roses-candle-6-5-oz</v>
      </c>
      <c r="C1872" t="s">
        <v>4615</v>
      </c>
      <c r="D1872" t="s">
        <v>4616</v>
      </c>
      <c r="E1872" s="3" t="str">
        <f>HYPERLINK("https://www.amazon.com/Diptyque-Vetyver-Candle-6-5-oz/dp/B0058PB09W/ref=sr_1_3?keywords=Diptyque+Roses+Candle-6.5+oz&amp;qid=1695259298&amp;sr=8-3", "https://www.amazon.com/Diptyque-Vetyver-Candle-6-5-oz/dp/B0058PB09W/ref=sr_1_3?keywords=Diptyque+Roses+Candle-6.5+oz&amp;qid=1695259298&amp;sr=8-3")</f>
        <v>https://www.amazon.com/Diptyque-Vetyver-Candle-6-5-oz/dp/B0058PB09W/ref=sr_1_3?keywords=Diptyque+Roses+Candle-6.5+oz&amp;qid=1695259298&amp;sr=8-3</v>
      </c>
      <c r="F1872" t="s">
        <v>4617</v>
      </c>
      <c r="G1872" t="e">
        <f ca="1">IMAGE("https://prolisok-store.com/cdn/shop/files/61qv-dg4gnL._SL1000_300x.jpg?v=1693226309")</f>
        <v>#NAME?</v>
      </c>
      <c r="H1872" t="e">
        <f ca="1">IMAGE("https://m.media-amazon.com/images/I/71vusvcZVBL._AC_UL320_.jpg")</f>
        <v>#NAME?</v>
      </c>
      <c r="I1872" t="s">
        <v>3476</v>
      </c>
      <c r="J1872">
        <v>87.88</v>
      </c>
      <c r="K1872" s="2" t="s">
        <v>4618</v>
      </c>
      <c r="L1872">
        <v>3</v>
      </c>
      <c r="M1872">
        <v>4</v>
      </c>
      <c r="O1872" t="s">
        <v>26</v>
      </c>
      <c r="P1872" t="s">
        <v>39</v>
      </c>
      <c r="Q1872" t="s">
        <v>4619</v>
      </c>
    </row>
    <row r="1873" spans="1:17" ht="15.75" x14ac:dyDescent="0.25">
      <c r="A1873" s="3" t="str">
        <f>HYPERLINK("https://prolisok-store.com/collections/premium/products/la-mer-the-cleansing-foam-oz-4-2-ounce", "https://prolisok-store.com/collections/premium/products/la-mer-the-cleansing-foam-oz-4-2-ounce")</f>
        <v>https://prolisok-store.com/collections/premium/products/la-mer-the-cleansing-foam-oz-4-2-ounce</v>
      </c>
      <c r="B1873" s="3" t="str">
        <f>HYPERLINK("https://prolisok-store.com/products/la-mer-the-cleansing-foam-oz-4-2-ounce", "https://prolisok-store.com/products/la-mer-the-cleansing-foam-oz-4-2-ounce")</f>
        <v>https://prolisok-store.com/products/la-mer-the-cleansing-foam-oz-4-2-ounce</v>
      </c>
      <c r="C1873" t="s">
        <v>4620</v>
      </c>
      <c r="D1873" t="s">
        <v>4621</v>
      </c>
      <c r="E1873" s="3" t="str">
        <f>HYPERLINK("https://www.amazon.com/The-Cleansing-Foam-1-oz/dp/B078WLQJVQ/ref=sr_1_2?keywords=La+Mer+The+Cleansing+Foam%2C+Oz+4.2+Ounce&amp;qid=1695259308&amp;sr=8-2", "https://www.amazon.com/The-Cleansing-Foam-1-oz/dp/B078WLQJVQ/ref=sr_1_2?keywords=La+Mer+The+Cleansing+Foam%2C+Oz+4.2+Ounce&amp;qid=1695259308&amp;sr=8-2")</f>
        <v>https://www.amazon.com/The-Cleansing-Foam-1-oz/dp/B078WLQJVQ/ref=sr_1_2?keywords=La+Mer+The+Cleansing+Foam%2C+Oz+4.2+Ounce&amp;qid=1695259308&amp;sr=8-2</v>
      </c>
      <c r="F1873" t="s">
        <v>4622</v>
      </c>
      <c r="G1873" t="e">
        <f ca="1">IMAGE("https://prolisok-store.com/cdn/shop/products/61jRwk3Ar7L._SL1500_300x.jpg?v=1673868613")</f>
        <v>#NAME?</v>
      </c>
      <c r="H1873" t="e">
        <f ca="1">IMAGE("https://m.media-amazon.com/images/I/61jRwk3Ar7L._AC_UL320_.jpg")</f>
        <v>#NAME?</v>
      </c>
      <c r="I1873" t="s">
        <v>3587</v>
      </c>
      <c r="J1873">
        <v>105</v>
      </c>
      <c r="K1873" s="2" t="s">
        <v>4623</v>
      </c>
      <c r="L1873">
        <v>4.5999999999999996</v>
      </c>
      <c r="M1873">
        <v>3</v>
      </c>
      <c r="O1873" t="s">
        <v>26</v>
      </c>
      <c r="P1873" t="s">
        <v>39</v>
      </c>
      <c r="Q1873" t="s">
        <v>4624</v>
      </c>
    </row>
    <row r="1874" spans="1:17" ht="15.75" x14ac:dyDescent="0.25">
      <c r="A1874" s="3" t="str">
        <f>HYPERLINK("https://prolisok-store.com/collections/premium/products/3ce-mood-recipe-multi-eye-color-palette-plot-twist-9-tone-on-tone-eyeshadows", "https://prolisok-store.com/collections/premium/products/3ce-mood-recipe-multi-eye-color-palette-plot-twist-9-tone-on-tone-eyeshadows")</f>
        <v>https://prolisok-store.com/collections/premium/products/3ce-mood-recipe-multi-eye-color-palette-plot-twist-9-tone-on-tone-eyeshadows</v>
      </c>
      <c r="B1874" s="3" t="str">
        <f>HYPERLINK("https://prolisok-store.com/products/3ce-mood-recipe-multi-eye-color-palette-plot-twist-9-tone-on-tone-eyeshadows", "https://prolisok-store.com/products/3ce-mood-recipe-multi-eye-color-palette-plot-twist-9-tone-on-tone-eyeshadows")</f>
        <v>https://prolisok-store.com/products/3ce-mood-recipe-multi-eye-color-palette-plot-twist-9-tone-on-tone-eyeshadows</v>
      </c>
      <c r="C1874" t="s">
        <v>4625</v>
      </c>
      <c r="D1874" t="s">
        <v>4625</v>
      </c>
      <c r="E1874" s="3" t="str">
        <f>HYPERLINK("https://www.amazon.com/Recipe-Multi-Color-Palette-Eyeshadows/dp/B07B7KBYXC/ref=sr_1_1?keywords=3CE+Mood+Recipe+Multi+Eye+Color+Palette+%23PLOT+TWIST+9+Tone+on+tone+Eyeshadows&amp;qid=1695259308&amp;sr=8-1", "https://www.amazon.com/Recipe-Multi-Color-Palette-Eyeshadows/dp/B07B7KBYXC/ref=sr_1_1?keywords=3CE+Mood+Recipe+Multi+Eye+Color+Palette+%23PLOT+TWIST+9+Tone+on+tone+Eyeshadows&amp;qid=1695259308&amp;sr=8-1")</f>
        <v>https://www.amazon.com/Recipe-Multi-Color-Palette-Eyeshadows/dp/B07B7KBYXC/ref=sr_1_1?keywords=3CE+Mood+Recipe+Multi+Eye+Color+Palette+%23PLOT+TWIST+9+Tone+on+tone+Eyeshadows&amp;qid=1695259308&amp;sr=8-1</v>
      </c>
      <c r="F1874" t="s">
        <v>4626</v>
      </c>
      <c r="G1874" t="e">
        <f ca="1">IMAGE("https://prolisok-store.com/cdn/shop/files/41MZkdbeE1L_300x.jpg?v=1693220923")</f>
        <v>#NAME?</v>
      </c>
      <c r="H1874" t="e">
        <f ca="1">IMAGE("https://m.media-amazon.com/images/I/612+Ciqg7fL._AC_UL320_.jpg")</f>
        <v>#NAME?</v>
      </c>
      <c r="I1874" t="s">
        <v>3458</v>
      </c>
      <c r="J1874">
        <v>43.53</v>
      </c>
      <c r="K1874" s="2" t="s">
        <v>4627</v>
      </c>
      <c r="L1874">
        <v>3.7</v>
      </c>
      <c r="M1874">
        <v>7</v>
      </c>
      <c r="O1874" t="s">
        <v>26</v>
      </c>
      <c r="P1874" t="s">
        <v>39</v>
      </c>
      <c r="Q1874" t="s">
        <v>4628</v>
      </c>
    </row>
    <row r="1875" spans="1:17" ht="15.75" x14ac:dyDescent="0.25">
      <c r="A1875" s="3" t="str">
        <f>HYPERLINK("https://prolisok-store.com/collections/premium/products/3ce-multi-eye-color-palette-beach-muse-makeup-palette-9-color", "https://prolisok-store.com/collections/premium/products/3ce-multi-eye-color-palette-beach-muse-makeup-palette-9-color")</f>
        <v>https://prolisok-store.com/collections/premium/products/3ce-multi-eye-color-palette-beach-muse-makeup-palette-9-color</v>
      </c>
      <c r="B1875" s="3" t="str">
        <f>HYPERLINK("https://prolisok-store.com/products/3ce-multi-eye-color-palette-beach-muse-makeup-palette-9-color", "https://prolisok-store.com/products/3ce-multi-eye-color-palette-beach-muse-makeup-palette-9-color")</f>
        <v>https://prolisok-store.com/products/3ce-multi-eye-color-palette-beach-muse-makeup-palette-9-color</v>
      </c>
      <c r="C1875" t="s">
        <v>4629</v>
      </c>
      <c r="D1875" t="s">
        <v>4625</v>
      </c>
      <c r="E1875" s="3" t="str">
        <f>HYPERLINK("https://www.amazon.com/Recipe-Multi-Color-Palette-Eyeshadows/dp/B07B7KBYXC/ref=sr_1_6?keywords=3CE+Multi+Eye+Color+Palette%2CBeach+Muse%2CMakeup+Palette+9+Color&amp;qid=1695259301&amp;sr=8-6", "https://www.amazon.com/Recipe-Multi-Color-Palette-Eyeshadows/dp/B07B7KBYXC/ref=sr_1_6?keywords=3CE+Multi+Eye+Color+Palette%2CBeach+Muse%2CMakeup+Palette+9+Color&amp;qid=1695259301&amp;sr=8-6")</f>
        <v>https://www.amazon.com/Recipe-Multi-Color-Palette-Eyeshadows/dp/B07B7KBYXC/ref=sr_1_6?keywords=3CE+Multi+Eye+Color+Palette%2CBeach+Muse%2CMakeup+Palette+9+Color&amp;qid=1695259301&amp;sr=8-6</v>
      </c>
      <c r="F1875" t="s">
        <v>4626</v>
      </c>
      <c r="G1875" t="e">
        <f ca="1">IMAGE("https://prolisok-store.com/cdn/shop/files/61UqvcCJGwL._SL1001_300x.jpg?v=1682590795")</f>
        <v>#NAME?</v>
      </c>
      <c r="H1875" t="e">
        <f ca="1">IMAGE("https://m.media-amazon.com/images/I/612+Ciqg7fL._AC_UL320_.jpg")</f>
        <v>#NAME?</v>
      </c>
      <c r="I1875" t="s">
        <v>3458</v>
      </c>
      <c r="J1875">
        <v>43.53</v>
      </c>
      <c r="K1875" s="2" t="s">
        <v>4627</v>
      </c>
      <c r="L1875">
        <v>3.7</v>
      </c>
      <c r="M1875">
        <v>7</v>
      </c>
      <c r="O1875" t="s">
        <v>26</v>
      </c>
      <c r="P1875" t="s">
        <v>39</v>
      </c>
      <c r="Q1875" t="s">
        <v>4630</v>
      </c>
    </row>
    <row r="1876" spans="1:17" ht="15.75" x14ac:dyDescent="0.25">
      <c r="A1876" s="3" t="str">
        <f>HYPERLINK("https://prolisok-store.com/collections/premium/products/zo-skin-health-wrinkle-texture-repair-0-5-retinol-1-7-oz-50ml-formerly-called-zo-medical-retamax%E2%84%A2-active-vitamin-a-micro-emulsion-0-5-retinol", "https://prolisok-store.com/collections/premium/products/zo-skin-health-wrinkle-texture-repair-0-5-retinol-1-7-oz-50ml-formerly-called-zo-medical-retamax%E2%84%A2-active-vitamin-a-micro-emulsion-0-5-retinol")</f>
        <v>https://prolisok-store.com/collections/premium/products/zo-skin-health-wrinkle-texture-repair-0-5-retinol-1-7-oz-50ml-formerly-called-zo-medical-retamax%E2%84%A2-active-vitamin-a-micro-emulsion-0-5-retinol</v>
      </c>
      <c r="B1876" s="3" t="str">
        <f>HYPERLINK("https://prolisok-store.com/products/zo-skin-health-wrinkle-texture-repair-0-5-retinol-1-7-oz-50ml-formerly-called-zo-medical-retamax%e2%84%a2-active-vitamin-a-micro-emulsion-0-5-retinol", "https://prolisok-store.com/products/zo-skin-health-wrinkle-texture-repair-0-5-retinol-1-7-oz-50ml-formerly-called-zo-medical-retamax%e2%84%a2-active-vitamin-a-micro-emulsion-0-5-retinol")</f>
        <v>https://prolisok-store.com/products/zo-skin-health-wrinkle-texture-repair-0-5-retinol-1-7-oz-50ml-formerly-called-zo-medical-retamax%e2%84%a2-active-vitamin-a-micro-emulsion-0-5-retinol</v>
      </c>
      <c r="C1876" t="s">
        <v>4582</v>
      </c>
      <c r="D1876" t="s">
        <v>4631</v>
      </c>
      <c r="E1876" s="3" t="str">
        <f>HYPERLINK("https://www.amazon.com/ZO-SKIN-HEALTH-WRINKLE-TEXTURE/dp/B08R282JKQ/ref=sr_1_1?keywords=ZO+Skin+Health+Wrinkle+%2B+Texture+Repair&amp;qid=1695259302&amp;sr=8-1", "https://www.amazon.com/ZO-SKIN-HEALTH-WRINKLE-TEXTURE/dp/B08R282JKQ/ref=sr_1_1?keywords=ZO+Skin+Health+Wrinkle+%2B+Texture+Repair&amp;qid=1695259302&amp;sr=8-1")</f>
        <v>https://www.amazon.com/ZO-SKIN-HEALTH-WRINKLE-TEXTURE/dp/B08R282JKQ/ref=sr_1_1?keywords=ZO+Skin+Health+Wrinkle+%2B+Texture+Repair&amp;qid=1695259302&amp;sr=8-1</v>
      </c>
      <c r="F1876" t="s">
        <v>4632</v>
      </c>
      <c r="G1876" t="e">
        <f ca="1">IMAGE("https://prolisok-store.com/cdn/shop/products/41Sp6bw4ThL_300x.jpg?v=1674059188")</f>
        <v>#NAME?</v>
      </c>
      <c r="H1876" t="e">
        <f ca="1">IMAGE("https://m.media-amazon.com/images/I/51b5qqh70OL._AC_UL320_.jpg")</f>
        <v>#NAME?</v>
      </c>
      <c r="I1876" t="s">
        <v>3404</v>
      </c>
      <c r="J1876">
        <v>64.989999999999995</v>
      </c>
      <c r="K1876" s="2" t="s">
        <v>4633</v>
      </c>
      <c r="L1876">
        <v>4.0999999999999996</v>
      </c>
      <c r="M1876">
        <v>51</v>
      </c>
      <c r="O1876" t="s">
        <v>26</v>
      </c>
      <c r="P1876" t="s">
        <v>39</v>
      </c>
      <c r="Q1876" t="s">
        <v>4586</v>
      </c>
    </row>
    <row r="1877" spans="1:17" ht="15.75" x14ac:dyDescent="0.25">
      <c r="A1877" s="3" t="str">
        <f>HYPERLINK("https://prolisok-store.com/collections/premium/products/3ce-multi-eye-color-palette-butter-cream-with-eyeshadow-brushes", "https://prolisok-store.com/collections/premium/products/3ce-multi-eye-color-palette-butter-cream-with-eyeshadow-brushes")</f>
        <v>https://prolisok-store.com/collections/premium/products/3ce-multi-eye-color-palette-butter-cream-with-eyeshadow-brushes</v>
      </c>
      <c r="B1877" s="3" t="str">
        <f>HYPERLINK("https://prolisok-store.com/products/3ce-multi-eye-color-palette-butter-cream-with-eyeshadow-brushes", "https://prolisok-store.com/products/3ce-multi-eye-color-palette-butter-cream-with-eyeshadow-brushes")</f>
        <v>https://prolisok-store.com/products/3ce-multi-eye-color-palette-butter-cream-with-eyeshadow-brushes</v>
      </c>
      <c r="C1877" t="s">
        <v>4634</v>
      </c>
      <c r="D1877" t="s">
        <v>4635</v>
      </c>
      <c r="E1877" s="3" t="str">
        <f>HYPERLINK("https://www.amazon.com/3CE-Palette-Butter-Eyeshadow-Brushes/dp/B08ZY99QWQ/ref=sr_1_1?keywords=3CE+Multi+Eye+Color+Palette+%23Butter+Cream+with+Eyeshadow+Brushes&amp;qid=1695259303&amp;sr=8-1", "https://www.amazon.com/3CE-Palette-Butter-Eyeshadow-Brushes/dp/B08ZY99QWQ/ref=sr_1_1?keywords=3CE+Multi+Eye+Color+Palette+%23Butter+Cream+with+Eyeshadow+Brushes&amp;qid=1695259303&amp;sr=8-1")</f>
        <v>https://www.amazon.com/3CE-Palette-Butter-Eyeshadow-Brushes/dp/B08ZY99QWQ/ref=sr_1_1?keywords=3CE+Multi+Eye+Color+Palette+%23Butter+Cream+with+Eyeshadow+Brushes&amp;qid=1695259303&amp;sr=8-1</v>
      </c>
      <c r="F1877" t="s">
        <v>4636</v>
      </c>
      <c r="G1877" t="e">
        <f ca="1">IMAGE("https://prolisok-store.com/cdn/shop/files/51o8ZquVsdL._SL1000_300x.jpg?v=1693221158")</f>
        <v>#NAME?</v>
      </c>
      <c r="H1877" t="e">
        <f ca="1">IMAGE("https://m.media-amazon.com/images/I/51o8ZquVsdL._AC_UL320_.jpg")</f>
        <v>#NAME?</v>
      </c>
      <c r="I1877" t="s">
        <v>3458</v>
      </c>
      <c r="J1877">
        <v>43</v>
      </c>
      <c r="K1877" s="2" t="s">
        <v>4637</v>
      </c>
      <c r="L1877">
        <v>3.6</v>
      </c>
      <c r="M1877">
        <v>4</v>
      </c>
      <c r="O1877" t="s">
        <v>26</v>
      </c>
      <c r="P1877" t="s">
        <v>39</v>
      </c>
      <c r="Q1877" t="s">
        <v>4638</v>
      </c>
    </row>
    <row r="1878" spans="1:17" ht="15.75" x14ac:dyDescent="0.25">
      <c r="A1878" s="3" t="str">
        <f>HYPERLINK("https://prolisok-store.com/collections/premium/products/3ce-mood-recipe-face-blush-rose-beige", "https://prolisok-store.com/collections/premium/products/3ce-mood-recipe-face-blush-rose-beige")</f>
        <v>https://prolisok-store.com/collections/premium/products/3ce-mood-recipe-face-blush-rose-beige</v>
      </c>
      <c r="B1878" s="3" t="str">
        <f>HYPERLINK("https://prolisok-store.com/products/3ce-mood-recipe-face-blush-rose-beige", "https://prolisok-store.com/products/3ce-mood-recipe-face-blush-rose-beige")</f>
        <v>https://prolisok-store.com/products/3ce-mood-recipe-face-blush-rose-beige</v>
      </c>
      <c r="C1878" t="s">
        <v>4404</v>
      </c>
      <c r="D1878" t="s">
        <v>4639</v>
      </c>
      <c r="E1878" s="3" t="str">
        <f>HYPERLINK("https://www.amazon.com/Recipe-Blush-Style-Concept-Season/dp/B077CMDPZB/ref=sr_1_3?keywords=3CE+Mood+Recipe+Face+Blush+-&amp;qid=1695259301&amp;sr=8-3", "https://www.amazon.com/Recipe-Blush-Style-Concept-Season/dp/B077CMDPZB/ref=sr_1_3?keywords=3CE+Mood+Recipe+Face+Blush+-&amp;qid=1695259301&amp;sr=8-3")</f>
        <v>https://www.amazon.com/Recipe-Blush-Style-Concept-Season/dp/B077CMDPZB/ref=sr_1_3?keywords=3CE+Mood+Recipe+Face+Blush+-&amp;qid=1695259301&amp;sr=8-3</v>
      </c>
      <c r="F1878" t="s">
        <v>4640</v>
      </c>
      <c r="G1878" t="e">
        <f ca="1">IMAGE("https://prolisok-store.com/cdn/shop/files/31TTnrkqldL_300x.jpg?v=1683820558")</f>
        <v>#NAME?</v>
      </c>
      <c r="H1878" t="e">
        <f ca="1">IMAGE("https://m.media-amazon.com/images/I/51qL5+W0qqL._AC_UL320_.jpg")</f>
        <v>#NAME?</v>
      </c>
      <c r="I1878" t="s">
        <v>3392</v>
      </c>
      <c r="J1878">
        <v>16.899999999999999</v>
      </c>
      <c r="K1878" s="2" t="s">
        <v>4641</v>
      </c>
      <c r="L1878">
        <v>4.3</v>
      </c>
      <c r="M1878">
        <v>39</v>
      </c>
      <c r="O1878" t="s">
        <v>26</v>
      </c>
      <c r="P1878" t="s">
        <v>39</v>
      </c>
      <c r="Q1878" t="s">
        <v>4408</v>
      </c>
    </row>
    <row r="1879" spans="1:17" ht="15.75" x14ac:dyDescent="0.25">
      <c r="A1879" s="3" t="str">
        <f>HYPERLINK("https://prolisok-store.com/collections/premium/products/3ce-new-mood-recipe-face-blush-style-nanda-3-concept-eyes-mono-pink", "https://prolisok-store.com/collections/premium/products/3ce-new-mood-recipe-face-blush-style-nanda-3-concept-eyes-mono-pink")</f>
        <v>https://prolisok-store.com/collections/premium/products/3ce-new-mood-recipe-face-blush-style-nanda-3-concept-eyes-mono-pink</v>
      </c>
      <c r="B1879" s="3" t="str">
        <f>HYPERLINK("https://prolisok-store.com/products/3ce-new-mood-recipe-face-blush-style-nanda-3-concept-eyes-mono-pink", "https://prolisok-store.com/products/3ce-new-mood-recipe-face-blush-style-nanda-3-concept-eyes-mono-pink")</f>
        <v>https://prolisok-store.com/products/3ce-new-mood-recipe-face-blush-style-nanda-3-concept-eyes-mono-pink</v>
      </c>
      <c r="C1879" t="s">
        <v>4542</v>
      </c>
      <c r="D1879" t="s">
        <v>4639</v>
      </c>
      <c r="E1879" s="3" t="str">
        <f>HYPERLINK("https://www.amazon.com/Recipe-Blush-Style-Concept-Season/dp/B077CMDPZB/ref=sr_1_1?keywords=3CE+NEW+Mood+Recipe+Face+Blush+Style+Nanda+3+Concept+Eyes+%28Mono+Pink%29&amp;qid=1695259307&amp;sr=8-1", "https://www.amazon.com/Recipe-Blush-Style-Concept-Season/dp/B077CMDPZB/ref=sr_1_1?keywords=3CE+NEW+Mood+Recipe+Face+Blush+Style+Nanda+3+Concept+Eyes+%28Mono+Pink%29&amp;qid=1695259307&amp;sr=8-1")</f>
        <v>https://www.amazon.com/Recipe-Blush-Style-Concept-Season/dp/B077CMDPZB/ref=sr_1_1?keywords=3CE+NEW+Mood+Recipe+Face+Blush+Style+Nanda+3+Concept+Eyes+%28Mono+Pink%29&amp;qid=1695259307&amp;sr=8-1</v>
      </c>
      <c r="F1879" t="s">
        <v>4640</v>
      </c>
      <c r="G1879" t="e">
        <f ca="1">IMAGE("https://prolisok-store.com/cdn/shop/files/41mwDCFhDfL_300x.jpg?v=1683820366")</f>
        <v>#NAME?</v>
      </c>
      <c r="H1879" t="e">
        <f ca="1">IMAGE("https://m.media-amazon.com/images/I/51qL5+W0qqL._AC_UL320_.jpg")</f>
        <v>#NAME?</v>
      </c>
      <c r="I1879" t="s">
        <v>3392</v>
      </c>
      <c r="J1879">
        <v>16.899999999999999</v>
      </c>
      <c r="K1879" s="2" t="s">
        <v>4641</v>
      </c>
      <c r="L1879">
        <v>4.3</v>
      </c>
      <c r="M1879">
        <v>39</v>
      </c>
      <c r="O1879" t="s">
        <v>26</v>
      </c>
      <c r="P1879" t="s">
        <v>39</v>
      </c>
      <c r="Q1879" t="s">
        <v>4546</v>
      </c>
    </row>
    <row r="1880" spans="1:17" ht="15.75" x14ac:dyDescent="0.25">
      <c r="A1880" s="3" t="str">
        <f>HYPERLINK("https://prolisok-store.com/collections/premium/products/la-mer-the-moisturizing-soft-lotion", "https://prolisok-store.com/collections/premium/products/la-mer-the-moisturizing-soft-lotion")</f>
        <v>https://prolisok-store.com/collections/premium/products/la-mer-the-moisturizing-soft-lotion</v>
      </c>
      <c r="B1880" s="3" t="str">
        <f>HYPERLINK("https://prolisok-store.com/products/la-mer-the-moisturizing-soft-lotion", "https://prolisok-store.com/products/la-mer-the-moisturizing-soft-lotion")</f>
        <v>https://prolisok-store.com/products/la-mer-the-moisturizing-soft-lotion</v>
      </c>
      <c r="C1880" t="s">
        <v>4503</v>
      </c>
      <c r="D1880" t="s">
        <v>4642</v>
      </c>
      <c r="E1880" s="3" t="str">
        <f>HYPERLINK("https://www.amazon.com/Mer-Moisturizing-Soft-Cream-Ounce/dp/B00D3VBI4A/ref=sr_1_10?keywords=La+Mer+The+Moisturizing+Soft+Lotion&amp;qid=1695259290&amp;sr=8-10", "https://www.amazon.com/Mer-Moisturizing-Soft-Cream-Ounce/dp/B00D3VBI4A/ref=sr_1_10?keywords=La+Mer+The+Moisturizing+Soft+Lotion&amp;qid=1695259290&amp;sr=8-10")</f>
        <v>https://www.amazon.com/Mer-Moisturizing-Soft-Cream-Ounce/dp/B00D3VBI4A/ref=sr_1_10?keywords=La+Mer+The+Moisturizing+Soft+Lotion&amp;qid=1695259290&amp;sr=8-10</v>
      </c>
      <c r="F1880" t="s">
        <v>4643</v>
      </c>
      <c r="G1880" t="e">
        <f ca="1">IMAGE("https://prolisok-store.com/cdn/shop/products/61uLYCnMy9L._SL1500_300x.jpg?v=1667997816")</f>
        <v>#NAME?</v>
      </c>
      <c r="H1880" t="e">
        <f ca="1">IMAGE("https://m.media-amazon.com/images/I/51cs0eRqYyL._AC_UL320_.jpg")</f>
        <v>#NAME?</v>
      </c>
      <c r="I1880" t="s">
        <v>4506</v>
      </c>
      <c r="J1880">
        <v>147.30000000000001</v>
      </c>
      <c r="K1880" s="2" t="s">
        <v>4644</v>
      </c>
      <c r="L1880">
        <v>4.0999999999999996</v>
      </c>
      <c r="M1880">
        <v>145</v>
      </c>
      <c r="O1880" t="s">
        <v>26</v>
      </c>
      <c r="P1880" t="s">
        <v>39</v>
      </c>
      <c r="Q1880" t="s">
        <v>4508</v>
      </c>
    </row>
    <row r="1881" spans="1:17" ht="15.75" x14ac:dyDescent="0.25">
      <c r="A1881" s="3" t="str">
        <f>HYPERLINK("https://prolisok-store.com/collections/premium/products/make-up-for-ever-ultra-hd-microfinishing-pressed-powder-translucent", "https://prolisok-store.com/collections/premium/products/make-up-for-ever-ultra-hd-microfinishing-pressed-powder-translucent")</f>
        <v>https://prolisok-store.com/collections/premium/products/make-up-for-ever-ultra-hd-microfinishing-pressed-powder-translucent</v>
      </c>
      <c r="B1881" s="3" t="str">
        <f>HYPERLINK("https://prolisok-store.com/products/make-up-for-ever-ultra-hd-microfinishing-pressed-powder-translucent", "https://prolisok-store.com/products/make-up-for-ever-ultra-hd-microfinishing-pressed-powder-translucent")</f>
        <v>https://prolisok-store.com/products/make-up-for-ever-ultra-hd-microfinishing-pressed-powder-translucent</v>
      </c>
      <c r="C1881" t="s">
        <v>4595</v>
      </c>
      <c r="D1881" t="s">
        <v>4645</v>
      </c>
      <c r="E1881" s="3" t="str">
        <f>HYPERLINK("https://www.amazon.com/Make-Up-Ever-Microfinishing-Translucent/dp/B0719RCNVQ/ref=sr_1_2?keywords=MAKE+UP+FOR+EVER+Ultra+HD+Microfinishing+Pressed+Powder+Translucent&amp;qid=1695259297&amp;sr=8-2", "https://www.amazon.com/Make-Up-Ever-Microfinishing-Translucent/dp/B0719RCNVQ/ref=sr_1_2?keywords=MAKE+UP+FOR+EVER+Ultra+HD+Microfinishing+Pressed+Powder+Translucent&amp;qid=1695259297&amp;sr=8-2")</f>
        <v>https://www.amazon.com/Make-Up-Ever-Microfinishing-Translucent/dp/B0719RCNVQ/ref=sr_1_2?keywords=MAKE+UP+FOR+EVER+Ultra+HD+Microfinishing+Pressed+Powder+Translucent&amp;qid=1695259297&amp;sr=8-2</v>
      </c>
      <c r="F1881" t="s">
        <v>4646</v>
      </c>
      <c r="G1881" t="e">
        <f ca="1">IMAGE("https://prolisok-store.com/cdn/shop/files/611llduh92L._SL1500_300x.jpg?v=1693220499")</f>
        <v>#NAME?</v>
      </c>
      <c r="H1881" t="e">
        <f ca="1">IMAGE("https://m.media-amazon.com/images/I/41mRouLbOpL._AC_UL320_.jpg")</f>
        <v>#NAME?</v>
      </c>
      <c r="I1881" t="s">
        <v>3419</v>
      </c>
      <c r="J1881">
        <v>31.45</v>
      </c>
      <c r="K1881" s="2" t="s">
        <v>4647</v>
      </c>
      <c r="L1881">
        <v>4.5</v>
      </c>
      <c r="M1881">
        <v>267</v>
      </c>
      <c r="O1881" t="s">
        <v>26</v>
      </c>
      <c r="P1881" t="s">
        <v>39</v>
      </c>
      <c r="Q1881" t="s">
        <v>4599</v>
      </c>
    </row>
    <row r="1882" spans="1:17" ht="15.75" x14ac:dyDescent="0.25">
      <c r="A1882" s="3" t="str">
        <f>HYPERLINK("https://prolisok-store.com/collections/premium/products/diptyque-tam-dao-eau-de-toilette-3-4-oz", "https://prolisok-store.com/collections/premium/products/diptyque-tam-dao-eau-de-toilette-3-4-oz")</f>
        <v>https://prolisok-store.com/collections/premium/products/diptyque-tam-dao-eau-de-toilette-3-4-oz</v>
      </c>
      <c r="B1882" s="3" t="str">
        <f>HYPERLINK("https://prolisok-store.com/products/diptyque-tam-dao-eau-de-toilette-3-4-oz", "https://prolisok-store.com/products/diptyque-tam-dao-eau-de-toilette-3-4-oz")</f>
        <v>https://prolisok-store.com/products/diptyque-tam-dao-eau-de-toilette-3-4-oz</v>
      </c>
      <c r="C1882" t="s">
        <v>4488</v>
      </c>
      <c r="D1882" t="s">
        <v>4648</v>
      </c>
      <c r="E1882" s="3" t="str">
        <f>HYPERLINK("https://www.amazon.com/Tam-Dao-Toilette-50ml-Diptyque/dp/B00134UTQW/ref=sr_1_4?keywords=Diptyque+Tam+Dao+Eau+de+Toilette-3.4+oz.&amp;qid=1695259287&amp;sr=8-4", "https://www.amazon.com/Tam-Dao-Toilette-50ml-Diptyque/dp/B00134UTQW/ref=sr_1_4?keywords=Diptyque+Tam+Dao+Eau+de+Toilette-3.4+oz.&amp;qid=1695259287&amp;sr=8-4")</f>
        <v>https://www.amazon.com/Tam-Dao-Toilette-50ml-Diptyque/dp/B00134UTQW/ref=sr_1_4?keywords=Diptyque+Tam+Dao+Eau+de+Toilette-3.4+oz.&amp;qid=1695259287&amp;sr=8-4</v>
      </c>
      <c r="F1882" t="s">
        <v>4649</v>
      </c>
      <c r="G1882" t="e">
        <f ca="1">IMAGE("https://prolisok-store.com/cdn/shop/products/DiptyqueTamDaoEaudeToilette-3.4oz_-1_300x.jpg?v=1683715785")</f>
        <v>#NAME?</v>
      </c>
      <c r="H1882" t="e">
        <f ca="1">IMAGE("https://m.media-amazon.com/images/I/61CDUwJrPBL._AC_UL320_.jpg")</f>
        <v>#NAME?</v>
      </c>
      <c r="I1882" t="s">
        <v>4355</v>
      </c>
      <c r="J1882">
        <v>124.34</v>
      </c>
      <c r="K1882" s="2" t="s">
        <v>4650</v>
      </c>
      <c r="L1882">
        <v>4.0999999999999996</v>
      </c>
      <c r="M1882">
        <v>24</v>
      </c>
      <c r="O1882" t="s">
        <v>26</v>
      </c>
      <c r="P1882" t="s">
        <v>2988</v>
      </c>
      <c r="Q1882" t="s">
        <v>4489</v>
      </c>
    </row>
    <row r="1883" spans="1:17" ht="15.75" x14ac:dyDescent="0.25">
      <c r="A1883" s="3" t="str">
        <f>HYPERLINK("https://prolisok-store.com/collections/premium/products/narciso-rodriguez-fleur-musc-for-women-eau-de-parfum-spray-3-4-ounce", "https://prolisok-store.com/collections/premium/products/narciso-rodriguez-fleur-musc-for-women-eau-de-parfum-spray-3-4-ounce")</f>
        <v>https://prolisok-store.com/collections/premium/products/narciso-rodriguez-fleur-musc-for-women-eau-de-parfum-spray-3-4-ounce</v>
      </c>
      <c r="B1883" s="3" t="str">
        <f>HYPERLINK("https://prolisok-store.com/products/narciso-rodriguez-fleur-musc-for-women-eau-de-parfum-spray-3-4-ounce", "https://prolisok-store.com/products/narciso-rodriguez-fleur-musc-for-women-eau-de-parfum-spray-3-4-ounce")</f>
        <v>https://prolisok-store.com/products/narciso-rodriguez-fleur-musc-for-women-eau-de-parfum-spray-3-4-ounce</v>
      </c>
      <c r="C1883" t="s">
        <v>4429</v>
      </c>
      <c r="D1883" t="s">
        <v>4651</v>
      </c>
      <c r="E1883" s="3" t="str">
        <f>HYPERLINK("https://www.amazon.com/Narciso-Rodriguez-Cristal-Women-Parfum/dp/B09YNNRVWT/ref=sr_1_10?keywords=Narciso+Rodriguez+Fleur+Musc+for+Women+Eau+de+Parfum+Spray%2C+3.4+Ounce&amp;qid=1695259296&amp;sr=8-10", "https://www.amazon.com/Narciso-Rodriguez-Cristal-Women-Parfum/dp/B09YNNRVWT/ref=sr_1_10?keywords=Narciso+Rodriguez+Fleur+Musc+for+Women+Eau+de+Parfum+Spray%2C+3.4+Ounce&amp;qid=1695259296&amp;sr=8-10")</f>
        <v>https://www.amazon.com/Narciso-Rodriguez-Cristal-Women-Parfum/dp/B09YNNRVWT/ref=sr_1_10?keywords=Narciso+Rodriguez+Fleur+Musc+for+Women+Eau+de+Parfum+Spray%2C+3.4+Ounce&amp;qid=1695259296&amp;sr=8-10</v>
      </c>
      <c r="F1883" t="s">
        <v>4652</v>
      </c>
      <c r="G1883" t="e">
        <f ca="1">IMAGE("https://prolisok-store.com/cdn/shop/files/41h0kt3e3BS_300x.jpg?v=1689760200")</f>
        <v>#NAME?</v>
      </c>
      <c r="H1883" t="e">
        <f ca="1">IMAGE("https://m.media-amazon.com/images/I/61ezCA4h2gL._AC_UL320_.jpg")</f>
        <v>#NAME?</v>
      </c>
      <c r="I1883" t="s">
        <v>4432</v>
      </c>
      <c r="J1883">
        <v>91.99</v>
      </c>
      <c r="K1883" s="2" t="s">
        <v>4653</v>
      </c>
      <c r="L1883">
        <v>4.4000000000000004</v>
      </c>
      <c r="M1883">
        <v>9</v>
      </c>
      <c r="O1883" t="s">
        <v>26</v>
      </c>
      <c r="P1883" t="s">
        <v>39</v>
      </c>
      <c r="Q1883" t="s">
        <v>4434</v>
      </c>
    </row>
    <row r="1884" spans="1:17" ht="15.75" x14ac:dyDescent="0.25">
      <c r="A1884" s="3" t="str">
        <f>HYPERLINK("https://prolisok-store.com/collections/premium/products/frederic-malle-portrait-of-a-lady-ladies-3-4-oz", "https://prolisok-store.com/collections/premium/products/frederic-malle-portrait-of-a-lady-ladies-3-4-oz")</f>
        <v>https://prolisok-store.com/collections/premium/products/frederic-malle-portrait-of-a-lady-ladies-3-4-oz</v>
      </c>
      <c r="B1884" s="3" t="str">
        <f>HYPERLINK("https://prolisok-store.com/products/frederic-malle-portrait-of-a-lady-ladies-3-4-oz", "https://prolisok-store.com/products/frederic-malle-portrait-of-a-lady-ladies-3-4-oz")</f>
        <v>https://prolisok-store.com/products/frederic-malle-portrait-of-a-lady-ladies-3-4-oz</v>
      </c>
      <c r="C1884" t="s">
        <v>4654</v>
      </c>
      <c r="D1884" t="s">
        <v>4655</v>
      </c>
      <c r="E1884" s="3" t="str">
        <f>HYPERLINK("https://www.amazon.com/Frederic-Malle-Portrait-Lady-Parfum/dp/B018O3J8DY/ref=sr_1_4?keywords=Frederic+Malle+Portrait+of+A+Lady+Eau+De+Parfum+Spray+3.4+oz+For+Women&amp;qid=1695259294&amp;sr=8-4", "https://www.amazon.com/Frederic-Malle-Portrait-Lady-Parfum/dp/B018O3J8DY/ref=sr_1_4?keywords=Frederic+Malle+Portrait+of+A+Lady+Eau+De+Parfum+Spray+3.4+oz+For+Women&amp;qid=1695259294&amp;sr=8-4")</f>
        <v>https://www.amazon.com/Frederic-Malle-Portrait-Lady-Parfum/dp/B018O3J8DY/ref=sr_1_4?keywords=Frederic+Malle+Portrait+of+A+Lady+Eau+De+Parfum+Spray+3.4+oz+For+Women&amp;qid=1695259294&amp;sr=8-4</v>
      </c>
      <c r="F1884" t="s">
        <v>4656</v>
      </c>
      <c r="G1884" t="e">
        <f ca="1">IMAGE("https://prolisok-store.com/cdn/shop/files/PortraitofaLady_2_300x.jpg?v=1687510418")</f>
        <v>#NAME?</v>
      </c>
      <c r="H1884" t="e">
        <f ca="1">IMAGE("https://m.media-amazon.com/images/I/61tGYjCxEhL._AC_UL320_.jpg")</f>
        <v>#NAME?</v>
      </c>
      <c r="I1884" t="s">
        <v>4657</v>
      </c>
      <c r="J1884">
        <v>284.99</v>
      </c>
      <c r="K1884" s="2" t="s">
        <v>4658</v>
      </c>
      <c r="L1884">
        <v>4.4000000000000004</v>
      </c>
      <c r="M1884">
        <v>30</v>
      </c>
      <c r="O1884" t="s">
        <v>26</v>
      </c>
      <c r="P1884" t="s">
        <v>39</v>
      </c>
      <c r="Q1884" t="s">
        <v>4659</v>
      </c>
    </row>
    <row r="1885" spans="1:17" ht="15.75" x14ac:dyDescent="0.25">
      <c r="A1885" s="3" t="str">
        <f>HYPERLINK("https://prolisok-store.com/collections/premium/products/diptyque-roses-candle-6-5-oz", "https://prolisok-store.com/collections/premium/products/diptyque-roses-candle-6-5-oz")</f>
        <v>https://prolisok-store.com/collections/premium/products/diptyque-roses-candle-6-5-oz</v>
      </c>
      <c r="B1885" s="3" t="str">
        <f>HYPERLINK("https://prolisok-store.com/products/diptyque-roses-candle-6-5-oz", "https://prolisok-store.com/products/diptyque-roses-candle-6-5-oz")</f>
        <v>https://prolisok-store.com/products/diptyque-roses-candle-6-5-oz</v>
      </c>
      <c r="C1885" t="s">
        <v>4615</v>
      </c>
      <c r="D1885" t="s">
        <v>4660</v>
      </c>
      <c r="E1885" s="3" t="str">
        <f>HYPERLINK("https://www.amazon.com/Diptyque-Patchouli-Candle-6-5-oz/dp/B001O8AD04/ref=sr_1_8?keywords=Diptyque+Roses+Candle-6.5+oz&amp;qid=1695259298&amp;sr=8-8", "https://www.amazon.com/Diptyque-Patchouli-Candle-6-5-oz/dp/B001O8AD04/ref=sr_1_8?keywords=Diptyque+Roses+Candle-6.5+oz&amp;qid=1695259298&amp;sr=8-8")</f>
        <v>https://www.amazon.com/Diptyque-Patchouli-Candle-6-5-oz/dp/B001O8AD04/ref=sr_1_8?keywords=Diptyque+Roses+Candle-6.5+oz&amp;qid=1695259298&amp;sr=8-8</v>
      </c>
      <c r="F1885" t="s">
        <v>4661</v>
      </c>
      <c r="G1885" t="e">
        <f ca="1">IMAGE("https://prolisok-store.com/cdn/shop/files/61qv-dg4gnL._SL1000_300x.jpg?v=1693226309")</f>
        <v>#NAME?</v>
      </c>
      <c r="H1885" t="e">
        <f ca="1">IMAGE("https://m.media-amazon.com/images/I/71YmLrZmYcL._AC_UL320_.jpg")</f>
        <v>#NAME?</v>
      </c>
      <c r="I1885" t="s">
        <v>3476</v>
      </c>
      <c r="J1885">
        <v>80.900000000000006</v>
      </c>
      <c r="K1885" s="2" t="s">
        <v>4662</v>
      </c>
      <c r="L1885">
        <v>4.4000000000000004</v>
      </c>
      <c r="M1885">
        <v>49</v>
      </c>
      <c r="O1885" t="s">
        <v>26</v>
      </c>
      <c r="P1885" t="s">
        <v>39</v>
      </c>
      <c r="Q1885" t="s">
        <v>4619</v>
      </c>
    </row>
    <row r="1886" spans="1:17" ht="15.75" x14ac:dyDescent="0.25">
      <c r="A1886" s="3" t="str">
        <f>HYPERLINK("https://prolisok-store.com/collections/premium/products/the-soft-fluid-foundation-spf-20-1-oz-porcelain", "https://prolisok-store.com/collections/premium/products/the-soft-fluid-foundation-spf-20-1-oz-porcelain")</f>
        <v>https://prolisok-store.com/collections/premium/products/the-soft-fluid-foundation-spf-20-1-oz-porcelain</v>
      </c>
      <c r="B1886" s="3" t="str">
        <f>HYPERLINK("https://prolisok-store.com/products/the-soft-fluid-foundation-spf-20-1-oz-porcelain", "https://prolisok-store.com/products/the-soft-fluid-foundation-spf-20-1-oz-porcelain")</f>
        <v>https://prolisok-store.com/products/the-soft-fluid-foundation-spf-20-1-oz-porcelain</v>
      </c>
      <c r="C1886" t="s">
        <v>4466</v>
      </c>
      <c r="D1886" t="s">
        <v>4663</v>
      </c>
      <c r="E1886" s="3" t="str">
        <f>HYPERLINK("https://www.amazon.com/Mer-Soft-Fluid-Long-Foundation/dp/B01MDNSIK4/ref=sr_1_3?keywords=La+Mer+The+Soft+Fluid+Foundation+SPF+20-1+oz.+Porcelain&amp;qid=1695259298&amp;sr=8-3", "https://www.amazon.com/Mer-Soft-Fluid-Long-Foundation/dp/B01MDNSIK4/ref=sr_1_3?keywords=La+Mer+The+Soft+Fluid+Foundation+SPF+20-1+oz.+Porcelain&amp;qid=1695259298&amp;sr=8-3")</f>
        <v>https://www.amazon.com/Mer-Soft-Fluid-Long-Foundation/dp/B01MDNSIK4/ref=sr_1_3?keywords=La+Mer+The+Soft+Fluid+Foundation+SPF+20-1+oz.+Porcelain&amp;qid=1695259298&amp;sr=8-3</v>
      </c>
      <c r="F1886" t="s">
        <v>4664</v>
      </c>
      <c r="G1886" t="e">
        <f ca="1">IMAGE("https://prolisok-store.com/cdn/shop/products/41wgXKYLRyL._SL1000_300x.jpg?v=1674109756")</f>
        <v>#NAME?</v>
      </c>
      <c r="H1886" t="e">
        <f ca="1">IMAGE("https://m.media-amazon.com/images/I/51icv2b8-jL._AC_UL320_.jpg")</f>
        <v>#NAME?</v>
      </c>
      <c r="I1886" t="s">
        <v>4346</v>
      </c>
      <c r="J1886">
        <v>100</v>
      </c>
      <c r="K1886" s="2" t="s">
        <v>4665</v>
      </c>
      <c r="L1886">
        <v>5</v>
      </c>
      <c r="M1886">
        <v>3</v>
      </c>
      <c r="O1886" t="s">
        <v>26</v>
      </c>
      <c r="P1886" t="s">
        <v>2501</v>
      </c>
      <c r="Q1886" t="s">
        <v>4467</v>
      </c>
    </row>
    <row r="1887" spans="1:17" ht="15.75" x14ac:dyDescent="0.25">
      <c r="A1887" s="3" t="str">
        <f>HYPERLINK("https://prolisok-store.com/collections/premium/products/obagi-professional-c-serum-10-vitamin-c-facial-serum-with-concentrated-10-l-ascorbic-acid-for-normal-to-oily-skin-1-0-fl-oz", "https://prolisok-store.com/collections/premium/products/obagi-professional-c-serum-10-vitamin-c-facial-serum-with-concentrated-10-l-ascorbic-acid-for-normal-to-oily-skin-1-0-fl-oz")</f>
        <v>https://prolisok-store.com/collections/premium/products/obagi-professional-c-serum-10-vitamin-c-facial-serum-with-concentrated-10-l-ascorbic-acid-for-normal-to-oily-skin-1-0-fl-oz</v>
      </c>
      <c r="B1887" s="3" t="str">
        <f>HYPERLINK("https://prolisok-store.com/products/obagi-professional-c-serum-10-vitamin-c-facial-serum-with-concentrated-10-l-ascorbic-acid-for-normal-to-oily-skin-1-0-fl-oz", "https://prolisok-store.com/products/obagi-professional-c-serum-10-vitamin-c-facial-serum-with-concentrated-10-l-ascorbic-acid-for-normal-to-oily-skin-1-0-fl-oz")</f>
        <v>https://prolisok-store.com/products/obagi-professional-c-serum-10-vitamin-c-facial-serum-with-concentrated-10-l-ascorbic-acid-for-normal-to-oily-skin-1-0-fl-oz</v>
      </c>
      <c r="C1887" t="s">
        <v>4343</v>
      </c>
      <c r="D1887" t="s">
        <v>4343</v>
      </c>
      <c r="E1887" s="3" t="str">
        <f>HYPERLINK("https://www.amazon.com/Obagi-Professional-C-Serum-Fl-Oz/dp/B00F6XZVXC/ref=sr_1_3?keywords=Obagi+Professional+C+Serum+10%25%2C+Vitamin+C+Facial+Serum+with+Concentrated+10%25+L+Ascorbic+Acid+for+Normal+to+Oily+Skin%2C+1.0+Fl+Oz.&amp;qid=1695259294&amp;rdc=1&amp;sr=8-3", "https://www.amazon.com/Obagi-Professional-C-Serum-Fl-Oz/dp/B00F6XZVXC/ref=sr_1_3?keywords=Obagi+Professional+C+Serum+10%25%2C+Vitamin+C+Facial+Serum+with+Concentrated+10%25+L+Ascorbic+Acid+for+Normal+to+Oily+Skin%2C+1.0+Fl+Oz.&amp;qid=1695259294&amp;rdc=1&amp;sr=8-3")</f>
        <v>https://www.amazon.com/Obagi-Professional-C-Serum-Fl-Oz/dp/B00F6XZVXC/ref=sr_1_3?keywords=Obagi+Professional+C+Serum+10%25%2C+Vitamin+C+Facial+Serum+with+Concentrated+10%25+L+Ascorbic+Acid+for+Normal+to+Oily+Skin%2C+1.0+Fl+Oz.&amp;qid=1695259294&amp;rdc=1&amp;sr=8-3</v>
      </c>
      <c r="F1887" t="s">
        <v>4666</v>
      </c>
      <c r="G1887" t="e">
        <f ca="1">IMAGE("https://prolisok-store.com/cdn/shop/files/51jz8tQragS._SL1500_300x.jpg?v=1682417093")</f>
        <v>#NAME?</v>
      </c>
      <c r="H1887" t="e">
        <f ca="1">IMAGE("https://m.media-amazon.com/images/I/51jz8tQragS._AC_UL320_.jpg")</f>
        <v>#NAME?</v>
      </c>
      <c r="I1887" t="s">
        <v>4346</v>
      </c>
      <c r="J1887">
        <v>100</v>
      </c>
      <c r="K1887" s="2" t="s">
        <v>4665</v>
      </c>
      <c r="L1887">
        <v>4.5999999999999996</v>
      </c>
      <c r="M1887">
        <v>454</v>
      </c>
      <c r="O1887" t="s">
        <v>26</v>
      </c>
      <c r="P1887" t="s">
        <v>39</v>
      </c>
      <c r="Q1887" t="s">
        <v>4348</v>
      </c>
    </row>
    <row r="1888" spans="1:17" ht="15.75" x14ac:dyDescent="0.25">
      <c r="A1888" s="3" t="str">
        <f>HYPERLINK("https://prolisok-store.com/collections/premium/products/la-mer-soft-fluid-found-sf20-120", "https://prolisok-store.com/collections/premium/products/la-mer-soft-fluid-found-sf20-120")</f>
        <v>https://prolisok-store.com/collections/premium/products/la-mer-soft-fluid-found-sf20-120</v>
      </c>
      <c r="B1888" s="3" t="str">
        <f>HYPERLINK("https://prolisok-store.com/products/la-mer-soft-fluid-found-sf20-120", "https://prolisok-store.com/products/la-mer-soft-fluid-found-sf20-120")</f>
        <v>https://prolisok-store.com/products/la-mer-soft-fluid-found-sf20-120</v>
      </c>
      <c r="C1888" t="s">
        <v>4369</v>
      </c>
      <c r="D1888" t="s">
        <v>4663</v>
      </c>
      <c r="E1888" s="3" t="str">
        <f>HYPERLINK("https://www.amazon.com/Mer-Soft-Fluid-Long-Foundation/dp/B01MDNSIK4/ref=sr_1_5?keywords=La+Mer+Soft+Fluid+Foundation+SF20+120&amp;qid=1695259292&amp;sr=8-5", "https://www.amazon.com/Mer-Soft-Fluid-Long-Foundation/dp/B01MDNSIK4/ref=sr_1_5?keywords=La+Mer+Soft+Fluid+Foundation+SF20+120&amp;qid=1695259292&amp;sr=8-5")</f>
        <v>https://www.amazon.com/Mer-Soft-Fluid-Long-Foundation/dp/B01MDNSIK4/ref=sr_1_5?keywords=La+Mer+Soft+Fluid+Foundation+SF20+120&amp;qid=1695259292&amp;sr=8-5</v>
      </c>
      <c r="F1888" t="s">
        <v>4664</v>
      </c>
      <c r="G1888" t="e">
        <f ca="1">IMAGE("https://prolisok-store.com/cdn/shop/products/41uQN86fQQL._SL1000_300x.jpg?v=1674030569")</f>
        <v>#NAME?</v>
      </c>
      <c r="H1888" t="e">
        <f ca="1">IMAGE("https://m.media-amazon.com/images/I/51icv2b8-jL._AC_UL320_.jpg")</f>
        <v>#NAME?</v>
      </c>
      <c r="I1888" t="s">
        <v>4346</v>
      </c>
      <c r="J1888">
        <v>100</v>
      </c>
      <c r="K1888" s="2" t="s">
        <v>4665</v>
      </c>
      <c r="L1888">
        <v>5</v>
      </c>
      <c r="M1888">
        <v>3</v>
      </c>
      <c r="O1888" t="s">
        <v>26</v>
      </c>
      <c r="P1888" t="s">
        <v>39</v>
      </c>
      <c r="Q1888" t="s">
        <v>4373</v>
      </c>
    </row>
    <row r="1889" spans="1:17" ht="15.75" x14ac:dyDescent="0.25">
      <c r="A1889" s="3" t="str">
        <f>HYPERLINK("https://prolisok-store.com/collections/premium/products/zo-skin-health-daily-power-defense", "https://prolisok-store.com/collections/premium/products/zo-skin-health-daily-power-defense")</f>
        <v>https://prolisok-store.com/collections/premium/products/zo-skin-health-daily-power-defense</v>
      </c>
      <c r="B1889" s="3" t="str">
        <f>HYPERLINK("https://prolisok-store.com/products/zo-skin-health-daily-power-defense", "https://prolisok-store.com/products/zo-skin-health-daily-power-defense")</f>
        <v>https://prolisok-store.com/products/zo-skin-health-daily-power-defense</v>
      </c>
      <c r="C1889" t="s">
        <v>4393</v>
      </c>
      <c r="D1889" t="s">
        <v>4667</v>
      </c>
      <c r="E1889" s="3" t="str">
        <f>HYPERLINK("https://www.amazon.com/ZO-Health-Daily-Defense-Softgel/dp/B07QF1B66M/ref=sr_1_2?keywords=ZO+Skin+Health+Daily+Power+Defense&amp;qid=1695259288&amp;sr=8-2", "https://www.amazon.com/ZO-Health-Daily-Defense-Softgel/dp/B07QF1B66M/ref=sr_1_2?keywords=ZO+Skin+Health+Daily+Power+Defense&amp;qid=1695259288&amp;sr=8-2")</f>
        <v>https://www.amazon.com/ZO-Health-Daily-Defense-Softgel/dp/B07QF1B66M/ref=sr_1_2?keywords=ZO+Skin+Health+Daily+Power+Defense&amp;qid=1695259288&amp;sr=8-2</v>
      </c>
      <c r="F1889" t="s">
        <v>4668</v>
      </c>
      <c r="G1889" t="e">
        <f ca="1">IMAGE("https://prolisok-store.com/cdn/shop/files/dpd.mob.pdp.gbl_300x.png?v=1682669514")</f>
        <v>#NAME?</v>
      </c>
      <c r="H1889" t="e">
        <f ca="1">IMAGE("https://m.media-amazon.com/images/I/61qSFJrh1bL._AC_UL320_.jpg")</f>
        <v>#NAME?</v>
      </c>
      <c r="I1889" t="s">
        <v>3404</v>
      </c>
      <c r="J1889">
        <v>59.99</v>
      </c>
      <c r="K1889" s="2" t="s">
        <v>4669</v>
      </c>
      <c r="L1889">
        <v>4.5999999999999996</v>
      </c>
      <c r="M1889">
        <v>821</v>
      </c>
      <c r="O1889" t="s">
        <v>26</v>
      </c>
      <c r="P1889" t="s">
        <v>39</v>
      </c>
      <c r="Q1889" t="s">
        <v>4397</v>
      </c>
    </row>
    <row r="1890" spans="1:17" ht="15.75" x14ac:dyDescent="0.25">
      <c r="A1890" s="3" t="str">
        <f>HYPERLINK("https://prolisok-store.com/collections/premium/products/elizabeth-arden-capsules-serum", "https://prolisok-store.com/collections/premium/products/elizabeth-arden-capsules-serum")</f>
        <v>https://prolisok-store.com/collections/premium/products/elizabeth-arden-capsules-serum</v>
      </c>
      <c r="B1890" s="3" t="str">
        <f>HYPERLINK("https://prolisok-store.com/products/elizabeth-arden-capsules-serum", "https://prolisok-store.com/products/elizabeth-arden-capsules-serum")</f>
        <v>https://prolisok-store.com/products/elizabeth-arden-capsules-serum</v>
      </c>
      <c r="C1890" t="s">
        <v>4670</v>
      </c>
      <c r="D1890" t="s">
        <v>4671</v>
      </c>
      <c r="E1890" s="3" t="str">
        <f>HYPERLINK("https://www.amazon.com/Elizabeth-Arden-Advanced-Ceramide-Restoring/dp/B01N5HLNB8/ref=sr_1_1?keywords=Elizabeth+Arden+Capsules+Serum&amp;qid=1695259297&amp;sr=8-1", "https://www.amazon.com/Elizabeth-Arden-Advanced-Ceramide-Restoring/dp/B01N5HLNB8/ref=sr_1_1?keywords=Elizabeth+Arden+Capsules+Serum&amp;qid=1695259297&amp;sr=8-1")</f>
        <v>https://www.amazon.com/Elizabeth-Arden-Advanced-Ceramide-Restoring/dp/B01N5HLNB8/ref=sr_1_1?keywords=Elizabeth+Arden+Capsules+Serum&amp;qid=1695259297&amp;sr=8-1</v>
      </c>
      <c r="F1890" t="s">
        <v>4672</v>
      </c>
      <c r="G1890" t="e">
        <f ca="1">IMAGE("https://prolisok-store.com/cdn/shop/files/71roxz2sB-L._SL1500_300x.jpg?v=1683266294")</f>
        <v>#NAME?</v>
      </c>
      <c r="H1890" t="e">
        <f ca="1">IMAGE("https://m.media-amazon.com/images/I/71PpHwZRRuL._AC_UL320_.jpg")</f>
        <v>#NAME?</v>
      </c>
      <c r="I1890" t="s">
        <v>4355</v>
      </c>
      <c r="J1890">
        <v>120</v>
      </c>
      <c r="K1890" s="2" t="s">
        <v>4669</v>
      </c>
      <c r="L1890">
        <v>4.7</v>
      </c>
      <c r="M1890">
        <v>2049</v>
      </c>
      <c r="O1890" t="s">
        <v>26</v>
      </c>
      <c r="P1890" t="s">
        <v>39</v>
      </c>
      <c r="Q1890" t="s">
        <v>4673</v>
      </c>
    </row>
    <row r="1891" spans="1:17" ht="15.75" x14ac:dyDescent="0.25">
      <c r="A1891" s="3" t="str">
        <f>HYPERLINK("https://prolisok-store.com/collections/premium/products/elizabeth-arden-capsules-serum", "https://prolisok-store.com/collections/premium/products/elizabeth-arden-capsules-serum")</f>
        <v>https://prolisok-store.com/collections/premium/products/elizabeth-arden-capsules-serum</v>
      </c>
      <c r="B1891" s="3" t="str">
        <f>HYPERLINK("https://prolisok-store.com/products/elizabeth-arden-capsules-serum", "https://prolisok-store.com/products/elizabeth-arden-capsules-serum")</f>
        <v>https://prolisok-store.com/products/elizabeth-arden-capsules-serum</v>
      </c>
      <c r="C1891" t="s">
        <v>4670</v>
      </c>
      <c r="D1891" t="s">
        <v>4674</v>
      </c>
      <c r="E1891" s="3" t="str">
        <f>HYPERLINK("https://www.amazon.com/Elizabeth-Arden-Retinol-Ceramide-Capsules/dp/B07TN8WFZJ/ref=sr_1_4?keywords=Elizabeth+Arden+Capsules+Serum&amp;qid=1695259297&amp;sr=8-4", "https://www.amazon.com/Elizabeth-Arden-Retinol-Ceramide-Capsules/dp/B07TN8WFZJ/ref=sr_1_4?keywords=Elizabeth+Arden+Capsules+Serum&amp;qid=1695259297&amp;sr=8-4")</f>
        <v>https://www.amazon.com/Elizabeth-Arden-Retinol-Ceramide-Capsules/dp/B07TN8WFZJ/ref=sr_1_4?keywords=Elizabeth+Arden+Capsules+Serum&amp;qid=1695259297&amp;sr=8-4</v>
      </c>
      <c r="F1891" t="s">
        <v>4675</v>
      </c>
      <c r="G1891" t="e">
        <f ca="1">IMAGE("https://prolisok-store.com/cdn/shop/files/71roxz2sB-L._SL1500_300x.jpg?v=1683266294")</f>
        <v>#NAME?</v>
      </c>
      <c r="H1891" t="e">
        <f ca="1">IMAGE("https://m.media-amazon.com/images/I/71-zjzKULCL._AC_UL320_.jpg")</f>
        <v>#NAME?</v>
      </c>
      <c r="I1891" t="s">
        <v>4355</v>
      </c>
      <c r="J1891">
        <v>120</v>
      </c>
      <c r="K1891" s="2" t="s">
        <v>4669</v>
      </c>
      <c r="L1891">
        <v>4.5</v>
      </c>
      <c r="M1891">
        <v>440</v>
      </c>
      <c r="O1891" t="s">
        <v>26</v>
      </c>
      <c r="P1891" t="s">
        <v>39</v>
      </c>
      <c r="Q1891" t="s">
        <v>4673</v>
      </c>
    </row>
    <row r="1892" spans="1:17" ht="15.75" x14ac:dyDescent="0.25">
      <c r="A1892" s="3" t="str">
        <f>HYPERLINK("https://prolisok-store.com/collections/premium/products/kilian-eau-de-parfum-refillable-spray-1-7-oz", "https://prolisok-store.com/collections/premium/products/kilian-eau-de-parfum-refillable-spray-1-7-oz")</f>
        <v>https://prolisok-store.com/collections/premium/products/kilian-eau-de-parfum-refillable-spray-1-7-oz</v>
      </c>
      <c r="B1892" s="3" t="str">
        <f>HYPERLINK("https://prolisok-store.com/products/kilian-eau-de-parfum-refillable-spray-1-7-oz", "https://prolisok-store.com/products/kilian-eau-de-parfum-refillable-spray-1-7-oz")</f>
        <v>https://prolisok-store.com/products/kilian-eau-de-parfum-refillable-spray-1-7-oz</v>
      </c>
      <c r="C1892" t="s">
        <v>4567</v>
      </c>
      <c r="D1892" t="s">
        <v>4676</v>
      </c>
      <c r="E1892" s="3" t="str">
        <f>HYPERLINK("https://www.amazon.com/Kilian-Playing-Devil-Parfum-Refillable/dp/B00F8Q0GGO/ref=sr_1_5?keywords=Kilian+Eau+De+Parfum+Refillable+Spray+1.7+oz&amp;qid=1695259299&amp;sr=8-5", "https://www.amazon.com/Kilian-Playing-Devil-Parfum-Refillable/dp/B00F8Q0GGO/ref=sr_1_5?keywords=Kilian+Eau+De+Parfum+Refillable+Spray+1.7+oz&amp;qid=1695259299&amp;sr=8-5")</f>
        <v>https://www.amazon.com/Kilian-Playing-Devil-Parfum-Refillable/dp/B00F8Q0GGO/ref=sr_1_5?keywords=Kilian+Eau+De+Parfum+Refillable+Spray+1.7+oz&amp;qid=1695259299&amp;sr=8-5</v>
      </c>
      <c r="F1892" t="s">
        <v>4677</v>
      </c>
      <c r="G1892" t="e">
        <f ca="1">IMAGE("https://prolisok-store.com/cdn/shop/files/41qHQCLW06L._SL1000_300x.jpg?v=1690803520")</f>
        <v>#NAME?</v>
      </c>
      <c r="H1892" t="e">
        <f ca="1">IMAGE("https://m.media-amazon.com/images/I/61V9Vs9dHOL._AC_UL320_.jpg")</f>
        <v>#NAME?</v>
      </c>
      <c r="I1892" t="s">
        <v>4570</v>
      </c>
      <c r="J1892">
        <v>240.01</v>
      </c>
      <c r="K1892" s="2" t="s">
        <v>4669</v>
      </c>
      <c r="L1892">
        <v>4.5</v>
      </c>
      <c r="M1892">
        <v>6</v>
      </c>
      <c r="O1892" t="s">
        <v>26</v>
      </c>
      <c r="P1892" t="s">
        <v>39</v>
      </c>
      <c r="Q1892" t="s">
        <v>4572</v>
      </c>
    </row>
    <row r="1893" spans="1:17" ht="15.75" x14ac:dyDescent="0.25">
      <c r="A1893" s="3" t="str">
        <f>HYPERLINK("https://prolisok-store.com/collections/premium/products/by-kilian-good-girl-gone-bad-1-7-fl-oz", "https://prolisok-store.com/collections/premium/products/by-kilian-good-girl-gone-bad-1-7-fl-oz")</f>
        <v>https://prolisok-store.com/collections/premium/products/by-kilian-good-girl-gone-bad-1-7-fl-oz</v>
      </c>
      <c r="B1893" s="3" t="str">
        <f>HYPERLINK("https://prolisok-store.com/products/by-kilian-good-girl-gone-bad-1-7-fl-oz", "https://prolisok-store.com/products/by-kilian-good-girl-gone-bad-1-7-fl-oz")</f>
        <v>https://prolisok-store.com/products/by-kilian-good-girl-gone-bad-1-7-fl-oz</v>
      </c>
      <c r="C1893" t="s">
        <v>4606</v>
      </c>
      <c r="D1893" t="s">
        <v>4678</v>
      </c>
      <c r="E1893" s="3" t="str">
        <f>HYPERLINK("https://www.amazon.com/Kilian-Good-Girl-parfum-Clutch/dp/B087BS9Y4L/ref=sr_1_9?keywords=By+Kilian+-+Good+Girl+Gone+Bad+-+1.7+fl.+Oz&amp;qid=1695259301&amp;sr=8-9", "https://www.amazon.com/Kilian-Good-Girl-parfum-Clutch/dp/B087BS9Y4L/ref=sr_1_9?keywords=By+Kilian+-+Good+Girl+Gone+Bad+-+1.7+fl.+Oz&amp;qid=1695259301&amp;sr=8-9")</f>
        <v>https://www.amazon.com/Kilian-Good-Girl-parfum-Clutch/dp/B087BS9Y4L/ref=sr_1_9?keywords=By+Kilian+-+Good+Girl+Gone+Bad+-+1.7+fl.+Oz&amp;qid=1695259301&amp;sr=8-9</v>
      </c>
      <c r="F1893" t="s">
        <v>4679</v>
      </c>
      <c r="G1893" t="e">
        <f ca="1">IMAGE("https://prolisok-store.com/cdn/shop/files/41o-yGm4K6L_300x.jpg?v=1686655714")</f>
        <v>#NAME?</v>
      </c>
      <c r="H1893" t="e">
        <f ca="1">IMAGE("https://m.media-amazon.com/images/I/61rVtE-KLiL._AC_UL320_.jpg")</f>
        <v>#NAME?</v>
      </c>
      <c r="I1893" t="s">
        <v>4609</v>
      </c>
      <c r="J1893">
        <v>229.95</v>
      </c>
      <c r="K1893" s="2" t="s">
        <v>4680</v>
      </c>
      <c r="L1893">
        <v>3.6</v>
      </c>
      <c r="M1893">
        <v>9</v>
      </c>
      <c r="O1893" t="s">
        <v>26</v>
      </c>
      <c r="P1893" t="s">
        <v>39</v>
      </c>
      <c r="Q1893" t="s">
        <v>4611</v>
      </c>
    </row>
    <row r="1894" spans="1:17" ht="15.75" x14ac:dyDescent="0.25">
      <c r="A1894" s="3" t="str">
        <f>HYPERLINK("https://prolisok-store.com/collections/premium/products/narciso-rodriguez-fleur-musc-for-women-eau-de-parfum-spray-3-4-ounce", "https://prolisok-store.com/collections/premium/products/narciso-rodriguez-fleur-musc-for-women-eau-de-parfum-spray-3-4-ounce")</f>
        <v>https://prolisok-store.com/collections/premium/products/narciso-rodriguez-fleur-musc-for-women-eau-de-parfum-spray-3-4-ounce</v>
      </c>
      <c r="B1894" s="3" t="str">
        <f>HYPERLINK("https://prolisok-store.com/products/narciso-rodriguez-fleur-musc-for-women-eau-de-parfum-spray-3-4-ounce", "https://prolisok-store.com/products/narciso-rodriguez-fleur-musc-for-women-eau-de-parfum-spray-3-4-ounce")</f>
        <v>https://prolisok-store.com/products/narciso-rodriguez-fleur-musc-for-women-eau-de-parfum-spray-3-4-ounce</v>
      </c>
      <c r="C1894" t="s">
        <v>4429</v>
      </c>
      <c r="D1894" t="s">
        <v>4681</v>
      </c>
      <c r="E1894" s="3" t="str">
        <f>HYPERLINK("https://www.amazon.com/Narciso-Rodriguez-Women-Parfum-Spray/dp/B09TR47MZ7/ref=sr_1_5?keywords=Narciso+Rodriguez+Fleur+Musc+for+Women+Eau+de+Parfum+Spray%2C+3.4+Ounce&amp;qid=1695259296&amp;sr=8-5", "https://www.amazon.com/Narciso-Rodriguez-Women-Parfum-Spray/dp/B09TR47MZ7/ref=sr_1_5?keywords=Narciso+Rodriguez+Fleur+Musc+for+Women+Eau+de+Parfum+Spray%2C+3.4+Ounce&amp;qid=1695259296&amp;sr=8-5")</f>
        <v>https://www.amazon.com/Narciso-Rodriguez-Women-Parfum-Spray/dp/B09TR47MZ7/ref=sr_1_5?keywords=Narciso+Rodriguez+Fleur+Musc+for+Women+Eau+de+Parfum+Spray%2C+3.4+Ounce&amp;qid=1695259296&amp;sr=8-5</v>
      </c>
      <c r="F1894" t="s">
        <v>4682</v>
      </c>
      <c r="G1894" t="e">
        <f ca="1">IMAGE("https://prolisok-store.com/cdn/shop/files/41h0kt3e3BS_300x.jpg?v=1689760200")</f>
        <v>#NAME?</v>
      </c>
      <c r="H1894" t="e">
        <f ca="1">IMAGE("https://m.media-amazon.com/images/I/61RHjKF1rTL._AC_UL320_.jpg")</f>
        <v>#NAME?</v>
      </c>
      <c r="I1894" t="s">
        <v>4432</v>
      </c>
      <c r="J1894">
        <v>89.44</v>
      </c>
      <c r="K1894" s="2" t="s">
        <v>4683</v>
      </c>
      <c r="L1894">
        <v>4.0999999999999996</v>
      </c>
      <c r="M1894">
        <v>89</v>
      </c>
      <c r="O1894" t="s">
        <v>26</v>
      </c>
      <c r="P1894" t="s">
        <v>39</v>
      </c>
      <c r="Q1894" t="s">
        <v>4434</v>
      </c>
    </row>
    <row r="1895" spans="1:17" ht="15.75" x14ac:dyDescent="0.25">
      <c r="A1895" s="3" t="str">
        <f>HYPERLINK("https://prolisok-store.com/collections/premium/products/ipsa-creative-concealer-ex-4-5g", "https://prolisok-store.com/collections/premium/products/ipsa-creative-concealer-ex-4-5g")</f>
        <v>https://prolisok-store.com/collections/premium/products/ipsa-creative-concealer-ex-4-5g</v>
      </c>
      <c r="B1895" s="3" t="str">
        <f>HYPERLINK("https://prolisok-store.com/products/ipsa-creative-concealer-ex-4-5g", "https://prolisok-store.com/products/ipsa-creative-concealer-ex-4-5g")</f>
        <v>https://prolisok-store.com/products/ipsa-creative-concealer-ex-4-5g</v>
      </c>
      <c r="C1895" t="s">
        <v>4684</v>
      </c>
      <c r="D1895" t="s">
        <v>4685</v>
      </c>
      <c r="E1895" s="3" t="str">
        <f>HYPERLINK("https://www.amazon.com/IPSA-CREATIVE-CONCEALER-EX-4-5g/dp/B01K7MW1IY/ref=sr_1_2?keywords=IPSA+creative+concealer+ex+4.5g&amp;qid=1695259304&amp;sr=8-2", "https://www.amazon.com/IPSA-CREATIVE-CONCEALER-EX-4-5g/dp/B01K7MW1IY/ref=sr_1_2?keywords=IPSA+creative+concealer+ex+4.5g&amp;qid=1695259304&amp;sr=8-2")</f>
        <v>https://www.amazon.com/IPSA-CREATIVE-CONCEALER-EX-4-5g/dp/B01K7MW1IY/ref=sr_1_2?keywords=IPSA+creative+concealer+ex+4.5g&amp;qid=1695259304&amp;sr=8-2</v>
      </c>
      <c r="F1895" t="s">
        <v>4686</v>
      </c>
      <c r="G1895" t="e">
        <f ca="1">IMAGE("https://prolisok-store.com/cdn/shop/files/61Taf-7_nfL._AC_SL1500_300x.jpg?v=1689078688")</f>
        <v>#NAME?</v>
      </c>
      <c r="H1895" t="e">
        <f ca="1">IMAGE("https://m.media-amazon.com/images/I/61Taf-7+nfL._AC_UL320_.jpg")</f>
        <v>#NAME?</v>
      </c>
      <c r="I1895" t="s">
        <v>3458</v>
      </c>
      <c r="J1895">
        <v>39.51</v>
      </c>
      <c r="K1895" s="2" t="s">
        <v>4687</v>
      </c>
      <c r="L1895">
        <v>4.0999999999999996</v>
      </c>
      <c r="M1895">
        <v>61</v>
      </c>
      <c r="O1895" t="s">
        <v>26</v>
      </c>
      <c r="P1895" t="s">
        <v>39</v>
      </c>
      <c r="Q1895" t="s">
        <v>4688</v>
      </c>
    </row>
    <row r="1896" spans="1:17" ht="15.75" x14ac:dyDescent="0.25">
      <c r="A1896" s="3" t="str">
        <f>HYPERLINK("https://prolisok-store.com/collections/premium/products/clarins-extra-firming-neck-and-decollete-cream", "https://prolisok-store.com/collections/premium/products/clarins-extra-firming-neck-and-decollete-cream")</f>
        <v>https://prolisok-store.com/collections/premium/products/clarins-extra-firming-neck-and-decollete-cream</v>
      </c>
      <c r="B1896" s="3" t="str">
        <f>HYPERLINK("https://prolisok-store.com/products/clarins-extra-firming-neck-and-decollete-cream", "https://prolisok-store.com/products/clarins-extra-firming-neck-and-decollete-cream")</f>
        <v>https://prolisok-store.com/products/clarins-extra-firming-neck-and-decollete-cream</v>
      </c>
      <c r="C1896" t="s">
        <v>4574</v>
      </c>
      <c r="D1896" t="s">
        <v>4689</v>
      </c>
      <c r="E1896" s="3" t="str">
        <f>HYPERLINK("https://www.amazon.com/Clarins-Extra-Firming-Award-Winning-Anti-Aging-Moisturizer/dp/B084MDRPPJ/ref=sr_1_1?keywords=Clarins+Extra-Firming+Neck+and+D%C3%A9collet%C3%A9+Cream&amp;qid=1695259301&amp;sr=8-1", "https://www.amazon.com/Clarins-Extra-Firming-Award-Winning-Anti-Aging-Moisturizer/dp/B084MDRPPJ/ref=sr_1_1?keywords=Clarins+Extra-Firming+Neck+and+D%C3%A9collet%C3%A9+Cream&amp;qid=1695259301&amp;sr=8-1")</f>
        <v>https://www.amazon.com/Clarins-Extra-Firming-Award-Winning-Anti-Aging-Moisturizer/dp/B084MDRPPJ/ref=sr_1_1?keywords=Clarins+Extra-Firming+Neck+and+D%C3%A9collet%C3%A9+Cream&amp;qid=1695259301&amp;sr=8-1</v>
      </c>
      <c r="F1896" t="s">
        <v>4690</v>
      </c>
      <c r="G1896" t="e">
        <f ca="1">IMAGE("https://prolisok-store.com/cdn/shop/files/6188DnkFSjL._SL1500_300x.jpg?v=1682417456")</f>
        <v>#NAME?</v>
      </c>
      <c r="H1896" t="e">
        <f ca="1">IMAGE("https://m.media-amazon.com/images/I/6188DnkFSjL._AC_UL320_.jpg")</f>
        <v>#NAME?</v>
      </c>
      <c r="I1896" t="s">
        <v>4346</v>
      </c>
      <c r="J1896">
        <v>98</v>
      </c>
      <c r="K1896" s="2" t="s">
        <v>4691</v>
      </c>
      <c r="L1896">
        <v>4.3</v>
      </c>
      <c r="M1896">
        <v>168</v>
      </c>
      <c r="O1896" t="s">
        <v>26</v>
      </c>
      <c r="P1896" t="s">
        <v>39</v>
      </c>
      <c r="Q1896" t="s">
        <v>4578</v>
      </c>
    </row>
    <row r="1897" spans="1:17" ht="15.75" x14ac:dyDescent="0.25">
      <c r="A1897" s="3" t="str">
        <f>HYPERLINK("https://prolisok-store.com/collections/premium/products/diptyque-roses-candle-6-5-oz", "https://prolisok-store.com/collections/premium/products/diptyque-roses-candle-6-5-oz")</f>
        <v>https://prolisok-store.com/collections/premium/products/diptyque-roses-candle-6-5-oz</v>
      </c>
      <c r="B1897" s="3" t="str">
        <f>HYPERLINK("https://prolisok-store.com/products/diptyque-roses-candle-6-5-oz", "https://prolisok-store.com/products/diptyque-roses-candle-6-5-oz")</f>
        <v>https://prolisok-store.com/products/diptyque-roses-candle-6-5-oz</v>
      </c>
      <c r="C1897" t="s">
        <v>4615</v>
      </c>
      <c r="D1897" t="s">
        <v>4692</v>
      </c>
      <c r="E1897" s="3" t="str">
        <f>HYPERLINK("https://www.amazon.com/Diptyque-412842849097-Santal-Candle-6-5-oz/dp/B002LK4E7W/ref=sr_1_9?keywords=Diptyque+Roses+Candle-6.5+oz&amp;qid=1695259298&amp;sr=8-9", "https://www.amazon.com/Diptyque-412842849097-Santal-Candle-6-5-oz/dp/B002LK4E7W/ref=sr_1_9?keywords=Diptyque+Roses+Candle-6.5+oz&amp;qid=1695259298&amp;sr=8-9")</f>
        <v>https://www.amazon.com/Diptyque-412842849097-Santal-Candle-6-5-oz/dp/B002LK4E7W/ref=sr_1_9?keywords=Diptyque+Roses+Candle-6.5+oz&amp;qid=1695259298&amp;sr=8-9</v>
      </c>
      <c r="F1897" t="s">
        <v>4693</v>
      </c>
      <c r="G1897" t="e">
        <f ca="1">IMAGE("https://prolisok-store.com/cdn/shop/files/61qv-dg4gnL._SL1000_300x.jpg?v=1693226309")</f>
        <v>#NAME?</v>
      </c>
      <c r="H1897" t="e">
        <f ca="1">IMAGE("https://m.media-amazon.com/images/I/81rgtHrs-3L._AC_UL320_.jpg")</f>
        <v>#NAME?</v>
      </c>
      <c r="I1897" t="s">
        <v>3476</v>
      </c>
      <c r="J1897">
        <v>77.989999999999995</v>
      </c>
      <c r="K1897" s="2" t="s">
        <v>4694</v>
      </c>
      <c r="L1897">
        <v>4</v>
      </c>
      <c r="M1897">
        <v>22</v>
      </c>
      <c r="O1897" t="s">
        <v>26</v>
      </c>
      <c r="P1897" t="s">
        <v>39</v>
      </c>
      <c r="Q1897" t="s">
        <v>4619</v>
      </c>
    </row>
    <row r="1898" spans="1:17" ht="15.75" x14ac:dyDescent="0.25">
      <c r="A1898" s="3" t="str">
        <f>HYPERLINK("https://prolisok-store.com/collections/premium/products/3ce-multi-eye-color-palette-butter-cream-with-eyeshadow-brushes", "https://prolisok-store.com/collections/premium/products/3ce-multi-eye-color-palette-butter-cream-with-eyeshadow-brushes")</f>
        <v>https://prolisok-store.com/collections/premium/products/3ce-multi-eye-color-palette-butter-cream-with-eyeshadow-brushes</v>
      </c>
      <c r="B1898" s="3" t="str">
        <f>HYPERLINK("https://prolisok-store.com/products/3ce-multi-eye-color-palette-butter-cream-with-eyeshadow-brushes", "https://prolisok-store.com/products/3ce-multi-eye-color-palette-butter-cream-with-eyeshadow-brushes")</f>
        <v>https://prolisok-store.com/products/3ce-multi-eye-color-palette-butter-cream-with-eyeshadow-brushes</v>
      </c>
      <c r="C1898" t="s">
        <v>4634</v>
      </c>
      <c r="D1898" t="s">
        <v>4695</v>
      </c>
      <c r="E1898" s="3" t="str">
        <f>HYPERLINK("https://www.amazon.com/3CE-Palette-Butter-9Colors-Staylenanda/dp/B08W8HSQCF/ref=sr_1_2?keywords=3CE+Multi+Eye+Color+Palette+%23Butter+Cream+with+Eyeshadow+Brushes&amp;qid=1695259303&amp;sr=8-2", "https://www.amazon.com/3CE-Palette-Butter-9Colors-Staylenanda/dp/B08W8HSQCF/ref=sr_1_2?keywords=3CE+Multi+Eye+Color+Palette+%23Butter+Cream+with+Eyeshadow+Brushes&amp;qid=1695259303&amp;sr=8-2")</f>
        <v>https://www.amazon.com/3CE-Palette-Butter-9Colors-Staylenanda/dp/B08W8HSQCF/ref=sr_1_2?keywords=3CE+Multi+Eye+Color+Palette+%23Butter+Cream+with+Eyeshadow+Brushes&amp;qid=1695259303&amp;sr=8-2</v>
      </c>
      <c r="F1898" t="s">
        <v>4696</v>
      </c>
      <c r="G1898" t="e">
        <f ca="1">IMAGE("https://prolisok-store.com/cdn/shop/files/51o8ZquVsdL._SL1000_300x.jpg?v=1693221158")</f>
        <v>#NAME?</v>
      </c>
      <c r="H1898" t="e">
        <f ca="1">IMAGE("https://m.media-amazon.com/images/I/51-jFSNIXUL._AC_UL320_.jpg")</f>
        <v>#NAME?</v>
      </c>
      <c r="I1898" t="s">
        <v>3458</v>
      </c>
      <c r="J1898">
        <v>38.9</v>
      </c>
      <c r="K1898" s="2" t="s">
        <v>4697</v>
      </c>
      <c r="L1898">
        <v>3.7</v>
      </c>
      <c r="M1898">
        <v>4</v>
      </c>
      <c r="O1898" t="s">
        <v>26</v>
      </c>
      <c r="P1898" t="s">
        <v>39</v>
      </c>
      <c r="Q1898" t="s">
        <v>4638</v>
      </c>
    </row>
    <row r="1899" spans="1:17" ht="15.75" x14ac:dyDescent="0.25">
      <c r="A1899" s="3" t="str">
        <f>HYPERLINK("https://prolisok-store.com/collections/premium/products/3ce-multi-eye-color-palette-beach-muse-makeup-palette-9-color", "https://prolisok-store.com/collections/premium/products/3ce-multi-eye-color-palette-beach-muse-makeup-palette-9-color")</f>
        <v>https://prolisok-store.com/collections/premium/products/3ce-multi-eye-color-palette-beach-muse-makeup-palette-9-color</v>
      </c>
      <c r="B1899" s="3" t="str">
        <f>HYPERLINK("https://prolisok-store.com/products/3ce-multi-eye-color-palette-beach-muse-makeup-palette-9-color", "https://prolisok-store.com/products/3ce-multi-eye-color-palette-beach-muse-makeup-palette-9-color")</f>
        <v>https://prolisok-store.com/products/3ce-multi-eye-color-palette-beach-muse-makeup-palette-9-color</v>
      </c>
      <c r="C1899" t="s">
        <v>4629</v>
      </c>
      <c r="D1899" t="s">
        <v>4698</v>
      </c>
      <c r="E1899" s="3" t="str">
        <f>HYPERLINK("https://www.amazon.com/3CE-Palette-9Colors-Shadow-Staylenanda/dp/B08W9YWS9B/ref=sr_1_4?keywords=3CE+Multi+Eye+Color+Palette%2CBeach+Muse%2CMakeup+Palette+9+Color&amp;qid=1695259301&amp;sr=8-4", "https://www.amazon.com/3CE-Palette-9Colors-Shadow-Staylenanda/dp/B08W9YWS9B/ref=sr_1_4?keywords=3CE+Multi+Eye+Color+Palette%2CBeach+Muse%2CMakeup+Palette+9+Color&amp;qid=1695259301&amp;sr=8-4")</f>
        <v>https://www.amazon.com/3CE-Palette-9Colors-Shadow-Staylenanda/dp/B08W9YWS9B/ref=sr_1_4?keywords=3CE+Multi+Eye+Color+Palette%2CBeach+Muse%2CMakeup+Palette+9+Color&amp;qid=1695259301&amp;sr=8-4</v>
      </c>
      <c r="F1899" t="s">
        <v>4699</v>
      </c>
      <c r="G1899" t="e">
        <f ca="1">IMAGE("https://prolisok-store.com/cdn/shop/files/61UqvcCJGwL._SL1001_300x.jpg?v=1682590795")</f>
        <v>#NAME?</v>
      </c>
      <c r="H1899" t="e">
        <f ca="1">IMAGE("https://m.media-amazon.com/images/I/51c41ng7-KL._AC_UL320_.jpg")</f>
        <v>#NAME?</v>
      </c>
      <c r="I1899" t="s">
        <v>3458</v>
      </c>
      <c r="J1899">
        <v>38.880000000000003</v>
      </c>
      <c r="K1899" s="2" t="s">
        <v>4700</v>
      </c>
      <c r="L1899">
        <v>5</v>
      </c>
      <c r="M1899">
        <v>9</v>
      </c>
      <c r="O1899" t="s">
        <v>26</v>
      </c>
      <c r="P1899" t="s">
        <v>39</v>
      </c>
      <c r="Q1899" t="s">
        <v>4630</v>
      </c>
    </row>
    <row r="1900" spans="1:17" ht="15.75" x14ac:dyDescent="0.25">
      <c r="A1900" s="3" t="str">
        <f>HYPERLINK("https://prolisok-store.com/collections/premium/products/la-mer-brume-de-the-mist-100ml-3-4oz", "https://prolisok-store.com/collections/premium/products/la-mer-brume-de-the-mist-100ml-3-4oz")</f>
        <v>https://prolisok-store.com/collections/premium/products/la-mer-brume-de-the-mist-100ml-3-4oz</v>
      </c>
      <c r="B1900" s="3" t="str">
        <f>HYPERLINK("https://prolisok-store.com/products/la-mer-brume-de-the-mist-100ml-3-4oz", "https://prolisok-store.com/products/la-mer-brume-de-the-mist-100ml-3-4oz")</f>
        <v>https://prolisok-store.com/products/la-mer-brume-de-the-mist-100ml-3-4oz</v>
      </c>
      <c r="C1900" t="s">
        <v>4701</v>
      </c>
      <c r="D1900" t="s">
        <v>4701</v>
      </c>
      <c r="E1900" s="3" t="str">
        <f>HYPERLINK("https://www.amazon.com/Mer-Brume-Mist/dp/B077BFZMM1/ref=sr_1_1?keywords=La+Mer+Brume+De+The+Mist+100ml%2F3.4oz&amp;qid=1695259306&amp;sr=8-1", "https://www.amazon.com/Mer-Brume-Mist/dp/B077BFZMM1/ref=sr_1_1?keywords=La+Mer+Brume+De+The+Mist+100ml%2F3.4oz&amp;qid=1695259306&amp;sr=8-1")</f>
        <v>https://www.amazon.com/Mer-Brume-Mist/dp/B077BFZMM1/ref=sr_1_1?keywords=La+Mer+Brume+De+The+Mist+100ml%2F3.4oz&amp;qid=1695259306&amp;sr=8-1</v>
      </c>
      <c r="F1900" t="s">
        <v>4702</v>
      </c>
      <c r="G1900" t="e">
        <f ca="1">IMAGE("https://prolisok-store.com/cdn/shop/products/712TGv3btkL._SL1500_300x.jpg?v=1673880914")</f>
        <v>#NAME?</v>
      </c>
      <c r="H1900" t="e">
        <f ca="1">IMAGE("https://m.media-amazon.com/images/I/712TGv3btkL._AC_UL320_.jpg")</f>
        <v>#NAME?</v>
      </c>
      <c r="I1900" t="s">
        <v>3476</v>
      </c>
      <c r="J1900">
        <v>77.25</v>
      </c>
      <c r="K1900" s="2" t="s">
        <v>4703</v>
      </c>
      <c r="L1900">
        <v>4.5</v>
      </c>
      <c r="M1900">
        <v>62</v>
      </c>
      <c r="O1900" t="s">
        <v>26</v>
      </c>
      <c r="P1900" t="s">
        <v>39</v>
      </c>
      <c r="Q1900" t="s">
        <v>4704</v>
      </c>
    </row>
    <row r="1901" spans="1:17" ht="15.75" x14ac:dyDescent="0.25">
      <c r="A1901" s="3" t="str">
        <f>HYPERLINK("https://prolisok-store.com/collections/premium/products/facial-treatment-mask-10-pc", "https://prolisok-store.com/collections/premium/products/facial-treatment-mask-10-pc")</f>
        <v>https://prolisok-store.com/collections/premium/products/facial-treatment-mask-10-pc</v>
      </c>
      <c r="B1901" s="3" t="str">
        <f>HYPERLINK("https://prolisok-store.com/products/facial-treatment-mask-10-pc", "https://prolisok-store.com/products/facial-treatment-mask-10-pc")</f>
        <v>https://prolisok-store.com/products/facial-treatment-mask-10-pc</v>
      </c>
      <c r="C1901" t="s">
        <v>4705</v>
      </c>
      <c r="D1901" t="s">
        <v>4706</v>
      </c>
      <c r="E1901" s="3" t="str">
        <f>HYPERLINK("https://www.amazon.com/SK-II-Facial-Treatment-Mask-Sheets/dp/B099W3S5FM/ref=sr_1_9?keywords=SK-II+Facial+Treatment+Mask%2F10+pc.&amp;qid=1695259286&amp;sr=8-9", "https://www.amazon.com/SK-II-Facial-Treatment-Mask-Sheets/dp/B099W3S5FM/ref=sr_1_9?keywords=SK-II+Facial+Treatment+Mask%2F10+pc.&amp;qid=1695259286&amp;sr=8-9")</f>
        <v>https://www.amazon.com/SK-II-Facial-Treatment-Mask-Sheets/dp/B099W3S5FM/ref=sr_1_9?keywords=SK-II+Facial+Treatment+Mask%2F10+pc.&amp;qid=1695259286&amp;sr=8-9</v>
      </c>
      <c r="F1901" t="s">
        <v>4707</v>
      </c>
      <c r="G1901" t="e">
        <f ca="1">IMAGE("https://prolisok-store.com/cdn/shop/products/41oxreg7WTL_300x.jpg?v=1673964595")</f>
        <v>#NAME?</v>
      </c>
      <c r="H1901" t="e">
        <f ca="1">IMAGE("https://m.media-amazon.com/images/I/41C3++K4sNL._AC_UL320_.jpg")</f>
        <v>#NAME?</v>
      </c>
      <c r="I1901" t="s">
        <v>4346</v>
      </c>
      <c r="J1901">
        <v>96.5</v>
      </c>
      <c r="K1901" s="2" t="s">
        <v>4708</v>
      </c>
      <c r="L1901">
        <v>2.9</v>
      </c>
      <c r="M1901">
        <v>2</v>
      </c>
      <c r="O1901" t="s">
        <v>26</v>
      </c>
      <c r="P1901" t="s">
        <v>4709</v>
      </c>
      <c r="Q1901" t="s">
        <v>4710</v>
      </c>
    </row>
    <row r="1902" spans="1:17" ht="15.75" x14ac:dyDescent="0.25">
      <c r="A1902" s="3" t="str">
        <f>HYPERLINK("https://prolisok-store.com/collections/premium/products/clarins-double-serum", "https://prolisok-store.com/collections/premium/products/clarins-double-serum")</f>
        <v>https://prolisok-store.com/collections/premium/products/clarins-double-serum</v>
      </c>
      <c r="B1902" s="3" t="str">
        <f>HYPERLINK("https://prolisok-store.com/products/clarins-double-serum", "https://prolisok-store.com/products/clarins-double-serum")</f>
        <v>https://prolisok-store.com/products/clarins-double-serum</v>
      </c>
      <c r="C1902" t="s">
        <v>4711</v>
      </c>
      <c r="D1902" t="s">
        <v>4712</v>
      </c>
      <c r="E1902" s="3" t="str">
        <f>HYPERLINK("https://www.amazon.com/Clarins-Award-Winning-Anti-Aging-Ingredients-Ethnicities/dp/B07CRK4J3S/ref=sr_1_1?keywords=Clarins+Double+Serum&amp;qid=1695259287&amp;sr=8-1", "https://www.amazon.com/Clarins-Award-Winning-Anti-Aging-Ingredients-Ethnicities/dp/B07CRK4J3S/ref=sr_1_1?keywords=Clarins+Double+Serum&amp;qid=1695259287&amp;sr=8-1")</f>
        <v>https://www.amazon.com/Clarins-Award-Winning-Anti-Aging-Ingredients-Ethnicities/dp/B07CRK4J3S/ref=sr_1_1?keywords=Clarins+Double+Serum&amp;qid=1695259287&amp;sr=8-1</v>
      </c>
      <c r="F1902" t="s">
        <v>4713</v>
      </c>
      <c r="G1902" t="e">
        <f ca="1">IMAGE("https://prolisok-store.com/cdn/shop/products/717T_LvJhvL._SL1500_300x.jpg?v=1681306763")</f>
        <v>#NAME?</v>
      </c>
      <c r="H1902" t="e">
        <f ca="1">IMAGE("https://m.media-amazon.com/images/I/717T+LvJhvL._AC_UL320_.jpg")</f>
        <v>#NAME?</v>
      </c>
      <c r="I1902" t="s">
        <v>4506</v>
      </c>
      <c r="J1902">
        <v>134</v>
      </c>
      <c r="K1902" s="2" t="s">
        <v>4714</v>
      </c>
      <c r="L1902">
        <v>4.5999999999999996</v>
      </c>
      <c r="M1902">
        <v>1831</v>
      </c>
      <c r="O1902" t="s">
        <v>26</v>
      </c>
      <c r="P1902" t="s">
        <v>4715</v>
      </c>
      <c r="Q1902" t="s">
        <v>4716</v>
      </c>
    </row>
    <row r="1903" spans="1:17" ht="15.75" x14ac:dyDescent="0.25">
      <c r="A1903" s="3" t="str">
        <f>HYPERLINK("https://prolisok-store.com/collections/premium/products/clarins-double-serum", "https://prolisok-store.com/collections/premium/products/clarins-double-serum")</f>
        <v>https://prolisok-store.com/collections/premium/products/clarins-double-serum</v>
      </c>
      <c r="B1903" s="3" t="str">
        <f>HYPERLINK("https://prolisok-store.com/products/clarins-double-serum", "https://prolisok-store.com/products/clarins-double-serum")</f>
        <v>https://prolisok-store.com/products/clarins-double-serum</v>
      </c>
      <c r="C1903" t="s">
        <v>4711</v>
      </c>
      <c r="D1903" t="s">
        <v>4717</v>
      </c>
      <c r="E1903" s="3" t="str">
        <f>HYPERLINK("https://www.amazon.com/Clarins-Smoothes-Radiance-Ingredients-Turmeric/dp/B0BRR1ML5C/ref=sr_1_3?keywords=Clarins+Double+Serum&amp;qid=1695259287&amp;sr=8-3", "https://www.amazon.com/Clarins-Smoothes-Radiance-Ingredients-Turmeric/dp/B0BRR1ML5C/ref=sr_1_3?keywords=Clarins+Double+Serum&amp;qid=1695259287&amp;sr=8-3")</f>
        <v>https://www.amazon.com/Clarins-Smoothes-Radiance-Ingredients-Turmeric/dp/B0BRR1ML5C/ref=sr_1_3?keywords=Clarins+Double+Serum&amp;qid=1695259287&amp;sr=8-3</v>
      </c>
      <c r="F1903" t="s">
        <v>4718</v>
      </c>
      <c r="G1903" t="e">
        <f ca="1">IMAGE("https://prolisok-store.com/cdn/shop/products/717T_LvJhvL._SL1500_300x.jpg?v=1681306763")</f>
        <v>#NAME?</v>
      </c>
      <c r="H1903" t="e">
        <f ca="1">IMAGE("https://m.media-amazon.com/images/I/51i5jqShicL._AC_UL320_.jpg")</f>
        <v>#NAME?</v>
      </c>
      <c r="I1903" t="s">
        <v>4506</v>
      </c>
      <c r="J1903">
        <v>134</v>
      </c>
      <c r="K1903" s="2" t="s">
        <v>4714</v>
      </c>
      <c r="L1903">
        <v>4.5</v>
      </c>
      <c r="M1903">
        <v>43</v>
      </c>
      <c r="O1903" t="s">
        <v>26</v>
      </c>
      <c r="P1903" t="s">
        <v>4715</v>
      </c>
      <c r="Q1903" t="s">
        <v>4716</v>
      </c>
    </row>
    <row r="1904" spans="1:17" ht="15.75" x14ac:dyDescent="0.25">
      <c r="A1904" s="3" t="str">
        <f>HYPERLINK("https://prolisok-store.com/collections/premium/products/ipsa-creative-concealer-ex-4-5g", "https://prolisok-store.com/collections/premium/products/ipsa-creative-concealer-ex-4-5g")</f>
        <v>https://prolisok-store.com/collections/premium/products/ipsa-creative-concealer-ex-4-5g</v>
      </c>
      <c r="B1904" s="3" t="str">
        <f>HYPERLINK("https://prolisok-store.com/products/ipsa-creative-concealer-ex-4-5g", "https://prolisok-store.com/products/ipsa-creative-concealer-ex-4-5g")</f>
        <v>https://prolisok-store.com/products/ipsa-creative-concealer-ex-4-5g</v>
      </c>
      <c r="C1904" t="s">
        <v>4684</v>
      </c>
      <c r="D1904" t="s">
        <v>4719</v>
      </c>
      <c r="E1904" s="3" t="str">
        <f>HYPERLINK("https://www.amazon.com/Ipsa-Creative-Concealer-SPF25-0-15oz/dp/B009ZBZIX4/ref=sr_1_3?keywords=IPSA+creative+concealer+ex+4.5g&amp;qid=1695259304&amp;sr=8-3", "https://www.amazon.com/Ipsa-Creative-Concealer-SPF25-0-15oz/dp/B009ZBZIX4/ref=sr_1_3?keywords=IPSA+creative+concealer+ex+4.5g&amp;qid=1695259304&amp;sr=8-3")</f>
        <v>https://www.amazon.com/Ipsa-Creative-Concealer-SPF25-0-15oz/dp/B009ZBZIX4/ref=sr_1_3?keywords=IPSA+creative+concealer+ex+4.5g&amp;qid=1695259304&amp;sr=8-3</v>
      </c>
      <c r="F1904" t="s">
        <v>4720</v>
      </c>
      <c r="G1904" t="e">
        <f ca="1">IMAGE("https://prolisok-store.com/cdn/shop/files/61Taf-7_nfL._AC_SL1500_300x.jpg?v=1689078688")</f>
        <v>#NAME?</v>
      </c>
      <c r="H1904" t="e">
        <f ca="1">IMAGE("https://m.media-amazon.com/images/I/61xnYFbYjwL._AC_UL320_.jpg")</f>
        <v>#NAME?</v>
      </c>
      <c r="I1904" t="s">
        <v>3458</v>
      </c>
      <c r="J1904">
        <v>37.99</v>
      </c>
      <c r="K1904" s="2" t="s">
        <v>4721</v>
      </c>
      <c r="L1904">
        <v>3.8</v>
      </c>
      <c r="M1904">
        <v>10</v>
      </c>
      <c r="O1904" t="s">
        <v>26</v>
      </c>
      <c r="P1904" t="s">
        <v>39</v>
      </c>
      <c r="Q1904" t="s">
        <v>4688</v>
      </c>
    </row>
    <row r="1905" spans="1:17" ht="15.75" x14ac:dyDescent="0.25">
      <c r="A1905" s="3" t="str">
        <f>HYPERLINK("https://prolisok-store.com/collections/premium/products/la-mer-the-lifting-contour-serum-1-ounce", "https://prolisok-store.com/collections/premium/products/la-mer-the-lifting-contour-serum-1-ounce")</f>
        <v>https://prolisok-store.com/collections/premium/products/la-mer-the-lifting-contour-serum-1-ounce</v>
      </c>
      <c r="B1905" s="3" t="str">
        <f>HYPERLINK("https://prolisok-store.com/products/la-mer-the-lifting-contour-serum-1-ounce", "https://prolisok-store.com/products/la-mer-the-lifting-contour-serum-1-ounce")</f>
        <v>https://prolisok-store.com/products/la-mer-the-lifting-contour-serum-1-ounce</v>
      </c>
      <c r="C1905" t="s">
        <v>4722</v>
      </c>
      <c r="D1905" t="s">
        <v>4722</v>
      </c>
      <c r="E1905" s="3" t="str">
        <f>HYPERLINK("https://www.amazon.com/Mer-Lifting-Contour-Serum-Ounce/dp/B00HKGBS1M/ref=sr_1_1?keywords=La+Mer+The+Lifting+Contour+Serum+-+1+Ounce&amp;qid=1695259286&amp;sr=8-1", "https://www.amazon.com/Mer-Lifting-Contour-Serum-Ounce/dp/B00HKGBS1M/ref=sr_1_1?keywords=La+Mer+The+Lifting+Contour+Serum+-+1+Ounce&amp;qid=1695259286&amp;sr=8-1")</f>
        <v>https://www.amazon.com/Mer-Lifting-Contour-Serum-Ounce/dp/B00HKGBS1M/ref=sr_1_1?keywords=La+Mer+The+Lifting+Contour+Serum+-+1+Ounce&amp;qid=1695259286&amp;sr=8-1</v>
      </c>
      <c r="F1905" t="s">
        <v>4723</v>
      </c>
      <c r="G1905" t="e">
        <f ca="1">IMAGE("https://prolisok-store.com/cdn/shop/products/717bDV5rGCL._SL1500_300x.jpg?v=1668000446")</f>
        <v>#NAME?</v>
      </c>
      <c r="H1905" t="e">
        <f ca="1">IMAGE("https://m.media-amazon.com/images/I/717bDV5rGCL._AC_UL320_.jpg")</f>
        <v>#NAME?</v>
      </c>
      <c r="I1905" t="s">
        <v>4724</v>
      </c>
      <c r="J1905">
        <v>245.99</v>
      </c>
      <c r="K1905" s="2" t="s">
        <v>4725</v>
      </c>
      <c r="L1905">
        <v>4.2</v>
      </c>
      <c r="M1905">
        <v>44</v>
      </c>
      <c r="O1905" t="s">
        <v>26</v>
      </c>
      <c r="P1905" t="s">
        <v>39</v>
      </c>
      <c r="Q1905" t="s">
        <v>4726</v>
      </c>
    </row>
    <row r="1906" spans="1:17" ht="15.75" x14ac:dyDescent="0.25">
      <c r="A1906" s="3" t="str">
        <f>HYPERLINK("https://prolisok-store.com/collections/premium/products/the-soft-fluid-foundation-spf-20-1-oz-porcelain", "https://prolisok-store.com/collections/premium/products/the-soft-fluid-foundation-spf-20-1-oz-porcelain")</f>
        <v>https://prolisok-store.com/collections/premium/products/the-soft-fluid-foundation-spf-20-1-oz-porcelain</v>
      </c>
      <c r="B1906" s="3" t="str">
        <f>HYPERLINK("https://prolisok-store.com/products/the-soft-fluid-foundation-spf-20-1-oz-porcelain", "https://prolisok-store.com/products/the-soft-fluid-foundation-spf-20-1-oz-porcelain")</f>
        <v>https://prolisok-store.com/products/the-soft-fluid-foundation-spf-20-1-oz-porcelain</v>
      </c>
      <c r="C1906" t="s">
        <v>4466</v>
      </c>
      <c r="D1906" t="s">
        <v>4727</v>
      </c>
      <c r="E1906" s="3" t="str">
        <f>HYPERLINK("https://www.amazon.com/Mer-Soft-Fluid-Long-Foundation/dp/B01M4MTXYQ/ref=sr_1_2?keywords=La+Mer+The+Soft+Fluid+Foundation+SPF+20-1+oz.+Porcelain&amp;qid=1695259298&amp;sr=8-2", "https://www.amazon.com/Mer-Soft-Fluid-Long-Foundation/dp/B01M4MTXYQ/ref=sr_1_2?keywords=La+Mer+The+Soft+Fluid+Foundation+SPF+20-1+oz.+Porcelain&amp;qid=1695259298&amp;sr=8-2")</f>
        <v>https://www.amazon.com/Mer-Soft-Fluid-Long-Foundation/dp/B01M4MTXYQ/ref=sr_1_2?keywords=La+Mer+The+Soft+Fluid+Foundation+SPF+20-1+oz.+Porcelain&amp;qid=1695259298&amp;sr=8-2</v>
      </c>
      <c r="F1906" t="s">
        <v>4728</v>
      </c>
      <c r="G1906" t="e">
        <f ca="1">IMAGE("https://prolisok-store.com/cdn/shop/products/41wgXKYLRyL._SL1000_300x.jpg?v=1674109756")</f>
        <v>#NAME?</v>
      </c>
      <c r="H1906" t="e">
        <f ca="1">IMAGE("https://m.media-amazon.com/images/I/41-HkHGOXiL._AC_UL320_.jpg")</f>
        <v>#NAME?</v>
      </c>
      <c r="I1906" t="s">
        <v>4346</v>
      </c>
      <c r="J1906">
        <v>94</v>
      </c>
      <c r="K1906" s="2" t="s">
        <v>4729</v>
      </c>
      <c r="L1906">
        <v>4.2</v>
      </c>
      <c r="M1906">
        <v>43</v>
      </c>
      <c r="O1906" t="s">
        <v>26</v>
      </c>
      <c r="P1906" t="s">
        <v>2501</v>
      </c>
      <c r="Q1906" t="s">
        <v>4467</v>
      </c>
    </row>
    <row r="1907" spans="1:17" ht="15.75" x14ac:dyDescent="0.25">
      <c r="A1907" s="3" t="str">
        <f>HYPERLINK("https://prolisok-store.com/collections/premium/products/la-mer-soft-fluid-found-sf20-120", "https://prolisok-store.com/collections/premium/products/la-mer-soft-fluid-found-sf20-120")</f>
        <v>https://prolisok-store.com/collections/premium/products/la-mer-soft-fluid-found-sf20-120</v>
      </c>
      <c r="B1907" s="3" t="str">
        <f>HYPERLINK("https://prolisok-store.com/products/la-mer-soft-fluid-found-sf20-120", "https://prolisok-store.com/products/la-mer-soft-fluid-found-sf20-120")</f>
        <v>https://prolisok-store.com/products/la-mer-soft-fluid-found-sf20-120</v>
      </c>
      <c r="C1907" t="s">
        <v>4369</v>
      </c>
      <c r="D1907" t="s">
        <v>4727</v>
      </c>
      <c r="E1907" s="3" t="str">
        <f>HYPERLINK("https://www.amazon.com/Mer-Soft-Fluid-Long-Foundation/dp/B01M4MTXYQ/ref=sr_1_2?keywords=La+Mer+Soft+Fluid+Foundation+SF20+120&amp;qid=1695259292&amp;sr=8-2", "https://www.amazon.com/Mer-Soft-Fluid-Long-Foundation/dp/B01M4MTXYQ/ref=sr_1_2?keywords=La+Mer+Soft+Fluid+Foundation+SF20+120&amp;qid=1695259292&amp;sr=8-2")</f>
        <v>https://www.amazon.com/Mer-Soft-Fluid-Long-Foundation/dp/B01M4MTXYQ/ref=sr_1_2?keywords=La+Mer+Soft+Fluid+Foundation+SF20+120&amp;qid=1695259292&amp;sr=8-2</v>
      </c>
      <c r="F1907" t="s">
        <v>4728</v>
      </c>
      <c r="G1907" t="e">
        <f ca="1">IMAGE("https://prolisok-store.com/cdn/shop/products/41uQN86fQQL._SL1000_300x.jpg?v=1674030569")</f>
        <v>#NAME?</v>
      </c>
      <c r="H1907" t="e">
        <f ca="1">IMAGE("https://m.media-amazon.com/images/I/41-HkHGOXiL._AC_UL320_.jpg")</f>
        <v>#NAME?</v>
      </c>
      <c r="I1907" t="s">
        <v>4346</v>
      </c>
      <c r="J1907">
        <v>94</v>
      </c>
      <c r="K1907" s="2" t="s">
        <v>4729</v>
      </c>
      <c r="L1907">
        <v>4.2</v>
      </c>
      <c r="M1907">
        <v>43</v>
      </c>
      <c r="O1907" t="s">
        <v>26</v>
      </c>
      <c r="P1907" t="s">
        <v>39</v>
      </c>
      <c r="Q1907" t="s">
        <v>4373</v>
      </c>
    </row>
    <row r="1908" spans="1:17" ht="15.75" x14ac:dyDescent="0.25">
      <c r="A1908" s="3" t="str">
        <f>HYPERLINK("https://prolisok-store.com/collections/premium/products/baylis-harding-goodness-sea-kelp-peppermint-500-ml-hand-wash-pack-of-3", "https://prolisok-store.com/collections/premium/products/baylis-harding-goodness-sea-kelp-peppermint-500-ml-hand-wash-pack-of-3")</f>
        <v>https://prolisok-store.com/collections/premium/products/baylis-harding-goodness-sea-kelp-peppermint-500-ml-hand-wash-pack-of-3</v>
      </c>
      <c r="B1908" s="3" t="str">
        <f>HYPERLINK("https://prolisok-store.com/products/baylis-harding-goodness-sea-kelp-peppermint-500-ml-hand-wash-pack-of-3", "https://prolisok-store.com/products/baylis-harding-goodness-sea-kelp-peppermint-500-ml-hand-wash-pack-of-3")</f>
        <v>https://prolisok-store.com/products/baylis-harding-goodness-sea-kelp-peppermint-500-ml-hand-wash-pack-of-3</v>
      </c>
      <c r="C1908" t="s">
        <v>4730</v>
      </c>
      <c r="D1908" t="s">
        <v>4731</v>
      </c>
      <c r="E1908" s="3" t="str">
        <f>HYPERLINK("https://www.amazon.com/Baylis-Harding-Elements-Lemon-500ml/dp/B081S25C49/ref=sr_1_4?keywords=Baylis+%26+Harding+Goodness+Sea+Kelp+%26+Peppermint%2C+500+ml+Hand+Wash%2C+Pack+of+3&amp;qid=1695259307&amp;sr=8-4", "https://www.amazon.com/Baylis-Harding-Elements-Lemon-500ml/dp/B081S25C49/ref=sr_1_4?keywords=Baylis+%26+Harding+Goodness+Sea+Kelp+%26+Peppermint%2C+500+ml+Hand+Wash%2C+Pack+of+3&amp;qid=1695259307&amp;sr=8-4")</f>
        <v>https://www.amazon.com/Baylis-Harding-Elements-Lemon-500ml/dp/B081S25C49/ref=sr_1_4?keywords=Baylis+%26+Harding+Goodness+Sea+Kelp+%26+Peppermint%2C+500+ml+Hand+Wash%2C+Pack+of+3&amp;qid=1695259307&amp;sr=8-4</v>
      </c>
      <c r="F1908" t="s">
        <v>4732</v>
      </c>
      <c r="G1908" t="e">
        <f ca="1">IMAGE("https://prolisok-store.com/cdn/shop/files/61bNtMLtt8L._SL1500_300x.jpg?v=1692872098")</f>
        <v>#NAME?</v>
      </c>
      <c r="H1908" t="e">
        <f ca="1">IMAGE("https://m.media-amazon.com/images/I/71l+hRaNlLL._AC_UL320_.jpg")</f>
        <v>#NAME?</v>
      </c>
      <c r="I1908" t="s">
        <v>4733</v>
      </c>
      <c r="J1908">
        <v>24.73</v>
      </c>
      <c r="K1908" s="2" t="s">
        <v>4734</v>
      </c>
      <c r="L1908">
        <v>4.4000000000000004</v>
      </c>
      <c r="M1908">
        <v>4823</v>
      </c>
      <c r="O1908" t="s">
        <v>26</v>
      </c>
      <c r="P1908" t="s">
        <v>39</v>
      </c>
      <c r="Q1908" t="s">
        <v>4735</v>
      </c>
    </row>
    <row r="1909" spans="1:17" ht="15.75" x14ac:dyDescent="0.25">
      <c r="A1909" s="3" t="str">
        <f>HYPERLINK("https://prolisok-store.com/collections/premium/products/baylis-harding-goodness-sea-kelp-peppermint-500-ml-hand-wash-pack-of-3", "https://prolisok-store.com/collections/premium/products/baylis-harding-goodness-sea-kelp-peppermint-500-ml-hand-wash-pack-of-3")</f>
        <v>https://prolisok-store.com/collections/premium/products/baylis-harding-goodness-sea-kelp-peppermint-500-ml-hand-wash-pack-of-3</v>
      </c>
      <c r="B1909" s="3" t="str">
        <f>HYPERLINK("https://prolisok-store.com/products/baylis-harding-goodness-sea-kelp-peppermint-500-ml-hand-wash-pack-of-3", "https://prolisok-store.com/products/baylis-harding-goodness-sea-kelp-peppermint-500-ml-hand-wash-pack-of-3")</f>
        <v>https://prolisok-store.com/products/baylis-harding-goodness-sea-kelp-peppermint-500-ml-hand-wash-pack-of-3</v>
      </c>
      <c r="C1909" t="s">
        <v>4730</v>
      </c>
      <c r="D1909" t="s">
        <v>4730</v>
      </c>
      <c r="E1909" s="3" t="str">
        <f>HYPERLINK("https://www.amazon.com/Baylis-Harding-Goodness-Peppermint-500ml/dp/B081S1KYCH/ref=sr_1_1?keywords=Baylis+%26+Harding+Goodness+Sea+Kelp+%26+Peppermint%2C+500+ml+Hand+Wash%2C+Pack+of+3&amp;qid=1695259307&amp;sr=8-1", "https://www.amazon.com/Baylis-Harding-Goodness-Peppermint-500ml/dp/B081S1KYCH/ref=sr_1_1?keywords=Baylis+%26+Harding+Goodness+Sea+Kelp+%26+Peppermint%2C+500+ml+Hand+Wash%2C+Pack+of+3&amp;qid=1695259307&amp;sr=8-1")</f>
        <v>https://www.amazon.com/Baylis-Harding-Goodness-Peppermint-500ml/dp/B081S1KYCH/ref=sr_1_1?keywords=Baylis+%26+Harding+Goodness+Sea+Kelp+%26+Peppermint%2C+500+ml+Hand+Wash%2C+Pack+of+3&amp;qid=1695259307&amp;sr=8-1</v>
      </c>
      <c r="F1909" t="s">
        <v>4736</v>
      </c>
      <c r="G1909" t="e">
        <f ca="1">IMAGE("https://prolisok-store.com/cdn/shop/files/61bNtMLtt8L._SL1500_300x.jpg?v=1692872098")</f>
        <v>#NAME?</v>
      </c>
      <c r="H1909" t="e">
        <f ca="1">IMAGE("https://m.media-amazon.com/images/I/61rmhFnF+xL._AC_UL320_.jpg")</f>
        <v>#NAME?</v>
      </c>
      <c r="I1909" t="s">
        <v>4733</v>
      </c>
      <c r="J1909">
        <v>24.66</v>
      </c>
      <c r="K1909" s="2" t="s">
        <v>4737</v>
      </c>
      <c r="L1909">
        <v>4.5</v>
      </c>
      <c r="M1909">
        <v>244</v>
      </c>
      <c r="O1909" t="s">
        <v>26</v>
      </c>
      <c r="P1909" t="s">
        <v>39</v>
      </c>
      <c r="Q1909" t="s">
        <v>4735</v>
      </c>
    </row>
    <row r="1910" spans="1:17" ht="15.75" x14ac:dyDescent="0.25">
      <c r="A1910" s="3" t="str">
        <f>HYPERLINK("https://prolisok-store.com/collections/premium/products/baylis-harding-goodness-lemongrass-ginger-500-ml-hand-wash-pack-of-3", "https://prolisok-store.com/collections/premium/products/baylis-harding-goodness-lemongrass-ginger-500-ml-hand-wash-pack-of-3")</f>
        <v>https://prolisok-store.com/collections/premium/products/baylis-harding-goodness-lemongrass-ginger-500-ml-hand-wash-pack-of-3</v>
      </c>
      <c r="B1910" s="3" t="str">
        <f>HYPERLINK("https://prolisok-store.com/products/baylis-harding-goodness-lemongrass-ginger-500-ml-hand-wash-pack-of-3", "https://prolisok-store.com/products/baylis-harding-goodness-lemongrass-ginger-500-ml-hand-wash-pack-of-3")</f>
        <v>https://prolisok-store.com/products/baylis-harding-goodness-lemongrass-ginger-500-ml-hand-wash-pack-of-3</v>
      </c>
      <c r="C1910" t="s">
        <v>4738</v>
      </c>
      <c r="D1910" t="s">
        <v>4739</v>
      </c>
      <c r="E1910" s="3" t="str">
        <f>HYPERLINK("https://www.amazon.com/Baylis-Harding-Elements-Amber-500ml/dp/B08MXSBRSV/ref=sr_1_9?keywords=Baylis+%26+Harding+Goodness+Lemongrass+%26+Ginger%2C+500+ml+Hand+Wash%2C+Pack+of+3&amp;qid=1695259314&amp;sr=8-9", "https://www.amazon.com/Baylis-Harding-Elements-Amber-500ml/dp/B08MXSBRSV/ref=sr_1_9?keywords=Baylis+%26+Harding+Goodness+Lemongrass+%26+Ginger%2C+500+ml+Hand+Wash%2C+Pack+of+3&amp;qid=1695259314&amp;sr=8-9")</f>
        <v>https://www.amazon.com/Baylis-Harding-Elements-Amber-500ml/dp/B08MXSBRSV/ref=sr_1_9?keywords=Baylis+%26+Harding+Goodness+Lemongrass+%26+Ginger%2C+500+ml+Hand+Wash%2C+Pack+of+3&amp;qid=1695259314&amp;sr=8-9</v>
      </c>
      <c r="F1910" t="s">
        <v>4740</v>
      </c>
      <c r="G1910" t="e">
        <f ca="1">IMAGE("https://prolisok-store.com/cdn/shop/files/61dzzYmz3CL._SL1500_300x.jpg?v=1692871972")</f>
        <v>#NAME?</v>
      </c>
      <c r="H1910" t="e">
        <f ca="1">IMAGE("https://m.media-amazon.com/images/I/71CRFlya6gL._AC_UL320_.jpg")</f>
        <v>#NAME?</v>
      </c>
      <c r="I1910" t="s">
        <v>4741</v>
      </c>
      <c r="J1910">
        <v>34.99</v>
      </c>
      <c r="K1910" s="2" t="s">
        <v>4742</v>
      </c>
      <c r="L1910">
        <v>4.4000000000000004</v>
      </c>
      <c r="M1910">
        <v>694</v>
      </c>
      <c r="O1910" t="s">
        <v>26</v>
      </c>
      <c r="P1910" t="s">
        <v>39</v>
      </c>
      <c r="Q1910" t="s">
        <v>4743</v>
      </c>
    </row>
    <row r="1911" spans="1:17" ht="15.75" x14ac:dyDescent="0.25">
      <c r="A1911" s="3" t="str">
        <f>HYPERLINK("https://prolisok-store.com/collections/premium/products/diptyque-figuier-candle", "https://prolisok-store.com/collections/premium/products/diptyque-figuier-candle")</f>
        <v>https://prolisok-store.com/collections/premium/products/diptyque-figuier-candle</v>
      </c>
      <c r="B1911" s="3" t="str">
        <f>HYPERLINK("https://prolisok-store.com/products/diptyque-figuier-candle", "https://prolisok-store.com/products/diptyque-figuier-candle")</f>
        <v>https://prolisok-store.com/products/diptyque-figuier-candle</v>
      </c>
      <c r="C1911" t="s">
        <v>4419</v>
      </c>
      <c r="D1911" t="s">
        <v>4744</v>
      </c>
      <c r="E1911" s="3" t="str">
        <f>HYPERLINK("https://www.amazon.com/Diptyque-412808396931-Figuier-Candle/dp/B000S95R74/ref=sr_1_2?keywords=Diptyque+Figuier+Candle&amp;qid=1695259309&amp;sr=8-2", "https://www.amazon.com/Diptyque-412808396931-Figuier-Candle/dp/B000S95R74/ref=sr_1_2?keywords=Diptyque+Figuier+Candle&amp;qid=1695259309&amp;sr=8-2")</f>
        <v>https://www.amazon.com/Diptyque-412808396931-Figuier-Candle/dp/B000S95R74/ref=sr_1_2?keywords=Diptyque+Figuier+Candle&amp;qid=1695259309&amp;sr=8-2</v>
      </c>
      <c r="F1911" t="s">
        <v>4745</v>
      </c>
      <c r="G1911" t="e">
        <f ca="1">IMAGE("https://prolisok-store.com/cdn/shop/files/61-a7DkEOyL._AC_SL1024_300x.jpg?v=1693226218")</f>
        <v>#NAME?</v>
      </c>
      <c r="H1911" t="e">
        <f ca="1">IMAGE("https://m.media-amazon.com/images/I/71FxUEWm5XL._AC_UL320_.jpg")</f>
        <v>#NAME?</v>
      </c>
      <c r="I1911" t="s">
        <v>3476</v>
      </c>
      <c r="J1911">
        <v>73.66</v>
      </c>
      <c r="K1911" s="2" t="s">
        <v>4746</v>
      </c>
      <c r="L1911">
        <v>4.2</v>
      </c>
      <c r="M1911">
        <v>104</v>
      </c>
      <c r="O1911" t="s">
        <v>26</v>
      </c>
      <c r="P1911" t="s">
        <v>39</v>
      </c>
      <c r="Q1911" t="s">
        <v>4423</v>
      </c>
    </row>
    <row r="1912" spans="1:17" ht="15.75" x14ac:dyDescent="0.25">
      <c r="A1912" s="3" t="str">
        <f>HYPERLINK("https://prolisok-store.com/collections/premium/products/3ce-multi-eye-color-palette-beach-muse-makeup-palette-9-color", "https://prolisok-store.com/collections/premium/products/3ce-multi-eye-color-palette-beach-muse-makeup-palette-9-color")</f>
        <v>https://prolisok-store.com/collections/premium/products/3ce-multi-eye-color-palette-beach-muse-makeup-palette-9-color</v>
      </c>
      <c r="B1912" s="3" t="str">
        <f>HYPERLINK("https://prolisok-store.com/products/3ce-multi-eye-color-palette-beach-muse-makeup-palette-9-color", "https://prolisok-store.com/products/3ce-multi-eye-color-palette-beach-muse-makeup-palette-9-color")</f>
        <v>https://prolisok-store.com/products/3ce-multi-eye-color-palette-beach-muse-makeup-palette-9-color</v>
      </c>
      <c r="C1912" t="s">
        <v>4629</v>
      </c>
      <c r="D1912" t="s">
        <v>4695</v>
      </c>
      <c r="E1912" s="3" t="str">
        <f>HYPERLINK("https://www.amazon.com/3CE-Palette-Butter-9Colors-Staylenanda/dp/B08W8HSQCF/ref=sr_1_5?keywords=3CE+Multi+Eye+Color+Palette%2CBeach+Muse%2CMakeup+Palette+9+Color&amp;qid=1695259301&amp;sr=8-5", "https://www.amazon.com/3CE-Palette-Butter-9Colors-Staylenanda/dp/B08W8HSQCF/ref=sr_1_5?keywords=3CE+Multi+Eye+Color+Palette%2CBeach+Muse%2CMakeup+Palette+9+Color&amp;qid=1695259301&amp;sr=8-5")</f>
        <v>https://www.amazon.com/3CE-Palette-Butter-9Colors-Staylenanda/dp/B08W8HSQCF/ref=sr_1_5?keywords=3CE+Multi+Eye+Color+Palette%2CBeach+Muse%2CMakeup+Palette+9+Color&amp;qid=1695259301&amp;sr=8-5</v>
      </c>
      <c r="F1912" t="s">
        <v>4696</v>
      </c>
      <c r="G1912" t="e">
        <f ca="1">IMAGE("https://prolisok-store.com/cdn/shop/files/61UqvcCJGwL._SL1001_300x.jpg?v=1682590795")</f>
        <v>#NAME?</v>
      </c>
      <c r="H1912" t="e">
        <f ca="1">IMAGE("https://m.media-amazon.com/images/I/51-jFSNIXUL._AC_UL320_.jpg")</f>
        <v>#NAME?</v>
      </c>
      <c r="I1912" t="s">
        <v>3458</v>
      </c>
      <c r="J1912">
        <v>36.19</v>
      </c>
      <c r="K1912" s="2" t="s">
        <v>4747</v>
      </c>
      <c r="L1912">
        <v>3.7</v>
      </c>
      <c r="M1912">
        <v>4</v>
      </c>
      <c r="O1912" t="s">
        <v>26</v>
      </c>
      <c r="P1912" t="s">
        <v>39</v>
      </c>
      <c r="Q1912" t="s">
        <v>4630</v>
      </c>
    </row>
    <row r="1913" spans="1:17" ht="15.75" x14ac:dyDescent="0.25">
      <c r="A1913" s="3" t="str">
        <f>HYPERLINK("https://prolisok-store.com/collections/premium/products/lilash-purified-eyelash-physician-formulated-serum-for-fuller-longer-looking-eyelashes-natural-eyelash-enhancer-safe-for-sensitive-eyes-contact-lens-wearers-90-day-supply-2ml", "https://prolisok-store.com/collections/premium/products/lilash-purified-eyelash-physician-formulated-serum-for-fuller-longer-looking-eyelashes-natural-eyelash-enhancer-safe-for-sensitive-eyes-contact-lens-wearers-90-day-supply-2ml")</f>
        <v>https://prolisok-store.com/collections/premium/products/lilash-purified-eyelash-physician-formulated-serum-for-fuller-longer-looking-eyelashes-natural-eyelash-enhancer-safe-for-sensitive-eyes-contact-lens-wearers-90-day-supply-2ml</v>
      </c>
      <c r="B1913" s="3" t="str">
        <f>HYPERLINK("https://prolisok-store.com/products/lilash-purified-eyelash-physician-formulated-serum-for-fuller-longer-looking-eyelashes-natural-eyelash-enhancer-safe-for-sensitive-eyes-contact-lens-wearers-90-day-supply-2ml", "https://prolisok-store.com/products/lilash-purified-eyelash-physician-formulated-serum-for-fuller-longer-looking-eyelashes-natural-eyelash-enhancer-safe-for-sensitive-eyes-contact-lens-wearers-90-day-supply-2ml")</f>
        <v>https://prolisok-store.com/products/lilash-purified-eyelash-physician-formulated-serum-for-fuller-longer-looking-eyelashes-natural-eyelash-enhancer-safe-for-sensitive-eyes-contact-lens-wearers-90-day-supply-2ml</v>
      </c>
      <c r="C1913" t="s">
        <v>4748</v>
      </c>
      <c r="D1913" t="s">
        <v>4749</v>
      </c>
      <c r="E1913" s="3" t="str">
        <f>HYPERLINK("https://www.amazon.com/Cosmetic-Alchemy-LiLash-Purified-Eyelash/dp/B07CVM7DLJ/ref=sr_1_1?keywords=LiLash+Purified+Eyelash+Physician-Formulated+Serum+for+Fuller&amp;qid=1695259292&amp;sr=8-1", "https://www.amazon.com/Cosmetic-Alchemy-LiLash-Purified-Eyelash/dp/B07CVM7DLJ/ref=sr_1_1?keywords=LiLash+Purified+Eyelash+Physician-Formulated+Serum+for+Fuller&amp;qid=1695259292&amp;sr=8-1")</f>
        <v>https://www.amazon.com/Cosmetic-Alchemy-LiLash-Purified-Eyelash/dp/B07CVM7DLJ/ref=sr_1_1?keywords=LiLash+Purified+Eyelash+Physician-Formulated+Serum+for+Fuller&amp;qid=1695259292&amp;sr=8-1</v>
      </c>
      <c r="F1913" t="s">
        <v>4750</v>
      </c>
      <c r="G1913" t="e">
        <f ca="1">IMAGE("https://prolisok-store.com/cdn/shop/products/61HFfFbKf4L._SL1500_300x.jpg?v=1677603293")</f>
        <v>#NAME?</v>
      </c>
      <c r="H1913" t="e">
        <f ca="1">IMAGE("https://m.media-amazon.com/images/I/614z2MzHVML._AC_UL320_.jpg")</f>
        <v>#NAME?</v>
      </c>
      <c r="I1913" t="s">
        <v>4346</v>
      </c>
      <c r="J1913">
        <v>90</v>
      </c>
      <c r="K1913" s="2" t="s">
        <v>4751</v>
      </c>
      <c r="L1913">
        <v>4.5</v>
      </c>
      <c r="M1913">
        <v>1348</v>
      </c>
      <c r="O1913" t="s">
        <v>26</v>
      </c>
      <c r="P1913" t="s">
        <v>39</v>
      </c>
      <c r="Q1913" t="s">
        <v>4752</v>
      </c>
    </row>
    <row r="1914" spans="1:17" ht="15.75" x14ac:dyDescent="0.25">
      <c r="A1914" s="3" t="str">
        <f>HYPERLINK("https://prolisok-store.com/collections/premium/products/byredo-gypsy-water-eau-de-parfum-3-4-oz-100-ml", "https://prolisok-store.com/collections/premium/products/byredo-gypsy-water-eau-de-parfum-3-4-oz-100-ml")</f>
        <v>https://prolisok-store.com/collections/premium/products/byredo-gypsy-water-eau-de-parfum-3-4-oz-100-ml</v>
      </c>
      <c r="B1914" s="3" t="str">
        <f>HYPERLINK("https://prolisok-store.com/products/byredo-gypsy-water-eau-de-parfum-3-4-oz-100-ml", "https://prolisok-store.com/products/byredo-gypsy-water-eau-de-parfum-3-4-oz-100-ml")</f>
        <v>https://prolisok-store.com/products/byredo-gypsy-water-eau-de-parfum-3-4-oz-100-ml</v>
      </c>
      <c r="C1914" t="s">
        <v>4753</v>
      </c>
      <c r="D1914" t="s">
        <v>4754</v>
      </c>
      <c r="E1914" s="3" t="str">
        <f>HYPERLINK("https://www.amazon.com/BYREDO-Gypsy-Water-Eau-Parfum/dp/B07F649S6K/ref=sr_1_1?keywords=byredo+gypsy+water+eau+de+parfum+3.4+oz%2F100+ml&amp;qid=1695259301&amp;sr=8-1", "https://www.amazon.com/BYREDO-Gypsy-Water-Eau-Parfum/dp/B07F649S6K/ref=sr_1_1?keywords=byredo+gypsy+water+eau+de+parfum+3.4+oz%2F100+ml&amp;qid=1695259301&amp;sr=8-1")</f>
        <v>https://www.amazon.com/BYREDO-Gypsy-Water-Eau-Parfum/dp/B07F649S6K/ref=sr_1_1?keywords=byredo+gypsy+water+eau+de+parfum+3.4+oz%2F100+ml&amp;qid=1695259301&amp;sr=8-1</v>
      </c>
      <c r="F1914" t="s">
        <v>4755</v>
      </c>
      <c r="G1914" t="e">
        <f ca="1">IMAGE("https://prolisok-store.com/cdn/shop/products/BYREDOGypsyWater_300x.jpg?v=1683715739")</f>
        <v>#NAME?</v>
      </c>
      <c r="H1914" t="e">
        <f ca="1">IMAGE("https://m.media-amazon.com/images/I/41zG++frf+L._AC_UL320_.jpg")</f>
        <v>#NAME?</v>
      </c>
      <c r="I1914" t="s">
        <v>4355</v>
      </c>
      <c r="J1914">
        <v>107.5</v>
      </c>
      <c r="K1914" s="2" t="s">
        <v>4756</v>
      </c>
      <c r="L1914">
        <v>4</v>
      </c>
      <c r="M1914">
        <v>57</v>
      </c>
      <c r="O1914" t="s">
        <v>26</v>
      </c>
      <c r="P1914" t="s">
        <v>39</v>
      </c>
      <c r="Q1914" t="s">
        <v>4757</v>
      </c>
    </row>
    <row r="1915" spans="1:17" ht="15.75" x14ac:dyDescent="0.25">
      <c r="A1915" s="3" t="str">
        <f>HYPERLINK("https://prolisok-store.com/collections/premium/products/diptyque-roses-candle-6-5-oz", "https://prolisok-store.com/collections/premium/products/diptyque-roses-candle-6-5-oz")</f>
        <v>https://prolisok-store.com/collections/premium/products/diptyque-roses-candle-6-5-oz</v>
      </c>
      <c r="B1915" s="3" t="str">
        <f>HYPERLINK("https://prolisok-store.com/products/diptyque-roses-candle-6-5-oz", "https://prolisok-store.com/products/diptyque-roses-candle-6-5-oz")</f>
        <v>https://prolisok-store.com/products/diptyque-roses-candle-6-5-oz</v>
      </c>
      <c r="C1915" t="s">
        <v>4615</v>
      </c>
      <c r="D1915" t="s">
        <v>4758</v>
      </c>
      <c r="E1915" s="3" t="str">
        <f>HYPERLINK("https://www.amazon.com/Diptyque-11046u-Baies-Candle-6-5-oz/dp/B00429KMH6/ref=sr_1_2?keywords=Diptyque+Roses+Candle-6.5+oz&amp;qid=1695259298&amp;sr=8-2", "https://www.amazon.com/Diptyque-11046u-Baies-Candle-6-5-oz/dp/B00429KMH6/ref=sr_1_2?keywords=Diptyque+Roses+Candle-6.5+oz&amp;qid=1695259298&amp;sr=8-2")</f>
        <v>https://www.amazon.com/Diptyque-11046u-Baies-Candle-6-5-oz/dp/B00429KMH6/ref=sr_1_2?keywords=Diptyque+Roses+Candle-6.5+oz&amp;qid=1695259298&amp;sr=8-2</v>
      </c>
      <c r="F1915" t="s">
        <v>4759</v>
      </c>
      <c r="G1915" t="e">
        <f ca="1">IMAGE("https://prolisok-store.com/cdn/shop/files/61qv-dg4gnL._SL1000_300x.jpg?v=1693226309")</f>
        <v>#NAME?</v>
      </c>
      <c r="H1915" t="e">
        <f ca="1">IMAGE("https://m.media-amazon.com/images/I/61rTaU19t8L._AC_UL320_.jpg")</f>
        <v>#NAME?</v>
      </c>
      <c r="I1915" t="s">
        <v>3476</v>
      </c>
      <c r="J1915">
        <v>71.540000000000006</v>
      </c>
      <c r="K1915" s="2" t="s">
        <v>4760</v>
      </c>
      <c r="L1915">
        <v>4.5</v>
      </c>
      <c r="M1915">
        <v>492</v>
      </c>
      <c r="O1915" t="s">
        <v>26</v>
      </c>
      <c r="P1915" t="s">
        <v>39</v>
      </c>
      <c r="Q1915" t="s">
        <v>4619</v>
      </c>
    </row>
    <row r="1916" spans="1:17" ht="15.75" x14ac:dyDescent="0.25">
      <c r="A1916" s="3" t="str">
        <f>HYPERLINK("https://prolisok-store.com/collections/premium/products/la-mer-soft-fluid-found-sf20-120", "https://prolisok-store.com/collections/premium/products/la-mer-soft-fluid-found-sf20-120")</f>
        <v>https://prolisok-store.com/collections/premium/products/la-mer-soft-fluid-found-sf20-120</v>
      </c>
      <c r="B1916" s="3" t="str">
        <f>HYPERLINK("https://prolisok-store.com/products/la-mer-soft-fluid-found-sf20-120", "https://prolisok-store.com/products/la-mer-soft-fluid-found-sf20-120")</f>
        <v>https://prolisok-store.com/products/la-mer-soft-fluid-found-sf20-120</v>
      </c>
      <c r="C1916" t="s">
        <v>4369</v>
      </c>
      <c r="D1916" t="s">
        <v>4761</v>
      </c>
      <c r="E1916" s="3" t="str">
        <f>HYPERLINK("https://www.amazon.com/Mer-Soft-Fluid-Long-Foundation/dp/B01M30X3VA/ref=sr_1_1?keywords=La+Mer+Soft+Fluid+Foundation+SF20+120&amp;qid=1695259292&amp;sr=8-1", "https://www.amazon.com/Mer-Soft-Fluid-Long-Foundation/dp/B01M30X3VA/ref=sr_1_1?keywords=La+Mer+Soft+Fluid+Foundation+SF20+120&amp;qid=1695259292&amp;sr=8-1")</f>
        <v>https://www.amazon.com/Mer-Soft-Fluid-Long-Foundation/dp/B01M30X3VA/ref=sr_1_1?keywords=La+Mer+Soft+Fluid+Foundation+SF20+120&amp;qid=1695259292&amp;sr=8-1</v>
      </c>
      <c r="F1916" t="s">
        <v>4762</v>
      </c>
      <c r="G1916" t="e">
        <f ca="1">IMAGE("https://prolisok-store.com/cdn/shop/products/41uQN86fQQL._SL1000_300x.jpg?v=1674030569")</f>
        <v>#NAME?</v>
      </c>
      <c r="H1916" t="e">
        <f ca="1">IMAGE("https://m.media-amazon.com/images/I/41uQN86fQQL._AC_UL320_.jpg")</f>
        <v>#NAME?</v>
      </c>
      <c r="I1916" t="s">
        <v>4346</v>
      </c>
      <c r="J1916">
        <v>88.87</v>
      </c>
      <c r="K1916" s="2" t="s">
        <v>4763</v>
      </c>
      <c r="L1916">
        <v>4.7</v>
      </c>
      <c r="M1916">
        <v>29</v>
      </c>
      <c r="O1916" t="s">
        <v>26</v>
      </c>
      <c r="P1916" t="s">
        <v>39</v>
      </c>
      <c r="Q1916" t="s">
        <v>4373</v>
      </c>
    </row>
    <row r="1917" spans="1:17" ht="15.75" x14ac:dyDescent="0.25">
      <c r="A1917" s="3" t="str">
        <f>HYPERLINK("https://prolisok-store.com/collections/premium/products/facial-treatment-mask-10-pc", "https://prolisok-store.com/collections/premium/products/facial-treatment-mask-10-pc")</f>
        <v>https://prolisok-store.com/collections/premium/products/facial-treatment-mask-10-pc</v>
      </c>
      <c r="B1917" s="3" t="str">
        <f>HYPERLINK("https://prolisok-store.com/products/facial-treatment-mask-10-pc", "https://prolisok-store.com/products/facial-treatment-mask-10-pc")</f>
        <v>https://prolisok-store.com/products/facial-treatment-mask-10-pc</v>
      </c>
      <c r="C1917" t="s">
        <v>4705</v>
      </c>
      <c r="D1917" t="s">
        <v>4764</v>
      </c>
      <c r="E1917" s="3" t="str">
        <f>HYPERLINK("https://www.amazon.com/SK-II-FACIAL-TREATMENT-MASK-SHEET/dp/B01M6YV69X/ref=sr_1_3?keywords=SK-II+Facial+Treatment+Mask%2F10+pc.&amp;qid=1695259286&amp;sr=8-3", "https://www.amazon.com/SK-II-FACIAL-TREATMENT-MASK-SHEET/dp/B01M6YV69X/ref=sr_1_3?keywords=SK-II+Facial+Treatment+Mask%2F10+pc.&amp;qid=1695259286&amp;sr=8-3")</f>
        <v>https://www.amazon.com/SK-II-FACIAL-TREATMENT-MASK-SHEET/dp/B01M6YV69X/ref=sr_1_3?keywords=SK-II+Facial+Treatment+Mask%2F10+pc.&amp;qid=1695259286&amp;sr=8-3</v>
      </c>
      <c r="F1917" t="s">
        <v>4765</v>
      </c>
      <c r="G1917" t="e">
        <f ca="1">IMAGE("https://prolisok-store.com/cdn/shop/products/41oxreg7WTL_300x.jpg?v=1673964595")</f>
        <v>#NAME?</v>
      </c>
      <c r="H1917" t="e">
        <f ca="1">IMAGE("https://m.media-amazon.com/images/I/61L4A4vc9aL._AC_UL320_.jpg")</f>
        <v>#NAME?</v>
      </c>
      <c r="I1917" t="s">
        <v>4346</v>
      </c>
      <c r="J1917">
        <v>88</v>
      </c>
      <c r="K1917" s="2" t="s">
        <v>4766</v>
      </c>
      <c r="L1917">
        <v>4.0999999999999996</v>
      </c>
      <c r="M1917">
        <v>79</v>
      </c>
      <c r="O1917" t="s">
        <v>26</v>
      </c>
      <c r="P1917" t="s">
        <v>4709</v>
      </c>
      <c r="Q1917" t="s">
        <v>4710</v>
      </c>
    </row>
    <row r="1918" spans="1:17" ht="15.75" x14ac:dyDescent="0.25">
      <c r="A1918" s="3" t="str">
        <f>HYPERLINK("https://prolisok-store.com/collections/premium/products/diptyque-roses-candle-6-5-oz", "https://prolisok-store.com/collections/premium/products/diptyque-roses-candle-6-5-oz")</f>
        <v>https://prolisok-store.com/collections/premium/products/diptyque-roses-candle-6-5-oz</v>
      </c>
      <c r="B1918" s="3" t="str">
        <f>HYPERLINK("https://prolisok-store.com/products/diptyque-roses-candle-6-5-oz", "https://prolisok-store.com/products/diptyque-roses-candle-6-5-oz")</f>
        <v>https://prolisok-store.com/products/diptyque-roses-candle-6-5-oz</v>
      </c>
      <c r="C1918" t="s">
        <v>4615</v>
      </c>
      <c r="D1918" t="s">
        <v>4767</v>
      </c>
      <c r="E1918" s="3" t="str">
        <f>HYPERLINK("https://www.amazon.com/Diptyque-B0043TVXSC-Mimosa-Candle-6-5-oz/dp/B0043TVXSC/ref=sr_1_10?keywords=Diptyque+Roses+Candle-6.5+oz&amp;qid=1695259298&amp;sr=8-10", "https://www.amazon.com/Diptyque-B0043TVXSC-Mimosa-Candle-6-5-oz/dp/B0043TVXSC/ref=sr_1_10?keywords=Diptyque+Roses+Candle-6.5+oz&amp;qid=1695259298&amp;sr=8-10")</f>
        <v>https://www.amazon.com/Diptyque-B0043TVXSC-Mimosa-Candle-6-5-oz/dp/B0043TVXSC/ref=sr_1_10?keywords=Diptyque+Roses+Candle-6.5+oz&amp;qid=1695259298&amp;sr=8-10</v>
      </c>
      <c r="F1918" t="s">
        <v>4768</v>
      </c>
      <c r="G1918" t="e">
        <f ca="1">IMAGE("https://prolisok-store.com/cdn/shop/files/61qv-dg4gnL._SL1000_300x.jpg?v=1693226309")</f>
        <v>#NAME?</v>
      </c>
      <c r="H1918" t="e">
        <f ca="1">IMAGE("https://m.media-amazon.com/images/I/71d+fFuLJ0L._AC_UL320_.jpg")</f>
        <v>#NAME?</v>
      </c>
      <c r="I1918" t="s">
        <v>3476</v>
      </c>
      <c r="J1918">
        <v>70</v>
      </c>
      <c r="K1918" s="2" t="s">
        <v>4769</v>
      </c>
      <c r="L1918">
        <v>4.5999999999999996</v>
      </c>
      <c r="M1918">
        <v>69</v>
      </c>
      <c r="O1918" t="s">
        <v>26</v>
      </c>
      <c r="P1918" t="s">
        <v>39</v>
      </c>
      <c r="Q1918" t="s">
        <v>4619</v>
      </c>
    </row>
    <row r="1919" spans="1:17" ht="15.75" x14ac:dyDescent="0.25">
      <c r="A1919" s="3" t="str">
        <f>HYPERLINK("https://prolisok-store.com/collections/premium/products/diptyque-tubereuse-candle-6-5-oz-white-scented", "https://prolisok-store.com/collections/premium/products/diptyque-tubereuse-candle-6-5-oz-white-scented")</f>
        <v>https://prolisok-store.com/collections/premium/products/diptyque-tubereuse-candle-6-5-oz-white-scented</v>
      </c>
      <c r="B1919" s="3" t="str">
        <f>HYPERLINK("https://prolisok-store.com/products/diptyque-tubereuse-candle-6-5-oz-white-scented", "https://prolisok-store.com/products/diptyque-tubereuse-candle-6-5-oz-white-scented")</f>
        <v>https://prolisok-store.com/products/diptyque-tubereuse-candle-6-5-oz-white-scented</v>
      </c>
      <c r="C1919" t="s">
        <v>4770</v>
      </c>
      <c r="D1919" t="s">
        <v>4767</v>
      </c>
      <c r="E1919" s="3" t="str">
        <f>HYPERLINK("https://www.amazon.com/Diptyque-B0043TVXSC-Mimosa-Candle-6-5-oz/dp/B0043TVXSC/ref=sr_1_2?keywords=Diptyque+Tubereuse+Candle-6.5+oz.%2C+White+%2C+scented&amp;qid=1695259304&amp;sr=8-2", "https://www.amazon.com/Diptyque-B0043TVXSC-Mimosa-Candle-6-5-oz/dp/B0043TVXSC/ref=sr_1_2?keywords=Diptyque+Tubereuse+Candle-6.5+oz.%2C+White+%2C+scented&amp;qid=1695259304&amp;sr=8-2")</f>
        <v>https://www.amazon.com/Diptyque-B0043TVXSC-Mimosa-Candle-6-5-oz/dp/B0043TVXSC/ref=sr_1_2?keywords=Diptyque+Tubereuse+Candle-6.5+oz.%2C+White+%2C+scented&amp;qid=1695259304&amp;sr=8-2</v>
      </c>
      <c r="F1919" t="s">
        <v>4768</v>
      </c>
      <c r="G1919" t="e">
        <f ca="1">IMAGE("https://prolisok-store.com/cdn/shop/files/71Wg14IH_bL._AC_SL1500_300x.jpg?v=1689775553")</f>
        <v>#NAME?</v>
      </c>
      <c r="H1919" t="e">
        <f ca="1">IMAGE("https://m.media-amazon.com/images/I/71d+fFuLJ0L._AC_UL320_.jpg")</f>
        <v>#NAME?</v>
      </c>
      <c r="I1919" t="s">
        <v>3476</v>
      </c>
      <c r="J1919">
        <v>70</v>
      </c>
      <c r="K1919" s="2" t="s">
        <v>4769</v>
      </c>
      <c r="L1919">
        <v>4.5999999999999996</v>
      </c>
      <c r="M1919">
        <v>69</v>
      </c>
      <c r="O1919" t="s">
        <v>26</v>
      </c>
      <c r="P1919" t="s">
        <v>39</v>
      </c>
      <c r="Q1919" t="s">
        <v>4771</v>
      </c>
    </row>
    <row r="1920" spans="1:17" ht="15.75" x14ac:dyDescent="0.25">
      <c r="A1920" s="3" t="str">
        <f>HYPERLINK("https://prolisok-store.com/collections/premium/products/diptyque-roses-candle-6-5-oz", "https://prolisok-store.com/collections/premium/products/diptyque-roses-candle-6-5-oz")</f>
        <v>https://prolisok-store.com/collections/premium/products/diptyque-roses-candle-6-5-oz</v>
      </c>
      <c r="B1920" s="3" t="str">
        <f>HYPERLINK("https://prolisok-store.com/products/diptyque-roses-candle-6-5-oz", "https://prolisok-store.com/products/diptyque-roses-candle-6-5-oz")</f>
        <v>https://prolisok-store.com/products/diptyque-roses-candle-6-5-oz</v>
      </c>
      <c r="C1920" t="s">
        <v>4615</v>
      </c>
      <c r="D1920" t="s">
        <v>4772</v>
      </c>
      <c r="E1920" s="3" t="str">
        <f>HYPERLINK("https://www.amazon.com/Diptyque-Roses-Scented-Candle-Unisex/dp/B077B8TQMB/ref=sr_1_5?keywords=Diptyque+Roses+Candle-6.5+oz&amp;qid=1695259298&amp;sr=8-5", "https://www.amazon.com/Diptyque-Roses-Scented-Candle-Unisex/dp/B077B8TQMB/ref=sr_1_5?keywords=Diptyque+Roses+Candle-6.5+oz&amp;qid=1695259298&amp;sr=8-5")</f>
        <v>https://www.amazon.com/Diptyque-Roses-Scented-Candle-Unisex/dp/B077B8TQMB/ref=sr_1_5?keywords=Diptyque+Roses+Candle-6.5+oz&amp;qid=1695259298&amp;sr=8-5</v>
      </c>
      <c r="F1920" t="s">
        <v>4773</v>
      </c>
      <c r="G1920" t="e">
        <f ca="1">IMAGE("https://prolisok-store.com/cdn/shop/files/61qv-dg4gnL._SL1000_300x.jpg?v=1693226309")</f>
        <v>#NAME?</v>
      </c>
      <c r="H1920" t="e">
        <f ca="1">IMAGE("https://m.media-amazon.com/images/I/51Y6riD658L._AC_UL320_.jpg")</f>
        <v>#NAME?</v>
      </c>
      <c r="I1920" t="s">
        <v>3476</v>
      </c>
      <c r="J1920">
        <v>70</v>
      </c>
      <c r="K1920" s="2" t="s">
        <v>4769</v>
      </c>
      <c r="L1920">
        <v>5</v>
      </c>
      <c r="M1920">
        <v>9</v>
      </c>
      <c r="O1920" t="s">
        <v>26</v>
      </c>
      <c r="P1920" t="s">
        <v>39</v>
      </c>
      <c r="Q1920" t="s">
        <v>4619</v>
      </c>
    </row>
    <row r="1921" spans="1:17" ht="15.75" x14ac:dyDescent="0.25">
      <c r="A1921" s="3" t="str">
        <f>HYPERLINK("https://prolisok-store.com/collections/premium/products/diptyque-mimosa-candle-6-5-oz-white", "https://prolisok-store.com/collections/premium/products/diptyque-mimosa-candle-6-5-oz-white")</f>
        <v>https://prolisok-store.com/collections/premium/products/diptyque-mimosa-candle-6-5-oz-white</v>
      </c>
      <c r="B1921" s="3" t="str">
        <f>HYPERLINK("https://prolisok-store.com/products/diptyque-mimosa-candle-6-5-oz-white", "https://prolisok-store.com/products/diptyque-mimosa-candle-6-5-oz-white")</f>
        <v>https://prolisok-store.com/products/diptyque-mimosa-candle-6-5-oz-white</v>
      </c>
      <c r="C1921" t="s">
        <v>4774</v>
      </c>
      <c r="D1921" t="s">
        <v>4767</v>
      </c>
      <c r="E1921" s="3" t="str">
        <f>HYPERLINK("https://www.amazon.com/Diptyque-B0043TVXSC-Mimosa-Candle-6-5-oz/dp/B0043TVXSC/ref=sr_1_1?keywords=Diptyque+Mimosa+Candle-6.5+oz.%2CWhite&amp;qid=1695259299&amp;sr=8-1", "https://www.amazon.com/Diptyque-B0043TVXSC-Mimosa-Candle-6-5-oz/dp/B0043TVXSC/ref=sr_1_1?keywords=Diptyque+Mimosa+Candle-6.5+oz.%2CWhite&amp;qid=1695259299&amp;sr=8-1")</f>
        <v>https://www.amazon.com/Diptyque-B0043TVXSC-Mimosa-Candle-6-5-oz/dp/B0043TVXSC/ref=sr_1_1?keywords=Diptyque+Mimosa+Candle-6.5+oz.%2CWhite&amp;qid=1695259299&amp;sr=8-1</v>
      </c>
      <c r="F1921" t="s">
        <v>4768</v>
      </c>
      <c r="G1921" t="e">
        <f ca="1">IMAGE("https://prolisok-store.com/cdn/shop/files/71d_fFuLJ0L._SL1500_300x.jpg?v=1689776060")</f>
        <v>#NAME?</v>
      </c>
      <c r="H1921" t="e">
        <f ca="1">IMAGE("https://m.media-amazon.com/images/I/71d+fFuLJ0L._AC_UL320_.jpg")</f>
        <v>#NAME?</v>
      </c>
      <c r="I1921" t="s">
        <v>3476</v>
      </c>
      <c r="J1921">
        <v>70</v>
      </c>
      <c r="K1921" s="2" t="s">
        <v>4769</v>
      </c>
      <c r="L1921">
        <v>4.5999999999999996</v>
      </c>
      <c r="M1921">
        <v>69</v>
      </c>
      <c r="O1921" t="s">
        <v>26</v>
      </c>
      <c r="P1921" t="s">
        <v>39</v>
      </c>
      <c r="Q1921" t="s">
        <v>4775</v>
      </c>
    </row>
    <row r="1922" spans="1:17" ht="15.75" x14ac:dyDescent="0.25">
      <c r="A1922" s="3" t="str">
        <f>HYPERLINK("https://prolisok-store.com/collections/premium/products/elixir-superieur-enrich-wrinkle-cream-l-22g", "https://prolisok-store.com/collections/premium/products/elixir-superieur-enrich-wrinkle-cream-l-22g")</f>
        <v>https://prolisok-store.com/collections/premium/products/elixir-superieur-enrich-wrinkle-cream-l-22g</v>
      </c>
      <c r="B1922" s="3" t="str">
        <f>HYPERLINK("https://prolisok-store.com/products/elixir-superieur-enrich-wrinkle-cream-l-22g", "https://prolisok-store.com/products/elixir-superieur-enrich-wrinkle-cream-l-22g")</f>
        <v>https://prolisok-store.com/products/elixir-superieur-enrich-wrinkle-cream-l-22g</v>
      </c>
      <c r="C1922" t="s">
        <v>4374</v>
      </c>
      <c r="D1922" t="s">
        <v>4776</v>
      </c>
      <c r="E1922" s="3" t="str">
        <f>HYPERLINK("https://www.amazon.com/ELIXIR-SUPERIEUR-Superieur-Enriched-Wrinkle/dp/B07CPWRYKB/ref=sr_1_1?keywords=ELIXIR+SUPERIEUR+Enriched+Wrinkle+Cream+L+22g&amp;qid=1695259304&amp;sr=8-1", "https://www.amazon.com/ELIXIR-SUPERIEUR-Superieur-Enriched-Wrinkle/dp/B07CPWRYKB/ref=sr_1_1?keywords=ELIXIR+SUPERIEUR+Enriched+Wrinkle+Cream+L+22g&amp;qid=1695259304&amp;sr=8-1")</f>
        <v>https://www.amazon.com/ELIXIR-SUPERIEUR-Superieur-Enriched-Wrinkle/dp/B07CPWRYKB/ref=sr_1_1?keywords=ELIXIR+SUPERIEUR+Enriched+Wrinkle+Cream+L+22g&amp;qid=1695259304&amp;sr=8-1</v>
      </c>
      <c r="F1922" t="s">
        <v>4777</v>
      </c>
      <c r="G1922" t="e">
        <f ca="1">IMAGE("https://prolisok-store.com/cdn/shop/files/61mKag_0VYL._SL1500_300x.jpg?v=1692865233")</f>
        <v>#NAME?</v>
      </c>
      <c r="H1922" t="e">
        <f ca="1">IMAGE("https://m.media-amazon.com/images/I/61mKag+0VYL._AC_UL320_.jpg")</f>
        <v>#NAME?</v>
      </c>
      <c r="I1922" t="s">
        <v>3476</v>
      </c>
      <c r="J1922">
        <v>69.989999999999995</v>
      </c>
      <c r="K1922" s="2" t="s">
        <v>4778</v>
      </c>
      <c r="L1922">
        <v>4.2</v>
      </c>
      <c r="M1922">
        <v>444</v>
      </c>
      <c r="O1922" t="s">
        <v>26</v>
      </c>
      <c r="P1922" t="s">
        <v>39</v>
      </c>
      <c r="Q1922" t="s">
        <v>4378</v>
      </c>
    </row>
    <row r="1923" spans="1:17" ht="15.75" x14ac:dyDescent="0.25">
      <c r="A1923" s="3" t="str">
        <f>HYPERLINK("https://prolisok-store.com/collections/premium/products/diptyque-roses-candle-6-5-oz", "https://prolisok-store.com/collections/premium/products/diptyque-roses-candle-6-5-oz")</f>
        <v>https://prolisok-store.com/collections/premium/products/diptyque-roses-candle-6-5-oz</v>
      </c>
      <c r="B1923" s="3" t="str">
        <f>HYPERLINK("https://prolisok-store.com/products/diptyque-roses-candle-6-5-oz", "https://prolisok-store.com/products/diptyque-roses-candle-6-5-oz")</f>
        <v>https://prolisok-store.com/products/diptyque-roses-candle-6-5-oz</v>
      </c>
      <c r="C1923" t="s">
        <v>4615</v>
      </c>
      <c r="D1923" t="s">
        <v>4779</v>
      </c>
      <c r="E1923" s="3" t="str">
        <f>HYPERLINK("https://www.amazon.com/Diptyque-11032u-Roses-Candle-6-5-oz/dp/B001DTSDEM/ref=sr_1_1?keywords=Diptyque+Roses+Candle-6.5+oz&amp;qid=1695259298&amp;sr=8-1", "https://www.amazon.com/Diptyque-11032u-Roses-Candle-6-5-oz/dp/B001DTSDEM/ref=sr_1_1?keywords=Diptyque+Roses+Candle-6.5+oz&amp;qid=1695259298&amp;sr=8-1")</f>
        <v>https://www.amazon.com/Diptyque-11032u-Roses-Candle-6-5-oz/dp/B001DTSDEM/ref=sr_1_1?keywords=Diptyque+Roses+Candle-6.5+oz&amp;qid=1695259298&amp;sr=8-1</v>
      </c>
      <c r="F1923" t="s">
        <v>4780</v>
      </c>
      <c r="G1923" t="e">
        <f ca="1">IMAGE("https://prolisok-store.com/cdn/shop/files/61qv-dg4gnL._SL1000_300x.jpg?v=1693226309")</f>
        <v>#NAME?</v>
      </c>
      <c r="H1923" t="e">
        <f ca="1">IMAGE("https://m.media-amazon.com/images/I/61qv-dg4gnL._AC_UL320_.jpg")</f>
        <v>#NAME?</v>
      </c>
      <c r="I1923" t="s">
        <v>3476</v>
      </c>
      <c r="J1923">
        <v>69.97</v>
      </c>
      <c r="K1923" s="2" t="s">
        <v>4781</v>
      </c>
      <c r="L1923">
        <v>4.5999999999999996</v>
      </c>
      <c r="M1923">
        <v>194</v>
      </c>
      <c r="O1923" t="s">
        <v>26</v>
      </c>
      <c r="P1923" t="s">
        <v>39</v>
      </c>
      <c r="Q1923" t="s">
        <v>4619</v>
      </c>
    </row>
    <row r="1924" spans="1:17" ht="15.75" x14ac:dyDescent="0.25">
      <c r="A1924" s="3" t="str">
        <f>HYPERLINK("https://prolisok-store.com/collections/premium/products/baylis-harding-goodness-sea-kelp-peppermint-500-ml-hand-wash-pack-of-3", "https://prolisok-store.com/collections/premium/products/baylis-harding-goodness-sea-kelp-peppermint-500-ml-hand-wash-pack-of-3")</f>
        <v>https://prolisok-store.com/collections/premium/products/baylis-harding-goodness-sea-kelp-peppermint-500-ml-hand-wash-pack-of-3</v>
      </c>
      <c r="B1924" s="3" t="str">
        <f>HYPERLINK("https://prolisok-store.com/products/baylis-harding-goodness-sea-kelp-peppermint-500-ml-hand-wash-pack-of-3", "https://prolisok-store.com/products/baylis-harding-goodness-sea-kelp-peppermint-500-ml-hand-wash-pack-of-3")</f>
        <v>https://prolisok-store.com/products/baylis-harding-goodness-sea-kelp-peppermint-500-ml-hand-wash-pack-of-3</v>
      </c>
      <c r="C1924" t="s">
        <v>4730</v>
      </c>
      <c r="D1924" t="s">
        <v>4782</v>
      </c>
      <c r="E1924" s="3" t="str">
        <f>HYPERLINK("https://www.amazon.com/Baylis-Harding-Elements-Blossom-Flower/dp/B08MXSWX8Z/ref=sr_1_7?keywords=Baylis+%26+Harding+Goodness+Sea+Kelp+%26+Peppermint%2C+500+ml+Hand+Wash%2C+Pack+of+3&amp;qid=1695259307&amp;sr=8-7", "https://www.amazon.com/Baylis-Harding-Elements-Blossom-Flower/dp/B08MXSWX8Z/ref=sr_1_7?keywords=Baylis+%26+Harding+Goodness+Sea+Kelp+%26+Peppermint%2C+500+ml+Hand+Wash%2C+Pack+of+3&amp;qid=1695259307&amp;sr=8-7")</f>
        <v>https://www.amazon.com/Baylis-Harding-Elements-Blossom-Flower/dp/B08MXSWX8Z/ref=sr_1_7?keywords=Baylis+%26+Harding+Goodness+Sea+Kelp+%26+Peppermint%2C+500+ml+Hand+Wash%2C+Pack+of+3&amp;qid=1695259307&amp;sr=8-7</v>
      </c>
      <c r="F1924" t="s">
        <v>4783</v>
      </c>
      <c r="G1924" t="e">
        <f ca="1">IMAGE("https://prolisok-store.com/cdn/shop/files/61bNtMLtt8L._SL1500_300x.jpg?v=1692872098")</f>
        <v>#NAME?</v>
      </c>
      <c r="H1924" t="e">
        <f ca="1">IMAGE("https://m.media-amazon.com/images/I/71f6Zr8EDAL._AC_UL320_.jpg")</f>
        <v>#NAME?</v>
      </c>
      <c r="I1924" t="s">
        <v>4733</v>
      </c>
      <c r="J1924">
        <v>22.99</v>
      </c>
      <c r="K1924" s="2" t="s">
        <v>4784</v>
      </c>
      <c r="L1924">
        <v>4.4000000000000004</v>
      </c>
      <c r="M1924">
        <v>694</v>
      </c>
      <c r="O1924" t="s">
        <v>26</v>
      </c>
      <c r="P1924" t="s">
        <v>39</v>
      </c>
      <c r="Q1924" t="s">
        <v>4735</v>
      </c>
    </row>
    <row r="1925" spans="1:17" ht="15.75" x14ac:dyDescent="0.25">
      <c r="A1925" s="3" t="str">
        <f>HYPERLINK("https://prolisok-store.com/collections/premium/products/diptyque-roses-candle-6-5-oz", "https://prolisok-store.com/collections/premium/products/diptyque-roses-candle-6-5-oz")</f>
        <v>https://prolisok-store.com/collections/premium/products/diptyque-roses-candle-6-5-oz</v>
      </c>
      <c r="B1925" s="3" t="str">
        <f>HYPERLINK("https://prolisok-store.com/products/diptyque-roses-candle-6-5-oz", "https://prolisok-store.com/products/diptyque-roses-candle-6-5-oz")</f>
        <v>https://prolisok-store.com/products/diptyque-roses-candle-6-5-oz</v>
      </c>
      <c r="C1925" t="s">
        <v>4615</v>
      </c>
      <c r="D1925" t="s">
        <v>4785</v>
      </c>
      <c r="E1925" s="3" t="str">
        <f>HYPERLINK("https://www.amazon.com/Diptyque-Feuille-Lavande-Candle-6-5-oz/dp/B0043TSH1S/ref=sr_1_6?keywords=Diptyque+Roses+Candle-6.5+oz&amp;qid=1695259298&amp;sr=8-6", "https://www.amazon.com/Diptyque-Feuille-Lavande-Candle-6-5-oz/dp/B0043TSH1S/ref=sr_1_6?keywords=Diptyque+Roses+Candle-6.5+oz&amp;qid=1695259298&amp;sr=8-6")</f>
        <v>https://www.amazon.com/Diptyque-Feuille-Lavande-Candle-6-5-oz/dp/B0043TSH1S/ref=sr_1_6?keywords=Diptyque+Roses+Candle-6.5+oz&amp;qid=1695259298&amp;sr=8-6</v>
      </c>
      <c r="F1925" t="s">
        <v>4786</v>
      </c>
      <c r="G1925" t="e">
        <f ca="1">IMAGE("https://prolisok-store.com/cdn/shop/files/61qv-dg4gnL._SL1000_300x.jpg?v=1693226309")</f>
        <v>#NAME?</v>
      </c>
      <c r="H1925" t="e">
        <f ca="1">IMAGE("https://m.media-amazon.com/images/I/71ypEJNWQAL._AC_UL320_.jpg")</f>
        <v>#NAME?</v>
      </c>
      <c r="I1925" t="s">
        <v>3476</v>
      </c>
      <c r="J1925">
        <v>69.75</v>
      </c>
      <c r="K1925" s="2" t="s">
        <v>4787</v>
      </c>
      <c r="L1925">
        <v>4.2</v>
      </c>
      <c r="M1925">
        <v>50</v>
      </c>
      <c r="O1925" t="s">
        <v>26</v>
      </c>
      <c r="P1925" t="s">
        <v>39</v>
      </c>
      <c r="Q1925" t="s">
        <v>4619</v>
      </c>
    </row>
    <row r="1926" spans="1:17" ht="15.75" x14ac:dyDescent="0.25">
      <c r="A1926" s="3" t="str">
        <f>HYPERLINK("https://prolisok-store.com/collections/premium/products/kilian-eau-de-parfum-refillable-spray-1-7-oz", "https://prolisok-store.com/collections/premium/products/kilian-eau-de-parfum-refillable-spray-1-7-oz")</f>
        <v>https://prolisok-store.com/collections/premium/products/kilian-eau-de-parfum-refillable-spray-1-7-oz</v>
      </c>
      <c r="B1926" s="3" t="str">
        <f>HYPERLINK("https://prolisok-store.com/products/kilian-eau-de-parfum-refillable-spray-1-7-oz", "https://prolisok-store.com/products/kilian-eau-de-parfum-refillable-spray-1-7-oz")</f>
        <v>https://prolisok-store.com/products/kilian-eau-de-parfum-refillable-spray-1-7-oz</v>
      </c>
      <c r="C1926" t="s">
        <v>4567</v>
      </c>
      <c r="D1926" t="s">
        <v>4567</v>
      </c>
      <c r="E1926" s="3" t="str">
        <f>HYPERLINK("https://www.amazon.com/Love-Kilian-Parfum-Spray-Women/dp/B08P5QCMZ8/ref=sr_1_1?keywords=Kilian+Eau+De+Parfum+Refillable+Spray+1.7+oz&amp;qid=1695259299&amp;sr=8-1", "https://www.amazon.com/Love-Kilian-Parfum-Spray-Women/dp/B08P5QCMZ8/ref=sr_1_1?keywords=Kilian+Eau+De+Parfum+Refillable+Spray+1.7+oz&amp;qid=1695259299&amp;sr=8-1")</f>
        <v>https://www.amazon.com/Love-Kilian-Parfum-Spray-Women/dp/B08P5QCMZ8/ref=sr_1_1?keywords=Kilian+Eau+De+Parfum+Refillable+Spray+1.7+oz&amp;qid=1695259299&amp;sr=8-1</v>
      </c>
      <c r="F1926" t="s">
        <v>4788</v>
      </c>
      <c r="G1926" t="e">
        <f ca="1">IMAGE("https://prolisok-store.com/cdn/shop/files/41qHQCLW06L._SL1000_300x.jpg?v=1690803520")</f>
        <v>#NAME?</v>
      </c>
      <c r="H1926" t="e">
        <f ca="1">IMAGE("https://m.media-amazon.com/images/I/41qHQCLW06L._AC_UL320_.jpg")</f>
        <v>#NAME?</v>
      </c>
      <c r="I1926" t="s">
        <v>4570</v>
      </c>
      <c r="J1926">
        <v>208.81</v>
      </c>
      <c r="K1926" s="2" t="s">
        <v>4789</v>
      </c>
      <c r="L1926">
        <v>4.0999999999999996</v>
      </c>
      <c r="M1926">
        <v>111</v>
      </c>
      <c r="O1926" t="s">
        <v>26</v>
      </c>
      <c r="P1926" t="s">
        <v>39</v>
      </c>
      <c r="Q1926" t="s">
        <v>4572</v>
      </c>
    </row>
    <row r="1927" spans="1:17" ht="15.75" x14ac:dyDescent="0.25">
      <c r="A1927" s="3" t="str">
        <f>HYPERLINK("https://prolisok-store.com/collections/premium/products/doterra-correct-x-essential-ointment-2-pack", "https://prolisok-store.com/collections/premium/products/doterra-correct-x-essential-ointment-2-pack")</f>
        <v>https://prolisok-store.com/collections/premium/products/doterra-correct-x-essential-ointment-2-pack</v>
      </c>
      <c r="B1927" s="3" t="str">
        <f>HYPERLINK("https://prolisok-store.com/products/doterra-correct-x-essential-ointment-2-pack", "https://prolisok-store.com/products/doterra-correct-x-essential-ointment-2-pack")</f>
        <v>https://prolisok-store.com/products/doterra-correct-x-essential-ointment-2-pack</v>
      </c>
      <c r="C1927" t="s">
        <v>4790</v>
      </c>
      <c r="D1927" t="s">
        <v>4791</v>
      </c>
      <c r="E1927" s="3" t="str">
        <f>HYPERLINK("https://www.amazon.com/doTERRA-Correct-X%C2%AE-Essential-Ointment-Pack/dp/B09X27SJ3B/ref=sr_1_1?keywords=doTERRA+Correct-X+Essential+Ointment+-+2+Pack&amp;qid=1695259307&amp;sr=8-1", "https://www.amazon.com/doTERRA-Correct-X%C2%AE-Essential-Ointment-Pack/dp/B09X27SJ3B/ref=sr_1_1?keywords=doTERRA+Correct-X+Essential+Ointment+-+2+Pack&amp;qid=1695259307&amp;sr=8-1")</f>
        <v>https://www.amazon.com/doTERRA-Correct-X%C2%AE-Essential-Ointment-Pack/dp/B09X27SJ3B/ref=sr_1_1?keywords=doTERRA+Correct-X+Essential+Ointment+-+2+Pack&amp;qid=1695259307&amp;sr=8-1</v>
      </c>
      <c r="F1927" t="s">
        <v>4792</v>
      </c>
      <c r="G1927" t="e">
        <f ca="1">IMAGE("https://prolisok-store.com/cdn/shop/products/41MQUgNhwOL._AC_SL1000_300x.jpg?v=1674034154")</f>
        <v>#NAME?</v>
      </c>
      <c r="H1927" t="e">
        <f ca="1">IMAGE("https://m.media-amazon.com/images/I/41MQUgNhwOL._AC_UL320_.jpg")</f>
        <v>#NAME?</v>
      </c>
      <c r="I1927" t="s">
        <v>3458</v>
      </c>
      <c r="J1927">
        <v>34.659999999999997</v>
      </c>
      <c r="K1927" s="2" t="s">
        <v>4793</v>
      </c>
      <c r="L1927">
        <v>4.7</v>
      </c>
      <c r="M1927">
        <v>69</v>
      </c>
      <c r="O1927" t="s">
        <v>26</v>
      </c>
      <c r="P1927" t="s">
        <v>39</v>
      </c>
      <c r="Q1927" t="s">
        <v>4794</v>
      </c>
    </row>
    <row r="1928" spans="1:17" ht="15.75" x14ac:dyDescent="0.25">
      <c r="A1928" s="3" t="str">
        <f>HYPERLINK("https://prolisok-store.com/collections/premium/products/elizabeth-arden-capsules-serum", "https://prolisok-store.com/collections/premium/products/elizabeth-arden-capsules-serum")</f>
        <v>https://prolisok-store.com/collections/premium/products/elizabeth-arden-capsules-serum</v>
      </c>
      <c r="B1928" s="3" t="str">
        <f>HYPERLINK("https://prolisok-store.com/products/elizabeth-arden-capsules-serum", "https://prolisok-store.com/products/elizabeth-arden-capsules-serum")</f>
        <v>https://prolisok-store.com/products/elizabeth-arden-capsules-serum</v>
      </c>
      <c r="C1928" t="s">
        <v>4670</v>
      </c>
      <c r="D1928" t="s">
        <v>4795</v>
      </c>
      <c r="E1928" s="3" t="str">
        <f>HYPERLINK("https://www.amazon.com/Elizabeth-Arden-Ceramide-Capsules-Skincare/dp/B09BP4ZQMX/ref=sr_1_8?keywords=Elizabeth+Arden+Capsules+Serum&amp;qid=1695259297&amp;sr=8-8", "https://www.amazon.com/Elizabeth-Arden-Ceramide-Capsules-Skincare/dp/B09BP4ZQMX/ref=sr_1_8?keywords=Elizabeth+Arden+Capsules+Serum&amp;qid=1695259297&amp;sr=8-8")</f>
        <v>https://www.amazon.com/Elizabeth-Arden-Ceramide-Capsules-Skincare/dp/B09BP4ZQMX/ref=sr_1_8?keywords=Elizabeth+Arden+Capsules+Serum&amp;qid=1695259297&amp;sr=8-8</v>
      </c>
      <c r="F1928" t="s">
        <v>4796</v>
      </c>
      <c r="G1928" t="e">
        <f ca="1">IMAGE("https://prolisok-store.com/cdn/shop/files/71roxz2sB-L._SL1500_300x.jpg?v=1683266294")</f>
        <v>#NAME?</v>
      </c>
      <c r="H1928" t="e">
        <f ca="1">IMAGE("https://m.media-amazon.com/images/I/61mIX4sU8HL._AC_UL320_.jpg")</f>
        <v>#NAME?</v>
      </c>
      <c r="I1928" t="s">
        <v>4355</v>
      </c>
      <c r="J1928">
        <v>104</v>
      </c>
      <c r="K1928" s="2" t="s">
        <v>4797</v>
      </c>
      <c r="L1928">
        <v>4.7</v>
      </c>
      <c r="M1928">
        <v>21</v>
      </c>
      <c r="O1928" t="s">
        <v>26</v>
      </c>
      <c r="P1928" t="s">
        <v>39</v>
      </c>
      <c r="Q1928" t="s">
        <v>4673</v>
      </c>
    </row>
    <row r="1929" spans="1:17" ht="15.75" x14ac:dyDescent="0.25">
      <c r="A1929" s="3" t="str">
        <f>HYPERLINK("https://prolisok-store.com/collections/premium/products/dabalash-eye-lash-enhancer", "https://prolisok-store.com/collections/premium/products/dabalash-eye-lash-enhancer")</f>
        <v>https://prolisok-store.com/collections/premium/products/dabalash-eye-lash-enhancer</v>
      </c>
      <c r="B1929" s="3" t="str">
        <f>HYPERLINK("https://prolisok-store.com/products/dabalash-eye-lash-enhancer", "https://prolisok-store.com/products/dabalash-eye-lash-enhancer")</f>
        <v>https://prolisok-store.com/products/dabalash-eye-lash-enhancer</v>
      </c>
      <c r="C1929" t="s">
        <v>4424</v>
      </c>
      <c r="D1929" t="s">
        <v>4798</v>
      </c>
      <c r="E1929" s="3" t="str">
        <f>HYPERLINK("https://www.amazon.com/DabaLash-Professional-Eyelash-Enhancer-0-18FL/dp/B07XRPJS1T/ref=sr_1_3?keywords=Dabalash+Eye+Lash+Enhancer&amp;qid=1695259291&amp;sr=8-3", "https://www.amazon.com/DabaLash-Professional-Eyelash-Enhancer-0-18FL/dp/B07XRPJS1T/ref=sr_1_3?keywords=Dabalash+Eye+Lash+Enhancer&amp;qid=1695259291&amp;sr=8-3")</f>
        <v>https://www.amazon.com/DabaLash-Professional-Eyelash-Enhancer-0-18FL/dp/B07XRPJS1T/ref=sr_1_3?keywords=Dabalash+Eye+Lash+Enhancer&amp;qid=1695259291&amp;sr=8-3</v>
      </c>
      <c r="F1929" t="s">
        <v>4799</v>
      </c>
      <c r="G1929" t="e">
        <f ca="1">IMAGE("https://prolisok-store.com/cdn/shop/files/71dLRMnmysL._AC_SL1500_300x.jpg?v=1692864868")</f>
        <v>#NAME?</v>
      </c>
      <c r="H1929" t="e">
        <f ca="1">IMAGE("https://m.media-amazon.com/images/I/512M+GxCY5L._AC_UL320_.jpg")</f>
        <v>#NAME?</v>
      </c>
      <c r="I1929" t="s">
        <v>3458</v>
      </c>
      <c r="J1929">
        <v>34.4</v>
      </c>
      <c r="K1929" s="2" t="s">
        <v>4800</v>
      </c>
      <c r="L1929">
        <v>5</v>
      </c>
      <c r="M1929">
        <v>1</v>
      </c>
      <c r="O1929" t="s">
        <v>26</v>
      </c>
      <c r="P1929" t="s">
        <v>39</v>
      </c>
      <c r="Q1929" t="s">
        <v>4428</v>
      </c>
    </row>
    <row r="1930" spans="1:17" ht="15.75" x14ac:dyDescent="0.25">
      <c r="A1930" s="3" t="str">
        <f>HYPERLINK("https://prolisok-store.com/collections/premium/products/la-mer-the-eye-and-expression-cream-for-women-0-5-ounce", "https://prolisok-store.com/collections/premium/products/la-mer-the-eye-and-expression-cream-for-women-0-5-ounce")</f>
        <v>https://prolisok-store.com/collections/premium/products/la-mer-the-eye-and-expression-cream-for-women-0-5-ounce</v>
      </c>
      <c r="B1930" s="3" t="str">
        <f>HYPERLINK("https://prolisok-store.com/products/la-mer-the-eye-and-expression-cream-for-women-0-5-ounce", "https://prolisok-store.com/products/la-mer-the-eye-and-expression-cream-for-women-0-5-ounce")</f>
        <v>https://prolisok-store.com/products/la-mer-the-eye-and-expression-cream-for-women-0-5-ounce</v>
      </c>
      <c r="C1930" t="s">
        <v>4801</v>
      </c>
      <c r="D1930" t="s">
        <v>4801</v>
      </c>
      <c r="E1930" s="3" t="str">
        <f>HYPERLINK("https://www.amazon.com/Mer-Expression-Cream-Women-Ounce/dp/B0759VGCJG/ref=sr_1_1?keywords=La+Mer+The+Eye+and+Expression+Cream+for+Women%2C+0.5+Ounce&amp;qid=1695259286&amp;sr=8-1", "https://www.amazon.com/Mer-Expression-Cream-Women-Ounce/dp/B0759VGCJG/ref=sr_1_1?keywords=La+Mer+The+Eye+and+Expression+Cream+for+Women%2C+0.5+Ounce&amp;qid=1695259286&amp;sr=8-1")</f>
        <v>https://www.amazon.com/Mer-Expression-Cream-Women-Ounce/dp/B0759VGCJG/ref=sr_1_1?keywords=La+Mer+The+Eye+and+Expression+Cream+for+Women%2C+0.5+Ounce&amp;qid=1695259286&amp;sr=8-1</v>
      </c>
      <c r="F1930" t="s">
        <v>4802</v>
      </c>
      <c r="G1930" t="e">
        <f ca="1">IMAGE("https://prolisok-store.com/cdn/shop/products/51WRvfAQ2AL._SL1280_300x.jpg?v=1673939965")</f>
        <v>#NAME?</v>
      </c>
      <c r="H1930" t="e">
        <f ca="1">IMAGE("https://m.media-amazon.com/images/I/51WRvfAQ2AL._AC_UL320_.jpg")</f>
        <v>#NAME?</v>
      </c>
      <c r="I1930" t="s">
        <v>4803</v>
      </c>
      <c r="J1930">
        <v>308.89</v>
      </c>
      <c r="K1930" s="2" t="s">
        <v>4804</v>
      </c>
      <c r="L1930">
        <v>3.5</v>
      </c>
      <c r="M1930">
        <v>15</v>
      </c>
      <c r="O1930" t="s">
        <v>26</v>
      </c>
      <c r="P1930" t="s">
        <v>39</v>
      </c>
      <c r="Q1930" t="s">
        <v>4805</v>
      </c>
    </row>
    <row r="1931" spans="1:17" ht="15.75" x14ac:dyDescent="0.25">
      <c r="A1931" s="3" t="str">
        <f>HYPERLINK("https://prolisok-store.com/collections/premium/products/la-mer-the-moisturizing-soft-lotion", "https://prolisok-store.com/collections/premium/products/la-mer-the-moisturizing-soft-lotion")</f>
        <v>https://prolisok-store.com/collections/premium/products/la-mer-the-moisturizing-soft-lotion</v>
      </c>
      <c r="B1931" s="3" t="str">
        <f>HYPERLINK("https://prolisok-store.com/products/la-mer-the-moisturizing-soft-lotion", "https://prolisok-store.com/products/la-mer-the-moisturizing-soft-lotion")</f>
        <v>https://prolisok-store.com/products/la-mer-the-moisturizing-soft-lotion</v>
      </c>
      <c r="C1931" t="s">
        <v>4503</v>
      </c>
      <c r="D1931" t="s">
        <v>4503</v>
      </c>
      <c r="E1931" s="3" t="str">
        <f>HYPERLINK("https://www.amazon.com/Mer-Moisturizing-Soft-Lotion/dp/B01HTZJWNY/ref=sr_1_1?keywords=La+Mer+The+Moisturizing+Soft+Lotion&amp;qid=1695259290&amp;sr=8-1", "https://www.amazon.com/Mer-Moisturizing-Soft-Lotion/dp/B01HTZJWNY/ref=sr_1_1?keywords=La+Mer+The+Moisturizing+Soft+Lotion&amp;qid=1695259290&amp;sr=8-1")</f>
        <v>https://www.amazon.com/Mer-Moisturizing-Soft-Lotion/dp/B01HTZJWNY/ref=sr_1_1?keywords=La+Mer+The+Moisturizing+Soft+Lotion&amp;qid=1695259290&amp;sr=8-1</v>
      </c>
      <c r="F1931" t="s">
        <v>4806</v>
      </c>
      <c r="G1931" t="e">
        <f ca="1">IMAGE("https://prolisok-store.com/cdn/shop/products/61uLYCnMy9L._SL1500_300x.jpg?v=1667997816")</f>
        <v>#NAME?</v>
      </c>
      <c r="H1931" t="e">
        <f ca="1">IMAGE("https://m.media-amazon.com/images/I/519r-aIFaHL._AC_UL320_.jpg")</f>
        <v>#NAME?</v>
      </c>
      <c r="I1931" t="s">
        <v>4506</v>
      </c>
      <c r="J1931">
        <v>120</v>
      </c>
      <c r="K1931" s="2" t="s">
        <v>4807</v>
      </c>
      <c r="L1931">
        <v>3.8</v>
      </c>
      <c r="M1931">
        <v>45</v>
      </c>
      <c r="O1931" t="s">
        <v>26</v>
      </c>
      <c r="P1931" t="s">
        <v>39</v>
      </c>
      <c r="Q1931" t="s">
        <v>4508</v>
      </c>
    </row>
    <row r="1932" spans="1:17" ht="15.75" x14ac:dyDescent="0.25">
      <c r="A1932" s="3" t="str">
        <f>HYPERLINK("https://prolisok-store.com/collections/premium/products/diptyque-eau-des-sens-de-toilette-size-100-ml-3-4-ounce", "https://prolisok-store.com/collections/premium/products/diptyque-eau-des-sens-de-toilette-size-100-ml-3-4-ounce")</f>
        <v>https://prolisok-store.com/collections/premium/products/diptyque-eau-des-sens-de-toilette-size-100-ml-3-4-ounce</v>
      </c>
      <c r="B1932" s="3" t="str">
        <f>HYPERLINK("https://prolisok-store.com/products/diptyque-eau-des-sens-de-toilette-size-100-ml-3-4-ounce", "https://prolisok-store.com/products/diptyque-eau-des-sens-de-toilette-size-100-ml-3-4-ounce")</f>
        <v>https://prolisok-store.com/products/diptyque-eau-des-sens-de-toilette-size-100-ml-3-4-ounce</v>
      </c>
      <c r="C1932" t="s">
        <v>4808</v>
      </c>
      <c r="D1932" t="s">
        <v>4808</v>
      </c>
      <c r="E1932" s="3" t="str">
        <f>HYPERLINK("https://www.amazon.com/Diptyque-Eau-Sens-Toilette-Size/dp/B01DAPBON8/ref=sr_1_1?keywords=Diptyque+Eau+des+Sens+De+Toilette%2C+Size+100+ml%2C+3.4+Ounce&amp;qid=1695259293&amp;sr=8-1", "https://www.amazon.com/Diptyque-Eau-Sens-Toilette-Size/dp/B01DAPBON8/ref=sr_1_1?keywords=Diptyque+Eau+des+Sens+De+Toilette%2C+Size+100+ml%2C+3.4+Ounce&amp;qid=1695259293&amp;sr=8-1")</f>
        <v>https://www.amazon.com/Diptyque-Eau-Sens-Toilette-Size/dp/B01DAPBON8/ref=sr_1_1?keywords=Diptyque+Eau+des+Sens+De+Toilette%2C+Size+100+ml%2C+3.4+Ounce&amp;qid=1695259293&amp;sr=8-1</v>
      </c>
      <c r="F1932" t="s">
        <v>4809</v>
      </c>
      <c r="G1932" t="e">
        <f ca="1">IMAGE("https://prolisok-store.com/cdn/shop/files/81tKY4SV1HL._SL1500_300x.jpg?v=1686659548")</f>
        <v>#NAME?</v>
      </c>
      <c r="H1932" t="e">
        <f ca="1">IMAGE("https://m.media-amazon.com/images/I/81tKY4SV1HL._AC_UL320_.jpg")</f>
        <v>#NAME?</v>
      </c>
      <c r="I1932" t="s">
        <v>4506</v>
      </c>
      <c r="J1932">
        <v>120</v>
      </c>
      <c r="K1932" s="2" t="s">
        <v>4807</v>
      </c>
      <c r="L1932">
        <v>4</v>
      </c>
      <c r="M1932">
        <v>72</v>
      </c>
      <c r="O1932" t="s">
        <v>26</v>
      </c>
      <c r="P1932" t="s">
        <v>4810</v>
      </c>
      <c r="Q1932" t="s">
        <v>4811</v>
      </c>
    </row>
    <row r="1933" spans="1:17" ht="15.75" x14ac:dyDescent="0.25">
      <c r="A1933" s="3" t="str">
        <f>HYPERLINK("https://prolisok-store.com/collections/premium/products/by-kilian-good-girl-gone-bad-1-7-fl-oz", "https://prolisok-store.com/collections/premium/products/by-kilian-good-girl-gone-bad-1-7-fl-oz")</f>
        <v>https://prolisok-store.com/collections/premium/products/by-kilian-good-girl-gone-bad-1-7-fl-oz</v>
      </c>
      <c r="B1933" s="3" t="str">
        <f>HYPERLINK("https://prolisok-store.com/products/by-kilian-good-girl-gone-bad-1-7-fl-oz", "https://prolisok-store.com/products/by-kilian-good-girl-gone-bad-1-7-fl-oz")</f>
        <v>https://prolisok-store.com/products/by-kilian-good-girl-gone-bad-1-7-fl-oz</v>
      </c>
      <c r="C1933" t="s">
        <v>4606</v>
      </c>
      <c r="D1933" t="s">
        <v>4812</v>
      </c>
      <c r="E1933" s="3" t="str">
        <f>HYPERLINK("https://www.amazon.com/Kilian-Good-girl-kilian-women/dp/B00A5AKUH8/ref=sr_1_3?keywords=By+Kilian+-+Good+Girl+Gone+Bad+-+1.7+fl.+Oz&amp;qid=1695259301&amp;sr=8-3", "https://www.amazon.com/Kilian-Good-girl-kilian-women/dp/B00A5AKUH8/ref=sr_1_3?keywords=By+Kilian+-+Good+Girl+Gone+Bad+-+1.7+fl.+Oz&amp;qid=1695259301&amp;sr=8-3")</f>
        <v>https://www.amazon.com/Kilian-Good-girl-kilian-women/dp/B00A5AKUH8/ref=sr_1_3?keywords=By+Kilian+-+Good+Girl+Gone+Bad+-+1.7+fl.+Oz&amp;qid=1695259301&amp;sr=8-3</v>
      </c>
      <c r="F1933" t="s">
        <v>4813</v>
      </c>
      <c r="G1933" t="e">
        <f ca="1">IMAGE("https://prolisok-store.com/cdn/shop/files/41o-yGm4K6L_300x.jpg?v=1686655714")</f>
        <v>#NAME?</v>
      </c>
      <c r="H1933" t="e">
        <f ca="1">IMAGE("https://m.media-amazon.com/images/I/51J+vTn3YkL._AC_UL320_.jpg")</f>
        <v>#NAME?</v>
      </c>
      <c r="I1933" t="s">
        <v>4609</v>
      </c>
      <c r="J1933">
        <v>195.99</v>
      </c>
      <c r="K1933" s="2" t="s">
        <v>58</v>
      </c>
      <c r="L1933">
        <v>4</v>
      </c>
      <c r="M1933">
        <v>24</v>
      </c>
      <c r="O1933" t="s">
        <v>26</v>
      </c>
      <c r="P1933" t="s">
        <v>39</v>
      </c>
      <c r="Q1933" t="s">
        <v>4611</v>
      </c>
    </row>
    <row r="1934" spans="1:17" ht="15.75" x14ac:dyDescent="0.25">
      <c r="A1934" s="3" t="str">
        <f>HYPERLINK("https://prolisok-store.com/collections/premium/products/olaplex-no-6-bond-smoother-3-3-fl-oz", "https://prolisok-store.com/collections/premium/products/olaplex-no-6-bond-smoother-3-3-fl-oz")</f>
        <v>https://prolisok-store.com/collections/premium/products/olaplex-no-6-bond-smoother-3-3-fl-oz</v>
      </c>
      <c r="B1934" s="3" t="str">
        <f>HYPERLINK("https://prolisok-store.com/products/olaplex-no-6-bond-smoother-3-3-fl-oz", "https://prolisok-store.com/products/olaplex-no-6-bond-smoother-3-3-fl-oz")</f>
        <v>https://prolisok-store.com/products/olaplex-no-6-bond-smoother-3-3-fl-oz</v>
      </c>
      <c r="C1934" t="s">
        <v>3635</v>
      </c>
      <c r="D1934" t="s">
        <v>3635</v>
      </c>
      <c r="E1934" s="3" t="str">
        <f>HYPERLINK("https://www.amazon.com/Olaplex-Bond-Smoother-3-3-Fl/dp/B07PW4MTHV/ref=sr_1_5?keywords=Olaplex+No+6+Bond+Smoother%2C+3.3+Fl+Oz&amp;qid=1695259291&amp;sr=8-5", "https://www.amazon.com/Olaplex-Bond-Smoother-3-3-Fl/dp/B07PW4MTHV/ref=sr_1_5?keywords=Olaplex+No+6+Bond+Smoother%2C+3.3+Fl+Oz&amp;qid=1695259291&amp;sr=8-5")</f>
        <v>https://www.amazon.com/Olaplex-Bond-Smoother-3-3-Fl/dp/B07PW4MTHV/ref=sr_1_5?keywords=Olaplex+No+6+Bond+Smoother%2C+3.3+Fl+Oz&amp;qid=1695259291&amp;sr=8-5</v>
      </c>
      <c r="F1934" t="s">
        <v>3636</v>
      </c>
      <c r="G1934" t="e">
        <f ca="1">IMAGE("https://prolisok-store.com/cdn/shop/files/51kkYS4_1ML._SL1500_300x.jpg?v=1683807001")</f>
        <v>#NAME?</v>
      </c>
      <c r="H1934" t="e">
        <f ca="1">IMAGE("https://m.media-amazon.com/images/I/51kkYS4+1ML._AC_UL320_.jpg")</f>
        <v>#NAME?</v>
      </c>
      <c r="I1934" t="s">
        <v>4814</v>
      </c>
      <c r="J1934">
        <v>30</v>
      </c>
      <c r="K1934" s="2" t="s">
        <v>4815</v>
      </c>
      <c r="L1934">
        <v>4.7</v>
      </c>
      <c r="M1934">
        <v>45002</v>
      </c>
      <c r="O1934" t="s">
        <v>26</v>
      </c>
      <c r="P1934" t="s">
        <v>39</v>
      </c>
      <c r="Q1934" t="s">
        <v>4816</v>
      </c>
    </row>
    <row r="1935" spans="1:17" ht="15.75" x14ac:dyDescent="0.25">
      <c r="A1935" s="3" t="str">
        <f>HYPERLINK("https://prolisok-store.com/collections/premium/products/obagi-professional-c-serum-20-vitamin-c-facial-serum-with-concentrated-20-l-ascorbic-acid-for-normal-to-oily-skin-1-0-fl-oz", "https://prolisok-store.com/collections/premium/products/obagi-professional-c-serum-20-vitamin-c-facial-serum-with-concentrated-20-l-ascorbic-acid-for-normal-to-oily-skin-1-0-fl-oz")</f>
        <v>https://prolisok-store.com/collections/premium/products/obagi-professional-c-serum-20-vitamin-c-facial-serum-with-concentrated-20-l-ascorbic-acid-for-normal-to-oily-skin-1-0-fl-oz</v>
      </c>
      <c r="B1935" s="3" t="str">
        <f>HYPERLINK("https://prolisok-store.com/products/obagi-professional-c-serum-20-vitamin-c-facial-serum-with-concentrated-20-l-ascorbic-acid-for-normal-to-oily-skin-1-0-fl-oz", "https://prolisok-store.com/products/obagi-professional-c-serum-20-vitamin-c-facial-serum-with-concentrated-20-l-ascorbic-acid-for-normal-to-oily-skin-1-0-fl-oz")</f>
        <v>https://prolisok-store.com/products/obagi-professional-c-serum-20-vitamin-c-facial-serum-with-concentrated-20-l-ascorbic-acid-for-normal-to-oily-skin-1-0-fl-oz</v>
      </c>
      <c r="C1935" t="s">
        <v>4354</v>
      </c>
      <c r="D1935" t="s">
        <v>4343</v>
      </c>
      <c r="E1935" s="3" t="str">
        <f>HYPERLINK("https://www.amazon.com/Obagi-Professional-C-Serum-Fl-Oz/dp/B00F6XZVXC/ref=sr_1_4?keywords=Obagi+Professional+C+Serum+20%25%2C+Vitamin+C+Facial+Serum+with+Concentrated+20%25+L+Ascorbic+Acid+for+Normal+to+Oily+Skin%2C+1.0+Fl+Oz&amp;qid=1695259286&amp;rdc=1&amp;sr=8-4", "https://www.amazon.com/Obagi-Professional-C-Serum-Fl-Oz/dp/B00F6XZVXC/ref=sr_1_4?keywords=Obagi+Professional+C+Serum+20%25%2C+Vitamin+C+Facial+Serum+with+Concentrated+20%25+L+Ascorbic+Acid+for+Normal+to+Oily+Skin%2C+1.0+Fl+Oz&amp;qid=1695259286&amp;rdc=1&amp;sr=8-4")</f>
        <v>https://www.amazon.com/Obagi-Professional-C-Serum-Fl-Oz/dp/B00F6XZVXC/ref=sr_1_4?keywords=Obagi+Professional+C+Serum+20%25%2C+Vitamin+C+Facial+Serum+with+Concentrated+20%25+L+Ascorbic+Acid+for+Normal+to+Oily+Skin%2C+1.0+Fl+Oz&amp;qid=1695259286&amp;rdc=1&amp;sr=8-4</v>
      </c>
      <c r="F1935" t="s">
        <v>4666</v>
      </c>
      <c r="G1935" t="e">
        <f ca="1">IMAGE("https://prolisok-store.com/cdn/shop/files/71nOSCHqa9L._SL1500_300x.jpg?v=1682416466")</f>
        <v>#NAME?</v>
      </c>
      <c r="H1935" t="e">
        <f ca="1">IMAGE("https://m.media-amazon.com/images/I/51jz8tQragS._AC_UL320_.jpg")</f>
        <v>#NAME?</v>
      </c>
      <c r="I1935" t="s">
        <v>4355</v>
      </c>
      <c r="J1935">
        <v>100</v>
      </c>
      <c r="K1935" s="2" t="s">
        <v>4817</v>
      </c>
      <c r="L1935">
        <v>4.5999999999999996</v>
      </c>
      <c r="M1935">
        <v>454</v>
      </c>
      <c r="O1935" t="s">
        <v>26</v>
      </c>
      <c r="P1935" t="s">
        <v>39</v>
      </c>
      <c r="Q1935" t="s">
        <v>4357</v>
      </c>
    </row>
    <row r="1936" spans="1:17" ht="15.75" x14ac:dyDescent="0.25">
      <c r="A1936" s="3" t="str">
        <f>HYPERLINK("https://prolisok-store.com/collections/premium/products/byredo-gypsy-water-eau-de-parfum-3-4-oz-100-ml", "https://prolisok-store.com/collections/premium/products/byredo-gypsy-water-eau-de-parfum-3-4-oz-100-ml")</f>
        <v>https://prolisok-store.com/collections/premium/products/byredo-gypsy-water-eau-de-parfum-3-4-oz-100-ml</v>
      </c>
      <c r="B1936" s="3" t="str">
        <f>HYPERLINK("https://prolisok-store.com/products/byredo-gypsy-water-eau-de-parfum-3-4-oz-100-ml", "https://prolisok-store.com/products/byredo-gypsy-water-eau-de-parfum-3-4-oz-100-ml")</f>
        <v>https://prolisok-store.com/products/byredo-gypsy-water-eau-de-parfum-3-4-oz-100-ml</v>
      </c>
      <c r="C1936" t="s">
        <v>4753</v>
      </c>
      <c r="D1936" t="s">
        <v>4818</v>
      </c>
      <c r="E1936" s="3" t="str">
        <f>HYPERLINK("https://www.amazon.com/Byredo-Gypsy-Water-Parfum-Spray/dp/B00GDKSSV4/ref=sr_1_7?keywords=byredo+gypsy+water+eau+de+parfum+3.4+oz%2F100+ml&amp;qid=1695259301&amp;sr=8-7", "https://www.amazon.com/Byredo-Gypsy-Water-Parfum-Spray/dp/B00GDKSSV4/ref=sr_1_7?keywords=byredo+gypsy+water+eau+de+parfum+3.4+oz%2F100+ml&amp;qid=1695259301&amp;sr=8-7")</f>
        <v>https://www.amazon.com/Byredo-Gypsy-Water-Parfum-Spray/dp/B00GDKSSV4/ref=sr_1_7?keywords=byredo+gypsy+water+eau+de+parfum+3.4+oz%2F100+ml&amp;qid=1695259301&amp;sr=8-7</v>
      </c>
      <c r="F1936" t="s">
        <v>4819</v>
      </c>
      <c r="G1936" t="e">
        <f ca="1">IMAGE("https://prolisok-store.com/cdn/shop/products/BYREDOGypsyWater_300x.jpg?v=1683715739")</f>
        <v>#NAME?</v>
      </c>
      <c r="H1936" t="e">
        <f ca="1">IMAGE("https://m.media-amazon.com/images/I/61benA8y9fL._AC_UL320_.jpg")</f>
        <v>#NAME?</v>
      </c>
      <c r="I1936" t="s">
        <v>4355</v>
      </c>
      <c r="J1936">
        <v>99</v>
      </c>
      <c r="K1936" s="2" t="s">
        <v>4820</v>
      </c>
      <c r="L1936">
        <v>4.0999999999999996</v>
      </c>
      <c r="M1936">
        <v>85</v>
      </c>
      <c r="O1936" t="s">
        <v>26</v>
      </c>
      <c r="P1936" t="s">
        <v>39</v>
      </c>
      <c r="Q1936" t="s">
        <v>4757</v>
      </c>
    </row>
    <row r="1937" spans="1:17" ht="15.75" x14ac:dyDescent="0.25">
      <c r="A1937" s="3" t="str">
        <f>HYPERLINK("https://prolisok-store.com/collections/premium/products/kilian-eau-de-parfum-refillable-spray-1-7-oz", "https://prolisok-store.com/collections/premium/products/kilian-eau-de-parfum-refillable-spray-1-7-oz")</f>
        <v>https://prolisok-store.com/collections/premium/products/kilian-eau-de-parfum-refillable-spray-1-7-oz</v>
      </c>
      <c r="B1937" s="3" t="str">
        <f>HYPERLINK("https://prolisok-store.com/products/kilian-eau-de-parfum-refillable-spray-1-7-oz", "https://prolisok-store.com/products/kilian-eau-de-parfum-refillable-spray-1-7-oz")</f>
        <v>https://prolisok-store.com/products/kilian-eau-de-parfum-refillable-spray-1-7-oz</v>
      </c>
      <c r="C1937" t="s">
        <v>4567</v>
      </c>
      <c r="D1937" t="s">
        <v>4821</v>
      </c>
      <c r="E1937" s="3" t="str">
        <f>HYPERLINK("https://www.amazon.com/Kilian-Liaisons-Dangereuses-Spray-Refill/dp/B004EHKI6Q/ref=sr_1_8?keywords=Kilian+Eau+De+Parfum+Refillable+Spray+1.7+oz&amp;qid=1695259299&amp;sr=8-8", "https://www.amazon.com/Kilian-Liaisons-Dangereuses-Spray-Refill/dp/B004EHKI6Q/ref=sr_1_8?keywords=Kilian+Eau+De+Parfum+Refillable+Spray+1.7+oz&amp;qid=1695259299&amp;sr=8-8")</f>
        <v>https://www.amazon.com/Kilian-Liaisons-Dangereuses-Spray-Refill/dp/B004EHKI6Q/ref=sr_1_8?keywords=Kilian+Eau+De+Parfum+Refillable+Spray+1.7+oz&amp;qid=1695259299&amp;sr=8-8</v>
      </c>
      <c r="F1937" t="s">
        <v>4822</v>
      </c>
      <c r="G1937" t="e">
        <f ca="1">IMAGE("https://prolisok-store.com/cdn/shop/files/41qHQCLW06L._SL1000_300x.jpg?v=1690803520")</f>
        <v>#NAME?</v>
      </c>
      <c r="H1937" t="e">
        <f ca="1">IMAGE("https://m.media-amazon.com/images/I/416V4QUwhNL._AC_UL320_.jpg")</f>
        <v>#NAME?</v>
      </c>
      <c r="I1937" t="s">
        <v>4570</v>
      </c>
      <c r="J1937">
        <v>193.34</v>
      </c>
      <c r="K1937" s="2" t="s">
        <v>4823</v>
      </c>
      <c r="L1937">
        <v>5</v>
      </c>
      <c r="M1937">
        <v>3</v>
      </c>
      <c r="O1937" t="s">
        <v>26</v>
      </c>
      <c r="P1937" t="s">
        <v>39</v>
      </c>
      <c r="Q1937" t="s">
        <v>4572</v>
      </c>
    </row>
    <row r="1938" spans="1:17" ht="15.75" x14ac:dyDescent="0.25">
      <c r="A1938" s="3" t="str">
        <f>HYPERLINK("https://prolisok-store.com/collections/premium/products/diptyque-figuier-candle", "https://prolisok-store.com/collections/premium/products/diptyque-figuier-candle")</f>
        <v>https://prolisok-store.com/collections/premium/products/diptyque-figuier-candle</v>
      </c>
      <c r="B1938" s="3" t="str">
        <f>HYPERLINK("https://prolisok-store.com/products/diptyque-figuier-candle", "https://prolisok-store.com/products/diptyque-figuier-candle")</f>
        <v>https://prolisok-store.com/products/diptyque-figuier-candle</v>
      </c>
      <c r="C1938" t="s">
        <v>4419</v>
      </c>
      <c r="D1938" t="s">
        <v>4824</v>
      </c>
      <c r="E1938" s="3" t="str">
        <f>HYPERLINK("https://www.amazon.com/Diptyque-11022u-Figuier-Candle-6-5-oz/dp/B0043TOF1E/ref=sr_1_1?keywords=Diptyque+Figuier+Candle&amp;qid=1695259309&amp;sr=8-1", "https://www.amazon.com/Diptyque-11022u-Figuier-Candle-6-5-oz/dp/B0043TOF1E/ref=sr_1_1?keywords=Diptyque+Figuier+Candle&amp;qid=1695259309&amp;sr=8-1")</f>
        <v>https://www.amazon.com/Diptyque-11022u-Figuier-Candle-6-5-oz/dp/B0043TOF1E/ref=sr_1_1?keywords=Diptyque+Figuier+Candle&amp;qid=1695259309&amp;sr=8-1</v>
      </c>
      <c r="F1938" t="s">
        <v>4825</v>
      </c>
      <c r="G1938" t="e">
        <f ca="1">IMAGE("https://prolisok-store.com/cdn/shop/files/61-a7DkEOyL._AC_SL1024_300x.jpg?v=1693226218")</f>
        <v>#NAME?</v>
      </c>
      <c r="H1938" t="e">
        <f ca="1">IMAGE("https://m.media-amazon.com/images/I/61-a7DkEOyL._AC_UL320_.jpg")</f>
        <v>#NAME?</v>
      </c>
      <c r="I1938" t="s">
        <v>3476</v>
      </c>
      <c r="J1938">
        <v>64.239999999999995</v>
      </c>
      <c r="K1938" s="2" t="s">
        <v>4826</v>
      </c>
      <c r="L1938">
        <v>3.9</v>
      </c>
      <c r="M1938">
        <v>40</v>
      </c>
      <c r="O1938" t="s">
        <v>26</v>
      </c>
      <c r="P1938" t="s">
        <v>39</v>
      </c>
      <c r="Q1938" t="s">
        <v>4423</v>
      </c>
    </row>
    <row r="1939" spans="1:17" ht="15.75" x14ac:dyDescent="0.25">
      <c r="A1939" s="3" t="str">
        <f>HYPERLINK("https://prolisok-store.com/collections/premium/products/ipsa-creative-concealer-ex-4-5g", "https://prolisok-store.com/collections/premium/products/ipsa-creative-concealer-ex-4-5g")</f>
        <v>https://prolisok-store.com/collections/premium/products/ipsa-creative-concealer-ex-4-5g</v>
      </c>
      <c r="B1939" s="3" t="str">
        <f>HYPERLINK("https://prolisok-store.com/products/ipsa-creative-concealer-ex-4-5g", "https://prolisok-store.com/products/ipsa-creative-concealer-ex-4-5g")</f>
        <v>https://prolisok-store.com/products/ipsa-creative-concealer-ex-4-5g</v>
      </c>
      <c r="C1939" t="s">
        <v>4684</v>
      </c>
      <c r="D1939" t="s">
        <v>4827</v>
      </c>
      <c r="E1939" s="3" t="str">
        <f>HYPERLINK("https://www.amazon.com/Ipsa-Creative-Concealer-0-15oz-SPF25/dp/B01KU1WM3Q/ref=sr_1_1?keywords=IPSA+creative+concealer+ex+4.5g&amp;qid=1695259304&amp;sr=8-1", "https://www.amazon.com/Ipsa-Creative-Concealer-0-15oz-SPF25/dp/B01KU1WM3Q/ref=sr_1_1?keywords=IPSA+creative+concealer+ex+4.5g&amp;qid=1695259304&amp;sr=8-1")</f>
        <v>https://www.amazon.com/Ipsa-Creative-Concealer-0-15oz-SPF25/dp/B01KU1WM3Q/ref=sr_1_1?keywords=IPSA+creative+concealer+ex+4.5g&amp;qid=1695259304&amp;sr=8-1</v>
      </c>
      <c r="F1939" t="s">
        <v>4828</v>
      </c>
      <c r="G1939" t="e">
        <f ca="1">IMAGE("https://prolisok-store.com/cdn/shop/files/61Taf-7_nfL._AC_SL1500_300x.jpg?v=1689078688")</f>
        <v>#NAME?</v>
      </c>
      <c r="H1939" t="e">
        <f ca="1">IMAGE("https://m.media-amazon.com/images/I/31DHw-YeyPL._AC_UL320_.jpg")</f>
        <v>#NAME?</v>
      </c>
      <c r="I1939" t="s">
        <v>3458</v>
      </c>
      <c r="J1939">
        <v>31.89</v>
      </c>
      <c r="K1939" s="2" t="s">
        <v>4829</v>
      </c>
      <c r="L1939">
        <v>4.4000000000000004</v>
      </c>
      <c r="M1939">
        <v>23</v>
      </c>
      <c r="O1939" t="s">
        <v>26</v>
      </c>
      <c r="P1939" t="s">
        <v>39</v>
      </c>
      <c r="Q1939" t="s">
        <v>4688</v>
      </c>
    </row>
    <row r="1940" spans="1:17" ht="15.75" x14ac:dyDescent="0.25">
      <c r="A1940" s="3" t="str">
        <f>HYPERLINK("https://prolisok-store.com/collections/premium/products/facial-treatment-mask-10-pc", "https://prolisok-store.com/collections/premium/products/facial-treatment-mask-10-pc")</f>
        <v>https://prolisok-store.com/collections/premium/products/facial-treatment-mask-10-pc</v>
      </c>
      <c r="B1940" s="3" t="str">
        <f>HYPERLINK("https://prolisok-store.com/products/facial-treatment-mask-10-pc", "https://prolisok-store.com/products/facial-treatment-mask-10-pc")</f>
        <v>https://prolisok-store.com/products/facial-treatment-mask-10-pc</v>
      </c>
      <c r="C1940" t="s">
        <v>4705</v>
      </c>
      <c r="D1940" t="s">
        <v>4830</v>
      </c>
      <c r="E1940" s="3" t="str">
        <f>HYPERLINK("https://www.amazon.com/SK-II-Facial-Treatment-Mask-ct/dp/B00JDVP18S/ref=sr_1_1?keywords=SK-II+Facial+Treatment+Mask%2F10+pc.&amp;qid=1695259286&amp;sr=8-1", "https://www.amazon.com/SK-II-Facial-Treatment-Mask-ct/dp/B00JDVP18S/ref=sr_1_1?keywords=SK-II+Facial+Treatment+Mask%2F10+pc.&amp;qid=1695259286&amp;sr=8-1")</f>
        <v>https://www.amazon.com/SK-II-Facial-Treatment-Mask-ct/dp/B00JDVP18S/ref=sr_1_1?keywords=SK-II+Facial+Treatment+Mask%2F10+pc.&amp;qid=1695259286&amp;sr=8-1</v>
      </c>
      <c r="F1940" t="s">
        <v>4831</v>
      </c>
      <c r="G1940" t="e">
        <f ca="1">IMAGE("https://prolisok-store.com/cdn/shop/products/41oxreg7WTL_300x.jpg?v=1673964595")</f>
        <v>#NAME?</v>
      </c>
      <c r="H1940" t="e">
        <f ca="1">IMAGE("https://m.media-amazon.com/images/I/71AZ1Z6LIVL._AC_UL320_.jpg")</f>
        <v>#NAME?</v>
      </c>
      <c r="I1940" t="s">
        <v>4346</v>
      </c>
      <c r="J1940">
        <v>79.39</v>
      </c>
      <c r="K1940" s="2" t="s">
        <v>4832</v>
      </c>
      <c r="L1940">
        <v>4</v>
      </c>
      <c r="M1940">
        <v>277</v>
      </c>
      <c r="O1940" t="s">
        <v>26</v>
      </c>
      <c r="P1940" t="s">
        <v>4709</v>
      </c>
      <c r="Q1940" t="s">
        <v>4710</v>
      </c>
    </row>
    <row r="1941" spans="1:17" ht="15.75" x14ac:dyDescent="0.25">
      <c r="A1941" s="3" t="str">
        <f>HYPERLINK("https://prolisok-store.com/collections/premium/products/elizabeth-arden-capsules-serum", "https://prolisok-store.com/collections/premium/products/elizabeth-arden-capsules-serum")</f>
        <v>https://prolisok-store.com/collections/premium/products/elizabeth-arden-capsules-serum</v>
      </c>
      <c r="B1941" s="3" t="str">
        <f>HYPERLINK("https://prolisok-store.com/products/elizabeth-arden-capsules-serum", "https://prolisok-store.com/products/elizabeth-arden-capsules-serum")</f>
        <v>https://prolisok-store.com/products/elizabeth-arden-capsules-serum</v>
      </c>
      <c r="C1941" t="s">
        <v>4670</v>
      </c>
      <c r="D1941" t="s">
        <v>4833</v>
      </c>
      <c r="E1941" s="3" t="str">
        <f>HYPERLINK("https://www.amazon.com/Elizabeth-Arden-Ceramide-Capsules-Moisturizer/dp/B07TRW8BC8/ref=sr_1_6?keywords=Elizabeth+Arden+Capsules+Serum&amp;qid=1695259297&amp;sr=8-6", "https://www.amazon.com/Elizabeth-Arden-Ceramide-Capsules-Moisturizer/dp/B07TRW8BC8/ref=sr_1_6?keywords=Elizabeth+Arden+Capsules+Serum&amp;qid=1695259297&amp;sr=8-6")</f>
        <v>https://www.amazon.com/Elizabeth-Arden-Ceramide-Capsules-Moisturizer/dp/B07TRW8BC8/ref=sr_1_6?keywords=Elizabeth+Arden+Capsules+Serum&amp;qid=1695259297&amp;sr=8-6</v>
      </c>
      <c r="F1941" t="s">
        <v>4834</v>
      </c>
      <c r="G1941" t="e">
        <f ca="1">IMAGE("https://prolisok-store.com/cdn/shop/files/71roxz2sB-L._SL1500_300x.jpg?v=1683266294")</f>
        <v>#NAME?</v>
      </c>
      <c r="H1941" t="e">
        <f ca="1">IMAGE("https://m.media-amazon.com/images/I/81Eg3w-HUBL._AC_UL320_.jpg")</f>
        <v>#NAME?</v>
      </c>
      <c r="I1941" t="s">
        <v>4355</v>
      </c>
      <c r="J1941">
        <v>95</v>
      </c>
      <c r="K1941" s="2" t="s">
        <v>4835</v>
      </c>
      <c r="L1941">
        <v>4.4000000000000004</v>
      </c>
      <c r="M1941">
        <v>1059</v>
      </c>
      <c r="O1941" t="s">
        <v>26</v>
      </c>
      <c r="P1941" t="s">
        <v>39</v>
      </c>
      <c r="Q1941" t="s">
        <v>4673</v>
      </c>
    </row>
    <row r="1942" spans="1:17" ht="15.75" x14ac:dyDescent="0.25">
      <c r="A1942" s="3" t="str">
        <f>HYPERLINK("https://prolisok-store.com/collections/premium/products/elizabeth-arden-capsules-serum", "https://prolisok-store.com/collections/premium/products/elizabeth-arden-capsules-serum")</f>
        <v>https://prolisok-store.com/collections/premium/products/elizabeth-arden-capsules-serum</v>
      </c>
      <c r="B1942" s="3" t="str">
        <f>HYPERLINK("https://prolisok-store.com/products/elizabeth-arden-capsules-serum", "https://prolisok-store.com/products/elizabeth-arden-capsules-serum")</f>
        <v>https://prolisok-store.com/products/elizabeth-arden-capsules-serum</v>
      </c>
      <c r="C1942" t="s">
        <v>4670</v>
      </c>
      <c r="D1942" t="s">
        <v>4836</v>
      </c>
      <c r="E1942" s="3" t="str">
        <f>HYPERLINK("https://www.amazon.com/Elizabeth-Arden-Retinol-Ceramide-Capsules/dp/B07FCS2HHB/ref=sr_1_2?keywords=Elizabeth+Arden+Capsules+Serum&amp;qid=1695259297&amp;sr=8-2", "https://www.amazon.com/Elizabeth-Arden-Retinol-Ceramide-Capsules/dp/B07FCS2HHB/ref=sr_1_2?keywords=Elizabeth+Arden+Capsules+Serum&amp;qid=1695259297&amp;sr=8-2")</f>
        <v>https://www.amazon.com/Elizabeth-Arden-Retinol-Ceramide-Capsules/dp/B07FCS2HHB/ref=sr_1_2?keywords=Elizabeth+Arden+Capsules+Serum&amp;qid=1695259297&amp;sr=8-2</v>
      </c>
      <c r="F1942" t="s">
        <v>4837</v>
      </c>
      <c r="G1942" t="e">
        <f ca="1">IMAGE("https://prolisok-store.com/cdn/shop/files/71roxz2sB-L._SL1500_300x.jpg?v=1683266294")</f>
        <v>#NAME?</v>
      </c>
      <c r="H1942" t="e">
        <f ca="1">IMAGE("https://m.media-amazon.com/images/I/71xChLNn9WL._AC_UL320_.jpg")</f>
        <v>#NAME?</v>
      </c>
      <c r="I1942" t="s">
        <v>4355</v>
      </c>
      <c r="J1942">
        <v>95</v>
      </c>
      <c r="K1942" s="2" t="s">
        <v>4835</v>
      </c>
      <c r="L1942">
        <v>4.5999999999999996</v>
      </c>
      <c r="M1942">
        <v>1014</v>
      </c>
      <c r="O1942" t="s">
        <v>26</v>
      </c>
      <c r="P1942" t="s">
        <v>39</v>
      </c>
      <c r="Q1942" t="s">
        <v>4673</v>
      </c>
    </row>
    <row r="1943" spans="1:17" ht="15.75" x14ac:dyDescent="0.25">
      <c r="A1943" s="3" t="str">
        <f>HYPERLINK("https://prolisok-store.com/collections/premium/products/estee-lauder-advanced-night-repair-synchronized-multi-recovery-complex-unisex-1-7-oz", "https://prolisok-store.com/collections/premium/products/estee-lauder-advanced-night-repair-synchronized-multi-recovery-complex-unisex-1-7-oz")</f>
        <v>https://prolisok-store.com/collections/premium/products/estee-lauder-advanced-night-repair-synchronized-multi-recovery-complex-unisex-1-7-oz</v>
      </c>
      <c r="B1943"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1943" t="s">
        <v>4547</v>
      </c>
      <c r="D1943" t="s">
        <v>4838</v>
      </c>
      <c r="E1943" s="3" t="str">
        <f>HYPERLINK("https://www.amazon.com/Synchronized-Multi-Recovery-Multiple-protection-Advanced/dp/B0BPHKJFWJ/ref=sr_1_6?keywords=Estee+Lauder+Advanced+Night+Repair+Synchronized+Multi-Recovery+Complex%2C+Unisex%2C+1.7+Oz&amp;qid=1695259294&amp;sr=8-6", "https://www.amazon.com/Synchronized-Multi-Recovery-Multiple-protection-Advanced/dp/B0BPHKJFWJ/ref=sr_1_6?keywords=Estee+Lauder+Advanced+Night+Repair+Synchronized+Multi-Recovery+Complex%2C+Unisex%2C+1.7+Oz&amp;qid=1695259294&amp;sr=8-6")</f>
        <v>https://www.amazon.com/Synchronized-Multi-Recovery-Multiple-protection-Advanced/dp/B0BPHKJFWJ/ref=sr_1_6?keywords=Estee+Lauder+Advanced+Night+Repair+Synchronized+Multi-Recovery+Complex%2C+Unisex%2C+1.7+Oz&amp;qid=1695259294&amp;sr=8-6</v>
      </c>
      <c r="F1943" t="s">
        <v>4839</v>
      </c>
      <c r="G1943" t="e">
        <f ca="1">IMAGE("https://prolisok-store.com/cdn/shop/files/511qVnU1eNL._SL1000_300x.jpg?v=1687507525")</f>
        <v>#NAME?</v>
      </c>
      <c r="H1943" t="e">
        <f ca="1">IMAGE("https://m.media-amazon.com/images/I/51DmsQM3kEL._AC_UL320_.jpg")</f>
        <v>#NAME?</v>
      </c>
      <c r="I1943" t="s">
        <v>3476</v>
      </c>
      <c r="J1943">
        <v>63.2</v>
      </c>
      <c r="K1943" s="2" t="s">
        <v>4840</v>
      </c>
      <c r="L1943">
        <v>5</v>
      </c>
      <c r="M1943">
        <v>1</v>
      </c>
      <c r="O1943" t="s">
        <v>26</v>
      </c>
      <c r="P1943" t="s">
        <v>39</v>
      </c>
      <c r="Q1943" t="s">
        <v>4551</v>
      </c>
    </row>
    <row r="1944" spans="1:17" ht="15.75" x14ac:dyDescent="0.25">
      <c r="A1944" s="3" t="str">
        <f>HYPERLINK("https://prolisok-store.com/collections/premium/products/atelier-cologne-oolang-infini-cologne-3-3-ounce", "https://prolisok-store.com/collections/premium/products/atelier-cologne-oolang-infini-cologne-3-3-ounce")</f>
        <v>https://prolisok-store.com/collections/premium/products/atelier-cologne-oolang-infini-cologne-3-3-ounce</v>
      </c>
      <c r="B1944" s="3" t="str">
        <f>HYPERLINK("https://prolisok-store.com/products/atelier-cologne-oolang-infini-cologne-3-3-ounce", "https://prolisok-store.com/products/atelier-cologne-oolang-infini-cologne-3-3-ounce")</f>
        <v>https://prolisok-store.com/products/atelier-cologne-oolang-infini-cologne-3-3-ounce</v>
      </c>
      <c r="C1944" t="s">
        <v>4349</v>
      </c>
      <c r="D1944" t="s">
        <v>4841</v>
      </c>
      <c r="E1944" s="3" t="str">
        <f>HYPERLINK("https://www.amazon.com/Atelier-Cologne-Orange-Sanguine-Ounce/dp/B00AUG7AKC/ref=sr_1_3?keywords=atelier+cologne+oolong+infini+cologne%2C+3.3+ounce&amp;qid=1695259290&amp;sr=8-3", "https://www.amazon.com/Atelier-Cologne-Orange-Sanguine-Ounce/dp/B00AUG7AKC/ref=sr_1_3?keywords=atelier+cologne+oolong+infini+cologne%2C+3.3+ounce&amp;qid=1695259290&amp;sr=8-3")</f>
        <v>https://www.amazon.com/Atelier-Cologne-Orange-Sanguine-Ounce/dp/B00AUG7AKC/ref=sr_1_3?keywords=atelier+cologne+oolong+infini+cologne%2C+3.3+ounce&amp;qid=1695259290&amp;sr=8-3</v>
      </c>
      <c r="F1944" t="s">
        <v>4842</v>
      </c>
      <c r="G1944" t="e">
        <f ca="1">IMAGE("https://prolisok-store.com/cdn/shop/products/AtelierCologneOolangInfini-1_300x.jpg?v=1683715757")</f>
        <v>#NAME?</v>
      </c>
      <c r="H1944" t="e">
        <f ca="1">IMAGE("https://m.media-amazon.com/images/I/612cnwFUOCL._AC_UL320_.jpg")</f>
        <v>#NAME?</v>
      </c>
      <c r="I1944" t="s">
        <v>4346</v>
      </c>
      <c r="J1944">
        <v>78.989999999999995</v>
      </c>
      <c r="K1944" s="2" t="s">
        <v>4843</v>
      </c>
      <c r="L1944">
        <v>4.4000000000000004</v>
      </c>
      <c r="M1944">
        <v>147</v>
      </c>
      <c r="O1944" t="s">
        <v>26</v>
      </c>
      <c r="P1944" t="s">
        <v>39</v>
      </c>
      <c r="Q1944" t="s">
        <v>4353</v>
      </c>
    </row>
    <row r="1945" spans="1:17" ht="15.75" x14ac:dyDescent="0.25">
      <c r="A1945" s="3" t="str">
        <f>HYPERLINK("https://prolisok-store.com/collections/premium/products/facial-treatment-mask-10-pc", "https://prolisok-store.com/collections/premium/products/facial-treatment-mask-10-pc")</f>
        <v>https://prolisok-store.com/collections/premium/products/facial-treatment-mask-10-pc</v>
      </c>
      <c r="B1945" s="3" t="str">
        <f>HYPERLINK("https://prolisok-store.com/products/facial-treatment-mask-10-pc", "https://prolisok-store.com/products/facial-treatment-mask-10-pc")</f>
        <v>https://prolisok-store.com/products/facial-treatment-mask-10-pc</v>
      </c>
      <c r="C1945" t="s">
        <v>4705</v>
      </c>
      <c r="D1945" t="s">
        <v>4844</v>
      </c>
      <c r="E1945" s="3" t="str">
        <f>HYPERLINK("https://www.amazon.com/SK-II-Facial-Treatment-Mask-ct/dp/B000ZFTAOM/ref=sr_1_2?keywords=SK-II+Facial+Treatment+Mask%2F10+pc.&amp;qid=1695259286&amp;sr=8-2", "https://www.amazon.com/SK-II-Facial-Treatment-Mask-ct/dp/B000ZFTAOM/ref=sr_1_2?keywords=SK-II+Facial+Treatment+Mask%2F10+pc.&amp;qid=1695259286&amp;sr=8-2")</f>
        <v>https://www.amazon.com/SK-II-Facial-Treatment-Mask-ct/dp/B000ZFTAOM/ref=sr_1_2?keywords=SK-II+Facial+Treatment+Mask%2F10+pc.&amp;qid=1695259286&amp;sr=8-2</v>
      </c>
      <c r="F1945" t="s">
        <v>4845</v>
      </c>
      <c r="G1945" t="e">
        <f ca="1">IMAGE("https://prolisok-store.com/cdn/shop/products/41oxreg7WTL_300x.jpg?v=1673964595")</f>
        <v>#NAME?</v>
      </c>
      <c r="H1945" t="e">
        <f ca="1">IMAGE("https://m.media-amazon.com/images/I/81txcENgVvL._AC_UL320_.jpg")</f>
        <v>#NAME?</v>
      </c>
      <c r="I1945" t="s">
        <v>4346</v>
      </c>
      <c r="J1945">
        <v>78.989999999999995</v>
      </c>
      <c r="K1945" s="2" t="s">
        <v>4843</v>
      </c>
      <c r="L1945">
        <v>4.4000000000000004</v>
      </c>
      <c r="M1945">
        <v>69</v>
      </c>
      <c r="O1945" t="s">
        <v>26</v>
      </c>
      <c r="P1945" t="s">
        <v>4709</v>
      </c>
      <c r="Q1945" t="s">
        <v>4710</v>
      </c>
    </row>
    <row r="1946" spans="1:17" ht="15.75" x14ac:dyDescent="0.25">
      <c r="A1946" s="3" t="str">
        <f>HYPERLINK("https://prolisok-store.com/collections/premium/products/narciso-rodriguez-fleur-musc-for-women-eau-de-parfum-spray-3-4-ounce", "https://prolisok-store.com/collections/premium/products/narciso-rodriguez-fleur-musc-for-women-eau-de-parfum-spray-3-4-ounce")</f>
        <v>https://prolisok-store.com/collections/premium/products/narciso-rodriguez-fleur-musc-for-women-eau-de-parfum-spray-3-4-ounce</v>
      </c>
      <c r="B1946" s="3" t="str">
        <f>HYPERLINK("https://prolisok-store.com/products/narciso-rodriguez-fleur-musc-for-women-eau-de-parfum-spray-3-4-ounce", "https://prolisok-store.com/products/narciso-rodriguez-fleur-musc-for-women-eau-de-parfum-spray-3-4-ounce")</f>
        <v>https://prolisok-store.com/products/narciso-rodriguez-fleur-musc-for-women-eau-de-parfum-spray-3-4-ounce</v>
      </c>
      <c r="C1946" t="s">
        <v>4429</v>
      </c>
      <c r="D1946" t="s">
        <v>4846</v>
      </c>
      <c r="E1946" s="3" t="str">
        <f>HYPERLINK("https://www.amazon.com/Narciso-Rodriguez-Fleur-Musc/dp/B079SWKK6T/ref=sr_1_1?keywords=Narciso+Rodriguez+Fleur+Musc+for+Women+Eau+de+Parfum+Spray%2C+3.4+Ounce&amp;qid=1695259296&amp;sr=8-1", "https://www.amazon.com/Narciso-Rodriguez-Fleur-Musc/dp/B079SWKK6T/ref=sr_1_1?keywords=Narciso+Rodriguez+Fleur+Musc+for+Women+Eau+de+Parfum+Spray%2C+3.4+Ounce&amp;qid=1695259296&amp;sr=8-1")</f>
        <v>https://www.amazon.com/Narciso-Rodriguez-Fleur-Musc/dp/B079SWKK6T/ref=sr_1_1?keywords=Narciso+Rodriguez+Fleur+Musc+for+Women+Eau+de+Parfum+Spray%2C+3.4+Ounce&amp;qid=1695259296&amp;sr=8-1</v>
      </c>
      <c r="F1946" t="s">
        <v>4847</v>
      </c>
      <c r="G1946" t="e">
        <f ca="1">IMAGE("https://prolisok-store.com/cdn/shop/files/41h0kt3e3BS_300x.jpg?v=1689760200")</f>
        <v>#NAME?</v>
      </c>
      <c r="H1946" t="e">
        <f ca="1">IMAGE("https://m.media-amazon.com/images/I/51FnS1kpnhL._AC_UL320_.jpg")</f>
        <v>#NAME?</v>
      </c>
      <c r="I1946" t="s">
        <v>4432</v>
      </c>
      <c r="J1946">
        <v>71</v>
      </c>
      <c r="K1946" s="2" t="s">
        <v>4848</v>
      </c>
      <c r="L1946">
        <v>4.4000000000000004</v>
      </c>
      <c r="M1946">
        <v>99</v>
      </c>
      <c r="O1946" t="s">
        <v>26</v>
      </c>
      <c r="P1946" t="s">
        <v>39</v>
      </c>
      <c r="Q1946" t="s">
        <v>4434</v>
      </c>
    </row>
    <row r="1947" spans="1:17" ht="15.75" x14ac:dyDescent="0.25">
      <c r="A1947" s="3" t="str">
        <f>HYPERLINK("https://prolisok-store.com/collections/premium/products/la-mer-powder-brush-2-g", "https://prolisok-store.com/collections/premium/products/la-mer-powder-brush-2-g")</f>
        <v>https://prolisok-store.com/collections/premium/products/la-mer-powder-brush-2-g</v>
      </c>
      <c r="B1947" s="3" t="str">
        <f>HYPERLINK("https://prolisok-store.com/products/la-mer-powder-brush-2-g", "https://prolisok-store.com/products/la-mer-powder-brush-2-g")</f>
        <v>https://prolisok-store.com/products/la-mer-powder-brush-2-g</v>
      </c>
      <c r="C1947" t="s">
        <v>4849</v>
      </c>
      <c r="D1947" t="s">
        <v>4850</v>
      </c>
      <c r="E1947" s="3" t="str">
        <f>HYPERLINK("https://www.amazon.com/La-Mer-The-Foundation-Brush/dp/B01MDLKUCC/ref=sr_1_1?keywords=La+Mer+Powder+Brush+-+2+g&amp;qid=1695259303&amp;sr=8-1", "https://www.amazon.com/La-Mer-The-Foundation-Brush/dp/B01MDLKUCC/ref=sr_1_1?keywords=La+Mer+Powder+Brush+-+2+g&amp;qid=1695259303&amp;sr=8-1")</f>
        <v>https://www.amazon.com/La-Mer-The-Foundation-Brush/dp/B01MDLKUCC/ref=sr_1_1?keywords=La+Mer+Powder+Brush+-+2+g&amp;qid=1695259303&amp;sr=8-1</v>
      </c>
      <c r="F1947" t="s">
        <v>4851</v>
      </c>
      <c r="G1947" t="e">
        <f ca="1">IMAGE("https://prolisok-store.com/cdn/shop/products/31237RidMRL._SL1000_300x.jpg?v=1673891915")</f>
        <v>#NAME?</v>
      </c>
      <c r="H1947" t="e">
        <f ca="1">IMAGE("https://m.media-amazon.com/images/I/61dVMgYQTKS._AC_UL320_.jpg")</f>
        <v>#NAME?</v>
      </c>
      <c r="I1947" t="s">
        <v>3476</v>
      </c>
      <c r="J1947">
        <v>62.99</v>
      </c>
      <c r="K1947" s="2" t="s">
        <v>4852</v>
      </c>
      <c r="L1947">
        <v>3.2</v>
      </c>
      <c r="M1947">
        <v>5</v>
      </c>
      <c r="O1947" t="s">
        <v>26</v>
      </c>
      <c r="P1947" t="s">
        <v>4853</v>
      </c>
      <c r="Q1947" t="s">
        <v>4854</v>
      </c>
    </row>
    <row r="1948" spans="1:17" ht="15.75" x14ac:dyDescent="0.25">
      <c r="A1948" s="3" t="str">
        <f>HYPERLINK("https://prolisok-store.com/collections/premium/products/3ce-multi-eye-color-palette-beach-muse-makeup-palette-9-color", "https://prolisok-store.com/collections/premium/products/3ce-multi-eye-color-palette-beach-muse-makeup-palette-9-color")</f>
        <v>https://prolisok-store.com/collections/premium/products/3ce-multi-eye-color-palette-beach-muse-makeup-palette-9-color</v>
      </c>
      <c r="B1948" s="3" t="str">
        <f>HYPERLINK("https://prolisok-store.com/products/3ce-multi-eye-color-palette-beach-muse-makeup-palette-9-color", "https://prolisok-store.com/products/3ce-multi-eye-color-palette-beach-muse-makeup-palette-9-color")</f>
        <v>https://prolisok-store.com/products/3ce-multi-eye-color-palette-beach-muse-makeup-palette-9-color</v>
      </c>
      <c r="C1948" t="s">
        <v>4629</v>
      </c>
      <c r="D1948" t="s">
        <v>4629</v>
      </c>
      <c r="E1948" s="3" t="str">
        <f>HYPERLINK("https://www.amazon.com/3CE-Multi-Color-Palette-Makeup/dp/B07SPS4HHG/ref=sr_1_1?keywords=3CE+Multi+Eye+Color+Palette%2CBeach+Muse%2CMakeup+Palette+9+Color&amp;qid=1695259301&amp;sr=8-1", "https://www.amazon.com/3CE-Multi-Color-Palette-Makeup/dp/B07SPS4HHG/ref=sr_1_1?keywords=3CE+Multi+Eye+Color+Palette%2CBeach+Muse%2CMakeup+Palette+9+Color&amp;qid=1695259301&amp;sr=8-1")</f>
        <v>https://www.amazon.com/3CE-Multi-Color-Palette-Makeup/dp/B07SPS4HHG/ref=sr_1_1?keywords=3CE+Multi+Eye+Color+Palette%2CBeach+Muse%2CMakeup+Palette+9+Color&amp;qid=1695259301&amp;sr=8-1</v>
      </c>
      <c r="F1948" t="s">
        <v>4855</v>
      </c>
      <c r="G1948" t="e">
        <f ca="1">IMAGE("https://prolisok-store.com/cdn/shop/files/61UqvcCJGwL._SL1001_300x.jpg?v=1682590795")</f>
        <v>#NAME?</v>
      </c>
      <c r="H1948" t="e">
        <f ca="1">IMAGE("https://m.media-amazon.com/images/I/61UqvcCJGwL._AC_UL320_.jpg")</f>
        <v>#NAME?</v>
      </c>
      <c r="I1948" t="s">
        <v>3458</v>
      </c>
      <c r="J1948">
        <v>31.3</v>
      </c>
      <c r="K1948" s="2" t="s">
        <v>4856</v>
      </c>
      <c r="L1948">
        <v>4.4000000000000004</v>
      </c>
      <c r="M1948">
        <v>51</v>
      </c>
      <c r="O1948" t="s">
        <v>26</v>
      </c>
      <c r="P1948" t="s">
        <v>39</v>
      </c>
      <c r="Q1948" t="s">
        <v>4630</v>
      </c>
    </row>
    <row r="1949" spans="1:17" ht="15.75" x14ac:dyDescent="0.25">
      <c r="A1949" s="3" t="str">
        <f>HYPERLINK("https://prolisok-store.com/collections/premium/products/by-kilian-good-girl-gone-bad-1-7-fl-oz", "https://prolisok-store.com/collections/premium/products/by-kilian-good-girl-gone-bad-1-7-fl-oz")</f>
        <v>https://prolisok-store.com/collections/premium/products/by-kilian-good-girl-gone-bad-1-7-fl-oz</v>
      </c>
      <c r="B1949" s="3" t="str">
        <f>HYPERLINK("https://prolisok-store.com/products/by-kilian-good-girl-gone-bad-1-7-fl-oz", "https://prolisok-store.com/products/by-kilian-good-girl-gone-bad-1-7-fl-oz")</f>
        <v>https://prolisok-store.com/products/by-kilian-good-girl-gone-bad-1-7-fl-oz</v>
      </c>
      <c r="C1949" t="s">
        <v>4606</v>
      </c>
      <c r="D1949" t="s">
        <v>4857</v>
      </c>
      <c r="E1949" s="3" t="str">
        <f>HYPERLINK("https://www.amazon.com/Kilian-Good-Girl-Gone-clutch/dp/B087ZMKKHJ/ref=sr_1_1?keywords=By+Kilian+-+Good+Girl+Gone+Bad+-+1.7+fl.+Oz&amp;qid=1695259301&amp;sr=8-1", "https://www.amazon.com/Kilian-Good-Girl-Gone-clutch/dp/B087ZMKKHJ/ref=sr_1_1?keywords=By+Kilian+-+Good+Girl+Gone+Bad+-+1.7+fl.+Oz&amp;qid=1695259301&amp;sr=8-1")</f>
        <v>https://www.amazon.com/Kilian-Good-Girl-Gone-clutch/dp/B087ZMKKHJ/ref=sr_1_1?keywords=By+Kilian+-+Good+Girl+Gone+Bad+-+1.7+fl.+Oz&amp;qid=1695259301&amp;sr=8-1</v>
      </c>
      <c r="F1949" t="s">
        <v>4858</v>
      </c>
      <c r="G1949" t="e">
        <f ca="1">IMAGE("https://prolisok-store.com/cdn/shop/files/41o-yGm4K6L_300x.jpg?v=1686655714")</f>
        <v>#NAME?</v>
      </c>
      <c r="H1949" t="e">
        <f ca="1">IMAGE("https://m.media-amazon.com/images/I/516oMFo2XOL._AC_UL320_.jpg")</f>
        <v>#NAME?</v>
      </c>
      <c r="I1949" t="s">
        <v>4609</v>
      </c>
      <c r="J1949">
        <v>179.99</v>
      </c>
      <c r="K1949" s="2" t="s">
        <v>4859</v>
      </c>
      <c r="L1949">
        <v>4.5</v>
      </c>
      <c r="M1949">
        <v>93</v>
      </c>
      <c r="O1949" t="s">
        <v>26</v>
      </c>
      <c r="P1949" t="s">
        <v>39</v>
      </c>
      <c r="Q1949" t="s">
        <v>4611</v>
      </c>
    </row>
    <row r="1950" spans="1:17" ht="15.75" x14ac:dyDescent="0.25">
      <c r="A1950" s="3" t="str">
        <f>HYPERLINK("https://prolisok-store.com/collections/premium/products/by-kilian-good-girl-gone-bad-1-7-fl-oz", "https://prolisok-store.com/collections/premium/products/by-kilian-good-girl-gone-bad-1-7-fl-oz")</f>
        <v>https://prolisok-store.com/collections/premium/products/by-kilian-good-girl-gone-bad-1-7-fl-oz</v>
      </c>
      <c r="B1950" s="3" t="str">
        <f>HYPERLINK("https://prolisok-store.com/products/by-kilian-good-girl-gone-bad-1-7-fl-oz", "https://prolisok-store.com/products/by-kilian-good-girl-gone-bad-1-7-fl-oz")</f>
        <v>https://prolisok-store.com/products/by-kilian-good-girl-gone-bad-1-7-fl-oz</v>
      </c>
      <c r="C1950" t="s">
        <v>4606</v>
      </c>
      <c r="D1950" t="s">
        <v>4860</v>
      </c>
      <c r="E1950" s="3" t="str">
        <f>HYPERLINK("https://www.amazon.com/Good-girl-gone-Bad-KILIAN/dp/B08L9GYY38/ref=sr_1_8?keywords=By+Kilian+-+Good+Girl+Gone+Bad+-+1.7+fl.+Oz&amp;qid=1695259301&amp;sr=8-8", "https://www.amazon.com/Good-girl-gone-Bad-KILIAN/dp/B08L9GYY38/ref=sr_1_8?keywords=By+Kilian+-+Good+Girl+Gone+Bad+-+1.7+fl.+Oz&amp;qid=1695259301&amp;sr=8-8")</f>
        <v>https://www.amazon.com/Good-girl-gone-Bad-KILIAN/dp/B08L9GYY38/ref=sr_1_8?keywords=By+Kilian+-+Good+Girl+Gone+Bad+-+1.7+fl.+Oz&amp;qid=1695259301&amp;sr=8-8</v>
      </c>
      <c r="F1950" t="s">
        <v>4861</v>
      </c>
      <c r="G1950" t="e">
        <f ca="1">IMAGE("https://prolisok-store.com/cdn/shop/files/41o-yGm4K6L_300x.jpg?v=1686655714")</f>
        <v>#NAME?</v>
      </c>
      <c r="H1950" t="e">
        <f ca="1">IMAGE("https://m.media-amazon.com/images/I/418m5Pmzb-L._AC_UL320_.jpg")</f>
        <v>#NAME?</v>
      </c>
      <c r="I1950" t="s">
        <v>4609</v>
      </c>
      <c r="J1950">
        <v>176.97</v>
      </c>
      <c r="K1950" s="2" t="s">
        <v>4862</v>
      </c>
      <c r="L1950">
        <v>4.3</v>
      </c>
      <c r="M1950">
        <v>11</v>
      </c>
      <c r="O1950" t="s">
        <v>26</v>
      </c>
      <c r="P1950" t="s">
        <v>39</v>
      </c>
      <c r="Q1950" t="s">
        <v>4611</v>
      </c>
    </row>
    <row r="1951" spans="1:17" ht="15.75" x14ac:dyDescent="0.25">
      <c r="A1951" s="3" t="str">
        <f>HYPERLINK("https://prolisok-store.com/collections/premium/products/estee-lauder-perfectionist-cp-r-wrinkle-lifting-firming-serum-50ml-1-7-ounce-all-skin-types", "https://prolisok-store.com/collections/premium/products/estee-lauder-perfectionist-cp-r-wrinkle-lifting-firming-serum-50ml-1-7-ounce-all-skin-types")</f>
        <v>https://prolisok-store.com/collections/premium/products/estee-lauder-perfectionist-cp-r-wrinkle-lifting-firming-serum-50ml-1-7-ounce-all-skin-types</v>
      </c>
      <c r="B1951" s="3" t="str">
        <f>HYPERLINK("https://prolisok-store.com/products/estee-lauder-perfectionist-cp-r-wrinkle-lifting-firming-serum-50ml-1-7-ounce-all-skin-types", "https://prolisok-store.com/products/estee-lauder-perfectionist-cp-r-wrinkle-lifting-firming-serum-50ml-1-7-ounce-all-skin-types")</f>
        <v>https://prolisok-store.com/products/estee-lauder-perfectionist-cp-r-wrinkle-lifting-firming-serum-50ml-1-7-ounce-all-skin-types</v>
      </c>
      <c r="C1951" t="s">
        <v>4863</v>
      </c>
      <c r="D1951" t="s">
        <v>4863</v>
      </c>
      <c r="E1951" s="3" t="str">
        <f>HYPERLINK("https://www.amazon.com/Estee-Lauder-Perfectionist-Wrinkle-Lifting/dp/B00BNAOW3C/ref=sr_1_1?keywords=Estee+Lauder+Perfectionist+CP%2BR+Wrinkle+Lifting%2FFirming+Serum%2C+50ml%2F1.7+Ounce+%28All+Skin+Types%29&amp;qid=1695259291&amp;sr=8-1", "https://www.amazon.com/Estee-Lauder-Perfectionist-Wrinkle-Lifting/dp/B00BNAOW3C/ref=sr_1_1?keywords=Estee+Lauder+Perfectionist+CP%2BR+Wrinkle+Lifting%2FFirming+Serum%2C+50ml%2F1.7+Ounce+%28All+Skin+Types%29&amp;qid=1695259291&amp;sr=8-1")</f>
        <v>https://www.amazon.com/Estee-Lauder-Perfectionist-Wrinkle-Lifting/dp/B00BNAOW3C/ref=sr_1_1?keywords=Estee+Lauder+Perfectionist+CP%2BR+Wrinkle+Lifting%2FFirming+Serum%2C+50ml%2F1.7+Ounce+%28All+Skin+Types%29&amp;qid=1695259291&amp;sr=8-1</v>
      </c>
      <c r="F1951" t="s">
        <v>4864</v>
      </c>
      <c r="G1951" t="e">
        <f ca="1">IMAGE("https://prolisok-store.com/cdn/shop/products/51PL7znhunL._SL1081_300x.jpg?v=1681308260")</f>
        <v>#NAME?</v>
      </c>
      <c r="H1951" t="e">
        <f ca="1">IMAGE("https://m.media-amazon.com/images/I/51PL7znhunL._AC_UL320_.jpg")</f>
        <v>#NAME?</v>
      </c>
      <c r="I1951" t="s">
        <v>4346</v>
      </c>
      <c r="J1951">
        <v>76.38</v>
      </c>
      <c r="K1951" s="2" t="s">
        <v>4865</v>
      </c>
      <c r="L1951">
        <v>4.5</v>
      </c>
      <c r="M1951">
        <v>641</v>
      </c>
      <c r="O1951" t="s">
        <v>26</v>
      </c>
      <c r="P1951" t="s">
        <v>4866</v>
      </c>
      <c r="Q1951" t="s">
        <v>4867</v>
      </c>
    </row>
    <row r="1952" spans="1:17" ht="15.75" x14ac:dyDescent="0.25">
      <c r="A1952" s="3" t="str">
        <f>HYPERLINK("https://prolisok-store.com/collections/premium/products/make-up-for-ever-ultra-hd-microfinishing-pressed-powder-translucent", "https://prolisok-store.com/collections/premium/products/make-up-for-ever-ultra-hd-microfinishing-pressed-powder-translucent")</f>
        <v>https://prolisok-store.com/collections/premium/products/make-up-for-ever-ultra-hd-microfinishing-pressed-powder-translucent</v>
      </c>
      <c r="B1952" s="3" t="str">
        <f>HYPERLINK("https://prolisok-store.com/products/make-up-for-ever-ultra-hd-microfinishing-pressed-powder-translucent", "https://prolisok-store.com/products/make-up-for-ever-ultra-hd-microfinishing-pressed-powder-translucent")</f>
        <v>https://prolisok-store.com/products/make-up-for-ever-ultra-hd-microfinishing-pressed-powder-translucent</v>
      </c>
      <c r="C1952" t="s">
        <v>4595</v>
      </c>
      <c r="D1952" t="s">
        <v>4595</v>
      </c>
      <c r="E1952" s="3" t="str">
        <f>HYPERLINK("https://www.amazon.com/MAKE-Ultra-Microfinishing-Pressed-Powder/dp/B0716F3DHR/ref=sr_1_1?keywords=MAKE+UP+FOR+EVER+Ultra+HD+Microfinishing+Pressed+Powder+Translucent&amp;qid=1695259297&amp;sr=8-1", "https://www.amazon.com/MAKE-Ultra-Microfinishing-Pressed-Powder/dp/B0716F3DHR/ref=sr_1_1?keywords=MAKE+UP+FOR+EVER+Ultra+HD+Microfinishing+Pressed+Powder+Translucent&amp;qid=1695259297&amp;sr=8-1")</f>
        <v>https://www.amazon.com/MAKE-Ultra-Microfinishing-Pressed-Powder/dp/B0716F3DHR/ref=sr_1_1?keywords=MAKE+UP+FOR+EVER+Ultra+HD+Microfinishing+Pressed+Powder+Translucent&amp;qid=1695259297&amp;sr=8-1</v>
      </c>
      <c r="F1952" t="s">
        <v>4868</v>
      </c>
      <c r="G1952" t="e">
        <f ca="1">IMAGE("https://prolisok-store.com/cdn/shop/files/611llduh92L._SL1500_300x.jpg?v=1693220499")</f>
        <v>#NAME?</v>
      </c>
      <c r="H1952" t="e">
        <f ca="1">IMAGE("https://m.media-amazon.com/images/I/611llduh92L._AC_UL320_.jpg")</f>
        <v>#NAME?</v>
      </c>
      <c r="I1952" t="s">
        <v>3419</v>
      </c>
      <c r="J1952">
        <v>22.5</v>
      </c>
      <c r="K1952" s="2" t="s">
        <v>4869</v>
      </c>
      <c r="L1952">
        <v>3.8</v>
      </c>
      <c r="M1952">
        <v>199</v>
      </c>
      <c r="O1952" t="s">
        <v>26</v>
      </c>
      <c r="P1952" t="s">
        <v>39</v>
      </c>
      <c r="Q1952" t="s">
        <v>4599</v>
      </c>
    </row>
    <row r="1953" spans="1:17" ht="15.75" x14ac:dyDescent="0.25">
      <c r="A1953" s="3" t="str">
        <f>HYPERLINK("https://prolisok-store.com/collections/premium/products/doterra-correct-x-essential-ointment", "https://prolisok-store.com/collections/premium/products/doterra-correct-x-essential-ointment")</f>
        <v>https://prolisok-store.com/collections/premium/products/doterra-correct-x-essential-ointment</v>
      </c>
      <c r="B1953" s="3" t="str">
        <f>HYPERLINK("https://prolisok-store.com/products/doterra-correct-x-essential-ointment", "https://prolisok-store.com/products/doterra-correct-x-essential-ointment")</f>
        <v>https://prolisok-store.com/products/doterra-correct-x-essential-ointment</v>
      </c>
      <c r="C1953" t="s">
        <v>4870</v>
      </c>
      <c r="D1953" t="s">
        <v>4871</v>
      </c>
      <c r="E1953" s="3" t="str">
        <f>HYPERLINK("https://www.amazon.com/doTERRA-Correct-X-Essential-Ointment-15/dp/B00O2E4J7A/ref=sr_1_1?keywords=doTERRA+Correct-X+Essential+Ointment&amp;qid=1695259305&amp;sr=8-1", "https://www.amazon.com/doTERRA-Correct-X-Essential-Ointment-15/dp/B00O2E4J7A/ref=sr_1_1?keywords=doTERRA+Correct-X+Essential+Ointment&amp;qid=1695259305&amp;sr=8-1")</f>
        <v>https://www.amazon.com/doTERRA-Correct-X-Essential-Ointment-15/dp/B00O2E4J7A/ref=sr_1_1?keywords=doTERRA+Correct-X+Essential+Ointment&amp;qid=1695259305&amp;sr=8-1</v>
      </c>
      <c r="F1953" t="s">
        <v>4872</v>
      </c>
      <c r="G1953" t="e">
        <f ca="1">IMAGE("https://prolisok-store.com/cdn/shop/files/715OpTqz2HL._AC_SL1500_300x.jpg?v=1693059159")</f>
        <v>#NAME?</v>
      </c>
      <c r="H1953" t="e">
        <f ca="1">IMAGE("https://m.media-amazon.com/images/I/715OpTqz2HL._AC_UL320_.jpg")</f>
        <v>#NAME?</v>
      </c>
      <c r="I1953" t="s">
        <v>4873</v>
      </c>
      <c r="J1953">
        <v>14.99</v>
      </c>
      <c r="K1953" s="2" t="s">
        <v>4874</v>
      </c>
      <c r="L1953">
        <v>4.8</v>
      </c>
      <c r="M1953">
        <v>1282</v>
      </c>
      <c r="O1953" t="s">
        <v>26</v>
      </c>
      <c r="P1953" t="s">
        <v>39</v>
      </c>
      <c r="Q1953" t="s">
        <v>4875</v>
      </c>
    </row>
    <row r="1954" spans="1:17" ht="15.75" x14ac:dyDescent="0.25">
      <c r="A1954" s="3" t="str">
        <f>HYPERLINK("https://prolisok-store.com/collections/premium/products/diptyque-lombre-dans-leau-eau-de-toilette-spray-for-women-100ml-3-4-fl-oz", "https://prolisok-store.com/collections/premium/products/diptyque-lombre-dans-leau-eau-de-toilette-spray-for-women-100ml-3-4-fl-oz")</f>
        <v>https://prolisok-store.com/collections/premium/products/diptyque-lombre-dans-leau-eau-de-toilette-spray-for-women-100ml-3-4-fl-oz</v>
      </c>
      <c r="B1954" s="3" t="str">
        <f>HYPERLINK("https://prolisok-store.com/products/diptyque-lombre-dans-leau-eau-de-toilette-spray-for-women-100ml-3-4-fl-oz", "https://prolisok-store.com/products/diptyque-lombre-dans-leau-eau-de-toilette-spray-for-women-100ml-3-4-fl-oz")</f>
        <v>https://prolisok-store.com/products/diptyque-lombre-dans-leau-eau-de-toilette-spray-for-women-100ml-3-4-fl-oz</v>
      </c>
      <c r="C1954" t="s">
        <v>4509</v>
      </c>
      <c r="D1954" t="s">
        <v>4876</v>
      </c>
      <c r="E1954" s="3" t="str">
        <f>HYPERLINK("https://www.amazon.com/LOmbre-Dans-LEau-WOMEN-Diptyque/dp/B01MAWN8L1/ref=sr_1_4?keywords=Diptyque+L%27ombre+Dans+L%27eau+Eau+De+Toilette+Spray+For+Women+100Ml+3.4+Fl+Oz&amp;qid=1695259303&amp;sr=8-4", "https://www.amazon.com/LOmbre-Dans-LEau-WOMEN-Diptyque/dp/B01MAWN8L1/ref=sr_1_4?keywords=Diptyque+L%27ombre+Dans+L%27eau+Eau+De+Toilette+Spray+For+Women+100Ml+3.4+Fl+Oz&amp;qid=1695259303&amp;sr=8-4")</f>
        <v>https://www.amazon.com/LOmbre-Dans-LEau-WOMEN-Diptyque/dp/B01MAWN8L1/ref=sr_1_4?keywords=Diptyque+L%27ombre+Dans+L%27eau+Eau+De+Toilette+Spray+For+Women+100Ml+3.4+Fl+Oz&amp;qid=1695259303&amp;sr=8-4</v>
      </c>
      <c r="F1954" t="s">
        <v>4877</v>
      </c>
      <c r="G1954" t="e">
        <f ca="1">IMAGE("https://prolisok-store.com/cdn/shop/products/DiptyqueL_ombreDansL_eau_300x.jpg?v=1683715765")</f>
        <v>#NAME?</v>
      </c>
      <c r="H1954" t="e">
        <f ca="1">IMAGE("https://m.media-amazon.com/images/I/410xZrw8pEL._AC_UL320_.jpg")</f>
        <v>#NAME?</v>
      </c>
      <c r="I1954" t="s">
        <v>4355</v>
      </c>
      <c r="J1954">
        <v>90</v>
      </c>
      <c r="K1954" s="2" t="s">
        <v>4878</v>
      </c>
      <c r="L1954">
        <v>5</v>
      </c>
      <c r="M1954">
        <v>1</v>
      </c>
      <c r="O1954" t="s">
        <v>26</v>
      </c>
      <c r="P1954" t="s">
        <v>2988</v>
      </c>
      <c r="Q1954" t="s">
        <v>4513</v>
      </c>
    </row>
    <row r="1955" spans="1:17" ht="15.75" x14ac:dyDescent="0.25">
      <c r="A1955" s="3" t="str">
        <f>HYPERLINK("https://prolisok-store.com/collections/premium/products/sisley-neck-cream-the-enriched-formula-women-1-6-ounce", "https://prolisok-store.com/collections/premium/products/sisley-neck-cream-the-enriched-formula-women-1-6-ounce")</f>
        <v>https://prolisok-store.com/collections/premium/products/sisley-neck-cream-the-enriched-formula-women-1-6-ounce</v>
      </c>
      <c r="B1955" s="3" t="str">
        <f>HYPERLINK("https://prolisok-store.com/products/sisley-neck-cream-the-enriched-formula-women-1-6-ounce", "https://prolisok-store.com/products/sisley-neck-cream-the-enriched-formula-women-1-6-ounce")</f>
        <v>https://prolisok-store.com/products/sisley-neck-cream-the-enriched-formula-women-1-6-ounce</v>
      </c>
      <c r="C1955" t="s">
        <v>4879</v>
      </c>
      <c r="D1955" t="s">
        <v>4880</v>
      </c>
      <c r="E1955" s="3" t="str">
        <f>HYPERLINK("https://www.amazon.com/Sisley-Cream-Enriched-Formula-Women/dp/B01JG5T2A8/ref=sr_1_1?keywords=SISLEY+Neck+Cream+The+Enriched+Formula+Women%2C+1.6+Ounce&amp;qid=1695259309&amp;sr=8-1", "https://www.amazon.com/Sisley-Cream-Enriched-Formula-Women/dp/B01JG5T2A8/ref=sr_1_1?keywords=SISLEY+Neck+Cream+The+Enriched+Formula+Women%2C+1.6+Ounce&amp;qid=1695259309&amp;sr=8-1")</f>
        <v>https://www.amazon.com/Sisley-Cream-Enriched-Formula-Women/dp/B01JG5T2A8/ref=sr_1_1?keywords=SISLEY+Neck+Cream+The+Enriched+Formula+Women%2C+1.6+Ounce&amp;qid=1695259309&amp;sr=8-1</v>
      </c>
      <c r="F1955" t="s">
        <v>4881</v>
      </c>
      <c r="G1955" t="e">
        <f ca="1">IMAGE("https://prolisok-store.com/cdn/shop/files/61sQYmzQtwL._SL1500_300x.jpg?v=1693380649")</f>
        <v>#NAME?</v>
      </c>
      <c r="H1955" t="e">
        <f ca="1">IMAGE("https://m.media-amazon.com/images/I/61sQYmzQtwL._AC_UL320_.jpg")</f>
        <v>#NAME?</v>
      </c>
      <c r="I1955" t="s">
        <v>4506</v>
      </c>
      <c r="J1955">
        <v>105</v>
      </c>
      <c r="K1955" s="2" t="s">
        <v>4882</v>
      </c>
      <c r="L1955">
        <v>4.4000000000000004</v>
      </c>
      <c r="M1955">
        <v>266</v>
      </c>
      <c r="O1955" t="s">
        <v>26</v>
      </c>
      <c r="P1955" t="s">
        <v>39</v>
      </c>
      <c r="Q1955" t="s">
        <v>4883</v>
      </c>
    </row>
    <row r="1956" spans="1:17" ht="15.75" x14ac:dyDescent="0.25">
      <c r="A1956" s="3" t="str">
        <f>HYPERLINK("https://prolisok-store.com/collections/premium/products/byredo-rose-of-no-mans-land-eau-de-parfum-spray-3-3-ounce", "https://prolisok-store.com/collections/premium/products/byredo-rose-of-no-mans-land-eau-de-parfum-spray-3-3-ounce")</f>
        <v>https://prolisok-store.com/collections/premium/products/byredo-rose-of-no-mans-land-eau-de-parfum-spray-3-3-ounce</v>
      </c>
      <c r="B1956" s="3" t="str">
        <f>HYPERLINK("https://prolisok-store.com/products/byredo-rose-of-no-mans-land-eau-de-parfum-spray-3-3-ounce", "https://prolisok-store.com/products/byredo-rose-of-no-mans-land-eau-de-parfum-spray-3-3-ounce")</f>
        <v>https://prolisok-store.com/products/byredo-rose-of-no-mans-land-eau-de-parfum-spray-3-3-ounce</v>
      </c>
      <c r="C1956" t="s">
        <v>4526</v>
      </c>
      <c r="D1956" t="s">
        <v>4884</v>
      </c>
      <c r="E1956" s="3" t="str">
        <f>HYPERLINK("https://www.amazon.com/Byredo-Rose-Mans-Parfum-100ml/dp/B01N4LGOV1/ref=sr_1_2?keywords=Byredo+Rose+of+No+Man%27s+Land+Eau+De+Parfum+Spray%2C+3.3+Ounce&amp;qid=1695259292&amp;sr=8-2", "https://www.amazon.com/Byredo-Rose-Mans-Parfum-100ml/dp/B01N4LGOV1/ref=sr_1_2?keywords=Byredo+Rose+of+No+Man%27s+Land+Eau+De+Parfum+Spray%2C+3.3+Ounce&amp;qid=1695259292&amp;sr=8-2")</f>
        <v>https://www.amazon.com/Byredo-Rose-Mans-Parfum-100ml/dp/B01N4LGOV1/ref=sr_1_2?keywords=Byredo+Rose+of+No+Man%27s+Land+Eau+De+Parfum+Spray%2C+3.3+Ounce&amp;qid=1695259292&amp;sr=8-2</v>
      </c>
      <c r="F1956" t="s">
        <v>4885</v>
      </c>
      <c r="G1956" t="e">
        <f ca="1">IMAGE("https://prolisok-store.com/cdn/shop/files/ByredoRoseofNoMan_sLand4_300x.jpg?v=1687511871")</f>
        <v>#NAME?</v>
      </c>
      <c r="H1956" t="e">
        <f ca="1">IMAGE("https://m.media-amazon.com/images/I/412Q247GRdL._AC_UL320_.jpg")</f>
        <v>#NAME?</v>
      </c>
      <c r="I1956" t="s">
        <v>4355</v>
      </c>
      <c r="J1956">
        <v>89.95</v>
      </c>
      <c r="K1956" s="2" t="s">
        <v>4886</v>
      </c>
      <c r="L1956">
        <v>5</v>
      </c>
      <c r="M1956">
        <v>3</v>
      </c>
      <c r="O1956" t="s">
        <v>26</v>
      </c>
      <c r="P1956" t="s">
        <v>39</v>
      </c>
      <c r="Q1956" t="s">
        <v>4529</v>
      </c>
    </row>
    <row r="1957" spans="1:17" ht="15.75" x14ac:dyDescent="0.25">
      <c r="A1957" s="3" t="str">
        <f>HYPERLINK("https://prolisok-store.com/collections/premium/products/la-mer-the-moisturizing-soft-lotion", "https://prolisok-store.com/collections/premium/products/la-mer-the-moisturizing-soft-lotion")</f>
        <v>https://prolisok-store.com/collections/premium/products/la-mer-the-moisturizing-soft-lotion</v>
      </c>
      <c r="B1957" s="3" t="str">
        <f>HYPERLINK("https://prolisok-store.com/products/la-mer-the-moisturizing-soft-lotion", "https://prolisok-store.com/products/la-mer-the-moisturizing-soft-lotion")</f>
        <v>https://prolisok-store.com/products/la-mer-the-moisturizing-soft-lotion</v>
      </c>
      <c r="C1957" t="s">
        <v>4503</v>
      </c>
      <c r="D1957" t="s">
        <v>4887</v>
      </c>
      <c r="E1957" s="3" t="str">
        <f>HYPERLINK("https://www.amazon.com/Mer-Moisturizing-Soft-Cream-30ml/dp/B009NSTQMS/ref=sr_1_6?keywords=La+Mer+The+Moisturizing+Soft+Lotion&amp;qid=1695259290&amp;sr=8-6", "https://www.amazon.com/Mer-Moisturizing-Soft-Cream-30ml/dp/B009NSTQMS/ref=sr_1_6?keywords=La+Mer+The+Moisturizing+Soft+Lotion&amp;qid=1695259290&amp;sr=8-6")</f>
        <v>https://www.amazon.com/Mer-Moisturizing-Soft-Cream-30ml/dp/B009NSTQMS/ref=sr_1_6?keywords=La+Mer+The+Moisturizing+Soft+Lotion&amp;qid=1695259290&amp;sr=8-6</v>
      </c>
      <c r="F1957" t="s">
        <v>4888</v>
      </c>
      <c r="G1957" t="e">
        <f ca="1">IMAGE("https://prolisok-store.com/cdn/shop/products/61uLYCnMy9L._SL1500_300x.jpg?v=1667997816")</f>
        <v>#NAME?</v>
      </c>
      <c r="H1957" t="e">
        <f ca="1">IMAGE("https://m.media-amazon.com/images/I/71Xv6k3cNQL._AC_UL320_.jpg")</f>
        <v>#NAME?</v>
      </c>
      <c r="I1957" t="s">
        <v>4506</v>
      </c>
      <c r="J1957">
        <v>101.99</v>
      </c>
      <c r="K1957" s="2" t="s">
        <v>4889</v>
      </c>
      <c r="L1957">
        <v>4</v>
      </c>
      <c r="M1957">
        <v>236</v>
      </c>
      <c r="O1957" t="s">
        <v>26</v>
      </c>
      <c r="P1957" t="s">
        <v>39</v>
      </c>
      <c r="Q1957" t="s">
        <v>4508</v>
      </c>
    </row>
    <row r="1958" spans="1:17" ht="15.75" x14ac:dyDescent="0.25">
      <c r="A1958" s="3" t="str">
        <f>HYPERLINK("https://prolisok-store.com/collections/premium/products/la-mer-the-cleansing-foam-oz-4-2-ounce", "https://prolisok-store.com/collections/premium/products/la-mer-the-cleansing-foam-oz-4-2-ounce")</f>
        <v>https://prolisok-store.com/collections/premium/products/la-mer-the-cleansing-foam-oz-4-2-ounce</v>
      </c>
      <c r="B1958" s="3" t="str">
        <f>HYPERLINK("https://prolisok-store.com/products/la-mer-the-cleansing-foam-oz-4-2-ounce", "https://prolisok-store.com/products/la-mer-the-cleansing-foam-oz-4-2-ounce")</f>
        <v>https://prolisok-store.com/products/la-mer-the-cleansing-foam-oz-4-2-ounce</v>
      </c>
      <c r="C1958" t="s">
        <v>4620</v>
      </c>
      <c r="D1958" t="s">
        <v>4620</v>
      </c>
      <c r="E1958" s="3" t="str">
        <f>HYPERLINK("https://www.amazon.com/La-Mer-The-Cleansing-Foam/dp/B00E5PWWHK/ref=sr_1_1?keywords=La+Mer+The+Cleansing+Foam%2C+Oz+4.2+Ounce&amp;qid=1695259308&amp;sr=8-1", "https://www.amazon.com/La-Mer-The-Cleansing-Foam/dp/B00E5PWWHK/ref=sr_1_1?keywords=La+Mer+The+Cleansing+Foam%2C+Oz+4.2+Ounce&amp;qid=1695259308&amp;sr=8-1")</f>
        <v>https://www.amazon.com/La-Mer-The-Cleansing-Foam/dp/B00E5PWWHK/ref=sr_1_1?keywords=La+Mer+The+Cleansing+Foam%2C+Oz+4.2+Ounce&amp;qid=1695259308&amp;sr=8-1</v>
      </c>
      <c r="F1958" t="s">
        <v>4890</v>
      </c>
      <c r="G1958" t="e">
        <f ca="1">IMAGE("https://prolisok-store.com/cdn/shop/products/61jRwk3Ar7L._SL1500_300x.jpg?v=1673868613")</f>
        <v>#NAME?</v>
      </c>
      <c r="H1958" t="e">
        <f ca="1">IMAGE("https://m.media-amazon.com/images/I/61jRwk3Ar7L._AC_UL320_.jpg")</f>
        <v>#NAME?</v>
      </c>
      <c r="I1958" t="s">
        <v>3587</v>
      </c>
      <c r="J1958">
        <v>69.8</v>
      </c>
      <c r="K1958" s="2" t="s">
        <v>4891</v>
      </c>
      <c r="L1958">
        <v>4.0999999999999996</v>
      </c>
      <c r="M1958">
        <v>185</v>
      </c>
      <c r="O1958" t="s">
        <v>26</v>
      </c>
      <c r="P1958" t="s">
        <v>39</v>
      </c>
      <c r="Q1958" t="s">
        <v>4624</v>
      </c>
    </row>
    <row r="1959" spans="1:17" ht="15.75" x14ac:dyDescent="0.25">
      <c r="A1959" s="3" t="str">
        <f>HYPERLINK("https://prolisok-store.com/collections/premium/products/loewe-001-man-3-4-oz-eau-de-parfum-spray", "https://prolisok-store.com/collections/premium/products/loewe-001-man-3-4-oz-eau-de-parfum-spray")</f>
        <v>https://prolisok-store.com/collections/premium/products/loewe-001-man-3-4-oz-eau-de-parfum-spray</v>
      </c>
      <c r="B1959" s="3" t="str">
        <f>HYPERLINK("https://prolisok-store.com/products/loewe-001-man-3-4-oz-eau-de-parfum-spray", "https://prolisok-store.com/products/loewe-001-man-3-4-oz-eau-de-parfum-spray")</f>
        <v>https://prolisok-store.com/products/loewe-001-man-3-4-oz-eau-de-parfum-spray</v>
      </c>
      <c r="C1959" t="s">
        <v>4554</v>
      </c>
      <c r="D1959" t="s">
        <v>4892</v>
      </c>
      <c r="E1959" s="3" t="str">
        <f>HYPERLINK("https://www.amazon.com/Loewe-001-Perfume-Spray-100Ml/dp/B01LZNWGAA/ref=sr_1_1?keywords=loewe+001+man+3.4+oz+eau+de+parfum+spray&amp;qid=1695259287&amp;sr=8-1", "https://www.amazon.com/Loewe-001-Perfume-Spray-100Ml/dp/B01LZNWGAA/ref=sr_1_1?keywords=loewe+001+man+3.4+oz+eau+de+parfum+spray&amp;qid=1695259287&amp;sr=8-1")</f>
        <v>https://www.amazon.com/Loewe-001-Perfume-Spray-100Ml/dp/B01LZNWGAA/ref=sr_1_1?keywords=loewe+001+man+3.4+oz+eau+de+parfum+spray&amp;qid=1695259287&amp;sr=8-1</v>
      </c>
      <c r="F1959" t="s">
        <v>4893</v>
      </c>
      <c r="G1959" t="e">
        <f ca="1">IMAGE("https://prolisok-store.com/cdn/shop/products/Loewe001Man3.4oz_300x.jpg?v=1683715745")</f>
        <v>#NAME?</v>
      </c>
      <c r="H1959" t="e">
        <f ca="1">IMAGE("https://m.media-amazon.com/images/I/51L-8H0Q-aL._AC_UL320_.jpg")</f>
        <v>#NAME?</v>
      </c>
      <c r="I1959" t="s">
        <v>3476</v>
      </c>
      <c r="J1959">
        <v>58</v>
      </c>
      <c r="K1959" s="2" t="s">
        <v>4894</v>
      </c>
      <c r="L1959">
        <v>4.4000000000000004</v>
      </c>
      <c r="M1959">
        <v>100</v>
      </c>
      <c r="O1959" t="s">
        <v>26</v>
      </c>
      <c r="P1959" t="s">
        <v>2994</v>
      </c>
      <c r="Q1959" t="s">
        <v>4558</v>
      </c>
    </row>
    <row r="1960" spans="1:17" ht="15.75" x14ac:dyDescent="0.25">
      <c r="A1960" s="3" t="str">
        <f>HYPERLINK("https://prolisok-store.com/collections/premium/products/3ce-multi-eye-color-palette-beach-muse-makeup-palette-9-color", "https://prolisok-store.com/collections/premium/products/3ce-multi-eye-color-palette-beach-muse-makeup-palette-9-color")</f>
        <v>https://prolisok-store.com/collections/premium/products/3ce-multi-eye-color-palette-beach-muse-makeup-palette-9-color</v>
      </c>
      <c r="B1960" s="3" t="str">
        <f>HYPERLINK("https://prolisok-store.com/products/3ce-multi-eye-color-palette-beach-muse-makeup-palette-9-color", "https://prolisok-store.com/products/3ce-multi-eye-color-palette-beach-muse-makeup-palette-9-color")</f>
        <v>https://prolisok-store.com/products/3ce-multi-eye-color-palette-beach-muse-makeup-palette-9-color</v>
      </c>
      <c r="C1960" t="s">
        <v>4629</v>
      </c>
      <c r="D1960" t="s">
        <v>4895</v>
      </c>
      <c r="E1960" s="3" t="str">
        <f>HYPERLINK("https://www.amazon.com/Recipe-Multi-Palette-OVERTAKE-Eyeshadows/dp/B078C7QSRY/ref=sr_1_3?keywords=3CE+Multi+Eye+Color+Palette%2CBeach+Muse%2CMakeup+Palette+9+Color&amp;qid=1695259301&amp;sr=8-3", "https://www.amazon.com/Recipe-Multi-Palette-OVERTAKE-Eyeshadows/dp/B078C7QSRY/ref=sr_1_3?keywords=3CE+Multi+Eye+Color+Palette%2CBeach+Muse%2CMakeup+Palette+9+Color&amp;qid=1695259301&amp;sr=8-3")</f>
        <v>https://www.amazon.com/Recipe-Multi-Palette-OVERTAKE-Eyeshadows/dp/B078C7QSRY/ref=sr_1_3?keywords=3CE+Multi+Eye+Color+Palette%2CBeach+Muse%2CMakeup+Palette+9+Color&amp;qid=1695259301&amp;sr=8-3</v>
      </c>
      <c r="F1960" t="s">
        <v>4896</v>
      </c>
      <c r="G1960" t="e">
        <f ca="1">IMAGE("https://prolisok-store.com/cdn/shop/files/61UqvcCJGwL._SL1001_300x.jpg?v=1682590795")</f>
        <v>#NAME?</v>
      </c>
      <c r="H1960" t="e">
        <f ca="1">IMAGE("https://m.media-amazon.com/images/I/51bdtrlMRtL._AC_UL320_.jpg")</f>
        <v>#NAME?</v>
      </c>
      <c r="I1960" t="s">
        <v>3458</v>
      </c>
      <c r="J1960">
        <v>28.99</v>
      </c>
      <c r="K1960" s="2" t="s">
        <v>4897</v>
      </c>
      <c r="L1960">
        <v>4.4000000000000004</v>
      </c>
      <c r="M1960">
        <v>191</v>
      </c>
      <c r="O1960" t="s">
        <v>26</v>
      </c>
      <c r="P1960" t="s">
        <v>39</v>
      </c>
      <c r="Q1960" t="s">
        <v>4630</v>
      </c>
    </row>
    <row r="1961" spans="1:17" ht="15.75" x14ac:dyDescent="0.25">
      <c r="A1961" s="3" t="str">
        <f>HYPERLINK("https://prolisok-store.com/collections/premium/products/3ce-mood-recipe-multi-eye-color-palette-plot-twist-9-tone-on-tone-eyeshadows", "https://prolisok-store.com/collections/premium/products/3ce-mood-recipe-multi-eye-color-palette-plot-twist-9-tone-on-tone-eyeshadows")</f>
        <v>https://prolisok-store.com/collections/premium/products/3ce-mood-recipe-multi-eye-color-palette-plot-twist-9-tone-on-tone-eyeshadows</v>
      </c>
      <c r="B1961" s="3" t="str">
        <f>HYPERLINK("https://prolisok-store.com/products/3ce-mood-recipe-multi-eye-color-palette-plot-twist-9-tone-on-tone-eyeshadows", "https://prolisok-store.com/products/3ce-mood-recipe-multi-eye-color-palette-plot-twist-9-tone-on-tone-eyeshadows")</f>
        <v>https://prolisok-store.com/products/3ce-mood-recipe-multi-eye-color-palette-plot-twist-9-tone-on-tone-eyeshadows</v>
      </c>
      <c r="C1961" t="s">
        <v>4625</v>
      </c>
      <c r="D1961" t="s">
        <v>4895</v>
      </c>
      <c r="E1961" s="3" t="str">
        <f>HYPERLINK("https://www.amazon.com/Recipe-Multi-Palette-OVERTAKE-Eyeshadows/dp/B078C7QSRY/ref=sr_1_2?keywords=3CE+Mood+Recipe+Multi+Eye+Color+Palette+%23PLOT+TWIST+9+Tone+on+tone+Eyeshadows&amp;qid=1695259308&amp;sr=8-2", "https://www.amazon.com/Recipe-Multi-Palette-OVERTAKE-Eyeshadows/dp/B078C7QSRY/ref=sr_1_2?keywords=3CE+Mood+Recipe+Multi+Eye+Color+Palette+%23PLOT+TWIST+9+Tone+on+tone+Eyeshadows&amp;qid=1695259308&amp;sr=8-2")</f>
        <v>https://www.amazon.com/Recipe-Multi-Palette-OVERTAKE-Eyeshadows/dp/B078C7QSRY/ref=sr_1_2?keywords=3CE+Mood+Recipe+Multi+Eye+Color+Palette+%23PLOT+TWIST+9+Tone+on+tone+Eyeshadows&amp;qid=1695259308&amp;sr=8-2</v>
      </c>
      <c r="F1961" t="s">
        <v>4896</v>
      </c>
      <c r="G1961" t="e">
        <f ca="1">IMAGE("https://prolisok-store.com/cdn/shop/files/41MZkdbeE1L_300x.jpg?v=1693220923")</f>
        <v>#NAME?</v>
      </c>
      <c r="H1961" t="e">
        <f ca="1">IMAGE("https://m.media-amazon.com/images/I/51bdtrlMRtL._AC_UL320_.jpg")</f>
        <v>#NAME?</v>
      </c>
      <c r="I1961" t="s">
        <v>3458</v>
      </c>
      <c r="J1961">
        <v>28.99</v>
      </c>
      <c r="K1961" s="2" t="s">
        <v>4897</v>
      </c>
      <c r="L1961">
        <v>4.4000000000000004</v>
      </c>
      <c r="M1961">
        <v>191</v>
      </c>
      <c r="O1961" t="s">
        <v>26</v>
      </c>
      <c r="P1961" t="s">
        <v>39</v>
      </c>
      <c r="Q1961" t="s">
        <v>4628</v>
      </c>
    </row>
    <row r="1962" spans="1:17" ht="15.75" x14ac:dyDescent="0.25">
      <c r="A1962" s="3" t="str">
        <f>HYPERLINK("https://prolisok-store.com/collections/premium/products/narciso-rodriguez-fleur-musc-for-women-eau-de-parfum-spray-3-4-ounce", "https://prolisok-store.com/collections/premium/products/narciso-rodriguez-fleur-musc-for-women-eau-de-parfum-spray-3-4-ounce")</f>
        <v>https://prolisok-store.com/collections/premium/products/narciso-rodriguez-fleur-musc-for-women-eau-de-parfum-spray-3-4-ounce</v>
      </c>
      <c r="B1962" s="3" t="str">
        <f>HYPERLINK("https://prolisok-store.com/products/narciso-rodriguez-fleur-musc-for-women-eau-de-parfum-spray-3-4-ounce", "https://prolisok-store.com/products/narciso-rodriguez-fleur-musc-for-women-eau-de-parfum-spray-3-4-ounce")</f>
        <v>https://prolisok-store.com/products/narciso-rodriguez-fleur-musc-for-women-eau-de-parfum-spray-3-4-ounce</v>
      </c>
      <c r="C1962" t="s">
        <v>4429</v>
      </c>
      <c r="D1962" t="s">
        <v>4898</v>
      </c>
      <c r="E1962" s="3" t="str">
        <f>HYPERLINK("https://www.amazon.com/Narciso-Rodriguez-Fleur-Parfum-Spray/dp/B06XDB52L4/ref=sr_1_4?keywords=Narciso+Rodriguez+Fleur+Musc+for+Women+Eau+de+Parfum+Spray%2C+3.4+Ounce&amp;qid=1695259296&amp;sr=8-4", "https://www.amazon.com/Narciso-Rodriguez-Fleur-Parfum-Spray/dp/B06XDB52L4/ref=sr_1_4?keywords=Narciso+Rodriguez+Fleur+Musc+for+Women+Eau+de+Parfum+Spray%2C+3.4+Ounce&amp;qid=1695259296&amp;sr=8-4")</f>
        <v>https://www.amazon.com/Narciso-Rodriguez-Fleur-Parfum-Spray/dp/B06XDB52L4/ref=sr_1_4?keywords=Narciso+Rodriguez+Fleur+Musc+for+Women+Eau+de+Parfum+Spray%2C+3.4+Ounce&amp;qid=1695259296&amp;sr=8-4</v>
      </c>
      <c r="F1962" t="s">
        <v>4899</v>
      </c>
      <c r="G1962" t="e">
        <f ca="1">IMAGE("https://prolisok-store.com/cdn/shop/files/41h0kt3e3BS_300x.jpg?v=1689760200")</f>
        <v>#NAME?</v>
      </c>
      <c r="H1962" t="e">
        <f ca="1">IMAGE("https://m.media-amazon.com/images/I/41m7+Iuul7L._AC_UL320_.jpg")</f>
        <v>#NAME?</v>
      </c>
      <c r="I1962" t="s">
        <v>4432</v>
      </c>
      <c r="J1962">
        <v>64.2</v>
      </c>
      <c r="K1962" s="2" t="s">
        <v>4900</v>
      </c>
      <c r="L1962">
        <v>4.5</v>
      </c>
      <c r="M1962">
        <v>289</v>
      </c>
      <c r="O1962" t="s">
        <v>26</v>
      </c>
      <c r="P1962" t="s">
        <v>39</v>
      </c>
      <c r="Q1962" t="s">
        <v>4434</v>
      </c>
    </row>
    <row r="1963" spans="1:17" ht="15.75" x14ac:dyDescent="0.25">
      <c r="A1963" s="3" t="str">
        <f>HYPERLINK("https://prolisok-store.com/collections/premium/products/facial-treatment-mask-10-pc", "https://prolisok-store.com/collections/premium/products/facial-treatment-mask-10-pc")</f>
        <v>https://prolisok-store.com/collections/premium/products/facial-treatment-mask-10-pc</v>
      </c>
      <c r="B1963" s="3" t="str">
        <f>HYPERLINK("https://prolisok-store.com/products/facial-treatment-mask-10-pc", "https://prolisok-store.com/products/facial-treatment-mask-10-pc")</f>
        <v>https://prolisok-store.com/products/facial-treatment-mask-10-pc</v>
      </c>
      <c r="C1963" t="s">
        <v>4705</v>
      </c>
      <c r="D1963" t="s">
        <v>4901</v>
      </c>
      <c r="E1963" s="3" t="str">
        <f>HYPERLINK("https://www.amazon.com/SK-II-Facial-Treatment-Mask/dp/B078MQP5ZF/ref=sr_1_4?keywords=SK-II+Facial+Treatment+Mask%2F10+pc.&amp;qid=1695259286&amp;sr=8-4", "https://www.amazon.com/SK-II-Facial-Treatment-Mask/dp/B078MQP5ZF/ref=sr_1_4?keywords=SK-II+Facial+Treatment+Mask%2F10+pc.&amp;qid=1695259286&amp;sr=8-4")</f>
        <v>https://www.amazon.com/SK-II-Facial-Treatment-Mask/dp/B078MQP5ZF/ref=sr_1_4?keywords=SK-II+Facial+Treatment+Mask%2F10+pc.&amp;qid=1695259286&amp;sr=8-4</v>
      </c>
      <c r="F1963" t="s">
        <v>4902</v>
      </c>
      <c r="G1963" t="e">
        <f ca="1">IMAGE("https://prolisok-store.com/cdn/shop/products/41oxreg7WTL_300x.jpg?v=1673964595")</f>
        <v>#NAME?</v>
      </c>
      <c r="H1963" t="e">
        <f ca="1">IMAGE("https://m.media-amazon.com/images/I/61XhPFpJf8L._AC_UL320_.jpg")</f>
        <v>#NAME?</v>
      </c>
      <c r="I1963" t="s">
        <v>4346</v>
      </c>
      <c r="J1963">
        <v>71</v>
      </c>
      <c r="K1963" s="2" t="s">
        <v>4903</v>
      </c>
      <c r="L1963">
        <v>4.4000000000000004</v>
      </c>
      <c r="M1963">
        <v>24</v>
      </c>
      <c r="O1963" t="s">
        <v>26</v>
      </c>
      <c r="P1963" t="s">
        <v>4709</v>
      </c>
      <c r="Q1963" t="s">
        <v>4710</v>
      </c>
    </row>
    <row r="1964" spans="1:17" ht="15.75" x14ac:dyDescent="0.25">
      <c r="A1964" s="3" t="str">
        <f>HYPERLINK("https://prolisok-store.com/collections/premium/products/sisley-black-rose-cream-masque-for-women-2-1-ounce", "https://prolisok-store.com/collections/premium/products/sisley-black-rose-cream-masque-for-women-2-1-ounce")</f>
        <v>https://prolisok-store.com/collections/premium/products/sisley-black-rose-cream-masque-for-women-2-1-ounce</v>
      </c>
      <c r="B1964" s="3" t="str">
        <f>HYPERLINK("https://prolisok-store.com/products/sisley-black-rose-cream-masque-for-women-2-1-ounce", "https://prolisok-store.com/products/sisley-black-rose-cream-masque-for-women-2-1-ounce")</f>
        <v>https://prolisok-store.com/products/sisley-black-rose-cream-masque-for-women-2-1-ounce</v>
      </c>
      <c r="C1964" t="s">
        <v>4904</v>
      </c>
      <c r="D1964" t="s">
        <v>4904</v>
      </c>
      <c r="E1964" s="3" t="str">
        <f>HYPERLINK("https://www.amazon.com/Sisley-Black-Cream-Masque-Women/dp/B0074O7LHK/ref=sr_1_1?keywords=Sisley+Black+Rose+Cream+Masque+for+Women%2C+2.1+Ounce&amp;qid=1695259293&amp;sr=8-1", "https://www.amazon.com/Sisley-Black-Cream-Masque-Women/dp/B0074O7LHK/ref=sr_1_1?keywords=Sisley+Black+Rose+Cream+Masque+for+Women%2C+2.1+Ounce&amp;qid=1695259293&amp;sr=8-1")</f>
        <v>https://www.amazon.com/Sisley-Black-Cream-Masque-Women/dp/B0074O7LHK/ref=sr_1_1?keywords=Sisley+Black+Rose+Cream+Masque+for+Women%2C+2.1+Ounce&amp;qid=1695259293&amp;sr=8-1</v>
      </c>
      <c r="F1964" t="s">
        <v>4905</v>
      </c>
      <c r="G1964" t="e">
        <f ca="1">IMAGE("https://prolisok-store.com/cdn/shop/products/51Y5Zje_FmL._SL1000_300x.jpg?v=1668163599")</f>
        <v>#NAME?</v>
      </c>
      <c r="H1964" t="e">
        <f ca="1">IMAGE("https://m.media-amazon.com/images/I/61f3b1gZe5L._AC_UL320_.jpg")</f>
        <v>#NAME?</v>
      </c>
      <c r="I1964" t="s">
        <v>3587</v>
      </c>
      <c r="J1964">
        <v>67.38</v>
      </c>
      <c r="K1964" s="2" t="s">
        <v>4906</v>
      </c>
      <c r="L1964">
        <v>4.4000000000000004</v>
      </c>
      <c r="M1964">
        <v>360</v>
      </c>
      <c r="O1964" t="s">
        <v>26</v>
      </c>
      <c r="P1964" t="s">
        <v>39</v>
      </c>
      <c r="Q1964" t="s">
        <v>4907</v>
      </c>
    </row>
    <row r="1965" spans="1:17" ht="15.75" x14ac:dyDescent="0.25">
      <c r="A1965" s="3" t="str">
        <f>HYPERLINK("https://prolisok-store.com/collections/premium/products/elizabeth-arden-capsules-serum", "https://prolisok-store.com/collections/premium/products/elizabeth-arden-capsules-serum")</f>
        <v>https://prolisok-store.com/collections/premium/products/elizabeth-arden-capsules-serum</v>
      </c>
      <c r="B1965" s="3" t="str">
        <f>HYPERLINK("https://prolisok-store.com/products/elizabeth-arden-capsules-serum", "https://prolisok-store.com/products/elizabeth-arden-capsules-serum")</f>
        <v>https://prolisok-store.com/products/elizabeth-arden-capsules-serum</v>
      </c>
      <c r="C1965" t="s">
        <v>4670</v>
      </c>
      <c r="D1965" t="s">
        <v>4908</v>
      </c>
      <c r="E1965" s="3" t="str">
        <f>HYPERLINK("https://www.amazon.com/Elizabeth-Arden-Illuminating-Brightening-Concentrate/dp/B01C8052IO/ref=sr_1_10?keywords=Elizabeth+Arden+Capsules+Serum&amp;qid=1695259297&amp;sr=8-10", "https://www.amazon.com/Elizabeth-Arden-Illuminating-Brightening-Concentrate/dp/B01C8052IO/ref=sr_1_10?keywords=Elizabeth+Arden+Capsules+Serum&amp;qid=1695259297&amp;sr=8-10")</f>
        <v>https://www.amazon.com/Elizabeth-Arden-Illuminating-Brightening-Concentrate/dp/B01C8052IO/ref=sr_1_10?keywords=Elizabeth+Arden+Capsules+Serum&amp;qid=1695259297&amp;sr=8-10</v>
      </c>
      <c r="F1965" t="s">
        <v>4909</v>
      </c>
      <c r="G1965" t="e">
        <f ca="1">IMAGE("https://prolisok-store.com/cdn/shop/files/71roxz2sB-L._SL1500_300x.jpg?v=1683266294")</f>
        <v>#NAME?</v>
      </c>
      <c r="H1965" t="e">
        <f ca="1">IMAGE("https://m.media-amazon.com/images/I/719qmohIxsL._AC_UL320_.jpg")</f>
        <v>#NAME?</v>
      </c>
      <c r="I1965" t="s">
        <v>4355</v>
      </c>
      <c r="J1965">
        <v>84</v>
      </c>
      <c r="K1965" s="2" t="s">
        <v>4910</v>
      </c>
      <c r="L1965">
        <v>4.0999999999999996</v>
      </c>
      <c r="M1965">
        <v>170</v>
      </c>
      <c r="O1965" t="s">
        <v>26</v>
      </c>
      <c r="P1965" t="s">
        <v>39</v>
      </c>
      <c r="Q1965" t="s">
        <v>4673</v>
      </c>
    </row>
    <row r="1966" spans="1:17" ht="15.75" x14ac:dyDescent="0.25">
      <c r="A1966" s="3" t="str">
        <f>HYPERLINK("https://prolisok-store.com/collections/premium/products/diptyque-votive-candle-trio-baies-figuier-roses-3-ct", "https://prolisok-store.com/collections/premium/products/diptyque-votive-candle-trio-baies-figuier-roses-3-ct")</f>
        <v>https://prolisok-store.com/collections/premium/products/diptyque-votive-candle-trio-baies-figuier-roses-3-ct</v>
      </c>
      <c r="B1966" s="3" t="str">
        <f>HYPERLINK("https://prolisok-store.com/products/diptyque-votive-candle-trio-baies-figuier-roses-3-ct", "https://prolisok-store.com/products/diptyque-votive-candle-trio-baies-figuier-roses-3-ct")</f>
        <v>https://prolisok-store.com/products/diptyque-votive-candle-trio-baies-figuier-roses-3-ct</v>
      </c>
      <c r="C1966" t="s">
        <v>4587</v>
      </c>
      <c r="D1966" t="s">
        <v>4587</v>
      </c>
      <c r="E1966" s="3" t="str">
        <f>HYPERLINK("https://www.amazon.com/Diptyque-Votive-Candle-Trio-Baies-Figuier/dp/B003XT04ME/ref=sr_1_1?keywords=Diptyque+Votive+Candle+Trio-Baies%2C+Figuier%2C+Roses-3+ct.&amp;qid=1695259331&amp;sr=8-1", "https://www.amazon.com/Diptyque-Votive-Candle-Trio-Baies-Figuier/dp/B003XT04ME/ref=sr_1_1?keywords=Diptyque+Votive+Candle+Trio-Baies%2C+Figuier%2C+Roses-3+ct.&amp;qid=1695259331&amp;sr=8-1")</f>
        <v>https://www.amazon.com/Diptyque-Votive-Candle-Trio-Baies-Figuier/dp/B003XT04ME/ref=sr_1_1?keywords=Diptyque+Votive+Candle+Trio-Baies%2C+Figuier%2C+Roses-3+ct.&amp;qid=1695259331&amp;sr=8-1</v>
      </c>
      <c r="F1966" t="s">
        <v>4588</v>
      </c>
      <c r="G1966" t="e">
        <f ca="1">IMAGE("https://prolisok-store.com/cdn/shop/files/61gvY5u07AL._SL1010_300x.jpg?v=1693932234")</f>
        <v>#NAME?</v>
      </c>
      <c r="H1966" t="e">
        <f ca="1">IMAGE("https://m.media-amazon.com/images/I/61gvY5u07AL._AC_UL320_.jpg")</f>
        <v>#NAME?</v>
      </c>
      <c r="I1966" t="s">
        <v>4911</v>
      </c>
      <c r="J1966">
        <v>93</v>
      </c>
      <c r="K1966" s="2" t="s">
        <v>4912</v>
      </c>
      <c r="L1966">
        <v>4.5</v>
      </c>
      <c r="M1966">
        <v>103</v>
      </c>
      <c r="O1966" t="s">
        <v>26</v>
      </c>
      <c r="P1966" t="s">
        <v>39</v>
      </c>
      <c r="Q1966" t="s">
        <v>4913</v>
      </c>
    </row>
    <row r="1967" spans="1:17" ht="15.75" x14ac:dyDescent="0.25">
      <c r="A1967" s="3" t="str">
        <f>HYPERLINK("https://prolisok-store.com/collections/premium/products/diptyque-tubereuse-candle-6-5-oz-white-scented", "https://prolisok-store.com/collections/premium/products/diptyque-tubereuse-candle-6-5-oz-white-scented")</f>
        <v>https://prolisok-store.com/collections/premium/products/diptyque-tubereuse-candle-6-5-oz-white-scented</v>
      </c>
      <c r="B1967" s="3" t="str">
        <f>HYPERLINK("https://prolisok-store.com/products/diptyque-tubereuse-candle-6-5-oz-white-scented", "https://prolisok-store.com/products/diptyque-tubereuse-candle-6-5-oz-white-scented")</f>
        <v>https://prolisok-store.com/products/diptyque-tubereuse-candle-6-5-oz-white-scented</v>
      </c>
      <c r="C1967" t="s">
        <v>4770</v>
      </c>
      <c r="D1967" t="s">
        <v>4914</v>
      </c>
      <c r="E1967" s="3" t="str">
        <f>HYPERLINK("https://www.amazon.com/Diptyque-11033u-Tubereuse-Candle-6-5-oz/dp/B0043TU1VM/ref=sr_1_1?keywords=Diptyque+Tubereuse+Candle-6.5+oz.%2C+White+%2C+scented&amp;qid=1695259304&amp;sr=8-1", "https://www.amazon.com/Diptyque-11033u-Tubereuse-Candle-6-5-oz/dp/B0043TU1VM/ref=sr_1_1?keywords=Diptyque+Tubereuse+Candle-6.5+oz.%2C+White+%2C+scented&amp;qid=1695259304&amp;sr=8-1")</f>
        <v>https://www.amazon.com/Diptyque-11033u-Tubereuse-Candle-6-5-oz/dp/B0043TU1VM/ref=sr_1_1?keywords=Diptyque+Tubereuse+Candle-6.5+oz.%2C+White+%2C+scented&amp;qid=1695259304&amp;sr=8-1</v>
      </c>
      <c r="F1967" t="s">
        <v>4915</v>
      </c>
      <c r="G1967" t="e">
        <f ca="1">IMAGE("https://prolisok-store.com/cdn/shop/files/71Wg14IH_bL._AC_SL1500_300x.jpg?v=1689775553")</f>
        <v>#NAME?</v>
      </c>
      <c r="H1967" t="e">
        <f ca="1">IMAGE("https://m.media-amazon.com/images/I/71Wg14IH+bL._AC_UL320_.jpg")</f>
        <v>#NAME?</v>
      </c>
      <c r="I1967" t="s">
        <v>3476</v>
      </c>
      <c r="J1967">
        <v>53.9</v>
      </c>
      <c r="K1967" s="2" t="s">
        <v>4916</v>
      </c>
      <c r="L1967">
        <v>4.3</v>
      </c>
      <c r="M1967">
        <v>263</v>
      </c>
      <c r="O1967" t="s">
        <v>26</v>
      </c>
      <c r="P1967" t="s">
        <v>39</v>
      </c>
      <c r="Q1967" t="s">
        <v>4771</v>
      </c>
    </row>
    <row r="1968" spans="1:17" ht="15.75" x14ac:dyDescent="0.25">
      <c r="A1968" s="3" t="str">
        <f>HYPERLINK("https://prolisok-store.com/collections/premium/products/drunk-elephant-lala-retro-whipped-cream-50-milliliters", "https://prolisok-store.com/collections/premium/products/drunk-elephant-lala-retro-whipped-cream-50-milliliters")</f>
        <v>https://prolisok-store.com/collections/premium/products/drunk-elephant-lala-retro-whipped-cream-50-milliliters</v>
      </c>
      <c r="B1968" s="3" t="str">
        <f>HYPERLINK("https://prolisok-store.com/products/drunk-elephant-lala-retro-whipped-cream-50-milliliters", "https://prolisok-store.com/products/drunk-elephant-lala-retro-whipped-cream-50-milliliters")</f>
        <v>https://prolisok-store.com/products/drunk-elephant-lala-retro-whipped-cream-50-milliliters</v>
      </c>
      <c r="C1968" t="s">
        <v>4388</v>
      </c>
      <c r="D1968" t="s">
        <v>4917</v>
      </c>
      <c r="E1968" s="3" t="str">
        <f>HYPERLINK("https://www.amazon.com/Drunk-Elephant-Retro-Whipped-Cream/dp/B01J1ZBJSG/ref=sr_1_1?keywords=Drunk+Elephant+Lala+Retro+Whipped+Cream+50+Milliliters&amp;qid=1695259287&amp;sr=8-1", "https://www.amazon.com/Drunk-Elephant-Retro-Whipped-Cream/dp/B01J1ZBJSG/ref=sr_1_1?keywords=Drunk+Elephant+Lala+Retro+Whipped+Cream+50+Milliliters&amp;qid=1695259287&amp;sr=8-1")</f>
        <v>https://www.amazon.com/Drunk-Elephant-Retro-Whipped-Cream/dp/B01J1ZBJSG/ref=sr_1_1?keywords=Drunk+Elephant+Lala+Retro+Whipped+Cream+50+Milliliters&amp;qid=1695259287&amp;sr=8-1</v>
      </c>
      <c r="F1968" t="s">
        <v>4918</v>
      </c>
      <c r="G1968" t="e">
        <f ca="1">IMAGE("https://prolisok-store.com/cdn/shop/files/51ybUrn6ZWL._SL1500_300x.jpg?v=1686223860")</f>
        <v>#NAME?</v>
      </c>
      <c r="H1968" t="e">
        <f ca="1">IMAGE("https://m.media-amazon.com/images/I/51ybUrn6ZWL._AC_UL320_.jpg")</f>
        <v>#NAME?</v>
      </c>
      <c r="I1968" t="s">
        <v>3566</v>
      </c>
      <c r="J1968">
        <v>47</v>
      </c>
      <c r="K1968" s="2" t="s">
        <v>4919</v>
      </c>
      <c r="L1968">
        <v>4.2</v>
      </c>
      <c r="M1968">
        <v>1921</v>
      </c>
      <c r="O1968" t="s">
        <v>26</v>
      </c>
      <c r="P1968" t="s">
        <v>2472</v>
      </c>
      <c r="Q1968" t="s">
        <v>4392</v>
      </c>
    </row>
    <row r="1969" spans="1:17" ht="15.75" x14ac:dyDescent="0.25">
      <c r="A1969" s="3" t="str">
        <f>HYPERLINK("https://prolisok-store.com/collections/premium/products/by-kilian-good-girl-gone-bad-1-7-fl-oz", "https://prolisok-store.com/collections/premium/products/by-kilian-good-girl-gone-bad-1-7-fl-oz")</f>
        <v>https://prolisok-store.com/collections/premium/products/by-kilian-good-girl-gone-bad-1-7-fl-oz</v>
      </c>
      <c r="B1969" s="3" t="str">
        <f>HYPERLINK("https://prolisok-store.com/products/by-kilian-good-girl-gone-bad-1-7-fl-oz", "https://prolisok-store.com/products/by-kilian-good-girl-gone-bad-1-7-fl-oz")</f>
        <v>https://prolisok-store.com/products/by-kilian-good-girl-gone-bad-1-7-fl-oz</v>
      </c>
      <c r="C1969" t="s">
        <v>4606</v>
      </c>
      <c r="D1969" t="s">
        <v>4920</v>
      </c>
      <c r="E1969" s="3" t="str">
        <f>HYPERLINK("https://www.amazon.com/Kilian-Parfum-Spray-Refill-Girls/dp/B00F8Q5CSG/ref=sr_1_4?keywords=By+Kilian+-+Good+Girl+Gone+Bad+-+1.7+fl.+Oz&amp;qid=1695259301&amp;sr=8-4", "https://www.amazon.com/Kilian-Parfum-Spray-Refill-Girls/dp/B00F8Q5CSG/ref=sr_1_4?keywords=By+Kilian+-+Good+Girl+Gone+Bad+-+1.7+fl.+Oz&amp;qid=1695259301&amp;sr=8-4")</f>
        <v>https://www.amazon.com/Kilian-Parfum-Spray-Refill-Girls/dp/B00F8Q5CSG/ref=sr_1_4?keywords=By+Kilian+-+Good+Girl+Gone+Bad+-+1.7+fl.+Oz&amp;qid=1695259301&amp;sr=8-4</v>
      </c>
      <c r="F1969" t="s">
        <v>4921</v>
      </c>
      <c r="G1969" t="e">
        <f ca="1">IMAGE("https://prolisok-store.com/cdn/shop/files/41o-yGm4K6L_300x.jpg?v=1686655714")</f>
        <v>#NAME?</v>
      </c>
      <c r="H1969" t="e">
        <f ca="1">IMAGE("https://m.media-amazon.com/images/I/51oyhmyDjwS._AC_UL320_.jpg")</f>
        <v>#NAME?</v>
      </c>
      <c r="I1969" t="s">
        <v>4609</v>
      </c>
      <c r="J1969">
        <v>152.83000000000001</v>
      </c>
      <c r="K1969" s="2" t="s">
        <v>4922</v>
      </c>
      <c r="L1969">
        <v>4</v>
      </c>
      <c r="M1969">
        <v>53</v>
      </c>
      <c r="O1969" t="s">
        <v>26</v>
      </c>
      <c r="P1969" t="s">
        <v>39</v>
      </c>
      <c r="Q1969" t="s">
        <v>4611</v>
      </c>
    </row>
    <row r="1970" spans="1:17" ht="15.75" x14ac:dyDescent="0.25">
      <c r="A1970" s="3" t="str">
        <f>HYPERLINK("https://prolisok-store.com/collections/premium/products/baylis-harding-goodness-lemongrass-ginger-500-ml-hand-wash-pack-of-3", "https://prolisok-store.com/collections/premium/products/baylis-harding-goodness-lemongrass-ginger-500-ml-hand-wash-pack-of-3")</f>
        <v>https://prolisok-store.com/collections/premium/products/baylis-harding-goodness-lemongrass-ginger-500-ml-hand-wash-pack-of-3</v>
      </c>
      <c r="B1970" s="3" t="str">
        <f>HYPERLINK("https://prolisok-store.com/products/baylis-harding-goodness-lemongrass-ginger-500-ml-hand-wash-pack-of-3", "https://prolisok-store.com/products/baylis-harding-goodness-lemongrass-ginger-500-ml-hand-wash-pack-of-3")</f>
        <v>https://prolisok-store.com/products/baylis-harding-goodness-lemongrass-ginger-500-ml-hand-wash-pack-of-3</v>
      </c>
      <c r="C1970" t="s">
        <v>4738</v>
      </c>
      <c r="D1970" t="s">
        <v>4730</v>
      </c>
      <c r="E1970" s="3" t="str">
        <f>HYPERLINK("https://www.amazon.com/Baylis-Harding-Goodness-Peppermint-500ml/dp/B081S1KYCH/ref=sr_1_6?keywords=Baylis+%26+Harding+Goodness+Lemongrass+%26+Ginger%2C+500+ml+Hand+Wash%2C+Pack+of+3&amp;qid=1695259314&amp;sr=8-6", "https://www.amazon.com/Baylis-Harding-Goodness-Peppermint-500ml/dp/B081S1KYCH/ref=sr_1_6?keywords=Baylis+%26+Harding+Goodness+Lemongrass+%26+Ginger%2C+500+ml+Hand+Wash%2C+Pack+of+3&amp;qid=1695259314&amp;sr=8-6")</f>
        <v>https://www.amazon.com/Baylis-Harding-Goodness-Peppermint-500ml/dp/B081S1KYCH/ref=sr_1_6?keywords=Baylis+%26+Harding+Goodness+Lemongrass+%26+Ginger%2C+500+ml+Hand+Wash%2C+Pack+of+3&amp;qid=1695259314&amp;sr=8-6</v>
      </c>
      <c r="F1970" t="s">
        <v>4736</v>
      </c>
      <c r="G1970" t="e">
        <f ca="1">IMAGE("https://prolisok-store.com/cdn/shop/files/61dzzYmz3CL._SL1500_300x.jpg?v=1692871972")</f>
        <v>#NAME?</v>
      </c>
      <c r="H1970" t="e">
        <f ca="1">IMAGE("https://m.media-amazon.com/images/I/61rmhFnF+xL._AC_UL320_.jpg")</f>
        <v>#NAME?</v>
      </c>
      <c r="I1970" t="s">
        <v>4741</v>
      </c>
      <c r="J1970">
        <v>24.66</v>
      </c>
      <c r="K1970" s="2" t="s">
        <v>4923</v>
      </c>
      <c r="L1970">
        <v>4.5</v>
      </c>
      <c r="M1970">
        <v>244</v>
      </c>
      <c r="O1970" t="s">
        <v>26</v>
      </c>
      <c r="P1970" t="s">
        <v>39</v>
      </c>
      <c r="Q1970" t="s">
        <v>4743</v>
      </c>
    </row>
    <row r="1971" spans="1:17" ht="15.75" x14ac:dyDescent="0.25">
      <c r="A1971" s="3" t="str">
        <f>HYPERLINK("https://prolisok-store.com/collections/premium/products/kilian-eau-de-parfum-refillable-spray-1-7-oz", "https://prolisok-store.com/collections/premium/products/kilian-eau-de-parfum-refillable-spray-1-7-oz")</f>
        <v>https://prolisok-store.com/collections/premium/products/kilian-eau-de-parfum-refillable-spray-1-7-oz</v>
      </c>
      <c r="B1971" s="3" t="str">
        <f>HYPERLINK("https://prolisok-store.com/products/kilian-eau-de-parfum-refillable-spray-1-7-oz", "https://prolisok-store.com/products/kilian-eau-de-parfum-refillable-spray-1-7-oz")</f>
        <v>https://prolisok-store.com/products/kilian-eau-de-parfum-refillable-spray-1-7-oz</v>
      </c>
      <c r="C1971" t="s">
        <v>4567</v>
      </c>
      <c r="D1971" t="s">
        <v>4920</v>
      </c>
      <c r="E1971" s="3" t="str">
        <f>HYPERLINK("https://www.amazon.com/Kilian-Parfum-Spray-Refill-Girls/dp/B00F8Q5CSG/ref=sr_1_2?keywords=Kilian+Eau+De+Parfum+Refillable+Spray+1.7+oz&amp;qid=1695259299&amp;sr=8-2", "https://www.amazon.com/Kilian-Parfum-Spray-Refill-Girls/dp/B00F8Q5CSG/ref=sr_1_2?keywords=Kilian+Eau+De+Parfum+Refillable+Spray+1.7+oz&amp;qid=1695259299&amp;sr=8-2")</f>
        <v>https://www.amazon.com/Kilian-Parfum-Spray-Refill-Girls/dp/B00F8Q5CSG/ref=sr_1_2?keywords=Kilian+Eau+De+Parfum+Refillable+Spray+1.7+oz&amp;qid=1695259299&amp;sr=8-2</v>
      </c>
      <c r="F1971" t="s">
        <v>4921</v>
      </c>
      <c r="G1971" t="e">
        <f ca="1">IMAGE("https://prolisok-store.com/cdn/shop/files/41qHQCLW06L._SL1000_300x.jpg?v=1690803520")</f>
        <v>#NAME?</v>
      </c>
      <c r="H1971" t="e">
        <f ca="1">IMAGE("https://m.media-amazon.com/images/I/51oyhmyDjwS._AC_UL320_.jpg")</f>
        <v>#NAME?</v>
      </c>
      <c r="I1971" t="s">
        <v>4570</v>
      </c>
      <c r="J1971">
        <v>152.83000000000001</v>
      </c>
      <c r="K1971" s="2" t="s">
        <v>4924</v>
      </c>
      <c r="L1971">
        <v>4</v>
      </c>
      <c r="M1971">
        <v>53</v>
      </c>
      <c r="O1971" t="s">
        <v>26</v>
      </c>
      <c r="P1971" t="s">
        <v>39</v>
      </c>
      <c r="Q1971" t="s">
        <v>4572</v>
      </c>
    </row>
    <row r="1972" spans="1:17" ht="15.75" x14ac:dyDescent="0.25">
      <c r="A1972" s="3" t="str">
        <f>HYPERLINK("https://prolisok-store.com/collections/premium/products/diptyque-lombre-dans-leau-eau-de-toilette-spray-for-women-100ml-3-4-fl-oz", "https://prolisok-store.com/collections/premium/products/diptyque-lombre-dans-leau-eau-de-toilette-spray-for-women-100ml-3-4-fl-oz")</f>
        <v>https://prolisok-store.com/collections/premium/products/diptyque-lombre-dans-leau-eau-de-toilette-spray-for-women-100ml-3-4-fl-oz</v>
      </c>
      <c r="B1972" s="3" t="str">
        <f>HYPERLINK("https://prolisok-store.com/products/diptyque-lombre-dans-leau-eau-de-toilette-spray-for-women-100ml-3-4-fl-oz", "https://prolisok-store.com/products/diptyque-lombre-dans-leau-eau-de-toilette-spray-for-women-100ml-3-4-fl-oz")</f>
        <v>https://prolisok-store.com/products/diptyque-lombre-dans-leau-eau-de-toilette-spray-for-women-100ml-3-4-fl-oz</v>
      </c>
      <c r="C1972" t="s">
        <v>4509</v>
      </c>
      <c r="D1972" t="s">
        <v>4925</v>
      </c>
      <c r="E1972" s="3" t="str">
        <f>HYPERLINK("https://www.amazon.com/Diptyque-Lombre-Toilette-Spray-Women/dp/B00HR1ZSTS/ref=sr_1_1?keywords=Diptyque+L%27ombre+Dans+L%27eau+Eau+De+Toilette+Spray+For+Women+100Ml+3.4+Fl+Oz&amp;qid=1695259303&amp;sr=8-1", "https://www.amazon.com/Diptyque-Lombre-Toilette-Spray-Women/dp/B00HR1ZSTS/ref=sr_1_1?keywords=Diptyque+L%27ombre+Dans+L%27eau+Eau+De+Toilette+Spray+For+Women+100Ml+3.4+Fl+Oz&amp;qid=1695259303&amp;sr=8-1")</f>
        <v>https://www.amazon.com/Diptyque-Lombre-Toilette-Spray-Women/dp/B00HR1ZSTS/ref=sr_1_1?keywords=Diptyque+L%27ombre+Dans+L%27eau+Eau+De+Toilette+Spray+For+Women+100Ml+3.4+Fl+Oz&amp;qid=1695259303&amp;sr=8-1</v>
      </c>
      <c r="F1972" t="s">
        <v>4926</v>
      </c>
      <c r="G1972" t="e">
        <f ca="1">IMAGE("https://prolisok-store.com/cdn/shop/products/DiptyqueL_ombreDansL_eau_300x.jpg?v=1683715765")</f>
        <v>#NAME?</v>
      </c>
      <c r="H1972" t="e">
        <f ca="1">IMAGE("https://m.media-amazon.com/images/I/71auE9nCLPL._AC_UL320_.jpg")</f>
        <v>#NAME?</v>
      </c>
      <c r="I1972" t="s">
        <v>4355</v>
      </c>
      <c r="J1972">
        <v>76.2</v>
      </c>
      <c r="K1972" s="2" t="s">
        <v>4927</v>
      </c>
      <c r="L1972">
        <v>4.0999999999999996</v>
      </c>
      <c r="M1972">
        <v>25</v>
      </c>
      <c r="O1972" t="s">
        <v>26</v>
      </c>
      <c r="P1972" t="s">
        <v>2988</v>
      </c>
      <c r="Q1972" t="s">
        <v>4513</v>
      </c>
    </row>
    <row r="1973" spans="1:17" ht="15.75" x14ac:dyDescent="0.25">
      <c r="A1973" s="3" t="str">
        <f>HYPERLINK("https://prolisok-store.com/collections/premium/products/diptyque-tam-dao-eau-de-toilette-3-4-oz", "https://prolisok-store.com/collections/premium/products/diptyque-tam-dao-eau-de-toilette-3-4-oz")</f>
        <v>https://prolisok-store.com/collections/premium/products/diptyque-tam-dao-eau-de-toilette-3-4-oz</v>
      </c>
      <c r="B1973" s="3" t="str">
        <f>HYPERLINK("https://prolisok-store.com/products/diptyque-tam-dao-eau-de-toilette-3-4-oz", "https://prolisok-store.com/products/diptyque-tam-dao-eau-de-toilette-3-4-oz")</f>
        <v>https://prolisok-store.com/products/diptyque-tam-dao-eau-de-toilette-3-4-oz</v>
      </c>
      <c r="C1973" t="s">
        <v>4488</v>
      </c>
      <c r="D1973" t="s">
        <v>4925</v>
      </c>
      <c r="E1973" s="3" t="str">
        <f>HYPERLINK("https://www.amazon.com/Diptyque-Lombre-Toilette-Spray-Women/dp/B00HR1ZSTS/ref=sr_1_10?keywords=Diptyque+Tam+Dao+Eau+de+Toilette-3.4+oz.&amp;qid=1695259287&amp;sr=8-10", "https://www.amazon.com/Diptyque-Lombre-Toilette-Spray-Women/dp/B00HR1ZSTS/ref=sr_1_10?keywords=Diptyque+Tam+Dao+Eau+de+Toilette-3.4+oz.&amp;qid=1695259287&amp;sr=8-10")</f>
        <v>https://www.amazon.com/Diptyque-Lombre-Toilette-Spray-Women/dp/B00HR1ZSTS/ref=sr_1_10?keywords=Diptyque+Tam+Dao+Eau+de+Toilette-3.4+oz.&amp;qid=1695259287&amp;sr=8-10</v>
      </c>
      <c r="F1973" t="s">
        <v>4926</v>
      </c>
      <c r="G1973" t="e">
        <f ca="1">IMAGE("https://prolisok-store.com/cdn/shop/products/DiptyqueTamDaoEaudeToilette-3.4oz_-1_300x.jpg?v=1683715785")</f>
        <v>#NAME?</v>
      </c>
      <c r="H1973" t="e">
        <f ca="1">IMAGE("https://m.media-amazon.com/images/I/71auE9nCLPL._AC_UL320_.jpg")</f>
        <v>#NAME?</v>
      </c>
      <c r="I1973" t="s">
        <v>4355</v>
      </c>
      <c r="J1973">
        <v>76.2</v>
      </c>
      <c r="K1973" s="2" t="s">
        <v>4927</v>
      </c>
      <c r="L1973">
        <v>4.0999999999999996</v>
      </c>
      <c r="M1973">
        <v>25</v>
      </c>
      <c r="O1973" t="s">
        <v>26</v>
      </c>
      <c r="P1973" t="s">
        <v>2988</v>
      </c>
      <c r="Q1973" t="s">
        <v>4489</v>
      </c>
    </row>
    <row r="1974" spans="1:17" ht="15.75" x14ac:dyDescent="0.25">
      <c r="A1974" s="3" t="str">
        <f>HYPERLINK("https://prolisok-store.com/collections/premium/products/narciso-rodriguez-fleur-musc-for-women-eau-de-parfum-spray-3-4-ounce", "https://prolisok-store.com/collections/premium/products/narciso-rodriguez-fleur-musc-for-women-eau-de-parfum-spray-3-4-ounce")</f>
        <v>https://prolisok-store.com/collections/premium/products/narciso-rodriguez-fleur-musc-for-women-eau-de-parfum-spray-3-4-ounce</v>
      </c>
      <c r="B1974" s="3" t="str">
        <f>HYPERLINK("https://prolisok-store.com/products/narciso-rodriguez-fleur-musc-for-women-eau-de-parfum-spray-3-4-ounce", "https://prolisok-store.com/products/narciso-rodriguez-fleur-musc-for-women-eau-de-parfum-spray-3-4-ounce")</f>
        <v>https://prolisok-store.com/products/narciso-rodriguez-fleur-musc-for-women-eau-de-parfum-spray-3-4-ounce</v>
      </c>
      <c r="C1974" t="s">
        <v>4429</v>
      </c>
      <c r="D1974" t="s">
        <v>4928</v>
      </c>
      <c r="E1974" s="3" t="str">
        <f>HYPERLINK("https://www.amazon.com/Narciso-Rodriguez-Fleur-Parfum-Ounce/dp/B06XCTKKXP/ref=sr_1_3?keywords=Narciso+Rodriguez+Fleur+Musc+for+Women+Eau+de+Parfum+Spray%2C+3.4+Ounce&amp;qid=1695259296&amp;sr=8-3", "https://www.amazon.com/Narciso-Rodriguez-Fleur-Parfum-Ounce/dp/B06XCTKKXP/ref=sr_1_3?keywords=Narciso+Rodriguez+Fleur+Musc+for+Women+Eau+de+Parfum+Spray%2C+3.4+Ounce&amp;qid=1695259296&amp;sr=8-3")</f>
        <v>https://www.amazon.com/Narciso-Rodriguez-Fleur-Parfum-Ounce/dp/B06XCTKKXP/ref=sr_1_3?keywords=Narciso+Rodriguez+Fleur+Musc+for+Women+Eau+de+Parfum+Spray%2C+3.4+Ounce&amp;qid=1695259296&amp;sr=8-3</v>
      </c>
      <c r="F1974" t="s">
        <v>4929</v>
      </c>
      <c r="G1974" t="e">
        <f ca="1">IMAGE("https://prolisok-store.com/cdn/shop/files/41h0kt3e3BS_300x.jpg?v=1689760200")</f>
        <v>#NAME?</v>
      </c>
      <c r="H1974" t="e">
        <f ca="1">IMAGE("https://m.media-amazon.com/images/I/41m7+Iuul7L._AC_UL320_.jpg")</f>
        <v>#NAME?</v>
      </c>
      <c r="I1974" t="s">
        <v>4432</v>
      </c>
      <c r="J1974">
        <v>55.93</v>
      </c>
      <c r="K1974" s="2" t="s">
        <v>4930</v>
      </c>
      <c r="L1974">
        <v>4.4000000000000004</v>
      </c>
      <c r="M1974">
        <v>137</v>
      </c>
      <c r="O1974" t="s">
        <v>26</v>
      </c>
      <c r="P1974" t="s">
        <v>39</v>
      </c>
      <c r="Q1974" t="s">
        <v>4434</v>
      </c>
    </row>
    <row r="1975" spans="1:17" ht="15.75" x14ac:dyDescent="0.25">
      <c r="A1975" s="3" t="str">
        <f>HYPERLINK("https://prolisok-store.com/collections/premium/products/estee-lauder-pure-color-envy-sculpting-lipstick-360-fierce-0-12-ounce", "https://prolisok-store.com/collections/premium/products/estee-lauder-pure-color-envy-sculpting-lipstick-360-fierce-0-12-ounce")</f>
        <v>https://prolisok-store.com/collections/premium/products/estee-lauder-pure-color-envy-sculpting-lipstick-360-fierce-0-12-ounce</v>
      </c>
      <c r="B1975"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1975" t="s">
        <v>4452</v>
      </c>
      <c r="D1975" t="s">
        <v>4931</v>
      </c>
      <c r="E1975" s="3" t="str">
        <f>HYPERLINK("https://www.amazon.com/Estee-Lauder-Color-Sculpting-Lipstick/dp/B00JG7Y5T0/ref=sr_1_2?keywords=Estee+Lauder+Pure+Color+Envy+Sculpting+Lipstick&amp;qid=1695259287&amp;sr=8-2", "https://www.amazon.com/Estee-Lauder-Color-Sculpting-Lipstick/dp/B00JG7Y5T0/ref=sr_1_2?keywords=Estee+Lauder+Pure+Color+Envy+Sculpting+Lipstick&amp;qid=1695259287&amp;sr=8-2")</f>
        <v>https://www.amazon.com/Estee-Lauder-Color-Sculpting-Lipstick/dp/B00JG7Y5T0/ref=sr_1_2?keywords=Estee+Lauder+Pure+Color+Envy+Sculpting+Lipstick&amp;qid=1695259287&amp;sr=8-2</v>
      </c>
      <c r="F1975" t="s">
        <v>4932</v>
      </c>
      <c r="G1975" t="e">
        <f ca="1">IMAGE("https://prolisok-store.com/cdn/shop/products/61OXcvCJbTL._SL1500_300x.jpg?v=1681307706")</f>
        <v>#NAME?</v>
      </c>
      <c r="H1975" t="e">
        <f ca="1">IMAGE("https://m.media-amazon.com/images/I/61I8ZcnxxaL._AC_UL320_.jpg")</f>
        <v>#NAME?</v>
      </c>
      <c r="I1975" t="s">
        <v>3419</v>
      </c>
      <c r="J1975">
        <v>17.920000000000002</v>
      </c>
      <c r="K1975" s="2" t="s">
        <v>4933</v>
      </c>
      <c r="L1975">
        <v>4.4000000000000004</v>
      </c>
      <c r="M1975">
        <v>3037</v>
      </c>
      <c r="O1975" t="s">
        <v>26</v>
      </c>
      <c r="P1975" t="s">
        <v>39</v>
      </c>
      <c r="Q1975" t="s">
        <v>4456</v>
      </c>
    </row>
    <row r="1976" spans="1:17" ht="15.75" x14ac:dyDescent="0.25">
      <c r="A1976" s="3" t="str">
        <f>HYPERLINK("https://prolisok-store.com/collections/premium/products/clarins-double-serum", "https://prolisok-store.com/collections/premium/products/clarins-double-serum")</f>
        <v>https://prolisok-store.com/collections/premium/products/clarins-double-serum</v>
      </c>
      <c r="B1976" s="3" t="str">
        <f>HYPERLINK("https://prolisok-store.com/products/clarins-double-serum", "https://prolisok-store.com/products/clarins-double-serum")</f>
        <v>https://prolisok-store.com/products/clarins-double-serum</v>
      </c>
      <c r="C1976" t="s">
        <v>4711</v>
      </c>
      <c r="D1976" t="s">
        <v>4934</v>
      </c>
      <c r="E1976" s="3" t="str">
        <f>HYPERLINK("https://www.amazon.com/Clarins-Anti-Aging-Treatment-Revitalizes-Youthful-Looking/dp/B09F3QR6LB/ref=sr_1_2?keywords=Clarins+Double+Serum&amp;qid=1695259287&amp;sr=8-2", "https://www.amazon.com/Clarins-Anti-Aging-Treatment-Revitalizes-Youthful-Looking/dp/B09F3QR6LB/ref=sr_1_2?keywords=Clarins+Double+Serum&amp;qid=1695259287&amp;sr=8-2")</f>
        <v>https://www.amazon.com/Clarins-Anti-Aging-Treatment-Revitalizes-Youthful-Looking/dp/B09F3QR6LB/ref=sr_1_2?keywords=Clarins+Double+Serum&amp;qid=1695259287&amp;sr=8-2</v>
      </c>
      <c r="F1976" t="s">
        <v>4935</v>
      </c>
      <c r="G1976" t="e">
        <f ca="1">IMAGE("https://prolisok-store.com/cdn/shop/products/717T_LvJhvL._SL1500_300x.jpg?v=1681306763")</f>
        <v>#NAME?</v>
      </c>
      <c r="H1976" t="e">
        <f ca="1">IMAGE("https://m.media-amazon.com/images/I/71jILVpTttL._AC_UL320_.jpg")</f>
        <v>#NAME?</v>
      </c>
      <c r="I1976" t="s">
        <v>4506</v>
      </c>
      <c r="J1976">
        <v>83</v>
      </c>
      <c r="K1976" s="2" t="s">
        <v>4936</v>
      </c>
      <c r="L1976">
        <v>4.3</v>
      </c>
      <c r="M1976">
        <v>340</v>
      </c>
      <c r="O1976" t="s">
        <v>26</v>
      </c>
      <c r="P1976" t="s">
        <v>4715</v>
      </c>
      <c r="Q1976" t="s">
        <v>4716</v>
      </c>
    </row>
    <row r="1977" spans="1:17" ht="15.75" x14ac:dyDescent="0.25">
      <c r="A1977" s="3" t="str">
        <f>HYPERLINK("https://prolisok-store.com/collections/premium/products/thrive-causemetics-liquid-lash-extensions-brynn-rich-black-38oz-full-size-0-38-ounce-pack-of-1", "https://prolisok-store.com/collections/premium/products/thrive-causemetics-liquid-lash-extensions-brynn-rich-black-38oz-full-size-0-38-ounce-pack-of-1")</f>
        <v>https://prolisok-store.com/collections/premium/products/thrive-causemetics-liquid-lash-extensions-brynn-rich-black-38oz-full-size-0-38-ounce-pack-of-1</v>
      </c>
      <c r="B1977" s="3" t="str">
        <f>HYPERLINK("https://prolisok-store.com/products/thrive-causemetics-liquid-lash-extensions-brynn-rich-black-38oz-full-size-0-38-ounce-pack-of-1", "https://prolisok-store.com/products/thrive-causemetics-liquid-lash-extensions-brynn-rich-black-38oz-full-size-0-38-ounce-pack-of-1")</f>
        <v>https://prolisok-store.com/products/thrive-causemetics-liquid-lash-extensions-brynn-rich-black-38oz-full-size-0-38-ounce-pack-of-1</v>
      </c>
      <c r="C1977" t="s">
        <v>4937</v>
      </c>
      <c r="D1977" t="s">
        <v>4938</v>
      </c>
      <c r="E1977" s="3" t="str">
        <f>HYPERLINK("https://www.amazon.com/Thrive-Causemetics-Liquid-Extensions-Brynn/dp/B0B3PF5FJT/ref=sr_1_1?keywords=Thrive+Causemetics+Liquid+Lash+Extensions+Brynn+Rich+Black+.38oz+Full+Size%2C+0.38+Ounce&amp;qid=1695259308&amp;sr=8-1", "https://www.amazon.com/Thrive-Causemetics-Liquid-Extensions-Brynn/dp/B0B3PF5FJT/ref=sr_1_1?keywords=Thrive+Causemetics+Liquid+Lash+Extensions+Brynn+Rich+Black+.38oz+Full+Size%2C+0.38+Ounce&amp;qid=1695259308&amp;sr=8-1")</f>
        <v>https://www.amazon.com/Thrive-Causemetics-Liquid-Extensions-Brynn/dp/B0B3PF5FJT/ref=sr_1_1?keywords=Thrive+Causemetics+Liquid+Lash+Extensions+Brynn+Rich+Black+.38oz+Full+Size%2C+0.38+Ounce&amp;qid=1695259308&amp;sr=8-1</v>
      </c>
      <c r="F1977" t="s">
        <v>4939</v>
      </c>
      <c r="G1977" t="e">
        <f ca="1">IMAGE("https://prolisok-store.com/cdn/shop/products/41Oz9r8LUjL_300x.jpg?v=1673968472")</f>
        <v>#NAME?</v>
      </c>
      <c r="H1977" t="e">
        <f ca="1">IMAGE("https://m.media-amazon.com/images/I/61nmovpXBwL._AC_UL320_.jpg")</f>
        <v>#NAME?</v>
      </c>
      <c r="I1977" t="s">
        <v>3458</v>
      </c>
      <c r="J1977">
        <v>23.5</v>
      </c>
      <c r="K1977" s="2" t="s">
        <v>4940</v>
      </c>
      <c r="L1977">
        <v>4</v>
      </c>
      <c r="M1977">
        <v>2263</v>
      </c>
      <c r="O1977" t="s">
        <v>26</v>
      </c>
      <c r="P1977" t="s">
        <v>39</v>
      </c>
      <c r="Q1977" t="s">
        <v>4941</v>
      </c>
    </row>
    <row r="1978" spans="1:17" ht="15.75" x14ac:dyDescent="0.25">
      <c r="A1978" s="3" t="str">
        <f>HYPERLINK("https://prolisok-store.com/collections/premium/products/diptyque-baies-candle-190g-tangy-coolness-of-freshly-picked-blackcurrant-berries", "https://prolisok-store.com/collections/premium/products/diptyque-baies-candle-190g-tangy-coolness-of-freshly-picked-blackcurrant-berries")</f>
        <v>https://prolisok-store.com/collections/premium/products/diptyque-baies-candle-190g-tangy-coolness-of-freshly-picked-blackcurrant-berries</v>
      </c>
      <c r="B1978" s="3" t="str">
        <f>HYPERLINK("https://prolisok-store.com/products/diptyque-baies-candle-190g-tangy-coolness-of-freshly-picked-blackcurrant-berries", "https://prolisok-store.com/products/diptyque-baies-candle-190g-tangy-coolness-of-freshly-picked-blackcurrant-berries")</f>
        <v>https://prolisok-store.com/products/diptyque-baies-candle-190g-tangy-coolness-of-freshly-picked-blackcurrant-berries</v>
      </c>
      <c r="C1978" t="s">
        <v>4942</v>
      </c>
      <c r="D1978" t="s">
        <v>4942</v>
      </c>
      <c r="E1978" s="3" t="str">
        <f>HYPERLINK("https://www.amazon.com/Diptyque-Limited-Graphic-Collection-Candle/dp/B094LHLB1R/ref=sr_1_2?keywords=Diptyque+Baies+Candle+190g+-+%28Tangy+Coolness+of+Freshly+Picked+Blackcurrant+Berries%29&amp;qid=1695259300&amp;sr=8-2", "https://www.amazon.com/Diptyque-Limited-Graphic-Collection-Candle/dp/B094LHLB1R/ref=sr_1_2?keywords=Diptyque+Baies+Candle+190g+-+%28Tangy+Coolness+of+Freshly+Picked+Blackcurrant+Berries%29&amp;qid=1695259300&amp;sr=8-2")</f>
        <v>https://www.amazon.com/Diptyque-Limited-Graphic-Collection-Candle/dp/B094LHLB1R/ref=sr_1_2?keywords=Diptyque+Baies+Candle+190g+-+%28Tangy+Coolness+of+Freshly+Picked+Blackcurrant+Berries%29&amp;qid=1695259300&amp;sr=8-2</v>
      </c>
      <c r="F1978" t="s">
        <v>4943</v>
      </c>
      <c r="G1978" t="e">
        <f ca="1">IMAGE("https://prolisok-store.com/cdn/shop/files/41kUICJtjDL_300x.jpg?v=1693218279")</f>
        <v>#NAME?</v>
      </c>
      <c r="H1978" t="e">
        <f ca="1">IMAGE("https://m.media-amazon.com/images/I/41kUICJtjDL._AC_UL320_.jpg")</f>
        <v>#NAME?</v>
      </c>
      <c r="I1978" t="s">
        <v>4346</v>
      </c>
      <c r="J1978">
        <v>58</v>
      </c>
      <c r="K1978" s="2" t="s">
        <v>4944</v>
      </c>
      <c r="L1978">
        <v>3</v>
      </c>
      <c r="M1978">
        <v>1</v>
      </c>
      <c r="O1978" t="s">
        <v>26</v>
      </c>
      <c r="P1978" t="s">
        <v>39</v>
      </c>
      <c r="Q1978" t="s">
        <v>4945</v>
      </c>
    </row>
    <row r="1979" spans="1:17" ht="15.75" x14ac:dyDescent="0.25">
      <c r="A1979" s="3" t="str">
        <f>HYPERLINK("https://prolisok-store.com/collections/premium/products/estee-lauder-advanced-night-repair-synchronized-multi-recovery-complex-unisex-1-7-oz", "https://prolisok-store.com/collections/premium/products/estee-lauder-advanced-night-repair-synchronized-multi-recovery-complex-unisex-1-7-oz")</f>
        <v>https://prolisok-store.com/collections/premium/products/estee-lauder-advanced-night-repair-synchronized-multi-recovery-complex-unisex-1-7-oz</v>
      </c>
      <c r="B1979"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1979" t="s">
        <v>4547</v>
      </c>
      <c r="D1979" t="s">
        <v>4946</v>
      </c>
      <c r="E1979" s="3" t="str">
        <f>HYPERLINK("https://www.amazon.com/Estee-Lauder-Advanced-Synchronized-Recovery/dp/B01N3NQ9VN/ref=sr_1_9?keywords=Estee+Lauder+Advanced+Night+Repair+Synchronized+Multi-Recovery+Complex%2C+Unisex%2C+1.7+Oz&amp;qid=1695259294&amp;sr=8-9", "https://www.amazon.com/Estee-Lauder-Advanced-Synchronized-Recovery/dp/B01N3NQ9VN/ref=sr_1_9?keywords=Estee+Lauder+Advanced+Night+Repair+Synchronized+Multi-Recovery+Complex%2C+Unisex%2C+1.7+Oz&amp;qid=1695259294&amp;sr=8-9")</f>
        <v>https://www.amazon.com/Estee-Lauder-Advanced-Synchronized-Recovery/dp/B01N3NQ9VN/ref=sr_1_9?keywords=Estee+Lauder+Advanced+Night+Repair+Synchronized+Multi-Recovery+Complex%2C+Unisex%2C+1.7+Oz&amp;qid=1695259294&amp;sr=8-9</v>
      </c>
      <c r="F1979" t="s">
        <v>4947</v>
      </c>
      <c r="G1979" t="e">
        <f ca="1">IMAGE("https://prolisok-store.com/cdn/shop/files/511qVnU1eNL._SL1000_300x.jpg?v=1687507525")</f>
        <v>#NAME?</v>
      </c>
      <c r="H1979" t="e">
        <f ca="1">IMAGE("https://m.media-amazon.com/images/I/41QEeABagwL._AC_UL320_.jpg")</f>
        <v>#NAME?</v>
      </c>
      <c r="I1979" t="s">
        <v>3476</v>
      </c>
      <c r="J1979">
        <v>46</v>
      </c>
      <c r="K1979" s="2" t="s">
        <v>4948</v>
      </c>
      <c r="L1979">
        <v>4.5</v>
      </c>
      <c r="M1979">
        <v>1314</v>
      </c>
      <c r="O1979" t="s">
        <v>26</v>
      </c>
      <c r="P1979" t="s">
        <v>39</v>
      </c>
      <c r="Q1979" t="s">
        <v>4551</v>
      </c>
    </row>
    <row r="1980" spans="1:17" ht="15.75" x14ac:dyDescent="0.25">
      <c r="A1980" s="3" t="str">
        <f>HYPERLINK("https://prolisok-store.com/collections/premium/products/diptyque-figuier-candle", "https://prolisok-store.com/collections/premium/products/diptyque-figuier-candle")</f>
        <v>https://prolisok-store.com/collections/premium/products/diptyque-figuier-candle</v>
      </c>
      <c r="B1980" s="3" t="str">
        <f>HYPERLINK("https://prolisok-store.com/products/diptyque-figuier-candle", "https://prolisok-store.com/products/diptyque-figuier-candle")</f>
        <v>https://prolisok-store.com/products/diptyque-figuier-candle</v>
      </c>
      <c r="C1980" t="s">
        <v>4419</v>
      </c>
      <c r="D1980" t="s">
        <v>4949</v>
      </c>
      <c r="E1980" s="3" t="str">
        <f>HYPERLINK("https://www.amazon.com/Figuier-Fig-Mini-Candle-Diptyque/dp/B004SFHMUO/ref=sr_1_3?keywords=Diptyque+Figuier+Candle&amp;qid=1695259309&amp;sr=8-3", "https://www.amazon.com/Figuier-Fig-Mini-Candle-Diptyque/dp/B004SFHMUO/ref=sr_1_3?keywords=Diptyque+Figuier+Candle&amp;qid=1695259309&amp;sr=8-3")</f>
        <v>https://www.amazon.com/Figuier-Fig-Mini-Candle-Diptyque/dp/B004SFHMUO/ref=sr_1_3?keywords=Diptyque+Figuier+Candle&amp;qid=1695259309&amp;sr=8-3</v>
      </c>
      <c r="F1980" t="s">
        <v>4950</v>
      </c>
      <c r="G1980" t="e">
        <f ca="1">IMAGE("https://prolisok-store.com/cdn/shop/files/61-a7DkEOyL._AC_SL1024_300x.jpg?v=1693226218")</f>
        <v>#NAME?</v>
      </c>
      <c r="H1980" t="e">
        <f ca="1">IMAGE("https://m.media-amazon.com/images/I/51iUmFtg1cL._AC_UL320_.jpg")</f>
        <v>#NAME?</v>
      </c>
      <c r="I1980" t="s">
        <v>3476</v>
      </c>
      <c r="J1980">
        <v>45</v>
      </c>
      <c r="K1980" s="2" t="s">
        <v>4951</v>
      </c>
      <c r="L1980">
        <v>4</v>
      </c>
      <c r="M1980">
        <v>60</v>
      </c>
      <c r="O1980" t="s">
        <v>26</v>
      </c>
      <c r="P1980" t="s">
        <v>39</v>
      </c>
      <c r="Q1980" t="s">
        <v>4423</v>
      </c>
    </row>
    <row r="1981" spans="1:17" ht="15.75" x14ac:dyDescent="0.25">
      <c r="A1981" s="3" t="str">
        <f>HYPERLINK("https://prolisok-store.com/collections/premium/products/facial-treatment-mask-10-pc", "https://prolisok-store.com/collections/premium/products/facial-treatment-mask-10-pc")</f>
        <v>https://prolisok-store.com/collections/premium/products/facial-treatment-mask-10-pc</v>
      </c>
      <c r="B1981" s="3" t="str">
        <f>HYPERLINK("https://prolisok-store.com/products/facial-treatment-mask-10-pc", "https://prolisok-store.com/products/facial-treatment-mask-10-pc")</f>
        <v>https://prolisok-store.com/products/facial-treatment-mask-10-pc</v>
      </c>
      <c r="C1981" t="s">
        <v>4705</v>
      </c>
      <c r="D1981" t="s">
        <v>4952</v>
      </c>
      <c r="E1981" s="3" t="str">
        <f>HYPERLINK("https://www.amazon.com/SK_II-SK2-Facial-Treatment-sheets/dp/B07595LCYK/ref=sr_1_6?keywords=SK-II+Facial+Treatment+Mask%2F10+pc.&amp;qid=1695259286&amp;sr=8-6", "https://www.amazon.com/SK_II-SK2-Facial-Treatment-sheets/dp/B07595LCYK/ref=sr_1_6?keywords=SK-II+Facial+Treatment+Mask%2F10+pc.&amp;qid=1695259286&amp;sr=8-6")</f>
        <v>https://www.amazon.com/SK_II-SK2-Facial-Treatment-sheets/dp/B07595LCYK/ref=sr_1_6?keywords=SK-II+Facial+Treatment+Mask%2F10+pc.&amp;qid=1695259286&amp;sr=8-6</v>
      </c>
      <c r="F1981" t="s">
        <v>4953</v>
      </c>
      <c r="G1981" t="e">
        <f ca="1">IMAGE("https://prolisok-store.com/cdn/shop/products/41oxreg7WTL_300x.jpg?v=1673964595")</f>
        <v>#NAME?</v>
      </c>
      <c r="H1981" t="e">
        <f ca="1">IMAGE("https://m.media-amazon.com/images/I/41hQ6MtWfFL._AC_UL320_.jpg")</f>
        <v>#NAME?</v>
      </c>
      <c r="I1981" t="s">
        <v>4346</v>
      </c>
      <c r="J1981">
        <v>55.9</v>
      </c>
      <c r="K1981" s="2" t="s">
        <v>4954</v>
      </c>
      <c r="L1981">
        <v>4.2</v>
      </c>
      <c r="M1981">
        <v>7</v>
      </c>
      <c r="O1981" t="s">
        <v>26</v>
      </c>
      <c r="P1981" t="s">
        <v>4709</v>
      </c>
      <c r="Q1981" t="s">
        <v>4710</v>
      </c>
    </row>
    <row r="1982" spans="1:17" ht="15.75" x14ac:dyDescent="0.25">
      <c r="A1982" s="3" t="str">
        <f>HYPERLINK("https://prolisok-store.com/collections/premium/products/elizabeth-arden-capsules-serum", "https://prolisok-store.com/collections/premium/products/elizabeth-arden-capsules-serum")</f>
        <v>https://prolisok-store.com/collections/premium/products/elizabeth-arden-capsules-serum</v>
      </c>
      <c r="B1982" s="3" t="str">
        <f>HYPERLINK("https://prolisok-store.com/products/elizabeth-arden-capsules-serum", "https://prolisok-store.com/products/elizabeth-arden-capsules-serum")</f>
        <v>https://prolisok-store.com/products/elizabeth-arden-capsules-serum</v>
      </c>
      <c r="C1982" t="s">
        <v>4670</v>
      </c>
      <c r="D1982" t="s">
        <v>4955</v>
      </c>
      <c r="E1982" s="3" t="str">
        <f>HYPERLINK("https://www.amazon.com/Elizabeth-Arden-Advanced-Ceramide-Restoring/dp/B072C3KZ48/ref=sr_1_5?keywords=Elizabeth+Arden+Capsules+Serum&amp;qid=1695259297&amp;sr=8-5", "https://www.amazon.com/Elizabeth-Arden-Advanced-Ceramide-Restoring/dp/B072C3KZ48/ref=sr_1_5?keywords=Elizabeth+Arden+Capsules+Serum&amp;qid=1695259297&amp;sr=8-5")</f>
        <v>https://www.amazon.com/Elizabeth-Arden-Advanced-Ceramide-Restoring/dp/B072C3KZ48/ref=sr_1_5?keywords=Elizabeth+Arden+Capsules+Serum&amp;qid=1695259297&amp;sr=8-5</v>
      </c>
      <c r="F1982" t="s">
        <v>4956</v>
      </c>
      <c r="G1982" t="e">
        <f ca="1">IMAGE("https://prolisok-store.com/cdn/shop/files/71roxz2sB-L._SL1500_300x.jpg?v=1683266294")</f>
        <v>#NAME?</v>
      </c>
      <c r="H1982" t="e">
        <f ca="1">IMAGE("https://m.media-amazon.com/images/I/81ZrMgDNsPL._AC_UL320_.jpg")</f>
        <v>#NAME?</v>
      </c>
      <c r="I1982" t="s">
        <v>4355</v>
      </c>
      <c r="J1982">
        <v>67</v>
      </c>
      <c r="K1982" s="2" t="s">
        <v>4957</v>
      </c>
      <c r="L1982">
        <v>4.3</v>
      </c>
      <c r="M1982">
        <v>583</v>
      </c>
      <c r="O1982" t="s">
        <v>26</v>
      </c>
      <c r="P1982" t="s">
        <v>39</v>
      </c>
      <c r="Q1982" t="s">
        <v>4673</v>
      </c>
    </row>
    <row r="1983" spans="1:17" ht="15.75" x14ac:dyDescent="0.25">
      <c r="A1983" s="3" t="str">
        <f>HYPERLINK("https://prolisok-store.com/collections/premium/products/estee-lauder-advanced-night-repair-synchronized-multi-recovery-complex-unisex-1-7-oz", "https://prolisok-store.com/collections/premium/products/estee-lauder-advanced-night-repair-synchronized-multi-recovery-complex-unisex-1-7-oz")</f>
        <v>https://prolisok-store.com/collections/premium/products/estee-lauder-advanced-night-repair-synchronized-multi-recovery-complex-unisex-1-7-oz</v>
      </c>
      <c r="B1983"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1983" t="s">
        <v>4547</v>
      </c>
      <c r="D1983" t="s">
        <v>4547</v>
      </c>
      <c r="E1983" s="3" t="str">
        <f>HYPERLINK("https://www.amazon.com/Estee-Lauder-Advanced-Synchronized-Multi-Recovery/dp/B08DHQCGH9/ref=sr_1_1?keywords=Estee+Lauder+Advanced+Night+Repair+Synchronized+Multi-Recovery+Complex%2C+Unisex%2C+1.7+Oz&amp;qid=1695259294&amp;sr=8-1", "https://www.amazon.com/Estee-Lauder-Advanced-Synchronized-Multi-Recovery/dp/B08DHQCGH9/ref=sr_1_1?keywords=Estee+Lauder+Advanced+Night+Repair+Synchronized+Multi-Recovery+Complex%2C+Unisex%2C+1.7+Oz&amp;qid=1695259294&amp;sr=8-1")</f>
        <v>https://www.amazon.com/Estee-Lauder-Advanced-Synchronized-Multi-Recovery/dp/B08DHQCGH9/ref=sr_1_1?keywords=Estee+Lauder+Advanced+Night+Repair+Synchronized+Multi-Recovery+Complex%2C+Unisex%2C+1.7+Oz&amp;qid=1695259294&amp;sr=8-1</v>
      </c>
      <c r="F1983" t="s">
        <v>4958</v>
      </c>
      <c r="G1983" t="e">
        <f ca="1">IMAGE("https://prolisok-store.com/cdn/shop/files/511qVnU1eNL._SL1000_300x.jpg?v=1687507525")</f>
        <v>#NAME?</v>
      </c>
      <c r="H1983" t="e">
        <f ca="1">IMAGE("https://m.media-amazon.com/images/I/511qVnU1eNL._AC_UL320_.jpg")</f>
        <v>#NAME?</v>
      </c>
      <c r="I1983" t="s">
        <v>3476</v>
      </c>
      <c r="J1983">
        <v>44.1</v>
      </c>
      <c r="K1983" s="2" t="s">
        <v>4959</v>
      </c>
      <c r="L1983">
        <v>4.5</v>
      </c>
      <c r="M1983">
        <v>767</v>
      </c>
      <c r="O1983" t="s">
        <v>26</v>
      </c>
      <c r="P1983" t="s">
        <v>39</v>
      </c>
      <c r="Q1983" t="s">
        <v>4551</v>
      </c>
    </row>
    <row r="1984" spans="1:17" ht="15.75" x14ac:dyDescent="0.25">
      <c r="A1984" s="3" t="str">
        <f>HYPERLINK("https://prolisok-store.com/collections/premium/products/estee-lauder-advanced-night-repair-synchronized-multi-recovery-complex-unisex-1-7-oz", "https://prolisok-store.com/collections/premium/products/estee-lauder-advanced-night-repair-synchronized-multi-recovery-complex-unisex-1-7-oz")</f>
        <v>https://prolisok-store.com/collections/premium/products/estee-lauder-advanced-night-repair-synchronized-multi-recovery-complex-unisex-1-7-oz</v>
      </c>
      <c r="B1984"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1984" t="s">
        <v>4547</v>
      </c>
      <c r="D1984" t="s">
        <v>4960</v>
      </c>
      <c r="E1984" s="3" t="str">
        <f>HYPERLINK("https://www.amazon.com/Advanced-Estee-Lauder-Synchronized-Multi-Recovery/dp/B08DH979F7/ref=sr_1_2?keywords=Estee+Lauder+Advanced+Night+Repair+Synchronized+Multi-Recovery+Complex%2C+Unisex%2C+1.7+Oz&amp;qid=1695259294&amp;sr=8-2", "https://www.amazon.com/Advanced-Estee-Lauder-Synchronized-Multi-Recovery/dp/B08DH979F7/ref=sr_1_2?keywords=Estee+Lauder+Advanced+Night+Repair+Synchronized+Multi-Recovery+Complex%2C+Unisex%2C+1.7+Oz&amp;qid=1695259294&amp;sr=8-2")</f>
        <v>https://www.amazon.com/Advanced-Estee-Lauder-Synchronized-Multi-Recovery/dp/B08DH979F7/ref=sr_1_2?keywords=Estee+Lauder+Advanced+Night+Repair+Synchronized+Multi-Recovery+Complex%2C+Unisex%2C+1.7+Oz&amp;qid=1695259294&amp;sr=8-2</v>
      </c>
      <c r="F1984" t="s">
        <v>4961</v>
      </c>
      <c r="G1984" t="e">
        <f ca="1">IMAGE("https://prolisok-store.com/cdn/shop/files/511qVnU1eNL._SL1000_300x.jpg?v=1687507525")</f>
        <v>#NAME?</v>
      </c>
      <c r="H1984" t="e">
        <f ca="1">IMAGE("https://m.media-amazon.com/images/I/61i9RaRa2gL._AC_UL320_.jpg")</f>
        <v>#NAME?</v>
      </c>
      <c r="I1984" t="s">
        <v>3476</v>
      </c>
      <c r="J1984">
        <v>43.99</v>
      </c>
      <c r="K1984" s="2" t="s">
        <v>4962</v>
      </c>
      <c r="L1984">
        <v>4.5</v>
      </c>
      <c r="M1984">
        <v>112</v>
      </c>
      <c r="O1984" t="s">
        <v>26</v>
      </c>
      <c r="P1984" t="s">
        <v>39</v>
      </c>
      <c r="Q1984" t="s">
        <v>4551</v>
      </c>
    </row>
    <row r="1985" spans="1:17" ht="15.75" x14ac:dyDescent="0.25">
      <c r="A1985" s="3" t="str">
        <f>HYPERLINK("https://prolisok-store.com/collections/premium/products/diptyque-do-son-eau-de-toilette-3-4-fl-oz", "https://prolisok-store.com/collections/premium/products/diptyque-do-son-eau-de-toilette-3-4-fl-oz")</f>
        <v>https://prolisok-store.com/collections/premium/products/diptyque-do-son-eau-de-toilette-3-4-fl-oz</v>
      </c>
      <c r="B1985" s="3" t="str">
        <f>HYPERLINK("https://prolisok-store.com/products/diptyque-do-son-eau-de-toilette-3-4-fl-oz", "https://prolisok-store.com/products/diptyque-do-son-eau-de-toilette-3-4-fl-oz")</f>
        <v>https://prolisok-store.com/products/diptyque-do-son-eau-de-toilette-3-4-fl-oz</v>
      </c>
      <c r="C1985" t="s">
        <v>4963</v>
      </c>
      <c r="D1985" t="s">
        <v>4925</v>
      </c>
      <c r="E1985" s="3" t="str">
        <f>HYPERLINK("https://www.amazon.com/Diptyque-Lombre-Toilette-Spray-Women/dp/B00HR1ZSTS/ref=sr_1_3?keywords=Diptyque+Do+Son+Eau+de+Toilette-3.4+Fl+Oz.&amp;qid=1695259290&amp;sr=8-3", "https://www.amazon.com/Diptyque-Lombre-Toilette-Spray-Women/dp/B00HR1ZSTS/ref=sr_1_3?keywords=Diptyque+Do+Son+Eau+de+Toilette-3.4+Fl+Oz.&amp;qid=1695259290&amp;sr=8-3")</f>
        <v>https://www.amazon.com/Diptyque-Lombre-Toilette-Spray-Women/dp/B00HR1ZSTS/ref=sr_1_3?keywords=Diptyque+Do+Son+Eau+de+Toilette-3.4+Fl+Oz.&amp;qid=1695259290&amp;sr=8-3</v>
      </c>
      <c r="F1985" t="s">
        <v>4926</v>
      </c>
      <c r="G1985" t="e">
        <f ca="1">IMAGE("https://prolisok-store.com/cdn/shop/files/71GzHfc5hjL._SL1500_300x.jpg?v=1686658412")</f>
        <v>#NAME?</v>
      </c>
      <c r="H1985" t="e">
        <f ca="1">IMAGE("https://m.media-amazon.com/images/I/71auE9nCLPL._AC_UL320_.jpg")</f>
        <v>#NAME?</v>
      </c>
      <c r="I1985" t="s">
        <v>4506</v>
      </c>
      <c r="J1985">
        <v>76.2</v>
      </c>
      <c r="K1985" s="2" t="s">
        <v>3448</v>
      </c>
      <c r="L1985">
        <v>4.0999999999999996</v>
      </c>
      <c r="M1985">
        <v>25</v>
      </c>
      <c r="O1985" t="s">
        <v>26</v>
      </c>
      <c r="P1985" t="s">
        <v>39</v>
      </c>
      <c r="Q1985" t="s">
        <v>4964</v>
      </c>
    </row>
    <row r="1986" spans="1:17" ht="15.75" x14ac:dyDescent="0.25">
      <c r="A1986" s="3" t="str">
        <f>HYPERLINK("https://prolisok-store.com/collections/premium/products/dabalash-eye-lash-enhancer", "https://prolisok-store.com/collections/premium/products/dabalash-eye-lash-enhancer")</f>
        <v>https://prolisok-store.com/collections/premium/products/dabalash-eye-lash-enhancer</v>
      </c>
      <c r="B1986" s="3" t="str">
        <f>HYPERLINK("https://prolisok-store.com/products/dabalash-eye-lash-enhancer", "https://prolisok-store.com/products/dabalash-eye-lash-enhancer")</f>
        <v>https://prolisok-store.com/products/dabalash-eye-lash-enhancer</v>
      </c>
      <c r="C1986" t="s">
        <v>4424</v>
      </c>
      <c r="D1986" t="s">
        <v>4965</v>
      </c>
      <c r="E1986" s="3" t="str">
        <f>HYPERLINK("https://www.amazon.com/Dabalash-Professional-Eyelash-Enhancer-0-18FL/dp/B089S5J4JQ/ref=sr_1_1?keywords=Dabalash+Eye+Lash+Enhancer&amp;qid=1695259291&amp;sr=8-1", "https://www.amazon.com/Dabalash-Professional-Eyelash-Enhancer-0-18FL/dp/B089S5J4JQ/ref=sr_1_1?keywords=Dabalash+Eye+Lash+Enhancer&amp;qid=1695259291&amp;sr=8-1")</f>
        <v>https://www.amazon.com/Dabalash-Professional-Eyelash-Enhancer-0-18FL/dp/B089S5J4JQ/ref=sr_1_1?keywords=Dabalash+Eye+Lash+Enhancer&amp;qid=1695259291&amp;sr=8-1</v>
      </c>
      <c r="F1986" t="s">
        <v>4966</v>
      </c>
      <c r="G1986" t="e">
        <f ca="1">IMAGE("https://prolisok-store.com/cdn/shop/files/71dLRMnmysL._AC_SL1500_300x.jpg?v=1692864868")</f>
        <v>#NAME?</v>
      </c>
      <c r="H1986" t="e">
        <f ca="1">IMAGE("https://m.media-amazon.com/images/I/51UvMdLZWaL._AC_UL320_.jpg")</f>
        <v>#NAME?</v>
      </c>
      <c r="I1986" t="s">
        <v>3458</v>
      </c>
      <c r="J1986">
        <v>20.85</v>
      </c>
      <c r="K1986" s="2" t="s">
        <v>4967</v>
      </c>
      <c r="L1986">
        <v>3.6</v>
      </c>
      <c r="M1986">
        <v>30</v>
      </c>
      <c r="O1986" t="s">
        <v>26</v>
      </c>
      <c r="P1986" t="s">
        <v>39</v>
      </c>
      <c r="Q1986" t="s">
        <v>4428</v>
      </c>
    </row>
    <row r="1987" spans="1:17" ht="15.75" x14ac:dyDescent="0.25">
      <c r="A1987" s="3" t="str">
        <f>HYPERLINK("https://prolisok-store.com/collections/premium/products/estee-lauder-pure-color-envy-sculpting-lipstick-360-fierce-0-12-ounce", "https://prolisok-store.com/collections/premium/products/estee-lauder-pure-color-envy-sculpting-lipstick-360-fierce-0-12-ounce")</f>
        <v>https://prolisok-store.com/collections/premium/products/estee-lauder-pure-color-envy-sculpting-lipstick-360-fierce-0-12-ounce</v>
      </c>
      <c r="B1987"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1987" t="s">
        <v>4452</v>
      </c>
      <c r="D1987" t="s">
        <v>4968</v>
      </c>
      <c r="E1987" s="3" t="str">
        <f>HYPERLINK("https://www.amazon.com/Estee-Lauder-Sculpting-Lipstick-Envious/dp/B081KYH7DR/ref=sr_1_9?keywords=Estee+Lauder+Pure+Color+Envy+Sculpting+Lipstick&amp;qid=1695259287&amp;sr=8-9", "https://www.amazon.com/Estee-Lauder-Sculpting-Lipstick-Envious/dp/B081KYH7DR/ref=sr_1_9?keywords=Estee+Lauder+Pure+Color+Envy+Sculpting+Lipstick&amp;qid=1695259287&amp;sr=8-9")</f>
        <v>https://www.amazon.com/Estee-Lauder-Sculpting-Lipstick-Envious/dp/B081KYH7DR/ref=sr_1_9?keywords=Estee+Lauder+Pure+Color+Envy+Sculpting+Lipstick&amp;qid=1695259287&amp;sr=8-9</v>
      </c>
      <c r="F1987" t="s">
        <v>4969</v>
      </c>
      <c r="G1987" t="e">
        <f ca="1">IMAGE("https://prolisok-store.com/cdn/shop/products/61OXcvCJbTL._SL1500_300x.jpg?v=1681307706")</f>
        <v>#NAME?</v>
      </c>
      <c r="H1987" t="e">
        <f ca="1">IMAGE("https://m.media-amazon.com/images/I/71Pi6tBVssL._AC_UL320_.jpg")</f>
        <v>#NAME?</v>
      </c>
      <c r="I1987" t="s">
        <v>3419</v>
      </c>
      <c r="J1987">
        <v>15.38</v>
      </c>
      <c r="K1987" s="2" t="s">
        <v>4970</v>
      </c>
      <c r="L1987">
        <v>4.3</v>
      </c>
      <c r="M1987">
        <v>19</v>
      </c>
      <c r="O1987" t="s">
        <v>26</v>
      </c>
      <c r="P1987" t="s">
        <v>39</v>
      </c>
      <c r="Q1987" t="s">
        <v>4456</v>
      </c>
    </row>
    <row r="1988" spans="1:17" ht="15.75" x14ac:dyDescent="0.25">
      <c r="A1988" s="3" t="str">
        <f>HYPERLINK("https://prolisok-store.com/collections/premium/products/estee-lauder-pure-color-envy-sculpting-lipstick-360-fierce-0-12-ounce", "https://prolisok-store.com/collections/premium/products/estee-lauder-pure-color-envy-sculpting-lipstick-360-fierce-0-12-ounce")</f>
        <v>https://prolisok-store.com/collections/premium/products/estee-lauder-pure-color-envy-sculpting-lipstick-360-fierce-0-12-ounce</v>
      </c>
      <c r="B1988"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1988" t="s">
        <v>4452</v>
      </c>
      <c r="D1988" t="s">
        <v>4971</v>
      </c>
      <c r="E1988" s="3" t="str">
        <f>HYPERLINK("https://www.amazon.com/Estee-Lauder-Sculpting-Lipstick-Persuasive/dp/B072178J4F/ref=sr_1_6?keywords=Estee+Lauder+Pure+Color+Envy+Sculpting+Lipstick&amp;qid=1695259287&amp;sr=8-6", "https://www.amazon.com/Estee-Lauder-Sculpting-Lipstick-Persuasive/dp/B072178J4F/ref=sr_1_6?keywords=Estee+Lauder+Pure+Color+Envy+Sculpting+Lipstick&amp;qid=1695259287&amp;sr=8-6")</f>
        <v>https://www.amazon.com/Estee-Lauder-Sculpting-Lipstick-Persuasive/dp/B072178J4F/ref=sr_1_6?keywords=Estee+Lauder+Pure+Color+Envy+Sculpting+Lipstick&amp;qid=1695259287&amp;sr=8-6</v>
      </c>
      <c r="F1988" t="s">
        <v>4972</v>
      </c>
      <c r="G1988" t="e">
        <f ca="1">IMAGE("https://prolisok-store.com/cdn/shop/products/61OXcvCJbTL._SL1500_300x.jpg?v=1681307706")</f>
        <v>#NAME?</v>
      </c>
      <c r="H1988" t="e">
        <f ca="1">IMAGE("https://m.media-amazon.com/images/I/61CmcvFzmnL._AC_UL320_.jpg")</f>
        <v>#NAME?</v>
      </c>
      <c r="I1988" t="s">
        <v>3419</v>
      </c>
      <c r="J1988">
        <v>14.49</v>
      </c>
      <c r="K1988" s="2" t="s">
        <v>4973</v>
      </c>
      <c r="L1988">
        <v>3.6</v>
      </c>
      <c r="M1988">
        <v>21</v>
      </c>
      <c r="O1988" t="s">
        <v>26</v>
      </c>
      <c r="P1988" t="s">
        <v>39</v>
      </c>
      <c r="Q1988" t="s">
        <v>4456</v>
      </c>
    </row>
    <row r="1989" spans="1:17" ht="15.75" x14ac:dyDescent="0.25">
      <c r="A1989" s="3" t="str">
        <f>HYPERLINK("https://prolisok-store.com/collections/premium/products/estee-lauder-pure-color-envy-sculpting-lipstick-360-fierce-0-12-ounce", "https://prolisok-store.com/collections/premium/products/estee-lauder-pure-color-envy-sculpting-lipstick-360-fierce-0-12-ounce")</f>
        <v>https://prolisok-store.com/collections/premium/products/estee-lauder-pure-color-envy-sculpting-lipstick-360-fierce-0-12-ounce</v>
      </c>
      <c r="B1989"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1989" t="s">
        <v>4452</v>
      </c>
      <c r="D1989" t="s">
        <v>4974</v>
      </c>
      <c r="E1989" s="3" t="str">
        <f>HYPERLINK("https://www.amazon.com/Estee-Lauder-Hi-Lustre-Sculpting-Rebellious/dp/B082GKGDLR/ref=sr_1_8?keywords=Estee+Lauder+Pure+Color+Envy+Sculpting+Lipstick&amp;qid=1695259287&amp;sr=8-8", "https://www.amazon.com/Estee-Lauder-Hi-Lustre-Sculpting-Rebellious/dp/B082GKGDLR/ref=sr_1_8?keywords=Estee+Lauder+Pure+Color+Envy+Sculpting+Lipstick&amp;qid=1695259287&amp;sr=8-8")</f>
        <v>https://www.amazon.com/Estee-Lauder-Hi-Lustre-Sculpting-Rebellious/dp/B082GKGDLR/ref=sr_1_8?keywords=Estee+Lauder+Pure+Color+Envy+Sculpting+Lipstick&amp;qid=1695259287&amp;sr=8-8</v>
      </c>
      <c r="F1989" t="s">
        <v>4975</v>
      </c>
      <c r="G1989" t="e">
        <f ca="1">IMAGE("https://prolisok-store.com/cdn/shop/products/61OXcvCJbTL._SL1500_300x.jpg?v=1681307706")</f>
        <v>#NAME?</v>
      </c>
      <c r="H1989" t="e">
        <f ca="1">IMAGE("https://m.media-amazon.com/images/I/61IL0bo1SwL._AC_UL320_.jpg")</f>
        <v>#NAME?</v>
      </c>
      <c r="I1989" t="s">
        <v>3419</v>
      </c>
      <c r="J1989">
        <v>14.44</v>
      </c>
      <c r="K1989" s="2" t="s">
        <v>4976</v>
      </c>
      <c r="L1989">
        <v>4.4000000000000004</v>
      </c>
      <c r="M1989">
        <v>31</v>
      </c>
      <c r="O1989" t="s">
        <v>26</v>
      </c>
      <c r="P1989" t="s">
        <v>39</v>
      </c>
      <c r="Q1989" t="s">
        <v>4456</v>
      </c>
    </row>
    <row r="1990" spans="1:17" ht="15.75" x14ac:dyDescent="0.25">
      <c r="A1990" s="3" t="str">
        <f>HYPERLINK("https://prolisok-store.com/collections/premium/products/elizabeth-arden-capsules-serum", "https://prolisok-store.com/collections/premium/products/elizabeth-arden-capsules-serum")</f>
        <v>https://prolisok-store.com/collections/premium/products/elizabeth-arden-capsules-serum</v>
      </c>
      <c r="B1990" s="3" t="str">
        <f>HYPERLINK("https://prolisok-store.com/products/elizabeth-arden-capsules-serum", "https://prolisok-store.com/products/elizabeth-arden-capsules-serum")</f>
        <v>https://prolisok-store.com/products/elizabeth-arden-capsules-serum</v>
      </c>
      <c r="C1990" t="s">
        <v>4670</v>
      </c>
      <c r="D1990" t="s">
        <v>4977</v>
      </c>
      <c r="E1990" s="3" t="str">
        <f>HYPERLINK("https://www.amazon.com/Elizabeth-Arden-Retinol-Ceramide-Capsules/dp/B07FKBBK1L/ref=sr_1_7?keywords=Elizabeth+Arden+Capsules+Serum&amp;qid=1695259297&amp;sr=8-7", "https://www.amazon.com/Elizabeth-Arden-Retinol-Ceramide-Capsules/dp/B07FKBBK1L/ref=sr_1_7?keywords=Elizabeth+Arden+Capsules+Serum&amp;qid=1695259297&amp;sr=8-7")</f>
        <v>https://www.amazon.com/Elizabeth-Arden-Retinol-Ceramide-Capsules/dp/B07FKBBK1L/ref=sr_1_7?keywords=Elizabeth+Arden+Capsules+Serum&amp;qid=1695259297&amp;sr=8-7</v>
      </c>
      <c r="F1990" t="s">
        <v>4978</v>
      </c>
      <c r="G1990" t="e">
        <f ca="1">IMAGE("https://prolisok-store.com/cdn/shop/files/71roxz2sB-L._SL1500_300x.jpg?v=1683266294")</f>
        <v>#NAME?</v>
      </c>
      <c r="H1990" t="e">
        <f ca="1">IMAGE("https://m.media-amazon.com/images/I/71ObhVyRrqL._AC_UL320_.jpg")</f>
        <v>#NAME?</v>
      </c>
      <c r="I1990" t="s">
        <v>4355</v>
      </c>
      <c r="J1990">
        <v>54</v>
      </c>
      <c r="K1990" s="2" t="s">
        <v>4979</v>
      </c>
      <c r="L1990">
        <v>4.5</v>
      </c>
      <c r="M1990">
        <v>1342</v>
      </c>
      <c r="O1990" t="s">
        <v>26</v>
      </c>
      <c r="P1990" t="s">
        <v>39</v>
      </c>
      <c r="Q1990" t="s">
        <v>4673</v>
      </c>
    </row>
    <row r="1991" spans="1:17" ht="15.75" x14ac:dyDescent="0.25">
      <c r="A1991" s="3" t="str">
        <f>HYPERLINK("https://prolisok-store.com/collections/premium/products/elizabeth-arden-capsules-serum", "https://prolisok-store.com/collections/premium/products/elizabeth-arden-capsules-serum")</f>
        <v>https://prolisok-store.com/collections/premium/products/elizabeth-arden-capsules-serum</v>
      </c>
      <c r="B1991" s="3" t="str">
        <f>HYPERLINK("https://prolisok-store.com/products/elizabeth-arden-capsules-serum", "https://prolisok-store.com/products/elizabeth-arden-capsules-serum")</f>
        <v>https://prolisok-store.com/products/elizabeth-arden-capsules-serum</v>
      </c>
      <c r="C1991" t="s">
        <v>4670</v>
      </c>
      <c r="D1991" t="s">
        <v>4980</v>
      </c>
      <c r="E1991" s="3" t="str">
        <f>HYPERLINK("https://www.amazon.com/Elizabeth-Arden-ADVANCED-CERAMIDE-STRENGTHENING/dp/B0BTTLKPZC/ref=sr_1_9?keywords=Elizabeth+Arden+Capsules+Serum&amp;qid=1695259297&amp;sr=8-9", "https://www.amazon.com/Elizabeth-Arden-ADVANCED-CERAMIDE-STRENGTHENING/dp/B0BTTLKPZC/ref=sr_1_9?keywords=Elizabeth+Arden+Capsules+Serum&amp;qid=1695259297&amp;sr=8-9")</f>
        <v>https://www.amazon.com/Elizabeth-Arden-ADVANCED-CERAMIDE-STRENGTHENING/dp/B0BTTLKPZC/ref=sr_1_9?keywords=Elizabeth+Arden+Capsules+Serum&amp;qid=1695259297&amp;sr=8-9</v>
      </c>
      <c r="F1991" t="s">
        <v>4981</v>
      </c>
      <c r="G1991" t="e">
        <f ca="1">IMAGE("https://prolisok-store.com/cdn/shop/files/71roxz2sB-L._SL1500_300x.jpg?v=1683266294")</f>
        <v>#NAME?</v>
      </c>
      <c r="H1991" t="e">
        <f ca="1">IMAGE("https://m.media-amazon.com/images/I/810rnkKXOgL._AC_UL320_.jpg")</f>
        <v>#NAME?</v>
      </c>
      <c r="I1991" t="s">
        <v>4355</v>
      </c>
      <c r="J1991">
        <v>54</v>
      </c>
      <c r="K1991" s="2" t="s">
        <v>4979</v>
      </c>
      <c r="L1991">
        <v>4.3</v>
      </c>
      <c r="M1991">
        <v>59</v>
      </c>
      <c r="O1991" t="s">
        <v>26</v>
      </c>
      <c r="P1991" t="s">
        <v>39</v>
      </c>
      <c r="Q1991" t="s">
        <v>4673</v>
      </c>
    </row>
    <row r="1992" spans="1:17" ht="15.75" x14ac:dyDescent="0.25">
      <c r="A1992" s="3" t="str">
        <f>HYPERLINK("https://prolisok-store.com/collections/premium/products/elizabeth-arden-capsules-serum", "https://prolisok-store.com/collections/premium/products/elizabeth-arden-capsules-serum")</f>
        <v>https://prolisok-store.com/collections/premium/products/elizabeth-arden-capsules-serum</v>
      </c>
      <c r="B1992" s="3" t="str">
        <f>HYPERLINK("https://prolisok-store.com/products/elizabeth-arden-capsules-serum", "https://prolisok-store.com/products/elizabeth-arden-capsules-serum")</f>
        <v>https://prolisok-store.com/products/elizabeth-arden-capsules-serum</v>
      </c>
      <c r="C1992" t="s">
        <v>4670</v>
      </c>
      <c r="D1992" t="s">
        <v>4982</v>
      </c>
      <c r="E1992" s="3" t="str">
        <f>HYPERLINK("https://www.amazon.com/Elizabeth-Arden-Hyaluronic-Ceramide-Hydra-Plumping/dp/B08F76M1YF/ref=sr_1_3?keywords=Elizabeth+Arden+Capsules+Serum&amp;qid=1695259297&amp;sr=8-3", "https://www.amazon.com/Elizabeth-Arden-Hyaluronic-Ceramide-Hydra-Plumping/dp/B08F76M1YF/ref=sr_1_3?keywords=Elizabeth+Arden+Capsules+Serum&amp;qid=1695259297&amp;sr=8-3")</f>
        <v>https://www.amazon.com/Elizabeth-Arden-Hyaluronic-Ceramide-Hydra-Plumping/dp/B08F76M1YF/ref=sr_1_3?keywords=Elizabeth+Arden+Capsules+Serum&amp;qid=1695259297&amp;sr=8-3</v>
      </c>
      <c r="F1992" t="s">
        <v>4983</v>
      </c>
      <c r="G1992" t="e">
        <f ca="1">IMAGE("https://prolisok-store.com/cdn/shop/files/71roxz2sB-L._SL1500_300x.jpg?v=1683266294")</f>
        <v>#NAME?</v>
      </c>
      <c r="H1992" t="e">
        <f ca="1">IMAGE("https://m.media-amazon.com/images/I/71XPzgxydZL._AC_UL320_.jpg")</f>
        <v>#NAME?</v>
      </c>
      <c r="I1992" t="s">
        <v>4355</v>
      </c>
      <c r="J1992">
        <v>54</v>
      </c>
      <c r="K1992" s="2" t="s">
        <v>4979</v>
      </c>
      <c r="L1992">
        <v>4.5999999999999996</v>
      </c>
      <c r="M1992">
        <v>988</v>
      </c>
      <c r="O1992" t="s">
        <v>26</v>
      </c>
      <c r="P1992" t="s">
        <v>39</v>
      </c>
      <c r="Q1992" t="s">
        <v>4673</v>
      </c>
    </row>
    <row r="1993" spans="1:17" ht="15.75" x14ac:dyDescent="0.25">
      <c r="A1993" s="3" t="str">
        <f>HYPERLINK("https://prolisok-store.com/collections/premium/products/dabalash-eye-lash-enhancer", "https://prolisok-store.com/collections/premium/products/dabalash-eye-lash-enhancer")</f>
        <v>https://prolisok-store.com/collections/premium/products/dabalash-eye-lash-enhancer</v>
      </c>
      <c r="B1993" s="3" t="str">
        <f>HYPERLINK("https://prolisok-store.com/products/dabalash-eye-lash-enhancer", "https://prolisok-store.com/products/dabalash-eye-lash-enhancer")</f>
        <v>https://prolisok-store.com/products/dabalash-eye-lash-enhancer</v>
      </c>
      <c r="C1993" t="s">
        <v>4424</v>
      </c>
      <c r="D1993" t="s">
        <v>4984</v>
      </c>
      <c r="E1993" s="3" t="str">
        <f>HYPERLINK("https://www.amazon.com/Eyelash-Eyebrow-Enhancer-Thicker-Eyelashes/dp/B09DGS5424/ref=sr_1_9?keywords=Dabalash+Eye+Lash+Enhancer&amp;qid=1695259291&amp;sr=8-9", "https://www.amazon.com/Eyelash-Eyebrow-Enhancer-Thicker-Eyelashes/dp/B09DGS5424/ref=sr_1_9?keywords=Dabalash+Eye+Lash+Enhancer&amp;qid=1695259291&amp;sr=8-9")</f>
        <v>https://www.amazon.com/Eyelash-Eyebrow-Enhancer-Thicker-Eyelashes/dp/B09DGS5424/ref=sr_1_9?keywords=Dabalash+Eye+Lash+Enhancer&amp;qid=1695259291&amp;sr=8-9</v>
      </c>
      <c r="F1993" t="s">
        <v>4985</v>
      </c>
      <c r="G1993" t="e">
        <f ca="1">IMAGE("https://prolisok-store.com/cdn/shop/files/71dLRMnmysL._AC_SL1500_300x.jpg?v=1692864868")</f>
        <v>#NAME?</v>
      </c>
      <c r="H1993" t="e">
        <f ca="1">IMAGE("https://m.media-amazon.com/images/I/51QYMgEG-kL._AC_UL320_.jpg")</f>
        <v>#NAME?</v>
      </c>
      <c r="I1993" t="s">
        <v>3458</v>
      </c>
      <c r="J1993">
        <v>17.989999999999998</v>
      </c>
      <c r="K1993" s="2" t="s">
        <v>4986</v>
      </c>
      <c r="L1993">
        <v>4.8</v>
      </c>
      <c r="M1993">
        <v>106</v>
      </c>
      <c r="O1993" t="s">
        <v>26</v>
      </c>
      <c r="P1993" t="s">
        <v>39</v>
      </c>
      <c r="Q1993" t="s">
        <v>4428</v>
      </c>
    </row>
    <row r="1994" spans="1:17" ht="15.75" x14ac:dyDescent="0.25">
      <c r="A1994" s="3" t="str">
        <f>HYPERLINK("https://prolisok-store.com/collections/premium/products/drunk-elephant-lala-retro-whipped-cream-50-milliliters", "https://prolisok-store.com/collections/premium/products/drunk-elephant-lala-retro-whipped-cream-50-milliliters")</f>
        <v>https://prolisok-store.com/collections/premium/products/drunk-elephant-lala-retro-whipped-cream-50-milliliters</v>
      </c>
      <c r="B1994" s="3" t="str">
        <f>HYPERLINK("https://prolisok-store.com/products/drunk-elephant-lala-retro-whipped-cream-50-milliliters", "https://prolisok-store.com/products/drunk-elephant-lala-retro-whipped-cream-50-milliliters")</f>
        <v>https://prolisok-store.com/products/drunk-elephant-lala-retro-whipped-cream-50-milliliters</v>
      </c>
      <c r="C1994" t="s">
        <v>4388</v>
      </c>
      <c r="D1994" t="s">
        <v>4987</v>
      </c>
      <c r="E1994" s="3" t="str">
        <f>HYPERLINK("https://www.amazon.com/Whipped-Replenishing-Moisturizer-Protection-Rejuvenation/dp/B0B9XDGRHK/ref=sr_1_2?keywords=Drunk+Elephant+Lala+Retro+Whipped+Cream+50+Milliliters&amp;qid=1695259287&amp;sr=8-2", "https://www.amazon.com/Whipped-Replenishing-Moisturizer-Protection-Rejuvenation/dp/B0B9XDGRHK/ref=sr_1_2?keywords=Drunk+Elephant+Lala+Retro+Whipped+Cream+50+Milliliters&amp;qid=1695259287&amp;sr=8-2")</f>
        <v>https://www.amazon.com/Whipped-Replenishing-Moisturizer-Protection-Rejuvenation/dp/B0B9XDGRHK/ref=sr_1_2?keywords=Drunk+Elephant+Lala+Retro+Whipped+Cream+50+Milliliters&amp;qid=1695259287&amp;sr=8-2</v>
      </c>
      <c r="F1994" t="s">
        <v>4988</v>
      </c>
      <c r="G1994" t="e">
        <f ca="1">IMAGE("https://prolisok-store.com/cdn/shop/files/51ybUrn6ZWL._SL1500_300x.jpg?v=1686223860")</f>
        <v>#NAME?</v>
      </c>
      <c r="H1994" t="e">
        <f ca="1">IMAGE("https://m.media-amazon.com/images/I/41CHkJw2zpL._AC_UL320_.jpg")</f>
        <v>#NAME?</v>
      </c>
      <c r="I1994" t="s">
        <v>3566</v>
      </c>
      <c r="J1994">
        <v>30.5</v>
      </c>
      <c r="K1994" s="2" t="s">
        <v>4989</v>
      </c>
      <c r="L1994">
        <v>4</v>
      </c>
      <c r="M1994">
        <v>123</v>
      </c>
      <c r="O1994" t="s">
        <v>26</v>
      </c>
      <c r="P1994" t="s">
        <v>2472</v>
      </c>
      <c r="Q1994" t="s">
        <v>4392</v>
      </c>
    </row>
    <row r="1995" spans="1:17" ht="15.75" x14ac:dyDescent="0.25">
      <c r="A1995" s="3" t="str">
        <f>HYPERLINK("https://prolisok-store.com/collections/premium/products/estee-lauder-pure-color-envy-sculpting-lipstick-360-fierce-0-12-ounce", "https://prolisok-store.com/collections/premium/products/estee-lauder-pure-color-envy-sculpting-lipstick-360-fierce-0-12-ounce")</f>
        <v>https://prolisok-store.com/collections/premium/products/estee-lauder-pure-color-envy-sculpting-lipstick-360-fierce-0-12-ounce</v>
      </c>
      <c r="B1995"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1995" t="s">
        <v>4452</v>
      </c>
      <c r="D1995" t="s">
        <v>4990</v>
      </c>
      <c r="E1995" s="3" t="str">
        <f>HYPERLINK("https://www.amazon.com/Estee-Lauder-Sculpting-Lipstick-Promotional/dp/B0CFSXDYF4/ref=sr_1_4?keywords=Estee+Lauder+Pure+Color+Envy+Sculpting+Lipstick&amp;qid=1695259287&amp;sr=8-4", "https://www.amazon.com/Estee-Lauder-Sculpting-Lipstick-Promotional/dp/B0CFSXDYF4/ref=sr_1_4?keywords=Estee+Lauder+Pure+Color+Envy+Sculpting+Lipstick&amp;qid=1695259287&amp;sr=8-4")</f>
        <v>https://www.amazon.com/Estee-Lauder-Sculpting-Lipstick-Promotional/dp/B0CFSXDYF4/ref=sr_1_4?keywords=Estee+Lauder+Pure+Color+Envy+Sculpting+Lipstick&amp;qid=1695259287&amp;sr=8-4</v>
      </c>
      <c r="F1995" t="s">
        <v>4991</v>
      </c>
      <c r="G1995" t="e">
        <f ca="1">IMAGE("https://prolisok-store.com/cdn/shop/products/61OXcvCJbTL._SL1500_300x.jpg?v=1681307706")</f>
        <v>#NAME?</v>
      </c>
      <c r="H1995" t="e">
        <f ca="1">IMAGE("https://m.media-amazon.com/images/I/71ZlKOL+gzL._AC_UL320_.jpg")</f>
        <v>#NAME?</v>
      </c>
      <c r="I1995" t="s">
        <v>3419</v>
      </c>
      <c r="J1995">
        <v>12.98</v>
      </c>
      <c r="K1995" s="2" t="s">
        <v>4992</v>
      </c>
      <c r="L1995">
        <v>4</v>
      </c>
      <c r="M1995">
        <v>1</v>
      </c>
      <c r="O1995" t="s">
        <v>26</v>
      </c>
      <c r="P1995" t="s">
        <v>39</v>
      </c>
      <c r="Q1995" t="s">
        <v>4456</v>
      </c>
    </row>
    <row r="1996" spans="1:17" ht="15.75" x14ac:dyDescent="0.25">
      <c r="A1996" s="3" t="str">
        <f>HYPERLINK("https://prolisok-store.com/collections/premium/products/la-mer-powder-brush-2-g", "https://prolisok-store.com/collections/premium/products/la-mer-powder-brush-2-g")</f>
        <v>https://prolisok-store.com/collections/premium/products/la-mer-powder-brush-2-g</v>
      </c>
      <c r="B1996" s="3" t="str">
        <f>HYPERLINK("https://prolisok-store.com/products/la-mer-powder-brush-2-g", "https://prolisok-store.com/products/la-mer-powder-brush-2-g")</f>
        <v>https://prolisok-store.com/products/la-mer-powder-brush-2-g</v>
      </c>
      <c r="C1996" t="s">
        <v>4849</v>
      </c>
      <c r="D1996" t="s">
        <v>4993</v>
      </c>
      <c r="E1996" s="3" t="str">
        <f>HYPERLINK("https://www.amazon.com/LAURA-GELLER-NEW-YORK-Foundation/dp/B0BHZZS928/ref=sr_1_10?keywords=La+Mer+Powder+Brush+-+2+g&amp;qid=1695259303&amp;sr=8-10", "https://www.amazon.com/LAURA-GELLER-NEW-YORK-Foundation/dp/B0BHZZS928/ref=sr_1_10?keywords=La+Mer+Powder+Brush+-+2+g&amp;qid=1695259303&amp;sr=8-10")</f>
        <v>https://www.amazon.com/LAURA-GELLER-NEW-YORK-Foundation/dp/B0BHZZS928/ref=sr_1_10?keywords=La+Mer+Powder+Brush+-+2+g&amp;qid=1695259303&amp;sr=8-10</v>
      </c>
      <c r="F1996" t="s">
        <v>4994</v>
      </c>
      <c r="G1996" t="e">
        <f ca="1">IMAGE("https://prolisok-store.com/cdn/shop/products/31237RidMRL._SL1000_300x.jpg?v=1673891915")</f>
        <v>#NAME?</v>
      </c>
      <c r="H1996" t="e">
        <f ca="1">IMAGE("https://m.media-amazon.com/images/I/71FbDiQ+trL._AC_UL320_.jpg")</f>
        <v>#NAME?</v>
      </c>
      <c r="I1996" t="s">
        <v>3476</v>
      </c>
      <c r="J1996">
        <v>33</v>
      </c>
      <c r="K1996" s="2" t="s">
        <v>4995</v>
      </c>
      <c r="L1996">
        <v>5</v>
      </c>
      <c r="M1996">
        <v>5</v>
      </c>
      <c r="O1996" t="s">
        <v>26</v>
      </c>
      <c r="P1996" t="s">
        <v>4853</v>
      </c>
      <c r="Q1996" t="s">
        <v>4854</v>
      </c>
    </row>
    <row r="1997" spans="1:17" ht="15.75" x14ac:dyDescent="0.25">
      <c r="A1997" s="3" t="str">
        <f>HYPERLINK("https://prolisok-store.com/collections/premium/products/hyaluronic-acid-intensifier-h-a", "https://prolisok-store.com/collections/premium/products/hyaluronic-acid-intensifier-h-a")</f>
        <v>https://prolisok-store.com/collections/premium/products/hyaluronic-acid-intensifier-h-a</v>
      </c>
      <c r="B1997" s="3" t="str">
        <f>HYPERLINK("https://prolisok-store.com/products/hyaluronic-acid-intensifier-h-a", "https://prolisok-store.com/products/hyaluronic-acid-intensifier-h-a")</f>
        <v>https://prolisok-store.com/products/hyaluronic-acid-intensifier-h-a</v>
      </c>
      <c r="C1997" t="s">
        <v>4996</v>
      </c>
      <c r="D1997" t="s">
        <v>4997</v>
      </c>
      <c r="E1997" s="3" t="str">
        <f>HYPERLINK("https://www.amazon.com/Roche-Posay-Hyalu-Hyaluronic-Anti-Wrinkle-Concentrate/dp/B075VX4QVM/ref=sr_1_5?keywords=Hyaluronic+acid+intensifier+%28H.A.%29&amp;qid=1695259294&amp;sr=8-5", "https://www.amazon.com/Roche-Posay-Hyalu-Hyaluronic-Anti-Wrinkle-Concentrate/dp/B075VX4QVM/ref=sr_1_5?keywords=Hyaluronic+acid+intensifier+%28H.A.%29&amp;qid=1695259294&amp;sr=8-5")</f>
        <v>https://www.amazon.com/Roche-Posay-Hyalu-Hyaluronic-Anti-Wrinkle-Concentrate/dp/B075VX4QVM/ref=sr_1_5?keywords=Hyaluronic+acid+intensifier+%28H.A.%29&amp;qid=1695259294&amp;sr=8-5</v>
      </c>
      <c r="F1997" t="s">
        <v>4998</v>
      </c>
      <c r="G1997" t="e">
        <f ca="1">IMAGE("https://prolisok-store.com/cdn/shop/products/H-A-Intesifier-3606000436367-Main-SkinCeuticals_300x.webp?v=1681297360")</f>
        <v>#NAME?</v>
      </c>
      <c r="H1997" t="e">
        <f ca="1">IMAGE("https://m.media-amazon.com/images/I/51c5bV1k-NL._AC_UL320_.jpg")</f>
        <v>#NAME?</v>
      </c>
      <c r="I1997" t="s">
        <v>4346</v>
      </c>
      <c r="J1997">
        <v>39.99</v>
      </c>
      <c r="K1997" s="2" t="s">
        <v>4999</v>
      </c>
      <c r="L1997">
        <v>4.5999999999999996</v>
      </c>
      <c r="M1997">
        <v>21089</v>
      </c>
      <c r="O1997" t="s">
        <v>26</v>
      </c>
      <c r="P1997" t="s">
        <v>2482</v>
      </c>
      <c r="Q1997" t="s">
        <v>5000</v>
      </c>
    </row>
    <row r="1998" spans="1:17" ht="15.75" x14ac:dyDescent="0.25">
      <c r="A1998" s="3" t="str">
        <f>HYPERLINK("https://prolisok-store.com/collections/premium/products/hyaluronic-acid-intensifier-h-a", "https://prolisok-store.com/collections/premium/products/hyaluronic-acid-intensifier-h-a")</f>
        <v>https://prolisok-store.com/collections/premium/products/hyaluronic-acid-intensifier-h-a</v>
      </c>
      <c r="B1998" s="3" t="str">
        <f>HYPERLINK("https://prolisok-store.com/products/hyaluronic-acid-intensifier-h-a", "https://prolisok-store.com/products/hyaluronic-acid-intensifier-h-a")</f>
        <v>https://prolisok-store.com/products/hyaluronic-acid-intensifier-h-a</v>
      </c>
      <c r="C1998" t="s">
        <v>4996</v>
      </c>
      <c r="D1998" t="s">
        <v>5001</v>
      </c>
      <c r="E1998" s="3"/>
      <c r="F1998" t="s">
        <v>5002</v>
      </c>
      <c r="G1998" t="e">
        <f ca="1">IMAGE("https://prolisok-store.com/cdn/shop/products/H-A-Intesifier-3606000436367-Main-SkinCeuticals_300x.webp?v=1681297360")</f>
        <v>#NAME?</v>
      </c>
      <c r="H1998" t="e">
        <f ca="1">IMAGE("https://m.media-amazon.com/images/I/71YrkOQvfQL._AC_UL320_.jpg")</f>
        <v>#NAME?</v>
      </c>
      <c r="I1998" t="s">
        <v>4346</v>
      </c>
      <c r="J1998">
        <v>39.99</v>
      </c>
      <c r="K1998" s="2" t="s">
        <v>4999</v>
      </c>
      <c r="L1998">
        <v>4.2</v>
      </c>
      <c r="M1998">
        <v>13</v>
      </c>
      <c r="O1998" t="s">
        <v>26</v>
      </c>
      <c r="P1998" t="s">
        <v>2482</v>
      </c>
      <c r="Q1998" t="s">
        <v>5000</v>
      </c>
    </row>
    <row r="1999" spans="1:17" ht="15.75" x14ac:dyDescent="0.25">
      <c r="A1999" s="3" t="str">
        <f>HYPERLINK("https://prolisok-store.com/collections/premium/products/hyaluronic-acid-intensifier-h-a", "https://prolisok-store.com/collections/premium/products/hyaluronic-acid-intensifier-h-a")</f>
        <v>https://prolisok-store.com/collections/premium/products/hyaluronic-acid-intensifier-h-a</v>
      </c>
      <c r="B1999" s="3" t="str">
        <f>HYPERLINK("https://prolisok-store.com/products/hyaluronic-acid-intensifier-h-a", "https://prolisok-store.com/products/hyaluronic-acid-intensifier-h-a")</f>
        <v>https://prolisok-store.com/products/hyaluronic-acid-intensifier-h-a</v>
      </c>
      <c r="C1999" t="s">
        <v>4996</v>
      </c>
      <c r="D1999" t="s">
        <v>5003</v>
      </c>
      <c r="E1999" s="3"/>
      <c r="F1999" t="s">
        <v>5004</v>
      </c>
      <c r="G1999" t="e">
        <f ca="1">IMAGE("https://prolisok-store.com/cdn/shop/products/H-A-Intesifier-3606000436367-Main-SkinCeuticals_300x.webp?v=1681297360")</f>
        <v>#NAME?</v>
      </c>
      <c r="H1999" t="e">
        <f ca="1">IMAGE("https://m.media-amazon.com/images/I/51rLRciwAnL._AC_UL320_.jpg")</f>
        <v>#NAME?</v>
      </c>
      <c r="I1999" t="s">
        <v>4346</v>
      </c>
      <c r="J1999">
        <v>39.9</v>
      </c>
      <c r="K1999" s="2" t="s">
        <v>5005</v>
      </c>
      <c r="L1999">
        <v>4.0999999999999996</v>
      </c>
      <c r="M1999">
        <v>291</v>
      </c>
      <c r="O1999" t="s">
        <v>26</v>
      </c>
      <c r="P1999" t="s">
        <v>2482</v>
      </c>
      <c r="Q1999" t="s">
        <v>5000</v>
      </c>
    </row>
    <row r="2000" spans="1:17" ht="15.75" x14ac:dyDescent="0.25">
      <c r="A2000" s="3" t="str">
        <f>HYPERLINK("https://prolisok-store.com/collections/premium/products/hyaluronic-acid-intensifier-h-a", "https://prolisok-store.com/collections/premium/products/hyaluronic-acid-intensifier-h-a")</f>
        <v>https://prolisok-store.com/collections/premium/products/hyaluronic-acid-intensifier-h-a</v>
      </c>
      <c r="B2000" s="3" t="str">
        <f>HYPERLINK("https://prolisok-store.com/products/hyaluronic-acid-intensifier-h-a", "https://prolisok-store.com/products/hyaluronic-acid-intensifier-h-a")</f>
        <v>https://prolisok-store.com/products/hyaluronic-acid-intensifier-h-a</v>
      </c>
      <c r="C2000" t="s">
        <v>4996</v>
      </c>
      <c r="D2000" t="s">
        <v>5006</v>
      </c>
      <c r="E2000" s="3"/>
      <c r="F2000" t="s">
        <v>5007</v>
      </c>
      <c r="G2000" t="e">
        <f ca="1">IMAGE("https://prolisok-store.com/cdn/shop/products/H-A-Intesifier-3606000436367-Main-SkinCeuticals_300x.webp?v=1681297360")</f>
        <v>#NAME?</v>
      </c>
      <c r="H2000" t="e">
        <f ca="1">IMAGE("https://m.media-amazon.com/images/I/8109KxAMO8L._AC_UL320_.jpg")</f>
        <v>#NAME?</v>
      </c>
      <c r="I2000" t="s">
        <v>4346</v>
      </c>
      <c r="J2000">
        <v>38.99</v>
      </c>
      <c r="K2000" s="2" t="s">
        <v>5008</v>
      </c>
      <c r="L2000">
        <v>4.5</v>
      </c>
      <c r="M2000">
        <v>2813</v>
      </c>
      <c r="O2000" t="s">
        <v>26</v>
      </c>
      <c r="P2000" t="s">
        <v>2482</v>
      </c>
      <c r="Q2000" t="s">
        <v>5000</v>
      </c>
    </row>
    <row r="2001" spans="1:17" ht="15.75" x14ac:dyDescent="0.25">
      <c r="A2001" s="3" t="str">
        <f>HYPERLINK("https://prolisok-store.com/collections/premium/products/frederic-malle-portrait-of-a-lady-ladies-3-4-oz", "https://prolisok-store.com/collections/premium/products/frederic-malle-portrait-of-a-lady-ladies-3-4-oz")</f>
        <v>https://prolisok-store.com/collections/premium/products/frederic-malle-portrait-of-a-lady-ladies-3-4-oz</v>
      </c>
      <c r="B2001" s="3" t="str">
        <f>HYPERLINK("https://prolisok-store.com/products/frederic-malle-portrait-of-a-lady-ladies-3-4-oz", "https://prolisok-store.com/products/frederic-malle-portrait-of-a-lady-ladies-3-4-oz")</f>
        <v>https://prolisok-store.com/products/frederic-malle-portrait-of-a-lady-ladies-3-4-oz</v>
      </c>
      <c r="C2001" t="s">
        <v>4654</v>
      </c>
      <c r="D2001" t="s">
        <v>5009</v>
      </c>
      <c r="E2001" s="3" t="str">
        <f>HYPERLINK("https://www.amazon.com/Frederic-Ladies-Portrait-Fragrances-3700135003941/dp/B074YDZGR3/ref=sr_1_1?keywords=Frederic+Malle+Portrait+of+A+Lady+Eau+De+Parfum+Spray+3.4+oz+For+Women&amp;qid=1695259294&amp;sr=8-1", "https://www.amazon.com/Frederic-Ladies-Portrait-Fragrances-3700135003941/dp/B074YDZGR3/ref=sr_1_1?keywords=Frederic+Malle+Portrait+of+A+Lady+Eau+De+Parfum+Spray+3.4+oz+For+Women&amp;qid=1695259294&amp;sr=8-1")</f>
        <v>https://www.amazon.com/Frederic-Ladies-Portrait-Fragrances-3700135003941/dp/B074YDZGR3/ref=sr_1_1?keywords=Frederic+Malle+Portrait+of+A+Lady+Eau+De+Parfum+Spray+3.4+oz+For+Women&amp;qid=1695259294&amp;sr=8-1</v>
      </c>
      <c r="F2001" t="s">
        <v>5010</v>
      </c>
      <c r="G2001" t="e">
        <f ca="1">IMAGE("https://prolisok-store.com/cdn/shop/files/PortraitofaLady_2_300x.jpg?v=1687510418")</f>
        <v>#NAME?</v>
      </c>
      <c r="H2001" t="e">
        <f ca="1">IMAGE("https://m.media-amazon.com/images/I/411o3wzVSXL._AC_UL320_.jpg")</f>
        <v>#NAME?</v>
      </c>
      <c r="I2001" t="s">
        <v>4657</v>
      </c>
      <c r="J2001">
        <v>84</v>
      </c>
      <c r="K2001" s="2" t="s">
        <v>5011</v>
      </c>
      <c r="L2001">
        <v>4.0999999999999996</v>
      </c>
      <c r="M2001">
        <v>20</v>
      </c>
      <c r="O2001" t="s">
        <v>26</v>
      </c>
      <c r="P2001" t="s">
        <v>39</v>
      </c>
      <c r="Q2001" t="s">
        <v>4659</v>
      </c>
    </row>
    <row r="2002" spans="1:17" ht="15.75" x14ac:dyDescent="0.25">
      <c r="A2002" s="3" t="str">
        <f>HYPERLINK("https://prolisok-store.com/collections/premium/products/estee-lauder-advanced-night-repair-synchronized-multi-recovery-complex-unisex-1-7-oz", "https://prolisok-store.com/collections/premium/products/estee-lauder-advanced-night-repair-synchronized-multi-recovery-complex-unisex-1-7-oz")</f>
        <v>https://prolisok-store.com/collections/premium/products/estee-lauder-advanced-night-repair-synchronized-multi-recovery-complex-unisex-1-7-oz</v>
      </c>
      <c r="B2002"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2002" t="s">
        <v>4547</v>
      </c>
      <c r="D2002" t="s">
        <v>5012</v>
      </c>
      <c r="E2002" s="3" t="str">
        <f>HYPERLINK("https://www.amazon.com/Estee-Lauder-Advanced-Synchronized-Multi-Recovery/dp/B08FYX198N/ref=sr_1_5?keywords=Estee+Lauder+Advanced+Night+Repair+Synchronized+Multi-Recovery+Complex%2C+Unisex%2C+1.7+Oz&amp;qid=1695259294&amp;sr=8-5", "https://www.amazon.com/Estee-Lauder-Advanced-Synchronized-Multi-Recovery/dp/B08FYX198N/ref=sr_1_5?keywords=Estee+Lauder+Advanced+Night+Repair+Synchronized+Multi-Recovery+Complex%2C+Unisex%2C+1.7+Oz&amp;qid=1695259294&amp;sr=8-5")</f>
        <v>https://www.amazon.com/Estee-Lauder-Advanced-Synchronized-Multi-Recovery/dp/B08FYX198N/ref=sr_1_5?keywords=Estee+Lauder+Advanced+Night+Repair+Synchronized+Multi-Recovery+Complex%2C+Unisex%2C+1.7+Oz&amp;qid=1695259294&amp;sr=8-5</v>
      </c>
      <c r="F2002" t="s">
        <v>5013</v>
      </c>
      <c r="G2002" t="e">
        <f ca="1">IMAGE("https://prolisok-store.com/cdn/shop/files/511qVnU1eNL._SL1000_300x.jpg?v=1687507525")</f>
        <v>#NAME?</v>
      </c>
      <c r="H2002" t="e">
        <f ca="1">IMAGE("https://m.media-amazon.com/images/I/71f0DsPL4sL._AC_UL320_.jpg")</f>
        <v>#NAME?</v>
      </c>
      <c r="I2002" t="s">
        <v>3476</v>
      </c>
      <c r="J2002">
        <v>23.17</v>
      </c>
      <c r="K2002" s="2" t="s">
        <v>5014</v>
      </c>
      <c r="L2002">
        <v>4.5999999999999996</v>
      </c>
      <c r="M2002">
        <v>201</v>
      </c>
      <c r="O2002" t="s">
        <v>26</v>
      </c>
      <c r="P2002" t="s">
        <v>39</v>
      </c>
      <c r="Q2002" t="s">
        <v>4551</v>
      </c>
    </row>
    <row r="2003" spans="1:17" ht="15.75" x14ac:dyDescent="0.25">
      <c r="A2003" s="3" t="str">
        <f>HYPERLINK("https://prolisok-store.com/collections/premium/products/la-mer-the-moisturizing-soft-lotion", "https://prolisok-store.com/collections/premium/products/la-mer-the-moisturizing-soft-lotion")</f>
        <v>https://prolisok-store.com/collections/premium/products/la-mer-the-moisturizing-soft-lotion</v>
      </c>
      <c r="B2003" s="3" t="str">
        <f>HYPERLINK("https://prolisok-store.com/products/la-mer-the-moisturizing-soft-lotion", "https://prolisok-store.com/products/la-mer-the-moisturizing-soft-lotion")</f>
        <v>https://prolisok-store.com/products/la-mer-the-moisturizing-soft-lotion</v>
      </c>
      <c r="C2003" t="s">
        <v>4503</v>
      </c>
      <c r="D2003" t="s">
        <v>5015</v>
      </c>
      <c r="E2003" s="3" t="str">
        <f>HYPERLINK("https://www.amazon.com/Mer-Moisturizing-Soft-Cream-Mini/dp/B00AATSD8W/ref=sr_1_9?keywords=La+Mer+The+Moisturizing+Soft+Lotion&amp;qid=1695259290&amp;sr=8-9", "https://www.amazon.com/Mer-Moisturizing-Soft-Cream-Mini/dp/B00AATSD8W/ref=sr_1_9?keywords=La+Mer+The+Moisturizing+Soft+Lotion&amp;qid=1695259290&amp;sr=8-9")</f>
        <v>https://www.amazon.com/Mer-Moisturizing-Soft-Cream-Mini/dp/B00AATSD8W/ref=sr_1_9?keywords=La+Mer+The+Moisturizing+Soft+Lotion&amp;qid=1695259290&amp;sr=8-9</v>
      </c>
      <c r="F2003" t="s">
        <v>5016</v>
      </c>
      <c r="G2003" t="e">
        <f ca="1">IMAGE("https://prolisok-store.com/cdn/shop/products/61uLYCnMy9L._SL1500_300x.jpg?v=1667997816")</f>
        <v>#NAME?</v>
      </c>
      <c r="H2003" t="e">
        <f ca="1">IMAGE("https://m.media-amazon.com/images/I/71DZG+eD+LL._AC_UL320_.jpg")</f>
        <v>#NAME?</v>
      </c>
      <c r="I2003" t="s">
        <v>4506</v>
      </c>
      <c r="J2003">
        <v>40</v>
      </c>
      <c r="K2003" s="2" t="s">
        <v>5017</v>
      </c>
      <c r="L2003">
        <v>4.0999999999999996</v>
      </c>
      <c r="M2003">
        <v>163</v>
      </c>
      <c r="O2003" t="s">
        <v>26</v>
      </c>
      <c r="P2003" t="s">
        <v>39</v>
      </c>
      <c r="Q2003" t="s">
        <v>4508</v>
      </c>
    </row>
    <row r="2004" spans="1:17" ht="15.75" x14ac:dyDescent="0.25">
      <c r="A2004" s="3" t="str">
        <f>HYPERLINK("https://prolisok-store.com/collections/premium/products/biossance-squalane-vitamin-c-rose-oil-30ml", "https://prolisok-store.com/collections/premium/products/biossance-squalane-vitamin-c-rose-oil-30ml")</f>
        <v>https://prolisok-store.com/collections/premium/products/biossance-squalane-vitamin-c-rose-oil-30ml</v>
      </c>
      <c r="B2004" s="3" t="str">
        <f>HYPERLINK("https://prolisok-store.com/products/biossance-squalane-vitamin-c-rose-oil-30ml", "https://prolisok-store.com/products/biossance-squalane-vitamin-c-rose-oil-30ml")</f>
        <v>https://prolisok-store.com/products/biossance-squalane-vitamin-c-rose-oil-30ml</v>
      </c>
      <c r="C2004" t="s">
        <v>5018</v>
      </c>
      <c r="D2004" t="s">
        <v>5019</v>
      </c>
      <c r="E2004" s="3" t="str">
        <f>HYPERLINK("https://www.amazon.com/Biossance-Squalane-Vitamin-Rose-Fragrance-Free/dp/B08K2XWW2Z/ref=sr_1_2?keywords=BIOSSANCE+Squalane+Vitamin+C+Rose+Oil%2C+30ml&amp;qid=1695259296&amp;sr=8-2", "https://www.amazon.com/Biossance-Squalane-Vitamin-Rose-Fragrance-Free/dp/B08K2XWW2Z/ref=sr_1_2?keywords=BIOSSANCE+Squalane+Vitamin+C+Rose+Oil%2C+30ml&amp;qid=1695259296&amp;sr=8-2")</f>
        <v>https://www.amazon.com/Biossance-Squalane-Vitamin-Rose-Fragrance-Free/dp/B08K2XWW2Z/ref=sr_1_2?keywords=BIOSSANCE+Squalane+Vitamin+C+Rose+Oil%2C+30ml&amp;qid=1695259296&amp;sr=8-2</v>
      </c>
      <c r="F2004" t="s">
        <v>5020</v>
      </c>
      <c r="G2004" t="e">
        <f ca="1">IMAGE("https://prolisok-store.com/cdn/shop/products/71nPVEghgDL._SL1500_300x.jpg?v=1673950104")</f>
        <v>#NAME?</v>
      </c>
      <c r="H2004" t="e">
        <f ca="1">IMAGE("https://m.media-amazon.com/images/I/51N3-+yD0vL._AC_UL320_.jpg")</f>
        <v>#NAME?</v>
      </c>
      <c r="I2004" t="s">
        <v>3476</v>
      </c>
      <c r="J2004">
        <v>20</v>
      </c>
      <c r="K2004" s="2" t="s">
        <v>5021</v>
      </c>
      <c r="L2004">
        <v>4.3</v>
      </c>
      <c r="M2004">
        <v>85</v>
      </c>
      <c r="O2004" t="s">
        <v>26</v>
      </c>
      <c r="P2004" t="s">
        <v>39</v>
      </c>
      <c r="Q2004" t="s">
        <v>5022</v>
      </c>
    </row>
    <row r="2005" spans="1:17" ht="15.75" x14ac:dyDescent="0.25">
      <c r="A2005" s="3" t="str">
        <f>HYPERLINK("https://prolisok-store.com/collections/premium/products/hyaluronic-acid-intensifier-h-a", "https://prolisok-store.com/collections/premium/products/hyaluronic-acid-intensifier-h-a")</f>
        <v>https://prolisok-store.com/collections/premium/products/hyaluronic-acid-intensifier-h-a</v>
      </c>
      <c r="B2005" s="3" t="str">
        <f>HYPERLINK("https://prolisok-store.com/products/hyaluronic-acid-intensifier-h-a", "https://prolisok-store.com/products/hyaluronic-acid-intensifier-h-a")</f>
        <v>https://prolisok-store.com/products/hyaluronic-acid-intensifier-h-a</v>
      </c>
      <c r="C2005" t="s">
        <v>4996</v>
      </c>
      <c r="D2005" t="s">
        <v>5023</v>
      </c>
      <c r="E2005" s="3" t="str">
        <f>HYPERLINK("https://www.amazon.com/Pure-Hyaluronic-Powder-Serum-000ppm/dp/B098QM7RJQ/ref=sr_1_7?keywords=Hyaluronic+acid+intensifier+%28H.A.%29&amp;qid=1695259294&amp;sr=8-7", "https://www.amazon.com/Pure-Hyaluronic-Powder-Serum-000ppm/dp/B098QM7RJQ/ref=sr_1_7?keywords=Hyaluronic+acid+intensifier+%28H.A.%29&amp;qid=1695259294&amp;sr=8-7")</f>
        <v>https://www.amazon.com/Pure-Hyaluronic-Powder-Serum-000ppm/dp/B098QM7RJQ/ref=sr_1_7?keywords=Hyaluronic+acid+intensifier+%28H.A.%29&amp;qid=1695259294&amp;sr=8-7</v>
      </c>
      <c r="F2005" t="s">
        <v>5024</v>
      </c>
      <c r="G2005" t="e">
        <f ca="1">IMAGE("https://prolisok-store.com/cdn/shop/products/H-A-Intesifier-3606000436367-Main-SkinCeuticals_300x.webp?v=1681297360")</f>
        <v>#NAME?</v>
      </c>
      <c r="H2005" t="e">
        <f ca="1">IMAGE("https://m.media-amazon.com/images/I/71nyxSL9-QL._AC_UL320_.jpg")</f>
        <v>#NAME?</v>
      </c>
      <c r="I2005" t="s">
        <v>4346</v>
      </c>
      <c r="J2005">
        <v>23.99</v>
      </c>
      <c r="K2005" s="2" t="s">
        <v>5025</v>
      </c>
      <c r="L2005">
        <v>4.5999999999999996</v>
      </c>
      <c r="M2005">
        <v>7247</v>
      </c>
      <c r="O2005" t="s">
        <v>26</v>
      </c>
      <c r="P2005" t="s">
        <v>2482</v>
      </c>
      <c r="Q2005" t="s">
        <v>5000</v>
      </c>
    </row>
    <row r="2006" spans="1:17" ht="15.75" x14ac:dyDescent="0.25">
      <c r="A2006" s="3" t="str">
        <f>HYPERLINK("https://prolisok-store.com/collections/premium/products/clarins-extra-firming-neck-and-decollete-cream", "https://prolisok-store.com/collections/premium/products/clarins-extra-firming-neck-and-decollete-cream")</f>
        <v>https://prolisok-store.com/collections/premium/products/clarins-extra-firming-neck-and-decollete-cream</v>
      </c>
      <c r="B2006" s="3" t="str">
        <f>HYPERLINK("https://prolisok-store.com/products/clarins-extra-firming-neck-and-decollete-cream", "https://prolisok-store.com/products/clarins-extra-firming-neck-and-decollete-cream")</f>
        <v>https://prolisok-store.com/products/clarins-extra-firming-neck-and-decollete-cream</v>
      </c>
      <c r="C2006" t="s">
        <v>4574</v>
      </c>
      <c r="D2006" t="s">
        <v>4051</v>
      </c>
      <c r="E2006" s="3" t="str">
        <f>HYPERLINK("https://www.amazon.com/Tightening-Improves-Elasticity-Moisturizer-D%C3%A9collet%C3%A9/dp/B0BCKYQS3J/ref=sr_1_10?keywords=Clarins+Extra-Firming+Neck+and+D%C3%A9collet%C3%A9+Cream&amp;qid=1695259301&amp;sr=8-10", "https://www.amazon.com/Tightening-Improves-Elasticity-Moisturizer-D%C3%A9collet%C3%A9/dp/B0BCKYQS3J/ref=sr_1_10?keywords=Clarins+Extra-Firming+Neck+and+D%C3%A9collet%C3%A9+Cream&amp;qid=1695259301&amp;sr=8-10")</f>
        <v>https://www.amazon.com/Tightening-Improves-Elasticity-Moisturizer-D%C3%A9collet%C3%A9/dp/B0BCKYQS3J/ref=sr_1_10?keywords=Clarins+Extra-Firming+Neck+and+D%C3%A9collet%C3%A9+Cream&amp;qid=1695259301&amp;sr=8-10</v>
      </c>
      <c r="F2006" t="s">
        <v>4052</v>
      </c>
      <c r="G2006" t="e">
        <f ca="1">IMAGE("https://prolisok-store.com/cdn/shop/files/6188DnkFSjL._SL1500_300x.jpg?v=1682417456")</f>
        <v>#NAME?</v>
      </c>
      <c r="H2006" t="e">
        <f ca="1">IMAGE("https://m.media-amazon.com/images/I/61eZbn5LxIL._AC_UL320_.jpg")</f>
        <v>#NAME?</v>
      </c>
      <c r="I2006" t="s">
        <v>4346</v>
      </c>
      <c r="J2006">
        <v>22.9</v>
      </c>
      <c r="K2006" s="2" t="s">
        <v>5026</v>
      </c>
      <c r="L2006">
        <v>4.4000000000000004</v>
      </c>
      <c r="M2006">
        <v>939</v>
      </c>
      <c r="O2006" t="s">
        <v>26</v>
      </c>
      <c r="P2006" t="s">
        <v>39</v>
      </c>
      <c r="Q2006" t="s">
        <v>4578</v>
      </c>
    </row>
    <row r="2007" spans="1:17" ht="15.75" x14ac:dyDescent="0.25">
      <c r="A2007" s="3" t="str">
        <f>HYPERLINK("https://prolisok-store.com/collections/premium/products/byredo-gypsy-water-eau-de-parfum-3-4-oz-100-ml", "https://prolisok-store.com/collections/premium/products/byredo-gypsy-water-eau-de-parfum-3-4-oz-100-ml")</f>
        <v>https://prolisok-store.com/collections/premium/products/byredo-gypsy-water-eau-de-parfum-3-4-oz-100-ml</v>
      </c>
      <c r="B2007" s="3" t="str">
        <f>HYPERLINK("https://prolisok-store.com/products/byredo-gypsy-water-eau-de-parfum-3-4-oz-100-ml", "https://prolisok-store.com/products/byredo-gypsy-water-eau-de-parfum-3-4-oz-100-ml")</f>
        <v>https://prolisok-store.com/products/byredo-gypsy-water-eau-de-parfum-3-4-oz-100-ml</v>
      </c>
      <c r="C2007" t="s">
        <v>4753</v>
      </c>
      <c r="D2007" t="s">
        <v>5027</v>
      </c>
      <c r="E2007" s="3" t="str">
        <f>HYPERLINK("https://www.amazon.com/MIRIS-No-36080-Impression-Unisex-Parfum/dp/B0B6GG29FR/ref=sr_1_8?keywords=byredo+gypsy+water+eau+de+parfum+3.4+oz%2F100+ml&amp;qid=1695259301&amp;sr=8-8", "https://www.amazon.com/MIRIS-No-36080-Impression-Unisex-Parfum/dp/B0B6GG29FR/ref=sr_1_8?keywords=byredo+gypsy+water+eau+de+parfum+3.4+oz%2F100+ml&amp;qid=1695259301&amp;sr=8-8")</f>
        <v>https://www.amazon.com/MIRIS-No-36080-Impression-Unisex-Parfum/dp/B0B6GG29FR/ref=sr_1_8?keywords=byredo+gypsy+water+eau+de+parfum+3.4+oz%2F100+ml&amp;qid=1695259301&amp;sr=8-8</v>
      </c>
      <c r="F2007" t="s">
        <v>5028</v>
      </c>
      <c r="G2007" t="e">
        <f ca="1">IMAGE("https://prolisok-store.com/cdn/shop/products/BYREDOGypsyWater_300x.jpg?v=1683715739")</f>
        <v>#NAME?</v>
      </c>
      <c r="H2007" t="e">
        <f ca="1">IMAGE("https://m.media-amazon.com/images/I/61bLltdXatL._AC_UL320_.jpg")</f>
        <v>#NAME?</v>
      </c>
      <c r="I2007" t="s">
        <v>4355</v>
      </c>
      <c r="J2007">
        <v>27.41</v>
      </c>
      <c r="K2007" s="2" t="s">
        <v>5029</v>
      </c>
      <c r="L2007">
        <v>3.5</v>
      </c>
      <c r="M2007">
        <v>4790</v>
      </c>
      <c r="O2007" t="s">
        <v>26</v>
      </c>
      <c r="P2007" t="s">
        <v>39</v>
      </c>
      <c r="Q2007" t="s">
        <v>4757</v>
      </c>
    </row>
    <row r="2008" spans="1:17" ht="15.75" x14ac:dyDescent="0.25">
      <c r="A2008" s="3" t="str">
        <f>HYPERLINK("https://prolisok-store.com/collections/premium/products/hyaluronic-acid-intensifier-h-a", "https://prolisok-store.com/collections/premium/products/hyaluronic-acid-intensifier-h-a")</f>
        <v>https://prolisok-store.com/collections/premium/products/hyaluronic-acid-intensifier-h-a</v>
      </c>
      <c r="B2008" s="3" t="str">
        <f>HYPERLINK("https://prolisok-store.com/products/hyaluronic-acid-intensifier-h-a", "https://prolisok-store.com/products/hyaluronic-acid-intensifier-h-a")</f>
        <v>https://prolisok-store.com/products/hyaluronic-acid-intensifier-h-a</v>
      </c>
      <c r="C2008" t="s">
        <v>4996</v>
      </c>
      <c r="D2008" t="s">
        <v>5030</v>
      </c>
      <c r="E2008" s="3" t="str">
        <f>HYPERLINK("https://www.amazon.com/Hyaluronic-Organic-Hydrating-Moisturizer-Manufactured/dp/B084X51ZPM/ref=sr_1_6?keywords=Hyaluronic+acid+intensifier+%28H.A.%29&amp;qid=1695259294&amp;sr=8-6", "https://www.amazon.com/Hyaluronic-Organic-Hydrating-Moisturizer-Manufactured/dp/B084X51ZPM/ref=sr_1_6?keywords=Hyaluronic+acid+intensifier+%28H.A.%29&amp;qid=1695259294&amp;sr=8-6")</f>
        <v>https://www.amazon.com/Hyaluronic-Organic-Hydrating-Moisturizer-Manufactured/dp/B084X51ZPM/ref=sr_1_6?keywords=Hyaluronic+acid+intensifier+%28H.A.%29&amp;qid=1695259294&amp;sr=8-6</v>
      </c>
      <c r="F2008" t="s">
        <v>5031</v>
      </c>
      <c r="G2008" t="e">
        <f ca="1">IMAGE("https://prolisok-store.com/cdn/shop/products/H-A-Intesifier-3606000436367-Main-SkinCeuticals_300x.webp?v=1681297360")</f>
        <v>#NAME?</v>
      </c>
      <c r="H2008" t="e">
        <f ca="1">IMAGE("https://m.media-amazon.com/images/I/61BHSLXK7BL._AC_UL320_.jpg")</f>
        <v>#NAME?</v>
      </c>
      <c r="I2008" t="s">
        <v>4346</v>
      </c>
      <c r="J2008">
        <v>19.989999999999998</v>
      </c>
      <c r="K2008" s="2" t="s">
        <v>5032</v>
      </c>
      <c r="L2008">
        <v>4.5</v>
      </c>
      <c r="M2008">
        <v>8304</v>
      </c>
      <c r="O2008" t="s">
        <v>26</v>
      </c>
      <c r="P2008" t="s">
        <v>2482</v>
      </c>
      <c r="Q2008" t="s">
        <v>5000</v>
      </c>
    </row>
    <row r="2009" spans="1:17" ht="15.75" x14ac:dyDescent="0.25">
      <c r="A2009" s="3" t="str">
        <f>HYPERLINK("https://prolisok-store.com/collections/premium/products/hyaluronic-acid-intensifier-h-a", "https://prolisok-store.com/collections/premium/products/hyaluronic-acid-intensifier-h-a")</f>
        <v>https://prolisok-store.com/collections/premium/products/hyaluronic-acid-intensifier-h-a</v>
      </c>
      <c r="B2009" s="3" t="str">
        <f>HYPERLINK("https://prolisok-store.com/products/hyaluronic-acid-intensifier-h-a", "https://prolisok-store.com/products/hyaluronic-acid-intensifier-h-a")</f>
        <v>https://prolisok-store.com/products/hyaluronic-acid-intensifier-h-a</v>
      </c>
      <c r="C2009" t="s">
        <v>4996</v>
      </c>
      <c r="D2009" t="s">
        <v>5033</v>
      </c>
      <c r="E2009" s="3"/>
      <c r="F2009" t="s">
        <v>5034</v>
      </c>
      <c r="G2009" t="e">
        <f ca="1">IMAGE("https://prolisok-store.com/cdn/shop/products/H-A-Intesifier-3606000436367-Main-SkinCeuticals_300x.webp?v=1681297360")</f>
        <v>#NAME?</v>
      </c>
      <c r="H2009" t="e">
        <f ca="1">IMAGE("https://m.media-amazon.com/images/I/71vWgaCbNcL._AC_UL320_.jpg")</f>
        <v>#NAME?</v>
      </c>
      <c r="I2009" t="s">
        <v>4346</v>
      </c>
      <c r="J2009">
        <v>16.989999999999998</v>
      </c>
      <c r="K2009" s="2" t="s">
        <v>5035</v>
      </c>
      <c r="L2009">
        <v>4.5999999999999996</v>
      </c>
      <c r="M2009">
        <v>1772</v>
      </c>
      <c r="O2009" t="s">
        <v>26</v>
      </c>
      <c r="P2009" t="s">
        <v>2482</v>
      </c>
      <c r="Q2009" t="s">
        <v>5000</v>
      </c>
    </row>
    <row r="2010" spans="1:17" ht="15.75" x14ac:dyDescent="0.25">
      <c r="A2010" s="3" t="str">
        <f>HYPERLINK("https://prolisok-store.com/collections/premium/products/la-mer-powder-brush-2-g", "https://prolisok-store.com/collections/premium/products/la-mer-powder-brush-2-g")</f>
        <v>https://prolisok-store.com/collections/premium/products/la-mer-powder-brush-2-g</v>
      </c>
      <c r="B2010" s="3" t="str">
        <f>HYPERLINK("https://prolisok-store.com/products/la-mer-powder-brush-2-g", "https://prolisok-store.com/products/la-mer-powder-brush-2-g")</f>
        <v>https://prolisok-store.com/products/la-mer-powder-brush-2-g</v>
      </c>
      <c r="C2010" t="s">
        <v>4849</v>
      </c>
      <c r="D2010" t="s">
        <v>5036</v>
      </c>
      <c r="E2010" s="3" t="str">
        <f>HYPERLINK("https://www.amazon.com/MOGILAN-Foundation-Synthetic-Blending-Coverage/dp/B09LQXDSSF/ref=sr_1_4?keywords=La+Mer+Powder+Brush+-+2+g&amp;qid=1695259303&amp;sr=8-4", "https://www.amazon.com/MOGILAN-Foundation-Synthetic-Blending-Coverage/dp/B09LQXDSSF/ref=sr_1_4?keywords=La+Mer+Powder+Brush+-+2+g&amp;qid=1695259303&amp;sr=8-4")</f>
        <v>https://www.amazon.com/MOGILAN-Foundation-Synthetic-Blending-Coverage/dp/B09LQXDSSF/ref=sr_1_4?keywords=La+Mer+Powder+Brush+-+2+g&amp;qid=1695259303&amp;sr=8-4</v>
      </c>
      <c r="F2010" t="s">
        <v>5037</v>
      </c>
      <c r="G2010" t="e">
        <f ca="1">IMAGE("https://prolisok-store.com/cdn/shop/products/31237RidMRL._SL1000_300x.jpg?v=1673891915")</f>
        <v>#NAME?</v>
      </c>
      <c r="H2010" t="e">
        <f ca="1">IMAGE("https://m.media-amazon.com/images/I/51bMoad50WL._AC_UL320_.jpg")</f>
        <v>#NAME?</v>
      </c>
      <c r="I2010" t="s">
        <v>3476</v>
      </c>
      <c r="J2010">
        <v>12.89</v>
      </c>
      <c r="K2010" s="2" t="s">
        <v>3598</v>
      </c>
      <c r="L2010">
        <v>4.5999999999999996</v>
      </c>
      <c r="M2010">
        <v>130</v>
      </c>
      <c r="O2010" t="s">
        <v>26</v>
      </c>
      <c r="P2010" t="s">
        <v>4853</v>
      </c>
      <c r="Q2010" t="s">
        <v>4854</v>
      </c>
    </row>
    <row r="2011" spans="1:17" ht="15.75" x14ac:dyDescent="0.25">
      <c r="A2011" s="3" t="str">
        <f>HYPERLINK("https://prolisok-store.com/collections/premium/products/hyaluronic-acid-intensifier-h-a", "https://prolisok-store.com/collections/premium/products/hyaluronic-acid-intensifier-h-a")</f>
        <v>https://prolisok-store.com/collections/premium/products/hyaluronic-acid-intensifier-h-a</v>
      </c>
      <c r="B2011" s="3" t="str">
        <f>HYPERLINK("https://prolisok-store.com/products/hyaluronic-acid-intensifier-h-a", "https://prolisok-store.com/products/hyaluronic-acid-intensifier-h-a")</f>
        <v>https://prolisok-store.com/products/hyaluronic-acid-intensifier-h-a</v>
      </c>
      <c r="C2011" t="s">
        <v>4996</v>
      </c>
      <c r="D2011" t="s">
        <v>4161</v>
      </c>
      <c r="E2011" s="3"/>
      <c r="F2011" t="s">
        <v>4162</v>
      </c>
      <c r="G2011" t="e">
        <f ca="1">IMAGE("https://prolisok-store.com/cdn/shop/products/H-A-Intesifier-3606000436367-Main-SkinCeuticals_300x.webp?v=1681297360")</f>
        <v>#NAME?</v>
      </c>
      <c r="H2011" t="e">
        <f ca="1">IMAGE("https://m.media-amazon.com/images/I/61CazCt3zfL._AC_UL320_.jpg")</f>
        <v>#NAME?</v>
      </c>
      <c r="I2011" t="s">
        <v>4346</v>
      </c>
      <c r="J2011">
        <v>14.98</v>
      </c>
      <c r="K2011" s="2" t="s">
        <v>5038</v>
      </c>
      <c r="L2011">
        <v>4.4000000000000004</v>
      </c>
      <c r="M2011">
        <v>39577</v>
      </c>
      <c r="O2011" t="s">
        <v>26</v>
      </c>
      <c r="P2011" t="s">
        <v>2482</v>
      </c>
      <c r="Q2011" t="s">
        <v>5000</v>
      </c>
    </row>
    <row r="2012" spans="1:17" ht="15.75" x14ac:dyDescent="0.25">
      <c r="A2012" s="3" t="str">
        <f>HYPERLINK("https://prolisok-store.com/collections/premium/products/hyaluronic-acid-intensifier-h-a", "https://prolisok-store.com/collections/premium/products/hyaluronic-acid-intensifier-h-a")</f>
        <v>https://prolisok-store.com/collections/premium/products/hyaluronic-acid-intensifier-h-a</v>
      </c>
      <c r="B2012" s="3" t="str">
        <f>HYPERLINK("https://prolisok-store.com/products/hyaluronic-acid-intensifier-h-a", "https://prolisok-store.com/products/hyaluronic-acid-intensifier-h-a")</f>
        <v>https://prolisok-store.com/products/hyaluronic-acid-intensifier-h-a</v>
      </c>
      <c r="C2012" t="s">
        <v>4996</v>
      </c>
      <c r="D2012" t="s">
        <v>4161</v>
      </c>
      <c r="E2012" s="3"/>
      <c r="F2012" t="s">
        <v>4162</v>
      </c>
      <c r="G2012" t="e">
        <f ca="1">IMAGE("https://prolisok-store.com/cdn/shop/products/H-A-Intesifier-3606000436367-Main-SkinCeuticals_300x.webp?v=1681297360")</f>
        <v>#NAME?</v>
      </c>
      <c r="H2012" t="e">
        <f ca="1">IMAGE("https://m.media-amazon.com/images/I/61CazCt3zfL._AC_UL320_.jpg")</f>
        <v>#NAME?</v>
      </c>
      <c r="I2012" t="s">
        <v>4346</v>
      </c>
      <c r="J2012">
        <v>14.98</v>
      </c>
      <c r="K2012" s="2" t="s">
        <v>5038</v>
      </c>
      <c r="L2012">
        <v>4.4000000000000004</v>
      </c>
      <c r="M2012">
        <v>39577</v>
      </c>
      <c r="O2012" t="s">
        <v>26</v>
      </c>
      <c r="P2012" t="s">
        <v>2482</v>
      </c>
      <c r="Q2012" t="s">
        <v>5000</v>
      </c>
    </row>
    <row r="2013" spans="1:17" ht="15.75" x14ac:dyDescent="0.25">
      <c r="A2013" s="3" t="str">
        <f>HYPERLINK("https://prolisok-store.com/collections/premium/products/rose-31-eau-de-parfum", "https://prolisok-store.com/collections/premium/products/rose-31-eau-de-parfum")</f>
        <v>https://prolisok-store.com/collections/premium/products/rose-31-eau-de-parfum</v>
      </c>
      <c r="B2013" s="3" t="str">
        <f>HYPERLINK("https://prolisok-store.com/products/rose-31-eau-de-parfum", "https://prolisok-store.com/products/rose-31-eau-de-parfum")</f>
        <v>https://prolisok-store.com/products/rose-31-eau-de-parfum</v>
      </c>
      <c r="C2013" t="s">
        <v>4398</v>
      </c>
      <c r="D2013" t="s">
        <v>5039</v>
      </c>
      <c r="E2013" s="3" t="str">
        <f>HYPERLINK("https://www.amazon.com/Labo-AnOther-Parfum-Dabber-Sample/dp/B07GJNMQY2/ref=sr_1_9?keywords=Le+Labo+Eau+de+Parfum+Rose+31&amp;qid=1695259291&amp;sr=8-9", "https://www.amazon.com/Labo-AnOther-Parfum-Dabber-Sample/dp/B07GJNMQY2/ref=sr_1_9?keywords=Le+Labo+Eau+de+Parfum+Rose+31&amp;qid=1695259291&amp;sr=8-9")</f>
        <v>https://www.amazon.com/Labo-AnOther-Parfum-Dabber-Sample/dp/B07GJNMQY2/ref=sr_1_9?keywords=Le+Labo+Eau+de+Parfum+Rose+31&amp;qid=1695259291&amp;sr=8-9</v>
      </c>
      <c r="F2013" t="s">
        <v>5040</v>
      </c>
      <c r="G2013" t="e">
        <f ca="1">IMAGE("https://prolisok-store.com/cdn/shop/files/31i5LX5FJDL_300x.jpg?v=1689761245")</f>
        <v>#NAME?</v>
      </c>
      <c r="H2013" t="e">
        <f ca="1">IMAGE("https://m.media-amazon.com/images/I/61OhtspiKLL._AC_UL320_.jpg")</f>
        <v>#NAME?</v>
      </c>
      <c r="I2013" t="s">
        <v>4401</v>
      </c>
      <c r="J2013">
        <v>14.99</v>
      </c>
      <c r="K2013" s="2" t="s">
        <v>5041</v>
      </c>
      <c r="L2013">
        <v>4</v>
      </c>
      <c r="M2013">
        <v>390</v>
      </c>
      <c r="O2013" t="s">
        <v>26</v>
      </c>
      <c r="P2013" t="s">
        <v>39</v>
      </c>
      <c r="Q2013" t="s">
        <v>4403</v>
      </c>
    </row>
    <row r="2014" spans="1:17" ht="15.75" x14ac:dyDescent="0.25">
      <c r="A2014" s="3" t="str">
        <f>HYPERLINK("https://prolisok-store.com/collections/premium/products/rose-31-eau-de-parfum", "https://prolisok-store.com/collections/premium/products/rose-31-eau-de-parfum")</f>
        <v>https://prolisok-store.com/collections/premium/products/rose-31-eau-de-parfum</v>
      </c>
      <c r="B2014" s="3" t="str">
        <f>HYPERLINK("https://prolisok-store.com/products/rose-31-eau-de-parfum", "https://prolisok-store.com/products/rose-31-eau-de-parfum")</f>
        <v>https://prolisok-store.com/products/rose-31-eau-de-parfum</v>
      </c>
      <c r="C2014" t="s">
        <v>4398</v>
      </c>
      <c r="D2014" t="s">
        <v>5042</v>
      </c>
      <c r="E2014" s="3" t="str">
        <f>HYPERLINK("https://www.amazon.com/CA-Perfume-Impression-Concentrated-Refillable/dp/B09XL9MQ88/ref=sr_1_6?keywords=Le+Labo+Eau+de+Parfum+Rose+31&amp;qid=1695259291&amp;sr=8-6", "https://www.amazon.com/CA-Perfume-Impression-Concentrated-Refillable/dp/B09XL9MQ88/ref=sr_1_6?keywords=Le+Labo+Eau+de+Parfum+Rose+31&amp;qid=1695259291&amp;sr=8-6")</f>
        <v>https://www.amazon.com/CA-Perfume-Impression-Concentrated-Refillable/dp/B09XL9MQ88/ref=sr_1_6?keywords=Le+Labo+Eau+de+Parfum+Rose+31&amp;qid=1695259291&amp;sr=8-6</v>
      </c>
      <c r="F2014" t="s">
        <v>5043</v>
      </c>
      <c r="G2014" t="e">
        <f ca="1">IMAGE("https://prolisok-store.com/cdn/shop/files/31i5LX5FJDL_300x.jpg?v=1689761245")</f>
        <v>#NAME?</v>
      </c>
      <c r="H2014" t="e">
        <f ca="1">IMAGE("https://m.media-amazon.com/images/I/41ADR569GyL._AC_UL320_.jpg")</f>
        <v>#NAME?</v>
      </c>
      <c r="I2014" t="s">
        <v>4401</v>
      </c>
      <c r="J2014">
        <v>14.99</v>
      </c>
      <c r="K2014" s="2" t="s">
        <v>5041</v>
      </c>
      <c r="L2014">
        <v>3.8</v>
      </c>
      <c r="M2014">
        <v>3225</v>
      </c>
      <c r="O2014" t="s">
        <v>26</v>
      </c>
      <c r="P2014" t="s">
        <v>39</v>
      </c>
      <c r="Q2014" t="s">
        <v>4403</v>
      </c>
    </row>
    <row r="2015" spans="1:17" ht="15.75" x14ac:dyDescent="0.25">
      <c r="A2015" s="3" t="str">
        <f>HYPERLINK("https://prolisok-store.com/collections/premium/products/la-mer-powder-brush-2-g", "https://prolisok-store.com/collections/premium/products/la-mer-powder-brush-2-g")</f>
        <v>https://prolisok-store.com/collections/premium/products/la-mer-powder-brush-2-g</v>
      </c>
      <c r="B2015" s="3" t="str">
        <f>HYPERLINK("https://prolisok-store.com/products/la-mer-powder-brush-2-g", "https://prolisok-store.com/products/la-mer-powder-brush-2-g")</f>
        <v>https://prolisok-store.com/products/la-mer-powder-brush-2-g</v>
      </c>
      <c r="C2015" t="s">
        <v>4849</v>
      </c>
      <c r="D2015" t="s">
        <v>5044</v>
      </c>
      <c r="E2015" s="3" t="str">
        <f>HYPERLINK("https://www.amazon.com/TEXAMO-Finishing-Mineral-Contouring-Translucent/dp/B09XGZXDYY/ref=sr_1_7?keywords=La+Mer+Powder+Brush+-+2+g&amp;qid=1695259303&amp;sr=8-7", "https://www.amazon.com/TEXAMO-Finishing-Mineral-Contouring-Translucent/dp/B09XGZXDYY/ref=sr_1_7?keywords=La+Mer+Powder+Brush+-+2+g&amp;qid=1695259303&amp;sr=8-7")</f>
        <v>https://www.amazon.com/TEXAMO-Finishing-Mineral-Contouring-Translucent/dp/B09XGZXDYY/ref=sr_1_7?keywords=La+Mer+Powder+Brush+-+2+g&amp;qid=1695259303&amp;sr=8-7</v>
      </c>
      <c r="F2015" t="s">
        <v>5045</v>
      </c>
      <c r="G2015" t="e">
        <f ca="1">IMAGE("https://prolisok-store.com/cdn/shop/products/31237RidMRL._SL1000_300x.jpg?v=1673891915")</f>
        <v>#NAME?</v>
      </c>
      <c r="H2015" t="e">
        <f ca="1">IMAGE("https://m.media-amazon.com/images/I/619louvDWGL._AC_UL320_.jpg")</f>
        <v>#NAME?</v>
      </c>
      <c r="I2015" t="s">
        <v>3476</v>
      </c>
      <c r="J2015">
        <v>9.99</v>
      </c>
      <c r="K2015" s="2" t="s">
        <v>4200</v>
      </c>
      <c r="L2015">
        <v>4.8</v>
      </c>
      <c r="M2015">
        <v>46</v>
      </c>
      <c r="O2015" t="s">
        <v>26</v>
      </c>
      <c r="P2015" t="s">
        <v>4853</v>
      </c>
      <c r="Q2015" t="s">
        <v>4854</v>
      </c>
    </row>
    <row r="2016" spans="1:17" ht="15.75" x14ac:dyDescent="0.25">
      <c r="A2016" s="3" t="str">
        <f>HYPERLINK("https://prolisok-store.com/collections/premium/products/la-mer-powder-brush-2-g", "https://prolisok-store.com/collections/premium/products/la-mer-powder-brush-2-g")</f>
        <v>https://prolisok-store.com/collections/premium/products/la-mer-powder-brush-2-g</v>
      </c>
      <c r="B2016" s="3" t="str">
        <f>HYPERLINK("https://prolisok-store.com/products/la-mer-powder-brush-2-g", "https://prolisok-store.com/products/la-mer-powder-brush-2-g")</f>
        <v>https://prolisok-store.com/products/la-mer-powder-brush-2-g</v>
      </c>
      <c r="C2016" t="s">
        <v>4849</v>
      </c>
      <c r="D2016" t="s">
        <v>5046</v>
      </c>
      <c r="E2016" s="3" t="str">
        <f>HYPERLINK("https://www.amazon.com/Foundation-Makeup-Stippling-Blending-Buffing/dp/B07FDLPX88/ref=sr_1_6?keywords=La+Mer+Powder+Brush+-+2+g&amp;qid=1695259303&amp;sr=8-6", "https://www.amazon.com/Foundation-Makeup-Stippling-Blending-Buffing/dp/B07FDLPX88/ref=sr_1_6?keywords=La+Mer+Powder+Brush+-+2+g&amp;qid=1695259303&amp;sr=8-6")</f>
        <v>https://www.amazon.com/Foundation-Makeup-Stippling-Blending-Buffing/dp/B07FDLPX88/ref=sr_1_6?keywords=La+Mer+Powder+Brush+-+2+g&amp;qid=1695259303&amp;sr=8-6</v>
      </c>
      <c r="F2016" t="s">
        <v>5047</v>
      </c>
      <c r="G2016" t="e">
        <f ca="1">IMAGE("https://prolisok-store.com/cdn/shop/products/31237RidMRL._SL1000_300x.jpg?v=1673891915")</f>
        <v>#NAME?</v>
      </c>
      <c r="H2016" t="e">
        <f ca="1">IMAGE("https://m.media-amazon.com/images/I/61Kuvk7isEL._AC_UL320_.jpg")</f>
        <v>#NAME?</v>
      </c>
      <c r="I2016" t="s">
        <v>3476</v>
      </c>
      <c r="J2016">
        <v>9.99</v>
      </c>
      <c r="K2016" s="2" t="s">
        <v>4200</v>
      </c>
      <c r="L2016">
        <v>4.5999999999999996</v>
      </c>
      <c r="M2016">
        <v>4705</v>
      </c>
      <c r="O2016" t="s">
        <v>26</v>
      </c>
      <c r="P2016" t="s">
        <v>4853</v>
      </c>
      <c r="Q2016" t="s">
        <v>4854</v>
      </c>
    </row>
    <row r="2017" spans="1:17" ht="15.75" x14ac:dyDescent="0.25">
      <c r="A2017" s="3" t="str">
        <f>HYPERLINK("https://prolisok-store.com/collections/premium/products/la-mer-powder-brush-2-g", "https://prolisok-store.com/collections/premium/products/la-mer-powder-brush-2-g")</f>
        <v>https://prolisok-store.com/collections/premium/products/la-mer-powder-brush-2-g</v>
      </c>
      <c r="B2017" s="3" t="str">
        <f>HYPERLINK("https://prolisok-store.com/products/la-mer-powder-brush-2-g", "https://prolisok-store.com/products/la-mer-powder-brush-2-g")</f>
        <v>https://prolisok-store.com/products/la-mer-powder-brush-2-g</v>
      </c>
      <c r="C2017" t="s">
        <v>4849</v>
      </c>
      <c r="D2017" t="s">
        <v>5048</v>
      </c>
      <c r="E2017" s="3" t="str">
        <f>HYPERLINK("https://www.amazon.com/Real-Techniques-Powder-Bronzer-Coverage/dp/B004TSF8R4/ref=sr_1_5?keywords=La+Mer+Powder+Brush+-+2+g&amp;qid=1695259303&amp;sr=8-5", "https://www.amazon.com/Real-Techniques-Powder-Bronzer-Coverage/dp/B004TSF8R4/ref=sr_1_5?keywords=La+Mer+Powder+Brush+-+2+g&amp;qid=1695259303&amp;sr=8-5")</f>
        <v>https://www.amazon.com/Real-Techniques-Powder-Bronzer-Coverage/dp/B004TSF8R4/ref=sr_1_5?keywords=La+Mer+Powder+Brush+-+2+g&amp;qid=1695259303&amp;sr=8-5</v>
      </c>
      <c r="F2017" t="s">
        <v>5049</v>
      </c>
      <c r="G2017" t="e">
        <f ca="1">IMAGE("https://prolisok-store.com/cdn/shop/products/31237RidMRL._SL1000_300x.jpg?v=1673891915")</f>
        <v>#NAME?</v>
      </c>
      <c r="H2017" t="e">
        <f ca="1">IMAGE("https://m.media-amazon.com/images/I/61RvyApodbL._AC_UL320_.jpg")</f>
        <v>#NAME?</v>
      </c>
      <c r="I2017" t="s">
        <v>3476</v>
      </c>
      <c r="J2017">
        <v>8.99</v>
      </c>
      <c r="K2017" s="2" t="s">
        <v>5050</v>
      </c>
      <c r="L2017">
        <v>4.7</v>
      </c>
      <c r="M2017">
        <v>10683</v>
      </c>
      <c r="O2017" t="s">
        <v>26</v>
      </c>
      <c r="P2017" t="s">
        <v>4853</v>
      </c>
      <c r="Q2017" t="s">
        <v>4854</v>
      </c>
    </row>
    <row r="2018" spans="1:17" ht="15.75" x14ac:dyDescent="0.25">
      <c r="A2018" s="3" t="str">
        <f>HYPERLINK("https://prolisok-store.com/collections/premium/products/la-mer-powder-brush-2-g", "https://prolisok-store.com/collections/premium/products/la-mer-powder-brush-2-g")</f>
        <v>https://prolisok-store.com/collections/premium/products/la-mer-powder-brush-2-g</v>
      </c>
      <c r="B2018" s="3" t="str">
        <f>HYPERLINK("https://prolisok-store.com/products/la-mer-powder-brush-2-g", "https://prolisok-store.com/products/la-mer-powder-brush-2-g")</f>
        <v>https://prolisok-store.com/products/la-mer-powder-brush-2-g</v>
      </c>
      <c r="C2018" t="s">
        <v>4849</v>
      </c>
      <c r="D2018" t="s">
        <v>5051</v>
      </c>
      <c r="E2018" s="3" t="str">
        <f>HYPERLINK("https://www.amazon.com/Matto-Powder-Mineral-Brush-Foundation/dp/B01G4UVWE2/ref=sr_1_9?keywords=La+Mer+Powder+Brush+-+2+g&amp;qid=1695259303&amp;sr=8-9", "https://www.amazon.com/Matto-Powder-Mineral-Brush-Foundation/dp/B01G4UVWE2/ref=sr_1_9?keywords=La+Mer+Powder+Brush+-+2+g&amp;qid=1695259303&amp;sr=8-9")</f>
        <v>https://www.amazon.com/Matto-Powder-Mineral-Brush-Foundation/dp/B01G4UVWE2/ref=sr_1_9?keywords=La+Mer+Powder+Brush+-+2+g&amp;qid=1695259303&amp;sr=8-9</v>
      </c>
      <c r="F2018" t="s">
        <v>5052</v>
      </c>
      <c r="G2018" t="e">
        <f ca="1">IMAGE("https://prolisok-store.com/cdn/shop/products/31237RidMRL._SL1000_300x.jpg?v=1673891915")</f>
        <v>#NAME?</v>
      </c>
      <c r="H2018" t="e">
        <f ca="1">IMAGE("https://m.media-amazon.com/images/I/51xlx8oUJuL._AC_UL320_.jpg")</f>
        <v>#NAME?</v>
      </c>
      <c r="I2018" t="s">
        <v>3476</v>
      </c>
      <c r="J2018">
        <v>8.99</v>
      </c>
      <c r="K2018" s="2" t="s">
        <v>5050</v>
      </c>
      <c r="L2018">
        <v>4.5999999999999996</v>
      </c>
      <c r="M2018">
        <v>3238</v>
      </c>
      <c r="O2018" t="s">
        <v>26</v>
      </c>
      <c r="P2018" t="s">
        <v>4853</v>
      </c>
      <c r="Q2018" t="s">
        <v>4854</v>
      </c>
    </row>
    <row r="2019" spans="1:17" ht="15.75" x14ac:dyDescent="0.25">
      <c r="A2019" s="3" t="str">
        <f>HYPERLINK("https://prolisok-store.com/collections/premium/products/by-kilian-good-girl-gone-bad-1-7-fl-oz", "https://prolisok-store.com/collections/premium/products/by-kilian-good-girl-gone-bad-1-7-fl-oz")</f>
        <v>https://prolisok-store.com/collections/premium/products/by-kilian-good-girl-gone-bad-1-7-fl-oz</v>
      </c>
      <c r="B2019" s="3" t="str">
        <f>HYPERLINK("https://prolisok-store.com/products/by-kilian-good-girl-gone-bad-1-7-fl-oz", "https://prolisok-store.com/products/by-kilian-good-girl-gone-bad-1-7-fl-oz")</f>
        <v>https://prolisok-store.com/products/by-kilian-good-girl-gone-bad-1-7-fl-oz</v>
      </c>
      <c r="C2019" t="s">
        <v>4606</v>
      </c>
      <c r="D2019" t="s">
        <v>5053</v>
      </c>
      <c r="E2019" s="3" t="str">
        <f>HYPERLINK("https://www.amazon.com/CA-Perfume-Impression-Concentrated-Refillable/dp/B09VFDXLSN/ref=sr_1_6?keywords=By+Kilian+-+Good+Girl+Gone+Bad+-+1.7+fl.+Oz&amp;qid=1695259301&amp;sr=8-6", "https://www.amazon.com/CA-Perfume-Impression-Concentrated-Refillable/dp/B09VFDXLSN/ref=sr_1_6?keywords=By+Kilian+-+Good+Girl+Gone+Bad+-+1.7+fl.+Oz&amp;qid=1695259301&amp;sr=8-6")</f>
        <v>https://www.amazon.com/CA-Perfume-Impression-Concentrated-Refillable/dp/B09VFDXLSN/ref=sr_1_6?keywords=By+Kilian+-+Good+Girl+Gone+Bad+-+1.7+fl.+Oz&amp;qid=1695259301&amp;sr=8-6</v>
      </c>
      <c r="F2019" t="s">
        <v>5054</v>
      </c>
      <c r="G2019" t="e">
        <f ca="1">IMAGE("https://prolisok-store.com/cdn/shop/files/41o-yGm4K6L_300x.jpg?v=1686655714")</f>
        <v>#NAME?</v>
      </c>
      <c r="H2019" t="e">
        <f ca="1">IMAGE("https://m.media-amazon.com/images/I/41RqNso02+L._AC_UL320_.jpg")</f>
        <v>#NAME?</v>
      </c>
      <c r="I2019" t="s">
        <v>4609</v>
      </c>
      <c r="J2019">
        <v>25</v>
      </c>
      <c r="K2019" s="2" t="s">
        <v>5055</v>
      </c>
      <c r="L2019">
        <v>3.8</v>
      </c>
      <c r="M2019">
        <v>3225</v>
      </c>
      <c r="O2019" t="s">
        <v>26</v>
      </c>
      <c r="P2019" t="s">
        <v>39</v>
      </c>
      <c r="Q2019" t="s">
        <v>4611</v>
      </c>
    </row>
    <row r="2020" spans="1:17" ht="15.75" x14ac:dyDescent="0.25">
      <c r="A2020" s="3" t="str">
        <f>HYPERLINK("https://prolisok-store.com/collections/premium/products/rose-31-eau-de-parfum", "https://prolisok-store.com/collections/premium/products/rose-31-eau-de-parfum")</f>
        <v>https://prolisok-store.com/collections/premium/products/rose-31-eau-de-parfum</v>
      </c>
      <c r="B2020" s="3" t="str">
        <f>HYPERLINK("https://prolisok-store.com/products/rose-31-eau-de-parfum", "https://prolisok-store.com/products/rose-31-eau-de-parfum")</f>
        <v>https://prolisok-store.com/products/rose-31-eau-de-parfum</v>
      </c>
      <c r="C2020" t="s">
        <v>4398</v>
      </c>
      <c r="D2020" t="s">
        <v>5056</v>
      </c>
      <c r="E2020" s="3" t="str">
        <f>HYPERLINK("https://www.amazon.com/Labo-Parfum-0-025-Ounce-Sample/dp/B081BDZD6D/ref=sr_1_4?keywords=Le+Labo+Eau+de+Parfum+Rose+31&amp;qid=1695259291&amp;sr=8-4", "https://www.amazon.com/Labo-Parfum-0-025-Ounce-Sample/dp/B081BDZD6D/ref=sr_1_4?keywords=Le+Labo+Eau+de+Parfum+Rose+31&amp;qid=1695259291&amp;sr=8-4")</f>
        <v>https://www.amazon.com/Labo-Parfum-0-025-Ounce-Sample/dp/B081BDZD6D/ref=sr_1_4?keywords=Le+Labo+Eau+de+Parfum+Rose+31&amp;qid=1695259291&amp;sr=8-4</v>
      </c>
      <c r="F2020" t="s">
        <v>5057</v>
      </c>
      <c r="G2020" t="e">
        <f ca="1">IMAGE("https://prolisok-store.com/cdn/shop/files/31i5LX5FJDL_300x.jpg?v=1689761245")</f>
        <v>#NAME?</v>
      </c>
      <c r="H2020" t="e">
        <f ca="1">IMAGE("https://m.media-amazon.com/images/I/81sYkj2espL._AC_UL320_.jpg")</f>
        <v>#NAME?</v>
      </c>
      <c r="I2020" t="s">
        <v>4401</v>
      </c>
      <c r="J2020">
        <v>11.5</v>
      </c>
      <c r="K2020" s="2" t="s">
        <v>5058</v>
      </c>
      <c r="L2020">
        <v>3.8</v>
      </c>
      <c r="M2020">
        <v>1524</v>
      </c>
      <c r="O2020" t="s">
        <v>26</v>
      </c>
      <c r="P2020" t="s">
        <v>39</v>
      </c>
      <c r="Q2020" t="s">
        <v>4403</v>
      </c>
    </row>
    <row r="2021" spans="1:17" ht="15.75" x14ac:dyDescent="0.25">
      <c r="A2021" s="3" t="str">
        <f>HYPERLINK("https://prolisok-store.com/collections/premium/products/rose-31-eau-de-parfum", "https://prolisok-store.com/collections/premium/products/rose-31-eau-de-parfum")</f>
        <v>https://prolisok-store.com/collections/premium/products/rose-31-eau-de-parfum</v>
      </c>
      <c r="B2021" s="3" t="str">
        <f>HYPERLINK("https://prolisok-store.com/products/rose-31-eau-de-parfum", "https://prolisok-store.com/products/rose-31-eau-de-parfum")</f>
        <v>https://prolisok-store.com/products/rose-31-eau-de-parfum</v>
      </c>
      <c r="C2021" t="s">
        <v>4398</v>
      </c>
      <c r="D2021" t="s">
        <v>5059</v>
      </c>
      <c r="E2021" s="3" t="str">
        <f>HYPERLINK("https://www.amazon.com/Labo-Rose-Parfum-Small-Sample/dp/B07S91M78Q/ref=sr_1_2?keywords=Le+Labo+Eau+de+Parfum+Rose+31&amp;qid=1695259291&amp;sr=8-2", "https://www.amazon.com/Labo-Rose-Parfum-Small-Sample/dp/B07S91M78Q/ref=sr_1_2?keywords=Le+Labo+Eau+de+Parfum+Rose+31&amp;qid=1695259291&amp;sr=8-2")</f>
        <v>https://www.amazon.com/Labo-Rose-Parfum-Small-Sample/dp/B07S91M78Q/ref=sr_1_2?keywords=Le+Labo+Eau+de+Parfum+Rose+31&amp;qid=1695259291&amp;sr=8-2</v>
      </c>
      <c r="F2021" t="s">
        <v>5060</v>
      </c>
      <c r="G2021" t="e">
        <f ca="1">IMAGE("https://prolisok-store.com/cdn/shop/files/31i5LX5FJDL_300x.jpg?v=1689761245")</f>
        <v>#NAME?</v>
      </c>
      <c r="H2021" t="e">
        <f ca="1">IMAGE("https://m.media-amazon.com/images/I/91Yo8KzM6BL._AC_UL320_.jpg")</f>
        <v>#NAME?</v>
      </c>
      <c r="I2021" t="s">
        <v>4401</v>
      </c>
      <c r="J2021">
        <v>10.85</v>
      </c>
      <c r="K2021" s="2" t="s">
        <v>5061</v>
      </c>
      <c r="L2021">
        <v>4.0999999999999996</v>
      </c>
      <c r="M2021">
        <v>194</v>
      </c>
      <c r="O2021" t="s">
        <v>26</v>
      </c>
      <c r="P2021" t="s">
        <v>39</v>
      </c>
      <c r="Q2021" t="s">
        <v>4403</v>
      </c>
    </row>
    <row r="2022" spans="1:17" ht="15.75" x14ac:dyDescent="0.25">
      <c r="A2022" s="3" t="str">
        <f>HYPERLINK("https://prolisok-store.com/collections/premium/products/rose-31-eau-de-parfum", "https://prolisok-store.com/collections/premium/products/rose-31-eau-de-parfum")</f>
        <v>https://prolisok-store.com/collections/premium/products/rose-31-eau-de-parfum</v>
      </c>
      <c r="B2022" s="3" t="str">
        <f>HYPERLINK("https://prolisok-store.com/products/rose-31-eau-de-parfum", "https://prolisok-store.com/products/rose-31-eau-de-parfum")</f>
        <v>https://prolisok-store.com/products/rose-31-eau-de-parfum</v>
      </c>
      <c r="C2022" t="s">
        <v>4398</v>
      </c>
      <c r="D2022" t="s">
        <v>5062</v>
      </c>
      <c r="E2022" s="3" t="str">
        <f>HYPERLINK("https://www.amazon.com/LABO-Tonka-Eau-Parfum-Mini-025/dp/B07KWFZWB3/ref=sr_1_10?keywords=Le+Labo+Eau+de+Parfum+Rose+31&amp;qid=1695259291&amp;sr=8-10", "https://www.amazon.com/LABO-Tonka-Eau-Parfum-Mini-025/dp/B07KWFZWB3/ref=sr_1_10?keywords=Le+Labo+Eau+de+Parfum+Rose+31&amp;qid=1695259291&amp;sr=8-10")</f>
        <v>https://www.amazon.com/LABO-Tonka-Eau-Parfum-Mini-025/dp/B07KWFZWB3/ref=sr_1_10?keywords=Le+Labo+Eau+de+Parfum+Rose+31&amp;qid=1695259291&amp;sr=8-10</v>
      </c>
      <c r="F2022" t="s">
        <v>5063</v>
      </c>
      <c r="G2022" t="e">
        <f ca="1">IMAGE("https://prolisok-store.com/cdn/shop/files/31i5LX5FJDL_300x.jpg?v=1689761245")</f>
        <v>#NAME?</v>
      </c>
      <c r="H2022" t="e">
        <f ca="1">IMAGE("https://m.media-amazon.com/images/I/31bcsg+mIjL._AC_UL320_.jpg")</f>
        <v>#NAME?</v>
      </c>
      <c r="I2022" t="s">
        <v>4401</v>
      </c>
      <c r="J2022">
        <v>10</v>
      </c>
      <c r="K2022" s="2" t="s">
        <v>5064</v>
      </c>
      <c r="L2022">
        <v>3.5</v>
      </c>
      <c r="M2022">
        <v>33</v>
      </c>
      <c r="O2022" t="s">
        <v>26</v>
      </c>
      <c r="P2022" t="s">
        <v>39</v>
      </c>
      <c r="Q2022" t="s">
        <v>4403</v>
      </c>
    </row>
    <row r="2023" spans="1:17" ht="15.75" x14ac:dyDescent="0.25">
      <c r="A2023" s="3" t="str">
        <f>HYPERLINK("https://prolisok-store.com/collections/premium/products/by-kilian-good-girl-gone-bad-1-7-fl-oz", "https://prolisok-store.com/collections/premium/products/by-kilian-good-girl-gone-bad-1-7-fl-oz")</f>
        <v>https://prolisok-store.com/collections/premium/products/by-kilian-good-girl-gone-bad-1-7-fl-oz</v>
      </c>
      <c r="B2023" s="3" t="str">
        <f>HYPERLINK("https://prolisok-store.com/products/by-kilian-good-girl-gone-bad-1-7-fl-oz", "https://prolisok-store.com/products/by-kilian-good-girl-gone-bad-1-7-fl-oz")</f>
        <v>https://prolisok-store.com/products/by-kilian-good-girl-gone-bad-1-7-fl-oz</v>
      </c>
      <c r="C2023" t="s">
        <v>4606</v>
      </c>
      <c r="D2023" t="s">
        <v>5065</v>
      </c>
      <c r="E2023" s="3" t="str">
        <f>HYPERLINK("https://www.amazon.com/BIOCURA-Perfume-Inspired-Replica-Fragrance/dp/B0C1DT2SLM/ref=sr_1_7?keywords=By+Kilian+-+Good+Girl+Gone+Bad+-+1.7+fl.+Oz&amp;qid=1695259301&amp;sr=8-7", "https://www.amazon.com/BIOCURA-Perfume-Inspired-Replica-Fragrance/dp/B0C1DT2SLM/ref=sr_1_7?keywords=By+Kilian+-+Good+Girl+Gone+Bad+-+1.7+fl.+Oz&amp;qid=1695259301&amp;sr=8-7")</f>
        <v>https://www.amazon.com/BIOCURA-Perfume-Inspired-Replica-Fragrance/dp/B0C1DT2SLM/ref=sr_1_7?keywords=By+Kilian+-+Good+Girl+Gone+Bad+-+1.7+fl.+Oz&amp;qid=1695259301&amp;sr=8-7</v>
      </c>
      <c r="F2023" t="s">
        <v>5066</v>
      </c>
      <c r="G2023" t="e">
        <f ca="1">IMAGE("https://prolisok-store.com/cdn/shop/files/41o-yGm4K6L_300x.jpg?v=1686655714")</f>
        <v>#NAME?</v>
      </c>
      <c r="H2023" t="e">
        <f ca="1">IMAGE("https://m.media-amazon.com/images/I/61ifL4a2W8L._AC_UL320_.jpg")</f>
        <v>#NAME?</v>
      </c>
      <c r="I2023" t="s">
        <v>4609</v>
      </c>
      <c r="J2023">
        <v>19.989999999999998</v>
      </c>
      <c r="K2023" s="2" t="s">
        <v>2766</v>
      </c>
      <c r="L2023">
        <v>4</v>
      </c>
      <c r="M2023">
        <v>91</v>
      </c>
      <c r="O2023" t="s">
        <v>26</v>
      </c>
      <c r="P2023" t="s">
        <v>39</v>
      </c>
      <c r="Q2023" t="s">
        <v>4611</v>
      </c>
    </row>
    <row r="2024" spans="1:17" ht="15.75" x14ac:dyDescent="0.25">
      <c r="A2024" s="3" t="str">
        <f>HYPERLINK("https://prolisok-store.com/collections/premium/products/frederic-malle-portrait-of-a-lady-ladies-3-4-oz", "https://prolisok-store.com/collections/premium/products/frederic-malle-portrait-of-a-lady-ladies-3-4-oz")</f>
        <v>https://prolisok-store.com/collections/premium/products/frederic-malle-portrait-of-a-lady-ladies-3-4-oz</v>
      </c>
      <c r="B2024" s="3" t="str">
        <f>HYPERLINK("https://prolisok-store.com/products/frederic-malle-portrait-of-a-lady-ladies-3-4-oz", "https://prolisok-store.com/products/frederic-malle-portrait-of-a-lady-ladies-3-4-oz")</f>
        <v>https://prolisok-store.com/products/frederic-malle-portrait-of-a-lady-ladies-3-4-oz</v>
      </c>
      <c r="C2024" t="s">
        <v>4654</v>
      </c>
      <c r="D2024" t="s">
        <v>5067</v>
      </c>
      <c r="E2024" s="3" t="str">
        <f>HYPERLINK("https://www.amazon.com/MIRIS-No-42855-Impression-Portrait-Parfum/dp/B09N7SJ2YG/ref=sr_1_8?keywords=Frederic+Malle+Portrait+of+A+Lady+Eau+De+Parfum+Spray+3.4+oz+For+Women&amp;qid=1695259294&amp;sr=8-8", "https://www.amazon.com/MIRIS-No-42855-Impression-Portrait-Parfum/dp/B09N7SJ2YG/ref=sr_1_8?keywords=Frederic+Malle+Portrait+of+A+Lady+Eau+De+Parfum+Spray+3.4+oz+For+Women&amp;qid=1695259294&amp;sr=8-8")</f>
        <v>https://www.amazon.com/MIRIS-No-42855-Impression-Portrait-Parfum/dp/B09N7SJ2YG/ref=sr_1_8?keywords=Frederic+Malle+Portrait+of+A+Lady+Eau+De+Parfum+Spray+3.4+oz+For+Women&amp;qid=1695259294&amp;sr=8-8</v>
      </c>
      <c r="F2024" t="s">
        <v>5068</v>
      </c>
      <c r="G2024" t="e">
        <f ca="1">IMAGE("https://prolisok-store.com/cdn/shop/files/PortraitofaLady_2_300x.jpg?v=1687510418")</f>
        <v>#NAME?</v>
      </c>
      <c r="H2024" t="e">
        <f ca="1">IMAGE("https://m.media-amazon.com/images/I/61zUwgHDXuL._AC_UL320_.jpg")</f>
        <v>#NAME?</v>
      </c>
      <c r="I2024" t="s">
        <v>4657</v>
      </c>
      <c r="J2024">
        <v>23.38</v>
      </c>
      <c r="K2024" s="2" t="s">
        <v>5069</v>
      </c>
      <c r="L2024">
        <v>3.5</v>
      </c>
      <c r="M2024">
        <v>4790</v>
      </c>
      <c r="O2024" t="s">
        <v>26</v>
      </c>
      <c r="P2024" t="s">
        <v>39</v>
      </c>
      <c r="Q2024" t="s">
        <v>4659</v>
      </c>
    </row>
    <row r="2025" spans="1:17" ht="15.75" x14ac:dyDescent="0.25">
      <c r="A2025" s="3" t="str">
        <f>HYPERLINK("https://prolisok-store.com/collections/premium/products/byredo-rose-of-no-mans-land-eau-de-parfum-spray-3-3-ounce", "https://prolisok-store.com/collections/premium/products/byredo-rose-of-no-mans-land-eau-de-parfum-spray-3-3-ounce")</f>
        <v>https://prolisok-store.com/collections/premium/products/byredo-rose-of-no-mans-land-eau-de-parfum-spray-3-3-ounce</v>
      </c>
      <c r="B2025" s="3" t="str">
        <f>HYPERLINK("https://prolisok-store.com/products/byredo-rose-of-no-mans-land-eau-de-parfum-spray-3-3-ounce", "https://prolisok-store.com/products/byredo-rose-of-no-mans-land-eau-de-parfum-spray-3-3-ounce")</f>
        <v>https://prolisok-store.com/products/byredo-rose-of-no-mans-land-eau-de-parfum-spray-3-3-ounce</v>
      </c>
      <c r="C2025" t="s">
        <v>4526</v>
      </c>
      <c r="D2025" t="s">
        <v>5070</v>
      </c>
      <c r="E2025" s="3" t="str">
        <f>HYPERLINK("https://www.amazon.com/BYREDO-Rose-Parfum-Deluxe-Travel/dp/1477021868/ref=sr_1_4?keywords=Byredo+Rose+of+No+Man%27s+Land+Eau+De+Parfum+Spray%2C+3.3+Ounce&amp;qid=1695259292&amp;sr=8-4", "https://www.amazon.com/BYREDO-Rose-Parfum-Deluxe-Travel/dp/1477021868/ref=sr_1_4?keywords=Byredo+Rose+of+No+Man%27s+Land+Eau+De+Parfum+Spray%2C+3.3+Ounce&amp;qid=1695259292&amp;sr=8-4")</f>
        <v>https://www.amazon.com/BYREDO-Rose-Parfum-Deluxe-Travel/dp/1477021868/ref=sr_1_4?keywords=Byredo+Rose+of+No+Man%27s+Land+Eau+De+Parfum+Spray%2C+3.3+Ounce&amp;qid=1695259292&amp;sr=8-4</v>
      </c>
      <c r="F2025" t="s">
        <v>5071</v>
      </c>
      <c r="G2025" t="e">
        <f ca="1">IMAGE("https://prolisok-store.com/cdn/shop/files/ByredoRoseofNoMan_sLand4_300x.jpg?v=1687511871")</f>
        <v>#NAME?</v>
      </c>
      <c r="H2025" t="e">
        <f ca="1">IMAGE("https://m.media-amazon.com/images/I/81IIFklUYKL._AC_UL320_.jpg")</f>
        <v>#NAME?</v>
      </c>
      <c r="I2025" t="s">
        <v>4355</v>
      </c>
      <c r="J2025">
        <v>9.99</v>
      </c>
      <c r="K2025" s="2" t="s">
        <v>2776</v>
      </c>
      <c r="L2025">
        <v>3.5</v>
      </c>
      <c r="M2025">
        <v>45</v>
      </c>
      <c r="O2025" t="s">
        <v>26</v>
      </c>
      <c r="P2025" t="s">
        <v>39</v>
      </c>
      <c r="Q2025" t="s">
        <v>4529</v>
      </c>
    </row>
    <row r="2026" spans="1:17" ht="15.75" x14ac:dyDescent="0.25">
      <c r="A2026" s="3" t="str">
        <f>HYPERLINK("https://prolisok-store.com/collections/premium/products/la-mer-powder-brush-2-g", "https://prolisok-store.com/collections/premium/products/la-mer-powder-brush-2-g")</f>
        <v>https://prolisok-store.com/collections/premium/products/la-mer-powder-brush-2-g</v>
      </c>
      <c r="B2026" s="3" t="str">
        <f>HYPERLINK("https://prolisok-store.com/products/la-mer-powder-brush-2-g", "https://prolisok-store.com/products/la-mer-powder-brush-2-g")</f>
        <v>https://prolisok-store.com/products/la-mer-powder-brush-2-g</v>
      </c>
      <c r="C2026" t="s">
        <v>4849</v>
      </c>
      <c r="D2026" t="s">
        <v>5072</v>
      </c>
      <c r="E2026" s="3" t="str">
        <f>HYPERLINK("https://www.amazon.com/Luxspire-Powder-Mineral-Foundation-Blending/dp/B08DR9M7KR/ref=sr_1_8?keywords=La+Mer+Powder+Brush+-+2+g&amp;qid=1695259303&amp;sr=8-8", "https://www.amazon.com/Luxspire-Powder-Mineral-Foundation-Blending/dp/B08DR9M7KR/ref=sr_1_8?keywords=La+Mer+Powder+Brush+-+2+g&amp;qid=1695259303&amp;sr=8-8")</f>
        <v>https://www.amazon.com/Luxspire-Powder-Mineral-Foundation-Blending/dp/B08DR9M7KR/ref=sr_1_8?keywords=La+Mer+Powder+Brush+-+2+g&amp;qid=1695259303&amp;sr=8-8</v>
      </c>
      <c r="F2026" t="s">
        <v>5073</v>
      </c>
      <c r="G2026" t="e">
        <f ca="1">IMAGE("https://prolisok-store.com/cdn/shop/products/31237RidMRL._SL1000_300x.jpg?v=1673891915")</f>
        <v>#NAME?</v>
      </c>
      <c r="H2026" t="e">
        <f ca="1">IMAGE("https://m.media-amazon.com/images/I/61-MJ5lvn9L._AC_UL320_.jpg")</f>
        <v>#NAME?</v>
      </c>
      <c r="I2026" t="s">
        <v>3476</v>
      </c>
      <c r="J2026">
        <v>5.88</v>
      </c>
      <c r="K2026" s="2" t="s">
        <v>5074</v>
      </c>
      <c r="L2026">
        <v>4.4000000000000004</v>
      </c>
      <c r="M2026">
        <v>1017</v>
      </c>
      <c r="O2026" t="s">
        <v>26</v>
      </c>
      <c r="P2026" t="s">
        <v>4853</v>
      </c>
      <c r="Q2026" t="s">
        <v>4854</v>
      </c>
    </row>
    <row r="2027" spans="1:17" ht="15.75" x14ac:dyDescent="0.25">
      <c r="A2027" s="3" t="str">
        <f>HYPERLINK("https://prolisok-store.com/collections/premium/products/by-kilian-good-girl-gone-bad-1-7-fl-oz", "https://prolisok-store.com/collections/premium/products/by-kilian-good-girl-gone-bad-1-7-fl-oz")</f>
        <v>https://prolisok-store.com/collections/premium/products/by-kilian-good-girl-gone-bad-1-7-fl-oz</v>
      </c>
      <c r="B2027" s="3" t="str">
        <f>HYPERLINK("https://prolisok-store.com/products/by-kilian-good-girl-gone-bad-1-7-fl-oz", "https://prolisok-store.com/products/by-kilian-good-girl-gone-bad-1-7-fl-oz")</f>
        <v>https://prolisok-store.com/products/by-kilian-good-girl-gone-bad-1-7-fl-oz</v>
      </c>
      <c r="C2027" t="s">
        <v>4606</v>
      </c>
      <c r="D2027" t="s">
        <v>5075</v>
      </c>
      <c r="E2027" s="3" t="str">
        <f>HYPERLINK("https://www.amazon.com/CA-Perfume-Alcohol-Free-Aromatherapy-Concentrated/dp/B097MS2X42/ref=sr_1_10?keywords=By+Kilian+-+Good+Girl+Gone+Bad+-+1.7+fl.+Oz&amp;qid=1695259301&amp;sr=8-10", "https://www.amazon.com/CA-Perfume-Alcohol-Free-Aromatherapy-Concentrated/dp/B097MS2X42/ref=sr_1_10?keywords=By+Kilian+-+Good+Girl+Gone+Bad+-+1.7+fl.+Oz&amp;qid=1695259301&amp;sr=8-10")</f>
        <v>https://www.amazon.com/CA-Perfume-Alcohol-Free-Aromatherapy-Concentrated/dp/B097MS2X42/ref=sr_1_10?keywords=By+Kilian+-+Good+Girl+Gone+Bad+-+1.7+fl.+Oz&amp;qid=1695259301&amp;sr=8-10</v>
      </c>
      <c r="F2027" t="s">
        <v>5076</v>
      </c>
      <c r="G2027" t="e">
        <f ca="1">IMAGE("https://prolisok-store.com/cdn/shop/files/41o-yGm4K6L_300x.jpg?v=1686655714")</f>
        <v>#NAME?</v>
      </c>
      <c r="H2027" t="e">
        <f ca="1">IMAGE("https://m.media-amazon.com/images/I/41x41OuHMqL._AC_UL320_.jpg")</f>
        <v>#NAME?</v>
      </c>
      <c r="I2027" t="s">
        <v>4609</v>
      </c>
      <c r="J2027">
        <v>12.99</v>
      </c>
      <c r="K2027" s="2" t="s">
        <v>5077</v>
      </c>
      <c r="L2027">
        <v>4</v>
      </c>
      <c r="M2027">
        <v>3434</v>
      </c>
      <c r="O2027" t="s">
        <v>26</v>
      </c>
      <c r="P2027" t="s">
        <v>39</v>
      </c>
      <c r="Q2027" t="s">
        <v>4611</v>
      </c>
    </row>
    <row r="2028" spans="1:17" ht="15.75" x14ac:dyDescent="0.25">
      <c r="A2028" s="3" t="str">
        <f>HYPERLINK("https://prolisok-store.com/collections/premium/products/la-mer-the-moisturizing-soft-lotion", "https://prolisok-store.com/collections/premium/products/la-mer-the-moisturizing-soft-lotion")</f>
        <v>https://prolisok-store.com/collections/premium/products/la-mer-the-moisturizing-soft-lotion</v>
      </c>
      <c r="B2028" s="3" t="str">
        <f>HYPERLINK("https://prolisok-store.com/products/la-mer-the-moisturizing-soft-lotion", "https://prolisok-store.com/products/la-mer-the-moisturizing-soft-lotion")</f>
        <v>https://prolisok-store.com/products/la-mer-the-moisturizing-soft-lotion</v>
      </c>
      <c r="C2028" t="s">
        <v>4503</v>
      </c>
      <c r="D2028" t="s">
        <v>5078</v>
      </c>
      <c r="E2028" s="3" t="str">
        <f>HYPERLINK("https://www.amazon.com/Mer-Moisturizing-Soft-Lotion-0-1oz/dp/B01N9OXFZP/ref=sr_1_4?keywords=La+Mer+The+Moisturizing+Soft+Lotion&amp;qid=1695259290&amp;sr=8-4", "https://www.amazon.com/Mer-Moisturizing-Soft-Lotion-0-1oz/dp/B01N9OXFZP/ref=sr_1_4?keywords=La+Mer+The+Moisturizing+Soft+Lotion&amp;qid=1695259290&amp;sr=8-4")</f>
        <v>https://www.amazon.com/Mer-Moisturizing-Soft-Lotion-0-1oz/dp/B01N9OXFZP/ref=sr_1_4?keywords=La+Mer+The+Moisturizing+Soft+Lotion&amp;qid=1695259290&amp;sr=8-4</v>
      </c>
      <c r="F2028" t="s">
        <v>5079</v>
      </c>
      <c r="G2028" t="e">
        <f ca="1">IMAGE("https://prolisok-store.com/cdn/shop/products/61uLYCnMy9L._SL1500_300x.jpg?v=1667997816")</f>
        <v>#NAME?</v>
      </c>
      <c r="H2028" t="e">
        <f ca="1">IMAGE("https://m.media-amazon.com/images/I/417GjxHLc9L._AC_UL320_.jpg")</f>
        <v>#NAME?</v>
      </c>
      <c r="I2028" t="s">
        <v>4506</v>
      </c>
      <c r="J2028">
        <v>5</v>
      </c>
      <c r="K2028" s="2" t="s">
        <v>3854</v>
      </c>
      <c r="L2028">
        <v>2.9</v>
      </c>
      <c r="M2028">
        <v>2</v>
      </c>
      <c r="O2028" t="s">
        <v>26</v>
      </c>
      <c r="P2028" t="s">
        <v>39</v>
      </c>
      <c r="Q2028" t="s">
        <v>4508</v>
      </c>
    </row>
    <row r="2029" spans="1:17" ht="15.75" x14ac:dyDescent="0.25">
      <c r="A2029" s="3" t="str">
        <f>HYPERLINK("https://prolisok-store.com/collections/sale/products/drunk-elephant-lala-retro-whipped-cream-50-milliliters", "https://prolisok-store.com/collections/sale/products/drunk-elephant-lala-retro-whipped-cream-50-milliliters")</f>
        <v>https://prolisok-store.com/collections/sale/products/drunk-elephant-lala-retro-whipped-cream-50-milliliters</v>
      </c>
      <c r="B2029" s="3" t="str">
        <f>HYPERLINK("https://prolisok-store.com/products/drunk-elephant-lala-retro-whipped-cream-50-milliliters", "https://prolisok-store.com/products/drunk-elephant-lala-retro-whipped-cream-50-milliliters")</f>
        <v>https://prolisok-store.com/products/drunk-elephant-lala-retro-whipped-cream-50-milliliters</v>
      </c>
      <c r="C2029" t="s">
        <v>4388</v>
      </c>
      <c r="D2029" t="s">
        <v>4389</v>
      </c>
      <c r="E2029" s="3" t="str">
        <f>HYPERLINK("https://www.amazon.com/Drunk-Elephant-Renewal-Babyfacial-Moisturizer/dp/B07CH6Y844/ref=sr_1_3?keywords=Drunk+Elephant+Lala+Retro+Whipped+Cream+50+Milliliters&amp;qid=1695259346&amp;sr=8-3", "https://www.amazon.com/Drunk-Elephant-Renewal-Babyfacial-Moisturizer/dp/B07CH6Y844/ref=sr_1_3?keywords=Drunk+Elephant+Lala+Retro+Whipped+Cream+50+Milliliters&amp;qid=1695259346&amp;sr=8-3")</f>
        <v>https://www.amazon.com/Drunk-Elephant-Renewal-Babyfacial-Moisturizer/dp/B07CH6Y844/ref=sr_1_3?keywords=Drunk+Elephant+Lala+Retro+Whipped+Cream+50+Milliliters&amp;qid=1695259346&amp;sr=8-3</v>
      </c>
      <c r="F2029" t="s">
        <v>4390</v>
      </c>
      <c r="G2029" t="e">
        <f ca="1">IMAGE("https://prolisok-store.com/cdn/shop/files/51ybUrn6ZWL._SL1500_300x.jpg?v=1686223860")</f>
        <v>#NAME?</v>
      </c>
      <c r="H2029" t="e">
        <f ca="1">IMAGE("https://m.media-amazon.com/images/I/51F8VPkHiXL._AC_UL320_.jpg")</f>
        <v>#NAME?</v>
      </c>
      <c r="I2029" t="s">
        <v>3566</v>
      </c>
      <c r="J2029">
        <v>129.99</v>
      </c>
      <c r="K2029" s="2" t="s">
        <v>4391</v>
      </c>
      <c r="L2029">
        <v>4.5</v>
      </c>
      <c r="M2029">
        <v>97</v>
      </c>
      <c r="O2029" t="s">
        <v>26</v>
      </c>
      <c r="P2029" t="s">
        <v>2472</v>
      </c>
      <c r="Q2029" t="s">
        <v>4392</v>
      </c>
    </row>
    <row r="2030" spans="1:17" ht="15.75" x14ac:dyDescent="0.25">
      <c r="A2030" s="3" t="str">
        <f>HYPERLINK("https://prolisok-store.com/collections/sale/products/the-soft-fluid-foundation-spf-20-1-oz-porcelain", "https://prolisok-store.com/collections/sale/products/the-soft-fluid-foundation-spf-20-1-oz-porcelain")</f>
        <v>https://prolisok-store.com/collections/sale/products/the-soft-fluid-foundation-spf-20-1-oz-porcelain</v>
      </c>
      <c r="B2030" s="3" t="str">
        <f>HYPERLINK("https://prolisok-store.com/products/the-soft-fluid-foundation-spf-20-1-oz-porcelain", "https://prolisok-store.com/products/the-soft-fluid-foundation-spf-20-1-oz-porcelain")</f>
        <v>https://prolisok-store.com/products/the-soft-fluid-foundation-spf-20-1-oz-porcelain</v>
      </c>
      <c r="C2030" t="s">
        <v>4466</v>
      </c>
      <c r="D2030" t="s">
        <v>4463</v>
      </c>
      <c r="E2030" s="3" t="str">
        <f>HYPERLINK("https://www.amazon.com/Mer-Soft-Fluid-Foundation-Ivory/dp/B01M30X0KO/ref=sr_1_3?keywords=La+Mer+The+Soft+Fluid+Foundation+SPF+20-1+oz.+Porcelain&amp;qid=1695259346&amp;sr=8-3", "https://www.amazon.com/Mer-Soft-Fluid-Foundation-Ivory/dp/B01M30X0KO/ref=sr_1_3?keywords=La+Mer+The+Soft+Fluid+Foundation+SPF+20-1+oz.+Porcelain&amp;qid=1695259346&amp;sr=8-3")</f>
        <v>https://www.amazon.com/Mer-Soft-Fluid-Foundation-Ivory/dp/B01M30X0KO/ref=sr_1_3?keywords=La+Mer+The+Soft+Fluid+Foundation+SPF+20-1+oz.+Porcelain&amp;qid=1695259346&amp;sr=8-3</v>
      </c>
      <c r="F2030" t="s">
        <v>4464</v>
      </c>
      <c r="G2030" t="e">
        <f ca="1">IMAGE("https://prolisok-store.com/cdn/shop/products/41wgXKYLRyL._SL1000_300x.jpg?v=1674109756")</f>
        <v>#NAME?</v>
      </c>
      <c r="H2030" t="e">
        <f ca="1">IMAGE("https://m.media-amazon.com/images/I/71foDwwBTlL._AC_UL320_.jpg")</f>
        <v>#NAME?</v>
      </c>
      <c r="I2030" t="s">
        <v>4346</v>
      </c>
      <c r="J2030">
        <v>147</v>
      </c>
      <c r="K2030" s="2" t="s">
        <v>4465</v>
      </c>
      <c r="L2030">
        <v>3.6</v>
      </c>
      <c r="M2030">
        <v>9</v>
      </c>
      <c r="O2030" t="s">
        <v>26</v>
      </c>
      <c r="P2030" t="s">
        <v>2501</v>
      </c>
      <c r="Q2030" t="s">
        <v>4467</v>
      </c>
    </row>
    <row r="2031" spans="1:17" ht="15.75" x14ac:dyDescent="0.25">
      <c r="A2031" s="3" t="str">
        <f>HYPERLINK("https://prolisok-store.com/collections/sale/products/diptyque-tam-dao-eau-de-toilette-3-4-oz", "https://prolisok-store.com/collections/sale/products/diptyque-tam-dao-eau-de-toilette-3-4-oz")</f>
        <v>https://prolisok-store.com/collections/sale/products/diptyque-tam-dao-eau-de-toilette-3-4-oz</v>
      </c>
      <c r="B2031" s="3" t="str">
        <f>HYPERLINK("https://prolisok-store.com/products/diptyque-tam-dao-eau-de-toilette-3-4-oz", "https://prolisok-store.com/products/diptyque-tam-dao-eau-de-toilette-3-4-oz")</f>
        <v>https://prolisok-store.com/products/diptyque-tam-dao-eau-de-toilette-3-4-oz</v>
      </c>
      <c r="C2031" t="s">
        <v>4488</v>
      </c>
      <c r="D2031" t="s">
        <v>4485</v>
      </c>
      <c r="E2031" s="3" t="str">
        <f>HYPERLINK("https://www.amazon.com/Diptyque-Vetyverio-Eau-Toilette-3-4-oz/dp/B00992AGY0/ref=sr_1_3?keywords=Diptyque+Tam+Dao+Eau+de+Toilette-3.4+oz.&amp;qid=1695259344&amp;sr=8-3", "https://www.amazon.com/Diptyque-Vetyverio-Eau-Toilette-3-4-oz/dp/B00992AGY0/ref=sr_1_3?keywords=Diptyque+Tam+Dao+Eau+de+Toilette-3.4+oz.&amp;qid=1695259344&amp;sr=8-3")</f>
        <v>https://www.amazon.com/Diptyque-Vetyverio-Eau-Toilette-3-4-oz/dp/B00992AGY0/ref=sr_1_3?keywords=Diptyque+Tam+Dao+Eau+de+Toilette-3.4+oz.&amp;qid=1695259344&amp;sr=8-3</v>
      </c>
      <c r="F2031" t="s">
        <v>4486</v>
      </c>
      <c r="G2031" t="e">
        <f ca="1">IMAGE("https://prolisok-store.com/cdn/shop/products/DiptyqueTamDaoEaudeToilette-3.4oz_-1_300x.jpg?v=1683715785")</f>
        <v>#NAME?</v>
      </c>
      <c r="H2031" t="e">
        <f ca="1">IMAGE("https://m.media-amazon.com/images/I/71DHMzbC3xL._AC_UL320_.jpg")</f>
        <v>#NAME?</v>
      </c>
      <c r="I2031" t="s">
        <v>4355</v>
      </c>
      <c r="J2031">
        <v>169</v>
      </c>
      <c r="K2031" s="2" t="s">
        <v>4487</v>
      </c>
      <c r="L2031">
        <v>4.7</v>
      </c>
      <c r="M2031">
        <v>19</v>
      </c>
      <c r="O2031" t="s">
        <v>26</v>
      </c>
      <c r="P2031" t="s">
        <v>2988</v>
      </c>
      <c r="Q2031" t="s">
        <v>4489</v>
      </c>
    </row>
    <row r="2032" spans="1:17" ht="15.75" x14ac:dyDescent="0.25">
      <c r="A2032" s="3" t="str">
        <f>HYPERLINK("https://prolisok-store.com/collections/sale/products/the-soft-fluid-foundation-spf-20-1-oz-porcelain", "https://prolisok-store.com/collections/sale/products/the-soft-fluid-foundation-spf-20-1-oz-porcelain")</f>
        <v>https://prolisok-store.com/collections/sale/products/the-soft-fluid-foundation-spf-20-1-oz-porcelain</v>
      </c>
      <c r="B2032" s="3" t="str">
        <f>HYPERLINK("https://prolisok-store.com/products/the-soft-fluid-foundation-spf-20-1-oz-porcelain", "https://prolisok-store.com/products/the-soft-fluid-foundation-spf-20-1-oz-porcelain")</f>
        <v>https://prolisok-store.com/products/the-soft-fluid-foundation-spf-20-1-oz-porcelain</v>
      </c>
      <c r="C2032" t="s">
        <v>4466</v>
      </c>
      <c r="D2032" t="s">
        <v>4500</v>
      </c>
      <c r="E2032" s="3" t="str">
        <f>HYPERLINK("https://www.amazon.com/Mer-Soft-Fluid-Long-Foundation/dp/B01MG45I4H/ref=sr_1_8?keywords=La+Mer+The+Soft+Fluid+Foundation+SPF+20-1+oz.+Porcelain&amp;qid=1695259346&amp;sr=8-8", "https://www.amazon.com/Mer-Soft-Fluid-Long-Foundation/dp/B01MG45I4H/ref=sr_1_8?keywords=La+Mer+The+Soft+Fluid+Foundation+SPF+20-1+oz.+Porcelain&amp;qid=1695259346&amp;sr=8-8")</f>
        <v>https://www.amazon.com/Mer-Soft-Fluid-Long-Foundation/dp/B01MG45I4H/ref=sr_1_8?keywords=La+Mer+The+Soft+Fluid+Foundation+SPF+20-1+oz.+Porcelain&amp;qid=1695259346&amp;sr=8-8</v>
      </c>
      <c r="F2032" t="s">
        <v>4501</v>
      </c>
      <c r="G2032" t="e">
        <f ca="1">IMAGE("https://prolisok-store.com/cdn/shop/products/41wgXKYLRyL._SL1000_300x.jpg?v=1674109756")</f>
        <v>#NAME?</v>
      </c>
      <c r="H2032" t="e">
        <f ca="1">IMAGE("https://m.media-amazon.com/images/I/51oqFtChOJL._AC_UL320_.jpg")</f>
        <v>#NAME?</v>
      </c>
      <c r="I2032" t="s">
        <v>4346</v>
      </c>
      <c r="J2032">
        <v>140</v>
      </c>
      <c r="K2032" s="2" t="s">
        <v>4502</v>
      </c>
      <c r="L2032">
        <v>4.7</v>
      </c>
      <c r="M2032">
        <v>29</v>
      </c>
      <c r="O2032" t="s">
        <v>26</v>
      </c>
      <c r="P2032" t="s">
        <v>2501</v>
      </c>
      <c r="Q2032" t="s">
        <v>4467</v>
      </c>
    </row>
    <row r="2033" spans="1:17" ht="15.75" x14ac:dyDescent="0.25">
      <c r="A2033" s="3" t="str">
        <f>HYPERLINK("https://prolisok-store.com/collections/sale/products/diptyque-lombre-dans-leau-eau-de-toilette-spray-for-women-100ml-3-4-fl-oz", "https://prolisok-store.com/collections/sale/products/diptyque-lombre-dans-leau-eau-de-toilette-spray-for-women-100ml-3-4-fl-oz")</f>
        <v>https://prolisok-store.com/collections/sale/products/diptyque-lombre-dans-leau-eau-de-toilette-spray-for-women-100ml-3-4-fl-oz</v>
      </c>
      <c r="B2033" s="3" t="str">
        <f>HYPERLINK("https://prolisok-store.com/products/diptyque-lombre-dans-leau-eau-de-toilette-spray-for-women-100ml-3-4-fl-oz", "https://prolisok-store.com/products/diptyque-lombre-dans-leau-eau-de-toilette-spray-for-women-100ml-3-4-fl-oz")</f>
        <v>https://prolisok-store.com/products/diptyque-lombre-dans-leau-eau-de-toilette-spray-for-women-100ml-3-4-fl-oz</v>
      </c>
      <c r="C2033" t="s">
        <v>4509</v>
      </c>
      <c r="D2033" t="s">
        <v>4510</v>
      </c>
      <c r="E2033" s="3" t="str">
        <f>HYPERLINK("https://www.amazon.com/Diptyque-Lombre-Parfum-Spray-Women/dp/B00L36HV0W/ref=sr_1_2?keywords=Diptyque+L%27ombre+Dans+L%27eau+Eau+De+Toilette+Spray+For+Women+100Ml+3.4+Fl+Oz&amp;qid=1695259341&amp;sr=8-2", "https://www.amazon.com/Diptyque-Lombre-Parfum-Spray-Women/dp/B00L36HV0W/ref=sr_1_2?keywords=Diptyque+L%27ombre+Dans+L%27eau+Eau+De+Toilette+Spray+For+Women+100Ml+3.4+Fl+Oz&amp;qid=1695259341&amp;sr=8-2")</f>
        <v>https://www.amazon.com/Diptyque-Lombre-Parfum-Spray-Women/dp/B00L36HV0W/ref=sr_1_2?keywords=Diptyque+L%27ombre+Dans+L%27eau+Eau+De+Toilette+Spray+For+Women+100Ml+3.4+Fl+Oz&amp;qid=1695259341&amp;sr=8-2</v>
      </c>
      <c r="F2033" t="s">
        <v>4511</v>
      </c>
      <c r="G2033" t="e">
        <f ca="1">IMAGE("https://prolisok-store.com/cdn/shop/products/DiptyqueL_ombreDansL_eau_300x.jpg?v=1683715765")</f>
        <v>#NAME?</v>
      </c>
      <c r="H2033" t="e">
        <f ca="1">IMAGE("https://m.media-amazon.com/images/I/71T+KosckiL._AC_UL320_.jpg")</f>
        <v>#NAME?</v>
      </c>
      <c r="I2033" t="s">
        <v>4355</v>
      </c>
      <c r="J2033">
        <v>161.07</v>
      </c>
      <c r="K2033" s="2" t="s">
        <v>4512</v>
      </c>
      <c r="L2033">
        <v>5</v>
      </c>
      <c r="M2033">
        <v>2</v>
      </c>
      <c r="O2033" t="s">
        <v>26</v>
      </c>
      <c r="P2033" t="s">
        <v>2988</v>
      </c>
      <c r="Q2033" t="s">
        <v>4513</v>
      </c>
    </row>
    <row r="2034" spans="1:17" ht="15.75" x14ac:dyDescent="0.25">
      <c r="A2034" s="3" t="str">
        <f>HYPERLINK("https://prolisok-store.com/collections/sale/products/drunk-elephant-lala-retro-whipped-cream-50-milliliters", "https://prolisok-store.com/collections/sale/products/drunk-elephant-lala-retro-whipped-cream-50-milliliters")</f>
        <v>https://prolisok-store.com/collections/sale/products/drunk-elephant-lala-retro-whipped-cream-50-milliliters</v>
      </c>
      <c r="B2034" s="3" t="str">
        <f>HYPERLINK("https://prolisok-store.com/products/drunk-elephant-lala-retro-whipped-cream-50-milliliters", "https://prolisok-store.com/products/drunk-elephant-lala-retro-whipped-cream-50-milliliters")</f>
        <v>https://prolisok-store.com/products/drunk-elephant-lala-retro-whipped-cream-50-milliliters</v>
      </c>
      <c r="C2034" t="s">
        <v>4388</v>
      </c>
      <c r="D2034" t="s">
        <v>4520</v>
      </c>
      <c r="E2034" s="3" t="str">
        <f>HYPERLINK("https://www.amazon.com/Drunk-Elephant-Moisturizer-Cleanser-Whipped/dp/B07CH346S8/ref=sr_1_4?keywords=Drunk+Elephant+Lala+Retro+Whipped+Cream+50+Milliliters&amp;qid=1695259346&amp;sr=8-4", "https://www.amazon.com/Drunk-Elephant-Moisturizer-Cleanser-Whipped/dp/B07CH346S8/ref=sr_1_4?keywords=Drunk+Elephant+Lala+Retro+Whipped+Cream+50+Milliliters&amp;qid=1695259346&amp;sr=8-4")</f>
        <v>https://www.amazon.com/Drunk-Elephant-Moisturizer-Cleanser-Whipped/dp/B07CH346S8/ref=sr_1_4?keywords=Drunk+Elephant+Lala+Retro+Whipped+Cream+50+Milliliters&amp;qid=1695259346&amp;sr=8-4</v>
      </c>
      <c r="F2034" t="s">
        <v>4521</v>
      </c>
      <c r="G2034" t="e">
        <f ca="1">IMAGE("https://prolisok-store.com/cdn/shop/files/51ybUrn6ZWL._SL1500_300x.jpg?v=1686223860")</f>
        <v>#NAME?</v>
      </c>
      <c r="H2034" t="e">
        <f ca="1">IMAGE("https://m.media-amazon.com/images/I/71kkfZpaOjL._AC_UL320_.jpg")</f>
        <v>#NAME?</v>
      </c>
      <c r="I2034" t="s">
        <v>3566</v>
      </c>
      <c r="J2034">
        <v>92</v>
      </c>
      <c r="K2034" s="2" t="s">
        <v>4522</v>
      </c>
      <c r="L2034">
        <v>4.3</v>
      </c>
      <c r="M2034">
        <v>31</v>
      </c>
      <c r="O2034" t="s">
        <v>26</v>
      </c>
      <c r="P2034" t="s">
        <v>2472</v>
      </c>
      <c r="Q2034" t="s">
        <v>4392</v>
      </c>
    </row>
    <row r="2035" spans="1:17" ht="15.75" x14ac:dyDescent="0.25">
      <c r="A2035" s="3" t="str">
        <f>HYPERLINK("https://prolisok-store.com/collections/sale/products/loewe-001-man-3-4-oz-eau-de-parfum-spray", "https://prolisok-store.com/collections/sale/products/loewe-001-man-3-4-oz-eau-de-parfum-spray")</f>
        <v>https://prolisok-store.com/collections/sale/products/loewe-001-man-3-4-oz-eau-de-parfum-spray</v>
      </c>
      <c r="B2035" s="3" t="str">
        <f>HYPERLINK("https://prolisok-store.com/products/loewe-001-man-3-4-oz-eau-de-parfum-spray", "https://prolisok-store.com/products/loewe-001-man-3-4-oz-eau-de-parfum-spray")</f>
        <v>https://prolisok-store.com/products/loewe-001-man-3-4-oz-eau-de-parfum-spray</v>
      </c>
      <c r="C2035" t="s">
        <v>4554</v>
      </c>
      <c r="D2035" t="s">
        <v>4555</v>
      </c>
      <c r="E2035" s="3" t="str">
        <f>HYPERLINK("https://www.amazon.com/Loewe-Woman-Parfum-Spray-Women/dp/B084BJ1BNC/ref=sr_1_2?keywords=loewe+001+man+3.4+oz+eau+de+parfum+spray&amp;qid=1695259346&amp;sr=8-2", "https://www.amazon.com/Loewe-Woman-Parfum-Spray-Women/dp/B084BJ1BNC/ref=sr_1_2?keywords=loewe+001+man+3.4+oz+eau+de+parfum+spray&amp;qid=1695259346&amp;sr=8-2")</f>
        <v>https://www.amazon.com/Loewe-Woman-Parfum-Spray-Women/dp/B084BJ1BNC/ref=sr_1_2?keywords=loewe+001+man+3.4+oz+eau+de+parfum+spray&amp;qid=1695259346&amp;sr=8-2</v>
      </c>
      <c r="F2035" t="s">
        <v>4556</v>
      </c>
      <c r="G2035" t="e">
        <f ca="1">IMAGE("https://prolisok-store.com/cdn/shop/products/Loewe001Man3.4oz_300x.jpg?v=1683715745")</f>
        <v>#NAME?</v>
      </c>
      <c r="H2035" t="e">
        <f ca="1">IMAGE("https://m.media-amazon.com/images/I/51PdIceBBtL._AC_UL320_.jpg")</f>
        <v>#NAME?</v>
      </c>
      <c r="I2035" t="s">
        <v>3476</v>
      </c>
      <c r="J2035">
        <v>99.42</v>
      </c>
      <c r="K2035" s="2" t="s">
        <v>4557</v>
      </c>
      <c r="L2035">
        <v>4.4000000000000004</v>
      </c>
      <c r="M2035">
        <v>22</v>
      </c>
      <c r="O2035" t="s">
        <v>26</v>
      </c>
      <c r="P2035" t="s">
        <v>2994</v>
      </c>
      <c r="Q2035" t="s">
        <v>4558</v>
      </c>
    </row>
    <row r="2036" spans="1:17" ht="15.75" x14ac:dyDescent="0.25">
      <c r="A2036" s="3" t="str">
        <f>HYPERLINK("https://prolisok-store.com/collections/sale/products/loewe-001-woman-eau-de-perfume-spray-100ml", "https://prolisok-store.com/collections/sale/products/loewe-001-woman-eau-de-perfume-spray-100ml")</f>
        <v>https://prolisok-store.com/collections/sale/products/loewe-001-woman-eau-de-perfume-spray-100ml</v>
      </c>
      <c r="B2036" s="3" t="str">
        <f>HYPERLINK("https://prolisok-store.com/products/loewe-001-woman-eau-de-perfume-spray-100ml", "https://prolisok-store.com/products/loewe-001-woman-eau-de-perfume-spray-100ml")</f>
        <v>https://prolisok-store.com/products/loewe-001-woman-eau-de-perfume-spray-100ml</v>
      </c>
      <c r="C2036" t="s">
        <v>5080</v>
      </c>
      <c r="D2036" t="s">
        <v>4555</v>
      </c>
      <c r="E2036" s="3" t="str">
        <f>HYPERLINK("https://www.amazon.com/Loewe-Woman-Parfum-Spray-Women/dp/B084BJ1BNC/ref=sr_1_4?keywords=loewe+001+woman+eau+de+parfum+spray+100ml&amp;qid=1695259342&amp;sr=8-4", "https://www.amazon.com/Loewe-Woman-Parfum-Spray-Women/dp/B084BJ1BNC/ref=sr_1_4?keywords=loewe+001+woman+eau+de+parfum+spray+100ml&amp;qid=1695259342&amp;sr=8-4")</f>
        <v>https://www.amazon.com/Loewe-Woman-Parfum-Spray-Women/dp/B084BJ1BNC/ref=sr_1_4?keywords=loewe+001+woman+eau+de+parfum+spray+100ml&amp;qid=1695259342&amp;sr=8-4</v>
      </c>
      <c r="F2036" t="s">
        <v>4556</v>
      </c>
      <c r="G2036" t="e">
        <f ca="1">IMAGE("https://prolisok-store.com/cdn/shop/products/Loewe001Woman_300x.jpg?v=1683715742")</f>
        <v>#NAME?</v>
      </c>
      <c r="H2036" t="e">
        <f ca="1">IMAGE("https://m.media-amazon.com/images/I/51PdIceBBtL._AC_UL320_.jpg")</f>
        <v>#NAME?</v>
      </c>
      <c r="I2036" t="s">
        <v>3476</v>
      </c>
      <c r="J2036">
        <v>99.42</v>
      </c>
      <c r="K2036" s="2" t="s">
        <v>4557</v>
      </c>
      <c r="L2036">
        <v>4.4000000000000004</v>
      </c>
      <c r="M2036">
        <v>22</v>
      </c>
      <c r="O2036" t="s">
        <v>26</v>
      </c>
      <c r="P2036" t="s">
        <v>2994</v>
      </c>
      <c r="Q2036" t="s">
        <v>5081</v>
      </c>
    </row>
    <row r="2037" spans="1:17" ht="15.75" x14ac:dyDescent="0.25">
      <c r="A2037" s="3" t="str">
        <f>HYPERLINK("https://prolisok-store.com/collections/sale/products/diptyque-tam-dao-eau-de-toilette-3-4-oz", "https://prolisok-store.com/collections/sale/products/diptyque-tam-dao-eau-de-toilette-3-4-oz")</f>
        <v>https://prolisok-store.com/collections/sale/products/diptyque-tam-dao-eau-de-toilette-3-4-oz</v>
      </c>
      <c r="B2037" s="3" t="str">
        <f>HYPERLINK("https://prolisok-store.com/products/diptyque-tam-dao-eau-de-toilette-3-4-oz", "https://prolisok-store.com/products/diptyque-tam-dao-eau-de-toilette-3-4-oz")</f>
        <v>https://prolisok-store.com/products/diptyque-tam-dao-eau-de-toilette-3-4-oz</v>
      </c>
      <c r="C2037" t="s">
        <v>4488</v>
      </c>
      <c r="D2037" t="s">
        <v>4579</v>
      </c>
      <c r="E2037" s="3" t="str">
        <f>HYPERLINK("https://www.amazon.com/Diptyque-Tam-Dao-Eau-Toilette-3-4/dp/B002SQ6WII/ref=sr_1_1?keywords=Diptyque+Tam+Dao+Eau+de+Toilette-3.4+oz.&amp;qid=1695259344&amp;sr=8-1", "https://www.amazon.com/Diptyque-Tam-Dao-Eau-Toilette-3-4/dp/B002SQ6WII/ref=sr_1_1?keywords=Diptyque+Tam+Dao+Eau+de+Toilette-3.4+oz.&amp;qid=1695259344&amp;sr=8-1")</f>
        <v>https://www.amazon.com/Diptyque-Tam-Dao-Eau-Toilette-3-4/dp/B002SQ6WII/ref=sr_1_1?keywords=Diptyque+Tam+Dao+Eau+de+Toilette-3.4+oz.&amp;qid=1695259344&amp;sr=8-1</v>
      </c>
      <c r="F2037" t="s">
        <v>4580</v>
      </c>
      <c r="G2037" t="e">
        <f ca="1">IMAGE("https://prolisok-store.com/cdn/shop/products/DiptyqueTamDaoEaudeToilette-3.4oz_-1_300x.jpg?v=1683715785")</f>
        <v>#NAME?</v>
      </c>
      <c r="H2037" t="e">
        <f ca="1">IMAGE("https://m.media-amazon.com/images/I/71TM5bVktEL._AC_UL320_.jpg")</f>
        <v>#NAME?</v>
      </c>
      <c r="I2037" t="s">
        <v>4355</v>
      </c>
      <c r="J2037">
        <v>140.69</v>
      </c>
      <c r="K2037" s="2" t="s">
        <v>4581</v>
      </c>
      <c r="L2037">
        <v>3.9</v>
      </c>
      <c r="M2037">
        <v>95</v>
      </c>
      <c r="O2037" t="s">
        <v>26</v>
      </c>
      <c r="P2037" t="s">
        <v>2988</v>
      </c>
      <c r="Q2037" t="s">
        <v>4489</v>
      </c>
    </row>
    <row r="2038" spans="1:17" ht="15.75" x14ac:dyDescent="0.25">
      <c r="A2038" s="3" t="str">
        <f>HYPERLINK("https://prolisok-store.com/collections/sale/products/diptyque-tam-dao-eau-de-toilette-3-4-oz", "https://prolisok-store.com/collections/sale/products/diptyque-tam-dao-eau-de-toilette-3-4-oz")</f>
        <v>https://prolisok-store.com/collections/sale/products/diptyque-tam-dao-eau-de-toilette-3-4-oz</v>
      </c>
      <c r="B2038" s="3" t="str">
        <f>HYPERLINK("https://prolisok-store.com/products/diptyque-tam-dao-eau-de-toilette-3-4-oz", "https://prolisok-store.com/products/diptyque-tam-dao-eau-de-toilette-3-4-oz")</f>
        <v>https://prolisok-store.com/products/diptyque-tam-dao-eau-de-toilette-3-4-oz</v>
      </c>
      <c r="C2038" t="s">
        <v>4488</v>
      </c>
      <c r="D2038" t="s">
        <v>4612</v>
      </c>
      <c r="E2038" s="3" t="str">
        <f>HYPERLINK("https://www.amazon.com/diptyque-Volutes-Eau-Toilette-3-4-oz/dp/B009U9SWW0/ref=sr_1_5?keywords=Diptyque+Tam+Dao+Eau+de+Toilette-3.4+oz.&amp;qid=1695259344&amp;sr=8-5", "https://www.amazon.com/diptyque-Volutes-Eau-Toilette-3-4-oz/dp/B009U9SWW0/ref=sr_1_5?keywords=Diptyque+Tam+Dao+Eau+de+Toilette-3.4+oz.&amp;qid=1695259344&amp;sr=8-5")</f>
        <v>https://www.amazon.com/diptyque-Volutes-Eau-Toilette-3-4-oz/dp/B009U9SWW0/ref=sr_1_5?keywords=Diptyque+Tam+Dao+Eau+de+Toilette-3.4+oz.&amp;qid=1695259344&amp;sr=8-5</v>
      </c>
      <c r="F2038" t="s">
        <v>4613</v>
      </c>
      <c r="G2038" t="e">
        <f ca="1">IMAGE("https://prolisok-store.com/cdn/shop/products/DiptyqueTamDaoEaudeToilette-3.4oz_-1_300x.jpg?v=1683715785")</f>
        <v>#NAME?</v>
      </c>
      <c r="H2038" t="e">
        <f ca="1">IMAGE("https://m.media-amazon.com/images/I/71UkP8LwVRL._AC_UL320_.jpg")</f>
        <v>#NAME?</v>
      </c>
      <c r="I2038" t="s">
        <v>4355</v>
      </c>
      <c r="J2038">
        <v>134</v>
      </c>
      <c r="K2038" s="2" t="s">
        <v>4614</v>
      </c>
      <c r="L2038">
        <v>4.3</v>
      </c>
      <c r="M2038">
        <v>4</v>
      </c>
      <c r="O2038" t="s">
        <v>26</v>
      </c>
      <c r="P2038" t="s">
        <v>2988</v>
      </c>
      <c r="Q2038" t="s">
        <v>4489</v>
      </c>
    </row>
    <row r="2039" spans="1:17" ht="15.75" x14ac:dyDescent="0.25">
      <c r="A2039" s="3" t="str">
        <f>HYPERLINK("https://prolisok-store.com/collections/sale/products/diptyque-tam-dao-eau-de-toilette-3-4-oz", "https://prolisok-store.com/collections/sale/products/diptyque-tam-dao-eau-de-toilette-3-4-oz")</f>
        <v>https://prolisok-store.com/collections/sale/products/diptyque-tam-dao-eau-de-toilette-3-4-oz</v>
      </c>
      <c r="B2039" s="3" t="str">
        <f>HYPERLINK("https://prolisok-store.com/products/diptyque-tam-dao-eau-de-toilette-3-4-oz", "https://prolisok-store.com/products/diptyque-tam-dao-eau-de-toilette-3-4-oz")</f>
        <v>https://prolisok-store.com/products/diptyque-tam-dao-eau-de-toilette-3-4-oz</v>
      </c>
      <c r="C2039" t="s">
        <v>4488</v>
      </c>
      <c r="D2039" t="s">
        <v>4648</v>
      </c>
      <c r="E2039" s="3" t="str">
        <f>HYPERLINK("https://www.amazon.com/Tam-Dao-Toilette-50ml-Diptyque/dp/B00134UTQW/ref=sr_1_4?keywords=Diptyque+Tam+Dao+Eau+de+Toilette-3.4+oz.&amp;qid=1695259344&amp;sr=8-4", "https://www.amazon.com/Tam-Dao-Toilette-50ml-Diptyque/dp/B00134UTQW/ref=sr_1_4?keywords=Diptyque+Tam+Dao+Eau+de+Toilette-3.4+oz.&amp;qid=1695259344&amp;sr=8-4")</f>
        <v>https://www.amazon.com/Tam-Dao-Toilette-50ml-Diptyque/dp/B00134UTQW/ref=sr_1_4?keywords=Diptyque+Tam+Dao+Eau+de+Toilette-3.4+oz.&amp;qid=1695259344&amp;sr=8-4</v>
      </c>
      <c r="F2039" t="s">
        <v>4649</v>
      </c>
      <c r="G2039" t="e">
        <f ca="1">IMAGE("https://prolisok-store.com/cdn/shop/products/DiptyqueTamDaoEaudeToilette-3.4oz_-1_300x.jpg?v=1683715785")</f>
        <v>#NAME?</v>
      </c>
      <c r="H2039" t="e">
        <f ca="1">IMAGE("https://m.media-amazon.com/images/I/61CDUwJrPBL._AC_UL320_.jpg")</f>
        <v>#NAME?</v>
      </c>
      <c r="I2039" t="s">
        <v>4355</v>
      </c>
      <c r="J2039">
        <v>124.34</v>
      </c>
      <c r="K2039" s="2" t="s">
        <v>4650</v>
      </c>
      <c r="L2039">
        <v>4.0999999999999996</v>
      </c>
      <c r="M2039">
        <v>24</v>
      </c>
      <c r="O2039" t="s">
        <v>26</v>
      </c>
      <c r="P2039" t="s">
        <v>2988</v>
      </c>
      <c r="Q2039" t="s">
        <v>4489</v>
      </c>
    </row>
    <row r="2040" spans="1:17" ht="15.75" x14ac:dyDescent="0.25">
      <c r="A2040" s="3" t="str">
        <f>HYPERLINK("https://prolisok-store.com/collections/sale/products/the-soft-fluid-foundation-spf-20-1-oz-porcelain", "https://prolisok-store.com/collections/sale/products/the-soft-fluid-foundation-spf-20-1-oz-porcelain")</f>
        <v>https://prolisok-store.com/collections/sale/products/the-soft-fluid-foundation-spf-20-1-oz-porcelain</v>
      </c>
      <c r="B2040" s="3" t="str">
        <f>HYPERLINK("https://prolisok-store.com/products/the-soft-fluid-foundation-spf-20-1-oz-porcelain", "https://prolisok-store.com/products/the-soft-fluid-foundation-spf-20-1-oz-porcelain")</f>
        <v>https://prolisok-store.com/products/the-soft-fluid-foundation-spf-20-1-oz-porcelain</v>
      </c>
      <c r="C2040" t="s">
        <v>4466</v>
      </c>
      <c r="D2040" t="s">
        <v>4663</v>
      </c>
      <c r="E2040" s="3" t="str">
        <f>HYPERLINK("https://www.amazon.com/Mer-Soft-Fluid-Long-Foundation/dp/B01MDNSIK4/ref=sr_1_2?keywords=La+Mer+The+Soft+Fluid+Foundation+SPF+20-1+oz.+Porcelain&amp;qid=1695259346&amp;sr=8-2", "https://www.amazon.com/Mer-Soft-Fluid-Long-Foundation/dp/B01MDNSIK4/ref=sr_1_2?keywords=La+Mer+The+Soft+Fluid+Foundation+SPF+20-1+oz.+Porcelain&amp;qid=1695259346&amp;sr=8-2")</f>
        <v>https://www.amazon.com/Mer-Soft-Fluid-Long-Foundation/dp/B01MDNSIK4/ref=sr_1_2?keywords=La+Mer+The+Soft+Fluid+Foundation+SPF+20-1+oz.+Porcelain&amp;qid=1695259346&amp;sr=8-2</v>
      </c>
      <c r="F2040" t="s">
        <v>4664</v>
      </c>
      <c r="G2040" t="e">
        <f ca="1">IMAGE("https://prolisok-store.com/cdn/shop/products/41wgXKYLRyL._SL1000_300x.jpg?v=1674109756")</f>
        <v>#NAME?</v>
      </c>
      <c r="H2040" t="e">
        <f ca="1">IMAGE("https://m.media-amazon.com/images/I/51icv2b8-jL._AC_UL320_.jpg")</f>
        <v>#NAME?</v>
      </c>
      <c r="I2040" t="s">
        <v>4346</v>
      </c>
      <c r="J2040">
        <v>100</v>
      </c>
      <c r="K2040" s="2" t="s">
        <v>4665</v>
      </c>
      <c r="L2040">
        <v>5</v>
      </c>
      <c r="M2040">
        <v>3</v>
      </c>
      <c r="O2040" t="s">
        <v>26</v>
      </c>
      <c r="P2040" t="s">
        <v>2501</v>
      </c>
      <c r="Q2040" t="s">
        <v>4467</v>
      </c>
    </row>
    <row r="2041" spans="1:17" ht="15.75" x14ac:dyDescent="0.25">
      <c r="A2041" s="3" t="str">
        <f>HYPERLINK("https://prolisok-store.com/collections/sale/products/facial-treatment-mask-10-pc", "https://prolisok-store.com/collections/sale/products/facial-treatment-mask-10-pc")</f>
        <v>https://prolisok-store.com/collections/sale/products/facial-treatment-mask-10-pc</v>
      </c>
      <c r="B2041" s="3" t="str">
        <f>HYPERLINK("https://prolisok-store.com/products/facial-treatment-mask-10-pc", "https://prolisok-store.com/products/facial-treatment-mask-10-pc")</f>
        <v>https://prolisok-store.com/products/facial-treatment-mask-10-pc</v>
      </c>
      <c r="C2041" t="s">
        <v>4705</v>
      </c>
      <c r="D2041" t="s">
        <v>4706</v>
      </c>
      <c r="E2041" s="3" t="str">
        <f>HYPERLINK("https://www.amazon.com/SK-II-Facial-Treatment-Mask-Sheets/dp/B099W3S5FM/ref=sr_1_9?keywords=SK-II+Facial+Treatment+Mask%2F10+pc.&amp;qid=1695259342&amp;sr=8-9", "https://www.amazon.com/SK-II-Facial-Treatment-Mask-Sheets/dp/B099W3S5FM/ref=sr_1_9?keywords=SK-II+Facial+Treatment+Mask%2F10+pc.&amp;qid=1695259342&amp;sr=8-9")</f>
        <v>https://www.amazon.com/SK-II-Facial-Treatment-Mask-Sheets/dp/B099W3S5FM/ref=sr_1_9?keywords=SK-II+Facial+Treatment+Mask%2F10+pc.&amp;qid=1695259342&amp;sr=8-9</v>
      </c>
      <c r="F2041" t="s">
        <v>4707</v>
      </c>
      <c r="G2041" t="e">
        <f ca="1">IMAGE("https://prolisok-store.com/cdn/shop/products/41oxreg7WTL_300x.jpg?v=1673964595")</f>
        <v>#NAME?</v>
      </c>
      <c r="H2041" t="e">
        <f ca="1">IMAGE("https://m.media-amazon.com/images/I/41C3++K4sNL._AC_UL320_.jpg")</f>
        <v>#NAME?</v>
      </c>
      <c r="I2041" t="s">
        <v>4346</v>
      </c>
      <c r="J2041">
        <v>96.5</v>
      </c>
      <c r="K2041" s="2" t="s">
        <v>4708</v>
      </c>
      <c r="L2041">
        <v>2.9</v>
      </c>
      <c r="M2041">
        <v>2</v>
      </c>
      <c r="O2041" t="s">
        <v>26</v>
      </c>
      <c r="P2041" t="s">
        <v>4709</v>
      </c>
      <c r="Q2041" t="s">
        <v>4710</v>
      </c>
    </row>
    <row r="2042" spans="1:17" ht="15.75" x14ac:dyDescent="0.25">
      <c r="A2042" s="3" t="str">
        <f>HYPERLINK("https://prolisok-store.com/collections/sale/products/clarins-double-serum", "https://prolisok-store.com/collections/sale/products/clarins-double-serum")</f>
        <v>https://prolisok-store.com/collections/sale/products/clarins-double-serum</v>
      </c>
      <c r="B2042" s="3" t="str">
        <f>HYPERLINK("https://prolisok-store.com/products/clarins-double-serum", "https://prolisok-store.com/products/clarins-double-serum")</f>
        <v>https://prolisok-store.com/products/clarins-double-serum</v>
      </c>
      <c r="C2042" t="s">
        <v>4711</v>
      </c>
      <c r="D2042" t="s">
        <v>4712</v>
      </c>
      <c r="E2042" s="3" t="str">
        <f>HYPERLINK("https://www.amazon.com/Clarins-Award-Winning-Anti-Aging-Ingredients-Ethnicities/dp/B07CRK4J3S/ref=sr_1_1?keywords=Clarins+Double+Serum&amp;qid=1695259342&amp;sr=8-1", "https://www.amazon.com/Clarins-Award-Winning-Anti-Aging-Ingredients-Ethnicities/dp/B07CRK4J3S/ref=sr_1_1?keywords=Clarins+Double+Serum&amp;qid=1695259342&amp;sr=8-1")</f>
        <v>https://www.amazon.com/Clarins-Award-Winning-Anti-Aging-Ingredients-Ethnicities/dp/B07CRK4J3S/ref=sr_1_1?keywords=Clarins+Double+Serum&amp;qid=1695259342&amp;sr=8-1</v>
      </c>
      <c r="F2042" t="s">
        <v>4713</v>
      </c>
      <c r="G2042" t="e">
        <f ca="1">IMAGE("https://prolisok-store.com/cdn/shop/products/717T_LvJhvL._SL1500_300x.jpg?v=1681306763")</f>
        <v>#NAME?</v>
      </c>
      <c r="H2042" t="e">
        <f ca="1">IMAGE("https://m.media-amazon.com/images/I/717T+LvJhvL._AC_UL320_.jpg")</f>
        <v>#NAME?</v>
      </c>
      <c r="I2042" t="s">
        <v>4506</v>
      </c>
      <c r="J2042">
        <v>134</v>
      </c>
      <c r="K2042" s="2" t="s">
        <v>4714</v>
      </c>
      <c r="L2042">
        <v>4.5999999999999996</v>
      </c>
      <c r="M2042">
        <v>1831</v>
      </c>
      <c r="O2042" t="s">
        <v>26</v>
      </c>
      <c r="P2042" t="s">
        <v>4715</v>
      </c>
      <c r="Q2042" t="s">
        <v>4716</v>
      </c>
    </row>
    <row r="2043" spans="1:17" ht="15.75" x14ac:dyDescent="0.25">
      <c r="A2043" s="3" t="str">
        <f>HYPERLINK("https://prolisok-store.com/collections/sale/products/clarins-double-serum", "https://prolisok-store.com/collections/sale/products/clarins-double-serum")</f>
        <v>https://prolisok-store.com/collections/sale/products/clarins-double-serum</v>
      </c>
      <c r="B2043" s="3" t="str">
        <f>HYPERLINK("https://prolisok-store.com/products/clarins-double-serum", "https://prolisok-store.com/products/clarins-double-serum")</f>
        <v>https://prolisok-store.com/products/clarins-double-serum</v>
      </c>
      <c r="C2043" t="s">
        <v>4711</v>
      </c>
      <c r="D2043" t="s">
        <v>4717</v>
      </c>
      <c r="E2043" s="3" t="str">
        <f>HYPERLINK("https://www.amazon.com/Clarins-Smoothes-Radiance-Ingredients-Turmeric/dp/B0BRR1ML5C/ref=sr_1_2?keywords=Clarins+Double+Serum&amp;qid=1695259342&amp;sr=8-2", "https://www.amazon.com/Clarins-Smoothes-Radiance-Ingredients-Turmeric/dp/B0BRR1ML5C/ref=sr_1_2?keywords=Clarins+Double+Serum&amp;qid=1695259342&amp;sr=8-2")</f>
        <v>https://www.amazon.com/Clarins-Smoothes-Radiance-Ingredients-Turmeric/dp/B0BRR1ML5C/ref=sr_1_2?keywords=Clarins+Double+Serum&amp;qid=1695259342&amp;sr=8-2</v>
      </c>
      <c r="F2043" t="s">
        <v>4718</v>
      </c>
      <c r="G2043" t="e">
        <f ca="1">IMAGE("https://prolisok-store.com/cdn/shop/products/717T_LvJhvL._SL1500_300x.jpg?v=1681306763")</f>
        <v>#NAME?</v>
      </c>
      <c r="H2043" t="e">
        <f ca="1">IMAGE("https://m.media-amazon.com/images/I/51i5jqShicL._AC_UL320_.jpg")</f>
        <v>#NAME?</v>
      </c>
      <c r="I2043" t="s">
        <v>4506</v>
      </c>
      <c r="J2043">
        <v>134</v>
      </c>
      <c r="K2043" s="2" t="s">
        <v>4714</v>
      </c>
      <c r="L2043">
        <v>4.5</v>
      </c>
      <c r="M2043">
        <v>43</v>
      </c>
      <c r="O2043" t="s">
        <v>26</v>
      </c>
      <c r="P2043" t="s">
        <v>4715</v>
      </c>
      <c r="Q2043" t="s">
        <v>4716</v>
      </c>
    </row>
    <row r="2044" spans="1:17" ht="15.75" x14ac:dyDescent="0.25">
      <c r="A2044" s="3" t="str">
        <f>HYPERLINK("https://prolisok-store.com/collections/sale/products/the-soft-fluid-foundation-spf-20-1-oz-porcelain", "https://prolisok-store.com/collections/sale/products/the-soft-fluid-foundation-spf-20-1-oz-porcelain")</f>
        <v>https://prolisok-store.com/collections/sale/products/the-soft-fluid-foundation-spf-20-1-oz-porcelain</v>
      </c>
      <c r="B2044" s="3" t="str">
        <f>HYPERLINK("https://prolisok-store.com/products/the-soft-fluid-foundation-spf-20-1-oz-porcelain", "https://prolisok-store.com/products/the-soft-fluid-foundation-spf-20-1-oz-porcelain")</f>
        <v>https://prolisok-store.com/products/the-soft-fluid-foundation-spf-20-1-oz-porcelain</v>
      </c>
      <c r="C2044" t="s">
        <v>4466</v>
      </c>
      <c r="D2044" t="s">
        <v>4727</v>
      </c>
      <c r="E2044" s="3" t="str">
        <f>HYPERLINK("https://www.amazon.com/Mer-Soft-Fluid-Long-Foundation/dp/B01M4MTXYQ/ref=sr_1_1?keywords=La+Mer+The+Soft+Fluid+Foundation+SPF+20-1+oz.+Porcelain&amp;qid=1695259346&amp;sr=8-1", "https://www.amazon.com/Mer-Soft-Fluid-Long-Foundation/dp/B01M4MTXYQ/ref=sr_1_1?keywords=La+Mer+The+Soft+Fluid+Foundation+SPF+20-1+oz.+Porcelain&amp;qid=1695259346&amp;sr=8-1")</f>
        <v>https://www.amazon.com/Mer-Soft-Fluid-Long-Foundation/dp/B01M4MTXYQ/ref=sr_1_1?keywords=La+Mer+The+Soft+Fluid+Foundation+SPF+20-1+oz.+Porcelain&amp;qid=1695259346&amp;sr=8-1</v>
      </c>
      <c r="F2044" t="s">
        <v>4728</v>
      </c>
      <c r="G2044" t="e">
        <f ca="1">IMAGE("https://prolisok-store.com/cdn/shop/products/41wgXKYLRyL._SL1000_300x.jpg?v=1674109756")</f>
        <v>#NAME?</v>
      </c>
      <c r="H2044" t="e">
        <f ca="1">IMAGE("https://m.media-amazon.com/images/I/41-HkHGOXiL._AC_UL320_.jpg")</f>
        <v>#NAME?</v>
      </c>
      <c r="I2044" t="s">
        <v>4346</v>
      </c>
      <c r="J2044">
        <v>94</v>
      </c>
      <c r="K2044" s="2" t="s">
        <v>4729</v>
      </c>
      <c r="L2044">
        <v>4.2</v>
      </c>
      <c r="M2044">
        <v>43</v>
      </c>
      <c r="O2044" t="s">
        <v>26</v>
      </c>
      <c r="P2044" t="s">
        <v>2501</v>
      </c>
      <c r="Q2044" t="s">
        <v>4467</v>
      </c>
    </row>
    <row r="2045" spans="1:17" ht="15.75" x14ac:dyDescent="0.25">
      <c r="A2045" s="3" t="str">
        <f>HYPERLINK("https://prolisok-store.com/collections/sale/products/facial-treatment-mask-10-pc", "https://prolisok-store.com/collections/sale/products/facial-treatment-mask-10-pc")</f>
        <v>https://prolisok-store.com/collections/sale/products/facial-treatment-mask-10-pc</v>
      </c>
      <c r="B2045" s="3" t="str">
        <f>HYPERLINK("https://prolisok-store.com/products/facial-treatment-mask-10-pc", "https://prolisok-store.com/products/facial-treatment-mask-10-pc")</f>
        <v>https://prolisok-store.com/products/facial-treatment-mask-10-pc</v>
      </c>
      <c r="C2045" t="s">
        <v>4705</v>
      </c>
      <c r="D2045" t="s">
        <v>4764</v>
      </c>
      <c r="E2045" s="3" t="str">
        <f>HYPERLINK("https://www.amazon.com/SK-II-FACIAL-TREATMENT-MASK-SHEET/dp/B01M6YV69X/ref=sr_1_3?keywords=SK-II+Facial+Treatment+Mask%2F10+pc.&amp;qid=1695259342&amp;sr=8-3", "https://www.amazon.com/SK-II-FACIAL-TREATMENT-MASK-SHEET/dp/B01M6YV69X/ref=sr_1_3?keywords=SK-II+Facial+Treatment+Mask%2F10+pc.&amp;qid=1695259342&amp;sr=8-3")</f>
        <v>https://www.amazon.com/SK-II-FACIAL-TREATMENT-MASK-SHEET/dp/B01M6YV69X/ref=sr_1_3?keywords=SK-II+Facial+Treatment+Mask%2F10+pc.&amp;qid=1695259342&amp;sr=8-3</v>
      </c>
      <c r="F2045" t="s">
        <v>4765</v>
      </c>
      <c r="G2045" t="e">
        <f ca="1">IMAGE("https://prolisok-store.com/cdn/shop/products/41oxreg7WTL_300x.jpg?v=1673964595")</f>
        <v>#NAME?</v>
      </c>
      <c r="H2045" t="e">
        <f ca="1">IMAGE("https://m.media-amazon.com/images/I/61L4A4vc9aL._AC_UL320_.jpg")</f>
        <v>#NAME?</v>
      </c>
      <c r="I2045" t="s">
        <v>4346</v>
      </c>
      <c r="J2045">
        <v>88</v>
      </c>
      <c r="K2045" s="2" t="s">
        <v>4766</v>
      </c>
      <c r="L2045">
        <v>4.0999999999999996</v>
      </c>
      <c r="M2045">
        <v>79</v>
      </c>
      <c r="O2045" t="s">
        <v>26</v>
      </c>
      <c r="P2045" t="s">
        <v>4709</v>
      </c>
      <c r="Q2045" t="s">
        <v>4710</v>
      </c>
    </row>
    <row r="2046" spans="1:17" ht="15.75" x14ac:dyDescent="0.25">
      <c r="A2046" s="3" t="str">
        <f>HYPERLINK("https://prolisok-store.com/collections/sale/products/diptyque-eau-des-sens-de-toilette-size-100-ml-3-4-ounce", "https://prolisok-store.com/collections/sale/products/diptyque-eau-des-sens-de-toilette-size-100-ml-3-4-ounce")</f>
        <v>https://prolisok-store.com/collections/sale/products/diptyque-eau-des-sens-de-toilette-size-100-ml-3-4-ounce</v>
      </c>
      <c r="B2046" s="3" t="str">
        <f>HYPERLINK("https://prolisok-store.com/products/diptyque-eau-des-sens-de-toilette-size-100-ml-3-4-ounce", "https://prolisok-store.com/products/diptyque-eau-des-sens-de-toilette-size-100-ml-3-4-ounce")</f>
        <v>https://prolisok-store.com/products/diptyque-eau-des-sens-de-toilette-size-100-ml-3-4-ounce</v>
      </c>
      <c r="C2046" t="s">
        <v>4808</v>
      </c>
      <c r="D2046" t="s">
        <v>4808</v>
      </c>
      <c r="E2046" s="3" t="str">
        <f>HYPERLINK("https://www.amazon.com/Diptyque-Eau-Sens-Toilette-Size/dp/B01DAPBON8/ref=sr_1_1?keywords=Diptyque+Eau+des+Sens+De+Toilette%2C+Size+100+ml%2C+3.4+Ounce&amp;qid=1695259351&amp;sr=8-1", "https://www.amazon.com/Diptyque-Eau-Sens-Toilette-Size/dp/B01DAPBON8/ref=sr_1_1?keywords=Diptyque+Eau+des+Sens+De+Toilette%2C+Size+100+ml%2C+3.4+Ounce&amp;qid=1695259351&amp;sr=8-1")</f>
        <v>https://www.amazon.com/Diptyque-Eau-Sens-Toilette-Size/dp/B01DAPBON8/ref=sr_1_1?keywords=Diptyque+Eau+des+Sens+De+Toilette%2C+Size+100+ml%2C+3.4+Ounce&amp;qid=1695259351&amp;sr=8-1</v>
      </c>
      <c r="F2046" t="s">
        <v>4809</v>
      </c>
      <c r="G2046" t="e">
        <f ca="1">IMAGE("https://prolisok-store.com/cdn/shop/files/81tKY4SV1HL._SL1500_300x.jpg?v=1686659548")</f>
        <v>#NAME?</v>
      </c>
      <c r="H2046" t="e">
        <f ca="1">IMAGE("https://m.media-amazon.com/images/I/81tKY4SV1HL._AC_UL320_.jpg")</f>
        <v>#NAME?</v>
      </c>
      <c r="I2046" t="s">
        <v>4506</v>
      </c>
      <c r="J2046">
        <v>120</v>
      </c>
      <c r="K2046" s="2" t="s">
        <v>4807</v>
      </c>
      <c r="L2046">
        <v>4</v>
      </c>
      <c r="M2046">
        <v>72</v>
      </c>
      <c r="O2046" t="s">
        <v>136</v>
      </c>
      <c r="P2046" t="s">
        <v>4810</v>
      </c>
      <c r="Q2046" t="s">
        <v>4811</v>
      </c>
    </row>
    <row r="2047" spans="1:17" ht="15.75" x14ac:dyDescent="0.25">
      <c r="A2047" s="3" t="str">
        <f>HYPERLINK("https://prolisok-store.com/collections/sale/products/facial-treatment-mask-10-pc", "https://prolisok-store.com/collections/sale/products/facial-treatment-mask-10-pc")</f>
        <v>https://prolisok-store.com/collections/sale/products/facial-treatment-mask-10-pc</v>
      </c>
      <c r="B2047" s="3" t="str">
        <f>HYPERLINK("https://prolisok-store.com/products/facial-treatment-mask-10-pc", "https://prolisok-store.com/products/facial-treatment-mask-10-pc")</f>
        <v>https://prolisok-store.com/products/facial-treatment-mask-10-pc</v>
      </c>
      <c r="C2047" t="s">
        <v>4705</v>
      </c>
      <c r="D2047" t="s">
        <v>4830</v>
      </c>
      <c r="E2047" s="3" t="str">
        <f>HYPERLINK("https://www.amazon.com/SK-II-Facial-Treatment-Mask-ct/dp/B00JDVP18S/ref=sr_1_1?keywords=SK-II+Facial+Treatment+Mask%2F10+pc.&amp;qid=1695259342&amp;sr=8-1", "https://www.amazon.com/SK-II-Facial-Treatment-Mask-ct/dp/B00JDVP18S/ref=sr_1_1?keywords=SK-II+Facial+Treatment+Mask%2F10+pc.&amp;qid=1695259342&amp;sr=8-1")</f>
        <v>https://www.amazon.com/SK-II-Facial-Treatment-Mask-ct/dp/B00JDVP18S/ref=sr_1_1?keywords=SK-II+Facial+Treatment+Mask%2F10+pc.&amp;qid=1695259342&amp;sr=8-1</v>
      </c>
      <c r="F2047" t="s">
        <v>4831</v>
      </c>
      <c r="G2047" t="e">
        <f ca="1">IMAGE("https://prolisok-store.com/cdn/shop/products/41oxreg7WTL_300x.jpg?v=1673964595")</f>
        <v>#NAME?</v>
      </c>
      <c r="H2047" t="e">
        <f ca="1">IMAGE("https://m.media-amazon.com/images/I/71AZ1Z6LIVL._AC_UL320_.jpg")</f>
        <v>#NAME?</v>
      </c>
      <c r="I2047" t="s">
        <v>4346</v>
      </c>
      <c r="J2047">
        <v>79.39</v>
      </c>
      <c r="K2047" s="2" t="s">
        <v>4832</v>
      </c>
      <c r="L2047">
        <v>4</v>
      </c>
      <c r="M2047">
        <v>277</v>
      </c>
      <c r="O2047" t="s">
        <v>26</v>
      </c>
      <c r="P2047" t="s">
        <v>4709</v>
      </c>
      <c r="Q2047" t="s">
        <v>4710</v>
      </c>
    </row>
    <row r="2048" spans="1:17" ht="15.75" x14ac:dyDescent="0.25">
      <c r="A2048" s="3" t="str">
        <f>HYPERLINK("https://prolisok-store.com/collections/sale/products/facial-treatment-mask-10-pc", "https://prolisok-store.com/collections/sale/products/facial-treatment-mask-10-pc")</f>
        <v>https://prolisok-store.com/collections/sale/products/facial-treatment-mask-10-pc</v>
      </c>
      <c r="B2048" s="3" t="str">
        <f>HYPERLINK("https://prolisok-store.com/products/facial-treatment-mask-10-pc", "https://prolisok-store.com/products/facial-treatment-mask-10-pc")</f>
        <v>https://prolisok-store.com/products/facial-treatment-mask-10-pc</v>
      </c>
      <c r="C2048" t="s">
        <v>4705</v>
      </c>
      <c r="D2048" t="s">
        <v>4844</v>
      </c>
      <c r="E2048" s="3" t="str">
        <f>HYPERLINK("https://www.amazon.com/SK-II-Facial-Treatment-Mask-ct/dp/B000ZFTAOM/ref=sr_1_2?keywords=SK-II+Facial+Treatment+Mask%2F10+pc.&amp;qid=1695259342&amp;sr=8-2", "https://www.amazon.com/SK-II-Facial-Treatment-Mask-ct/dp/B000ZFTAOM/ref=sr_1_2?keywords=SK-II+Facial+Treatment+Mask%2F10+pc.&amp;qid=1695259342&amp;sr=8-2")</f>
        <v>https://www.amazon.com/SK-II-Facial-Treatment-Mask-ct/dp/B000ZFTAOM/ref=sr_1_2?keywords=SK-II+Facial+Treatment+Mask%2F10+pc.&amp;qid=1695259342&amp;sr=8-2</v>
      </c>
      <c r="F2048" t="s">
        <v>4845</v>
      </c>
      <c r="G2048" t="e">
        <f ca="1">IMAGE("https://prolisok-store.com/cdn/shop/products/41oxreg7WTL_300x.jpg?v=1673964595")</f>
        <v>#NAME?</v>
      </c>
      <c r="H2048" t="e">
        <f ca="1">IMAGE("https://m.media-amazon.com/images/I/81txcENgVvL._AC_UL320_.jpg")</f>
        <v>#NAME?</v>
      </c>
      <c r="I2048" t="s">
        <v>4346</v>
      </c>
      <c r="J2048">
        <v>78.989999999999995</v>
      </c>
      <c r="K2048" s="2" t="s">
        <v>4843</v>
      </c>
      <c r="L2048">
        <v>4.4000000000000004</v>
      </c>
      <c r="M2048">
        <v>69</v>
      </c>
      <c r="O2048" t="s">
        <v>26</v>
      </c>
      <c r="P2048" t="s">
        <v>4709</v>
      </c>
      <c r="Q2048" t="s">
        <v>4710</v>
      </c>
    </row>
    <row r="2049" spans="1:17" ht="15.75" x14ac:dyDescent="0.25">
      <c r="A2049" s="3" t="str">
        <f>HYPERLINK("https://prolisok-store.com/collections/sale/products/la-mer-powder-brush-2-g", "https://prolisok-store.com/collections/sale/products/la-mer-powder-brush-2-g")</f>
        <v>https://prolisok-store.com/collections/sale/products/la-mer-powder-brush-2-g</v>
      </c>
      <c r="B2049" s="3" t="str">
        <f>HYPERLINK("https://prolisok-store.com/products/la-mer-powder-brush-2-g", "https://prolisok-store.com/products/la-mer-powder-brush-2-g")</f>
        <v>https://prolisok-store.com/products/la-mer-powder-brush-2-g</v>
      </c>
      <c r="C2049" t="s">
        <v>4849</v>
      </c>
      <c r="D2049" t="s">
        <v>4850</v>
      </c>
      <c r="E2049" s="3" t="str">
        <f>HYPERLINK("https://www.amazon.com/La-Mer-The-Foundation-Brush/dp/B01MDLKUCC/ref=sr_1_1?keywords=La+Mer+Powder+Brush+-+2+g&amp;qid=1695259342&amp;sr=8-1", "https://www.amazon.com/La-Mer-The-Foundation-Brush/dp/B01MDLKUCC/ref=sr_1_1?keywords=La+Mer+Powder+Brush+-+2+g&amp;qid=1695259342&amp;sr=8-1")</f>
        <v>https://www.amazon.com/La-Mer-The-Foundation-Brush/dp/B01MDLKUCC/ref=sr_1_1?keywords=La+Mer+Powder+Brush+-+2+g&amp;qid=1695259342&amp;sr=8-1</v>
      </c>
      <c r="F2049" t="s">
        <v>4851</v>
      </c>
      <c r="G2049" t="e">
        <f ca="1">IMAGE("https://prolisok-store.com/cdn/shop/products/31237RidMRL._SL1000_300x.jpg?v=1673891915")</f>
        <v>#NAME?</v>
      </c>
      <c r="H2049" t="e">
        <f ca="1">IMAGE("https://m.media-amazon.com/images/I/61dVMgYQTKS._AC_UL320_.jpg")</f>
        <v>#NAME?</v>
      </c>
      <c r="I2049" t="s">
        <v>3476</v>
      </c>
      <c r="J2049">
        <v>62.99</v>
      </c>
      <c r="K2049" s="2" t="s">
        <v>4852</v>
      </c>
      <c r="L2049">
        <v>3.2</v>
      </c>
      <c r="M2049">
        <v>5</v>
      </c>
      <c r="O2049" t="s">
        <v>26</v>
      </c>
      <c r="P2049" t="s">
        <v>4853</v>
      </c>
      <c r="Q2049" t="s">
        <v>4854</v>
      </c>
    </row>
    <row r="2050" spans="1:17" ht="15.75" x14ac:dyDescent="0.25">
      <c r="A2050" s="3" t="str">
        <f>HYPERLINK("https://prolisok-store.com/collections/sale/products/estee-lauder-perfectionist-cp-r-wrinkle-lifting-firming-serum-50ml-1-7-ounce-all-skin-types", "https://prolisok-store.com/collections/sale/products/estee-lauder-perfectionist-cp-r-wrinkle-lifting-firming-serum-50ml-1-7-ounce-all-skin-types")</f>
        <v>https://prolisok-store.com/collections/sale/products/estee-lauder-perfectionist-cp-r-wrinkle-lifting-firming-serum-50ml-1-7-ounce-all-skin-types</v>
      </c>
      <c r="B2050" s="3" t="str">
        <f>HYPERLINK("https://prolisok-store.com/products/estee-lauder-perfectionist-cp-r-wrinkle-lifting-firming-serum-50ml-1-7-ounce-all-skin-types", "https://prolisok-store.com/products/estee-lauder-perfectionist-cp-r-wrinkle-lifting-firming-serum-50ml-1-7-ounce-all-skin-types")</f>
        <v>https://prolisok-store.com/products/estee-lauder-perfectionist-cp-r-wrinkle-lifting-firming-serum-50ml-1-7-ounce-all-skin-types</v>
      </c>
      <c r="C2050" t="s">
        <v>4863</v>
      </c>
      <c r="D2050" t="s">
        <v>4863</v>
      </c>
      <c r="E2050" s="3" t="str">
        <f>HYPERLINK("https://www.amazon.com/Estee-Lauder-Perfectionist-Wrinkle-Lifting/dp/B00BNAOW3C/ref=sr_1_1?keywords=Estee+Lauder+Perfectionist+CP+R+Wrinkle+Lifting%2FFirming+Serum%2C+50ml%2F1.7+Ounce+%28All+Skin+Types%29&amp;qid=1695259347&amp;sr=8-1", "https://www.amazon.com/Estee-Lauder-Perfectionist-Wrinkle-Lifting/dp/B00BNAOW3C/ref=sr_1_1?keywords=Estee+Lauder+Perfectionist+CP+R+Wrinkle+Lifting%2FFirming+Serum%2C+50ml%2F1.7+Ounce+%28All+Skin+Types%29&amp;qid=1695259347&amp;sr=8-1")</f>
        <v>https://www.amazon.com/Estee-Lauder-Perfectionist-Wrinkle-Lifting/dp/B00BNAOW3C/ref=sr_1_1?keywords=Estee+Lauder+Perfectionist+CP+R+Wrinkle+Lifting%2FFirming+Serum%2C+50ml%2F1.7+Ounce+%28All+Skin+Types%29&amp;qid=1695259347&amp;sr=8-1</v>
      </c>
      <c r="F2050" t="s">
        <v>4864</v>
      </c>
      <c r="G2050" t="e">
        <f ca="1">IMAGE("https://prolisok-store.com/cdn/shop/products/51PL7znhunL._SL1081_300x.jpg?v=1681308260")</f>
        <v>#NAME?</v>
      </c>
      <c r="H2050" t="e">
        <f ca="1">IMAGE("https://m.media-amazon.com/images/I/51PL7znhunL._AC_UL320_.jpg")</f>
        <v>#NAME?</v>
      </c>
      <c r="I2050" t="s">
        <v>4346</v>
      </c>
      <c r="J2050">
        <v>76.38</v>
      </c>
      <c r="K2050" s="2" t="s">
        <v>4865</v>
      </c>
      <c r="L2050">
        <v>4.5</v>
      </c>
      <c r="M2050">
        <v>641</v>
      </c>
      <c r="O2050" t="s">
        <v>26</v>
      </c>
      <c r="P2050" t="s">
        <v>4866</v>
      </c>
      <c r="Q2050" t="s">
        <v>4867</v>
      </c>
    </row>
    <row r="2051" spans="1:17" ht="15.75" x14ac:dyDescent="0.25">
      <c r="A2051" s="3" t="str">
        <f>HYPERLINK("https://prolisok-store.com/collections/sale/products/diptyque-lombre-dans-leau-eau-de-toilette-spray-for-women-100ml-3-4-fl-oz", "https://prolisok-store.com/collections/sale/products/diptyque-lombre-dans-leau-eau-de-toilette-spray-for-women-100ml-3-4-fl-oz")</f>
        <v>https://prolisok-store.com/collections/sale/products/diptyque-lombre-dans-leau-eau-de-toilette-spray-for-women-100ml-3-4-fl-oz</v>
      </c>
      <c r="B2051" s="3" t="str">
        <f>HYPERLINK("https://prolisok-store.com/products/diptyque-lombre-dans-leau-eau-de-toilette-spray-for-women-100ml-3-4-fl-oz", "https://prolisok-store.com/products/diptyque-lombre-dans-leau-eau-de-toilette-spray-for-women-100ml-3-4-fl-oz")</f>
        <v>https://prolisok-store.com/products/diptyque-lombre-dans-leau-eau-de-toilette-spray-for-women-100ml-3-4-fl-oz</v>
      </c>
      <c r="C2051" t="s">
        <v>4509</v>
      </c>
      <c r="D2051" t="s">
        <v>4876</v>
      </c>
      <c r="E2051" s="3" t="str">
        <f>HYPERLINK("https://www.amazon.com/LOmbre-Dans-LEau-WOMEN-Diptyque/dp/B01MAWN8L1/ref=sr_1_4?keywords=Diptyque+L%27ombre+Dans+L%27eau+Eau+De+Toilette+Spray+For+Women+100Ml+3.4+Fl+Oz&amp;qid=1695259341&amp;sr=8-4", "https://www.amazon.com/LOmbre-Dans-LEau-WOMEN-Diptyque/dp/B01MAWN8L1/ref=sr_1_4?keywords=Diptyque+L%27ombre+Dans+L%27eau+Eau+De+Toilette+Spray+For+Women+100Ml+3.4+Fl+Oz&amp;qid=1695259341&amp;sr=8-4")</f>
        <v>https://www.amazon.com/LOmbre-Dans-LEau-WOMEN-Diptyque/dp/B01MAWN8L1/ref=sr_1_4?keywords=Diptyque+L%27ombre+Dans+L%27eau+Eau+De+Toilette+Spray+For+Women+100Ml+3.4+Fl+Oz&amp;qid=1695259341&amp;sr=8-4</v>
      </c>
      <c r="F2051" t="s">
        <v>4877</v>
      </c>
      <c r="G2051" t="e">
        <f ca="1">IMAGE("https://prolisok-store.com/cdn/shop/products/DiptyqueL_ombreDansL_eau_300x.jpg?v=1683715765")</f>
        <v>#NAME?</v>
      </c>
      <c r="H2051" t="e">
        <f ca="1">IMAGE("https://m.media-amazon.com/images/I/410xZrw8pEL._AC_UL320_.jpg")</f>
        <v>#NAME?</v>
      </c>
      <c r="I2051" t="s">
        <v>4355</v>
      </c>
      <c r="J2051">
        <v>90</v>
      </c>
      <c r="K2051" s="2" t="s">
        <v>4878</v>
      </c>
      <c r="L2051">
        <v>5</v>
      </c>
      <c r="M2051">
        <v>1</v>
      </c>
      <c r="O2051" t="s">
        <v>26</v>
      </c>
      <c r="P2051" t="s">
        <v>2988</v>
      </c>
      <c r="Q2051" t="s">
        <v>4513</v>
      </c>
    </row>
    <row r="2052" spans="1:17" ht="15.75" x14ac:dyDescent="0.25">
      <c r="A2052" s="3" t="str">
        <f>HYPERLINK("https://prolisok-store.com/collections/sale/products/loewe-001-man-3-4-oz-eau-de-parfum-spray", "https://prolisok-store.com/collections/sale/products/loewe-001-man-3-4-oz-eau-de-parfum-spray")</f>
        <v>https://prolisok-store.com/collections/sale/products/loewe-001-man-3-4-oz-eau-de-parfum-spray</v>
      </c>
      <c r="B2052" s="3" t="str">
        <f>HYPERLINK("https://prolisok-store.com/products/loewe-001-man-3-4-oz-eau-de-parfum-spray", "https://prolisok-store.com/products/loewe-001-man-3-4-oz-eau-de-parfum-spray")</f>
        <v>https://prolisok-store.com/products/loewe-001-man-3-4-oz-eau-de-parfum-spray</v>
      </c>
      <c r="C2052" t="s">
        <v>4554</v>
      </c>
      <c r="D2052" t="s">
        <v>4892</v>
      </c>
      <c r="E2052" s="3" t="str">
        <f>HYPERLINK("https://www.amazon.com/Loewe-001-Perfume-Spray-100Ml/dp/B01LZNWGAA/ref=sr_1_1?keywords=loewe+001+man+3.4+oz+eau+de+parfum+spray&amp;qid=1695259346&amp;sr=8-1", "https://www.amazon.com/Loewe-001-Perfume-Spray-100Ml/dp/B01LZNWGAA/ref=sr_1_1?keywords=loewe+001+man+3.4+oz+eau+de+parfum+spray&amp;qid=1695259346&amp;sr=8-1")</f>
        <v>https://www.amazon.com/Loewe-001-Perfume-Spray-100Ml/dp/B01LZNWGAA/ref=sr_1_1?keywords=loewe+001+man+3.4+oz+eau+de+parfum+spray&amp;qid=1695259346&amp;sr=8-1</v>
      </c>
      <c r="F2052" t="s">
        <v>4893</v>
      </c>
      <c r="G2052" t="e">
        <f ca="1">IMAGE("https://prolisok-store.com/cdn/shop/products/Loewe001Man3.4oz_300x.jpg?v=1683715745")</f>
        <v>#NAME?</v>
      </c>
      <c r="H2052" t="e">
        <f ca="1">IMAGE("https://m.media-amazon.com/images/I/51L-8H0Q-aL._AC_UL320_.jpg")</f>
        <v>#NAME?</v>
      </c>
      <c r="I2052" t="s">
        <v>3476</v>
      </c>
      <c r="J2052">
        <v>58</v>
      </c>
      <c r="K2052" s="2" t="s">
        <v>4894</v>
      </c>
      <c r="L2052">
        <v>4.4000000000000004</v>
      </c>
      <c r="M2052">
        <v>100</v>
      </c>
      <c r="O2052" t="s">
        <v>26</v>
      </c>
      <c r="P2052" t="s">
        <v>2994</v>
      </c>
      <c r="Q2052" t="s">
        <v>4558</v>
      </c>
    </row>
    <row r="2053" spans="1:17" ht="15.75" x14ac:dyDescent="0.25">
      <c r="A2053" s="3" t="str">
        <f>HYPERLINK("https://prolisok-store.com/collections/sale/products/facial-treatment-mask-10-pc", "https://prolisok-store.com/collections/sale/products/facial-treatment-mask-10-pc")</f>
        <v>https://prolisok-store.com/collections/sale/products/facial-treatment-mask-10-pc</v>
      </c>
      <c r="B2053" s="3" t="str">
        <f>HYPERLINK("https://prolisok-store.com/products/facial-treatment-mask-10-pc", "https://prolisok-store.com/products/facial-treatment-mask-10-pc")</f>
        <v>https://prolisok-store.com/products/facial-treatment-mask-10-pc</v>
      </c>
      <c r="C2053" t="s">
        <v>4705</v>
      </c>
      <c r="D2053" t="s">
        <v>4901</v>
      </c>
      <c r="E2053" s="3" t="str">
        <f>HYPERLINK("https://www.amazon.com/SK-II-Facial-Treatment-Mask/dp/B078MQP5ZF/ref=sr_1_4?keywords=SK-II+Facial+Treatment+Mask%2F10+pc.&amp;qid=1695259342&amp;sr=8-4", "https://www.amazon.com/SK-II-Facial-Treatment-Mask/dp/B078MQP5ZF/ref=sr_1_4?keywords=SK-II+Facial+Treatment+Mask%2F10+pc.&amp;qid=1695259342&amp;sr=8-4")</f>
        <v>https://www.amazon.com/SK-II-Facial-Treatment-Mask/dp/B078MQP5ZF/ref=sr_1_4?keywords=SK-II+Facial+Treatment+Mask%2F10+pc.&amp;qid=1695259342&amp;sr=8-4</v>
      </c>
      <c r="F2053" t="s">
        <v>4902</v>
      </c>
      <c r="G2053" t="e">
        <f ca="1">IMAGE("https://prolisok-store.com/cdn/shop/products/41oxreg7WTL_300x.jpg?v=1673964595")</f>
        <v>#NAME?</v>
      </c>
      <c r="H2053" t="e">
        <f ca="1">IMAGE("https://m.media-amazon.com/images/I/61XhPFpJf8L._AC_UL320_.jpg")</f>
        <v>#NAME?</v>
      </c>
      <c r="I2053" t="s">
        <v>4346</v>
      </c>
      <c r="J2053">
        <v>71</v>
      </c>
      <c r="K2053" s="2" t="s">
        <v>4903</v>
      </c>
      <c r="L2053">
        <v>4.4000000000000004</v>
      </c>
      <c r="M2053">
        <v>24</v>
      </c>
      <c r="O2053" t="s">
        <v>26</v>
      </c>
      <c r="P2053" t="s">
        <v>4709</v>
      </c>
      <c r="Q2053" t="s">
        <v>4710</v>
      </c>
    </row>
    <row r="2054" spans="1:17" ht="15.75" x14ac:dyDescent="0.25">
      <c r="A2054" s="3" t="str">
        <f>HYPERLINK("https://prolisok-store.com/collections/sale/products/loewe-001-woman-eau-de-perfume-spray-100ml", "https://prolisok-store.com/collections/sale/products/loewe-001-woman-eau-de-perfume-spray-100ml")</f>
        <v>https://prolisok-store.com/collections/sale/products/loewe-001-woman-eau-de-perfume-spray-100ml</v>
      </c>
      <c r="B2054" s="3" t="str">
        <f>HYPERLINK("https://prolisok-store.com/products/loewe-001-woman-eau-de-perfume-spray-100ml", "https://prolisok-store.com/products/loewe-001-woman-eau-de-perfume-spray-100ml")</f>
        <v>https://prolisok-store.com/products/loewe-001-woman-eau-de-perfume-spray-100ml</v>
      </c>
      <c r="C2054" t="s">
        <v>5080</v>
      </c>
      <c r="D2054" t="s">
        <v>5082</v>
      </c>
      <c r="E2054" s="3" t="str">
        <f>HYPERLINK("https://www.amazon.com/Loewe-Woman-Perfume-Spray-100Ml/dp/B01LXDX9DI/ref=sr_1_3?keywords=loewe+001+woman+eau+de+parfum+spray+100ml&amp;qid=1695259342&amp;sr=8-3", "https://www.amazon.com/Loewe-Woman-Perfume-Spray-100Ml/dp/B01LXDX9DI/ref=sr_1_3?keywords=loewe+001+woman+eau+de+parfum+spray+100ml&amp;qid=1695259342&amp;sr=8-3")</f>
        <v>https://www.amazon.com/Loewe-Woman-Perfume-Spray-100Ml/dp/B01LXDX9DI/ref=sr_1_3?keywords=loewe+001+woman+eau+de+parfum+spray+100ml&amp;qid=1695259342&amp;sr=8-3</v>
      </c>
      <c r="F2054" t="s">
        <v>5083</v>
      </c>
      <c r="G2054" t="e">
        <f ca="1">IMAGE("https://prolisok-store.com/cdn/shop/products/Loewe001Woman_300x.jpg?v=1683715742")</f>
        <v>#NAME?</v>
      </c>
      <c r="H2054" t="e">
        <f ca="1">IMAGE("https://m.media-amazon.com/images/I/51qtMNsdScL._AC_UL320_.jpg")</f>
        <v>#NAME?</v>
      </c>
      <c r="I2054" t="s">
        <v>3476</v>
      </c>
      <c r="J2054">
        <v>55</v>
      </c>
      <c r="K2054" s="2" t="s">
        <v>5084</v>
      </c>
      <c r="L2054">
        <v>4.0999999999999996</v>
      </c>
      <c r="M2054">
        <v>60</v>
      </c>
      <c r="O2054" t="s">
        <v>26</v>
      </c>
      <c r="P2054" t="s">
        <v>2994</v>
      </c>
      <c r="Q2054" t="s">
        <v>5081</v>
      </c>
    </row>
    <row r="2055" spans="1:17" ht="15.75" x14ac:dyDescent="0.25">
      <c r="A2055" s="3" t="str">
        <f>HYPERLINK("https://prolisok-store.com/collections/sale/products/drunk-elephant-lala-retro-whipped-cream-50-milliliters", "https://prolisok-store.com/collections/sale/products/drunk-elephant-lala-retro-whipped-cream-50-milliliters")</f>
        <v>https://prolisok-store.com/collections/sale/products/drunk-elephant-lala-retro-whipped-cream-50-milliliters</v>
      </c>
      <c r="B2055" s="3" t="str">
        <f>HYPERLINK("https://prolisok-store.com/products/drunk-elephant-lala-retro-whipped-cream-50-milliliters", "https://prolisok-store.com/products/drunk-elephant-lala-retro-whipped-cream-50-milliliters")</f>
        <v>https://prolisok-store.com/products/drunk-elephant-lala-retro-whipped-cream-50-milliliters</v>
      </c>
      <c r="C2055" t="s">
        <v>4388</v>
      </c>
      <c r="D2055" t="s">
        <v>4917</v>
      </c>
      <c r="E2055" s="3" t="str">
        <f>HYPERLINK("https://www.amazon.com/Drunk-Elephant-Retro-Whipped-Cream/dp/B01J1ZBJSG/ref=sr_1_1?keywords=Drunk+Elephant+Lala+Retro+Whipped+Cream+50+Milliliters&amp;qid=1695259346&amp;sr=8-1", "https://www.amazon.com/Drunk-Elephant-Retro-Whipped-Cream/dp/B01J1ZBJSG/ref=sr_1_1?keywords=Drunk+Elephant+Lala+Retro+Whipped+Cream+50+Milliliters&amp;qid=1695259346&amp;sr=8-1")</f>
        <v>https://www.amazon.com/Drunk-Elephant-Retro-Whipped-Cream/dp/B01J1ZBJSG/ref=sr_1_1?keywords=Drunk+Elephant+Lala+Retro+Whipped+Cream+50+Milliliters&amp;qid=1695259346&amp;sr=8-1</v>
      </c>
      <c r="F2055" t="s">
        <v>4918</v>
      </c>
      <c r="G2055" t="e">
        <f ca="1">IMAGE("https://prolisok-store.com/cdn/shop/files/51ybUrn6ZWL._SL1500_300x.jpg?v=1686223860")</f>
        <v>#NAME?</v>
      </c>
      <c r="H2055" t="e">
        <f ca="1">IMAGE("https://m.media-amazon.com/images/I/51ybUrn6ZWL._AC_UL320_.jpg")</f>
        <v>#NAME?</v>
      </c>
      <c r="I2055" t="s">
        <v>3566</v>
      </c>
      <c r="J2055">
        <v>47</v>
      </c>
      <c r="K2055" s="2" t="s">
        <v>4919</v>
      </c>
      <c r="L2055">
        <v>4.2</v>
      </c>
      <c r="M2055">
        <v>1921</v>
      </c>
      <c r="O2055" t="s">
        <v>26</v>
      </c>
      <c r="P2055" t="s">
        <v>2472</v>
      </c>
      <c r="Q2055" t="s">
        <v>4392</v>
      </c>
    </row>
    <row r="2056" spans="1:17" ht="15.75" x14ac:dyDescent="0.25">
      <c r="A2056" s="3" t="str">
        <f>HYPERLINK("https://prolisok-store.com/collections/sale/products/diptyque-lombre-dans-leau-eau-de-toilette-spray-for-women-100ml-3-4-fl-oz", "https://prolisok-store.com/collections/sale/products/diptyque-lombre-dans-leau-eau-de-toilette-spray-for-women-100ml-3-4-fl-oz")</f>
        <v>https://prolisok-store.com/collections/sale/products/diptyque-lombre-dans-leau-eau-de-toilette-spray-for-women-100ml-3-4-fl-oz</v>
      </c>
      <c r="B2056" s="3" t="str">
        <f>HYPERLINK("https://prolisok-store.com/products/diptyque-lombre-dans-leau-eau-de-toilette-spray-for-women-100ml-3-4-fl-oz", "https://prolisok-store.com/products/diptyque-lombre-dans-leau-eau-de-toilette-spray-for-women-100ml-3-4-fl-oz")</f>
        <v>https://prolisok-store.com/products/diptyque-lombre-dans-leau-eau-de-toilette-spray-for-women-100ml-3-4-fl-oz</v>
      </c>
      <c r="C2056" t="s">
        <v>4509</v>
      </c>
      <c r="D2056" t="s">
        <v>4925</v>
      </c>
      <c r="E2056" s="3" t="str">
        <f>HYPERLINK("https://www.amazon.com/Diptyque-Lombre-Toilette-Spray-Women/dp/B00HR1ZSTS/ref=sr_1_1?keywords=Diptyque+L%27ombre+Dans+L%27eau+Eau+De+Toilette+Spray+For+Women+100Ml+3.4+Fl+Oz&amp;qid=1695259341&amp;sr=8-1", "https://www.amazon.com/Diptyque-Lombre-Toilette-Spray-Women/dp/B00HR1ZSTS/ref=sr_1_1?keywords=Diptyque+L%27ombre+Dans+L%27eau+Eau+De+Toilette+Spray+For+Women+100Ml+3.4+Fl+Oz&amp;qid=1695259341&amp;sr=8-1")</f>
        <v>https://www.amazon.com/Diptyque-Lombre-Toilette-Spray-Women/dp/B00HR1ZSTS/ref=sr_1_1?keywords=Diptyque+L%27ombre+Dans+L%27eau+Eau+De+Toilette+Spray+For+Women+100Ml+3.4+Fl+Oz&amp;qid=1695259341&amp;sr=8-1</v>
      </c>
      <c r="F2056" t="s">
        <v>4926</v>
      </c>
      <c r="G2056" t="e">
        <f ca="1">IMAGE("https://prolisok-store.com/cdn/shop/products/DiptyqueL_ombreDansL_eau_300x.jpg?v=1683715765")</f>
        <v>#NAME?</v>
      </c>
      <c r="H2056" t="e">
        <f ca="1">IMAGE("https://m.media-amazon.com/images/I/71auE9nCLPL._AC_UL320_.jpg")</f>
        <v>#NAME?</v>
      </c>
      <c r="I2056" t="s">
        <v>4355</v>
      </c>
      <c r="J2056">
        <v>76.2</v>
      </c>
      <c r="K2056" s="2" t="s">
        <v>4927</v>
      </c>
      <c r="L2056">
        <v>4.0999999999999996</v>
      </c>
      <c r="M2056">
        <v>25</v>
      </c>
      <c r="O2056" t="s">
        <v>26</v>
      </c>
      <c r="P2056" t="s">
        <v>2988</v>
      </c>
      <c r="Q2056" t="s">
        <v>4513</v>
      </c>
    </row>
    <row r="2057" spans="1:17" ht="15.75" x14ac:dyDescent="0.25">
      <c r="A2057" s="3" t="str">
        <f>HYPERLINK("https://prolisok-store.com/collections/sale/products/diptyque-tam-dao-eau-de-toilette-3-4-oz", "https://prolisok-store.com/collections/sale/products/diptyque-tam-dao-eau-de-toilette-3-4-oz")</f>
        <v>https://prolisok-store.com/collections/sale/products/diptyque-tam-dao-eau-de-toilette-3-4-oz</v>
      </c>
      <c r="B2057" s="3" t="str">
        <f>HYPERLINK("https://prolisok-store.com/products/diptyque-tam-dao-eau-de-toilette-3-4-oz", "https://prolisok-store.com/products/diptyque-tam-dao-eau-de-toilette-3-4-oz")</f>
        <v>https://prolisok-store.com/products/diptyque-tam-dao-eau-de-toilette-3-4-oz</v>
      </c>
      <c r="C2057" t="s">
        <v>4488</v>
      </c>
      <c r="D2057" t="s">
        <v>4925</v>
      </c>
      <c r="E2057" s="3" t="str">
        <f>HYPERLINK("https://www.amazon.com/Diptyque-Lombre-Toilette-Spray-Women/dp/B00HR1ZSTS/ref=sr_1_10?keywords=Diptyque+Tam+Dao+Eau+de+Toilette-3.4+oz.&amp;qid=1695259344&amp;sr=8-10", "https://www.amazon.com/Diptyque-Lombre-Toilette-Spray-Women/dp/B00HR1ZSTS/ref=sr_1_10?keywords=Diptyque+Tam+Dao+Eau+de+Toilette-3.4+oz.&amp;qid=1695259344&amp;sr=8-10")</f>
        <v>https://www.amazon.com/Diptyque-Lombre-Toilette-Spray-Women/dp/B00HR1ZSTS/ref=sr_1_10?keywords=Diptyque+Tam+Dao+Eau+de+Toilette-3.4+oz.&amp;qid=1695259344&amp;sr=8-10</v>
      </c>
      <c r="F2057" t="s">
        <v>4926</v>
      </c>
      <c r="G2057" t="e">
        <f ca="1">IMAGE("https://prolisok-store.com/cdn/shop/products/DiptyqueTamDaoEaudeToilette-3.4oz_-1_300x.jpg?v=1683715785")</f>
        <v>#NAME?</v>
      </c>
      <c r="H2057" t="e">
        <f ca="1">IMAGE("https://m.media-amazon.com/images/I/71auE9nCLPL._AC_UL320_.jpg")</f>
        <v>#NAME?</v>
      </c>
      <c r="I2057" t="s">
        <v>4355</v>
      </c>
      <c r="J2057">
        <v>76.2</v>
      </c>
      <c r="K2057" s="2" t="s">
        <v>4927</v>
      </c>
      <c r="L2057">
        <v>4.0999999999999996</v>
      </c>
      <c r="M2057">
        <v>25</v>
      </c>
      <c r="O2057" t="s">
        <v>26</v>
      </c>
      <c r="P2057" t="s">
        <v>2988</v>
      </c>
      <c r="Q2057" t="s">
        <v>4489</v>
      </c>
    </row>
    <row r="2058" spans="1:17" ht="15.75" x14ac:dyDescent="0.25">
      <c r="A2058" s="3" t="str">
        <f>HYPERLINK("https://prolisok-store.com/collections/sale/products/clarins-double-serum", "https://prolisok-store.com/collections/sale/products/clarins-double-serum")</f>
        <v>https://prolisok-store.com/collections/sale/products/clarins-double-serum</v>
      </c>
      <c r="B2058" s="3" t="str">
        <f>HYPERLINK("https://prolisok-store.com/products/clarins-double-serum", "https://prolisok-store.com/products/clarins-double-serum")</f>
        <v>https://prolisok-store.com/products/clarins-double-serum</v>
      </c>
      <c r="C2058" t="s">
        <v>4711</v>
      </c>
      <c r="D2058" t="s">
        <v>4934</v>
      </c>
      <c r="E2058" s="3" t="str">
        <f>HYPERLINK("https://www.amazon.com/Clarins-Anti-Aging-Treatment-Revitalizes-Youthful-Looking/dp/B09F3QR6LB/ref=sr_1_4?keywords=Clarins+Double+Serum&amp;qid=1695259342&amp;sr=8-4", "https://www.amazon.com/Clarins-Anti-Aging-Treatment-Revitalizes-Youthful-Looking/dp/B09F3QR6LB/ref=sr_1_4?keywords=Clarins+Double+Serum&amp;qid=1695259342&amp;sr=8-4")</f>
        <v>https://www.amazon.com/Clarins-Anti-Aging-Treatment-Revitalizes-Youthful-Looking/dp/B09F3QR6LB/ref=sr_1_4?keywords=Clarins+Double+Serum&amp;qid=1695259342&amp;sr=8-4</v>
      </c>
      <c r="F2058" t="s">
        <v>4935</v>
      </c>
      <c r="G2058" t="e">
        <f ca="1">IMAGE("https://prolisok-store.com/cdn/shop/products/717T_LvJhvL._SL1500_300x.jpg?v=1681306763")</f>
        <v>#NAME?</v>
      </c>
      <c r="H2058" t="e">
        <f ca="1">IMAGE("https://m.media-amazon.com/images/I/71jILVpTttL._AC_UL320_.jpg")</f>
        <v>#NAME?</v>
      </c>
      <c r="I2058" t="s">
        <v>4506</v>
      </c>
      <c r="J2058">
        <v>83</v>
      </c>
      <c r="K2058" s="2" t="s">
        <v>4936</v>
      </c>
      <c r="L2058">
        <v>4.3</v>
      </c>
      <c r="M2058">
        <v>340</v>
      </c>
      <c r="O2058" t="s">
        <v>26</v>
      </c>
      <c r="P2058" t="s">
        <v>4715</v>
      </c>
      <c r="Q2058" t="s">
        <v>4716</v>
      </c>
    </row>
    <row r="2059" spans="1:17" ht="15.75" x14ac:dyDescent="0.25">
      <c r="A2059" s="3" t="str">
        <f>HYPERLINK("https://prolisok-store.com/collections/sale/products/facial-treatment-mask-10-pc", "https://prolisok-store.com/collections/sale/products/facial-treatment-mask-10-pc")</f>
        <v>https://prolisok-store.com/collections/sale/products/facial-treatment-mask-10-pc</v>
      </c>
      <c r="B2059" s="3" t="str">
        <f>HYPERLINK("https://prolisok-store.com/products/facial-treatment-mask-10-pc", "https://prolisok-store.com/products/facial-treatment-mask-10-pc")</f>
        <v>https://prolisok-store.com/products/facial-treatment-mask-10-pc</v>
      </c>
      <c r="C2059" t="s">
        <v>4705</v>
      </c>
      <c r="D2059" t="s">
        <v>4952</v>
      </c>
      <c r="E2059" s="3" t="str">
        <f>HYPERLINK("https://www.amazon.com/SK_II-SK2-Facial-Treatment-sheets/dp/B07595LCYK/ref=sr_1_6?keywords=SK-II+Facial+Treatment+Mask%2F10+pc.&amp;qid=1695259342&amp;sr=8-6", "https://www.amazon.com/SK_II-SK2-Facial-Treatment-sheets/dp/B07595LCYK/ref=sr_1_6?keywords=SK-II+Facial+Treatment+Mask%2F10+pc.&amp;qid=1695259342&amp;sr=8-6")</f>
        <v>https://www.amazon.com/SK_II-SK2-Facial-Treatment-sheets/dp/B07595LCYK/ref=sr_1_6?keywords=SK-II+Facial+Treatment+Mask%2F10+pc.&amp;qid=1695259342&amp;sr=8-6</v>
      </c>
      <c r="F2059" t="s">
        <v>4953</v>
      </c>
      <c r="G2059" t="e">
        <f ca="1">IMAGE("https://prolisok-store.com/cdn/shop/products/41oxreg7WTL_300x.jpg?v=1673964595")</f>
        <v>#NAME?</v>
      </c>
      <c r="H2059" t="e">
        <f ca="1">IMAGE("https://m.media-amazon.com/images/I/41hQ6MtWfFL._AC_UL320_.jpg")</f>
        <v>#NAME?</v>
      </c>
      <c r="I2059" t="s">
        <v>4346</v>
      </c>
      <c r="J2059">
        <v>55.9</v>
      </c>
      <c r="K2059" s="2" t="s">
        <v>4954</v>
      </c>
      <c r="L2059">
        <v>4.2</v>
      </c>
      <c r="M2059">
        <v>7</v>
      </c>
      <c r="O2059" t="s">
        <v>26</v>
      </c>
      <c r="P2059" t="s">
        <v>4709</v>
      </c>
      <c r="Q2059" t="s">
        <v>4710</v>
      </c>
    </row>
    <row r="2060" spans="1:17" ht="15.75" x14ac:dyDescent="0.25">
      <c r="A2060" s="3" t="str">
        <f>HYPERLINK("https://prolisok-store.com/collections/sale/products/hyaluronic-acid-intensifier-h-a", "https://prolisok-store.com/collections/sale/products/hyaluronic-acid-intensifier-h-a")</f>
        <v>https://prolisok-store.com/collections/sale/products/hyaluronic-acid-intensifier-h-a</v>
      </c>
      <c r="B2060" s="3" t="str">
        <f>HYPERLINK("https://prolisok-store.com/products/hyaluronic-acid-intensifier-h-a", "https://prolisok-store.com/products/hyaluronic-acid-intensifier-h-a")</f>
        <v>https://prolisok-store.com/products/hyaluronic-acid-intensifier-h-a</v>
      </c>
      <c r="C2060" t="s">
        <v>4996</v>
      </c>
      <c r="D2060" t="s">
        <v>5085</v>
      </c>
      <c r="E2060" s="3" t="str">
        <f>HYPERLINK("https://www.amazon.com/MATRIXYL-3000-ARGIRELINE-Vitamin-Hyaluronic/dp/B01GVYEMUM/ref=sr_1_9?keywords=Hyaluronic+acid+intensifier+%28H.A.%29&amp;qid=1695259341&amp;sr=8-9", "https://www.amazon.com/MATRIXYL-3000-ARGIRELINE-Vitamin-Hyaluronic/dp/B01GVYEMUM/ref=sr_1_9?keywords=Hyaluronic+acid+intensifier+%28H.A.%29&amp;qid=1695259341&amp;sr=8-9")</f>
        <v>https://www.amazon.com/MATRIXYL-3000-ARGIRELINE-Vitamin-Hyaluronic/dp/B01GVYEMUM/ref=sr_1_9?keywords=Hyaluronic+acid+intensifier+%28H.A.%29&amp;qid=1695259341&amp;sr=8-9</v>
      </c>
      <c r="F2060" t="s">
        <v>5086</v>
      </c>
      <c r="G2060" t="e">
        <f ca="1">IMAGE("https://prolisok-store.com/cdn/shop/products/H-A-Intesifier-3606000436367-Main-SkinCeuticals_300x.webp?v=1681297360")</f>
        <v>#NAME?</v>
      </c>
      <c r="H2060" t="e">
        <f ca="1">IMAGE("https://m.media-amazon.com/images/I/512BO00IOxL._AC_UL320_.jpg")</f>
        <v>#NAME?</v>
      </c>
      <c r="I2060" t="s">
        <v>4346</v>
      </c>
      <c r="J2060">
        <v>49.99</v>
      </c>
      <c r="K2060" s="2" t="s">
        <v>3459</v>
      </c>
      <c r="L2060">
        <v>4.4000000000000004</v>
      </c>
      <c r="M2060">
        <v>7587</v>
      </c>
      <c r="O2060" t="s">
        <v>26</v>
      </c>
      <c r="P2060" t="s">
        <v>2482</v>
      </c>
      <c r="Q2060" t="s">
        <v>5000</v>
      </c>
    </row>
    <row r="2061" spans="1:17" ht="15.75" x14ac:dyDescent="0.25">
      <c r="A2061" s="3" t="str">
        <f>HYPERLINK("https://prolisok-store.com/collections/sale/products/drunk-elephant-lala-retro-whipped-cream-50-milliliters", "https://prolisok-store.com/collections/sale/products/drunk-elephant-lala-retro-whipped-cream-50-milliliters")</f>
        <v>https://prolisok-store.com/collections/sale/products/drunk-elephant-lala-retro-whipped-cream-50-milliliters</v>
      </c>
      <c r="B2061" s="3" t="str">
        <f>HYPERLINK("https://prolisok-store.com/products/drunk-elephant-lala-retro-whipped-cream-50-milliliters", "https://prolisok-store.com/products/drunk-elephant-lala-retro-whipped-cream-50-milliliters")</f>
        <v>https://prolisok-store.com/products/drunk-elephant-lala-retro-whipped-cream-50-milliliters</v>
      </c>
      <c r="C2061" t="s">
        <v>4388</v>
      </c>
      <c r="D2061" t="s">
        <v>4987</v>
      </c>
      <c r="E2061" s="3" t="str">
        <f>HYPERLINK("https://www.amazon.com/Whipped-Replenishing-Moisturizer-Protection-Rejuvenation/dp/B0B9XDGRHK/ref=sr_1_2?keywords=Drunk+Elephant+Lala+Retro+Whipped+Cream+50+Milliliters&amp;qid=1695259346&amp;sr=8-2", "https://www.amazon.com/Whipped-Replenishing-Moisturizer-Protection-Rejuvenation/dp/B0B9XDGRHK/ref=sr_1_2?keywords=Drunk+Elephant+Lala+Retro+Whipped+Cream+50+Milliliters&amp;qid=1695259346&amp;sr=8-2")</f>
        <v>https://www.amazon.com/Whipped-Replenishing-Moisturizer-Protection-Rejuvenation/dp/B0B9XDGRHK/ref=sr_1_2?keywords=Drunk+Elephant+Lala+Retro+Whipped+Cream+50+Milliliters&amp;qid=1695259346&amp;sr=8-2</v>
      </c>
      <c r="F2061" t="s">
        <v>4988</v>
      </c>
      <c r="G2061" t="e">
        <f ca="1">IMAGE("https://prolisok-store.com/cdn/shop/files/51ybUrn6ZWL._SL1500_300x.jpg?v=1686223860")</f>
        <v>#NAME?</v>
      </c>
      <c r="H2061" t="e">
        <f ca="1">IMAGE("https://m.media-amazon.com/images/I/41CHkJw2zpL._AC_UL320_.jpg")</f>
        <v>#NAME?</v>
      </c>
      <c r="I2061" t="s">
        <v>3566</v>
      </c>
      <c r="J2061">
        <v>30.5</v>
      </c>
      <c r="K2061" s="2" t="s">
        <v>4989</v>
      </c>
      <c r="L2061">
        <v>4</v>
      </c>
      <c r="M2061">
        <v>123</v>
      </c>
      <c r="O2061" t="s">
        <v>26</v>
      </c>
      <c r="P2061" t="s">
        <v>2472</v>
      </c>
      <c r="Q2061" t="s">
        <v>4392</v>
      </c>
    </row>
    <row r="2062" spans="1:17" ht="15.75" x14ac:dyDescent="0.25">
      <c r="A2062" s="3" t="str">
        <f t="shared" ref="A2062:A2067" si="27">HYPERLINK("https://prolisok-store.com/collections/sale/products/hyaluronic-acid-intensifier-h-a", "https://prolisok-store.com/collections/sale/products/hyaluronic-acid-intensifier-h-a")</f>
        <v>https://prolisok-store.com/collections/sale/products/hyaluronic-acid-intensifier-h-a</v>
      </c>
      <c r="B2062" s="3" t="str">
        <f t="shared" ref="B2062:B2067" si="28">HYPERLINK("https://prolisok-store.com/products/hyaluronic-acid-intensifier-h-a", "https://prolisok-store.com/products/hyaluronic-acid-intensifier-h-a")</f>
        <v>https://prolisok-store.com/products/hyaluronic-acid-intensifier-h-a</v>
      </c>
      <c r="C2062" t="s">
        <v>4996</v>
      </c>
      <c r="D2062" t="s">
        <v>5087</v>
      </c>
      <c r="E2062" s="3" t="str">
        <f>HYPERLINK("https://www.amazon.com/Pure-Hyaluronic-Acid-Serum-Pharmaceutical/dp/B09PC6R79V/ref=sr_1_6?keywords=Hyaluronic+acid+intensifier+%28H.A.%29&amp;qid=1695259341&amp;sr=8-6", "https://www.amazon.com/Pure-Hyaluronic-Acid-Serum-Pharmaceutical/dp/B09PC6R79V/ref=sr_1_6?keywords=Hyaluronic+acid+intensifier+%28H.A.%29&amp;qid=1695259341&amp;sr=8-6")</f>
        <v>https://www.amazon.com/Pure-Hyaluronic-Acid-Serum-Pharmaceutical/dp/B09PC6R79V/ref=sr_1_6?keywords=Hyaluronic+acid+intensifier+%28H.A.%29&amp;qid=1695259341&amp;sr=8-6</v>
      </c>
      <c r="F2062" t="s">
        <v>5088</v>
      </c>
      <c r="G2062" t="e">
        <f t="shared" ref="G2062:G2067" ca="1" si="29">IMAGE("https://prolisok-store.com/cdn/shop/products/H-A-Intesifier-3606000436367-Main-SkinCeuticals_300x.webp?v=1681297360")</f>
        <v>#NAME?</v>
      </c>
      <c r="H2062" t="e">
        <f ca="1">IMAGE("https://m.media-amazon.com/images/I/51FPuM6XHCL._AC_UL320_.jpg")</f>
        <v>#NAME?</v>
      </c>
      <c r="I2062" t="s">
        <v>4346</v>
      </c>
      <c r="J2062">
        <v>39.99</v>
      </c>
      <c r="K2062" s="2" t="s">
        <v>4999</v>
      </c>
      <c r="L2062">
        <v>4.4000000000000004</v>
      </c>
      <c r="M2062">
        <v>72</v>
      </c>
      <c r="O2062" t="s">
        <v>26</v>
      </c>
      <c r="P2062" t="s">
        <v>2482</v>
      </c>
      <c r="Q2062" t="s">
        <v>5000</v>
      </c>
    </row>
    <row r="2063" spans="1:17" ht="15.75" x14ac:dyDescent="0.25">
      <c r="A2063" s="3" t="str">
        <f t="shared" si="27"/>
        <v>https://prolisok-store.com/collections/sale/products/hyaluronic-acid-intensifier-h-a</v>
      </c>
      <c r="B2063" s="3" t="str">
        <f t="shared" si="28"/>
        <v>https://prolisok-store.com/products/hyaluronic-acid-intensifier-h-a</v>
      </c>
      <c r="C2063" t="s">
        <v>4996</v>
      </c>
      <c r="D2063" t="s">
        <v>4997</v>
      </c>
      <c r="E2063" s="3" t="str">
        <f>HYPERLINK("https://www.amazon.com/Roche-Posay-Hyalu-Hyaluronic-Anti-Wrinkle-Concentrate/dp/B075VX4QVM/ref=sr_1_1?keywords=Hyaluronic+acid+intensifier+%28H.A.%29&amp;qid=1695259341&amp;sr=8-1", "https://www.amazon.com/Roche-Posay-Hyalu-Hyaluronic-Anti-Wrinkle-Concentrate/dp/B075VX4QVM/ref=sr_1_1?keywords=Hyaluronic+acid+intensifier+%28H.A.%29&amp;qid=1695259341&amp;sr=8-1")</f>
        <v>https://www.amazon.com/Roche-Posay-Hyalu-Hyaluronic-Anti-Wrinkle-Concentrate/dp/B075VX4QVM/ref=sr_1_1?keywords=Hyaluronic+acid+intensifier+%28H.A.%29&amp;qid=1695259341&amp;sr=8-1</v>
      </c>
      <c r="F2063" t="s">
        <v>4998</v>
      </c>
      <c r="G2063" t="e">
        <f t="shared" ca="1" si="29"/>
        <v>#NAME?</v>
      </c>
      <c r="H2063" t="e">
        <f ca="1">IMAGE("https://m.media-amazon.com/images/I/51c5bV1k-NL._AC_UL320_.jpg")</f>
        <v>#NAME?</v>
      </c>
      <c r="I2063" t="s">
        <v>4346</v>
      </c>
      <c r="J2063">
        <v>39.99</v>
      </c>
      <c r="K2063" s="2" t="s">
        <v>4999</v>
      </c>
      <c r="L2063">
        <v>4.5999999999999996</v>
      </c>
      <c r="M2063">
        <v>21089</v>
      </c>
      <c r="O2063" t="s">
        <v>26</v>
      </c>
      <c r="P2063" t="s">
        <v>2482</v>
      </c>
      <c r="Q2063" t="s">
        <v>5000</v>
      </c>
    </row>
    <row r="2064" spans="1:17" ht="15.75" x14ac:dyDescent="0.25">
      <c r="A2064" s="3" t="str">
        <f t="shared" si="27"/>
        <v>https://prolisok-store.com/collections/sale/products/hyaluronic-acid-intensifier-h-a</v>
      </c>
      <c r="B2064" s="3" t="str">
        <f t="shared" si="28"/>
        <v>https://prolisok-store.com/products/hyaluronic-acid-intensifier-h-a</v>
      </c>
      <c r="C2064" t="s">
        <v>4996</v>
      </c>
      <c r="D2064" t="s">
        <v>5006</v>
      </c>
      <c r="E2064" s="3" t="str">
        <f>HYPERLINK("https://www.amazon.com/Hyaluronic-Acid-Serum-Face-Fragrance-Free/dp/B00LUA11F2/ref=sr_1_5?keywords=Hyaluronic+acid+intensifier+%28H.A.%29&amp;qid=1695259341&amp;rdc=1&amp;sr=8-5", "https://www.amazon.com/Hyaluronic-Acid-Serum-Face-Fragrance-Free/dp/B00LUA11F2/ref=sr_1_5?keywords=Hyaluronic+acid+intensifier+%28H.A.%29&amp;qid=1695259341&amp;rdc=1&amp;sr=8-5")</f>
        <v>https://www.amazon.com/Hyaluronic-Acid-Serum-Face-Fragrance-Free/dp/B00LUA11F2/ref=sr_1_5?keywords=Hyaluronic+acid+intensifier+%28H.A.%29&amp;qid=1695259341&amp;rdc=1&amp;sr=8-5</v>
      </c>
      <c r="F2064" t="s">
        <v>5007</v>
      </c>
      <c r="G2064" t="e">
        <f t="shared" ca="1" si="29"/>
        <v>#NAME?</v>
      </c>
      <c r="H2064" t="e">
        <f ca="1">IMAGE("https://m.media-amazon.com/images/I/8109KxAMO8L._AC_UL320_.jpg")</f>
        <v>#NAME?</v>
      </c>
      <c r="I2064" t="s">
        <v>4346</v>
      </c>
      <c r="J2064">
        <v>38.99</v>
      </c>
      <c r="K2064" s="2" t="s">
        <v>5008</v>
      </c>
      <c r="L2064">
        <v>4.5</v>
      </c>
      <c r="M2064">
        <v>2813</v>
      </c>
      <c r="O2064" t="s">
        <v>26</v>
      </c>
      <c r="P2064" t="s">
        <v>2482</v>
      </c>
      <c r="Q2064" t="s">
        <v>5000</v>
      </c>
    </row>
    <row r="2065" spans="1:17" ht="15.75" x14ac:dyDescent="0.25">
      <c r="A2065" s="3" t="str">
        <f t="shared" si="27"/>
        <v>https://prolisok-store.com/collections/sale/products/hyaluronic-acid-intensifier-h-a</v>
      </c>
      <c r="B2065" s="3" t="str">
        <f t="shared" si="28"/>
        <v>https://prolisok-store.com/products/hyaluronic-acid-intensifier-h-a</v>
      </c>
      <c r="C2065" t="s">
        <v>4996</v>
      </c>
      <c r="D2065" t="s">
        <v>5089</v>
      </c>
      <c r="E2065" s="3" t="str">
        <f>HYPERLINK("https://www.amazon.com/The-Ordinary-Hyaluronic-Acid-Serum-For-Face/dp/B01GUK7NV2/ref=sr_1_8?keywords=Hyaluronic+acid+intensifier+%28H.A.%29&amp;qid=1695259341&amp;sr=8-8", "https://www.amazon.com/The-Ordinary-Hyaluronic-Acid-Serum-For-Face/dp/B01GUK7NV2/ref=sr_1_8?keywords=Hyaluronic+acid+intensifier+%28H.A.%29&amp;qid=1695259341&amp;sr=8-8")</f>
        <v>https://www.amazon.com/The-Ordinary-Hyaluronic-Acid-Serum-For-Face/dp/B01GUK7NV2/ref=sr_1_8?keywords=Hyaluronic+acid+intensifier+%28H.A.%29&amp;qid=1695259341&amp;sr=8-8</v>
      </c>
      <c r="F2065" t="s">
        <v>5090</v>
      </c>
      <c r="G2065" t="e">
        <f t="shared" ca="1" si="29"/>
        <v>#NAME?</v>
      </c>
      <c r="H2065" t="e">
        <f ca="1">IMAGE("https://m.media-amazon.com/images/I/81qtmXFlaRL._AC_UL320_.jpg")</f>
        <v>#NAME?</v>
      </c>
      <c r="I2065" t="s">
        <v>4346</v>
      </c>
      <c r="J2065">
        <v>29.99</v>
      </c>
      <c r="K2065" s="2" t="s">
        <v>3532</v>
      </c>
      <c r="L2065">
        <v>4.5</v>
      </c>
      <c r="M2065">
        <v>23968</v>
      </c>
      <c r="O2065" t="s">
        <v>26</v>
      </c>
      <c r="P2065" t="s">
        <v>2482</v>
      </c>
      <c r="Q2065" t="s">
        <v>5000</v>
      </c>
    </row>
    <row r="2066" spans="1:17" ht="15.75" x14ac:dyDescent="0.25">
      <c r="A2066" s="3" t="str">
        <f t="shared" si="27"/>
        <v>https://prolisok-store.com/collections/sale/products/hyaluronic-acid-intensifier-h-a</v>
      </c>
      <c r="B2066" s="3" t="str">
        <f t="shared" si="28"/>
        <v>https://prolisok-store.com/products/hyaluronic-acid-intensifier-h-a</v>
      </c>
      <c r="C2066" t="s">
        <v>4996</v>
      </c>
      <c r="D2066" t="s">
        <v>5023</v>
      </c>
      <c r="E2066" s="3" t="str">
        <f>HYPERLINK("https://www.amazon.com/Pure-Hyaluronic-Powder-Serum-000ppm/dp/B098QM7RJQ/ref=sr_1_3?keywords=Hyaluronic+acid+intensifier+%28H.A.%29&amp;qid=1695259341&amp;sr=8-3", "https://www.amazon.com/Pure-Hyaluronic-Powder-Serum-000ppm/dp/B098QM7RJQ/ref=sr_1_3?keywords=Hyaluronic+acid+intensifier+%28H.A.%29&amp;qid=1695259341&amp;sr=8-3")</f>
        <v>https://www.amazon.com/Pure-Hyaluronic-Powder-Serum-000ppm/dp/B098QM7RJQ/ref=sr_1_3?keywords=Hyaluronic+acid+intensifier+%28H.A.%29&amp;qid=1695259341&amp;sr=8-3</v>
      </c>
      <c r="F2066" t="s">
        <v>5024</v>
      </c>
      <c r="G2066" t="e">
        <f t="shared" ca="1" si="29"/>
        <v>#NAME?</v>
      </c>
      <c r="H2066" t="e">
        <f ca="1">IMAGE("https://m.media-amazon.com/images/I/71nyxSL9-QL._AC_UL320_.jpg")</f>
        <v>#NAME?</v>
      </c>
      <c r="I2066" t="s">
        <v>4346</v>
      </c>
      <c r="J2066">
        <v>23.99</v>
      </c>
      <c r="K2066" s="2" t="s">
        <v>5025</v>
      </c>
      <c r="L2066">
        <v>4.5999999999999996</v>
      </c>
      <c r="M2066">
        <v>7247</v>
      </c>
      <c r="O2066" t="s">
        <v>26</v>
      </c>
      <c r="P2066" t="s">
        <v>2482</v>
      </c>
      <c r="Q2066" t="s">
        <v>5000</v>
      </c>
    </row>
    <row r="2067" spans="1:17" ht="15.75" x14ac:dyDescent="0.25">
      <c r="A2067" s="3" t="str">
        <f t="shared" si="27"/>
        <v>https://prolisok-store.com/collections/sale/products/hyaluronic-acid-intensifier-h-a</v>
      </c>
      <c r="B2067" s="3" t="str">
        <f t="shared" si="28"/>
        <v>https://prolisok-store.com/products/hyaluronic-acid-intensifier-h-a</v>
      </c>
      <c r="C2067" t="s">
        <v>4996</v>
      </c>
      <c r="D2067" t="s">
        <v>5030</v>
      </c>
      <c r="E2067" s="3" t="str">
        <f>HYPERLINK("https://www.amazon.com/Hyaluronic-Organic-Hydrating-Moisturizer-Manufactured/dp/B084X51ZPM/ref=sr_1_2?keywords=Hyaluronic+acid+intensifier+%28H.A.%29&amp;qid=1695259341&amp;sr=8-2", "https://www.amazon.com/Hyaluronic-Organic-Hydrating-Moisturizer-Manufactured/dp/B084X51ZPM/ref=sr_1_2?keywords=Hyaluronic+acid+intensifier+%28H.A.%29&amp;qid=1695259341&amp;sr=8-2")</f>
        <v>https://www.amazon.com/Hyaluronic-Organic-Hydrating-Moisturizer-Manufactured/dp/B084X51ZPM/ref=sr_1_2?keywords=Hyaluronic+acid+intensifier+%28H.A.%29&amp;qid=1695259341&amp;sr=8-2</v>
      </c>
      <c r="F2067" t="s">
        <v>5031</v>
      </c>
      <c r="G2067" t="e">
        <f t="shared" ca="1" si="29"/>
        <v>#NAME?</v>
      </c>
      <c r="H2067" t="e">
        <f ca="1">IMAGE("https://m.media-amazon.com/images/I/61BHSLXK7BL._AC_UL320_.jpg")</f>
        <v>#NAME?</v>
      </c>
      <c r="I2067" t="s">
        <v>4346</v>
      </c>
      <c r="J2067">
        <v>19.989999999999998</v>
      </c>
      <c r="K2067" s="2" t="s">
        <v>5032</v>
      </c>
      <c r="L2067">
        <v>4.5</v>
      </c>
      <c r="M2067">
        <v>8304</v>
      </c>
      <c r="O2067" t="s">
        <v>26</v>
      </c>
      <c r="P2067" t="s">
        <v>2482</v>
      </c>
      <c r="Q2067" t="s">
        <v>5000</v>
      </c>
    </row>
    <row r="2068" spans="1:17" ht="15.75" x14ac:dyDescent="0.25">
      <c r="A2068" s="3" t="str">
        <f>HYPERLINK("https://prolisok-store.com/collections/sale/products/la-mer-powder-brush-2-g", "https://prolisok-store.com/collections/sale/products/la-mer-powder-brush-2-g")</f>
        <v>https://prolisok-store.com/collections/sale/products/la-mer-powder-brush-2-g</v>
      </c>
      <c r="B2068" s="3" t="str">
        <f>HYPERLINK("https://prolisok-store.com/products/la-mer-powder-brush-2-g", "https://prolisok-store.com/products/la-mer-powder-brush-2-g")</f>
        <v>https://prolisok-store.com/products/la-mer-powder-brush-2-g</v>
      </c>
      <c r="C2068" t="s">
        <v>4849</v>
      </c>
      <c r="D2068" t="s">
        <v>5036</v>
      </c>
      <c r="E2068" s="3" t="str">
        <f>HYPERLINK("https://www.amazon.com/MOGILAN-Foundation-Synthetic-Blending-Coverage/dp/B09LQXDSSF/ref=sr_1_4?keywords=La+Mer+Powder+Brush+-+2+g&amp;qid=1695259342&amp;sr=8-4", "https://www.amazon.com/MOGILAN-Foundation-Synthetic-Blending-Coverage/dp/B09LQXDSSF/ref=sr_1_4?keywords=La+Mer+Powder+Brush+-+2+g&amp;qid=1695259342&amp;sr=8-4")</f>
        <v>https://www.amazon.com/MOGILAN-Foundation-Synthetic-Blending-Coverage/dp/B09LQXDSSF/ref=sr_1_4?keywords=La+Mer+Powder+Brush+-+2+g&amp;qid=1695259342&amp;sr=8-4</v>
      </c>
      <c r="F2068" t="s">
        <v>5037</v>
      </c>
      <c r="G2068" t="e">
        <f ca="1">IMAGE("https://prolisok-store.com/cdn/shop/products/31237RidMRL._SL1000_300x.jpg?v=1673891915")</f>
        <v>#NAME?</v>
      </c>
      <c r="H2068" t="e">
        <f ca="1">IMAGE("https://m.media-amazon.com/images/I/51bMoad50WL._AC_UL320_.jpg")</f>
        <v>#NAME?</v>
      </c>
      <c r="I2068" t="s">
        <v>3476</v>
      </c>
      <c r="J2068">
        <v>12.89</v>
      </c>
      <c r="K2068" s="2" t="s">
        <v>3598</v>
      </c>
      <c r="L2068">
        <v>4.5999999999999996</v>
      </c>
      <c r="M2068">
        <v>130</v>
      </c>
      <c r="O2068" t="s">
        <v>26</v>
      </c>
      <c r="P2068" t="s">
        <v>4853</v>
      </c>
      <c r="Q2068" t="s">
        <v>4854</v>
      </c>
    </row>
    <row r="2069" spans="1:17" ht="15.75" x14ac:dyDescent="0.25">
      <c r="A2069" s="3" t="str">
        <f>HYPERLINK("https://prolisok-store.com/collections/sale/products/hyaluronic-acid-intensifier-h-a", "https://prolisok-store.com/collections/sale/products/hyaluronic-acid-intensifier-h-a")</f>
        <v>https://prolisok-store.com/collections/sale/products/hyaluronic-acid-intensifier-h-a</v>
      </c>
      <c r="B2069" s="3" t="str">
        <f>HYPERLINK("https://prolisok-store.com/products/hyaluronic-acid-intensifier-h-a", "https://prolisok-store.com/products/hyaluronic-acid-intensifier-h-a")</f>
        <v>https://prolisok-store.com/products/hyaluronic-acid-intensifier-h-a</v>
      </c>
      <c r="C2069" t="s">
        <v>4996</v>
      </c>
      <c r="D2069" t="s">
        <v>4161</v>
      </c>
      <c r="E2069" s="3" t="str">
        <f>HYPERLINK("https://www.amazon.com/Hyaluronic-Hydration-Moisture-Reducing-Brightening/dp/B0090UJFYI/ref=sr_1_4?keywords=Hyaluronic+acid+intensifier+%28H.A.%29&amp;qid=1695259341&amp;sr=8-4", "https://www.amazon.com/Hyaluronic-Hydration-Moisture-Reducing-Brightening/dp/B0090UJFYI/ref=sr_1_4?keywords=Hyaluronic+acid+intensifier+%28H.A.%29&amp;qid=1695259341&amp;sr=8-4")</f>
        <v>https://www.amazon.com/Hyaluronic-Hydration-Moisture-Reducing-Brightening/dp/B0090UJFYI/ref=sr_1_4?keywords=Hyaluronic+acid+intensifier+%28H.A.%29&amp;qid=1695259341&amp;sr=8-4</v>
      </c>
      <c r="F2069" t="s">
        <v>4162</v>
      </c>
      <c r="G2069" t="e">
        <f ca="1">IMAGE("https://prolisok-store.com/cdn/shop/products/H-A-Intesifier-3606000436367-Main-SkinCeuticals_300x.webp?v=1681297360")</f>
        <v>#NAME?</v>
      </c>
      <c r="H2069" t="e">
        <f ca="1">IMAGE("https://m.media-amazon.com/images/I/61CazCt3zfL._AC_UL320_.jpg")</f>
        <v>#NAME?</v>
      </c>
      <c r="I2069" t="s">
        <v>4346</v>
      </c>
      <c r="J2069">
        <v>14.98</v>
      </c>
      <c r="K2069" s="2" t="s">
        <v>5038</v>
      </c>
      <c r="L2069">
        <v>4.4000000000000004</v>
      </c>
      <c r="M2069">
        <v>39577</v>
      </c>
      <c r="O2069" t="s">
        <v>26</v>
      </c>
      <c r="P2069" t="s">
        <v>2482</v>
      </c>
      <c r="Q2069" t="s">
        <v>5000</v>
      </c>
    </row>
    <row r="2070" spans="1:17" ht="15.75" x14ac:dyDescent="0.25">
      <c r="A2070" s="3" t="str">
        <f>HYPERLINK("https://prolisok-store.com/collections/sale/products/la-mer-powder-brush-2-g", "https://prolisok-store.com/collections/sale/products/la-mer-powder-brush-2-g")</f>
        <v>https://prolisok-store.com/collections/sale/products/la-mer-powder-brush-2-g</v>
      </c>
      <c r="B2070" s="3" t="str">
        <f>HYPERLINK("https://prolisok-store.com/products/la-mer-powder-brush-2-g", "https://prolisok-store.com/products/la-mer-powder-brush-2-g")</f>
        <v>https://prolisok-store.com/products/la-mer-powder-brush-2-g</v>
      </c>
      <c r="C2070" t="s">
        <v>4849</v>
      </c>
      <c r="D2070" t="s">
        <v>5048</v>
      </c>
      <c r="E2070" s="3" t="str">
        <f>HYPERLINK("https://www.amazon.com/Real-Techniques-Powder-Bronzer-Coverage/dp/B004TSF8R4/ref=sr_1_5?keywords=La+Mer+Powder+Brush+-+2+g&amp;qid=1695259342&amp;sr=8-5", "https://www.amazon.com/Real-Techniques-Powder-Bronzer-Coverage/dp/B004TSF8R4/ref=sr_1_5?keywords=La+Mer+Powder+Brush+-+2+g&amp;qid=1695259342&amp;sr=8-5")</f>
        <v>https://www.amazon.com/Real-Techniques-Powder-Bronzer-Coverage/dp/B004TSF8R4/ref=sr_1_5?keywords=La+Mer+Powder+Brush+-+2+g&amp;qid=1695259342&amp;sr=8-5</v>
      </c>
      <c r="F2070" t="s">
        <v>5049</v>
      </c>
      <c r="G2070" t="e">
        <f ca="1">IMAGE("https://prolisok-store.com/cdn/shop/products/31237RidMRL._SL1000_300x.jpg?v=1673891915")</f>
        <v>#NAME?</v>
      </c>
      <c r="H2070" t="e">
        <f ca="1">IMAGE("https://m.media-amazon.com/images/I/61RvyApodbL._AC_UL320_.jpg")</f>
        <v>#NAME?</v>
      </c>
      <c r="I2070" t="s">
        <v>3476</v>
      </c>
      <c r="J2070">
        <v>8.99</v>
      </c>
      <c r="K2070" s="2" t="s">
        <v>5050</v>
      </c>
      <c r="L2070">
        <v>4.7</v>
      </c>
      <c r="M2070">
        <v>10683</v>
      </c>
      <c r="O2070" t="s">
        <v>26</v>
      </c>
      <c r="P2070" t="s">
        <v>4853</v>
      </c>
      <c r="Q2070" t="s">
        <v>4854</v>
      </c>
    </row>
    <row r="2071" spans="1:17" ht="15.75" x14ac:dyDescent="0.25">
      <c r="A2071" s="3" t="str">
        <f>HYPERLINK("https://prolisok-store.com/collections/sale/products/la-mer-powder-brush-2-g", "https://prolisok-store.com/collections/sale/products/la-mer-powder-brush-2-g")</f>
        <v>https://prolisok-store.com/collections/sale/products/la-mer-powder-brush-2-g</v>
      </c>
      <c r="B2071" s="3" t="str">
        <f>HYPERLINK("https://prolisok-store.com/products/la-mer-powder-brush-2-g", "https://prolisok-store.com/products/la-mer-powder-brush-2-g")</f>
        <v>https://prolisok-store.com/products/la-mer-powder-brush-2-g</v>
      </c>
      <c r="C2071" t="s">
        <v>4849</v>
      </c>
      <c r="D2071" t="s">
        <v>5091</v>
      </c>
      <c r="E2071" s="3" t="str">
        <f>HYPERLINK("https://www.amazon.com/Matto-Foundation-Setting-Pressed-Mineral/dp/B07RLWMXGD/ref=sr_1_8?keywords=La+Mer+Powder+Brush+-+2+g&amp;qid=1695259342&amp;sr=8-8", "https://www.amazon.com/Matto-Foundation-Setting-Pressed-Mineral/dp/B07RLWMXGD/ref=sr_1_8?keywords=La+Mer+Powder+Brush+-+2+g&amp;qid=1695259342&amp;sr=8-8")</f>
        <v>https://www.amazon.com/Matto-Foundation-Setting-Pressed-Mineral/dp/B07RLWMXGD/ref=sr_1_8?keywords=La+Mer+Powder+Brush+-+2+g&amp;qid=1695259342&amp;sr=8-8</v>
      </c>
      <c r="F2071" t="s">
        <v>5092</v>
      </c>
      <c r="G2071" t="e">
        <f ca="1">IMAGE("https://prolisok-store.com/cdn/shop/products/31237RidMRL._SL1000_300x.jpg?v=1673891915")</f>
        <v>#NAME?</v>
      </c>
      <c r="H2071" t="e">
        <f ca="1">IMAGE("https://m.media-amazon.com/images/I/51GJY73L2TL._AC_UL320_.jpg")</f>
        <v>#NAME?</v>
      </c>
      <c r="I2071" t="s">
        <v>3476</v>
      </c>
      <c r="J2071">
        <v>7.99</v>
      </c>
      <c r="K2071" s="2" t="s">
        <v>2750</v>
      </c>
      <c r="L2071">
        <v>4.5999999999999996</v>
      </c>
      <c r="M2071">
        <v>386</v>
      </c>
      <c r="O2071" t="s">
        <v>26</v>
      </c>
      <c r="P2071" t="s">
        <v>4853</v>
      </c>
      <c r="Q2071" t="s">
        <v>4854</v>
      </c>
    </row>
    <row r="2072" spans="1:17" ht="15.75" x14ac:dyDescent="0.25">
      <c r="A2072" s="3" t="str">
        <f>HYPERLINK("https://prolisok-store.com/collections/sale/products/la-mer-powder-brush-2-g", "https://prolisok-store.com/collections/sale/products/la-mer-powder-brush-2-g")</f>
        <v>https://prolisok-store.com/collections/sale/products/la-mer-powder-brush-2-g</v>
      </c>
      <c r="B2072" s="3" t="str">
        <f>HYPERLINK("https://prolisok-store.com/products/la-mer-powder-brush-2-g", "https://prolisok-store.com/products/la-mer-powder-brush-2-g")</f>
        <v>https://prolisok-store.com/products/la-mer-powder-brush-2-g</v>
      </c>
      <c r="C2072" t="s">
        <v>4849</v>
      </c>
      <c r="D2072" t="s">
        <v>5093</v>
      </c>
      <c r="E2072" s="3" t="str">
        <f>HYPERLINK("https://www.amazon.com/Matto-Bamboo-Powder-Mineral-Kabuki/dp/B01GCV3I8G/ref=sr_1_7?keywords=La+Mer+Powder+Brush+-+2+g&amp;qid=1695259342&amp;sr=8-7", "https://www.amazon.com/Matto-Bamboo-Powder-Mineral-Kabuki/dp/B01GCV3I8G/ref=sr_1_7?keywords=La+Mer+Powder+Brush+-+2+g&amp;qid=1695259342&amp;sr=8-7")</f>
        <v>https://www.amazon.com/Matto-Bamboo-Powder-Mineral-Kabuki/dp/B01GCV3I8G/ref=sr_1_7?keywords=La+Mer+Powder+Brush+-+2+g&amp;qid=1695259342&amp;sr=8-7</v>
      </c>
      <c r="F2072" t="s">
        <v>5094</v>
      </c>
      <c r="G2072" t="e">
        <f ca="1">IMAGE("https://prolisok-store.com/cdn/shop/products/31237RidMRL._SL1000_300x.jpg?v=1673891915")</f>
        <v>#NAME?</v>
      </c>
      <c r="H2072" t="e">
        <f ca="1">IMAGE("https://m.media-amazon.com/images/I/41nQwROrOQL._AC_UL320_.jpg")</f>
        <v>#NAME?</v>
      </c>
      <c r="I2072" t="s">
        <v>3476</v>
      </c>
      <c r="J2072">
        <v>7.99</v>
      </c>
      <c r="K2072" s="2" t="s">
        <v>2750</v>
      </c>
      <c r="L2072">
        <v>4.7</v>
      </c>
      <c r="M2072">
        <v>250</v>
      </c>
      <c r="O2072" t="s">
        <v>26</v>
      </c>
      <c r="P2072" t="s">
        <v>4853</v>
      </c>
      <c r="Q2072" t="s">
        <v>4854</v>
      </c>
    </row>
    <row r="2073" spans="1:17" ht="15.75" x14ac:dyDescent="0.25">
      <c r="A2073" s="3" t="str">
        <f>HYPERLINK("https://prolisok-store.com/collections/sale/products/hyaluronic-acid-intensifier-h-a", "https://prolisok-store.com/collections/sale/products/hyaluronic-acid-intensifier-h-a")</f>
        <v>https://prolisok-store.com/collections/sale/products/hyaluronic-acid-intensifier-h-a</v>
      </c>
      <c r="B2073" s="3" t="str">
        <f>HYPERLINK("https://prolisok-store.com/products/hyaluronic-acid-intensifier-h-a", "https://prolisok-store.com/products/hyaluronic-acid-intensifier-h-a")</f>
        <v>https://prolisok-store.com/products/hyaluronic-acid-intensifier-h-a</v>
      </c>
      <c r="C2073" t="s">
        <v>4996</v>
      </c>
      <c r="D2073" t="s">
        <v>5095</v>
      </c>
      <c r="E2073" s="3" t="str">
        <f>HYPERLINK("https://www.amazon.com/Hyaluronic-Serum-Paraben-Moisturizer-Horbaach/dp/B07QD1S56R/ref=sr_1_7?keywords=Hyaluronic+acid+intensifier+%28H.A.%29&amp;qid=1695259341&amp;sr=8-7", "https://www.amazon.com/Hyaluronic-Serum-Paraben-Moisturizer-Horbaach/dp/B07QD1S56R/ref=sr_1_7?keywords=Hyaluronic+acid+intensifier+%28H.A.%29&amp;qid=1695259341&amp;sr=8-7")</f>
        <v>https://www.amazon.com/Hyaluronic-Serum-Paraben-Moisturizer-Horbaach/dp/B07QD1S56R/ref=sr_1_7?keywords=Hyaluronic+acid+intensifier+%28H.A.%29&amp;qid=1695259341&amp;sr=8-7</v>
      </c>
      <c r="F2073" t="s">
        <v>5096</v>
      </c>
      <c r="G2073" t="e">
        <f ca="1">IMAGE("https://prolisok-store.com/cdn/shop/products/H-A-Intesifier-3606000436367-Main-SkinCeuticals_300x.webp?v=1681297360")</f>
        <v>#NAME?</v>
      </c>
      <c r="H2073" t="e">
        <f ca="1">IMAGE("https://m.media-amazon.com/images/I/61ndF0nUSwL._AC_UL320_.jpg")</f>
        <v>#NAME?</v>
      </c>
      <c r="I2073" t="s">
        <v>4346</v>
      </c>
      <c r="J2073">
        <v>8.98</v>
      </c>
      <c r="K2073" s="2" t="s">
        <v>2761</v>
      </c>
      <c r="L2073">
        <v>4.3</v>
      </c>
      <c r="M2073">
        <v>1205</v>
      </c>
      <c r="O2073" t="s">
        <v>26</v>
      </c>
      <c r="P2073" t="s">
        <v>2482</v>
      </c>
      <c r="Q2073" t="s">
        <v>5000</v>
      </c>
    </row>
    <row r="2074" spans="1:17" ht="15.75" x14ac:dyDescent="0.25">
      <c r="A2074" s="3" t="str">
        <f>HYPERLINK("https://prolisok-store.com/collections/sale/products/la-mer-powder-brush-2-g", "https://prolisok-store.com/collections/sale/products/la-mer-powder-brush-2-g")</f>
        <v>https://prolisok-store.com/collections/sale/products/la-mer-powder-brush-2-g</v>
      </c>
      <c r="B2074" s="3" t="str">
        <f>HYPERLINK("https://prolisok-store.com/products/la-mer-powder-brush-2-g", "https://prolisok-store.com/products/la-mer-powder-brush-2-g")</f>
        <v>https://prolisok-store.com/products/la-mer-powder-brush-2-g</v>
      </c>
      <c r="C2074" t="s">
        <v>4849</v>
      </c>
      <c r="D2074" t="s">
        <v>5072</v>
      </c>
      <c r="E2074" s="3" t="str">
        <f>HYPERLINK("https://www.amazon.com/Luxspire-Powder-Mineral-Foundation-Blending/dp/B08DR9M7KR/ref=sr_1_6?keywords=La+Mer+Powder+Brush+-+2+g&amp;qid=1695259342&amp;sr=8-6", "https://www.amazon.com/Luxspire-Powder-Mineral-Foundation-Blending/dp/B08DR9M7KR/ref=sr_1_6?keywords=La+Mer+Powder+Brush+-+2+g&amp;qid=1695259342&amp;sr=8-6")</f>
        <v>https://www.amazon.com/Luxspire-Powder-Mineral-Foundation-Blending/dp/B08DR9M7KR/ref=sr_1_6?keywords=La+Mer+Powder+Brush+-+2+g&amp;qid=1695259342&amp;sr=8-6</v>
      </c>
      <c r="F2074" t="s">
        <v>5073</v>
      </c>
      <c r="G2074" t="e">
        <f ca="1">IMAGE("https://prolisok-store.com/cdn/shop/products/31237RidMRL._SL1000_300x.jpg?v=1673891915")</f>
        <v>#NAME?</v>
      </c>
      <c r="H2074" t="e">
        <f ca="1">IMAGE("https://m.media-amazon.com/images/I/61-MJ5lvn9L._AC_UL320_.jpg")</f>
        <v>#NAME?</v>
      </c>
      <c r="I2074" t="s">
        <v>3476</v>
      </c>
      <c r="J2074">
        <v>6.29</v>
      </c>
      <c r="K2074" s="2" t="s">
        <v>5097</v>
      </c>
      <c r="L2074">
        <v>4.4000000000000004</v>
      </c>
      <c r="M2074">
        <v>1017</v>
      </c>
      <c r="O2074" t="s">
        <v>26</v>
      </c>
      <c r="P2074" t="s">
        <v>4853</v>
      </c>
      <c r="Q2074" t="s">
        <v>4854</v>
      </c>
    </row>
    <row r="2075" spans="1:17" ht="15.75" x14ac:dyDescent="0.25">
      <c r="A2075" s="3" t="str">
        <f>HYPERLINK("https://prolisok-store.com/collections/sale/products/la-mer-powder-brush-2-g", "https://prolisok-store.com/collections/sale/products/la-mer-powder-brush-2-g")</f>
        <v>https://prolisok-store.com/collections/sale/products/la-mer-powder-brush-2-g</v>
      </c>
      <c r="B2075" s="3" t="str">
        <f>HYPERLINK("https://prolisok-store.com/products/la-mer-powder-brush-2-g", "https://prolisok-store.com/products/la-mer-powder-brush-2-g")</f>
        <v>https://prolisok-store.com/products/la-mer-powder-brush-2-g</v>
      </c>
      <c r="C2075" t="s">
        <v>4849</v>
      </c>
      <c r="D2075" t="s">
        <v>5098</v>
      </c>
      <c r="E2075" s="3" t="str">
        <f>HYPERLINK("https://www.amazon.com/Powder-Mineral-Brush%EF%BC%8CFoundation-Makeup-Gold-Colorful/dp/B07SCQWSP1/ref=sr_1_10?keywords=La+Mer+Powder+Brush+-+2+g&amp;qid=1695259342&amp;sr=8-10", "https://www.amazon.com/Powder-Mineral-Brush%EF%BC%8CFoundation-Makeup-Gold-Colorful/dp/B07SCQWSP1/ref=sr_1_10?keywords=La+Mer+Powder+Brush+-+2+g&amp;qid=1695259342&amp;sr=8-10")</f>
        <v>https://www.amazon.com/Powder-Mineral-Brush%EF%BC%8CFoundation-Makeup-Gold-Colorful/dp/B07SCQWSP1/ref=sr_1_10?keywords=La+Mer+Powder+Brush+-+2+g&amp;qid=1695259342&amp;sr=8-10</v>
      </c>
      <c r="F2075" t="s">
        <v>5099</v>
      </c>
      <c r="G2075" t="e">
        <f ca="1">IMAGE("https://prolisok-store.com/cdn/shop/products/31237RidMRL._SL1000_300x.jpg?v=1673891915")</f>
        <v>#NAME?</v>
      </c>
      <c r="H2075" t="e">
        <f ca="1">IMAGE("https://m.media-amazon.com/images/I/21bz9QZpuvL._AC_UL320_.jpg")</f>
        <v>#NAME?</v>
      </c>
      <c r="I2075" t="s">
        <v>3476</v>
      </c>
      <c r="J2075">
        <v>5.89</v>
      </c>
      <c r="K2075" s="2" t="s">
        <v>3168</v>
      </c>
      <c r="L2075">
        <v>4.5999999999999996</v>
      </c>
      <c r="M2075">
        <v>1110</v>
      </c>
      <c r="O2075" t="s">
        <v>26</v>
      </c>
      <c r="P2075" t="s">
        <v>4853</v>
      </c>
      <c r="Q2075" t="s">
        <v>4854</v>
      </c>
    </row>
    <row r="2076" spans="1:17" ht="15.75" x14ac:dyDescent="0.25">
      <c r="A2076" s="3" t="str">
        <f>HYPERLINK("https://prolisok-store.com/collections/hair-care/products/bed-head-men-by-tigi-pure-texture-molding-paste-2-93-oz-gold-packaging", "https://prolisok-store.com/collections/hair-care/products/bed-head-men-by-tigi-pure-texture-molding-paste-2-93-oz-gold-packaging")</f>
        <v>https://prolisok-store.com/collections/hair-care/products/bed-head-men-by-tigi-pure-texture-molding-paste-2-93-oz-gold-packaging</v>
      </c>
      <c r="B2076" s="3" t="str">
        <f>HYPERLINK("https://prolisok-store.com/products/bed-head-men-by-tigi-pure-texture-molding-paste-2-93-oz-gold-packaging", "https://prolisok-store.com/products/bed-head-men-by-tigi-pure-texture-molding-paste-2-93-oz-gold-packaging")</f>
        <v>https://prolisok-store.com/products/bed-head-men-by-tigi-pure-texture-molding-paste-2-93-oz-gold-packaging</v>
      </c>
      <c r="C2076" t="s">
        <v>5100</v>
      </c>
      <c r="D2076" t="s">
        <v>5101</v>
      </c>
      <c r="E2076" s="3" t="str">
        <f>HYPERLINK("https://www.amazon.com/TIGI-Head-Texture-Molding-Paste/dp/B01IAFDKG2/ref=sr_1_1?keywords=Bed+head+men+by+tigi+pure+texture+molding+paste+2.93+oz+%28gold+packaging%29&amp;qid=1695259380&amp;sr=8-1", "https://www.amazon.com/TIGI-Head-Texture-Molding-Paste/dp/B01IAFDKG2/ref=sr_1_1?keywords=Bed+head+men+by+tigi+pure+texture+molding+paste+2.93+oz+%28gold+packaging%29&amp;qid=1695259380&amp;sr=8-1")</f>
        <v>https://www.amazon.com/TIGI-Head-Texture-Molding-Paste/dp/B01IAFDKG2/ref=sr_1_1?keywords=Bed+head+men+by+tigi+pure+texture+molding+paste+2.93+oz+%28gold+packaging%29&amp;qid=1695259380&amp;sr=8-1</v>
      </c>
      <c r="F2076" t="s">
        <v>5102</v>
      </c>
      <c r="G2076" t="e">
        <f ca="1">IMAGE("https://prolisok-store.com/cdn/shop/products/276239_300x.jpg?v=1690900115")</f>
        <v>#NAME?</v>
      </c>
      <c r="H2076" t="e">
        <f ca="1">IMAGE("https://m.media-amazon.com/images/I/712wEk5S0lL._AC_UL320_.jpg")</f>
        <v>#NAME?</v>
      </c>
      <c r="I2076" t="s">
        <v>5103</v>
      </c>
      <c r="J2076">
        <v>89.95</v>
      </c>
      <c r="K2076" s="2" t="s">
        <v>5104</v>
      </c>
      <c r="L2076">
        <v>5</v>
      </c>
      <c r="M2076">
        <v>6</v>
      </c>
      <c r="O2076" t="s">
        <v>26</v>
      </c>
      <c r="P2076" t="s">
        <v>39</v>
      </c>
      <c r="Q2076" t="s">
        <v>5105</v>
      </c>
    </row>
    <row r="2077" spans="1:17" ht="15.75" x14ac:dyDescent="0.25">
      <c r="A2077" s="3" t="str">
        <f>HYPERLINK("https://prolisok-store.com/collections/hair-care/products/bed-head-by-tigi-urban-antidotes-recovery-shampoo-2-5-oz", "https://prolisok-store.com/collections/hair-care/products/bed-head-by-tigi-urban-antidotes-recovery-shampoo-2-5-oz")</f>
        <v>https://prolisok-store.com/collections/hair-care/products/bed-head-by-tigi-urban-antidotes-recovery-shampoo-2-5-oz</v>
      </c>
      <c r="B2077" s="3" t="str">
        <f>HYPERLINK("https://prolisok-store.com/products/bed-head-by-tigi-urban-antidotes-recovery-shampoo-2-5-oz", "https://prolisok-store.com/products/bed-head-by-tigi-urban-antidotes-recovery-shampoo-2-5-oz")</f>
        <v>https://prolisok-store.com/products/bed-head-by-tigi-urban-antidotes-recovery-shampoo-2-5-oz</v>
      </c>
      <c r="C2077" t="s">
        <v>5106</v>
      </c>
      <c r="D2077" t="s">
        <v>5107</v>
      </c>
      <c r="E2077" s="3" t="str">
        <f>HYPERLINK("https://www.amazon.com/Bundle-4-Items-Anti-dote-Recovery-Conditioner/dp/B077GY53L3/ref=sr_1_5?keywords=bed+head+by+tigi+urban+antidotes+recovery+shampoo+2.5+oz&amp;qid=1695259374&amp;sr=8-5", "https://www.amazon.com/Bundle-4-Items-Anti-dote-Recovery-Conditioner/dp/B077GY53L3/ref=sr_1_5?keywords=bed+head+by+tigi+urban+antidotes+recovery+shampoo+2.5+oz&amp;qid=1695259374&amp;sr=8-5")</f>
        <v>https://www.amazon.com/Bundle-4-Items-Anti-dote-Recovery-Conditioner/dp/B077GY53L3/ref=sr_1_5?keywords=bed+head+by+tigi+urban+antidotes+recovery+shampoo+2.5+oz&amp;qid=1695259374&amp;sr=8-5</v>
      </c>
      <c r="F2077" t="s">
        <v>5108</v>
      </c>
      <c r="G2077" t="e">
        <f ca="1">IMAGE("https://prolisok-store.com/cdn/shop/products/342172_300x.jpg?v=1690899918")</f>
        <v>#NAME?</v>
      </c>
      <c r="H2077" t="e">
        <f ca="1">IMAGE("https://m.media-amazon.com/images/I/619RLTYr9yL._AC_UL320_.jpg")</f>
        <v>#NAME?</v>
      </c>
      <c r="I2077" t="s">
        <v>5109</v>
      </c>
      <c r="J2077">
        <v>35.22</v>
      </c>
      <c r="K2077" s="2" t="s">
        <v>5110</v>
      </c>
      <c r="L2077">
        <v>4.0999999999999996</v>
      </c>
      <c r="M2077">
        <v>73</v>
      </c>
      <c r="O2077" t="s">
        <v>26</v>
      </c>
      <c r="P2077" t="s">
        <v>39</v>
      </c>
      <c r="Q2077" t="s">
        <v>5111</v>
      </c>
    </row>
    <row r="2078" spans="1:17" ht="15.75" x14ac:dyDescent="0.25">
      <c r="A2078" s="3" t="str">
        <f>HYPERLINK("https://prolisok-store.com/collections/hair-care/products/bed-head-by-tigi-masterpiece-extra-strong-hold-hairspray-2-4-oz", "https://prolisok-store.com/collections/hair-care/products/bed-head-by-tigi-masterpiece-extra-strong-hold-hairspray-2-4-oz")</f>
        <v>https://prolisok-store.com/collections/hair-care/products/bed-head-by-tigi-masterpiece-extra-strong-hold-hairspray-2-4-oz</v>
      </c>
      <c r="B2078" s="3" t="str">
        <f>HYPERLINK("https://prolisok-store.com/products/bed-head-by-tigi-masterpiece-extra-strong-hold-hairspray-2-4-oz", "https://prolisok-store.com/products/bed-head-by-tigi-masterpiece-extra-strong-hold-hairspray-2-4-oz")</f>
        <v>https://prolisok-store.com/products/bed-head-by-tigi-masterpiece-extra-strong-hold-hairspray-2-4-oz</v>
      </c>
      <c r="C2078" t="s">
        <v>5112</v>
      </c>
      <c r="D2078" t="s">
        <v>5113</v>
      </c>
      <c r="E2078" s="3" t="str">
        <f>HYPERLINK("https://www.amazon.com/Tigi-Head-Extra-Strong-Hairspray/dp/B09BK8VPKS/ref=sr_1_10?keywords=Bed+head+by+tigi+masterpiece+extra+strong+hold+hairspray+2.4+oz&amp;qid=1695259386&amp;sr=8-10", "https://www.amazon.com/Tigi-Head-Extra-Strong-Hairspray/dp/B09BK8VPKS/ref=sr_1_10?keywords=Bed+head+by+tigi+masterpiece+extra+strong+hold+hairspray+2.4+oz&amp;qid=1695259386&amp;sr=8-10")</f>
        <v>https://www.amazon.com/Tigi-Head-Extra-Strong-Hairspray/dp/B09BK8VPKS/ref=sr_1_10?keywords=Bed+head+by+tigi+masterpiece+extra+strong+hold+hairspray+2.4+oz&amp;qid=1695259386&amp;sr=8-10</v>
      </c>
      <c r="F2078" t="s">
        <v>5114</v>
      </c>
      <c r="G2078" t="e">
        <f ca="1">IMAGE("https://prolisok-store.com/cdn/shop/products/416058_300x.jpg?v=1690900013")</f>
        <v>#NAME?</v>
      </c>
      <c r="H2078" t="e">
        <f ca="1">IMAGE("https://m.media-amazon.com/images/I/71bV7L-WqVL._AC_UL320_.jpg")</f>
        <v>#NAME?</v>
      </c>
      <c r="I2078" t="s">
        <v>5115</v>
      </c>
      <c r="J2078">
        <v>47.74</v>
      </c>
      <c r="K2078" s="2" t="s">
        <v>5116</v>
      </c>
      <c r="L2078">
        <v>4.7</v>
      </c>
      <c r="M2078">
        <v>2260</v>
      </c>
      <c r="O2078" t="s">
        <v>26</v>
      </c>
      <c r="P2078" t="s">
        <v>39</v>
      </c>
      <c r="Q2078" t="s">
        <v>5117</v>
      </c>
    </row>
    <row r="2079" spans="1:17" ht="15.75" x14ac:dyDescent="0.25">
      <c r="A2079" s="3" t="str">
        <f>HYPERLINK("https://prolisok-store.com/collections/hair-care/products/bed-head-by-tigi-urban-antidotes-recovery-shampoo-2-5-oz", "https://prolisok-store.com/collections/hair-care/products/bed-head-by-tigi-urban-antidotes-recovery-shampoo-2-5-oz")</f>
        <v>https://prolisok-store.com/collections/hair-care/products/bed-head-by-tigi-urban-antidotes-recovery-shampoo-2-5-oz</v>
      </c>
      <c r="B2079" s="3" t="str">
        <f>HYPERLINK("https://prolisok-store.com/products/bed-head-by-tigi-urban-antidotes-recovery-shampoo-2-5-oz", "https://prolisok-store.com/products/bed-head-by-tigi-urban-antidotes-recovery-shampoo-2-5-oz")</f>
        <v>https://prolisok-store.com/products/bed-head-by-tigi-urban-antidotes-recovery-shampoo-2-5-oz</v>
      </c>
      <c r="C2079" t="s">
        <v>5106</v>
      </c>
      <c r="D2079" t="s">
        <v>5118</v>
      </c>
      <c r="E2079" s="3" t="str">
        <f>HYPERLINK("https://www.amazon.com/Urban-Antidotes-Tigi-Recovery-Competition/dp/B004ZBFOW4/ref=sr_1_9?keywords=bed+head+by+tigi+urban+antidotes+recovery+shampoo+2.5+oz&amp;qid=1695259374&amp;sr=8-9", "https://www.amazon.com/Urban-Antidotes-Tigi-Recovery-Competition/dp/B004ZBFOW4/ref=sr_1_9?keywords=bed+head+by+tigi+urban+antidotes+recovery+shampoo+2.5+oz&amp;qid=1695259374&amp;sr=8-9")</f>
        <v>https://www.amazon.com/Urban-Antidotes-Tigi-Recovery-Competition/dp/B004ZBFOW4/ref=sr_1_9?keywords=bed+head+by+tigi+urban+antidotes+recovery+shampoo+2.5+oz&amp;qid=1695259374&amp;sr=8-9</v>
      </c>
      <c r="F2079" t="s">
        <v>5119</v>
      </c>
      <c r="G2079" t="e">
        <f ca="1">IMAGE("https://prolisok-store.com/cdn/shop/products/342172_300x.jpg?v=1690899918")</f>
        <v>#NAME?</v>
      </c>
      <c r="H2079" t="e">
        <f ca="1">IMAGE("https://m.media-amazon.com/images/I/61FSQS2RNmL._AC_UL320_.jpg")</f>
        <v>#NAME?</v>
      </c>
      <c r="I2079" t="s">
        <v>5109</v>
      </c>
      <c r="J2079">
        <v>29.98</v>
      </c>
      <c r="K2079" s="2" t="s">
        <v>5120</v>
      </c>
      <c r="L2079">
        <v>4.3</v>
      </c>
      <c r="M2079">
        <v>454</v>
      </c>
      <c r="O2079" t="s">
        <v>26</v>
      </c>
      <c r="P2079" t="s">
        <v>39</v>
      </c>
      <c r="Q2079" t="s">
        <v>5111</v>
      </c>
    </row>
    <row r="2080" spans="1:17" ht="15.75" x14ac:dyDescent="0.25">
      <c r="A2080" s="3" t="str">
        <f>HYPERLINK("https://prolisok-store.com/collections/hair-care/products/catwalk-by-tigi-curls-rock-amplifier-5-oz", "https://prolisok-store.com/collections/hair-care/products/catwalk-by-tigi-curls-rock-amplifier-5-oz")</f>
        <v>https://prolisok-store.com/collections/hair-care/products/catwalk-by-tigi-curls-rock-amplifier-5-oz</v>
      </c>
      <c r="B2080" s="3" t="str">
        <f>HYPERLINK("https://prolisok-store.com/products/catwalk-by-tigi-curls-rock-amplifier-5-oz", "https://prolisok-store.com/products/catwalk-by-tigi-curls-rock-amplifier-5-oz")</f>
        <v>https://prolisok-store.com/products/catwalk-by-tigi-curls-rock-amplifier-5-oz</v>
      </c>
      <c r="C2080" t="s">
        <v>5121</v>
      </c>
      <c r="D2080" t="s">
        <v>5122</v>
      </c>
      <c r="E2080" s="3" t="str">
        <f>HYPERLINK("https://www.amazon.com/Catwalk-Curls-Rock-Amplifier-5-07ounce/dp/B00O57Y3ZM/ref=sr_1_5?keywords=Catwalk+by+tigi+curls+rock+amplifier+5+oz&amp;qid=1695259398&amp;sr=8-5", "https://www.amazon.com/Catwalk-Curls-Rock-Amplifier-5-07ounce/dp/B00O57Y3ZM/ref=sr_1_5?keywords=Catwalk+by+tigi+curls+rock+amplifier+5+oz&amp;qid=1695259398&amp;sr=8-5")</f>
        <v>https://www.amazon.com/Catwalk-Curls-Rock-Amplifier-5-07ounce/dp/B00O57Y3ZM/ref=sr_1_5?keywords=Catwalk+by+tigi+curls+rock+amplifier+5+oz&amp;qid=1695259398&amp;sr=8-5</v>
      </c>
      <c r="F2080" t="s">
        <v>5123</v>
      </c>
      <c r="G2080" t="e">
        <f ca="1">IMAGE("https://prolisok-store.com/cdn/shop/products/191298_300x.jpg?v=1690900062")</f>
        <v>#NAME?</v>
      </c>
      <c r="H2080" t="e">
        <f ca="1">IMAGE("https://m.media-amazon.com/images/I/71HghBbQLEL._AC_UL320_.jpg")</f>
        <v>#NAME?</v>
      </c>
      <c r="I2080" t="s">
        <v>5124</v>
      </c>
      <c r="J2080">
        <v>87.17</v>
      </c>
      <c r="K2080" s="2" t="s">
        <v>5125</v>
      </c>
      <c r="L2080">
        <v>4.8</v>
      </c>
      <c r="M2080">
        <v>2051</v>
      </c>
      <c r="O2080" t="s">
        <v>26</v>
      </c>
      <c r="P2080" t="s">
        <v>39</v>
      </c>
      <c r="Q2080" t="s">
        <v>5126</v>
      </c>
    </row>
    <row r="2081" spans="1:17" ht="15.75" x14ac:dyDescent="0.25">
      <c r="A2081" s="3" t="str">
        <f>HYPERLINK("https://prolisok-store.com/collections/hair-care/products/bed-head-by-tigi-urban-antidotes-resurrection-shampoo-2-5-oz", "https://prolisok-store.com/collections/hair-care/products/bed-head-by-tigi-urban-antidotes-resurrection-shampoo-2-5-oz")</f>
        <v>https://prolisok-store.com/collections/hair-care/products/bed-head-by-tigi-urban-antidotes-resurrection-shampoo-2-5-oz</v>
      </c>
      <c r="B2081" s="3" t="str">
        <f>HYPERLINK("https://prolisok-store.com/products/bed-head-by-tigi-urban-antidotes-resurrection-shampoo-2-5-oz", "https://prolisok-store.com/products/bed-head-by-tigi-urban-antidotes-resurrection-shampoo-2-5-oz")</f>
        <v>https://prolisok-store.com/products/bed-head-by-tigi-urban-antidotes-resurrection-shampoo-2-5-oz</v>
      </c>
      <c r="C2081" t="s">
        <v>5127</v>
      </c>
      <c r="D2081" t="s">
        <v>5128</v>
      </c>
      <c r="E2081" s="3" t="str">
        <f>HYPERLINK("https://www.amazon.com/Tigi-Urban-Resurrection-Shampoo-25-36oz/dp/B00JVGQP0I/ref=sr_1_6?keywords=Bed+head+by+tigi+urban+anti+dotes+resurrection+shampoo+2.5+oz&amp;qid=1695259368&amp;sr=8-6", "https://www.amazon.com/Tigi-Urban-Resurrection-Shampoo-25-36oz/dp/B00JVGQP0I/ref=sr_1_6?keywords=Bed+head+by+tigi+urban+anti+dotes+resurrection+shampoo+2.5+oz&amp;qid=1695259368&amp;sr=8-6")</f>
        <v>https://www.amazon.com/Tigi-Urban-Resurrection-Shampoo-25-36oz/dp/B00JVGQP0I/ref=sr_1_6?keywords=Bed+head+by+tigi+urban+anti+dotes+resurrection+shampoo+2.5+oz&amp;qid=1695259368&amp;sr=8-6</v>
      </c>
      <c r="F2081" t="s">
        <v>5129</v>
      </c>
      <c r="G2081" t="e">
        <f ca="1">IMAGE("https://prolisok-store.com/cdn/shop/products/342174_300x.jpg?v=1690899923")</f>
        <v>#NAME?</v>
      </c>
      <c r="H2081" t="e">
        <f ca="1">IMAGE("https://m.media-amazon.com/images/I/71mqEYYW7DL._AC_UL320_.jpg")</f>
        <v>#NAME?</v>
      </c>
      <c r="I2081" t="s">
        <v>5109</v>
      </c>
      <c r="J2081">
        <v>27</v>
      </c>
      <c r="K2081" s="2" t="s">
        <v>5130</v>
      </c>
      <c r="L2081">
        <v>4.8</v>
      </c>
      <c r="M2081">
        <v>228</v>
      </c>
      <c r="O2081" t="s">
        <v>26</v>
      </c>
      <c r="P2081" t="s">
        <v>39</v>
      </c>
      <c r="Q2081" t="s">
        <v>5131</v>
      </c>
    </row>
    <row r="2082" spans="1:17" ht="15.75" x14ac:dyDescent="0.25">
      <c r="A2082" s="3" t="str">
        <f>HYPERLINK("https://prolisok-store.com/collections/hair-care/products/bed-head-by-tigi-manipulator-2-oz", "https://prolisok-store.com/collections/hair-care/products/bed-head-by-tigi-manipulator-2-oz")</f>
        <v>https://prolisok-store.com/collections/hair-care/products/bed-head-by-tigi-manipulator-2-oz</v>
      </c>
      <c r="B2082" s="3" t="str">
        <f>HYPERLINK("https://prolisok-store.com/products/bed-head-by-tigi-manipulator-2-oz", "https://prolisok-store.com/products/bed-head-by-tigi-manipulator-2-oz")</f>
        <v>https://prolisok-store.com/products/bed-head-by-tigi-manipulator-2-oz</v>
      </c>
      <c r="C2082" t="s">
        <v>5132</v>
      </c>
      <c r="D2082" t="s">
        <v>5133</v>
      </c>
      <c r="E2082" s="3" t="str">
        <f>HYPERLINK("https://www.amazon.com/TIGI-Head-Manipulator-Texture-Paste/dp/B01IAEN982/ref=sr_1_7?keywords=Bed+head+by+tigi+manipulator+2+oz&amp;qid=1695259393&amp;sr=8-7", "https://www.amazon.com/TIGI-Head-Manipulator-Texture-Paste/dp/B01IAEN982/ref=sr_1_7?keywords=Bed+head+by+tigi+manipulator+2+oz&amp;qid=1695259393&amp;sr=8-7")</f>
        <v>https://www.amazon.com/TIGI-Head-Manipulator-Texture-Paste/dp/B01IAEN982/ref=sr_1_7?keywords=Bed+head+by+tigi+manipulator+2+oz&amp;qid=1695259393&amp;sr=8-7</v>
      </c>
      <c r="F2082" t="s">
        <v>5134</v>
      </c>
      <c r="G2082" t="e">
        <f ca="1">IMAGE("https://prolisok-store.com/cdn/shop/products/131719_300x.jpg?v=1690899959")</f>
        <v>#NAME?</v>
      </c>
      <c r="H2082" t="e">
        <f ca="1">IMAGE("https://m.media-amazon.com/images/I/71ywc6YZMcL._AC_UL320_.jpg")</f>
        <v>#NAME?</v>
      </c>
      <c r="I2082" t="s">
        <v>5135</v>
      </c>
      <c r="J2082">
        <v>84.8</v>
      </c>
      <c r="K2082" s="2" t="s">
        <v>5136</v>
      </c>
      <c r="L2082">
        <v>4.5999999999999996</v>
      </c>
      <c r="M2082">
        <v>16</v>
      </c>
      <c r="O2082" t="s">
        <v>26</v>
      </c>
      <c r="P2082" t="s">
        <v>39</v>
      </c>
      <c r="Q2082" t="s">
        <v>5137</v>
      </c>
    </row>
    <row r="2083" spans="1:17" ht="15.75" x14ac:dyDescent="0.25">
      <c r="A2083" s="3" t="str">
        <f>HYPERLINK("https://prolisok-store.com/collections/hair-care/products/bed-head-by-tigi-urban-antidotes-recovery-shampoo-2-5-oz", "https://prolisok-store.com/collections/hair-care/products/bed-head-by-tigi-urban-antidotes-recovery-shampoo-2-5-oz")</f>
        <v>https://prolisok-store.com/collections/hair-care/products/bed-head-by-tigi-urban-antidotes-recovery-shampoo-2-5-oz</v>
      </c>
      <c r="B2083" s="3" t="str">
        <f>HYPERLINK("https://prolisok-store.com/products/bed-head-by-tigi-urban-antidotes-recovery-shampoo-2-5-oz", "https://prolisok-store.com/products/bed-head-by-tigi-urban-antidotes-recovery-shampoo-2-5-oz")</f>
        <v>https://prolisok-store.com/products/bed-head-by-tigi-urban-antidotes-recovery-shampoo-2-5-oz</v>
      </c>
      <c r="C2083" t="s">
        <v>5106</v>
      </c>
      <c r="D2083" t="s">
        <v>5138</v>
      </c>
      <c r="E2083" s="3" t="str">
        <f>HYPERLINK("https://www.amazon.com/Anti-dote-PFZoVz-Recovery-Shampoo-Conditioner/dp/B07487K2RB/ref=sr_1_7?keywords=bed+head+by+tigi+urban+antidotes+recovery+shampoo+2.5+oz&amp;qid=1695259374&amp;sr=8-7", "https://www.amazon.com/Anti-dote-PFZoVz-Recovery-Shampoo-Conditioner/dp/B07487K2RB/ref=sr_1_7?keywords=bed+head+by+tigi+urban+antidotes+recovery+shampoo+2.5+oz&amp;qid=1695259374&amp;sr=8-7")</f>
        <v>https://www.amazon.com/Anti-dote-PFZoVz-Recovery-Shampoo-Conditioner/dp/B07487K2RB/ref=sr_1_7?keywords=bed+head+by+tigi+urban+antidotes+recovery+shampoo+2.5+oz&amp;qid=1695259374&amp;sr=8-7</v>
      </c>
      <c r="F2083" t="s">
        <v>5139</v>
      </c>
      <c r="G2083" t="e">
        <f ca="1">IMAGE("https://prolisok-store.com/cdn/shop/products/342172_300x.jpg?v=1690899918")</f>
        <v>#NAME?</v>
      </c>
      <c r="H2083" t="e">
        <f ca="1">IMAGE("https://m.media-amazon.com/images/I/71Wyt4QQhXL._AC_UL320_.jpg")</f>
        <v>#NAME?</v>
      </c>
      <c r="I2083" t="s">
        <v>5109</v>
      </c>
      <c r="J2083">
        <v>25.72</v>
      </c>
      <c r="K2083" s="2" t="s">
        <v>5140</v>
      </c>
      <c r="L2083">
        <v>4.7</v>
      </c>
      <c r="M2083">
        <v>1085</v>
      </c>
      <c r="O2083" t="s">
        <v>26</v>
      </c>
      <c r="P2083" t="s">
        <v>39</v>
      </c>
      <c r="Q2083" t="s">
        <v>5111</v>
      </c>
    </row>
    <row r="2084" spans="1:17" ht="15.75" x14ac:dyDescent="0.25">
      <c r="A2084" s="3" t="str">
        <f>HYPERLINK("https://prolisok-store.com/collections/hair-care/products/bed-head-by-tigi-urban-antidotes-recovery-shampoo-2-5-oz", "https://prolisok-store.com/collections/hair-care/products/bed-head-by-tigi-urban-antidotes-recovery-shampoo-2-5-oz")</f>
        <v>https://prolisok-store.com/collections/hair-care/products/bed-head-by-tigi-urban-antidotes-recovery-shampoo-2-5-oz</v>
      </c>
      <c r="B2084" s="3" t="str">
        <f>HYPERLINK("https://prolisok-store.com/products/bed-head-by-tigi-urban-antidotes-recovery-shampoo-2-5-oz", "https://prolisok-store.com/products/bed-head-by-tigi-urban-antidotes-recovery-shampoo-2-5-oz")</f>
        <v>https://prolisok-store.com/products/bed-head-by-tigi-urban-antidotes-recovery-shampoo-2-5-oz</v>
      </c>
      <c r="C2084" t="s">
        <v>5106</v>
      </c>
      <c r="D2084" t="s">
        <v>5141</v>
      </c>
      <c r="E2084" s="3" t="str">
        <f>HYPERLINK("https://www.amazon.com/TIGI-Anti-dote-Recovery-Shampoo-Conditioner/dp/B003T1G0XI/ref=sr_1_1?keywords=bed+head+by+tigi+urban+antidotes+recovery+shampoo+2.5+oz&amp;qid=1695259374&amp;sr=8-1", "https://www.amazon.com/TIGI-Anti-dote-Recovery-Shampoo-Conditioner/dp/B003T1G0XI/ref=sr_1_1?keywords=bed+head+by+tigi+urban+antidotes+recovery+shampoo+2.5+oz&amp;qid=1695259374&amp;sr=8-1")</f>
        <v>https://www.amazon.com/TIGI-Anti-dote-Recovery-Shampoo-Conditioner/dp/B003T1G0XI/ref=sr_1_1?keywords=bed+head+by+tigi+urban+antidotes+recovery+shampoo+2.5+oz&amp;qid=1695259374&amp;sr=8-1</v>
      </c>
      <c r="F2084" t="s">
        <v>5142</v>
      </c>
      <c r="G2084" t="e">
        <f ca="1">IMAGE("https://prolisok-store.com/cdn/shop/products/342172_300x.jpg?v=1690899918")</f>
        <v>#NAME?</v>
      </c>
      <c r="H2084" t="e">
        <f ca="1">IMAGE("https://m.media-amazon.com/images/I/71gvFsIeyLL._AC_UL320_.jpg")</f>
        <v>#NAME?</v>
      </c>
      <c r="I2084" t="s">
        <v>5109</v>
      </c>
      <c r="J2084">
        <v>23.95</v>
      </c>
      <c r="K2084" s="2" t="s">
        <v>5143</v>
      </c>
      <c r="L2084">
        <v>4.5999999999999996</v>
      </c>
      <c r="M2084">
        <v>7980</v>
      </c>
      <c r="O2084" t="s">
        <v>26</v>
      </c>
      <c r="P2084" t="s">
        <v>39</v>
      </c>
      <c r="Q2084" t="s">
        <v>5111</v>
      </c>
    </row>
    <row r="2085" spans="1:17" ht="15.75" x14ac:dyDescent="0.25">
      <c r="A2085" s="3" t="str">
        <f>HYPERLINK("https://prolisok-store.com/collections/hair-care/products/bed-head-by-tigi-small-talk-thickening-cream-4-23-oz", "https://prolisok-store.com/collections/hair-care/products/bed-head-by-tigi-small-talk-thickening-cream-4-23-oz")</f>
        <v>https://prolisok-store.com/collections/hair-care/products/bed-head-by-tigi-small-talk-thickening-cream-4-23-oz</v>
      </c>
      <c r="B2085" s="3" t="str">
        <f>HYPERLINK("https://prolisok-store.com/products/bed-head-by-tigi-small-talk-thickening-cream-4-23-oz", "https://prolisok-store.com/products/bed-head-by-tigi-small-talk-thickening-cream-4-23-oz")</f>
        <v>https://prolisok-store.com/products/bed-head-by-tigi-small-talk-thickening-cream-4-23-oz</v>
      </c>
      <c r="C2085" t="s">
        <v>5144</v>
      </c>
      <c r="D2085" t="s">
        <v>5145</v>
      </c>
      <c r="E2085" s="3" t="str">
        <f>HYPERLINK("https://www.amazon.com/TIGI-Head-Small-Thickifier-Packs/dp/B00EV2XY7E/ref=sr_1_5?keywords=Bed+head+by+tigi+small+talk+thickening+cream+4.23+oz&amp;qid=1695259387&amp;sr=8-5", "https://www.amazon.com/TIGI-Head-Small-Thickifier-Packs/dp/B00EV2XY7E/ref=sr_1_5?keywords=Bed+head+by+tigi+small+talk+thickening+cream+4.23+oz&amp;qid=1695259387&amp;sr=8-5")</f>
        <v>https://www.amazon.com/TIGI-Head-Small-Thickifier-Packs/dp/B00EV2XY7E/ref=sr_1_5?keywords=Bed+head+by+tigi+small+talk+thickening+cream+4.23+oz&amp;qid=1695259387&amp;sr=8-5</v>
      </c>
      <c r="F2085" t="s">
        <v>5146</v>
      </c>
      <c r="G2085" t="e">
        <f ca="1">IMAGE("https://prolisok-store.com/cdn/shop/products/416090_300x.jpg?v=1690900049")</f>
        <v>#NAME?</v>
      </c>
      <c r="H2085" t="e">
        <f ca="1">IMAGE("https://m.media-amazon.com/images/I/519+BMGgbOL._AC_UL320_.jpg")</f>
        <v>#NAME?</v>
      </c>
      <c r="I2085" t="s">
        <v>5115</v>
      </c>
      <c r="J2085">
        <v>37.51</v>
      </c>
      <c r="K2085" s="2" t="s">
        <v>5147</v>
      </c>
      <c r="L2085">
        <v>4.7</v>
      </c>
      <c r="M2085">
        <v>824</v>
      </c>
      <c r="O2085" t="s">
        <v>26</v>
      </c>
      <c r="P2085" t="s">
        <v>39</v>
      </c>
      <c r="Q2085" t="s">
        <v>5148</v>
      </c>
    </row>
    <row r="2086" spans="1:17" ht="15.75" x14ac:dyDescent="0.25">
      <c r="A2086" s="3" t="str">
        <f>HYPERLINK("https://prolisok-store.com/collections/hair-care/products/catwalk-by-tigi-curls-rock-amplifier-5-oz", "https://prolisok-store.com/collections/hair-care/products/catwalk-by-tigi-curls-rock-amplifier-5-oz")</f>
        <v>https://prolisok-store.com/collections/hair-care/products/catwalk-by-tigi-curls-rock-amplifier-5-oz</v>
      </c>
      <c r="B2086" s="3" t="str">
        <f>HYPERLINK("https://prolisok-store.com/products/catwalk-by-tigi-curls-rock-amplifier-5-oz", "https://prolisok-store.com/products/catwalk-by-tigi-curls-rock-amplifier-5-oz")</f>
        <v>https://prolisok-store.com/products/catwalk-by-tigi-curls-rock-amplifier-5-oz</v>
      </c>
      <c r="C2086" t="s">
        <v>5121</v>
      </c>
      <c r="D2086" t="s">
        <v>5149</v>
      </c>
      <c r="E2086" s="3" t="str">
        <f>HYPERLINK("https://www.amazon.com/TIGI-Catwalk-Curls-Rock-Amplifier/dp/B0C37XXY3T/ref=sr_1_4?keywords=Catwalk+by+tigi+curls+rock+amplifier+5+oz&amp;qid=1695259398&amp;sr=8-4", "https://www.amazon.com/TIGI-Catwalk-Curls-Rock-Amplifier/dp/B0C37XXY3T/ref=sr_1_4?keywords=Catwalk+by+tigi+curls+rock+amplifier+5+oz&amp;qid=1695259398&amp;sr=8-4")</f>
        <v>https://www.amazon.com/TIGI-Catwalk-Curls-Rock-Amplifier/dp/B0C37XXY3T/ref=sr_1_4?keywords=Catwalk+by+tigi+curls+rock+amplifier+5+oz&amp;qid=1695259398&amp;sr=8-4</v>
      </c>
      <c r="F2086" t="s">
        <v>5150</v>
      </c>
      <c r="G2086" t="e">
        <f ca="1">IMAGE("https://prolisok-store.com/cdn/shop/products/191298_300x.jpg?v=1690900062")</f>
        <v>#NAME?</v>
      </c>
      <c r="H2086" t="e">
        <f ca="1">IMAGE("https://m.media-amazon.com/images/I/61cczGPnzkL._AC_UL320_.jpg")</f>
        <v>#NAME?</v>
      </c>
      <c r="I2086" t="s">
        <v>5124</v>
      </c>
      <c r="J2086">
        <v>62.71</v>
      </c>
      <c r="K2086" s="2" t="s">
        <v>5151</v>
      </c>
      <c r="L2086">
        <v>5</v>
      </c>
      <c r="M2086">
        <v>4</v>
      </c>
      <c r="O2086" t="s">
        <v>26</v>
      </c>
      <c r="P2086" t="s">
        <v>39</v>
      </c>
      <c r="Q2086" t="s">
        <v>5126</v>
      </c>
    </row>
    <row r="2087" spans="1:17" ht="15.75" x14ac:dyDescent="0.25">
      <c r="A2087" s="3" t="str">
        <f>HYPERLINK("https://prolisok-store.com/collections/hair-care/products/bed-head-by-tigi-manipulator-matte-2-oz", "https://prolisok-store.com/collections/hair-care/products/bed-head-by-tigi-manipulator-matte-2-oz")</f>
        <v>https://prolisok-store.com/collections/hair-care/products/bed-head-by-tigi-manipulator-matte-2-oz</v>
      </c>
      <c r="B2087" s="3" t="str">
        <f>HYPERLINK("https://prolisok-store.com/products/bed-head-by-tigi-manipulator-matte-2-oz", "https://prolisok-store.com/products/bed-head-by-tigi-manipulator-matte-2-oz")</f>
        <v>https://prolisok-store.com/products/bed-head-by-tigi-manipulator-matte-2-oz</v>
      </c>
      <c r="C2087" t="s">
        <v>5152</v>
      </c>
      <c r="D2087" t="s">
        <v>5153</v>
      </c>
      <c r="E2087" s="3" t="str">
        <f>HYPERLINK("https://www.amazon.com/TIGI-Head-Manipulator-Matte-Pack/dp/B01IAEVDEY/ref=sr_1_7?keywords=Bed+head+by+tigi+manipulator+matte+2+oz&amp;qid=1695259373&amp;sr=8-7", "https://www.amazon.com/TIGI-Head-Manipulator-Matte-Pack/dp/B01IAEVDEY/ref=sr_1_7?keywords=Bed+head+by+tigi+manipulator+matte+2+oz&amp;qid=1695259373&amp;sr=8-7")</f>
        <v>https://www.amazon.com/TIGI-Head-Manipulator-Matte-Pack/dp/B01IAEVDEY/ref=sr_1_7?keywords=Bed+head+by+tigi+manipulator+matte+2+oz&amp;qid=1695259373&amp;sr=8-7</v>
      </c>
      <c r="F2087" t="s">
        <v>5154</v>
      </c>
      <c r="G2087" t="e">
        <f ca="1">IMAGE("https://prolisok-store.com/cdn/shop/products/280792_300x.jpg?v=1690899952")</f>
        <v>#NAME?</v>
      </c>
      <c r="H2087" t="e">
        <f ca="1">IMAGE("https://m.media-amazon.com/images/I/71bkalGl1qL._AC_UL320_.jpg")</f>
        <v>#NAME?</v>
      </c>
      <c r="I2087" t="s">
        <v>5135</v>
      </c>
      <c r="J2087">
        <v>64.989999999999995</v>
      </c>
      <c r="K2087" s="2" t="s">
        <v>5155</v>
      </c>
      <c r="L2087">
        <v>3.9</v>
      </c>
      <c r="M2087">
        <v>2</v>
      </c>
      <c r="O2087" t="s">
        <v>26</v>
      </c>
      <c r="P2087" t="s">
        <v>39</v>
      </c>
      <c r="Q2087" t="s">
        <v>5156</v>
      </c>
    </row>
    <row r="2088" spans="1:17" ht="15.75" x14ac:dyDescent="0.25">
      <c r="A2088" s="3" t="str">
        <f>HYPERLINK("https://prolisok-store.com/collections/hair-care/products/catwalk-by-tigi-oatmeal-and-honey-shampoo-10-14-oz", "https://prolisok-store.com/collections/hair-care/products/catwalk-by-tigi-oatmeal-and-honey-shampoo-10-14-oz")</f>
        <v>https://prolisok-store.com/collections/hair-care/products/catwalk-by-tigi-oatmeal-and-honey-shampoo-10-14-oz</v>
      </c>
      <c r="B2088" s="3" t="str">
        <f>HYPERLINK("https://prolisok-store.com/products/catwalk-by-tigi-oatmeal-and-honey-shampoo-10-14-oz", "https://prolisok-store.com/products/catwalk-by-tigi-oatmeal-and-honey-shampoo-10-14-oz")</f>
        <v>https://prolisok-store.com/products/catwalk-by-tigi-oatmeal-and-honey-shampoo-10-14-oz</v>
      </c>
      <c r="C2088" t="s">
        <v>5157</v>
      </c>
      <c r="D2088" t="s">
        <v>5158</v>
      </c>
      <c r="E2088" s="3" t="str">
        <f>HYPERLINK("https://www.amazon.com/Tigi-Catwalk-Oatmeal-Conditioner-%C3%83%C6%92%C3%82%C2%A6%C3%83%C3%82%C3%83%C3%82%C3%83%C6%92%C3%82%C2%A5%C3%83%C3%82%C5%B8%C3%83%C3%82%C2%BA/dp/B01M0X10TH/ref=sr_1_10?keywords=Catwalk+by+tigi+oatmeal&amp;qid=1695259392&amp;sr=8-10", "https://www.amazon.com/Tigi-Catwalk-Oatmeal-Conditioner-%C3%83%C6%92%C3%82%C2%A6%C3%83%C3%82%C3%83%C3%82%C3%83%C6%92%C3%82%C2%A5%C3%83%C3%82%C5%B8%C3%83%C3%82%C2%BA/dp/B01M0X10TH/ref=sr_1_10?keywords=Catwalk+by+tigi+oatmeal&amp;qid=1695259392&amp;sr=8-10")</f>
        <v>https://www.amazon.com/Tigi-Catwalk-Oatmeal-Conditioner-%C3%83%C6%92%C3%82%C2%A6%C3%83%C3%82%C3%83%C3%82%C3%83%C6%92%C3%82%C2%A5%C3%83%C3%82%C5%B8%C3%83%C3%82%C2%BA/dp/B01M0X10TH/ref=sr_1_10?keywords=Catwalk+by+tigi+oatmeal&amp;qid=1695259392&amp;sr=8-10</v>
      </c>
      <c r="F2088" t="s">
        <v>5159</v>
      </c>
      <c r="G2088" t="e">
        <f ca="1">IMAGE("https://prolisok-store.com/cdn/shop/products/251312_300x.jpg?v=1690900066")</f>
        <v>#NAME?</v>
      </c>
      <c r="H2088" t="e">
        <f ca="1">IMAGE("https://m.media-amazon.com/images/I/41PA1SD8E+L._AC_UL320_.jpg")</f>
        <v>#NAME?</v>
      </c>
      <c r="I2088" t="s">
        <v>4318</v>
      </c>
      <c r="J2088">
        <v>48.99</v>
      </c>
      <c r="K2088" s="2" t="s">
        <v>5160</v>
      </c>
      <c r="L2088">
        <v>4.5</v>
      </c>
      <c r="M2088">
        <v>14</v>
      </c>
      <c r="O2088" t="s">
        <v>26</v>
      </c>
      <c r="P2088" t="s">
        <v>39</v>
      </c>
      <c r="Q2088" t="s">
        <v>5161</v>
      </c>
    </row>
    <row r="2089" spans="1:17" ht="15.75" x14ac:dyDescent="0.25">
      <c r="A2089" s="3" t="str">
        <f>HYPERLINK("https://prolisok-store.com/collections/hair-care/products/catwalk-by-tigi-oatmeal-and-honey-conditioner-8-45-oz", "https://prolisok-store.com/collections/hair-care/products/catwalk-by-tigi-oatmeal-and-honey-conditioner-8-45-oz")</f>
        <v>https://prolisok-store.com/collections/hair-care/products/catwalk-by-tigi-oatmeal-and-honey-conditioner-8-45-oz</v>
      </c>
      <c r="B2089" s="3" t="str">
        <f>HYPERLINK("https://prolisok-store.com/products/catwalk-by-tigi-oatmeal-and-honey-conditioner-8-45-oz", "https://prolisok-store.com/products/catwalk-by-tigi-oatmeal-and-honey-conditioner-8-45-oz")</f>
        <v>https://prolisok-store.com/products/catwalk-by-tigi-oatmeal-and-honey-conditioner-8-45-oz</v>
      </c>
      <c r="C2089" t="s">
        <v>5162</v>
      </c>
      <c r="D2089" t="s">
        <v>5158</v>
      </c>
      <c r="E2089" s="3" t="str">
        <f>HYPERLINK("https://www.amazon.com/Tigi-Catwalk-Oatmeal-Conditioner-%C3%83%C6%92%C3%82%C2%A6%C3%83%C3%82%C3%83%C3%82%C3%83%C6%92%C3%82%C2%A5%C3%83%C3%82%C5%B8%C3%83%C3%82%C2%BA/dp/B01M0X10TH/ref=sr_1_5?keywords=Catwalk+by+tigi+oatmeal&amp;qid=1695259368&amp;sr=8-5", "https://www.amazon.com/Tigi-Catwalk-Oatmeal-Conditioner-%C3%83%C6%92%C3%82%C2%A6%C3%83%C3%82%C3%83%C3%82%C3%83%C6%92%C3%82%C2%A5%C3%83%C3%82%C5%B8%C3%83%C3%82%C2%BA/dp/B01M0X10TH/ref=sr_1_5?keywords=Catwalk+by+tigi+oatmeal&amp;qid=1695259368&amp;sr=8-5")</f>
        <v>https://www.amazon.com/Tigi-Catwalk-Oatmeal-Conditioner-%C3%83%C6%92%C3%82%C2%A6%C3%83%C3%82%C3%83%C3%82%C3%83%C6%92%C3%82%C2%A5%C3%83%C3%82%C5%B8%C3%83%C3%82%C2%BA/dp/B01M0X10TH/ref=sr_1_5?keywords=Catwalk+by+tigi+oatmeal&amp;qid=1695259368&amp;sr=8-5</v>
      </c>
      <c r="F2089" t="s">
        <v>5159</v>
      </c>
      <c r="G2089" t="e">
        <f ca="1">IMAGE("https://prolisok-store.com/cdn/shop/products/251803_300x.jpg?v=1690900068")</f>
        <v>#NAME?</v>
      </c>
      <c r="H2089" t="e">
        <f ca="1">IMAGE("https://m.media-amazon.com/images/I/41PA1SD8E+L._AC_UL320_.jpg")</f>
        <v>#NAME?</v>
      </c>
      <c r="I2089" t="s">
        <v>4229</v>
      </c>
      <c r="J2089">
        <v>48.99</v>
      </c>
      <c r="K2089" s="2" t="s">
        <v>5163</v>
      </c>
      <c r="L2089">
        <v>4.5</v>
      </c>
      <c r="M2089">
        <v>14</v>
      </c>
      <c r="O2089" t="s">
        <v>26</v>
      </c>
      <c r="P2089" t="s">
        <v>39</v>
      </c>
      <c r="Q2089" t="s">
        <v>5164</v>
      </c>
    </row>
    <row r="2090" spans="1:17" ht="15.75" x14ac:dyDescent="0.25">
      <c r="A2090" s="3" t="str">
        <f>HYPERLINK("https://prolisok-store.com/collections/hair-care/products/bed-head-by-tigi-recovery-shampoo-3-38-oz", "https://prolisok-store.com/collections/hair-care/products/bed-head-by-tigi-recovery-shampoo-3-38-oz")</f>
        <v>https://prolisok-store.com/collections/hair-care/products/bed-head-by-tigi-recovery-shampoo-3-38-oz</v>
      </c>
      <c r="B2090" s="3" t="str">
        <f>HYPERLINK("https://prolisok-store.com/products/bed-head-by-tigi-recovery-shampoo-3-38-oz", "https://prolisok-store.com/products/bed-head-by-tigi-recovery-shampoo-3-38-oz")</f>
        <v>https://prolisok-store.com/products/bed-head-by-tigi-recovery-shampoo-3-38-oz</v>
      </c>
      <c r="C2090" t="s">
        <v>5165</v>
      </c>
      <c r="D2090" t="s">
        <v>5138</v>
      </c>
      <c r="E2090" s="3" t="str">
        <f>HYPERLINK("https://www.amazon.com/Anti-dote-PFZoVz-Recovery-Shampoo-Conditioner/dp/B07487K2RB/ref=sr_1_9?keywords=Bed+head+by+tigi+recovery+shampoo+3.38+oz&amp;qid=1695259383&amp;sr=8-9", "https://www.amazon.com/Anti-dote-PFZoVz-Recovery-Shampoo-Conditioner/dp/B07487K2RB/ref=sr_1_9?keywords=Bed+head+by+tigi+recovery+shampoo+3.38+oz&amp;qid=1695259383&amp;sr=8-9")</f>
        <v>https://www.amazon.com/Anti-dote-PFZoVz-Recovery-Shampoo-Conditioner/dp/B07487K2RB/ref=sr_1_9?keywords=Bed+head+by+tigi+recovery+shampoo+3.38+oz&amp;qid=1695259383&amp;sr=8-9</v>
      </c>
      <c r="F2090" t="s">
        <v>5139</v>
      </c>
      <c r="G2090" t="e">
        <f ca="1">IMAGE("https://prolisok-store.com/cdn/shop/products/416086_300x.jpg?v=1690900041")</f>
        <v>#NAME?</v>
      </c>
      <c r="H2090" t="e">
        <f ca="1">IMAGE("https://m.media-amazon.com/images/I/71Wyt4QQhXL._AC_UL320_.jpg")</f>
        <v>#NAME?</v>
      </c>
      <c r="I2090" t="s">
        <v>5166</v>
      </c>
      <c r="J2090">
        <v>25.72</v>
      </c>
      <c r="K2090" s="2" t="s">
        <v>5167</v>
      </c>
      <c r="L2090">
        <v>4.7</v>
      </c>
      <c r="M2090">
        <v>1085</v>
      </c>
      <c r="O2090" t="s">
        <v>26</v>
      </c>
      <c r="P2090" t="s">
        <v>39</v>
      </c>
      <c r="Q2090" t="s">
        <v>5168</v>
      </c>
    </row>
    <row r="2091" spans="1:17" ht="15.75" x14ac:dyDescent="0.25">
      <c r="A2091" s="3" t="str">
        <f>HYPERLINK("https://prolisok-store.com/collections/hair-care/products/bed-head-by-tigi-recovery-shampoo-3-38-oz", "https://prolisok-store.com/collections/hair-care/products/bed-head-by-tigi-recovery-shampoo-3-38-oz")</f>
        <v>https://prolisok-store.com/collections/hair-care/products/bed-head-by-tigi-recovery-shampoo-3-38-oz</v>
      </c>
      <c r="B2091" s="3" t="str">
        <f>HYPERLINK("https://prolisok-store.com/products/bed-head-by-tigi-recovery-shampoo-3-38-oz", "https://prolisok-store.com/products/bed-head-by-tigi-recovery-shampoo-3-38-oz")</f>
        <v>https://prolisok-store.com/products/bed-head-by-tigi-recovery-shampoo-3-38-oz</v>
      </c>
      <c r="C2091" t="s">
        <v>5165</v>
      </c>
      <c r="D2091" t="s">
        <v>5169</v>
      </c>
      <c r="E2091" s="3" t="str">
        <f>HYPERLINK("https://www.amazon.com/TIGI-Shampoo-Conditioner-Recovery-Prickly/dp/B0BRT9LM3J/ref=sr_1_6?keywords=Bed+head+by+tigi+recovery+shampoo+3.38+oz&amp;qid=1695259383&amp;sr=8-6", "https://www.amazon.com/TIGI-Shampoo-Conditioner-Recovery-Prickly/dp/B0BRT9LM3J/ref=sr_1_6?keywords=Bed+head+by+tigi+recovery+shampoo+3.38+oz&amp;qid=1695259383&amp;sr=8-6")</f>
        <v>https://www.amazon.com/TIGI-Shampoo-Conditioner-Recovery-Prickly/dp/B0BRT9LM3J/ref=sr_1_6?keywords=Bed+head+by+tigi+recovery+shampoo+3.38+oz&amp;qid=1695259383&amp;sr=8-6</v>
      </c>
      <c r="F2091" t="s">
        <v>5170</v>
      </c>
      <c r="G2091" t="e">
        <f ca="1">IMAGE("https://prolisok-store.com/cdn/shop/products/416086_300x.jpg?v=1690900041")</f>
        <v>#NAME?</v>
      </c>
      <c r="H2091" t="e">
        <f ca="1">IMAGE("https://m.media-amazon.com/images/I/71tWMdMnOHL._AC_UL320_.jpg")</f>
        <v>#NAME?</v>
      </c>
      <c r="I2091" t="s">
        <v>5166</v>
      </c>
      <c r="J2091">
        <v>24.99</v>
      </c>
      <c r="K2091" s="2" t="s">
        <v>5171</v>
      </c>
      <c r="L2091">
        <v>4.5999999999999996</v>
      </c>
      <c r="M2091">
        <v>410</v>
      </c>
      <c r="O2091" t="s">
        <v>26</v>
      </c>
      <c r="P2091" t="s">
        <v>39</v>
      </c>
      <c r="Q2091" t="s">
        <v>5168</v>
      </c>
    </row>
    <row r="2092" spans="1:17" ht="15.75" x14ac:dyDescent="0.25">
      <c r="A2092" s="3" t="str">
        <f>HYPERLINK("https://prolisok-store.com/collections/hair-care/products/bed-head-by-tigi-resurrection-conditioner-3-38-oz", "https://prolisok-store.com/collections/hair-care/products/bed-head-by-tigi-resurrection-conditioner-3-38-oz")</f>
        <v>https://prolisok-store.com/collections/hair-care/products/bed-head-by-tigi-resurrection-conditioner-3-38-oz</v>
      </c>
      <c r="B2092" s="3" t="str">
        <f>HYPERLINK("https://prolisok-store.com/products/bed-head-by-tigi-resurrection-conditioner-3-38-oz", "https://prolisok-store.com/products/bed-head-by-tigi-resurrection-conditioner-3-38-oz")</f>
        <v>https://prolisok-store.com/products/bed-head-by-tigi-resurrection-conditioner-3-38-oz</v>
      </c>
      <c r="C2092" t="s">
        <v>5172</v>
      </c>
      <c r="D2092" t="s">
        <v>5173</v>
      </c>
      <c r="E2092" s="3" t="str">
        <f>HYPERLINK("https://www.amazon.com/TIGI-Shampoo-Conditioner-Damaged-Resurrection/dp/B0BRTBN9PB/ref=sr_1_6?keywords=Bed+head+by+tigi+resurrection+conditioner+3.38+oz&amp;qid=1695259395&amp;sr=8-6", "https://www.amazon.com/TIGI-Shampoo-Conditioner-Damaged-Resurrection/dp/B0BRTBN9PB/ref=sr_1_6?keywords=Bed+head+by+tigi+resurrection+conditioner+3.38+oz&amp;qid=1695259395&amp;sr=8-6")</f>
        <v>https://www.amazon.com/TIGI-Shampoo-Conditioner-Damaged-Resurrection/dp/B0BRTBN9PB/ref=sr_1_6?keywords=Bed+head+by+tigi+resurrection+conditioner+3.38+oz&amp;qid=1695259395&amp;sr=8-6</v>
      </c>
      <c r="F2092" t="s">
        <v>5174</v>
      </c>
      <c r="G2092" t="e">
        <f ca="1">IMAGE("https://prolisok-store.com/cdn/shop/products/416087_300x.jpg?v=1690900043")</f>
        <v>#NAME?</v>
      </c>
      <c r="H2092" t="e">
        <f ca="1">IMAGE("https://m.media-amazon.com/images/I/716EfzSrDaL._AC_UL320_.jpg")</f>
        <v>#NAME?</v>
      </c>
      <c r="I2092" t="s">
        <v>5166</v>
      </c>
      <c r="J2092">
        <v>24.99</v>
      </c>
      <c r="K2092" s="2" t="s">
        <v>5171</v>
      </c>
      <c r="L2092">
        <v>4.5999999999999996</v>
      </c>
      <c r="M2092">
        <v>493</v>
      </c>
      <c r="O2092" t="s">
        <v>26</v>
      </c>
      <c r="P2092" t="s">
        <v>39</v>
      </c>
      <c r="Q2092" t="s">
        <v>5175</v>
      </c>
    </row>
    <row r="2093" spans="1:17" ht="15.75" x14ac:dyDescent="0.25">
      <c r="A2093" s="3" t="str">
        <f>HYPERLINK("https://prolisok-store.com/collections/hair-care/products/bed-head-by-tigi-resurrection-shampoo-3-38-oz", "https://prolisok-store.com/collections/hair-care/products/bed-head-by-tigi-resurrection-shampoo-3-38-oz")</f>
        <v>https://prolisok-store.com/collections/hair-care/products/bed-head-by-tigi-resurrection-shampoo-3-38-oz</v>
      </c>
      <c r="B2093" s="3" t="str">
        <f>HYPERLINK("https://prolisok-store.com/products/bed-head-by-tigi-resurrection-shampoo-3-38-oz", "https://prolisok-store.com/products/bed-head-by-tigi-resurrection-shampoo-3-38-oz")</f>
        <v>https://prolisok-store.com/products/bed-head-by-tigi-resurrection-shampoo-3-38-oz</v>
      </c>
      <c r="C2093" t="s">
        <v>5176</v>
      </c>
      <c r="D2093" t="s">
        <v>5173</v>
      </c>
      <c r="E2093" s="3" t="str">
        <f>HYPERLINK("https://www.amazon.com/TIGI-Shampoo-Conditioner-Damaged-Resurrection/dp/B0BRTBN9PB/ref=sr_1_4?keywords=Bed+head+by+tigi+resurrection+shampoo+3.38+oz&amp;qid=1695259374&amp;sr=8-4", "https://www.amazon.com/TIGI-Shampoo-Conditioner-Damaged-Resurrection/dp/B0BRTBN9PB/ref=sr_1_4?keywords=Bed+head+by+tigi+resurrection+shampoo+3.38+oz&amp;qid=1695259374&amp;sr=8-4")</f>
        <v>https://www.amazon.com/TIGI-Shampoo-Conditioner-Damaged-Resurrection/dp/B0BRTBN9PB/ref=sr_1_4?keywords=Bed+head+by+tigi+resurrection+shampoo+3.38+oz&amp;qid=1695259374&amp;sr=8-4</v>
      </c>
      <c r="F2093" t="s">
        <v>5174</v>
      </c>
      <c r="G2093" t="e">
        <f ca="1">IMAGE("https://prolisok-store.com/cdn/shop/products/416088_300x.jpg?v=1690900045")</f>
        <v>#NAME?</v>
      </c>
      <c r="H2093" t="e">
        <f ca="1">IMAGE("https://m.media-amazon.com/images/I/716EfzSrDaL._AC_UL320_.jpg")</f>
        <v>#NAME?</v>
      </c>
      <c r="I2093" t="s">
        <v>5166</v>
      </c>
      <c r="J2093">
        <v>24.99</v>
      </c>
      <c r="K2093" s="2" t="s">
        <v>5171</v>
      </c>
      <c r="L2093">
        <v>4.5999999999999996</v>
      </c>
      <c r="M2093">
        <v>493</v>
      </c>
      <c r="O2093" t="s">
        <v>26</v>
      </c>
      <c r="P2093" t="s">
        <v>39</v>
      </c>
      <c r="Q2093" t="s">
        <v>5177</v>
      </c>
    </row>
    <row r="2094" spans="1:17" ht="15.75" x14ac:dyDescent="0.25">
      <c r="A2094" s="3" t="str">
        <f>HYPERLINK("https://prolisok-store.com/collections/hair-care/products/bed-head-by-tigi-urban-antidotes-resurrection-shampoo-2-5-oz", "https://prolisok-store.com/collections/hair-care/products/bed-head-by-tigi-urban-antidotes-resurrection-shampoo-2-5-oz")</f>
        <v>https://prolisok-store.com/collections/hair-care/products/bed-head-by-tigi-urban-antidotes-resurrection-shampoo-2-5-oz</v>
      </c>
      <c r="B2094" s="3" t="str">
        <f>HYPERLINK("https://prolisok-store.com/products/bed-head-by-tigi-urban-antidotes-resurrection-shampoo-2-5-oz", "https://prolisok-store.com/products/bed-head-by-tigi-urban-antidotes-resurrection-shampoo-2-5-oz")</f>
        <v>https://prolisok-store.com/products/bed-head-by-tigi-urban-antidotes-resurrection-shampoo-2-5-oz</v>
      </c>
      <c r="C2094" t="s">
        <v>5127</v>
      </c>
      <c r="D2094" t="s">
        <v>5178</v>
      </c>
      <c r="E2094" s="3" t="str">
        <f>HYPERLINK("https://www.amazon.com/Bed-Head-Resurrection-Shampoo-Conditioner/dp/B003T18TE6/ref=sr_1_9?keywords=Bed+head+by+tigi+urban+anti+dotes+resurrection+shampoo+2.5+oz&amp;qid=1695259368&amp;sr=8-9", "https://www.amazon.com/Bed-Head-Resurrection-Shampoo-Conditioner/dp/B003T18TE6/ref=sr_1_9?keywords=Bed+head+by+tigi+urban+anti+dotes+resurrection+shampoo+2.5+oz&amp;qid=1695259368&amp;sr=8-9")</f>
        <v>https://www.amazon.com/Bed-Head-Resurrection-Shampoo-Conditioner/dp/B003T18TE6/ref=sr_1_9?keywords=Bed+head+by+tigi+urban+anti+dotes+resurrection+shampoo+2.5+oz&amp;qid=1695259368&amp;sr=8-9</v>
      </c>
      <c r="F2094" t="s">
        <v>5179</v>
      </c>
      <c r="G2094" t="e">
        <f ca="1">IMAGE("https://prolisok-store.com/cdn/shop/products/342174_300x.jpg?v=1690899923")</f>
        <v>#NAME?</v>
      </c>
      <c r="H2094" t="e">
        <f ca="1">IMAGE("https://m.media-amazon.com/images/I/71SUeFDYyNL._AC_UL320_.jpg")</f>
        <v>#NAME?</v>
      </c>
      <c r="I2094" t="s">
        <v>5109</v>
      </c>
      <c r="J2094">
        <v>19.38</v>
      </c>
      <c r="K2094" s="2" t="s">
        <v>5180</v>
      </c>
      <c r="L2094">
        <v>4.5999999999999996</v>
      </c>
      <c r="M2094">
        <v>12743</v>
      </c>
      <c r="O2094" t="s">
        <v>26</v>
      </c>
      <c r="P2094" t="s">
        <v>39</v>
      </c>
      <c r="Q2094" t="s">
        <v>5131</v>
      </c>
    </row>
    <row r="2095" spans="1:17" ht="15.75" x14ac:dyDescent="0.25">
      <c r="A2095" s="3" t="str">
        <f>HYPERLINK("https://prolisok-store.com/collections/hair-care/products/bed-head-by-tigi-queen-for-a-day-thickening-spray-10-5-oz", "https://prolisok-store.com/collections/hair-care/products/bed-head-by-tigi-queen-for-a-day-thickening-spray-10-5-oz")</f>
        <v>https://prolisok-store.com/collections/hair-care/products/bed-head-by-tigi-queen-for-a-day-thickening-spray-10-5-oz</v>
      </c>
      <c r="B2095" s="3" t="str">
        <f>HYPERLINK("https://prolisok-store.com/products/bed-head-by-tigi-queen-for-a-day-thickening-spray-10-5-oz", "https://prolisok-store.com/products/bed-head-by-tigi-queen-for-a-day-thickening-spray-10-5-oz")</f>
        <v>https://prolisok-store.com/products/bed-head-by-tigi-queen-for-a-day-thickening-spray-10-5-oz</v>
      </c>
      <c r="C2095" t="s">
        <v>5181</v>
      </c>
      <c r="D2095" t="s">
        <v>5182</v>
      </c>
      <c r="E2095" s="3" t="str">
        <f>HYPERLINK("https://www.amazon.com/TIGI-Superstar-Queen-Thickening-Spray/dp/B00GBE9LEK/ref=sr_1_6?keywords=Bed+head+by+tigi+queen+for+a+day+thickening+spray+10.5+oz&amp;qid=1695259368&amp;sr=8-6", "https://www.amazon.com/TIGI-Superstar-Queen-Thickening-Spray/dp/B00GBE9LEK/ref=sr_1_6?keywords=Bed+head+by+tigi+queen+for+a+day+thickening+spray+10.5+oz&amp;qid=1695259368&amp;sr=8-6")</f>
        <v>https://www.amazon.com/TIGI-Superstar-Queen-Thickening-Spray/dp/B00GBE9LEK/ref=sr_1_6?keywords=Bed+head+by+tigi+queen+for+a+day+thickening+spray+10.5+oz&amp;qid=1695259368&amp;sr=8-6</v>
      </c>
      <c r="F2095" t="s">
        <v>5183</v>
      </c>
      <c r="G2095" t="e">
        <f ca="1">IMAGE("https://prolisok-store.com/cdn/shop/products/416054_300x.jpg?v=1690900009")</f>
        <v>#NAME?</v>
      </c>
      <c r="H2095" t="e">
        <f ca="1">IMAGE("https://m.media-amazon.com/images/I/71DW0LgA0CL._AC_UL320_.jpg")</f>
        <v>#NAME?</v>
      </c>
      <c r="I2095" t="s">
        <v>5135</v>
      </c>
      <c r="J2095">
        <v>59.99</v>
      </c>
      <c r="K2095" s="2" t="s">
        <v>5184</v>
      </c>
      <c r="L2095">
        <v>4.9000000000000004</v>
      </c>
      <c r="M2095">
        <v>31</v>
      </c>
      <c r="O2095" t="s">
        <v>26</v>
      </c>
      <c r="P2095" t="s">
        <v>39</v>
      </c>
      <c r="Q2095" t="s">
        <v>5185</v>
      </c>
    </row>
    <row r="2096" spans="1:17" ht="15.75" x14ac:dyDescent="0.25">
      <c r="A2096" s="3" t="str">
        <f>HYPERLINK("https://prolisok-store.com/collections/hair-care/products/bed-head-by-tigi-resurrection-shampoo-3-38-oz", "https://prolisok-store.com/collections/hair-care/products/bed-head-by-tigi-resurrection-shampoo-3-38-oz")</f>
        <v>https://prolisok-store.com/collections/hair-care/products/bed-head-by-tigi-resurrection-shampoo-3-38-oz</v>
      </c>
      <c r="B2096" s="3" t="str">
        <f>HYPERLINK("https://prolisok-store.com/products/bed-head-by-tigi-resurrection-shampoo-3-38-oz", "https://prolisok-store.com/products/bed-head-by-tigi-resurrection-shampoo-3-38-oz")</f>
        <v>https://prolisok-store.com/products/bed-head-by-tigi-resurrection-shampoo-3-38-oz</v>
      </c>
      <c r="C2096" t="s">
        <v>5176</v>
      </c>
      <c r="D2096" t="s">
        <v>5141</v>
      </c>
      <c r="E2096" s="3" t="str">
        <f>HYPERLINK("https://www.amazon.com/TIGI-Anti-dote-Recovery-Shampoo-Conditioner/dp/B003T1G0XI/ref=sr_1_8?keywords=Bed+head+by+tigi+resurrection+shampoo+3.38+oz&amp;qid=1695259374&amp;sr=8-8", "https://www.amazon.com/TIGI-Anti-dote-Recovery-Shampoo-Conditioner/dp/B003T1G0XI/ref=sr_1_8?keywords=Bed+head+by+tigi+resurrection+shampoo+3.38+oz&amp;qid=1695259374&amp;sr=8-8")</f>
        <v>https://www.amazon.com/TIGI-Anti-dote-Recovery-Shampoo-Conditioner/dp/B003T1G0XI/ref=sr_1_8?keywords=Bed+head+by+tigi+resurrection+shampoo+3.38+oz&amp;qid=1695259374&amp;sr=8-8</v>
      </c>
      <c r="F2096" t="s">
        <v>5142</v>
      </c>
      <c r="G2096" t="e">
        <f ca="1">IMAGE("https://prolisok-store.com/cdn/shop/products/416088_300x.jpg?v=1690900045")</f>
        <v>#NAME?</v>
      </c>
      <c r="H2096" t="e">
        <f ca="1">IMAGE("https://m.media-amazon.com/images/I/71gvFsIeyLL._AC_UL320_.jpg")</f>
        <v>#NAME?</v>
      </c>
      <c r="I2096" t="s">
        <v>5166</v>
      </c>
      <c r="J2096">
        <v>23.95</v>
      </c>
      <c r="K2096" s="2" t="s">
        <v>5186</v>
      </c>
      <c r="L2096">
        <v>4.5999999999999996</v>
      </c>
      <c r="M2096">
        <v>7980</v>
      </c>
      <c r="O2096" t="s">
        <v>26</v>
      </c>
      <c r="P2096" t="s">
        <v>39</v>
      </c>
      <c r="Q2096" t="s">
        <v>5177</v>
      </c>
    </row>
    <row r="2097" spans="1:17" ht="15.75" x14ac:dyDescent="0.25">
      <c r="A2097" s="3" t="str">
        <f>HYPERLINK("https://prolisok-store.com/collections/hair-care/products/bed-head-by-tigi-resurrection-conditioner-3-38-oz", "https://prolisok-store.com/collections/hair-care/products/bed-head-by-tigi-resurrection-conditioner-3-38-oz")</f>
        <v>https://prolisok-store.com/collections/hair-care/products/bed-head-by-tigi-resurrection-conditioner-3-38-oz</v>
      </c>
      <c r="B2097" s="3" t="str">
        <f>HYPERLINK("https://prolisok-store.com/products/bed-head-by-tigi-resurrection-conditioner-3-38-oz", "https://prolisok-store.com/products/bed-head-by-tigi-resurrection-conditioner-3-38-oz")</f>
        <v>https://prolisok-store.com/products/bed-head-by-tigi-resurrection-conditioner-3-38-oz</v>
      </c>
      <c r="C2097" t="s">
        <v>5172</v>
      </c>
      <c r="D2097" t="s">
        <v>5141</v>
      </c>
      <c r="E2097" s="3" t="str">
        <f>HYPERLINK("https://www.amazon.com/TIGI-Anti-dote-Recovery-Shampoo-Conditioner/dp/B003T1G0XI/ref=sr_1_8?keywords=Bed+head+by+tigi+resurrection+conditioner+3.38+oz&amp;qid=1695259395&amp;sr=8-8", "https://www.amazon.com/TIGI-Anti-dote-Recovery-Shampoo-Conditioner/dp/B003T1G0XI/ref=sr_1_8?keywords=Bed+head+by+tigi+resurrection+conditioner+3.38+oz&amp;qid=1695259395&amp;sr=8-8")</f>
        <v>https://www.amazon.com/TIGI-Anti-dote-Recovery-Shampoo-Conditioner/dp/B003T1G0XI/ref=sr_1_8?keywords=Bed+head+by+tigi+resurrection+conditioner+3.38+oz&amp;qid=1695259395&amp;sr=8-8</v>
      </c>
      <c r="F2097" t="s">
        <v>5142</v>
      </c>
      <c r="G2097" t="e">
        <f ca="1">IMAGE("https://prolisok-store.com/cdn/shop/products/416087_300x.jpg?v=1690900043")</f>
        <v>#NAME?</v>
      </c>
      <c r="H2097" t="e">
        <f ca="1">IMAGE("https://m.media-amazon.com/images/I/71gvFsIeyLL._AC_UL320_.jpg")</f>
        <v>#NAME?</v>
      </c>
      <c r="I2097" t="s">
        <v>5166</v>
      </c>
      <c r="J2097">
        <v>23.95</v>
      </c>
      <c r="K2097" s="2" t="s">
        <v>5186</v>
      </c>
      <c r="L2097">
        <v>4.5999999999999996</v>
      </c>
      <c r="M2097">
        <v>7980</v>
      </c>
      <c r="O2097" t="s">
        <v>26</v>
      </c>
      <c r="P2097" t="s">
        <v>39</v>
      </c>
      <c r="Q2097" t="s">
        <v>5175</v>
      </c>
    </row>
    <row r="2098" spans="1:17" ht="15.75" x14ac:dyDescent="0.25">
      <c r="A2098" s="3" t="str">
        <f>HYPERLINK("https://prolisok-store.com/collections/hair-care/products/bed-head-by-tigi-recovery-shampoo-3-38-oz", "https://prolisok-store.com/collections/hair-care/products/bed-head-by-tigi-recovery-shampoo-3-38-oz")</f>
        <v>https://prolisok-store.com/collections/hair-care/products/bed-head-by-tigi-recovery-shampoo-3-38-oz</v>
      </c>
      <c r="B2098" s="3" t="str">
        <f>HYPERLINK("https://prolisok-store.com/products/bed-head-by-tigi-recovery-shampoo-3-38-oz", "https://prolisok-store.com/products/bed-head-by-tigi-recovery-shampoo-3-38-oz")</f>
        <v>https://prolisok-store.com/products/bed-head-by-tigi-recovery-shampoo-3-38-oz</v>
      </c>
      <c r="C2098" t="s">
        <v>5165</v>
      </c>
      <c r="D2098" t="s">
        <v>5141</v>
      </c>
      <c r="E2098" s="3" t="str">
        <f>HYPERLINK("https://www.amazon.com/TIGI-Anti-dote-Recovery-Shampoo-Conditioner/dp/B003T1G0XI/ref=sr_1_1?keywords=Bed+head+by+tigi+recovery+shampoo+3.38+oz&amp;qid=1695259383&amp;sr=8-1", "https://www.amazon.com/TIGI-Anti-dote-Recovery-Shampoo-Conditioner/dp/B003T1G0XI/ref=sr_1_1?keywords=Bed+head+by+tigi+recovery+shampoo+3.38+oz&amp;qid=1695259383&amp;sr=8-1")</f>
        <v>https://www.amazon.com/TIGI-Anti-dote-Recovery-Shampoo-Conditioner/dp/B003T1G0XI/ref=sr_1_1?keywords=Bed+head+by+tigi+recovery+shampoo+3.38+oz&amp;qid=1695259383&amp;sr=8-1</v>
      </c>
      <c r="F2098" t="s">
        <v>5142</v>
      </c>
      <c r="G2098" t="e">
        <f ca="1">IMAGE("https://prolisok-store.com/cdn/shop/products/416086_300x.jpg?v=1690900041")</f>
        <v>#NAME?</v>
      </c>
      <c r="H2098" t="e">
        <f ca="1">IMAGE("https://m.media-amazon.com/images/I/71gvFsIeyLL._AC_UL320_.jpg")</f>
        <v>#NAME?</v>
      </c>
      <c r="I2098" t="s">
        <v>5166</v>
      </c>
      <c r="J2098">
        <v>23.95</v>
      </c>
      <c r="K2098" s="2" t="s">
        <v>5186</v>
      </c>
      <c r="L2098">
        <v>4.5999999999999996</v>
      </c>
      <c r="M2098">
        <v>7980</v>
      </c>
      <c r="O2098" t="s">
        <v>26</v>
      </c>
      <c r="P2098" t="s">
        <v>39</v>
      </c>
      <c r="Q2098" t="s">
        <v>5168</v>
      </c>
    </row>
    <row r="2099" spans="1:17" ht="15.75" x14ac:dyDescent="0.25">
      <c r="A2099" s="3" t="str">
        <f>HYPERLINK("https://prolisok-store.com/collections/hair-care/products/bed-head-by-tigi-urban-antidotes-resurrection-conditioner-2-5-oz", "https://prolisok-store.com/collections/hair-care/products/bed-head-by-tigi-urban-antidotes-resurrection-conditioner-2-5-oz")</f>
        <v>https://prolisok-store.com/collections/hair-care/products/bed-head-by-tigi-urban-antidotes-resurrection-conditioner-2-5-oz</v>
      </c>
      <c r="B2099" s="3" t="str">
        <f>HYPERLINK("https://prolisok-store.com/products/bed-head-by-tigi-urban-antidotes-resurrection-conditioner-2-5-oz", "https://prolisok-store.com/products/bed-head-by-tigi-urban-antidotes-resurrection-conditioner-2-5-oz")</f>
        <v>https://prolisok-store.com/products/bed-head-by-tigi-urban-antidotes-resurrection-conditioner-2-5-oz</v>
      </c>
      <c r="C2099" t="s">
        <v>5187</v>
      </c>
      <c r="D2099" t="s">
        <v>5188</v>
      </c>
      <c r="E2099" s="3" t="str">
        <f>HYPERLINK("https://www.amazon.com/TIGI-Urban-Resurrection-Conditioner-level-3/dp/B006A6TU5Y/ref=sr_1_2?keywords=Bed+head+by+tigi+urban+anti%2Bdotes+resurrection+conditioner+2.5+oz&amp;qid=1695259378&amp;sr=8-2", "https://www.amazon.com/TIGI-Urban-Resurrection-Conditioner-level-3/dp/B006A6TU5Y/ref=sr_1_2?keywords=Bed+head+by+tigi+urban+anti%2Bdotes+resurrection+conditioner+2.5+oz&amp;qid=1695259378&amp;sr=8-2")</f>
        <v>https://www.amazon.com/TIGI-Urban-Resurrection-Conditioner-level-3/dp/B006A6TU5Y/ref=sr_1_2?keywords=Bed+head+by+tigi+urban+anti%2Bdotes+resurrection+conditioner+2.5+oz&amp;qid=1695259378&amp;sr=8-2</v>
      </c>
      <c r="F2099" t="s">
        <v>5189</v>
      </c>
      <c r="G2099" t="e">
        <f ca="1">IMAGE("https://prolisok-store.com/cdn/shop/products/342173_300x.jpg?v=1690899921")</f>
        <v>#NAME?</v>
      </c>
      <c r="H2099" t="e">
        <f ca="1">IMAGE("https://m.media-amazon.com/images/I/81S1QERjQ8L._AC_UL320_.jpg")</f>
        <v>#NAME?</v>
      </c>
      <c r="I2099" t="s">
        <v>5109</v>
      </c>
      <c r="J2099">
        <v>18.600000000000001</v>
      </c>
      <c r="K2099" s="2" t="s">
        <v>5190</v>
      </c>
      <c r="L2099">
        <v>4.3</v>
      </c>
      <c r="M2099">
        <v>106</v>
      </c>
      <c r="O2099" t="s">
        <v>26</v>
      </c>
      <c r="P2099" t="s">
        <v>39</v>
      </c>
      <c r="Q2099" t="s">
        <v>5191</v>
      </c>
    </row>
    <row r="2100" spans="1:17" ht="15.75" x14ac:dyDescent="0.25">
      <c r="A2100" s="3" t="str">
        <f>HYPERLINK("https://prolisok-store.com/collections/hair-care/products/bed-head-by-tigi-manipulator-matte-2-oz", "https://prolisok-store.com/collections/hair-care/products/bed-head-by-tigi-manipulator-matte-2-oz")</f>
        <v>https://prolisok-store.com/collections/hair-care/products/bed-head-by-tigi-manipulator-matte-2-oz</v>
      </c>
      <c r="B2100" s="3" t="str">
        <f>HYPERLINK("https://prolisok-store.com/products/bed-head-by-tigi-manipulator-matte-2-oz", "https://prolisok-store.com/products/bed-head-by-tigi-manipulator-matte-2-oz")</f>
        <v>https://prolisok-store.com/products/bed-head-by-tigi-manipulator-matte-2-oz</v>
      </c>
      <c r="C2100" t="s">
        <v>5152</v>
      </c>
      <c r="D2100" t="s">
        <v>5192</v>
      </c>
      <c r="E2100" s="3" t="str">
        <f>HYPERLINK("https://www.amazon.com/TIGI-Head-Manipulator-Matte-Pack/dp/B01IAEVFWO/ref=sr_1_6?keywords=Bed+head+by+tigi+manipulator+matte+2+oz&amp;qid=1695259373&amp;sr=8-6", "https://www.amazon.com/TIGI-Head-Manipulator-Matte-Pack/dp/B01IAEVFWO/ref=sr_1_6?keywords=Bed+head+by+tigi+manipulator+matte+2+oz&amp;qid=1695259373&amp;sr=8-6")</f>
        <v>https://www.amazon.com/TIGI-Head-Manipulator-Matte-Pack/dp/B01IAEVFWO/ref=sr_1_6?keywords=Bed+head+by+tigi+manipulator+matte+2+oz&amp;qid=1695259373&amp;sr=8-6</v>
      </c>
      <c r="F2100" t="s">
        <v>5193</v>
      </c>
      <c r="G2100" t="e">
        <f ca="1">IMAGE("https://prolisok-store.com/cdn/shop/products/280792_300x.jpg?v=1690899952")</f>
        <v>#NAME?</v>
      </c>
      <c r="H2100" t="e">
        <f ca="1">IMAGE("https://m.media-amazon.com/images/I/71bkalGl1qL._AC_UL320_.jpg")</f>
        <v>#NAME?</v>
      </c>
      <c r="I2100" t="s">
        <v>5135</v>
      </c>
      <c r="J2100">
        <v>58.05</v>
      </c>
      <c r="K2100" s="2" t="s">
        <v>5194</v>
      </c>
      <c r="L2100">
        <v>4.5999999999999996</v>
      </c>
      <c r="M2100">
        <v>54</v>
      </c>
      <c r="O2100" t="s">
        <v>26</v>
      </c>
      <c r="P2100" t="s">
        <v>39</v>
      </c>
      <c r="Q2100" t="s">
        <v>5156</v>
      </c>
    </row>
    <row r="2101" spans="1:17" ht="15.75" x14ac:dyDescent="0.25">
      <c r="A2101" s="3" t="str">
        <f>HYPERLINK("https://prolisok-store.com/collections/hair-care/products/bed-head-by-tigi-flexi-head-hair-spray-10-6-oz", "https://prolisok-store.com/collections/hair-care/products/bed-head-by-tigi-flexi-head-hair-spray-10-6-oz")</f>
        <v>https://prolisok-store.com/collections/hair-care/products/bed-head-by-tigi-flexi-head-hair-spray-10-6-oz</v>
      </c>
      <c r="B2101" s="3" t="str">
        <f>HYPERLINK("https://prolisok-store.com/products/bed-head-by-tigi-flexi-head-hair-spray-10-6-oz", "https://prolisok-store.com/products/bed-head-by-tigi-flexi-head-hair-spray-10-6-oz")</f>
        <v>https://prolisok-store.com/products/bed-head-by-tigi-flexi-head-hair-spray-10-6-oz</v>
      </c>
      <c r="C2101" t="s">
        <v>5195</v>
      </c>
      <c r="D2101" t="s">
        <v>5196</v>
      </c>
      <c r="E2101" s="3" t="str">
        <f>HYPERLINK("https://www.amazon.com/Flexi-Strong-Flexible-Spray-Unisex/dp/B00XIP6QWK/ref=sr_1_2?keywords=Bed+head+by+tigi+flexi+head+hair+spray+10.6+oz&amp;qid=1695259385&amp;sr=8-2", "https://www.amazon.com/Flexi-Strong-Flexible-Spray-Unisex/dp/B00XIP6QWK/ref=sr_1_2?keywords=Bed+head+by+tigi+flexi+head+hair+spray+10.6+oz&amp;qid=1695259385&amp;sr=8-2")</f>
        <v>https://www.amazon.com/Flexi-Strong-Flexible-Spray-Unisex/dp/B00XIP6QWK/ref=sr_1_2?keywords=Bed+head+by+tigi+flexi+head+hair+spray+10.6+oz&amp;qid=1695259385&amp;sr=8-2</v>
      </c>
      <c r="F2101" t="s">
        <v>5197</v>
      </c>
      <c r="G2101" t="e">
        <f ca="1">IMAGE("https://prolisok-store.com/cdn/shop/products/280790_300x.jpg?v=1690899950")</f>
        <v>#NAME?</v>
      </c>
      <c r="H2101" t="e">
        <f ca="1">IMAGE("https://m.media-amazon.com/images/I/31H8bsonesL._AC_UL320_.jpg")</f>
        <v>#NAME?</v>
      </c>
      <c r="I2101" t="s">
        <v>5198</v>
      </c>
      <c r="J2101">
        <v>59.12</v>
      </c>
      <c r="K2101" s="2" t="s">
        <v>5199</v>
      </c>
      <c r="L2101">
        <v>3.9</v>
      </c>
      <c r="M2101">
        <v>5</v>
      </c>
      <c r="O2101" t="s">
        <v>26</v>
      </c>
      <c r="P2101" t="s">
        <v>39</v>
      </c>
      <c r="Q2101" t="s">
        <v>5200</v>
      </c>
    </row>
    <row r="2102" spans="1:17" ht="15.75" x14ac:dyDescent="0.25">
      <c r="A2102" s="3" t="str">
        <f>HYPERLINK("https://prolisok-store.com/collections/hair-care/products/bed-head-by-tigi-straighten-out-anti-frizz-serum-for-show-stopping-smooth-and-shine-3-38-oz", "https://prolisok-store.com/collections/hair-care/products/bed-head-by-tigi-straighten-out-anti-frizz-serum-for-show-stopping-smooth-and-shine-3-38-oz")</f>
        <v>https://prolisok-store.com/collections/hair-care/products/bed-head-by-tigi-straighten-out-anti-frizz-serum-for-show-stopping-smooth-and-shine-3-38-oz</v>
      </c>
      <c r="B2102" s="3" t="str">
        <f>HYPERLINK("https://prolisok-store.com/products/bed-head-by-tigi-straighten-out-anti-frizz-serum-for-show-stopping-smooth-and-shine-3-38-oz", "https://prolisok-store.com/products/bed-head-by-tigi-straighten-out-anti-frizz-serum-for-show-stopping-smooth-and-shine-3-38-oz")</f>
        <v>https://prolisok-store.com/products/bed-head-by-tigi-straighten-out-anti-frizz-serum-for-show-stopping-smooth-and-shine-3-38-oz</v>
      </c>
      <c r="C2102" t="s">
        <v>5201</v>
      </c>
      <c r="D2102" t="s">
        <v>5202</v>
      </c>
      <c r="E2102" s="3" t="str">
        <f>HYPERLINK("https://www.amazon.com/TIGI-Straighten-Frizz-Serum-Smooth/dp/B0BK1ZHNZM/ref=sr_1_1?keywords=Bed+head+by+tigi+straighten+out+anti-frizz+serum+for+show+stopping+smooth+%26+shine+3.38+oz&amp;qid=1695259372&amp;sr=8-1", "https://www.amazon.com/TIGI-Straighten-Frizz-Serum-Smooth/dp/B0BK1ZHNZM/ref=sr_1_1?keywords=Bed+head+by+tigi+straighten+out+anti-frizz+serum+for+show+stopping+smooth+%26+shine+3.38+oz&amp;qid=1695259372&amp;sr=8-1")</f>
        <v>https://www.amazon.com/TIGI-Straighten-Frizz-Serum-Smooth/dp/B0BK1ZHNZM/ref=sr_1_1?keywords=Bed+head+by+tigi+straighten+out+anti-frizz+serum+for+show+stopping+smooth+%26+shine+3.38+oz&amp;qid=1695259372&amp;sr=8-1</v>
      </c>
      <c r="F2102" t="s">
        <v>5203</v>
      </c>
      <c r="G2102" t="e">
        <f ca="1">IMAGE("https://prolisok-store.com/cdn/shop/products/416067_300x.jpg?v=1690900017")</f>
        <v>#NAME?</v>
      </c>
      <c r="H2102" t="e">
        <f ca="1">IMAGE("https://m.media-amazon.com/images/I/31cMsghriaL._AC_UL320_.jpg")</f>
        <v>#NAME?</v>
      </c>
      <c r="I2102" t="s">
        <v>5135</v>
      </c>
      <c r="J2102">
        <v>55.96</v>
      </c>
      <c r="K2102" s="2" t="s">
        <v>5204</v>
      </c>
      <c r="L2102">
        <v>4.2</v>
      </c>
      <c r="M2102">
        <v>696</v>
      </c>
      <c r="O2102" t="s">
        <v>26</v>
      </c>
      <c r="P2102" t="s">
        <v>39</v>
      </c>
      <c r="Q2102" t="s">
        <v>5205</v>
      </c>
    </row>
    <row r="2103" spans="1:17" ht="15.75" x14ac:dyDescent="0.25">
      <c r="A2103" s="3" t="str">
        <f>HYPERLINK("https://prolisok-store.com/collections/hair-care/products/bed-head-by-tigi-resurrection-shampoo-3-38-oz", "https://prolisok-store.com/collections/hair-care/products/bed-head-by-tigi-resurrection-shampoo-3-38-oz")</f>
        <v>https://prolisok-store.com/collections/hair-care/products/bed-head-by-tigi-resurrection-shampoo-3-38-oz</v>
      </c>
      <c r="B2103" s="3" t="str">
        <f>HYPERLINK("https://prolisok-store.com/products/bed-head-by-tigi-resurrection-shampoo-3-38-oz", "https://prolisok-store.com/products/bed-head-by-tigi-resurrection-shampoo-3-38-oz")</f>
        <v>https://prolisok-store.com/products/bed-head-by-tigi-resurrection-shampoo-3-38-oz</v>
      </c>
      <c r="C2103" t="s">
        <v>5176</v>
      </c>
      <c r="D2103" t="s">
        <v>5206</v>
      </c>
      <c r="E2103" s="3" t="str">
        <f>HYPERLINK("https://www.amazon.com/TIGI-Re-Energize-Shampoo-Conditioner-25-36/dp/B003T1CQDQ/ref=sr_1_9?keywords=Bed+head+by+tigi+resurrection+shampoo+3.38+oz&amp;qid=1695259374&amp;sr=8-9", "https://www.amazon.com/TIGI-Re-Energize-Shampoo-Conditioner-25-36/dp/B003T1CQDQ/ref=sr_1_9?keywords=Bed+head+by+tigi+resurrection+shampoo+3.38+oz&amp;qid=1695259374&amp;sr=8-9")</f>
        <v>https://www.amazon.com/TIGI-Re-Energize-Shampoo-Conditioner-25-36/dp/B003T1CQDQ/ref=sr_1_9?keywords=Bed+head+by+tigi+resurrection+shampoo+3.38+oz&amp;qid=1695259374&amp;sr=8-9</v>
      </c>
      <c r="F2103" t="s">
        <v>5207</v>
      </c>
      <c r="G2103" t="e">
        <f ca="1">IMAGE("https://prolisok-store.com/cdn/shop/products/416088_300x.jpg?v=1690900045")</f>
        <v>#NAME?</v>
      </c>
      <c r="H2103" t="e">
        <f ca="1">IMAGE("https://m.media-amazon.com/images/I/81RdG+inaUL._AC_UL320_.jpg")</f>
        <v>#NAME?</v>
      </c>
      <c r="I2103" t="s">
        <v>5166</v>
      </c>
      <c r="J2103">
        <v>22.35</v>
      </c>
      <c r="K2103" s="2" t="s">
        <v>5208</v>
      </c>
      <c r="L2103">
        <v>4.5999999999999996</v>
      </c>
      <c r="M2103">
        <v>5605</v>
      </c>
      <c r="O2103" t="s">
        <v>26</v>
      </c>
      <c r="P2103" t="s">
        <v>39</v>
      </c>
      <c r="Q2103" t="s">
        <v>5177</v>
      </c>
    </row>
    <row r="2104" spans="1:17" ht="15.75" x14ac:dyDescent="0.25">
      <c r="A2104" s="3" t="str">
        <f>HYPERLINK("https://prolisok-store.com/collections/hair-care/products/bed-head-by-tigi-resurrection-conditioner-3-38-oz", "https://prolisok-store.com/collections/hair-care/products/bed-head-by-tigi-resurrection-conditioner-3-38-oz")</f>
        <v>https://prolisok-store.com/collections/hair-care/products/bed-head-by-tigi-resurrection-conditioner-3-38-oz</v>
      </c>
      <c r="B2104" s="3" t="str">
        <f>HYPERLINK("https://prolisok-store.com/products/bed-head-by-tigi-resurrection-conditioner-3-38-oz", "https://prolisok-store.com/products/bed-head-by-tigi-resurrection-conditioner-3-38-oz")</f>
        <v>https://prolisok-store.com/products/bed-head-by-tigi-resurrection-conditioner-3-38-oz</v>
      </c>
      <c r="C2104" t="s">
        <v>5172</v>
      </c>
      <c r="D2104" t="s">
        <v>5206</v>
      </c>
      <c r="E2104" s="3" t="str">
        <f>HYPERLINK("https://www.amazon.com/TIGI-Re-Energize-Shampoo-Conditioner-25-36/dp/B003T1CQDQ/ref=sr_1_10?keywords=Bed+head+by+tigi+resurrection+conditioner+3.38+oz&amp;qid=1695259395&amp;sr=8-10", "https://www.amazon.com/TIGI-Re-Energize-Shampoo-Conditioner-25-36/dp/B003T1CQDQ/ref=sr_1_10?keywords=Bed+head+by+tigi+resurrection+conditioner+3.38+oz&amp;qid=1695259395&amp;sr=8-10")</f>
        <v>https://www.amazon.com/TIGI-Re-Energize-Shampoo-Conditioner-25-36/dp/B003T1CQDQ/ref=sr_1_10?keywords=Bed+head+by+tigi+resurrection+conditioner+3.38+oz&amp;qid=1695259395&amp;sr=8-10</v>
      </c>
      <c r="F2104" t="s">
        <v>5207</v>
      </c>
      <c r="G2104" t="e">
        <f ca="1">IMAGE("https://prolisok-store.com/cdn/shop/products/416087_300x.jpg?v=1690900043")</f>
        <v>#NAME?</v>
      </c>
      <c r="H2104" t="e">
        <f ca="1">IMAGE("https://m.media-amazon.com/images/I/81RdG+inaUL._AC_UL320_.jpg")</f>
        <v>#NAME?</v>
      </c>
      <c r="I2104" t="s">
        <v>5166</v>
      </c>
      <c r="J2104">
        <v>22.35</v>
      </c>
      <c r="K2104" s="2" t="s">
        <v>5208</v>
      </c>
      <c r="L2104">
        <v>4.5999999999999996</v>
      </c>
      <c r="M2104">
        <v>5605</v>
      </c>
      <c r="O2104" t="s">
        <v>26</v>
      </c>
      <c r="P2104" t="s">
        <v>39</v>
      </c>
      <c r="Q2104" t="s">
        <v>5175</v>
      </c>
    </row>
    <row r="2105" spans="1:17" ht="15.75" x14ac:dyDescent="0.25">
      <c r="A2105" s="3" t="str">
        <f>HYPERLINK("https://prolisok-store.com/collections/hair-care/products/bed-head-by-tigi-recovery-shampoo-3-38-oz", "https://prolisok-store.com/collections/hair-care/products/bed-head-by-tigi-recovery-shampoo-3-38-oz")</f>
        <v>https://prolisok-store.com/collections/hair-care/products/bed-head-by-tigi-recovery-shampoo-3-38-oz</v>
      </c>
      <c r="B2105" s="3" t="str">
        <f>HYPERLINK("https://prolisok-store.com/products/bed-head-by-tigi-recovery-shampoo-3-38-oz", "https://prolisok-store.com/products/bed-head-by-tigi-recovery-shampoo-3-38-oz")</f>
        <v>https://prolisok-store.com/products/bed-head-by-tigi-recovery-shampoo-3-38-oz</v>
      </c>
      <c r="C2105" t="s">
        <v>5165</v>
      </c>
      <c r="D2105" t="s">
        <v>5206</v>
      </c>
      <c r="E2105" s="3" t="str">
        <f>HYPERLINK("https://www.amazon.com/TIGI-Re-Energize-Shampoo-Conditioner-25-36/dp/B003T1CQDQ/ref=sr_1_10?keywords=Bed+head+by+tigi+recovery+shampoo+3.38+oz&amp;qid=1695259383&amp;sr=8-10", "https://www.amazon.com/TIGI-Re-Energize-Shampoo-Conditioner-25-36/dp/B003T1CQDQ/ref=sr_1_10?keywords=Bed+head+by+tigi+recovery+shampoo+3.38+oz&amp;qid=1695259383&amp;sr=8-10")</f>
        <v>https://www.amazon.com/TIGI-Re-Energize-Shampoo-Conditioner-25-36/dp/B003T1CQDQ/ref=sr_1_10?keywords=Bed+head+by+tigi+recovery+shampoo+3.38+oz&amp;qid=1695259383&amp;sr=8-10</v>
      </c>
      <c r="F2105" t="s">
        <v>5207</v>
      </c>
      <c r="G2105" t="e">
        <f ca="1">IMAGE("https://prolisok-store.com/cdn/shop/products/416086_300x.jpg?v=1690900041")</f>
        <v>#NAME?</v>
      </c>
      <c r="H2105" t="e">
        <f ca="1">IMAGE("https://m.media-amazon.com/images/I/81RdG+inaUL._AC_UL320_.jpg")</f>
        <v>#NAME?</v>
      </c>
      <c r="I2105" t="s">
        <v>5166</v>
      </c>
      <c r="J2105">
        <v>22.35</v>
      </c>
      <c r="K2105" s="2" t="s">
        <v>5208</v>
      </c>
      <c r="L2105">
        <v>4.5999999999999996</v>
      </c>
      <c r="M2105">
        <v>5605</v>
      </c>
      <c r="O2105" t="s">
        <v>26</v>
      </c>
      <c r="P2105" t="s">
        <v>39</v>
      </c>
      <c r="Q2105" t="s">
        <v>5168</v>
      </c>
    </row>
    <row r="2106" spans="1:17" ht="15.75" x14ac:dyDescent="0.25">
      <c r="A2106" s="3" t="str">
        <f>HYPERLINK("https://prolisok-store.com/collections/hair-care/products/bed-head-by-tigi-queen-for-a-day-thickening-spray-10-5-oz", "https://prolisok-store.com/collections/hair-care/products/bed-head-by-tigi-queen-for-a-day-thickening-spray-10-5-oz")</f>
        <v>https://prolisok-store.com/collections/hair-care/products/bed-head-by-tigi-queen-for-a-day-thickening-spray-10-5-oz</v>
      </c>
      <c r="B2106" s="3" t="str">
        <f>HYPERLINK("https://prolisok-store.com/products/bed-head-by-tigi-queen-for-a-day-thickening-spray-10-5-oz", "https://prolisok-store.com/products/bed-head-by-tigi-queen-for-a-day-thickening-spray-10-5-oz")</f>
        <v>https://prolisok-store.com/products/bed-head-by-tigi-queen-for-a-day-thickening-spray-10-5-oz</v>
      </c>
      <c r="C2106" t="s">
        <v>5181</v>
      </c>
      <c r="D2106" t="s">
        <v>5209</v>
      </c>
      <c r="E2106" s="3" t="str">
        <f>HYPERLINK("https://www.amazon.com/Bed-Head-Superstar-Queen-Thickening/dp/B0C4QTYM1F/ref=sr_1_3?keywords=Bed+head+by+tigi+queen+for+a+day+thickening+spray+10.5+oz&amp;qid=1695259368&amp;sr=8-3", "https://www.amazon.com/Bed-Head-Superstar-Queen-Thickening/dp/B0C4QTYM1F/ref=sr_1_3?keywords=Bed+head+by+tigi+queen+for+a+day+thickening+spray+10.5+oz&amp;qid=1695259368&amp;sr=8-3")</f>
        <v>https://www.amazon.com/Bed-Head-Superstar-Queen-Thickening/dp/B0C4QTYM1F/ref=sr_1_3?keywords=Bed+head+by+tigi+queen+for+a+day+thickening+spray+10.5+oz&amp;qid=1695259368&amp;sr=8-3</v>
      </c>
      <c r="F2106" t="s">
        <v>5210</v>
      </c>
      <c r="G2106" t="e">
        <f ca="1">IMAGE("https://prolisok-store.com/cdn/shop/products/416054_300x.jpg?v=1690900009")</f>
        <v>#NAME?</v>
      </c>
      <c r="H2106" t="e">
        <f ca="1">IMAGE("https://m.media-amazon.com/images/I/61CNBCzyInL._AC_UL320_.jpg")</f>
        <v>#NAME?</v>
      </c>
      <c r="I2106" t="s">
        <v>5135</v>
      </c>
      <c r="J2106">
        <v>54.07</v>
      </c>
      <c r="K2106" s="2" t="s">
        <v>5211</v>
      </c>
      <c r="L2106">
        <v>5</v>
      </c>
      <c r="M2106">
        <v>1</v>
      </c>
      <c r="O2106" t="s">
        <v>26</v>
      </c>
      <c r="P2106" t="s">
        <v>39</v>
      </c>
      <c r="Q2106" t="s">
        <v>5185</v>
      </c>
    </row>
    <row r="2107" spans="1:17" ht="15.75" x14ac:dyDescent="0.25">
      <c r="A2107" s="3" t="str">
        <f>HYPERLINK("https://prolisok-store.com/collections/hair-care/products/bed-head-by-tigi-manipulator-2-oz", "https://prolisok-store.com/collections/hair-care/products/bed-head-by-tigi-manipulator-2-oz")</f>
        <v>https://prolisok-store.com/collections/hair-care/products/bed-head-by-tigi-manipulator-2-oz</v>
      </c>
      <c r="B2107" s="3" t="str">
        <f>HYPERLINK("https://prolisok-store.com/products/bed-head-by-tigi-manipulator-2-oz", "https://prolisok-store.com/products/bed-head-by-tigi-manipulator-2-oz")</f>
        <v>https://prolisok-store.com/products/bed-head-by-tigi-manipulator-2-oz</v>
      </c>
      <c r="C2107" t="s">
        <v>5132</v>
      </c>
      <c r="D2107" t="s">
        <v>5212</v>
      </c>
      <c r="E2107" s="3" t="str">
        <f>HYPERLINK("https://www.amazon.com/TIGI-Head-Manipulator-Styling-Cream/dp/B0731GYGCF/ref=sr_1_2?keywords=Bed+head+by+tigi+manipulator+2+oz&amp;qid=1695259393&amp;sr=8-2", "https://www.amazon.com/TIGI-Head-Manipulator-Styling-Cream/dp/B0731GYGCF/ref=sr_1_2?keywords=Bed+head+by+tigi+manipulator+2+oz&amp;qid=1695259393&amp;sr=8-2")</f>
        <v>https://www.amazon.com/TIGI-Head-Manipulator-Styling-Cream/dp/B0731GYGCF/ref=sr_1_2?keywords=Bed+head+by+tigi+manipulator+2+oz&amp;qid=1695259393&amp;sr=8-2</v>
      </c>
      <c r="F2107" t="s">
        <v>5213</v>
      </c>
      <c r="G2107" t="e">
        <f ca="1">IMAGE("https://prolisok-store.com/cdn/shop/products/131719_300x.jpg?v=1690899959")</f>
        <v>#NAME?</v>
      </c>
      <c r="H2107" t="e">
        <f ca="1">IMAGE("https://m.media-amazon.com/images/I/51yidDCZMxL._AC_UL320_.jpg")</f>
        <v>#NAME?</v>
      </c>
      <c r="I2107" t="s">
        <v>5135</v>
      </c>
      <c r="J2107">
        <v>54</v>
      </c>
      <c r="K2107" s="2" t="s">
        <v>5214</v>
      </c>
      <c r="L2107">
        <v>4.8</v>
      </c>
      <c r="M2107">
        <v>1012</v>
      </c>
      <c r="O2107" t="s">
        <v>26</v>
      </c>
      <c r="P2107" t="s">
        <v>39</v>
      </c>
      <c r="Q2107" t="s">
        <v>5137</v>
      </c>
    </row>
    <row r="2108" spans="1:17" ht="15.75" x14ac:dyDescent="0.25">
      <c r="A2108" s="3" t="str">
        <f>HYPERLINK("https://prolisok-store.com/collections/hair-care/products/bed-head-by-tigi-manipulator-matte-2-oz", "https://prolisok-store.com/collections/hair-care/products/bed-head-by-tigi-manipulator-matte-2-oz")</f>
        <v>https://prolisok-store.com/collections/hair-care/products/bed-head-by-tigi-manipulator-matte-2-oz</v>
      </c>
      <c r="B2108" s="3" t="str">
        <f>HYPERLINK("https://prolisok-store.com/products/bed-head-by-tigi-manipulator-matte-2-oz", "https://prolisok-store.com/products/bed-head-by-tigi-manipulator-matte-2-oz")</f>
        <v>https://prolisok-store.com/products/bed-head-by-tigi-manipulator-matte-2-oz</v>
      </c>
      <c r="C2108" t="s">
        <v>5152</v>
      </c>
      <c r="D2108" t="s">
        <v>5212</v>
      </c>
      <c r="E2108" s="3" t="str">
        <f>HYPERLINK("https://www.amazon.com/TIGI-Head-Manipulator-Styling-Cream/dp/B0731GYGCF/ref=sr_1_5?keywords=Bed+head+by+tigi+manipulator+matte+2+oz&amp;qid=1695259373&amp;sr=8-5", "https://www.amazon.com/TIGI-Head-Manipulator-Styling-Cream/dp/B0731GYGCF/ref=sr_1_5?keywords=Bed+head+by+tigi+manipulator+matte+2+oz&amp;qid=1695259373&amp;sr=8-5")</f>
        <v>https://www.amazon.com/TIGI-Head-Manipulator-Styling-Cream/dp/B0731GYGCF/ref=sr_1_5?keywords=Bed+head+by+tigi+manipulator+matte+2+oz&amp;qid=1695259373&amp;sr=8-5</v>
      </c>
      <c r="F2108" t="s">
        <v>5213</v>
      </c>
      <c r="G2108" t="e">
        <f ca="1">IMAGE("https://prolisok-store.com/cdn/shop/products/280792_300x.jpg?v=1690899952")</f>
        <v>#NAME?</v>
      </c>
      <c r="H2108" t="e">
        <f ca="1">IMAGE("https://m.media-amazon.com/images/I/51yidDCZMxL._AC_UL320_.jpg")</f>
        <v>#NAME?</v>
      </c>
      <c r="I2108" t="s">
        <v>5135</v>
      </c>
      <c r="J2108">
        <v>53.98</v>
      </c>
      <c r="K2108" s="2" t="s">
        <v>5215</v>
      </c>
      <c r="L2108">
        <v>4.8</v>
      </c>
      <c r="M2108">
        <v>1012</v>
      </c>
      <c r="O2108" t="s">
        <v>26</v>
      </c>
      <c r="P2108" t="s">
        <v>39</v>
      </c>
      <c r="Q2108" t="s">
        <v>5156</v>
      </c>
    </row>
    <row r="2109" spans="1:17" ht="15.75" x14ac:dyDescent="0.25">
      <c r="A2109" s="3" t="str">
        <f>HYPERLINK("https://prolisok-store.com/collections/hair-care/products/bed-head-by-tigi-moisture-maniac-conditioner-13-53-oz", "https://prolisok-store.com/collections/hair-care/products/bed-head-by-tigi-moisture-maniac-conditioner-13-53-oz")</f>
        <v>https://prolisok-store.com/collections/hair-care/products/bed-head-by-tigi-moisture-maniac-conditioner-13-53-oz</v>
      </c>
      <c r="B2109" s="3" t="str">
        <f>HYPERLINK("https://prolisok-store.com/products/bed-head-by-tigi-moisture-maniac-conditioner-13-53-oz", "https://prolisok-store.com/products/bed-head-by-tigi-moisture-maniac-conditioner-13-53-oz")</f>
        <v>https://prolisok-store.com/products/bed-head-by-tigi-moisture-maniac-conditioner-13-53-oz</v>
      </c>
      <c r="C2109" t="s">
        <v>5216</v>
      </c>
      <c r="D2109" t="s">
        <v>5217</v>
      </c>
      <c r="E2109" s="3" t="str">
        <f>HYPERLINK("https://www.amazon.com/Moisture-Moisturizing-Shampoo-Moisturising-Conditioner/dp/B017TETEL0/ref=sr_1_1?keywords=Bed+head+by+tigi+moisture+maniac+conditioner+13.53+oz&amp;qid=1695259400&amp;sr=8-1", "https://www.amazon.com/Moisture-Moisturizing-Shampoo-Moisturising-Conditioner/dp/B017TETEL0/ref=sr_1_1?keywords=Bed+head+by+tigi+moisture+maniac+conditioner+13.53+oz&amp;qid=1695259400&amp;sr=8-1")</f>
        <v>https://www.amazon.com/Moisture-Moisturizing-Shampoo-Moisturising-Conditioner/dp/B017TETEL0/ref=sr_1_1?keywords=Bed+head+by+tigi+moisture+maniac+conditioner+13.53+oz&amp;qid=1695259400&amp;sr=8-1</v>
      </c>
      <c r="F2109" t="s">
        <v>5218</v>
      </c>
      <c r="G2109" t="e">
        <f ca="1">IMAGE("https://prolisok-store.com/cdn/shop/products/458919_300x.jpg?v=1690899990")</f>
        <v>#NAME?</v>
      </c>
      <c r="H2109" t="e">
        <f ca="1">IMAGE("https://m.media-amazon.com/images/I/71I3MeE6kwL._AC_UL320_.jpg")</f>
        <v>#NAME?</v>
      </c>
      <c r="I2109" t="s">
        <v>5103</v>
      </c>
      <c r="J2109">
        <v>39.9</v>
      </c>
      <c r="K2109" s="2" t="s">
        <v>5219</v>
      </c>
      <c r="L2109">
        <v>4.5</v>
      </c>
      <c r="M2109">
        <v>12</v>
      </c>
      <c r="O2109" t="s">
        <v>26</v>
      </c>
      <c r="P2109" t="s">
        <v>39</v>
      </c>
      <c r="Q2109" t="s">
        <v>5220</v>
      </c>
    </row>
    <row r="2110" spans="1:17" ht="15.75" x14ac:dyDescent="0.25">
      <c r="A2110" s="3" t="str">
        <f>HYPERLINK("https://prolisok-store.com/collections/hair-care/products/bed-head-by-tigi-foxy-curls-extreme-curl-mousse-8-45-oz", "https://prolisok-store.com/collections/hair-care/products/bed-head-by-tigi-foxy-curls-extreme-curl-mousse-8-45-oz")</f>
        <v>https://prolisok-store.com/collections/hair-care/products/bed-head-by-tigi-foxy-curls-extreme-curl-mousse-8-45-oz</v>
      </c>
      <c r="B2110" s="3" t="str">
        <f>HYPERLINK("https://prolisok-store.com/products/bed-head-by-tigi-foxy-curls-extreme-curl-mousse-8-45-oz", "https://prolisok-store.com/products/bed-head-by-tigi-foxy-curls-extreme-curl-mousse-8-45-oz")</f>
        <v>https://prolisok-store.com/products/bed-head-by-tigi-foxy-curls-extreme-curl-mousse-8-45-oz</v>
      </c>
      <c r="C2110" t="s">
        <v>5221</v>
      </c>
      <c r="D2110" t="s">
        <v>5222</v>
      </c>
      <c r="E2110" s="3" t="str">
        <f>HYPERLINK("https://www.amazon.com/TIGI-CurlsTM-Curly-Mousse-Strong/dp/B09RZLDM4R/ref=sr_1_7?keywords=Bed+head+by+tigi+foxy+curls+extreme+curl+mousse+8.45+oz&amp;qid=1695259383&amp;sr=8-7", "https://www.amazon.com/TIGI-CurlsTM-Curly-Mousse-Strong/dp/B09RZLDM4R/ref=sr_1_7?keywords=Bed+head+by+tigi+foxy+curls+extreme+curl+mousse+8.45+oz&amp;qid=1695259383&amp;sr=8-7")</f>
        <v>https://www.amazon.com/TIGI-CurlsTM-Curly-Mousse-Strong/dp/B09RZLDM4R/ref=sr_1_7?keywords=Bed+head+by+tigi+foxy+curls+extreme+curl+mousse+8.45+oz&amp;qid=1695259383&amp;sr=8-7</v>
      </c>
      <c r="F2110" t="s">
        <v>5223</v>
      </c>
      <c r="G2110" t="e">
        <f ca="1">IMAGE("https://prolisok-store.com/cdn/shop/products/166973_300x.jpg?v=1690899971")</f>
        <v>#NAME?</v>
      </c>
      <c r="H2110" t="e">
        <f ca="1">IMAGE("https://m.media-amazon.com/images/I/61WA8t3JC4L._AC_UL320_.jpg")</f>
        <v>#NAME?</v>
      </c>
      <c r="I2110" t="s">
        <v>5135</v>
      </c>
      <c r="J2110">
        <v>52.99</v>
      </c>
      <c r="K2110" s="2" t="s">
        <v>5224</v>
      </c>
      <c r="L2110">
        <v>4.8</v>
      </c>
      <c r="M2110">
        <v>7</v>
      </c>
      <c r="O2110" t="s">
        <v>26</v>
      </c>
      <c r="P2110" t="s">
        <v>39</v>
      </c>
      <c r="Q2110" t="s">
        <v>5225</v>
      </c>
    </row>
    <row r="2111" spans="1:17" ht="15.75" x14ac:dyDescent="0.25">
      <c r="A2111" s="3" t="str">
        <f>HYPERLINK("https://prolisok-store.com/collections/hair-care/products/bed-head-by-tigi-resurrection-shampoo-8-45-oz", "https://prolisok-store.com/collections/hair-care/products/bed-head-by-tigi-resurrection-shampoo-8-45-oz")</f>
        <v>https://prolisok-store.com/collections/hair-care/products/bed-head-by-tigi-resurrection-shampoo-8-45-oz</v>
      </c>
      <c r="B2111" s="3" t="str">
        <f>HYPERLINK("https://prolisok-store.com/products/bed-head-by-tigi-resurrection-shampoo-8-45-oz", "https://prolisok-store.com/products/bed-head-by-tigi-resurrection-shampoo-8-45-oz")</f>
        <v>https://prolisok-store.com/products/bed-head-by-tigi-resurrection-shampoo-8-45-oz</v>
      </c>
      <c r="C2111" t="s">
        <v>5226</v>
      </c>
      <c r="D2111" t="s">
        <v>5227</v>
      </c>
      <c r="E2111" s="3" t="str">
        <f>HYPERLINK("https://www.amazon.com/Urban-Antidotes-Resurrection-Shampoo-Damage/dp/B09BK81WTZ/ref=sr_1_4?keywords=Bed+head+by+tigi+resurrection+shampoo+8.45+oz&amp;qid=1695259396&amp;sr=8-4", "https://www.amazon.com/Urban-Antidotes-Resurrection-Shampoo-Damage/dp/B09BK81WTZ/ref=sr_1_4?keywords=Bed+head+by+tigi+resurrection+shampoo+8.45+oz&amp;qid=1695259396&amp;sr=8-4")</f>
        <v>https://www.amazon.com/Urban-Antidotes-Resurrection-Shampoo-Damage/dp/B09BK81WTZ/ref=sr_1_4?keywords=Bed+head+by+tigi+resurrection+shampoo+8.45+oz&amp;qid=1695259396&amp;sr=8-4</v>
      </c>
      <c r="F2111" t="s">
        <v>5228</v>
      </c>
      <c r="G2111" t="e">
        <f ca="1">IMAGE("https://prolisok-store.com/cdn/shop/products/195947_300x.jpg?v=1690899986")</f>
        <v>#NAME?</v>
      </c>
      <c r="H2111" t="e">
        <f ca="1">IMAGE("https://m.media-amazon.com/images/I/412yzu18PUL._AC_UL320_.jpg")</f>
        <v>#NAME?</v>
      </c>
      <c r="I2111" t="s">
        <v>5229</v>
      </c>
      <c r="J2111">
        <v>35.99</v>
      </c>
      <c r="K2111" s="2" t="s">
        <v>5230</v>
      </c>
      <c r="L2111">
        <v>4.7</v>
      </c>
      <c r="M2111">
        <v>9</v>
      </c>
      <c r="O2111" t="s">
        <v>26</v>
      </c>
      <c r="P2111" t="s">
        <v>39</v>
      </c>
      <c r="Q2111" t="s">
        <v>5231</v>
      </c>
    </row>
    <row r="2112" spans="1:17" ht="15.75" x14ac:dyDescent="0.25">
      <c r="A2112" s="3" t="str">
        <f>HYPERLINK("https://prolisok-store.com/collections/hair-care/products/bed-head-by-tigi-stick-a-hair-stick-for-cool-people-2-7-oz", "https://prolisok-store.com/collections/hair-care/products/bed-head-by-tigi-stick-a-hair-stick-for-cool-people-2-7-oz")</f>
        <v>https://prolisok-store.com/collections/hair-care/products/bed-head-by-tigi-stick-a-hair-stick-for-cool-people-2-7-oz</v>
      </c>
      <c r="B2112" s="3" t="str">
        <f>HYPERLINK("https://prolisok-store.com/products/bed-head-by-tigi-stick-a-hair-stick-for-cool-people-2-7-oz", "https://prolisok-store.com/products/bed-head-by-tigi-stick-a-hair-stick-for-cool-people-2-7-oz")</f>
        <v>https://prolisok-store.com/products/bed-head-by-tigi-stick-a-hair-stick-for-cool-people-2-7-oz</v>
      </c>
      <c r="C2112" t="s">
        <v>5232</v>
      </c>
      <c r="D2112" t="s">
        <v>5233</v>
      </c>
      <c r="E2112" s="3" t="str">
        <f>HYPERLINK("https://www.amazon.com/BED-HEAD-Tigi-STICK-Package/dp/B000NTZDHI/ref=sr_1_1?keywords=Bed+head+by+tigi+stick+-+a+hair+stick+for+cool+people+2.7+oz&amp;qid=1695259383&amp;sr=8-1", "https://www.amazon.com/BED-HEAD-Tigi-STICK-Package/dp/B000NTZDHI/ref=sr_1_1?keywords=Bed+head+by+tigi+stick+-+a+hair+stick+for+cool+people+2.7+oz&amp;qid=1695259383&amp;sr=8-1")</f>
        <v>https://www.amazon.com/BED-HEAD-Tigi-STICK-Package/dp/B000NTZDHI/ref=sr_1_1?keywords=Bed+head+by+tigi+stick+-+a+hair+stick+for+cool+people+2.7+oz&amp;qid=1695259383&amp;sr=8-1</v>
      </c>
      <c r="F2112" t="s">
        <v>5234</v>
      </c>
      <c r="G2112" t="e">
        <f ca="1">IMAGE("https://prolisok-store.com/cdn/shop/products/152852_300x.jpg?v=1690899965")</f>
        <v>#NAME?</v>
      </c>
      <c r="H2112" t="e">
        <f ca="1">IMAGE("https://m.media-amazon.com/images/I/610w2-xWDEL._AC_UL320_.jpg")</f>
        <v>#NAME?</v>
      </c>
      <c r="I2112" t="s">
        <v>1748</v>
      </c>
      <c r="J2112">
        <v>57.31</v>
      </c>
      <c r="K2112" s="2" t="s">
        <v>5235</v>
      </c>
      <c r="L2112">
        <v>4.7</v>
      </c>
      <c r="M2112">
        <v>463</v>
      </c>
      <c r="O2112" t="s">
        <v>26</v>
      </c>
      <c r="P2112" t="s">
        <v>39</v>
      </c>
      <c r="Q2112" t="s">
        <v>5236</v>
      </c>
    </row>
    <row r="2113" spans="1:17" ht="15.75" x14ac:dyDescent="0.25">
      <c r="A2113" s="3" t="str">
        <f>HYPERLINK("https://prolisok-store.com/collections/hair-care/products/bed-head-by-tigi-small-talk-thickening-cream-4-23-oz", "https://prolisok-store.com/collections/hair-care/products/bed-head-by-tigi-small-talk-thickening-cream-4-23-oz")</f>
        <v>https://prolisok-store.com/collections/hair-care/products/bed-head-by-tigi-small-talk-thickening-cream-4-23-oz</v>
      </c>
      <c r="B2113" s="3" t="str">
        <f>HYPERLINK("https://prolisok-store.com/products/bed-head-by-tigi-small-talk-thickening-cream-4-23-oz", "https://prolisok-store.com/products/bed-head-by-tigi-small-talk-thickening-cream-4-23-oz")</f>
        <v>https://prolisok-store.com/products/bed-head-by-tigi-small-talk-thickening-cream-4-23-oz</v>
      </c>
      <c r="C2113" t="s">
        <v>5144</v>
      </c>
      <c r="D2113" t="s">
        <v>5237</v>
      </c>
      <c r="E2113" s="3" t="str">
        <f>HYPERLINK("https://www.amazon.com/Head-Small-Talk-Thickifier-TIGI/dp/B001EWF29M/ref=sr_1_4?keywords=Bed+head+by+tigi+small+talk+thickening+cream+4.23+oz&amp;qid=1695259387&amp;sr=8-4", "https://www.amazon.com/Head-Small-Talk-Thickifier-TIGI/dp/B001EWF29M/ref=sr_1_4?keywords=Bed+head+by+tigi+small+talk+thickening+cream+4.23+oz&amp;qid=1695259387&amp;sr=8-4")</f>
        <v>https://www.amazon.com/Head-Small-Talk-Thickifier-TIGI/dp/B001EWF29M/ref=sr_1_4?keywords=Bed+head+by+tigi+small+talk+thickening+cream+4.23+oz&amp;qid=1695259387&amp;sr=8-4</v>
      </c>
      <c r="F2113" t="s">
        <v>5238</v>
      </c>
      <c r="G2113" t="e">
        <f ca="1">IMAGE("https://prolisok-store.com/cdn/shop/products/416090_300x.jpg?v=1690900049")</f>
        <v>#NAME?</v>
      </c>
      <c r="H2113" t="e">
        <f ca="1">IMAGE("https://m.media-amazon.com/images/I/51dahAgcBmL._AC_UL320_.jpg")</f>
        <v>#NAME?</v>
      </c>
      <c r="I2113" t="s">
        <v>5115</v>
      </c>
      <c r="J2113">
        <v>24.05</v>
      </c>
      <c r="K2113" s="2" t="s">
        <v>5239</v>
      </c>
      <c r="L2113">
        <v>4.5999999999999996</v>
      </c>
      <c r="M2113">
        <v>4485</v>
      </c>
      <c r="O2113" t="s">
        <v>26</v>
      </c>
      <c r="P2113" t="s">
        <v>39</v>
      </c>
      <c r="Q2113" t="s">
        <v>5148</v>
      </c>
    </row>
    <row r="2114" spans="1:17" ht="15.75" x14ac:dyDescent="0.25">
      <c r="A2114" s="3" t="str">
        <f>HYPERLINK("https://prolisok-store.com/collections/hair-care/products/bed-head-by-tigi-resurrection-shampoo-13-53-oz", "https://prolisok-store.com/collections/hair-care/products/bed-head-by-tigi-resurrection-shampoo-13-53-oz")</f>
        <v>https://prolisok-store.com/collections/hair-care/products/bed-head-by-tigi-resurrection-shampoo-13-53-oz</v>
      </c>
      <c r="B2114" s="3" t="str">
        <f>HYPERLINK("https://prolisok-store.com/products/bed-head-by-tigi-resurrection-shampoo-13-53-oz", "https://prolisok-store.com/products/bed-head-by-tigi-resurrection-shampoo-13-53-oz")</f>
        <v>https://prolisok-store.com/products/bed-head-by-tigi-resurrection-shampoo-13-53-oz</v>
      </c>
      <c r="C2114" t="s">
        <v>5240</v>
      </c>
      <c r="D2114" t="s">
        <v>5227</v>
      </c>
      <c r="E2114" s="3" t="str">
        <f>HYPERLINK("https://www.amazon.com/Urban-Antidotes-Resurrection-Shampoo-Damage/dp/B09BK81WTZ/ref=sr_1_9?keywords=Bed+head+by+tigi+resurrection+shampoo+13.53+oz&amp;qid=1695259387&amp;sr=8-9", "https://www.amazon.com/Urban-Antidotes-Resurrection-Shampoo-Damage/dp/B09BK81WTZ/ref=sr_1_9?keywords=Bed+head+by+tigi+resurrection+shampoo+13.53+oz&amp;qid=1695259387&amp;sr=8-9")</f>
        <v>https://www.amazon.com/Urban-Antidotes-Resurrection-Shampoo-Damage/dp/B09BK81WTZ/ref=sr_1_9?keywords=Bed+head+by+tigi+resurrection+shampoo+13.53+oz&amp;qid=1695259387&amp;sr=8-9</v>
      </c>
      <c r="F2114" t="s">
        <v>5228</v>
      </c>
      <c r="G2114" t="e">
        <f ca="1">IMAGE("https://prolisok-store.com/cdn/shop/products/416081_300x.jpg?v=1690900035")</f>
        <v>#NAME?</v>
      </c>
      <c r="H2114" t="e">
        <f ca="1">IMAGE("https://m.media-amazon.com/images/I/412yzu18PUL._AC_UL320_.jpg")</f>
        <v>#NAME?</v>
      </c>
      <c r="I2114" t="s">
        <v>5103</v>
      </c>
      <c r="J2114">
        <v>35.99</v>
      </c>
      <c r="K2114" s="2" t="s">
        <v>5241</v>
      </c>
      <c r="L2114">
        <v>4.7</v>
      </c>
      <c r="M2114">
        <v>9</v>
      </c>
      <c r="O2114" t="s">
        <v>26</v>
      </c>
      <c r="P2114" t="s">
        <v>39</v>
      </c>
      <c r="Q2114" t="s">
        <v>5242</v>
      </c>
    </row>
    <row r="2115" spans="1:17" ht="15.75" x14ac:dyDescent="0.25">
      <c r="A2115" s="3" t="str">
        <f>HYPERLINK("https://prolisok-store.com/collections/hair-care/products/catwalk-by-tigi-sleek-mystique-look-lock-hair-spray-9-2-oz", "https://prolisok-store.com/collections/hair-care/products/catwalk-by-tigi-sleek-mystique-look-lock-hair-spray-9-2-oz")</f>
        <v>https://prolisok-store.com/collections/hair-care/products/catwalk-by-tigi-sleek-mystique-look-lock-hair-spray-9-2-oz</v>
      </c>
      <c r="B2115" s="3" t="str">
        <f>HYPERLINK("https://prolisok-store.com/products/catwalk-by-tigi-sleek-mystique-look-lock-hair-spray-9-2-oz", "https://prolisok-store.com/products/catwalk-by-tigi-sleek-mystique-look-lock-hair-spray-9-2-oz")</f>
        <v>https://prolisok-store.com/products/catwalk-by-tigi-sleek-mystique-look-lock-hair-spray-9-2-oz</v>
      </c>
      <c r="C2115" t="s">
        <v>5243</v>
      </c>
      <c r="D2115" t="s">
        <v>5244</v>
      </c>
      <c r="E2115" s="3" t="str">
        <f>HYPERLINK("https://www.amazon.com/TIGI-Straight-Collection-Mystique-Look-lock/dp/B075G239KR/ref=sr_1_2?keywords=Catwalk+by+tigi+sleek+mystique+look-lock+hair+spray+9.2+oz&amp;qid=1695259377&amp;sr=8-2", "https://www.amazon.com/TIGI-Straight-Collection-Mystique-Look-lock/dp/B075G239KR/ref=sr_1_2?keywords=Catwalk+by+tigi+sleek+mystique+look-lock+hair+spray+9.2+oz&amp;qid=1695259377&amp;sr=8-2")</f>
        <v>https://www.amazon.com/TIGI-Straight-Collection-Mystique-Look-lock/dp/B075G239KR/ref=sr_1_2?keywords=Catwalk+by+tigi+sleek+mystique+look-lock+hair+spray+9.2+oz&amp;qid=1695259377&amp;sr=8-2</v>
      </c>
      <c r="F2115" t="s">
        <v>5245</v>
      </c>
      <c r="G2115" t="e">
        <f ca="1">IMAGE("https://prolisok-store.com/cdn/shop/products/212032_300x.jpg?v=1690900057")</f>
        <v>#NAME?</v>
      </c>
      <c r="H2115" t="e">
        <f ca="1">IMAGE("https://m.media-amazon.com/images/I/31o2RnrvuUL._AC_UL320_.jpg")</f>
        <v>#NAME?</v>
      </c>
      <c r="I2115" t="s">
        <v>5135</v>
      </c>
      <c r="J2115">
        <v>47.7</v>
      </c>
      <c r="K2115" s="2" t="s">
        <v>5246</v>
      </c>
      <c r="L2115">
        <v>5</v>
      </c>
      <c r="M2115">
        <v>2</v>
      </c>
      <c r="O2115" t="s">
        <v>26</v>
      </c>
      <c r="P2115" t="s">
        <v>39</v>
      </c>
      <c r="Q2115" t="s">
        <v>5247</v>
      </c>
    </row>
    <row r="2116" spans="1:17" ht="15.75" x14ac:dyDescent="0.25">
      <c r="A2116" s="3" t="str">
        <f>HYPERLINK("https://prolisok-store.com/collections/hair-care/products/bed-head-by-tigi-resurrection-shampoo-3-38-oz", "https://prolisok-store.com/collections/hair-care/products/bed-head-by-tigi-resurrection-shampoo-3-38-oz")</f>
        <v>https://prolisok-store.com/collections/hair-care/products/bed-head-by-tigi-resurrection-shampoo-3-38-oz</v>
      </c>
      <c r="B2116" s="3" t="str">
        <f>HYPERLINK("https://prolisok-store.com/products/bed-head-by-tigi-resurrection-shampoo-3-38-oz", "https://prolisok-store.com/products/bed-head-by-tigi-resurrection-shampoo-3-38-oz")</f>
        <v>https://prolisok-store.com/products/bed-head-by-tigi-resurrection-shampoo-3-38-oz</v>
      </c>
      <c r="C2116" t="s">
        <v>5176</v>
      </c>
      <c r="D2116" t="s">
        <v>5178</v>
      </c>
      <c r="E2116" s="3" t="str">
        <f>HYPERLINK("https://www.amazon.com/Bed-Head-Resurrection-Shampoo-Conditioner/dp/B003T18TE6/ref=sr_1_1?keywords=Bed+head+by+tigi+resurrection+shampoo+3.38+oz&amp;qid=1695259374&amp;sr=8-1", "https://www.amazon.com/Bed-Head-Resurrection-Shampoo-Conditioner/dp/B003T18TE6/ref=sr_1_1?keywords=Bed+head+by+tigi+resurrection+shampoo+3.38+oz&amp;qid=1695259374&amp;sr=8-1")</f>
        <v>https://www.amazon.com/Bed-Head-Resurrection-Shampoo-Conditioner/dp/B003T18TE6/ref=sr_1_1?keywords=Bed+head+by+tigi+resurrection+shampoo+3.38+oz&amp;qid=1695259374&amp;sr=8-1</v>
      </c>
      <c r="F2116" t="s">
        <v>5179</v>
      </c>
      <c r="G2116" t="e">
        <f ca="1">IMAGE("https://prolisok-store.com/cdn/shop/products/416088_300x.jpg?v=1690900045")</f>
        <v>#NAME?</v>
      </c>
      <c r="H2116" t="e">
        <f ca="1">IMAGE("https://m.media-amazon.com/images/I/71SUeFDYyNL._AC_UL320_.jpg")</f>
        <v>#NAME?</v>
      </c>
      <c r="I2116" t="s">
        <v>5166</v>
      </c>
      <c r="J2116">
        <v>19.38</v>
      </c>
      <c r="K2116" s="2" t="s">
        <v>5248</v>
      </c>
      <c r="L2116">
        <v>4.5999999999999996</v>
      </c>
      <c r="M2116">
        <v>12743</v>
      </c>
      <c r="O2116" t="s">
        <v>26</v>
      </c>
      <c r="P2116" t="s">
        <v>39</v>
      </c>
      <c r="Q2116" t="s">
        <v>5177</v>
      </c>
    </row>
    <row r="2117" spans="1:17" ht="15.75" x14ac:dyDescent="0.25">
      <c r="A2117" s="3" t="str">
        <f>HYPERLINK("https://prolisok-store.com/collections/hair-care/products/bed-head-by-tigi-resurrection-conditioner-3-38-oz", "https://prolisok-store.com/collections/hair-care/products/bed-head-by-tigi-resurrection-conditioner-3-38-oz")</f>
        <v>https://prolisok-store.com/collections/hair-care/products/bed-head-by-tigi-resurrection-conditioner-3-38-oz</v>
      </c>
      <c r="B2117" s="3" t="str">
        <f>HYPERLINK("https://prolisok-store.com/products/bed-head-by-tigi-resurrection-conditioner-3-38-oz", "https://prolisok-store.com/products/bed-head-by-tigi-resurrection-conditioner-3-38-oz")</f>
        <v>https://prolisok-store.com/products/bed-head-by-tigi-resurrection-conditioner-3-38-oz</v>
      </c>
      <c r="C2117" t="s">
        <v>5172</v>
      </c>
      <c r="D2117" t="s">
        <v>5178</v>
      </c>
      <c r="E2117" s="3" t="str">
        <f>HYPERLINK("https://www.amazon.com/Bed-Head-Resurrection-Shampoo-Conditioner/dp/B003T18TE6/ref=sr_1_2?keywords=Bed+head+by+tigi+resurrection+conditioner+3.38+oz&amp;qid=1695259395&amp;sr=8-2", "https://www.amazon.com/Bed-Head-Resurrection-Shampoo-Conditioner/dp/B003T18TE6/ref=sr_1_2?keywords=Bed+head+by+tigi+resurrection+conditioner+3.38+oz&amp;qid=1695259395&amp;sr=8-2")</f>
        <v>https://www.amazon.com/Bed-Head-Resurrection-Shampoo-Conditioner/dp/B003T18TE6/ref=sr_1_2?keywords=Bed+head+by+tigi+resurrection+conditioner+3.38+oz&amp;qid=1695259395&amp;sr=8-2</v>
      </c>
      <c r="F2117" t="s">
        <v>5179</v>
      </c>
      <c r="G2117" t="e">
        <f ca="1">IMAGE("https://prolisok-store.com/cdn/shop/products/416087_300x.jpg?v=1690900043")</f>
        <v>#NAME?</v>
      </c>
      <c r="H2117" t="e">
        <f ca="1">IMAGE("https://m.media-amazon.com/images/I/71SUeFDYyNL._AC_UL320_.jpg")</f>
        <v>#NAME?</v>
      </c>
      <c r="I2117" t="s">
        <v>5166</v>
      </c>
      <c r="J2117">
        <v>19.38</v>
      </c>
      <c r="K2117" s="2" t="s">
        <v>5248</v>
      </c>
      <c r="L2117">
        <v>4.5999999999999996</v>
      </c>
      <c r="M2117">
        <v>12743</v>
      </c>
      <c r="O2117" t="s">
        <v>26</v>
      </c>
      <c r="P2117" t="s">
        <v>39</v>
      </c>
      <c r="Q2117" t="s">
        <v>5175</v>
      </c>
    </row>
    <row r="2118" spans="1:17" ht="15.75" x14ac:dyDescent="0.25">
      <c r="A2118" s="3" t="str">
        <f>HYPERLINK("https://prolisok-store.com/collections/hair-care/products/catwalk-by-tigi-curls-rock-amplifier-5-oz", "https://prolisok-store.com/collections/hair-care/products/catwalk-by-tigi-curls-rock-amplifier-5-oz")</f>
        <v>https://prolisok-store.com/collections/hair-care/products/catwalk-by-tigi-curls-rock-amplifier-5-oz</v>
      </c>
      <c r="B2118" s="3" t="str">
        <f>HYPERLINK("https://prolisok-store.com/products/catwalk-by-tigi-curls-rock-amplifier-5-oz", "https://prolisok-store.com/products/catwalk-by-tigi-curls-rock-amplifier-5-oz")</f>
        <v>https://prolisok-store.com/products/catwalk-by-tigi-curls-rock-amplifier-5-oz</v>
      </c>
      <c r="C2118" t="s">
        <v>5121</v>
      </c>
      <c r="D2118" t="s">
        <v>5249</v>
      </c>
      <c r="E2118" s="3" t="str">
        <f>HYPERLINK("https://www.amazon.com/TIGI-Catwalk-Collection-Curlesque-Amplifier/dp/B00V8TK29Q/ref=sr_1_10?keywords=Catwalk+by+tigi+curls+rock+amplifier+5+oz&amp;qid=1695259398&amp;sr=8-10", "https://www.amazon.com/TIGI-Catwalk-Collection-Curlesque-Amplifier/dp/B00V8TK29Q/ref=sr_1_10?keywords=Catwalk+by+tigi+curls+rock+amplifier+5+oz&amp;qid=1695259398&amp;sr=8-10")</f>
        <v>https://www.amazon.com/TIGI-Catwalk-Collection-Curlesque-Amplifier/dp/B00V8TK29Q/ref=sr_1_10?keywords=Catwalk+by+tigi+curls+rock+amplifier+5+oz&amp;qid=1695259398&amp;sr=8-10</v>
      </c>
      <c r="F2118" t="s">
        <v>5250</v>
      </c>
      <c r="G2118" t="e">
        <f ca="1">IMAGE("https://prolisok-store.com/cdn/shop/products/191298_300x.jpg?v=1690900062")</f>
        <v>#NAME?</v>
      </c>
      <c r="H2118" t="e">
        <f ca="1">IMAGE("https://m.media-amazon.com/images/I/61Y5IIvCnAL._AC_UL320_.jpg")</f>
        <v>#NAME?</v>
      </c>
      <c r="I2118" t="s">
        <v>5124</v>
      </c>
      <c r="J2118">
        <v>44.99</v>
      </c>
      <c r="K2118" s="2" t="s">
        <v>5251</v>
      </c>
      <c r="L2118">
        <v>4.5999999999999996</v>
      </c>
      <c r="M2118">
        <v>9</v>
      </c>
      <c r="O2118" t="s">
        <v>26</v>
      </c>
      <c r="P2118" t="s">
        <v>39</v>
      </c>
      <c r="Q2118" t="s">
        <v>5126</v>
      </c>
    </row>
    <row r="2119" spans="1:17" ht="15.75" x14ac:dyDescent="0.25">
      <c r="A2119" s="3" t="str">
        <f>HYPERLINK("https://prolisok-store.com/collections/hair-care/products/bed-head-by-tigi-resurrection-conditioner-3-38-oz", "https://prolisok-store.com/collections/hair-care/products/bed-head-by-tigi-resurrection-conditioner-3-38-oz")</f>
        <v>https://prolisok-store.com/collections/hair-care/products/bed-head-by-tigi-resurrection-conditioner-3-38-oz</v>
      </c>
      <c r="B2119" s="3" t="str">
        <f>HYPERLINK("https://prolisok-store.com/products/bed-head-by-tigi-resurrection-conditioner-3-38-oz", "https://prolisok-store.com/products/bed-head-by-tigi-resurrection-conditioner-3-38-oz")</f>
        <v>https://prolisok-store.com/products/bed-head-by-tigi-resurrection-conditioner-3-38-oz</v>
      </c>
      <c r="C2119" t="s">
        <v>5172</v>
      </c>
      <c r="D2119" t="s">
        <v>5188</v>
      </c>
      <c r="E2119" s="3" t="str">
        <f>HYPERLINK("https://www.amazon.com/TIGI-Urban-Resurrection-Conditioner-level-3/dp/B006A6TU5Y/ref=sr_1_7?keywords=Bed+head+by+tigi+resurrection+conditioner+3.38+oz&amp;qid=1695259395&amp;sr=8-7", "https://www.amazon.com/TIGI-Urban-Resurrection-Conditioner-level-3/dp/B006A6TU5Y/ref=sr_1_7?keywords=Bed+head+by+tigi+resurrection+conditioner+3.38+oz&amp;qid=1695259395&amp;sr=8-7")</f>
        <v>https://www.amazon.com/TIGI-Urban-Resurrection-Conditioner-level-3/dp/B006A6TU5Y/ref=sr_1_7?keywords=Bed+head+by+tigi+resurrection+conditioner+3.38+oz&amp;qid=1695259395&amp;sr=8-7</v>
      </c>
      <c r="F2119" t="s">
        <v>5189</v>
      </c>
      <c r="G2119" t="e">
        <f ca="1">IMAGE("https://prolisok-store.com/cdn/shop/products/416087_300x.jpg?v=1690900043")</f>
        <v>#NAME?</v>
      </c>
      <c r="H2119" t="e">
        <f ca="1">IMAGE("https://m.media-amazon.com/images/I/81S1QERjQ8L._AC_UL320_.jpg")</f>
        <v>#NAME?</v>
      </c>
      <c r="I2119" t="s">
        <v>5166</v>
      </c>
      <c r="J2119">
        <v>18.600000000000001</v>
      </c>
      <c r="K2119" s="2" t="s">
        <v>5252</v>
      </c>
      <c r="L2119">
        <v>4.3</v>
      </c>
      <c r="M2119">
        <v>106</v>
      </c>
      <c r="O2119" t="s">
        <v>26</v>
      </c>
      <c r="P2119" t="s">
        <v>39</v>
      </c>
      <c r="Q2119" t="s">
        <v>5175</v>
      </c>
    </row>
    <row r="2120" spans="1:17" ht="15.75" x14ac:dyDescent="0.25">
      <c r="A2120" s="3" t="str">
        <f>HYPERLINK("https://prolisok-store.com/collections/hair-care/products/bed-head-by-tigi-lightheaded-hairspray-light-hold-5-5-oz", "https://prolisok-store.com/collections/hair-care/products/bed-head-by-tigi-lightheaded-hairspray-light-hold-5-5-oz")</f>
        <v>https://prolisok-store.com/collections/hair-care/products/bed-head-by-tigi-lightheaded-hairspray-light-hold-5-5-oz</v>
      </c>
      <c r="B2120" s="3" t="str">
        <f>HYPERLINK("https://prolisok-store.com/products/bed-head-by-tigi-lightheaded-hairspray-light-hold-5-5-oz", "https://prolisok-store.com/products/bed-head-by-tigi-lightheaded-hairspray-light-hold-5-5-oz")</f>
        <v>https://prolisok-store.com/products/bed-head-by-tigi-lightheaded-hairspray-light-hold-5-5-oz</v>
      </c>
      <c r="C2120" t="s">
        <v>5253</v>
      </c>
      <c r="D2120" t="s">
        <v>5254</v>
      </c>
      <c r="E2120" s="3" t="str">
        <f>HYPERLINK("https://www.amazon.com/Bed-Head-Masterpiece-Hairspray-Strong/dp/B0C4R4X1N5/ref=sr_1_8?keywords=Bed+head+by+tigi+lightheaded+hairspray+light+hold+5.5+oz&amp;qid=1695259378&amp;sr=8-8", "https://www.amazon.com/Bed-Head-Masterpiece-Hairspray-Strong/dp/B0C4R4X1N5/ref=sr_1_8?keywords=Bed+head+by+tigi+lightheaded+hairspray+light+hold+5.5+oz&amp;qid=1695259378&amp;sr=8-8")</f>
        <v>https://www.amazon.com/Bed-Head-Masterpiece-Hairspray-Strong/dp/B0C4R4X1N5/ref=sr_1_8?keywords=Bed+head+by+tigi+lightheaded+hairspray+light+hold+5.5+oz&amp;qid=1695259378&amp;sr=8-8</v>
      </c>
      <c r="F2120" t="s">
        <v>5255</v>
      </c>
      <c r="G2120" t="e">
        <f ca="1">IMAGE("https://prolisok-store.com/cdn/shop/products/416074_300x.jpg?v=1690900023")</f>
        <v>#NAME?</v>
      </c>
      <c r="H2120" t="e">
        <f ca="1">IMAGE("https://m.media-amazon.com/images/I/61SvwW6WhWL._AC_UL320_.jpg")</f>
        <v>#NAME?</v>
      </c>
      <c r="I2120" t="s">
        <v>5135</v>
      </c>
      <c r="J2120">
        <v>45.27</v>
      </c>
      <c r="K2120" s="2" t="s">
        <v>5256</v>
      </c>
      <c r="L2120">
        <v>4.5</v>
      </c>
      <c r="M2120">
        <v>77</v>
      </c>
      <c r="O2120" t="s">
        <v>26</v>
      </c>
      <c r="P2120" t="s">
        <v>39</v>
      </c>
      <c r="Q2120" t="s">
        <v>5257</v>
      </c>
    </row>
    <row r="2121" spans="1:17" ht="15.75" x14ac:dyDescent="0.25">
      <c r="A2121" s="3" t="str">
        <f>HYPERLINK("https://prolisok-store.com/collections/hair-care/products/bed-head-by-tigi-urban-antidotes-recovery-shampoo-2-5-oz", "https://prolisok-store.com/collections/hair-care/products/bed-head-by-tigi-urban-antidotes-recovery-shampoo-2-5-oz")</f>
        <v>https://prolisok-store.com/collections/hair-care/products/bed-head-by-tigi-urban-antidotes-recovery-shampoo-2-5-oz</v>
      </c>
      <c r="B2121" s="3" t="str">
        <f>HYPERLINK("https://prolisok-store.com/products/bed-head-by-tigi-urban-antidotes-recovery-shampoo-2-5-oz", "https://prolisok-store.com/products/bed-head-by-tigi-urban-antidotes-recovery-shampoo-2-5-oz")</f>
        <v>https://prolisok-store.com/products/bed-head-by-tigi-urban-antidotes-recovery-shampoo-2-5-oz</v>
      </c>
      <c r="C2121" t="s">
        <v>5106</v>
      </c>
      <c r="D2121" t="s">
        <v>5258</v>
      </c>
      <c r="E2121" s="3" t="str">
        <f>HYPERLINK("https://www.amazon.com/Tigi-Urban-Antidotes-Recovery-Shampoo/dp/B07CRD1BZV/ref=sr_1_2?keywords=bed+head+by+tigi+urban+antidotes+recovery+shampoo+2.5+oz&amp;qid=1695259374&amp;sr=8-2", "https://www.amazon.com/Tigi-Urban-Antidotes-Recovery-Shampoo/dp/B07CRD1BZV/ref=sr_1_2?keywords=bed+head+by+tigi+urban+antidotes+recovery+shampoo+2.5+oz&amp;qid=1695259374&amp;sr=8-2")</f>
        <v>https://www.amazon.com/Tigi-Urban-Antidotes-Recovery-Shampoo/dp/B07CRD1BZV/ref=sr_1_2?keywords=bed+head+by+tigi+urban+antidotes+recovery+shampoo+2.5+oz&amp;qid=1695259374&amp;sr=8-2</v>
      </c>
      <c r="F2121" t="s">
        <v>5259</v>
      </c>
      <c r="G2121" t="e">
        <f ca="1">IMAGE("https://prolisok-store.com/cdn/shop/products/342172_300x.jpg?v=1690899918")</f>
        <v>#NAME?</v>
      </c>
      <c r="H2121" t="e">
        <f ca="1">IMAGE("https://m.media-amazon.com/images/I/71eHw+WSvTL._AC_UL320_.jpg")</f>
        <v>#NAME?</v>
      </c>
      <c r="I2121" t="s">
        <v>5109</v>
      </c>
      <c r="J2121">
        <v>13.59</v>
      </c>
      <c r="K2121" s="2" t="s">
        <v>5260</v>
      </c>
      <c r="L2121">
        <v>3</v>
      </c>
      <c r="M2121">
        <v>2</v>
      </c>
      <c r="O2121" t="s">
        <v>26</v>
      </c>
      <c r="P2121" t="s">
        <v>39</v>
      </c>
      <c r="Q2121" t="s">
        <v>5111</v>
      </c>
    </row>
    <row r="2122" spans="1:17" ht="15.75" x14ac:dyDescent="0.25">
      <c r="A2122" s="3" t="str">
        <f>HYPERLINK("https://prolisok-store.com/collections/hair-care/products/bed-head-by-tigi-colour-goddess-oil-infused-shampoo-for-coloured-hair-13-5-oz", "https://prolisok-store.com/collections/hair-care/products/bed-head-by-tigi-colour-goddess-oil-infused-shampoo-for-coloured-hair-13-5-oz")</f>
        <v>https://prolisok-store.com/collections/hair-care/products/bed-head-by-tigi-colour-goddess-oil-infused-shampoo-for-coloured-hair-13-5-oz</v>
      </c>
      <c r="B2122" s="3" t="str">
        <f>HYPERLINK("https://prolisok-store.com/products/bed-head-by-tigi-colour-goddess-oil-infused-shampoo-for-coloured-hair-13-5-oz", "https://prolisok-store.com/products/bed-head-by-tigi-colour-goddess-oil-infused-shampoo-for-coloured-hair-13-5-oz")</f>
        <v>https://prolisok-store.com/products/bed-head-by-tigi-colour-goddess-oil-infused-shampoo-for-coloured-hair-13-5-oz</v>
      </c>
      <c r="C2122" t="s">
        <v>5261</v>
      </c>
      <c r="D2122" t="s">
        <v>5262</v>
      </c>
      <c r="E2122" s="3" t="str">
        <f>HYPERLINK("https://www.amazon.com/TIGI-Goddess-Shampoo-Conditioner-Coloured/dp/B0BNWF9TQ8/ref=sr_1_10?keywords=Bed+head+by+tigi+colour+goddess+oil+infused+shampoo+for+coloured+hair+13.5+oz&amp;qid=1695259369&amp;sr=8-10", "https://www.amazon.com/TIGI-Goddess-Shampoo-Conditioner-Coloured/dp/B0BNWF9TQ8/ref=sr_1_10?keywords=Bed+head+by+tigi+colour+goddess+oil+infused+shampoo+for+coloured+hair+13.5+oz&amp;qid=1695259369&amp;sr=8-10")</f>
        <v>https://www.amazon.com/TIGI-Goddess-Shampoo-Conditioner-Coloured/dp/B0BNWF9TQ8/ref=sr_1_10?keywords=Bed+head+by+tigi+colour+goddess+oil+infused+shampoo+for+coloured+hair+13.5+oz&amp;qid=1695259369&amp;sr=8-10</v>
      </c>
      <c r="F2122" t="s">
        <v>5263</v>
      </c>
      <c r="G2122" t="e">
        <f ca="1">IMAGE("https://prolisok-store.com/cdn/shop/products/251252_300x.jpg?v=1690899937")</f>
        <v>#NAME?</v>
      </c>
      <c r="H2122" t="e">
        <f ca="1">IMAGE("https://m.media-amazon.com/images/I/41WPvwrim2L._AC_UL320_.jpg")</f>
        <v>#NAME?</v>
      </c>
      <c r="I2122" t="s">
        <v>5103</v>
      </c>
      <c r="J2122">
        <v>32</v>
      </c>
      <c r="K2122" s="2" t="s">
        <v>5264</v>
      </c>
      <c r="L2122">
        <v>4</v>
      </c>
      <c r="M2122">
        <v>13</v>
      </c>
      <c r="O2122" t="s">
        <v>26</v>
      </c>
      <c r="P2122" t="s">
        <v>39</v>
      </c>
      <c r="Q2122" t="s">
        <v>5265</v>
      </c>
    </row>
    <row r="2123" spans="1:17" ht="15.75" x14ac:dyDescent="0.25">
      <c r="A2123" s="3" t="str">
        <f>HYPERLINK("https://prolisok-store.com/collections/hair-care/products/bed-head-men-by-tigi-wise-up-scalp-shampoo-8-45-oz", "https://prolisok-store.com/collections/hair-care/products/bed-head-men-by-tigi-wise-up-scalp-shampoo-8-45-oz")</f>
        <v>https://prolisok-store.com/collections/hair-care/products/bed-head-men-by-tigi-wise-up-scalp-shampoo-8-45-oz</v>
      </c>
      <c r="B2123" s="3" t="str">
        <f>HYPERLINK("https://prolisok-store.com/products/bed-head-men-by-tigi-wise-up-scalp-shampoo-8-45-oz", "https://prolisok-store.com/products/bed-head-men-by-tigi-wise-up-scalp-shampoo-8-45-oz")</f>
        <v>https://prolisok-store.com/products/bed-head-men-by-tigi-wise-up-scalp-shampoo-8-45-oz</v>
      </c>
      <c r="C2123" t="s">
        <v>5266</v>
      </c>
      <c r="D2123" t="s">
        <v>5267</v>
      </c>
      <c r="E2123" s="3" t="str">
        <f>HYPERLINK("https://www.amazon.com/Tigi-Bed-Head-Men-Clean/dp/B01BVV6CVM/ref=sr_1_10?keywords=Bed+head+men+by+tigi+wise+up+scalp+shampoo+8.45+oz&amp;qid=1695259382&amp;sr=8-10", "https://www.amazon.com/Tigi-Bed-Head-Men-Clean/dp/B01BVV6CVM/ref=sr_1_10?keywords=Bed+head+men+by+tigi+wise+up+scalp+shampoo+8.45+oz&amp;qid=1695259382&amp;sr=8-10")</f>
        <v>https://www.amazon.com/Tigi-Bed-Head-Men-Clean/dp/B01BVV6CVM/ref=sr_1_10?keywords=Bed+head+men+by+tigi+wise+up+scalp+shampoo+8.45+oz&amp;qid=1695259382&amp;sr=8-10</v>
      </c>
      <c r="F2123" t="s">
        <v>5268</v>
      </c>
      <c r="G2123" t="e">
        <f ca="1">IMAGE("https://prolisok-store.com/cdn/shop/products/280801_300x.jpg?v=1690900112")</f>
        <v>#NAME?</v>
      </c>
      <c r="H2123" t="e">
        <f ca="1">IMAGE("https://m.media-amazon.com/images/I/51j4MZXaJeL._AC_UL320_.jpg")</f>
        <v>#NAME?</v>
      </c>
      <c r="I2123" t="s">
        <v>5229</v>
      </c>
      <c r="J2123">
        <v>28.99</v>
      </c>
      <c r="K2123" s="2" t="s">
        <v>5269</v>
      </c>
      <c r="L2123">
        <v>4.7</v>
      </c>
      <c r="M2123">
        <v>4134</v>
      </c>
      <c r="O2123" t="s">
        <v>26</v>
      </c>
      <c r="P2123" t="s">
        <v>39</v>
      </c>
      <c r="Q2123" t="s">
        <v>5270</v>
      </c>
    </row>
    <row r="2124" spans="1:17" ht="15.75" x14ac:dyDescent="0.25">
      <c r="A2124" s="3" t="str">
        <f>HYPERLINK("https://prolisok-store.com/collections/hair-care/products/bed-head-by-tigi-small-talk-thickening-cream-4-23-oz", "https://prolisok-store.com/collections/hair-care/products/bed-head-by-tigi-small-talk-thickening-cream-4-23-oz")</f>
        <v>https://prolisok-store.com/collections/hair-care/products/bed-head-by-tigi-small-talk-thickening-cream-4-23-oz</v>
      </c>
      <c r="B2124" s="3" t="str">
        <f>HYPERLINK("https://prolisok-store.com/products/bed-head-by-tigi-small-talk-thickening-cream-4-23-oz", "https://prolisok-store.com/products/bed-head-by-tigi-small-talk-thickening-cream-4-23-oz")</f>
        <v>https://prolisok-store.com/products/bed-head-by-tigi-small-talk-thickening-cream-4-23-oz</v>
      </c>
      <c r="C2124" t="s">
        <v>5144</v>
      </c>
      <c r="D2124" t="s">
        <v>5271</v>
      </c>
      <c r="E2124" s="3" t="str">
        <f>HYPERLINK("https://www.amazon.com/Bed-Head-Small-Thicking-Cream/dp/B0C4R1537H/ref=sr_1_2?keywords=Bed+head+by+tigi+small+talk+thickening+cream+4.23+oz&amp;qid=1695259387&amp;sr=8-2", "https://www.amazon.com/Bed-Head-Small-Thicking-Cream/dp/B0C4R1537H/ref=sr_1_2?keywords=Bed+head+by+tigi+small+talk+thickening+cream+4.23+oz&amp;qid=1695259387&amp;sr=8-2")</f>
        <v>https://www.amazon.com/Bed-Head-Small-Thicking-Cream/dp/B0C4R1537H/ref=sr_1_2?keywords=Bed+head+by+tigi+small+talk+thickening+cream+4.23+oz&amp;qid=1695259387&amp;sr=8-2</v>
      </c>
      <c r="F2124" t="s">
        <v>5272</v>
      </c>
      <c r="G2124" t="e">
        <f ca="1">IMAGE("https://prolisok-store.com/cdn/shop/products/416090_300x.jpg?v=1690900049")</f>
        <v>#NAME?</v>
      </c>
      <c r="H2124" t="e">
        <f ca="1">IMAGE("https://m.media-amazon.com/images/I/61W1tBDCqyL._AC_UL320_.jpg")</f>
        <v>#NAME?</v>
      </c>
      <c r="I2124" t="s">
        <v>5115</v>
      </c>
      <c r="J2124">
        <v>20.99</v>
      </c>
      <c r="K2124" s="2" t="s">
        <v>5273</v>
      </c>
      <c r="L2124">
        <v>4.5</v>
      </c>
      <c r="M2124">
        <v>677</v>
      </c>
      <c r="O2124" t="s">
        <v>26</v>
      </c>
      <c r="P2124" t="s">
        <v>39</v>
      </c>
      <c r="Q2124" t="s">
        <v>5148</v>
      </c>
    </row>
    <row r="2125" spans="1:17" ht="15.75" x14ac:dyDescent="0.25">
      <c r="A2125" s="3" t="str">
        <f>HYPERLINK("https://prolisok-store.com/collections/hair-care/products/bed-head-by-tigi-queen-for-a-day-thickening-spray-10-5-oz", "https://prolisok-store.com/collections/hair-care/products/bed-head-by-tigi-queen-for-a-day-thickening-spray-10-5-oz")</f>
        <v>https://prolisok-store.com/collections/hair-care/products/bed-head-by-tigi-queen-for-a-day-thickening-spray-10-5-oz</v>
      </c>
      <c r="B2125" s="3" t="str">
        <f>HYPERLINK("https://prolisok-store.com/products/bed-head-by-tigi-queen-for-a-day-thickening-spray-10-5-oz", "https://prolisok-store.com/products/bed-head-by-tigi-queen-for-a-day-thickening-spray-10-5-oz")</f>
        <v>https://prolisok-store.com/products/bed-head-by-tigi-queen-for-a-day-thickening-spray-10-5-oz</v>
      </c>
      <c r="C2125" t="s">
        <v>5181</v>
      </c>
      <c r="D2125" t="s">
        <v>5274</v>
      </c>
      <c r="E2125" s="3" t="str">
        <f>HYPERLINK("https://www.amazon.com/TIGI-Superstar-Queen-Thickening-Spray/dp/B00GBE5EJ6/ref=sr_1_5?keywords=Bed+head+by+tigi+queen+for+a+day+thickening+spray+10.5+oz&amp;qid=1695259368&amp;sr=8-5", "https://www.amazon.com/TIGI-Superstar-Queen-Thickening-Spray/dp/B00GBE5EJ6/ref=sr_1_5?keywords=Bed+head+by+tigi+queen+for+a+day+thickening+spray+10.5+oz&amp;qid=1695259368&amp;sr=8-5")</f>
        <v>https://www.amazon.com/TIGI-Superstar-Queen-Thickening-Spray/dp/B00GBE5EJ6/ref=sr_1_5?keywords=Bed+head+by+tigi+queen+for+a+day+thickening+spray+10.5+oz&amp;qid=1695259368&amp;sr=8-5</v>
      </c>
      <c r="F2125" t="s">
        <v>5275</v>
      </c>
      <c r="G2125" t="e">
        <f ca="1">IMAGE("https://prolisok-store.com/cdn/shop/products/416054_300x.jpg?v=1690900009")</f>
        <v>#NAME?</v>
      </c>
      <c r="H2125" t="e">
        <f ca="1">IMAGE("https://m.media-amazon.com/images/I/51R-ebyebVL._AC_UL320_.jpg")</f>
        <v>#NAME?</v>
      </c>
      <c r="I2125" t="s">
        <v>5135</v>
      </c>
      <c r="J2125">
        <v>41</v>
      </c>
      <c r="K2125" s="2" t="s">
        <v>3256</v>
      </c>
      <c r="L2125">
        <v>5</v>
      </c>
      <c r="M2125">
        <v>7</v>
      </c>
      <c r="O2125" t="s">
        <v>26</v>
      </c>
      <c r="P2125" t="s">
        <v>39</v>
      </c>
      <c r="Q2125" t="s">
        <v>5185</v>
      </c>
    </row>
    <row r="2126" spans="1:17" ht="15.75" x14ac:dyDescent="0.25">
      <c r="A2126" s="3" t="str">
        <f>HYPERLINK("https://prolisok-store.com/collections/hair-care/products/bed-head-by-tigi-foxy-curls-extreme-curl-mousse-8-45-oz", "https://prolisok-store.com/collections/hair-care/products/bed-head-by-tigi-foxy-curls-extreme-curl-mousse-8-45-oz")</f>
        <v>https://prolisok-store.com/collections/hair-care/products/bed-head-by-tigi-foxy-curls-extreme-curl-mousse-8-45-oz</v>
      </c>
      <c r="B2126" s="3" t="str">
        <f>HYPERLINK("https://prolisok-store.com/products/bed-head-by-tigi-foxy-curls-extreme-curl-mousse-8-45-oz", "https://prolisok-store.com/products/bed-head-by-tigi-foxy-curls-extreme-curl-mousse-8-45-oz")</f>
        <v>https://prolisok-store.com/products/bed-head-by-tigi-foxy-curls-extreme-curl-mousse-8-45-oz</v>
      </c>
      <c r="C2126" t="s">
        <v>5221</v>
      </c>
      <c r="D2126" t="s">
        <v>5276</v>
      </c>
      <c r="E2126" s="3" t="str">
        <f>HYPERLINK("https://www.amazon.com/TIGI-CurlsTM-Curly-Mousse-Strong/dp/B08ZNT9QL4/ref=sr_1_5?keywords=Bed+head+by+tigi+foxy+curls+extreme+curl+mousse+8.45+oz&amp;qid=1695259383&amp;sr=8-5", "https://www.amazon.com/TIGI-CurlsTM-Curly-Mousse-Strong/dp/B08ZNT9QL4/ref=sr_1_5?keywords=Bed+head+by+tigi+foxy+curls+extreme+curl+mousse+8.45+oz&amp;qid=1695259383&amp;sr=8-5")</f>
        <v>https://www.amazon.com/TIGI-CurlsTM-Curly-Mousse-Strong/dp/B08ZNT9QL4/ref=sr_1_5?keywords=Bed+head+by+tigi+foxy+curls+extreme+curl+mousse+8.45+oz&amp;qid=1695259383&amp;sr=8-5</v>
      </c>
      <c r="F2126" t="s">
        <v>5277</v>
      </c>
      <c r="G2126" t="e">
        <f ca="1">IMAGE("https://prolisok-store.com/cdn/shop/products/166973_300x.jpg?v=1690899971")</f>
        <v>#NAME?</v>
      </c>
      <c r="H2126" t="e">
        <f ca="1">IMAGE("https://m.media-amazon.com/images/I/7187tRQH0pL._AC_UL320_.jpg")</f>
        <v>#NAME?</v>
      </c>
      <c r="I2126" t="s">
        <v>5135</v>
      </c>
      <c r="J2126">
        <v>40.99</v>
      </c>
      <c r="K2126" s="2" t="s">
        <v>5278</v>
      </c>
      <c r="L2126">
        <v>4.7</v>
      </c>
      <c r="M2126">
        <v>3</v>
      </c>
      <c r="O2126" t="s">
        <v>26</v>
      </c>
      <c r="P2126" t="s">
        <v>39</v>
      </c>
      <c r="Q2126" t="s">
        <v>5225</v>
      </c>
    </row>
    <row r="2127" spans="1:17" ht="15.75" x14ac:dyDescent="0.25">
      <c r="A2127" s="3" t="str">
        <f>HYPERLINK("https://prolisok-store.com/collections/hair-care/products/bed-head-by-tigi-flexi-head-hair-spray-10-6-oz", "https://prolisok-store.com/collections/hair-care/products/bed-head-by-tigi-flexi-head-hair-spray-10-6-oz")</f>
        <v>https://prolisok-store.com/collections/hair-care/products/bed-head-by-tigi-flexi-head-hair-spray-10-6-oz</v>
      </c>
      <c r="B2127" s="3" t="str">
        <f>HYPERLINK("https://prolisok-store.com/products/bed-head-by-tigi-flexi-head-hair-spray-10-6-oz", "https://prolisok-store.com/products/bed-head-by-tigi-flexi-head-hair-spray-10-6-oz")</f>
        <v>https://prolisok-store.com/products/bed-head-by-tigi-flexi-head-hair-spray-10-6-oz</v>
      </c>
      <c r="C2127" t="s">
        <v>5195</v>
      </c>
      <c r="D2127" t="s">
        <v>5279</v>
      </c>
      <c r="E2127" s="3" t="str">
        <f>HYPERLINK("https://www.amazon.com/TIGI-Head-Hard-Hair-Spray/dp/B003E0ZZC6/ref=sr_1_7?keywords=Bed+head+by+tigi+flexi+head+hair+spray+10.6+oz&amp;qid=1695259385&amp;sr=8-7", "https://www.amazon.com/TIGI-Head-Hard-Hair-Spray/dp/B003E0ZZC6/ref=sr_1_7?keywords=Bed+head+by+tigi+flexi+head+hair+spray+10.6+oz&amp;qid=1695259385&amp;sr=8-7")</f>
        <v>https://www.amazon.com/TIGI-Head-Hard-Hair-Spray/dp/B003E0ZZC6/ref=sr_1_7?keywords=Bed+head+by+tigi+flexi+head+hair+spray+10.6+oz&amp;qid=1695259385&amp;sr=8-7</v>
      </c>
      <c r="F2127" t="s">
        <v>5280</v>
      </c>
      <c r="G2127" t="e">
        <f ca="1">IMAGE("https://prolisok-store.com/cdn/shop/products/280790_300x.jpg?v=1690899950")</f>
        <v>#NAME?</v>
      </c>
      <c r="H2127" t="e">
        <f ca="1">IMAGE("https://m.media-amazon.com/images/I/718BiSnvoYL._AC_UL320_.jpg")</f>
        <v>#NAME?</v>
      </c>
      <c r="I2127" t="s">
        <v>5198</v>
      </c>
      <c r="J2127">
        <v>41.98</v>
      </c>
      <c r="K2127" s="2" t="s">
        <v>5281</v>
      </c>
      <c r="L2127">
        <v>4.7</v>
      </c>
      <c r="M2127">
        <v>5201</v>
      </c>
      <c r="O2127" t="s">
        <v>26</v>
      </c>
      <c r="P2127" t="s">
        <v>39</v>
      </c>
      <c r="Q2127" t="s">
        <v>5200</v>
      </c>
    </row>
    <row r="2128" spans="1:17" ht="15.75" x14ac:dyDescent="0.25">
      <c r="A2128" s="3" t="str">
        <f>HYPERLINK("https://prolisok-store.com/collections/hair-care/products/bed-head-by-tigi-moisture-maniac-conditioner-13-53-oz", "https://prolisok-store.com/collections/hair-care/products/bed-head-by-tigi-moisture-maniac-conditioner-13-53-oz")</f>
        <v>https://prolisok-store.com/collections/hair-care/products/bed-head-by-tigi-moisture-maniac-conditioner-13-53-oz</v>
      </c>
      <c r="B2128" s="3" t="str">
        <f>HYPERLINK("https://prolisok-store.com/products/bed-head-by-tigi-moisture-maniac-conditioner-13-53-oz", "https://prolisok-store.com/products/bed-head-by-tigi-moisture-maniac-conditioner-13-53-oz")</f>
        <v>https://prolisok-store.com/products/bed-head-by-tigi-moisture-maniac-conditioner-13-53-oz</v>
      </c>
      <c r="C2128" t="s">
        <v>5216</v>
      </c>
      <c r="D2128" t="s">
        <v>5282</v>
      </c>
      <c r="E2128" s="3" t="str">
        <f>HYPERLINK("https://www.amazon.com/TIGI-Moisture-Maniac-Moisturizing-Conditioner/dp/B0054Y2Y3I/ref=sr_1_7?keywords=Bed+head+by+tigi+moisture+maniac+conditioner+13.53+oz&amp;qid=1695259400&amp;sr=8-7", "https://www.amazon.com/TIGI-Moisture-Maniac-Moisturizing-Conditioner/dp/B0054Y2Y3I/ref=sr_1_7?keywords=Bed+head+by+tigi+moisture+maniac+conditioner+13.53+oz&amp;qid=1695259400&amp;sr=8-7")</f>
        <v>https://www.amazon.com/TIGI-Moisture-Maniac-Moisturizing-Conditioner/dp/B0054Y2Y3I/ref=sr_1_7?keywords=Bed+head+by+tigi+moisture+maniac+conditioner+13.53+oz&amp;qid=1695259400&amp;sr=8-7</v>
      </c>
      <c r="F2128" t="s">
        <v>5283</v>
      </c>
      <c r="G2128" t="e">
        <f ca="1">IMAGE("https://prolisok-store.com/cdn/shop/products/458919_300x.jpg?v=1690899990")</f>
        <v>#NAME?</v>
      </c>
      <c r="H2128" t="e">
        <f ca="1">IMAGE("https://m.media-amazon.com/images/I/71XGQUsDoxL._AC_UL320_.jpg")</f>
        <v>#NAME?</v>
      </c>
      <c r="I2128" t="s">
        <v>5103</v>
      </c>
      <c r="J2128">
        <v>29.7</v>
      </c>
      <c r="K2128" s="2" t="s">
        <v>5284</v>
      </c>
      <c r="L2128">
        <v>4.5999999999999996</v>
      </c>
      <c r="M2128">
        <v>18</v>
      </c>
      <c r="O2128" t="s">
        <v>26</v>
      </c>
      <c r="P2128" t="s">
        <v>39</v>
      </c>
      <c r="Q2128" t="s">
        <v>5220</v>
      </c>
    </row>
    <row r="2129" spans="1:17" ht="15.75" x14ac:dyDescent="0.25">
      <c r="A2129" s="3" t="str">
        <f>HYPERLINK("https://prolisok-store.com/collections/hair-care/products/bed-head-by-tigi-foxy-curls-extreme-curl-mousse-8-45-oz", "https://prolisok-store.com/collections/hair-care/products/bed-head-by-tigi-foxy-curls-extreme-curl-mousse-8-45-oz")</f>
        <v>https://prolisok-store.com/collections/hair-care/products/bed-head-by-tigi-foxy-curls-extreme-curl-mousse-8-45-oz</v>
      </c>
      <c r="B2129" s="3" t="str">
        <f>HYPERLINK("https://prolisok-store.com/products/bed-head-by-tigi-foxy-curls-extreme-curl-mousse-8-45-oz", "https://prolisok-store.com/products/bed-head-by-tigi-foxy-curls-extreme-curl-mousse-8-45-oz")</f>
        <v>https://prolisok-store.com/products/bed-head-by-tigi-foxy-curls-extreme-curl-mousse-8-45-oz</v>
      </c>
      <c r="C2129" t="s">
        <v>5221</v>
      </c>
      <c r="D2129" t="s">
        <v>5285</v>
      </c>
      <c r="E2129" s="3" t="str">
        <f>HYPERLINK("https://www.amazon.com/TIGI-Bedhead-Curls-Extreme-Mousse/dp/B01N9OY5BM/ref=sr_1_2?keywords=Bed+head+by+tigi+foxy+curls+extreme+curl+mousse+8.45+oz&amp;qid=1695259383&amp;sr=8-2", "https://www.amazon.com/TIGI-Bedhead-Curls-Extreme-Mousse/dp/B01N9OY5BM/ref=sr_1_2?keywords=Bed+head+by+tigi+foxy+curls+extreme+curl+mousse+8.45+oz&amp;qid=1695259383&amp;sr=8-2")</f>
        <v>https://www.amazon.com/TIGI-Bedhead-Curls-Extreme-Mousse/dp/B01N9OY5BM/ref=sr_1_2?keywords=Bed+head+by+tigi+foxy+curls+extreme+curl+mousse+8.45+oz&amp;qid=1695259383&amp;sr=8-2</v>
      </c>
      <c r="F2129" t="s">
        <v>5286</v>
      </c>
      <c r="G2129" t="e">
        <f ca="1">IMAGE("https://prolisok-store.com/cdn/shop/products/166973_300x.jpg?v=1690899971")</f>
        <v>#NAME?</v>
      </c>
      <c r="H2129" t="e">
        <f ca="1">IMAGE("https://m.media-amazon.com/images/I/61Z+CxHDjYL._AC_UL320_.jpg")</f>
        <v>#NAME?</v>
      </c>
      <c r="I2129" t="s">
        <v>5135</v>
      </c>
      <c r="J2129">
        <v>38.94</v>
      </c>
      <c r="K2129" s="2" t="s">
        <v>5287</v>
      </c>
      <c r="L2129">
        <v>4.5</v>
      </c>
      <c r="M2129">
        <v>110</v>
      </c>
      <c r="O2129" t="s">
        <v>26</v>
      </c>
      <c r="P2129" t="s">
        <v>39</v>
      </c>
      <c r="Q2129" t="s">
        <v>5225</v>
      </c>
    </row>
    <row r="2130" spans="1:17" ht="15.75" x14ac:dyDescent="0.25">
      <c r="A2130" s="3" t="str">
        <f>HYPERLINK("https://prolisok-store.com/collections/hair-care/products/catwalk-by-tigi-oatmeal-and-honey-shampoo-10-14-oz", "https://prolisok-store.com/collections/hair-care/products/catwalk-by-tigi-oatmeal-and-honey-shampoo-10-14-oz")</f>
        <v>https://prolisok-store.com/collections/hair-care/products/catwalk-by-tigi-oatmeal-and-honey-shampoo-10-14-oz</v>
      </c>
      <c r="B2130" s="3" t="str">
        <f>HYPERLINK("https://prolisok-store.com/products/catwalk-by-tigi-oatmeal-and-honey-shampoo-10-14-oz", "https://prolisok-store.com/products/catwalk-by-tigi-oatmeal-and-honey-shampoo-10-14-oz")</f>
        <v>https://prolisok-store.com/products/catwalk-by-tigi-oatmeal-and-honey-shampoo-10-14-oz</v>
      </c>
      <c r="C2130" t="s">
        <v>5157</v>
      </c>
      <c r="D2130" t="s">
        <v>5288</v>
      </c>
      <c r="E2130" s="3" t="str">
        <f>HYPERLINK("https://www.amazon.com/Catwalk-Shampoo-Conditioner-Oatmeal-Honey/dp/B074QWY4VV/ref=sr_1_3?keywords=Catwalk+by+tigi+oatmeal&amp;qid=1695259392&amp;sr=8-3", "https://www.amazon.com/Catwalk-Shampoo-Conditioner-Oatmeal-Honey/dp/B074QWY4VV/ref=sr_1_3?keywords=Catwalk+by+tigi+oatmeal&amp;qid=1695259392&amp;sr=8-3")</f>
        <v>https://www.amazon.com/Catwalk-Shampoo-Conditioner-Oatmeal-Honey/dp/B074QWY4VV/ref=sr_1_3?keywords=Catwalk+by+tigi+oatmeal&amp;qid=1695259392&amp;sr=8-3</v>
      </c>
      <c r="F2130" t="s">
        <v>5289</v>
      </c>
      <c r="G2130" t="e">
        <f ca="1">IMAGE("https://prolisok-store.com/cdn/shop/products/251312_300x.jpg?v=1690900066")</f>
        <v>#NAME?</v>
      </c>
      <c r="H2130" t="e">
        <f ca="1">IMAGE("https://m.media-amazon.com/images/I/71X3wu9q-ML._AC_UL320_.jpg")</f>
        <v>#NAME?</v>
      </c>
      <c r="I2130" t="s">
        <v>4318</v>
      </c>
      <c r="J2130">
        <v>29.85</v>
      </c>
      <c r="K2130" s="2" t="s">
        <v>5290</v>
      </c>
      <c r="L2130">
        <v>4.5</v>
      </c>
      <c r="M2130">
        <v>321</v>
      </c>
      <c r="O2130" t="s">
        <v>26</v>
      </c>
      <c r="P2130" t="s">
        <v>39</v>
      </c>
      <c r="Q2130" t="s">
        <v>5161</v>
      </c>
    </row>
    <row r="2131" spans="1:17" ht="15.75" x14ac:dyDescent="0.25">
      <c r="A2131" s="3" t="str">
        <f>HYPERLINK("https://prolisok-store.com/collections/hair-care/products/catwalk-by-tigi-oatmeal-and-honey-conditioner-8-45-oz", "https://prolisok-store.com/collections/hair-care/products/catwalk-by-tigi-oatmeal-and-honey-conditioner-8-45-oz")</f>
        <v>https://prolisok-store.com/collections/hair-care/products/catwalk-by-tigi-oatmeal-and-honey-conditioner-8-45-oz</v>
      </c>
      <c r="B2131" s="3" t="str">
        <f>HYPERLINK("https://prolisok-store.com/products/catwalk-by-tigi-oatmeal-and-honey-conditioner-8-45-oz", "https://prolisok-store.com/products/catwalk-by-tigi-oatmeal-and-honey-conditioner-8-45-oz")</f>
        <v>https://prolisok-store.com/products/catwalk-by-tigi-oatmeal-and-honey-conditioner-8-45-oz</v>
      </c>
      <c r="C2131" t="s">
        <v>5162</v>
      </c>
      <c r="D2131" t="s">
        <v>5288</v>
      </c>
      <c r="E2131" s="3" t="str">
        <f>HYPERLINK("https://www.amazon.com/Catwalk-Shampoo-Conditioner-Oatmeal-Honey/dp/B074QWY4VV/ref=sr_1_3?keywords=Catwalk+by+tigi+oatmeal&amp;qid=1695259368&amp;sr=8-3", "https://www.amazon.com/Catwalk-Shampoo-Conditioner-Oatmeal-Honey/dp/B074QWY4VV/ref=sr_1_3?keywords=Catwalk+by+tigi+oatmeal&amp;qid=1695259368&amp;sr=8-3")</f>
        <v>https://www.amazon.com/Catwalk-Shampoo-Conditioner-Oatmeal-Honey/dp/B074QWY4VV/ref=sr_1_3?keywords=Catwalk+by+tigi+oatmeal&amp;qid=1695259368&amp;sr=8-3</v>
      </c>
      <c r="F2131" t="s">
        <v>5289</v>
      </c>
      <c r="G2131" t="e">
        <f ca="1">IMAGE("https://prolisok-store.com/cdn/shop/products/251803_300x.jpg?v=1690900068")</f>
        <v>#NAME?</v>
      </c>
      <c r="H2131" t="e">
        <f ca="1">IMAGE("https://m.media-amazon.com/images/I/71X3wu9q-ML._AC_UL320_.jpg")</f>
        <v>#NAME?</v>
      </c>
      <c r="I2131" t="s">
        <v>4229</v>
      </c>
      <c r="J2131">
        <v>29.85</v>
      </c>
      <c r="K2131" s="2" t="s">
        <v>5291</v>
      </c>
      <c r="L2131">
        <v>4.5</v>
      </c>
      <c r="M2131">
        <v>321</v>
      </c>
      <c r="O2131" t="s">
        <v>26</v>
      </c>
      <c r="P2131" t="s">
        <v>39</v>
      </c>
      <c r="Q2131" t="s">
        <v>5164</v>
      </c>
    </row>
    <row r="2132" spans="1:17" ht="15.75" x14ac:dyDescent="0.25">
      <c r="A2132" s="3" t="str">
        <f>HYPERLINK("https://prolisok-store.com/collections/hair-care/products/catwalk-by-tigi-your-highness-elevating-conditioner-for-fine-lifeless-hair-8-45-oz", "https://prolisok-store.com/collections/hair-care/products/catwalk-by-tigi-your-highness-elevating-conditioner-for-fine-lifeless-hair-8-45-oz")</f>
        <v>https://prolisok-store.com/collections/hair-care/products/catwalk-by-tigi-your-highness-elevating-conditioner-for-fine-lifeless-hair-8-45-oz</v>
      </c>
      <c r="B2132" s="3" t="str">
        <f>HYPERLINK("https://prolisok-store.com/products/catwalk-by-tigi-your-highness-elevating-conditioner-for-fine-lifeless-hair-8-45-oz", "https://prolisok-store.com/products/catwalk-by-tigi-your-highness-elevating-conditioner-for-fine-lifeless-hair-8-45-oz")</f>
        <v>https://prolisok-store.com/products/catwalk-by-tigi-your-highness-elevating-conditioner-for-fine-lifeless-hair-8-45-oz</v>
      </c>
      <c r="C2132" t="s">
        <v>5292</v>
      </c>
      <c r="D2132" t="s">
        <v>5293</v>
      </c>
      <c r="E2132" s="3" t="str">
        <f>HYPERLINK("https://www.amazon.com/TIGI-Catwalk-Highness-Elevating-Conditioner/dp/B00EVWYBYO/ref=sr_1_3?keywords=Catwalk+by+tigi+your+highness+elevating+conditioner+for+fine+lifeless+hair+8.45+oz&amp;qid=1695259380&amp;sr=8-3", "https://www.amazon.com/TIGI-Catwalk-Highness-Elevating-Conditioner/dp/B00EVWYBYO/ref=sr_1_3?keywords=Catwalk+by+tigi+your+highness+elevating+conditioner+for+fine+lifeless+hair+8.45+oz&amp;qid=1695259380&amp;sr=8-3")</f>
        <v>https://www.amazon.com/TIGI-Catwalk-Highness-Elevating-Conditioner/dp/B00EVWYBYO/ref=sr_1_3?keywords=Catwalk+by+tigi+your+highness+elevating+conditioner+for+fine+lifeless+hair+8.45+oz&amp;qid=1695259380&amp;sr=8-3</v>
      </c>
      <c r="F2132" t="s">
        <v>5294</v>
      </c>
      <c r="G2132" t="e">
        <f ca="1">IMAGE("https://prolisok-store.com/cdn/shop/products/319832_300x.jpg?v=1690900053")</f>
        <v>#NAME?</v>
      </c>
      <c r="H2132" t="e">
        <f ca="1">IMAGE("https://m.media-amazon.com/images/I/61idx8uCIDL._AC_UL320_.jpg")</f>
        <v>#NAME?</v>
      </c>
      <c r="I2132" t="s">
        <v>5295</v>
      </c>
      <c r="J2132">
        <v>25.99</v>
      </c>
      <c r="K2132" s="2" t="s">
        <v>5296</v>
      </c>
      <c r="L2132">
        <v>4.5999999999999996</v>
      </c>
      <c r="M2132">
        <v>193</v>
      </c>
      <c r="O2132" t="s">
        <v>26</v>
      </c>
      <c r="P2132" t="s">
        <v>39</v>
      </c>
      <c r="Q2132" t="s">
        <v>5297</v>
      </c>
    </row>
    <row r="2133" spans="1:17" ht="15.75" x14ac:dyDescent="0.25">
      <c r="A2133" s="3" t="str">
        <f>HYPERLINK("https://prolisok-store.com/collections/hair-care/products/bed-head-by-tigi-resurrection-conditioner-3-38-oz", "https://prolisok-store.com/collections/hair-care/products/bed-head-by-tigi-resurrection-conditioner-3-38-oz")</f>
        <v>https://prolisok-store.com/collections/hair-care/products/bed-head-by-tigi-resurrection-conditioner-3-38-oz</v>
      </c>
      <c r="B2133" s="3" t="str">
        <f>HYPERLINK("https://prolisok-store.com/products/bed-head-by-tigi-resurrection-conditioner-3-38-oz", "https://prolisok-store.com/products/bed-head-by-tigi-resurrection-conditioner-3-38-oz")</f>
        <v>https://prolisok-store.com/products/bed-head-by-tigi-resurrection-conditioner-3-38-oz</v>
      </c>
      <c r="C2133" t="s">
        <v>5172</v>
      </c>
      <c r="D2133" t="s">
        <v>5298</v>
      </c>
      <c r="E2133" s="3" t="str">
        <f>HYPERLINK("https://www.amazon.com/Bed-Head-RESURRECTION-CONDITIONER-DAMAGED/dp/B08X8SD5BH/ref=sr_1_1?keywords=Bed+head+by+tigi+resurrection+conditioner+3.38+oz&amp;qid=1695259395&amp;sr=8-1", "https://www.amazon.com/Bed-Head-RESURRECTION-CONDITIONER-DAMAGED/dp/B08X8SD5BH/ref=sr_1_1?keywords=Bed+head+by+tigi+resurrection+conditioner+3.38+oz&amp;qid=1695259395&amp;sr=8-1")</f>
        <v>https://www.amazon.com/Bed-Head-RESURRECTION-CONDITIONER-DAMAGED/dp/B08X8SD5BH/ref=sr_1_1?keywords=Bed+head+by+tigi+resurrection+conditioner+3.38+oz&amp;qid=1695259395&amp;sr=8-1</v>
      </c>
      <c r="F2133" t="s">
        <v>5299</v>
      </c>
      <c r="G2133" t="e">
        <f ca="1">IMAGE("https://prolisok-store.com/cdn/shop/products/416087_300x.jpg?v=1690900043")</f>
        <v>#NAME?</v>
      </c>
      <c r="H2133" t="e">
        <f ca="1">IMAGE("https://m.media-amazon.com/images/I/611ZB8d23-L._AC_UL320_.jpg")</f>
        <v>#NAME?</v>
      </c>
      <c r="I2133" t="s">
        <v>5166</v>
      </c>
      <c r="J2133">
        <v>15</v>
      </c>
      <c r="K2133" s="2" t="s">
        <v>5300</v>
      </c>
      <c r="L2133">
        <v>4.5999999999999996</v>
      </c>
      <c r="M2133">
        <v>244</v>
      </c>
      <c r="O2133" t="s">
        <v>26</v>
      </c>
      <c r="P2133" t="s">
        <v>39</v>
      </c>
      <c r="Q2133" t="s">
        <v>5175</v>
      </c>
    </row>
    <row r="2134" spans="1:17" ht="15.75" x14ac:dyDescent="0.25">
      <c r="A2134" s="3" t="str">
        <f>HYPERLINK("https://prolisok-store.com/collections/hair-care/products/bed-head-men-by-tigi-charge-up-conditioner-6-7-oz", "https://prolisok-store.com/collections/hair-care/products/bed-head-men-by-tigi-charge-up-conditioner-6-7-oz")</f>
        <v>https://prolisok-store.com/collections/hair-care/products/bed-head-men-by-tigi-charge-up-conditioner-6-7-oz</v>
      </c>
      <c r="B2134" s="3" t="str">
        <f>HYPERLINK("https://prolisok-store.com/products/bed-head-men-by-tigi-charge-up-conditioner-6-7-oz", "https://prolisok-store.com/products/bed-head-men-by-tigi-charge-up-conditioner-6-7-oz")</f>
        <v>https://prolisok-store.com/products/bed-head-men-by-tigi-charge-up-conditioner-6-7-oz</v>
      </c>
      <c r="C2134" t="s">
        <v>5301</v>
      </c>
      <c r="D2134" t="s">
        <v>5302</v>
      </c>
      <c r="E2134" s="3" t="str">
        <f>HYPERLINK("https://www.amazon.com/BED-HEAD-Tigi-CHARGE-CONDITIONER/dp/B00BE5BDEW/ref=sr_1_3?keywords=Bed+head+men+by+tigi+charge+up+conditioner+6.7+oz&amp;qid=1695259394&amp;sr=8-3", "https://www.amazon.com/BED-HEAD-Tigi-CHARGE-CONDITIONER/dp/B00BE5BDEW/ref=sr_1_3?keywords=Bed+head+men+by+tigi+charge+up+conditioner+6.7+oz&amp;qid=1695259394&amp;sr=8-3")</f>
        <v>https://www.amazon.com/BED-HEAD-Tigi-CHARGE-CONDITIONER/dp/B00BE5BDEW/ref=sr_1_3?keywords=Bed+head+men+by+tigi+charge+up+conditioner+6.7+oz&amp;qid=1695259394&amp;sr=8-3</v>
      </c>
      <c r="F2134" t="s">
        <v>5303</v>
      </c>
      <c r="G2134" t="e">
        <f ca="1">IMAGE("https://prolisok-store.com/cdn/shop/products/179714_300x.jpg?v=1690900110")</f>
        <v>#NAME?</v>
      </c>
      <c r="H2134" t="e">
        <f ca="1">IMAGE("https://m.media-amazon.com/images/I/316xkN9mH0L._AC_UL320_.jpg")</f>
        <v>#NAME?</v>
      </c>
      <c r="I2134" t="s">
        <v>4296</v>
      </c>
      <c r="J2134">
        <v>19.989999999999998</v>
      </c>
      <c r="K2134" s="2" t="s">
        <v>5304</v>
      </c>
      <c r="L2134">
        <v>2</v>
      </c>
      <c r="M2134">
        <v>1</v>
      </c>
      <c r="O2134" t="s">
        <v>26</v>
      </c>
      <c r="P2134" t="s">
        <v>39</v>
      </c>
      <c r="Q2134" t="s">
        <v>5305</v>
      </c>
    </row>
    <row r="2135" spans="1:17" ht="15.75" x14ac:dyDescent="0.25">
      <c r="A2135" s="3" t="str">
        <f>HYPERLINK("https://prolisok-store.com/collections/hair-care/products/catwalk-by-tigi-curls-rock-amplifier-5-oz", "https://prolisok-store.com/collections/hair-care/products/catwalk-by-tigi-curls-rock-amplifier-5-oz")</f>
        <v>https://prolisok-store.com/collections/hair-care/products/catwalk-by-tigi-curls-rock-amplifier-5-oz</v>
      </c>
      <c r="B2135" s="3" t="str">
        <f>HYPERLINK("https://prolisok-store.com/products/catwalk-by-tigi-curls-rock-amplifier-5-oz", "https://prolisok-store.com/products/catwalk-by-tigi-curls-rock-amplifier-5-oz")</f>
        <v>https://prolisok-store.com/products/catwalk-by-tigi-curls-rock-amplifier-5-oz</v>
      </c>
      <c r="C2135" t="s">
        <v>5121</v>
      </c>
      <c r="D2135" t="s">
        <v>5306</v>
      </c>
      <c r="E2135" s="3" t="str">
        <f>HYPERLINK("https://www.amazon.com/TIGI-Catwalk-Curls-Rock-Amplifier/dp/B0C37XGYY6/ref=sr_1_7?keywords=Catwalk+by+tigi+curls+rock+amplifier+5+oz&amp;qid=1695259398&amp;sr=8-7", "https://www.amazon.com/TIGI-Catwalk-Curls-Rock-Amplifier/dp/B0C37XGYY6/ref=sr_1_7?keywords=Catwalk+by+tigi+curls+rock+amplifier+5+oz&amp;qid=1695259398&amp;sr=8-7")</f>
        <v>https://www.amazon.com/TIGI-Catwalk-Curls-Rock-Amplifier/dp/B0C37XGYY6/ref=sr_1_7?keywords=Catwalk+by+tigi+curls+rock+amplifier+5+oz&amp;qid=1695259398&amp;sr=8-7</v>
      </c>
      <c r="F2135" t="s">
        <v>5307</v>
      </c>
      <c r="G2135" t="e">
        <f ca="1">IMAGE("https://prolisok-store.com/cdn/shop/products/191298_300x.jpg?v=1690900062")</f>
        <v>#NAME?</v>
      </c>
      <c r="H2135" t="e">
        <f ca="1">IMAGE("https://m.media-amazon.com/images/I/61cczGPnzkL._AC_UL320_.jpg")</f>
        <v>#NAME?</v>
      </c>
      <c r="I2135" t="s">
        <v>5124</v>
      </c>
      <c r="J2135">
        <v>34.79</v>
      </c>
      <c r="K2135" s="2" t="s">
        <v>5308</v>
      </c>
      <c r="L2135">
        <v>4.9000000000000004</v>
      </c>
      <c r="M2135">
        <v>11</v>
      </c>
      <c r="O2135" t="s">
        <v>26</v>
      </c>
      <c r="P2135" t="s">
        <v>39</v>
      </c>
      <c r="Q2135" t="s">
        <v>5126</v>
      </c>
    </row>
    <row r="2136" spans="1:17" ht="15.75" x14ac:dyDescent="0.25">
      <c r="A2136" s="3" t="str">
        <f>HYPERLINK("https://prolisok-store.com/collections/hair-care/products/bed-head-by-tigi-resurrection-shampoo-13-53-oz", "https://prolisok-store.com/collections/hair-care/products/bed-head-by-tigi-resurrection-shampoo-13-53-oz")</f>
        <v>https://prolisok-store.com/collections/hair-care/products/bed-head-by-tigi-resurrection-shampoo-13-53-oz</v>
      </c>
      <c r="B2136" s="3" t="str">
        <f>HYPERLINK("https://prolisok-store.com/products/bed-head-by-tigi-resurrection-shampoo-13-53-oz", "https://prolisok-store.com/products/bed-head-by-tigi-resurrection-shampoo-13-53-oz")</f>
        <v>https://prolisok-store.com/products/bed-head-by-tigi-resurrection-shampoo-13-53-oz</v>
      </c>
      <c r="C2136" t="s">
        <v>5240</v>
      </c>
      <c r="D2136" t="s">
        <v>5128</v>
      </c>
      <c r="E2136" s="3" t="str">
        <f>HYPERLINK("https://www.amazon.com/Tigi-Urban-Resurrection-Shampoo-25-36oz/dp/B00JVGQP0I/ref=sr_1_10?keywords=Bed+head+by+tigi+resurrection+shampoo+13.53+oz&amp;qid=1695259387&amp;sr=8-10", "https://www.amazon.com/Tigi-Urban-Resurrection-Shampoo-25-36oz/dp/B00JVGQP0I/ref=sr_1_10?keywords=Bed+head+by+tigi+resurrection+shampoo+13.53+oz&amp;qid=1695259387&amp;sr=8-10")</f>
        <v>https://www.amazon.com/Tigi-Urban-Resurrection-Shampoo-25-36oz/dp/B00JVGQP0I/ref=sr_1_10?keywords=Bed+head+by+tigi+resurrection+shampoo+13.53+oz&amp;qid=1695259387&amp;sr=8-10</v>
      </c>
      <c r="F2136" t="s">
        <v>5129</v>
      </c>
      <c r="G2136" t="e">
        <f ca="1">IMAGE("https://prolisok-store.com/cdn/shop/products/416081_300x.jpg?v=1690900035")</f>
        <v>#NAME?</v>
      </c>
      <c r="H2136" t="e">
        <f ca="1">IMAGE("https://m.media-amazon.com/images/I/71mqEYYW7DL._AC_UL320_.jpg")</f>
        <v>#NAME?</v>
      </c>
      <c r="I2136" t="s">
        <v>5103</v>
      </c>
      <c r="J2136">
        <v>27</v>
      </c>
      <c r="K2136" s="2" t="s">
        <v>5309</v>
      </c>
      <c r="L2136">
        <v>4.8</v>
      </c>
      <c r="M2136">
        <v>228</v>
      </c>
      <c r="O2136" t="s">
        <v>26</v>
      </c>
      <c r="P2136" t="s">
        <v>39</v>
      </c>
      <c r="Q2136" t="s">
        <v>5242</v>
      </c>
    </row>
    <row r="2137" spans="1:17" ht="15.75" x14ac:dyDescent="0.25">
      <c r="A2137" s="3" t="str">
        <f>HYPERLINK("https://prolisok-store.com/collections/hair-care/products/bed-head-by-tigi-brunette-goddess-shine-spray-4-23-oz", "https://prolisok-store.com/collections/hair-care/products/bed-head-by-tigi-brunette-goddess-shine-spray-4-23-oz")</f>
        <v>https://prolisok-store.com/collections/hair-care/products/bed-head-by-tigi-brunette-goddess-shine-spray-4-23-oz</v>
      </c>
      <c r="B2137" s="3" t="str">
        <f>HYPERLINK("https://prolisok-store.com/products/bed-head-by-tigi-brunette-goddess-shine-spray-4-23-oz", "https://prolisok-store.com/products/bed-head-by-tigi-brunette-goddess-shine-spray-4-23-oz")</f>
        <v>https://prolisok-store.com/products/bed-head-by-tigi-brunette-goddess-shine-spray-4-23-oz</v>
      </c>
      <c r="C2137" t="s">
        <v>5310</v>
      </c>
      <c r="D2137" t="s">
        <v>5311</v>
      </c>
      <c r="E2137" s="3" t="str">
        <f>HYPERLINK("https://www.amazon.com/Bed-Head-Headrush-Shine-Spray/dp/B0C4R6QJJD/ref=sr_1_3?keywords=Bed+head+by+tigi+brunette+goddess+shine+spray+4.23+oz&amp;qid=1695259392&amp;sr=8-3", "https://www.amazon.com/Bed-Head-Headrush-Shine-Spray/dp/B0C4R6QJJD/ref=sr_1_3?keywords=Bed+head+by+tigi+brunette+goddess+shine+spray+4.23+oz&amp;qid=1695259392&amp;sr=8-3")</f>
        <v>https://www.amazon.com/Bed-Head-Headrush-Shine-Spray/dp/B0C4R6QJJD/ref=sr_1_3?keywords=Bed+head+by+tigi+brunette+goddess+shine+spray+4.23+oz&amp;qid=1695259392&amp;sr=8-3</v>
      </c>
      <c r="F2137" t="s">
        <v>5312</v>
      </c>
      <c r="G2137" t="e">
        <f ca="1">IMAGE("https://prolisok-store.com/cdn/shop/products/188965_300x.jpg?v=1690899975")</f>
        <v>#NAME?</v>
      </c>
      <c r="H2137" t="e">
        <f ca="1">IMAGE("https://m.media-amazon.com/images/I/61KQAVC1trL._AC_UL320_.jpg")</f>
        <v>#NAME?</v>
      </c>
      <c r="I2137" t="s">
        <v>4318</v>
      </c>
      <c r="J2137">
        <v>27.16</v>
      </c>
      <c r="K2137" s="2" t="s">
        <v>5313</v>
      </c>
      <c r="L2137">
        <v>5</v>
      </c>
      <c r="M2137">
        <v>1</v>
      </c>
      <c r="O2137" t="s">
        <v>26</v>
      </c>
      <c r="P2137" t="s">
        <v>39</v>
      </c>
      <c r="Q2137" t="s">
        <v>5314</v>
      </c>
    </row>
    <row r="2138" spans="1:17" ht="15.75" x14ac:dyDescent="0.25">
      <c r="A2138" s="3" t="str">
        <f>HYPERLINK("https://prolisok-store.com/collections/hair-care/products/bed-head-by-tigi-recovery-conditioner-25-36-oz", "https://prolisok-store.com/collections/hair-care/products/bed-head-by-tigi-recovery-conditioner-25-36-oz")</f>
        <v>https://prolisok-store.com/collections/hair-care/products/bed-head-by-tigi-recovery-conditioner-25-36-oz</v>
      </c>
      <c r="B2138" s="3" t="str">
        <f>HYPERLINK("https://prolisok-store.com/products/bed-head-by-tigi-recovery-conditioner-25-36-oz", "https://prolisok-store.com/products/bed-head-by-tigi-recovery-conditioner-25-36-oz")</f>
        <v>https://prolisok-store.com/products/bed-head-by-tigi-recovery-conditioner-25-36-oz</v>
      </c>
      <c r="C2138" t="s">
        <v>5315</v>
      </c>
      <c r="D2138" t="s">
        <v>5107</v>
      </c>
      <c r="E2138" s="3" t="str">
        <f>HYPERLINK("https://www.amazon.com/Bundle-4-Items-Anti-dote-Recovery-Conditioner/dp/B077GY53L3/ref=sr_1_4?keywords=Bed+head+by+tigi+recovery+conditioner+25.36+oz&amp;qid=1695259402&amp;sr=8-4", "https://www.amazon.com/Bundle-4-Items-Anti-dote-Recovery-Conditioner/dp/B077GY53L3/ref=sr_1_4?keywords=Bed+head+by+tigi+recovery+conditioner+25.36+oz&amp;qid=1695259402&amp;sr=8-4")</f>
        <v>https://www.amazon.com/Bundle-4-Items-Anti-dote-Recovery-Conditioner/dp/B077GY53L3/ref=sr_1_4?keywords=Bed+head+by+tigi+recovery+conditioner+25.36+oz&amp;qid=1695259402&amp;sr=8-4</v>
      </c>
      <c r="F2138" t="s">
        <v>5108</v>
      </c>
      <c r="G2138" t="e">
        <f ca="1">IMAGE("https://prolisok-store.com/cdn/shop/products/195939_300x.jpg?v=1690899979")</f>
        <v>#NAME?</v>
      </c>
      <c r="H2138" t="e">
        <f ca="1">IMAGE("https://m.media-amazon.com/images/I/619RLTYr9yL._AC_UL320_.jpg")</f>
        <v>#NAME?</v>
      </c>
      <c r="I2138" t="s">
        <v>5135</v>
      </c>
      <c r="J2138">
        <v>35.22</v>
      </c>
      <c r="K2138" s="2" t="s">
        <v>5316</v>
      </c>
      <c r="L2138">
        <v>4.0999999999999996</v>
      </c>
      <c r="M2138">
        <v>73</v>
      </c>
      <c r="O2138" t="s">
        <v>26</v>
      </c>
      <c r="P2138" t="s">
        <v>39</v>
      </c>
      <c r="Q2138" t="s">
        <v>5317</v>
      </c>
    </row>
    <row r="2139" spans="1:17" ht="15.75" x14ac:dyDescent="0.25">
      <c r="A2139" s="3" t="str">
        <f>HYPERLINK("https://prolisok-store.com/collections/hair-care/products/bed-head-by-tigi-resurrection-conditioner-6-76-oz", "https://prolisok-store.com/collections/hair-care/products/bed-head-by-tigi-resurrection-conditioner-6-76-oz")</f>
        <v>https://prolisok-store.com/collections/hair-care/products/bed-head-by-tigi-resurrection-conditioner-6-76-oz</v>
      </c>
      <c r="B2139" s="3" t="str">
        <f>HYPERLINK("https://prolisok-store.com/products/bed-head-by-tigi-resurrection-conditioner-6-76-oz", "https://prolisok-store.com/products/bed-head-by-tigi-resurrection-conditioner-6-76-oz")</f>
        <v>https://prolisok-store.com/products/bed-head-by-tigi-resurrection-conditioner-6-76-oz</v>
      </c>
      <c r="C2139" t="s">
        <v>5318</v>
      </c>
      <c r="D2139" t="s">
        <v>5319</v>
      </c>
      <c r="E2139" s="3" t="str">
        <f>HYPERLINK("https://www.amazon.com/Bed-Head-Tigi-Resurrection-Conditioner/dp/B00EDKRVXW/ref=sr_1_1?keywords=Bed+head+by+tigi+resurrection+conditioner+6.76+oz&amp;qid=1695259380&amp;sr=8-1", "https://www.amazon.com/Bed-Head-Tigi-Resurrection-Conditioner/dp/B00EDKRVXW/ref=sr_1_1?keywords=Bed+head+by+tigi+resurrection+conditioner+6.76+oz&amp;qid=1695259380&amp;sr=8-1")</f>
        <v>https://www.amazon.com/Bed-Head-Tigi-Resurrection-Conditioner/dp/B00EDKRVXW/ref=sr_1_1?keywords=Bed+head+by+tigi+resurrection+conditioner+6.76+oz&amp;qid=1695259380&amp;sr=8-1</v>
      </c>
      <c r="F2139" t="s">
        <v>5320</v>
      </c>
      <c r="G2139" t="e">
        <f ca="1">IMAGE("https://prolisok-store.com/cdn/shop/products/195948_300x.jpg?v=1690899988")</f>
        <v>#NAME?</v>
      </c>
      <c r="H2139" t="e">
        <f ca="1">IMAGE("https://m.media-amazon.com/images/I/61MtzfJPE3L._AC_UL320_.jpg")</f>
        <v>#NAME?</v>
      </c>
      <c r="I2139" t="s">
        <v>5321</v>
      </c>
      <c r="J2139">
        <v>24.99</v>
      </c>
      <c r="K2139" s="2" t="s">
        <v>5322</v>
      </c>
      <c r="L2139">
        <v>5</v>
      </c>
      <c r="M2139">
        <v>3</v>
      </c>
      <c r="O2139" t="s">
        <v>26</v>
      </c>
      <c r="P2139" t="s">
        <v>39</v>
      </c>
      <c r="Q2139" t="s">
        <v>5323</v>
      </c>
    </row>
    <row r="2140" spans="1:17" ht="15.75" x14ac:dyDescent="0.25">
      <c r="A2140" s="3" t="str">
        <f>HYPERLINK("https://prolisok-store.com/collections/hair-care/products/bed-head-by-tigi-resurrection-conditioner-6-76-oz", "https://prolisok-store.com/collections/hair-care/products/bed-head-by-tigi-resurrection-conditioner-6-76-oz")</f>
        <v>https://prolisok-store.com/collections/hair-care/products/bed-head-by-tigi-resurrection-conditioner-6-76-oz</v>
      </c>
      <c r="B2140" s="3" t="str">
        <f>HYPERLINK("https://prolisok-store.com/products/bed-head-by-tigi-resurrection-conditioner-6-76-oz", "https://prolisok-store.com/products/bed-head-by-tigi-resurrection-conditioner-6-76-oz")</f>
        <v>https://prolisok-store.com/products/bed-head-by-tigi-resurrection-conditioner-6-76-oz</v>
      </c>
      <c r="C2140" t="s">
        <v>5318</v>
      </c>
      <c r="D2140" t="s">
        <v>5173</v>
      </c>
      <c r="E2140" s="3" t="str">
        <f>HYPERLINK("https://www.amazon.com/TIGI-Shampoo-Conditioner-Damaged-Resurrection/dp/B0BRTBN9PB/ref=sr_1_2?keywords=Bed+head+by+tigi+resurrection+conditioner+6.76+oz&amp;qid=1695259380&amp;sr=8-2", "https://www.amazon.com/TIGI-Shampoo-Conditioner-Damaged-Resurrection/dp/B0BRTBN9PB/ref=sr_1_2?keywords=Bed+head+by+tigi+resurrection+conditioner+6.76+oz&amp;qid=1695259380&amp;sr=8-2")</f>
        <v>https://www.amazon.com/TIGI-Shampoo-Conditioner-Damaged-Resurrection/dp/B0BRTBN9PB/ref=sr_1_2?keywords=Bed+head+by+tigi+resurrection+conditioner+6.76+oz&amp;qid=1695259380&amp;sr=8-2</v>
      </c>
      <c r="F2140" t="s">
        <v>5174</v>
      </c>
      <c r="G2140" t="e">
        <f ca="1">IMAGE("https://prolisok-store.com/cdn/shop/products/195948_300x.jpg?v=1690899988")</f>
        <v>#NAME?</v>
      </c>
      <c r="H2140" t="e">
        <f ca="1">IMAGE("https://m.media-amazon.com/images/I/716EfzSrDaL._AC_UL320_.jpg")</f>
        <v>#NAME?</v>
      </c>
      <c r="I2140" t="s">
        <v>5321</v>
      </c>
      <c r="J2140">
        <v>24.99</v>
      </c>
      <c r="K2140" s="2" t="s">
        <v>5322</v>
      </c>
      <c r="L2140">
        <v>4.5999999999999996</v>
      </c>
      <c r="M2140">
        <v>493</v>
      </c>
      <c r="O2140" t="s">
        <v>26</v>
      </c>
      <c r="P2140" t="s">
        <v>39</v>
      </c>
      <c r="Q2140" t="s">
        <v>5323</v>
      </c>
    </row>
    <row r="2141" spans="1:17" ht="15.75" x14ac:dyDescent="0.25">
      <c r="A2141" s="3" t="str">
        <f>HYPERLINK("https://prolisok-store.com/collections/hair-care/products/doterra-correct-x-essential-ointment-2-pack", "https://prolisok-store.com/collections/hair-care/products/doterra-correct-x-essential-ointment-2-pack")</f>
        <v>https://prolisok-store.com/collections/hair-care/products/doterra-correct-x-essential-ointment-2-pack</v>
      </c>
      <c r="B2141" s="3" t="str">
        <f>HYPERLINK("https://prolisok-store.com/products/doterra-correct-x-essential-ointment-2-pack", "https://prolisok-store.com/products/doterra-correct-x-essential-ointment-2-pack")</f>
        <v>https://prolisok-store.com/products/doterra-correct-x-essential-ointment-2-pack</v>
      </c>
      <c r="C2141" t="s">
        <v>4790</v>
      </c>
      <c r="D2141" t="s">
        <v>4791</v>
      </c>
      <c r="E2141" s="3" t="str">
        <f>HYPERLINK("https://www.amazon.com/doTERRA-Correct-X%C2%AE-Essential-Ointment-Pack/dp/B09X27SJ3B/ref=sr_1_2?keywords=doTERRA+Correct-X+Essential+Ointment+-+2+Pack&amp;qid=1695259370&amp;sr=8-2", "https://www.amazon.com/doTERRA-Correct-X%C2%AE-Essential-Ointment-Pack/dp/B09X27SJ3B/ref=sr_1_2?keywords=doTERRA+Correct-X+Essential+Ointment+-+2+Pack&amp;qid=1695259370&amp;sr=8-2")</f>
        <v>https://www.amazon.com/doTERRA-Correct-X%C2%AE-Essential-Ointment-Pack/dp/B09X27SJ3B/ref=sr_1_2?keywords=doTERRA+Correct-X+Essential+Ointment+-+2+Pack&amp;qid=1695259370&amp;sr=8-2</v>
      </c>
      <c r="F2141" t="s">
        <v>4792</v>
      </c>
      <c r="G2141" t="e">
        <f ca="1">IMAGE("https://prolisok-store.com/cdn/shop/products/41MQUgNhwOL._AC_SL1000_300x.jpg?v=1674034154")</f>
        <v>#NAME?</v>
      </c>
      <c r="H2141" t="e">
        <f ca="1">IMAGE("https://m.media-amazon.com/images/I/41MQUgNhwOL._AC_UL320_.jpg")</f>
        <v>#NAME?</v>
      </c>
      <c r="I2141" t="s">
        <v>3458</v>
      </c>
      <c r="J2141">
        <v>34.659999999999997</v>
      </c>
      <c r="K2141" s="2" t="s">
        <v>4793</v>
      </c>
      <c r="L2141">
        <v>4.7</v>
      </c>
      <c r="M2141">
        <v>69</v>
      </c>
      <c r="O2141" t="s">
        <v>26</v>
      </c>
      <c r="P2141" t="s">
        <v>39</v>
      </c>
      <c r="Q2141" t="s">
        <v>4794</v>
      </c>
    </row>
    <row r="2142" spans="1:17" ht="15.75" x14ac:dyDescent="0.25">
      <c r="A2142" s="3" t="str">
        <f>HYPERLINK("https://prolisok-store.com/collections/hair-care/products/doterra-correct-x-essential-ointment-2-pack", "https://prolisok-store.com/collections/hair-care/products/doterra-correct-x-essential-ointment-2-pack")</f>
        <v>https://prolisok-store.com/collections/hair-care/products/doterra-correct-x-essential-ointment-2-pack</v>
      </c>
      <c r="B2142" s="3" t="str">
        <f>HYPERLINK("https://prolisok-store.com/products/doterra-correct-x-essential-ointment-2-pack", "https://prolisok-store.com/products/doterra-correct-x-essential-ointment-2-pack")</f>
        <v>https://prolisok-store.com/products/doterra-correct-x-essential-ointment-2-pack</v>
      </c>
      <c r="C2142" t="s">
        <v>4790</v>
      </c>
      <c r="D2142" t="s">
        <v>4791</v>
      </c>
      <c r="E2142" s="3"/>
      <c r="F2142" t="s">
        <v>4792</v>
      </c>
      <c r="G2142" t="e">
        <f ca="1">IMAGE("https://prolisok-store.com/cdn/shop/products/41MQUgNhwOL._AC_SL1000_300x.jpg?v=1674034154")</f>
        <v>#NAME?</v>
      </c>
      <c r="H2142" t="e">
        <f ca="1">IMAGE("https://m.media-amazon.com/images/I/41MQUgNhwOL._AC_UL320_.jpg")</f>
        <v>#NAME?</v>
      </c>
      <c r="I2142" t="s">
        <v>3458</v>
      </c>
      <c r="J2142">
        <v>34.659999999999997</v>
      </c>
      <c r="K2142" s="2" t="s">
        <v>4793</v>
      </c>
      <c r="L2142">
        <v>4.7</v>
      </c>
      <c r="M2142">
        <v>69</v>
      </c>
      <c r="O2142" t="s">
        <v>26</v>
      </c>
      <c r="P2142" t="s">
        <v>39</v>
      </c>
      <c r="Q2142" t="s">
        <v>4794</v>
      </c>
    </row>
    <row r="2143" spans="1:17" ht="15.75" x14ac:dyDescent="0.25">
      <c r="A2143" s="3" t="str">
        <f>HYPERLINK("https://prolisok-store.com/collections/hair-care/products/bed-head-by-tigi-recovery-shampoo-13-53-oz", "https://prolisok-store.com/collections/hair-care/products/bed-head-by-tigi-recovery-shampoo-13-53-oz")</f>
        <v>https://prolisok-store.com/collections/hair-care/products/bed-head-by-tigi-recovery-shampoo-13-53-oz</v>
      </c>
      <c r="B2143" s="3" t="str">
        <f>HYPERLINK("https://prolisok-store.com/products/bed-head-by-tigi-recovery-shampoo-13-53-oz", "https://prolisok-store.com/products/bed-head-by-tigi-recovery-shampoo-13-53-oz")</f>
        <v>https://prolisok-store.com/products/bed-head-by-tigi-recovery-shampoo-13-53-oz</v>
      </c>
      <c r="C2143" t="s">
        <v>5324</v>
      </c>
      <c r="D2143" t="s">
        <v>5138</v>
      </c>
      <c r="E2143" s="3" t="str">
        <f>HYPERLINK("https://www.amazon.com/Anti-dote-PFZoVz-Recovery-Shampoo-Conditioner/dp/B07487K2RB/ref=sr_1_10?keywords=Bed+head+by+tigi+recovery+shampoo+13.53+oz&amp;qid=1695259377&amp;sr=8-10", "https://www.amazon.com/Anti-dote-PFZoVz-Recovery-Shampoo-Conditioner/dp/B07487K2RB/ref=sr_1_10?keywords=Bed+head+by+tigi+recovery+shampoo+13.53+oz&amp;qid=1695259377&amp;sr=8-10")</f>
        <v>https://www.amazon.com/Anti-dote-PFZoVz-Recovery-Shampoo-Conditioner/dp/B07487K2RB/ref=sr_1_10?keywords=Bed+head+by+tigi+recovery+shampoo+13.53+oz&amp;qid=1695259377&amp;sr=8-10</v>
      </c>
      <c r="F2143" t="s">
        <v>5139</v>
      </c>
      <c r="G2143" t="e">
        <f ca="1">IMAGE("https://prolisok-store.com/cdn/shop/products/416077_300x.jpg?v=1690900029")</f>
        <v>#NAME?</v>
      </c>
      <c r="H2143" t="e">
        <f ca="1">IMAGE("https://m.media-amazon.com/images/I/71Wyt4QQhXL._AC_UL320_.jpg")</f>
        <v>#NAME?</v>
      </c>
      <c r="I2143" t="s">
        <v>5103</v>
      </c>
      <c r="J2143">
        <v>25.72</v>
      </c>
      <c r="K2143" s="2" t="s">
        <v>5325</v>
      </c>
      <c r="L2143">
        <v>4.7</v>
      </c>
      <c r="M2143">
        <v>1085</v>
      </c>
      <c r="O2143" t="s">
        <v>26</v>
      </c>
      <c r="P2143" t="s">
        <v>39</v>
      </c>
      <c r="Q2143" t="s">
        <v>5326</v>
      </c>
    </row>
    <row r="2144" spans="1:17" ht="15.75" x14ac:dyDescent="0.25">
      <c r="A2144" s="3" t="str">
        <f>HYPERLINK("https://prolisok-store.com/collections/hair-care/products/bed-head-by-tigi-recovery-shampoo-3-38-oz", "https://prolisok-store.com/collections/hair-care/products/bed-head-by-tigi-recovery-shampoo-3-38-oz")</f>
        <v>https://prolisok-store.com/collections/hair-care/products/bed-head-by-tigi-recovery-shampoo-3-38-oz</v>
      </c>
      <c r="B2144" s="3" t="str">
        <f>HYPERLINK("https://prolisok-store.com/products/bed-head-by-tigi-recovery-shampoo-3-38-oz", "https://prolisok-store.com/products/bed-head-by-tigi-recovery-shampoo-3-38-oz")</f>
        <v>https://prolisok-store.com/products/bed-head-by-tigi-recovery-shampoo-3-38-oz</v>
      </c>
      <c r="C2144" t="s">
        <v>5165</v>
      </c>
      <c r="D2144" t="s">
        <v>5327</v>
      </c>
      <c r="E2144" s="3" t="str">
        <f>HYPERLINK("https://www.amazon.com/TIGI-RECOVERY-MOISTURIZING-SHAMPOO-20-29/dp/B08XJNMX5T/ref=sr_1_2?keywords=Bed+head+by+tigi+recovery+shampoo+3.38+oz&amp;qid=1695259383&amp;sr=8-2", "https://www.amazon.com/TIGI-RECOVERY-MOISTURIZING-SHAMPOO-20-29/dp/B08XJNMX5T/ref=sr_1_2?keywords=Bed+head+by+tigi+recovery+shampoo+3.38+oz&amp;qid=1695259383&amp;sr=8-2")</f>
        <v>https://www.amazon.com/TIGI-RECOVERY-MOISTURIZING-SHAMPOO-20-29/dp/B08XJNMX5T/ref=sr_1_2?keywords=Bed+head+by+tigi+recovery+shampoo+3.38+oz&amp;qid=1695259383&amp;sr=8-2</v>
      </c>
      <c r="F2144" t="s">
        <v>5328</v>
      </c>
      <c r="G2144" t="e">
        <f ca="1">IMAGE("https://prolisok-store.com/cdn/shop/products/416086_300x.jpg?v=1690900041")</f>
        <v>#NAME?</v>
      </c>
      <c r="H2144" t="e">
        <f ca="1">IMAGE("https://m.media-amazon.com/images/I/61+SBMFvDxL._AC_UL320_.jpg")</f>
        <v>#NAME?</v>
      </c>
      <c r="I2144" t="s">
        <v>5166</v>
      </c>
      <c r="J2144">
        <v>13.85</v>
      </c>
      <c r="K2144" s="2" t="s">
        <v>5329</v>
      </c>
      <c r="L2144">
        <v>4.5</v>
      </c>
      <c r="M2144">
        <v>415</v>
      </c>
      <c r="O2144" t="s">
        <v>26</v>
      </c>
      <c r="P2144" t="s">
        <v>39</v>
      </c>
      <c r="Q2144" t="s">
        <v>5168</v>
      </c>
    </row>
    <row r="2145" spans="1:17" ht="15.75" x14ac:dyDescent="0.25">
      <c r="A2145" s="3" t="str">
        <f>HYPERLINK("https://prolisok-store.com/collections/hair-care/products/catwalk-by-tigi-session-series-finishing-hair-spray-9-2-oz", "https://prolisok-store.com/collections/hair-care/products/catwalk-by-tigi-session-series-finishing-hair-spray-9-2-oz")</f>
        <v>https://prolisok-store.com/collections/hair-care/products/catwalk-by-tigi-session-series-finishing-hair-spray-9-2-oz</v>
      </c>
      <c r="B2145" s="3" t="str">
        <f>HYPERLINK("https://prolisok-store.com/products/catwalk-by-tigi-session-series-finishing-hair-spray-9-2-oz", "https://prolisok-store.com/products/catwalk-by-tigi-session-series-finishing-hair-spray-9-2-oz")</f>
        <v>https://prolisok-store.com/products/catwalk-by-tigi-session-series-finishing-hair-spray-9-2-oz</v>
      </c>
      <c r="C2145" t="s">
        <v>5330</v>
      </c>
      <c r="D2145" t="s">
        <v>5331</v>
      </c>
      <c r="E2145" s="3" t="str">
        <f>HYPERLINK("https://www.amazon.com/tigi-catwalk-session-finishing-retail/dp/B007W4DKWW/ref=sr_1_3?keywords=Catwalk+by+tigi+session+series+finishing+hair+spray+9.2+oz&amp;qid=1695259401&amp;sr=8-3", "https://www.amazon.com/tigi-catwalk-session-finishing-retail/dp/B007W4DKWW/ref=sr_1_3?keywords=Catwalk+by+tigi+session+series+finishing+hair+spray+9.2+oz&amp;qid=1695259401&amp;sr=8-3")</f>
        <v>https://www.amazon.com/tigi-catwalk-session-finishing-retail/dp/B007W4DKWW/ref=sr_1_3?keywords=Catwalk+by+tigi+session+series+finishing+hair+spray+9.2+oz&amp;qid=1695259401&amp;sr=8-3</v>
      </c>
      <c r="F2145" t="s">
        <v>5332</v>
      </c>
      <c r="G2145" t="e">
        <f ca="1">IMAGE("https://prolisok-store.com/cdn/shop/products/231663_300x.jpg?v=1690900074")</f>
        <v>#NAME?</v>
      </c>
      <c r="H2145" t="e">
        <f ca="1">IMAGE("https://m.media-amazon.com/images/I/61yr2w4RPxL._AC_UL320_.jpg")</f>
        <v>#NAME?</v>
      </c>
      <c r="I2145" t="s">
        <v>5135</v>
      </c>
      <c r="J2145">
        <v>33.5</v>
      </c>
      <c r="K2145" s="2" t="s">
        <v>5333</v>
      </c>
      <c r="L2145">
        <v>5</v>
      </c>
      <c r="M2145">
        <v>6</v>
      </c>
      <c r="O2145" t="s">
        <v>26</v>
      </c>
      <c r="P2145" t="s">
        <v>39</v>
      </c>
      <c r="Q2145" t="s">
        <v>5334</v>
      </c>
    </row>
    <row r="2146" spans="1:17" ht="15.75" x14ac:dyDescent="0.25">
      <c r="A2146" s="3" t="str">
        <f>HYPERLINK("https://prolisok-store.com/collections/hair-care/products/bed-head-by-tigi-resurrection-shampoo-13-53-oz", "https://prolisok-store.com/collections/hair-care/products/bed-head-by-tigi-resurrection-shampoo-13-53-oz")</f>
        <v>https://prolisok-store.com/collections/hair-care/products/bed-head-by-tigi-resurrection-shampoo-13-53-oz</v>
      </c>
      <c r="B2146" s="3" t="str">
        <f>HYPERLINK("https://prolisok-store.com/products/bed-head-by-tigi-resurrection-shampoo-13-53-oz", "https://prolisok-store.com/products/bed-head-by-tigi-resurrection-shampoo-13-53-oz")</f>
        <v>https://prolisok-store.com/products/bed-head-by-tigi-resurrection-shampoo-13-53-oz</v>
      </c>
      <c r="C2146" t="s">
        <v>5240</v>
      </c>
      <c r="D2146" t="s">
        <v>5173</v>
      </c>
      <c r="E2146" s="3" t="str">
        <f>HYPERLINK("https://www.amazon.com/TIGI-Shampoo-Conditioner-Damaged-Resurrection/dp/B0BRTBN9PB/ref=sr_1_4?keywords=Bed+head+by+tigi+resurrection+shampoo+13.53+oz&amp;qid=1695259387&amp;sr=8-4", "https://www.amazon.com/TIGI-Shampoo-Conditioner-Damaged-Resurrection/dp/B0BRTBN9PB/ref=sr_1_4?keywords=Bed+head+by+tigi+resurrection+shampoo+13.53+oz&amp;qid=1695259387&amp;sr=8-4")</f>
        <v>https://www.amazon.com/TIGI-Shampoo-Conditioner-Damaged-Resurrection/dp/B0BRTBN9PB/ref=sr_1_4?keywords=Bed+head+by+tigi+resurrection+shampoo+13.53+oz&amp;qid=1695259387&amp;sr=8-4</v>
      </c>
      <c r="F2146" t="s">
        <v>5174</v>
      </c>
      <c r="G2146" t="e">
        <f ca="1">IMAGE("https://prolisok-store.com/cdn/shop/products/416081_300x.jpg?v=1690900035")</f>
        <v>#NAME?</v>
      </c>
      <c r="H2146" t="e">
        <f ca="1">IMAGE("https://m.media-amazon.com/images/I/716EfzSrDaL._AC_UL320_.jpg")</f>
        <v>#NAME?</v>
      </c>
      <c r="I2146" t="s">
        <v>5103</v>
      </c>
      <c r="J2146">
        <v>24.99</v>
      </c>
      <c r="K2146" s="2" t="s">
        <v>5335</v>
      </c>
      <c r="L2146">
        <v>4.5999999999999996</v>
      </c>
      <c r="M2146">
        <v>493</v>
      </c>
      <c r="O2146" t="s">
        <v>26</v>
      </c>
      <c r="P2146" t="s">
        <v>39</v>
      </c>
      <c r="Q2146" t="s">
        <v>5242</v>
      </c>
    </row>
    <row r="2147" spans="1:17" ht="15.75" x14ac:dyDescent="0.25">
      <c r="A2147" s="3" t="str">
        <f>HYPERLINK("https://prolisok-store.com/collections/hair-care/products/bed-head-by-tigi-recovery-shampoo-13-53-oz", "https://prolisok-store.com/collections/hair-care/products/bed-head-by-tigi-recovery-shampoo-13-53-oz")</f>
        <v>https://prolisok-store.com/collections/hair-care/products/bed-head-by-tigi-recovery-shampoo-13-53-oz</v>
      </c>
      <c r="B2147" s="3" t="str">
        <f>HYPERLINK("https://prolisok-store.com/products/bed-head-by-tigi-recovery-shampoo-13-53-oz", "https://prolisok-store.com/products/bed-head-by-tigi-recovery-shampoo-13-53-oz")</f>
        <v>https://prolisok-store.com/products/bed-head-by-tigi-recovery-shampoo-13-53-oz</v>
      </c>
      <c r="C2147" t="s">
        <v>5324</v>
      </c>
      <c r="D2147" t="s">
        <v>5169</v>
      </c>
      <c r="E2147" s="3" t="str">
        <f>HYPERLINK("https://www.amazon.com/TIGI-Shampoo-Conditioner-Recovery-Prickly/dp/B0BRT9LM3J/ref=sr_1_6?keywords=Bed+head+by+tigi+recovery+shampoo+13.53+oz&amp;qid=1695259377&amp;sr=8-6", "https://www.amazon.com/TIGI-Shampoo-Conditioner-Recovery-Prickly/dp/B0BRT9LM3J/ref=sr_1_6?keywords=Bed+head+by+tigi+recovery+shampoo+13.53+oz&amp;qid=1695259377&amp;sr=8-6")</f>
        <v>https://www.amazon.com/TIGI-Shampoo-Conditioner-Recovery-Prickly/dp/B0BRT9LM3J/ref=sr_1_6?keywords=Bed+head+by+tigi+recovery+shampoo+13.53+oz&amp;qid=1695259377&amp;sr=8-6</v>
      </c>
      <c r="F2147" t="s">
        <v>5170</v>
      </c>
      <c r="G2147" t="e">
        <f ca="1">IMAGE("https://prolisok-store.com/cdn/shop/products/416077_300x.jpg?v=1690900029")</f>
        <v>#NAME?</v>
      </c>
      <c r="H2147" t="e">
        <f ca="1">IMAGE("https://m.media-amazon.com/images/I/71tWMdMnOHL._AC_UL320_.jpg")</f>
        <v>#NAME?</v>
      </c>
      <c r="I2147" t="s">
        <v>5103</v>
      </c>
      <c r="J2147">
        <v>24.99</v>
      </c>
      <c r="K2147" s="2" t="s">
        <v>5335</v>
      </c>
      <c r="L2147">
        <v>4.5999999999999996</v>
      </c>
      <c r="M2147">
        <v>410</v>
      </c>
      <c r="O2147" t="s">
        <v>26</v>
      </c>
      <c r="P2147" t="s">
        <v>39</v>
      </c>
      <c r="Q2147" t="s">
        <v>5326</v>
      </c>
    </row>
    <row r="2148" spans="1:17" ht="15.75" x14ac:dyDescent="0.25">
      <c r="A2148" s="3" t="str">
        <f>HYPERLINK("https://prolisok-store.com/collections/hair-care/products/bed-head-by-tigi-resurrection-conditioner-13-53-oz", "https://prolisok-store.com/collections/hair-care/products/bed-head-by-tigi-resurrection-conditioner-13-53-oz")</f>
        <v>https://prolisok-store.com/collections/hair-care/products/bed-head-by-tigi-resurrection-conditioner-13-53-oz</v>
      </c>
      <c r="B2148" s="3" t="str">
        <f>HYPERLINK("https://prolisok-store.com/products/bed-head-by-tigi-resurrection-conditioner-13-53-oz", "https://prolisok-store.com/products/bed-head-by-tigi-resurrection-conditioner-13-53-oz")</f>
        <v>https://prolisok-store.com/products/bed-head-by-tigi-resurrection-conditioner-13-53-oz</v>
      </c>
      <c r="C2148" t="s">
        <v>5336</v>
      </c>
      <c r="D2148" t="s">
        <v>5173</v>
      </c>
      <c r="E2148" s="3" t="str">
        <f>HYPERLINK("https://www.amazon.com/TIGI-Shampoo-Conditioner-Damaged-Resurrection/dp/B0BRTBN9PB/ref=sr_1_2?keywords=Bed+head+by+tigi+resurrection+conditioner+13.53+oz&amp;qid=1695259381&amp;sr=8-2", "https://www.amazon.com/TIGI-Shampoo-Conditioner-Damaged-Resurrection/dp/B0BRTBN9PB/ref=sr_1_2?keywords=Bed+head+by+tigi+resurrection+conditioner+13.53+oz&amp;qid=1695259381&amp;sr=8-2")</f>
        <v>https://www.amazon.com/TIGI-Shampoo-Conditioner-Damaged-Resurrection/dp/B0BRTBN9PB/ref=sr_1_2?keywords=Bed+head+by+tigi+resurrection+conditioner+13.53+oz&amp;qid=1695259381&amp;sr=8-2</v>
      </c>
      <c r="F2148" t="s">
        <v>5174</v>
      </c>
      <c r="G2148" t="e">
        <f ca="1">IMAGE("https://prolisok-store.com/cdn/shop/products/416079_300x.jpg?v=1690900033")</f>
        <v>#NAME?</v>
      </c>
      <c r="H2148" t="e">
        <f ca="1">IMAGE("https://m.media-amazon.com/images/I/716EfzSrDaL._AC_UL320_.jpg")</f>
        <v>#NAME?</v>
      </c>
      <c r="I2148" t="s">
        <v>5103</v>
      </c>
      <c r="J2148">
        <v>24.99</v>
      </c>
      <c r="K2148" s="2" t="s">
        <v>5335</v>
      </c>
      <c r="L2148">
        <v>4.5999999999999996</v>
      </c>
      <c r="M2148">
        <v>493</v>
      </c>
      <c r="O2148" t="s">
        <v>26</v>
      </c>
      <c r="P2148" t="s">
        <v>39</v>
      </c>
      <c r="Q2148" t="s">
        <v>5337</v>
      </c>
    </row>
    <row r="2149" spans="1:17" ht="15.75" x14ac:dyDescent="0.25">
      <c r="A2149" s="3" t="str">
        <f>HYPERLINK("https://prolisok-store.com/collections/hair-care/products/bed-head-by-tigi-foxy-curls-extreme-curl-mousse-8-45-oz", "https://prolisok-store.com/collections/hair-care/products/bed-head-by-tigi-foxy-curls-extreme-curl-mousse-8-45-oz")</f>
        <v>https://prolisok-store.com/collections/hair-care/products/bed-head-by-tigi-foxy-curls-extreme-curl-mousse-8-45-oz</v>
      </c>
      <c r="B2149" s="3" t="str">
        <f>HYPERLINK("https://prolisok-store.com/products/bed-head-by-tigi-foxy-curls-extreme-curl-mousse-8-45-oz", "https://prolisok-store.com/products/bed-head-by-tigi-foxy-curls-extreme-curl-mousse-8-45-oz")</f>
        <v>https://prolisok-store.com/products/bed-head-by-tigi-foxy-curls-extreme-curl-mousse-8-45-oz</v>
      </c>
      <c r="C2149" t="s">
        <v>5221</v>
      </c>
      <c r="D2149" t="s">
        <v>5338</v>
      </c>
      <c r="E2149" s="3" t="str">
        <f>HYPERLINK("https://www.amazon.com/TIGI-CurlsTM-Curly-Mousse-Strong/dp/B08ZNSCGYY/ref=sr_1_4?keywords=Bed+head+by+tigi+foxy+curls+extreme+curl+mousse+8.45+oz&amp;qid=1695259383&amp;sr=8-4", "https://www.amazon.com/TIGI-CurlsTM-Curly-Mousse-Strong/dp/B08ZNSCGYY/ref=sr_1_4?keywords=Bed+head+by+tigi+foxy+curls+extreme+curl+mousse+8.45+oz&amp;qid=1695259383&amp;sr=8-4")</f>
        <v>https://www.amazon.com/TIGI-CurlsTM-Curly-Mousse-Strong/dp/B08ZNSCGYY/ref=sr_1_4?keywords=Bed+head+by+tigi+foxy+curls+extreme+curl+mousse+8.45+oz&amp;qid=1695259383&amp;sr=8-4</v>
      </c>
      <c r="F2149" t="s">
        <v>5339</v>
      </c>
      <c r="G2149" t="e">
        <f ca="1">IMAGE("https://prolisok-store.com/cdn/shop/products/166973_300x.jpg?v=1690899971")</f>
        <v>#NAME?</v>
      </c>
      <c r="H2149" t="e">
        <f ca="1">IMAGE("https://m.media-amazon.com/images/I/714Gve6RK0L._AC_UL320_.jpg")</f>
        <v>#NAME?</v>
      </c>
      <c r="I2149" t="s">
        <v>5135</v>
      </c>
      <c r="J2149">
        <v>33.299999999999997</v>
      </c>
      <c r="K2149" s="2" t="s">
        <v>5340</v>
      </c>
      <c r="L2149">
        <v>4.9000000000000004</v>
      </c>
      <c r="M2149">
        <v>11</v>
      </c>
      <c r="O2149" t="s">
        <v>26</v>
      </c>
      <c r="P2149" t="s">
        <v>39</v>
      </c>
      <c r="Q2149" t="s">
        <v>5225</v>
      </c>
    </row>
    <row r="2150" spans="1:17" ht="15.75" x14ac:dyDescent="0.25">
      <c r="A2150" s="3" t="str">
        <f>HYPERLINK("https://prolisok-store.com/collections/hair-care/products/bed-head-by-tigi-resurrection-shampoo-3-38-oz", "https://prolisok-store.com/collections/hair-care/products/bed-head-by-tigi-resurrection-shampoo-3-38-oz")</f>
        <v>https://prolisok-store.com/collections/hair-care/products/bed-head-by-tigi-resurrection-shampoo-3-38-oz</v>
      </c>
      <c r="B2150" s="3" t="str">
        <f>HYPERLINK("https://prolisok-store.com/products/bed-head-by-tigi-resurrection-shampoo-3-38-oz", "https://prolisok-store.com/products/bed-head-by-tigi-resurrection-shampoo-3-38-oz")</f>
        <v>https://prolisok-store.com/products/bed-head-by-tigi-resurrection-shampoo-3-38-oz</v>
      </c>
      <c r="C2150" t="s">
        <v>5176</v>
      </c>
      <c r="D2150" t="s">
        <v>5341</v>
      </c>
      <c r="E2150" s="3" t="str">
        <f>HYPERLINK("https://www.amazon.com/TIGI-RESURRECTION-REPAIR-SHAMPOO-DAMAGED/dp/B093FWKM1H/ref=sr_1_5?keywords=Bed+head+by+tigi+resurrection+shampoo+3.38+oz&amp;qid=1695259374&amp;sr=8-5", "https://www.amazon.com/TIGI-RESURRECTION-REPAIR-SHAMPOO-DAMAGED/dp/B093FWKM1H/ref=sr_1_5?keywords=Bed+head+by+tigi+resurrection+shampoo+3.38+oz&amp;qid=1695259374&amp;sr=8-5")</f>
        <v>https://www.amazon.com/TIGI-RESURRECTION-REPAIR-SHAMPOO-DAMAGED/dp/B093FWKM1H/ref=sr_1_5?keywords=Bed+head+by+tigi+resurrection+shampoo+3.38+oz&amp;qid=1695259374&amp;sr=8-5</v>
      </c>
      <c r="F2150" t="s">
        <v>5342</v>
      </c>
      <c r="G2150" t="e">
        <f ca="1">IMAGE("https://prolisok-store.com/cdn/shop/products/416088_300x.jpg?v=1690900045")</f>
        <v>#NAME?</v>
      </c>
      <c r="H2150" t="e">
        <f ca="1">IMAGE("https://m.media-amazon.com/images/I/51zDpUD1p+L._AC_UL320_.jpg")</f>
        <v>#NAME?</v>
      </c>
      <c r="I2150" t="s">
        <v>5166</v>
      </c>
      <c r="J2150">
        <v>13.58</v>
      </c>
      <c r="K2150" s="2" t="s">
        <v>5343</v>
      </c>
      <c r="L2150">
        <v>4.5</v>
      </c>
      <c r="M2150">
        <v>415</v>
      </c>
      <c r="O2150" t="s">
        <v>26</v>
      </c>
      <c r="P2150" t="s">
        <v>39</v>
      </c>
      <c r="Q2150" t="s">
        <v>5177</v>
      </c>
    </row>
    <row r="2151" spans="1:17" ht="15.75" x14ac:dyDescent="0.25">
      <c r="A2151" s="3" t="str">
        <f>HYPERLINK("https://prolisok-store.com/collections/hair-care/products/bed-head-by-tigi-colour-goddess-oil-infused-shampoo-for-coloured-hair-13-5-oz", "https://prolisok-store.com/collections/hair-care/products/bed-head-by-tigi-colour-goddess-oil-infused-shampoo-for-coloured-hair-13-5-oz")</f>
        <v>https://prolisok-store.com/collections/hair-care/products/bed-head-by-tigi-colour-goddess-oil-infused-shampoo-for-coloured-hair-13-5-oz</v>
      </c>
      <c r="B2151" s="3" t="str">
        <f>HYPERLINK("https://prolisok-store.com/products/bed-head-by-tigi-colour-goddess-oil-infused-shampoo-for-coloured-hair-13-5-oz", "https://prolisok-store.com/products/bed-head-by-tigi-colour-goddess-oil-infused-shampoo-for-coloured-hair-13-5-oz")</f>
        <v>https://prolisok-store.com/products/bed-head-by-tigi-colour-goddess-oil-infused-shampoo-for-coloured-hair-13-5-oz</v>
      </c>
      <c r="C2151" t="s">
        <v>5261</v>
      </c>
      <c r="D2151" t="s">
        <v>5344</v>
      </c>
      <c r="E2151" s="3" t="str">
        <f>HYPERLINK("https://www.amazon.com/TIGI-Shampoo-Conditioner-Colored-Goddess/dp/B0BRTB98JS/ref=sr_1_4?keywords=Bed+head+by+tigi+colour+goddess+oil+infused+shampoo+for+coloured+hair+13.5+oz&amp;qid=1695259369&amp;sr=8-4", "https://www.amazon.com/TIGI-Shampoo-Conditioner-Colored-Goddess/dp/B0BRTB98JS/ref=sr_1_4?keywords=Bed+head+by+tigi+colour+goddess+oil+infused+shampoo+for+coloured+hair+13.5+oz&amp;qid=1695259369&amp;sr=8-4")</f>
        <v>https://www.amazon.com/TIGI-Shampoo-Conditioner-Colored-Goddess/dp/B0BRTB98JS/ref=sr_1_4?keywords=Bed+head+by+tigi+colour+goddess+oil+infused+shampoo+for+coloured+hair+13.5+oz&amp;qid=1695259369&amp;sr=8-4</v>
      </c>
      <c r="F2151" t="s">
        <v>5345</v>
      </c>
      <c r="G2151" t="e">
        <f ca="1">IMAGE("https://prolisok-store.com/cdn/shop/products/251252_300x.jpg?v=1690899937")</f>
        <v>#NAME?</v>
      </c>
      <c r="H2151" t="e">
        <f ca="1">IMAGE("https://m.media-amazon.com/images/I/81wvHFfcXZL._AC_UL320_.jpg")</f>
        <v>#NAME?</v>
      </c>
      <c r="I2151" t="s">
        <v>5103</v>
      </c>
      <c r="J2151">
        <v>24.9</v>
      </c>
      <c r="K2151" s="2" t="s">
        <v>5346</v>
      </c>
      <c r="L2151">
        <v>4.5</v>
      </c>
      <c r="M2151">
        <v>357</v>
      </c>
      <c r="O2151" t="s">
        <v>26</v>
      </c>
      <c r="P2151" t="s">
        <v>39</v>
      </c>
      <c r="Q2151" t="s">
        <v>5265</v>
      </c>
    </row>
    <row r="2152" spans="1:17" ht="15.75" x14ac:dyDescent="0.25">
      <c r="A2152" s="3" t="str">
        <f>HYPERLINK("https://prolisok-store.com/collections/hair-care/products/olaplex-no-6-bond-smoother-3-3-fl-oz", "https://prolisok-store.com/collections/hair-care/products/olaplex-no-6-bond-smoother-3-3-fl-oz")</f>
        <v>https://prolisok-store.com/collections/hair-care/products/olaplex-no-6-bond-smoother-3-3-fl-oz</v>
      </c>
      <c r="B2152" s="3" t="str">
        <f>HYPERLINK("https://prolisok-store.com/products/olaplex-no-6-bond-smoother-3-3-fl-oz", "https://prolisok-store.com/products/olaplex-no-6-bond-smoother-3-3-fl-oz")</f>
        <v>https://prolisok-store.com/products/olaplex-no-6-bond-smoother-3-3-fl-oz</v>
      </c>
      <c r="C2152" t="s">
        <v>3635</v>
      </c>
      <c r="D2152" t="s">
        <v>3635</v>
      </c>
      <c r="E2152" s="3" t="str">
        <f>HYPERLINK("https://www.amazon.com/Olaplex-Bond-Smoother-3-3-Fl/dp/B07PW4MTHV/ref=sr_1_1?keywords=Olaplex+No+6+Bond+Smoother%2C+3.3+Fl+Oz&amp;qid=1695259373&amp;sr=8-1", "https://www.amazon.com/Olaplex-Bond-Smoother-3-3-Fl/dp/B07PW4MTHV/ref=sr_1_1?keywords=Olaplex+No+6+Bond+Smoother%2C+3.3+Fl+Oz&amp;qid=1695259373&amp;sr=8-1")</f>
        <v>https://www.amazon.com/Olaplex-Bond-Smoother-3-3-Fl/dp/B07PW4MTHV/ref=sr_1_1?keywords=Olaplex+No+6+Bond+Smoother%2C+3.3+Fl+Oz&amp;qid=1695259373&amp;sr=8-1</v>
      </c>
      <c r="F2152" t="s">
        <v>3636</v>
      </c>
      <c r="G2152" t="e">
        <f ca="1">IMAGE("https://prolisok-store.com/cdn/shop/files/51kkYS4_1ML._SL1500_300x.jpg?v=1683807001")</f>
        <v>#NAME?</v>
      </c>
      <c r="H2152" t="e">
        <f ca="1">IMAGE("https://m.media-amazon.com/images/I/51kkYS4+1ML._AC_UL320_.jpg")</f>
        <v>#NAME?</v>
      </c>
      <c r="I2152" t="s">
        <v>4814</v>
      </c>
      <c r="J2152">
        <v>30</v>
      </c>
      <c r="K2152" s="2" t="s">
        <v>4815</v>
      </c>
      <c r="L2152">
        <v>4.7</v>
      </c>
      <c r="M2152">
        <v>45002</v>
      </c>
      <c r="O2152" t="s">
        <v>26</v>
      </c>
      <c r="P2152" t="s">
        <v>39</v>
      </c>
      <c r="Q2152" t="s">
        <v>4816</v>
      </c>
    </row>
    <row r="2153" spans="1:17" ht="15.75" x14ac:dyDescent="0.25">
      <c r="A2153" s="3" t="str">
        <f>HYPERLINK("https://prolisok-store.com/collections/hair-care/products/bed-head-by-tigi-resurrection-shampoo-25-36-oz", "https://prolisok-store.com/collections/hair-care/products/bed-head-by-tigi-resurrection-shampoo-25-36-oz")</f>
        <v>https://prolisok-store.com/collections/hair-care/products/bed-head-by-tigi-resurrection-shampoo-25-36-oz</v>
      </c>
      <c r="B2153" s="3" t="str">
        <f>HYPERLINK("https://prolisok-store.com/products/bed-head-by-tigi-resurrection-shampoo-25-36-oz", "https://prolisok-store.com/products/bed-head-by-tigi-resurrection-shampoo-25-36-oz")</f>
        <v>https://prolisok-store.com/products/bed-head-by-tigi-resurrection-shampoo-25-36-oz</v>
      </c>
      <c r="C2153" t="s">
        <v>5347</v>
      </c>
      <c r="D2153" t="s">
        <v>5227</v>
      </c>
      <c r="E2153" s="3" t="str">
        <f>HYPERLINK("https://www.amazon.com/Urban-Antidotes-Resurrection-Shampoo-Damage/dp/B09BK81WTZ/ref=sr_1_4?keywords=Bed+head+by+tigi+resurrection+shampoo+25.36+oz&amp;qid=1695259368&amp;sr=8-4", "https://www.amazon.com/Urban-Antidotes-Resurrection-Shampoo-Damage/dp/B09BK81WTZ/ref=sr_1_4?keywords=Bed+head+by+tigi+resurrection+shampoo+25.36+oz&amp;qid=1695259368&amp;sr=8-4")</f>
        <v>https://www.amazon.com/Urban-Antidotes-Resurrection-Shampoo-Damage/dp/B09BK81WTZ/ref=sr_1_4?keywords=Bed+head+by+tigi+resurrection+shampoo+25.36+oz&amp;qid=1695259368&amp;sr=8-4</v>
      </c>
      <c r="F2153" t="s">
        <v>5228</v>
      </c>
      <c r="G2153" t="e">
        <f ca="1">IMAGE("https://prolisok-store.com/cdn/shop/products/195942_300x.jpg?v=1690899981")</f>
        <v>#NAME?</v>
      </c>
      <c r="H2153" t="e">
        <f ca="1">IMAGE("https://m.media-amazon.com/images/I/412yzu18PUL._AC_UL320_.jpg")</f>
        <v>#NAME?</v>
      </c>
      <c r="I2153" t="s">
        <v>5348</v>
      </c>
      <c r="J2153">
        <v>35.99</v>
      </c>
      <c r="K2153" s="2" t="s">
        <v>5349</v>
      </c>
      <c r="L2153">
        <v>4.7</v>
      </c>
      <c r="M2153">
        <v>9</v>
      </c>
      <c r="O2153" t="s">
        <v>26</v>
      </c>
      <c r="P2153" t="s">
        <v>39</v>
      </c>
      <c r="Q2153" t="s">
        <v>5350</v>
      </c>
    </row>
    <row r="2154" spans="1:17" ht="15.75" x14ac:dyDescent="0.25">
      <c r="A2154" s="3" t="str">
        <f>HYPERLINK("https://prolisok-store.com/collections/hair-care/products/bed-head-by-tigi-resurrection-conditioner-6-76-oz", "https://prolisok-store.com/collections/hair-care/products/bed-head-by-tigi-resurrection-conditioner-6-76-oz")</f>
        <v>https://prolisok-store.com/collections/hair-care/products/bed-head-by-tigi-resurrection-conditioner-6-76-oz</v>
      </c>
      <c r="B2154" s="3" t="str">
        <f>HYPERLINK("https://prolisok-store.com/products/bed-head-by-tigi-resurrection-conditioner-6-76-oz", "https://prolisok-store.com/products/bed-head-by-tigi-resurrection-conditioner-6-76-oz")</f>
        <v>https://prolisok-store.com/products/bed-head-by-tigi-resurrection-conditioner-6-76-oz</v>
      </c>
      <c r="C2154" t="s">
        <v>5318</v>
      </c>
      <c r="D2154" t="s">
        <v>5141</v>
      </c>
      <c r="E2154" s="3" t="str">
        <f>HYPERLINK("https://www.amazon.com/TIGI-Anti-dote-Recovery-Shampoo-Conditioner/dp/B003T1G0XI/ref=sr_1_10?keywords=Bed+head+by+tigi+resurrection+conditioner+6.76+oz&amp;qid=1695259380&amp;sr=8-10", "https://www.amazon.com/TIGI-Anti-dote-Recovery-Shampoo-Conditioner/dp/B003T1G0XI/ref=sr_1_10?keywords=Bed+head+by+tigi+resurrection+conditioner+6.76+oz&amp;qid=1695259380&amp;sr=8-10")</f>
        <v>https://www.amazon.com/TIGI-Anti-dote-Recovery-Shampoo-Conditioner/dp/B003T1G0XI/ref=sr_1_10?keywords=Bed+head+by+tigi+resurrection+conditioner+6.76+oz&amp;qid=1695259380&amp;sr=8-10</v>
      </c>
      <c r="F2154" t="s">
        <v>5142</v>
      </c>
      <c r="G2154" t="e">
        <f ca="1">IMAGE("https://prolisok-store.com/cdn/shop/products/195948_300x.jpg?v=1690899988")</f>
        <v>#NAME?</v>
      </c>
      <c r="H2154" t="e">
        <f ca="1">IMAGE("https://m.media-amazon.com/images/I/71gvFsIeyLL._AC_UL320_.jpg")</f>
        <v>#NAME?</v>
      </c>
      <c r="I2154" t="s">
        <v>5321</v>
      </c>
      <c r="J2154">
        <v>23.95</v>
      </c>
      <c r="K2154" s="2" t="s">
        <v>5351</v>
      </c>
      <c r="L2154">
        <v>4.5999999999999996</v>
      </c>
      <c r="M2154">
        <v>7980</v>
      </c>
      <c r="O2154" t="s">
        <v>26</v>
      </c>
      <c r="P2154" t="s">
        <v>39</v>
      </c>
      <c r="Q2154" t="s">
        <v>5323</v>
      </c>
    </row>
    <row r="2155" spans="1:17" ht="15.75" x14ac:dyDescent="0.25">
      <c r="A2155" s="3" t="str">
        <f>HYPERLINK("https://prolisok-store.com/collections/hair-care/products/tigi-s-factor-stunning-volume-shampoo-8-45-oz", "https://prolisok-store.com/collections/hair-care/products/tigi-s-factor-stunning-volume-shampoo-8-45-oz")</f>
        <v>https://prolisok-store.com/collections/hair-care/products/tigi-s-factor-stunning-volume-shampoo-8-45-oz</v>
      </c>
      <c r="B2155" s="3" t="str">
        <f>HYPERLINK("https://prolisok-store.com/products/tigi-s-factor-stunning-volume-shampoo-8-45-oz", "https://prolisok-store.com/products/tigi-s-factor-stunning-volume-shampoo-8-45-oz")</f>
        <v>https://prolisok-store.com/products/tigi-s-factor-stunning-volume-shampoo-8-45-oz</v>
      </c>
      <c r="C2155" t="s">
        <v>5352</v>
      </c>
      <c r="D2155" t="s">
        <v>5353</v>
      </c>
      <c r="E2155" s="3" t="str">
        <f>HYPERLINK("https://www.amazon.com/TIGI-S-Factor-Stunning-Shampoo-Unisex/dp/B00NJ23DVY/ref=sr_1_2?keywords=Tigi+s+factor+stunning+volume+shampoo+8.45+oz&amp;qid=1695259406&amp;sr=8-2", "https://www.amazon.com/TIGI-S-Factor-Stunning-Shampoo-Unisex/dp/B00NJ23DVY/ref=sr_1_2?keywords=Tigi+s+factor+stunning+volume+shampoo+8.45+oz&amp;qid=1695259406&amp;sr=8-2")</f>
        <v>https://www.amazon.com/TIGI-S-Factor-Stunning-Shampoo-Unisex/dp/B00NJ23DVY/ref=sr_1_2?keywords=Tigi+s+factor+stunning+volume+shampoo+8.45+oz&amp;qid=1695259406&amp;sr=8-2</v>
      </c>
      <c r="F2155" t="s">
        <v>5354</v>
      </c>
      <c r="G2155" t="e">
        <f ca="1">IMAGE("https://prolisok-store.com/cdn/shop/products/280066_300x.jpg?v=1690900082")</f>
        <v>#NAME?</v>
      </c>
      <c r="H2155" t="e">
        <f ca="1">IMAGE("https://m.media-amazon.com/images/I/71EjaULfgvL._AC_UL320_.jpg")</f>
        <v>#NAME?</v>
      </c>
      <c r="I2155" t="s">
        <v>748</v>
      </c>
      <c r="J2155">
        <v>44.9</v>
      </c>
      <c r="K2155" s="2" t="s">
        <v>5355</v>
      </c>
      <c r="L2155">
        <v>4.3</v>
      </c>
      <c r="M2155">
        <v>62</v>
      </c>
      <c r="O2155" t="s">
        <v>26</v>
      </c>
      <c r="P2155" t="s">
        <v>39</v>
      </c>
      <c r="Q2155" t="s">
        <v>5356</v>
      </c>
    </row>
    <row r="2156" spans="1:17" ht="15.75" x14ac:dyDescent="0.25">
      <c r="A2156" s="3" t="str">
        <f>HYPERLINK("https://prolisok-store.com/collections/hair-care/products/bed-head-by-tigi-masterpiece-extra-strong-hold-hairspray-2-4-oz", "https://prolisok-store.com/collections/hair-care/products/bed-head-by-tigi-masterpiece-extra-strong-hold-hairspray-2-4-oz")</f>
        <v>https://prolisok-store.com/collections/hair-care/products/bed-head-by-tigi-masterpiece-extra-strong-hold-hairspray-2-4-oz</v>
      </c>
      <c r="B2156" s="3" t="str">
        <f>HYPERLINK("https://prolisok-store.com/products/bed-head-by-tigi-masterpiece-extra-strong-hold-hairspray-2-4-oz", "https://prolisok-store.com/products/bed-head-by-tigi-masterpiece-extra-strong-hold-hairspray-2-4-oz")</f>
        <v>https://prolisok-store.com/products/bed-head-by-tigi-masterpiece-extra-strong-hold-hairspray-2-4-oz</v>
      </c>
      <c r="C2156" t="s">
        <v>5112</v>
      </c>
      <c r="D2156" t="s">
        <v>5357</v>
      </c>
      <c r="E2156" s="3" t="str">
        <f>HYPERLINK("https://www.amazon.com/Bed-Head-Masterpiece-Hairspray-Strong/dp/B0C4QWXTLT/ref=sr_1_1?keywords=Bed+head+by+tigi+masterpiece+extra+strong+hold+hairspray+2.4+oz&amp;qid=1695259386&amp;sr=8-1", "https://www.amazon.com/Bed-Head-Masterpiece-Hairspray-Strong/dp/B0C4QWXTLT/ref=sr_1_1?keywords=Bed+head+by+tigi+masterpiece+extra+strong+hold+hairspray+2.4+oz&amp;qid=1695259386&amp;sr=8-1")</f>
        <v>https://www.amazon.com/Bed-Head-Masterpiece-Hairspray-Strong/dp/B0C4QWXTLT/ref=sr_1_1?keywords=Bed+head+by+tigi+masterpiece+extra+strong+hold+hairspray+2.4+oz&amp;qid=1695259386&amp;sr=8-1</v>
      </c>
      <c r="F2156" t="s">
        <v>5358</v>
      </c>
      <c r="G2156" t="e">
        <f ca="1">IMAGE("https://prolisok-store.com/cdn/shop/products/416058_300x.jpg?v=1690900013")</f>
        <v>#NAME?</v>
      </c>
      <c r="H2156" t="e">
        <f ca="1">IMAGE("https://m.media-amazon.com/images/I/61Of4kTG6mL._AC_UL320_.jpg")</f>
        <v>#NAME?</v>
      </c>
      <c r="I2156" t="s">
        <v>5115</v>
      </c>
      <c r="J2156">
        <v>16.34</v>
      </c>
      <c r="K2156" s="2" t="s">
        <v>5359</v>
      </c>
      <c r="L2156">
        <v>4.5</v>
      </c>
      <c r="M2156">
        <v>77</v>
      </c>
      <c r="O2156" t="s">
        <v>26</v>
      </c>
      <c r="P2156" t="s">
        <v>39</v>
      </c>
      <c r="Q2156" t="s">
        <v>5117</v>
      </c>
    </row>
    <row r="2157" spans="1:17" ht="15.75" x14ac:dyDescent="0.25">
      <c r="A2157" s="3" t="str">
        <f>HYPERLINK("https://prolisok-store.com/collections/hair-care/products/bed-head-by-tigi-recovery-shampoo-25-36-oz", "https://prolisok-store.com/collections/hair-care/products/bed-head-by-tigi-recovery-shampoo-25-36-oz")</f>
        <v>https://prolisok-store.com/collections/hair-care/products/bed-head-by-tigi-recovery-shampoo-25-36-oz</v>
      </c>
      <c r="B2157" s="3" t="str">
        <f>HYPERLINK("https://prolisok-store.com/products/bed-head-by-tigi-recovery-shampoo-25-36-oz", "https://prolisok-store.com/products/bed-head-by-tigi-recovery-shampoo-25-36-oz")</f>
        <v>https://prolisok-store.com/products/bed-head-by-tigi-recovery-shampoo-25-36-oz</v>
      </c>
      <c r="C2157" t="s">
        <v>5360</v>
      </c>
      <c r="D2157" t="s">
        <v>5107</v>
      </c>
      <c r="E2157" s="3" t="str">
        <f>HYPERLINK("https://www.amazon.com/Bundle-4-Items-Anti-dote-Recovery-Conditioner/dp/B077GY53L3/ref=sr_1_7?keywords=Bed+head+by+tigi+recovery+shampoo+25.36+oz&amp;qid=1695259368&amp;sr=8-7", "https://www.amazon.com/Bundle-4-Items-Anti-dote-Recovery-Conditioner/dp/B077GY53L3/ref=sr_1_7?keywords=Bed+head+by+tigi+recovery+shampoo+25.36+oz&amp;qid=1695259368&amp;sr=8-7")</f>
        <v>https://www.amazon.com/Bundle-4-Items-Anti-dote-Recovery-Conditioner/dp/B077GY53L3/ref=sr_1_7?keywords=Bed+head+by+tigi+recovery+shampoo+25.36+oz&amp;qid=1695259368&amp;sr=8-7</v>
      </c>
      <c r="F2157" t="s">
        <v>5108</v>
      </c>
      <c r="G2157" t="e">
        <f ca="1">IMAGE("https://prolisok-store.com/cdn/shop/products/195934_300x.jpg?v=1690899977")</f>
        <v>#NAME?</v>
      </c>
      <c r="H2157" t="e">
        <f ca="1">IMAGE("https://m.media-amazon.com/images/I/619RLTYr9yL._AC_UL320_.jpg")</f>
        <v>#NAME?</v>
      </c>
      <c r="I2157" t="s">
        <v>5348</v>
      </c>
      <c r="J2157">
        <v>35.22</v>
      </c>
      <c r="K2157" s="2" t="s">
        <v>5361</v>
      </c>
      <c r="L2157">
        <v>4.0999999999999996</v>
      </c>
      <c r="M2157">
        <v>73</v>
      </c>
      <c r="O2157" t="s">
        <v>26</v>
      </c>
      <c r="P2157" t="s">
        <v>39</v>
      </c>
      <c r="Q2157" t="s">
        <v>5362</v>
      </c>
    </row>
    <row r="2158" spans="1:17" ht="15.75" x14ac:dyDescent="0.25">
      <c r="A2158" s="3" t="str">
        <f>HYPERLINK("https://prolisok-store.com/collections/hair-care/products/bed-head-by-tigi-resurrection-shampoo-13-53-oz", "https://prolisok-store.com/collections/hair-care/products/bed-head-by-tigi-resurrection-shampoo-13-53-oz")</f>
        <v>https://prolisok-store.com/collections/hair-care/products/bed-head-by-tigi-resurrection-shampoo-13-53-oz</v>
      </c>
      <c r="B2158" s="3" t="str">
        <f>HYPERLINK("https://prolisok-store.com/products/bed-head-by-tigi-resurrection-shampoo-13-53-oz", "https://prolisok-store.com/products/bed-head-by-tigi-resurrection-shampoo-13-53-oz")</f>
        <v>https://prolisok-store.com/products/bed-head-by-tigi-resurrection-shampoo-13-53-oz</v>
      </c>
      <c r="C2158" t="s">
        <v>5240</v>
      </c>
      <c r="D2158" t="s">
        <v>5141</v>
      </c>
      <c r="E2158" s="3" t="str">
        <f>HYPERLINK("https://www.amazon.com/TIGI-Anti-dote-Recovery-Shampoo-Conditioner/dp/B003T1G0XI/ref=sr_1_8?keywords=Bed+head+by+tigi+resurrection+shampoo+13.53+oz&amp;qid=1695259387&amp;sr=8-8", "https://www.amazon.com/TIGI-Anti-dote-Recovery-Shampoo-Conditioner/dp/B003T1G0XI/ref=sr_1_8?keywords=Bed+head+by+tigi+resurrection+shampoo+13.53+oz&amp;qid=1695259387&amp;sr=8-8")</f>
        <v>https://www.amazon.com/TIGI-Anti-dote-Recovery-Shampoo-Conditioner/dp/B003T1G0XI/ref=sr_1_8?keywords=Bed+head+by+tigi+resurrection+shampoo+13.53+oz&amp;qid=1695259387&amp;sr=8-8</v>
      </c>
      <c r="F2158" t="s">
        <v>5142</v>
      </c>
      <c r="G2158" t="e">
        <f ca="1">IMAGE("https://prolisok-store.com/cdn/shop/products/416081_300x.jpg?v=1690900035")</f>
        <v>#NAME?</v>
      </c>
      <c r="H2158" t="e">
        <f ca="1">IMAGE("https://m.media-amazon.com/images/I/71gvFsIeyLL._AC_UL320_.jpg")</f>
        <v>#NAME?</v>
      </c>
      <c r="I2158" t="s">
        <v>5103</v>
      </c>
      <c r="J2158">
        <v>23.95</v>
      </c>
      <c r="K2158" s="2" t="s">
        <v>5363</v>
      </c>
      <c r="L2158">
        <v>4.5999999999999996</v>
      </c>
      <c r="M2158">
        <v>7980</v>
      </c>
      <c r="O2158" t="s">
        <v>26</v>
      </c>
      <c r="P2158" t="s">
        <v>39</v>
      </c>
      <c r="Q2158" t="s">
        <v>5242</v>
      </c>
    </row>
    <row r="2159" spans="1:17" ht="15.75" x14ac:dyDescent="0.25">
      <c r="A2159" s="3" t="str">
        <f>HYPERLINK("https://prolisok-store.com/collections/hair-care/products/bed-head-by-tigi-recovery-shampoo-13-53-oz", "https://prolisok-store.com/collections/hair-care/products/bed-head-by-tigi-recovery-shampoo-13-53-oz")</f>
        <v>https://prolisok-store.com/collections/hair-care/products/bed-head-by-tigi-recovery-shampoo-13-53-oz</v>
      </c>
      <c r="B2159" s="3" t="str">
        <f>HYPERLINK("https://prolisok-store.com/products/bed-head-by-tigi-recovery-shampoo-13-53-oz", "https://prolisok-store.com/products/bed-head-by-tigi-recovery-shampoo-13-53-oz")</f>
        <v>https://prolisok-store.com/products/bed-head-by-tigi-recovery-shampoo-13-53-oz</v>
      </c>
      <c r="C2159" t="s">
        <v>5324</v>
      </c>
      <c r="D2159" t="s">
        <v>5141</v>
      </c>
      <c r="E2159" s="3" t="str">
        <f>HYPERLINK("https://www.amazon.com/TIGI-Anti-dote-Recovery-Shampoo-Conditioner/dp/B003T1G0XI/ref=sr_1_2?keywords=Bed+head+by+tigi+recovery+shampoo+13.53+oz&amp;qid=1695259377&amp;sr=8-2", "https://www.amazon.com/TIGI-Anti-dote-Recovery-Shampoo-Conditioner/dp/B003T1G0XI/ref=sr_1_2?keywords=Bed+head+by+tigi+recovery+shampoo+13.53+oz&amp;qid=1695259377&amp;sr=8-2")</f>
        <v>https://www.amazon.com/TIGI-Anti-dote-Recovery-Shampoo-Conditioner/dp/B003T1G0XI/ref=sr_1_2?keywords=Bed+head+by+tigi+recovery+shampoo+13.53+oz&amp;qid=1695259377&amp;sr=8-2</v>
      </c>
      <c r="F2159" t="s">
        <v>5142</v>
      </c>
      <c r="G2159" t="e">
        <f ca="1">IMAGE("https://prolisok-store.com/cdn/shop/products/416077_300x.jpg?v=1690900029")</f>
        <v>#NAME?</v>
      </c>
      <c r="H2159" t="e">
        <f ca="1">IMAGE("https://m.media-amazon.com/images/I/71gvFsIeyLL._AC_UL320_.jpg")</f>
        <v>#NAME?</v>
      </c>
      <c r="I2159" t="s">
        <v>5103</v>
      </c>
      <c r="J2159">
        <v>23.95</v>
      </c>
      <c r="K2159" s="2" t="s">
        <v>5363</v>
      </c>
      <c r="L2159">
        <v>4.5999999999999996</v>
      </c>
      <c r="M2159">
        <v>7980</v>
      </c>
      <c r="O2159" t="s">
        <v>26</v>
      </c>
      <c r="P2159" t="s">
        <v>39</v>
      </c>
      <c r="Q2159" t="s">
        <v>5326</v>
      </c>
    </row>
    <row r="2160" spans="1:17" ht="15.75" x14ac:dyDescent="0.25">
      <c r="A2160" s="3" t="str">
        <f>HYPERLINK("https://prolisok-store.com/collections/hair-care/products/bed-head-by-tigi-resurrection-conditioner-13-53-oz", "https://prolisok-store.com/collections/hair-care/products/bed-head-by-tigi-resurrection-conditioner-13-53-oz")</f>
        <v>https://prolisok-store.com/collections/hair-care/products/bed-head-by-tigi-resurrection-conditioner-13-53-oz</v>
      </c>
      <c r="B2160" s="3" t="str">
        <f>HYPERLINK("https://prolisok-store.com/products/bed-head-by-tigi-resurrection-conditioner-13-53-oz", "https://prolisok-store.com/products/bed-head-by-tigi-resurrection-conditioner-13-53-oz")</f>
        <v>https://prolisok-store.com/products/bed-head-by-tigi-resurrection-conditioner-13-53-oz</v>
      </c>
      <c r="C2160" t="s">
        <v>5336</v>
      </c>
      <c r="D2160" t="s">
        <v>5141</v>
      </c>
      <c r="E2160" s="3" t="str">
        <f>HYPERLINK("https://www.amazon.com/TIGI-Anti-dote-Recovery-Shampoo-Conditioner/dp/B003T1G0XI/ref=sr_1_9?keywords=Bed+head+by+tigi+resurrection+conditioner+13.53+oz&amp;qid=1695259381&amp;sr=8-9", "https://www.amazon.com/TIGI-Anti-dote-Recovery-Shampoo-Conditioner/dp/B003T1G0XI/ref=sr_1_9?keywords=Bed+head+by+tigi+resurrection+conditioner+13.53+oz&amp;qid=1695259381&amp;sr=8-9")</f>
        <v>https://www.amazon.com/TIGI-Anti-dote-Recovery-Shampoo-Conditioner/dp/B003T1G0XI/ref=sr_1_9?keywords=Bed+head+by+tigi+resurrection+conditioner+13.53+oz&amp;qid=1695259381&amp;sr=8-9</v>
      </c>
      <c r="F2160" t="s">
        <v>5142</v>
      </c>
      <c r="G2160" t="e">
        <f ca="1">IMAGE("https://prolisok-store.com/cdn/shop/products/416079_300x.jpg?v=1690900033")</f>
        <v>#NAME?</v>
      </c>
      <c r="H2160" t="e">
        <f ca="1">IMAGE("https://m.media-amazon.com/images/I/71gvFsIeyLL._AC_UL320_.jpg")</f>
        <v>#NAME?</v>
      </c>
      <c r="I2160" t="s">
        <v>5103</v>
      </c>
      <c r="J2160">
        <v>23.95</v>
      </c>
      <c r="K2160" s="2" t="s">
        <v>5363</v>
      </c>
      <c r="L2160">
        <v>4.5999999999999996</v>
      </c>
      <c r="M2160">
        <v>7980</v>
      </c>
      <c r="O2160" t="s">
        <v>26</v>
      </c>
      <c r="P2160" t="s">
        <v>39</v>
      </c>
      <c r="Q2160" t="s">
        <v>5337</v>
      </c>
    </row>
    <row r="2161" spans="1:17" ht="15.75" x14ac:dyDescent="0.25">
      <c r="A2161" s="3" t="str">
        <f>HYPERLINK("https://prolisok-store.com/collections/hair-care/products/bed-head-by-tigi-elasticate-conditioner-6-76-oz", "https://prolisok-store.com/collections/hair-care/products/bed-head-by-tigi-elasticate-conditioner-6-76-oz")</f>
        <v>https://prolisok-store.com/collections/hair-care/products/bed-head-by-tigi-elasticate-conditioner-6-76-oz</v>
      </c>
      <c r="B2161" s="3" t="str">
        <f>HYPERLINK("https://prolisok-store.com/products/bed-head-by-tigi-elasticate-conditioner-6-76-oz", "https://prolisok-store.com/products/bed-head-by-tigi-elasticate-conditioner-6-76-oz")</f>
        <v>https://prolisok-store.com/products/bed-head-by-tigi-elasticate-conditioner-6-76-oz</v>
      </c>
      <c r="C2161" t="s">
        <v>5364</v>
      </c>
      <c r="D2161" t="s">
        <v>5365</v>
      </c>
      <c r="E2161" s="3" t="str">
        <f>HYPERLINK("https://www.amazon.com/Elasticate-TIGI-Bed-Head-Conditioner/dp/B009UGNSCW/ref=sr_1_6?keywords=Bed+head+by+tigi+elasticate+conditioner+6.76+oz&amp;qid=1695259377&amp;sr=8-6", "https://www.amazon.com/Elasticate-TIGI-Bed-Head-Conditioner/dp/B009UGNSCW/ref=sr_1_6?keywords=Bed+head+by+tigi+elasticate+conditioner+6.76+oz&amp;qid=1695259377&amp;sr=8-6")</f>
        <v>https://www.amazon.com/Elasticate-TIGI-Bed-Head-Conditioner/dp/B009UGNSCW/ref=sr_1_6?keywords=Bed+head+by+tigi+elasticate+conditioner+6.76+oz&amp;qid=1695259377&amp;sr=8-6</v>
      </c>
      <c r="F2161" t="s">
        <v>5366</v>
      </c>
      <c r="G2161" t="e">
        <f ca="1">IMAGE("https://prolisok-store.com/cdn/shop/products/244401_300x.jpg?v=1690899928")</f>
        <v>#NAME?</v>
      </c>
      <c r="H2161" t="e">
        <f ca="1">IMAGE("https://m.media-amazon.com/images/I/61AaIARq7UL._AC_UL320_.jpg")</f>
        <v>#NAME?</v>
      </c>
      <c r="I2161" t="s">
        <v>5321</v>
      </c>
      <c r="J2161">
        <v>23.09</v>
      </c>
      <c r="K2161" s="2" t="s">
        <v>5367</v>
      </c>
      <c r="L2161">
        <v>4</v>
      </c>
      <c r="M2161">
        <v>25</v>
      </c>
      <c r="O2161" t="s">
        <v>26</v>
      </c>
      <c r="P2161" t="s">
        <v>39</v>
      </c>
      <c r="Q2161" t="s">
        <v>5368</v>
      </c>
    </row>
    <row r="2162" spans="1:17" ht="15.75" x14ac:dyDescent="0.25">
      <c r="A2162" s="3" t="str">
        <f>HYPERLINK("https://prolisok-store.com/collections/hair-care/products/catwalk-by-tigi-oatmeal-and-honey-shampoo-10-14-oz", "https://prolisok-store.com/collections/hair-care/products/catwalk-by-tigi-oatmeal-and-honey-shampoo-10-14-oz")</f>
        <v>https://prolisok-store.com/collections/hair-care/products/catwalk-by-tigi-oatmeal-and-honey-shampoo-10-14-oz</v>
      </c>
      <c r="B2162" s="3" t="str">
        <f>HYPERLINK("https://prolisok-store.com/products/catwalk-by-tigi-oatmeal-and-honey-shampoo-10-14-oz", "https://prolisok-store.com/products/catwalk-by-tigi-oatmeal-and-honey-shampoo-10-14-oz")</f>
        <v>https://prolisok-store.com/products/catwalk-by-tigi-oatmeal-and-honey-shampoo-10-14-oz</v>
      </c>
      <c r="C2162" t="s">
        <v>5157</v>
      </c>
      <c r="D2162" t="s">
        <v>5369</v>
      </c>
      <c r="E2162" s="3" t="str">
        <f>HYPERLINK("https://www.amazon.com/Catwalk-Oatmeal-Honey-Shampoo-Conditioner/dp/B01LYNEGFF/ref=sr_1_7?keywords=Catwalk+by+tigi+oatmeal&amp;qid=1695259392&amp;sr=8-7", "https://www.amazon.com/Catwalk-Oatmeal-Honey-Shampoo-Conditioner/dp/B01LYNEGFF/ref=sr_1_7?keywords=Catwalk+by+tigi+oatmeal&amp;qid=1695259392&amp;sr=8-7")</f>
        <v>https://www.amazon.com/Catwalk-Oatmeal-Honey-Shampoo-Conditioner/dp/B01LYNEGFF/ref=sr_1_7?keywords=Catwalk+by+tigi+oatmeal&amp;qid=1695259392&amp;sr=8-7</v>
      </c>
      <c r="F2162" t="s">
        <v>5370</v>
      </c>
      <c r="G2162" t="e">
        <f ca="1">IMAGE("https://prolisok-store.com/cdn/shop/products/251312_300x.jpg?v=1690900066")</f>
        <v>#NAME?</v>
      </c>
      <c r="H2162" t="e">
        <f ca="1">IMAGE("https://m.media-amazon.com/images/I/51GUSafszbL._AC_UL320_.jpg")</f>
        <v>#NAME?</v>
      </c>
      <c r="I2162" t="s">
        <v>4318</v>
      </c>
      <c r="J2162">
        <v>24.25</v>
      </c>
      <c r="K2162" s="2" t="s">
        <v>5371</v>
      </c>
      <c r="L2162">
        <v>4.4000000000000004</v>
      </c>
      <c r="M2162">
        <v>125</v>
      </c>
      <c r="O2162" t="s">
        <v>26</v>
      </c>
      <c r="P2162" t="s">
        <v>39</v>
      </c>
      <c r="Q2162" t="s">
        <v>5161</v>
      </c>
    </row>
    <row r="2163" spans="1:17" ht="15.75" x14ac:dyDescent="0.25">
      <c r="A2163" s="3" t="str">
        <f>HYPERLINK("https://prolisok-store.com/collections/hair-care/products/bed-head-by-tigi-colour-combat-colour-goddess-leave-in-conditioner-8-45-oz", "https://prolisok-store.com/collections/hair-care/products/bed-head-by-tigi-colour-combat-colour-goddess-leave-in-conditioner-8-45-oz")</f>
        <v>https://prolisok-store.com/collections/hair-care/products/bed-head-by-tigi-colour-combat-colour-goddess-leave-in-conditioner-8-45-oz</v>
      </c>
      <c r="B2163" s="3" t="str">
        <f>HYPERLINK("https://prolisok-store.com/products/bed-head-by-tigi-colour-combat-colour-goddess-leave-in-conditioner-8-45-oz", "https://prolisok-store.com/products/bed-head-by-tigi-colour-combat-colour-goddess-leave-in-conditioner-8-45-oz")</f>
        <v>https://prolisok-store.com/products/bed-head-by-tigi-colour-combat-colour-goddess-leave-in-conditioner-8-45-oz</v>
      </c>
      <c r="C2163" t="s">
        <v>5372</v>
      </c>
      <c r="D2163" t="s">
        <v>5373</v>
      </c>
      <c r="E2163" s="3" t="str">
        <f>HYPERLINK("https://www.amazon.com/COLOUR-COMBAT-GODDESS-CONDITIONER-Package/dp/B00GBEX3IA/ref=sr_1_2?keywords=Bed+head+by+tigi+colour+combat+colour+goddess+leave-in+conditioner+8.45+oz&amp;qid=1695259389&amp;sr=8-2", "https://www.amazon.com/COLOUR-COMBAT-GODDESS-CONDITIONER-Package/dp/B00GBEX3IA/ref=sr_1_2?keywords=Bed+head+by+tigi+colour+combat+colour+goddess+leave-in+conditioner+8.45+oz&amp;qid=1695259389&amp;sr=8-2")</f>
        <v>https://www.amazon.com/COLOUR-COMBAT-GODDESS-CONDITIONER-Package/dp/B00GBEX3IA/ref=sr_1_2?keywords=Bed+head+by+tigi+colour+combat+colour+goddess+leave-in+conditioner+8.45+oz&amp;qid=1695259389&amp;sr=8-2</v>
      </c>
      <c r="F2163" t="s">
        <v>5374</v>
      </c>
      <c r="G2163" t="e">
        <f ca="1">IMAGE("https://prolisok-store.com/cdn/shop/products/211944_300x.jpg?v=1690899973")</f>
        <v>#NAME?</v>
      </c>
      <c r="H2163" t="e">
        <f ca="1">IMAGE("https://m.media-amazon.com/images/I/41tXgaP7FIL._AC_UL320_.jpg")</f>
        <v>#NAME?</v>
      </c>
      <c r="I2163" t="s">
        <v>5375</v>
      </c>
      <c r="J2163">
        <v>19.95</v>
      </c>
      <c r="K2163" s="2" t="s">
        <v>5376</v>
      </c>
      <c r="L2163">
        <v>4.5</v>
      </c>
      <c r="M2163">
        <v>8</v>
      </c>
      <c r="O2163" t="s">
        <v>26</v>
      </c>
      <c r="P2163" t="s">
        <v>39</v>
      </c>
      <c r="Q2163" t="s">
        <v>5377</v>
      </c>
    </row>
    <row r="2164" spans="1:17" ht="15.75" x14ac:dyDescent="0.25">
      <c r="A2164" s="3" t="str">
        <f>HYPERLINK("https://prolisok-store.com/collections/hair-care/products/bed-head-by-tigi-dumb-blonde-shampoo-for-chemically-treated-hair-13-5-oz", "https://prolisok-store.com/collections/hair-care/products/bed-head-by-tigi-dumb-blonde-shampoo-for-chemically-treated-hair-13-5-oz")</f>
        <v>https://prolisok-store.com/collections/hair-care/products/bed-head-by-tigi-dumb-blonde-shampoo-for-chemically-treated-hair-13-5-oz</v>
      </c>
      <c r="B2164" s="3" t="str">
        <f>HYPERLINK("https://prolisok-store.com/products/bed-head-by-tigi-dumb-blonde-shampoo-for-chemically-treated-hair-13-5-oz", "https://prolisok-store.com/products/bed-head-by-tigi-dumb-blonde-shampoo-for-chemically-treated-hair-13-5-oz")</f>
        <v>https://prolisok-store.com/products/bed-head-by-tigi-dumb-blonde-shampoo-for-chemically-treated-hair-13-5-oz</v>
      </c>
      <c r="C2164" t="s">
        <v>5378</v>
      </c>
      <c r="D2164" t="s">
        <v>5379</v>
      </c>
      <c r="E2164" s="3" t="str">
        <f>HYPERLINK("https://www.amazon.com/TIGI-Blonde-Shampoo-Reconstructor-Conditioner/dp/B001DDCW6S/ref=sr_1_4?keywords=Bed+head+by+tigi+dumb+blonde+shampoo+for+chemically+treated+hair+13.5+oz&amp;qid=1695259369&amp;sr=8-4", "https://www.amazon.com/TIGI-Blonde-Shampoo-Reconstructor-Conditioner/dp/B001DDCW6S/ref=sr_1_4?keywords=Bed+head+by+tigi+dumb+blonde+shampoo+for+chemically+treated+hair+13.5+oz&amp;qid=1695259369&amp;sr=8-4")</f>
        <v>https://www.amazon.com/TIGI-Blonde-Shampoo-Reconstructor-Conditioner/dp/B001DDCW6S/ref=sr_1_4?keywords=Bed+head+by+tigi+dumb+blonde+shampoo+for+chemically+treated+hair+13.5+oz&amp;qid=1695259369&amp;sr=8-4</v>
      </c>
      <c r="F2164" t="s">
        <v>5380</v>
      </c>
      <c r="G2164" t="e">
        <f ca="1">IMAGE("https://prolisok-store.com/cdn/shop/products/250422_300x.jpg?v=1690899935")</f>
        <v>#NAME?</v>
      </c>
      <c r="H2164" t="e">
        <f ca="1">IMAGE("https://m.media-amazon.com/images/I/81CAXxAyWyL._AC_UL320_.jpg")</f>
        <v>#NAME?</v>
      </c>
      <c r="I2164" t="s">
        <v>5321</v>
      </c>
      <c r="J2164">
        <v>22.85</v>
      </c>
      <c r="K2164" s="2" t="s">
        <v>5381</v>
      </c>
      <c r="L2164">
        <v>4.2</v>
      </c>
      <c r="M2164">
        <v>5029</v>
      </c>
      <c r="O2164" t="s">
        <v>26</v>
      </c>
      <c r="P2164" t="s">
        <v>39</v>
      </c>
      <c r="Q2164" t="s">
        <v>5382</v>
      </c>
    </row>
    <row r="2165" spans="1:17" ht="15.75" x14ac:dyDescent="0.25">
      <c r="A2165" s="3" t="str">
        <f>HYPERLINK("https://prolisok-store.com/collections/hair-care/products/catwalk-by-tigi-oatmeal-and-honey-conditioner-8-45-oz", "https://prolisok-store.com/collections/hair-care/products/catwalk-by-tigi-oatmeal-and-honey-conditioner-8-45-oz")</f>
        <v>https://prolisok-store.com/collections/hair-care/products/catwalk-by-tigi-oatmeal-and-honey-conditioner-8-45-oz</v>
      </c>
      <c r="B2165" s="3" t="str">
        <f>HYPERLINK("https://prolisok-store.com/products/catwalk-by-tigi-oatmeal-and-honey-conditioner-8-45-oz", "https://prolisok-store.com/products/catwalk-by-tigi-oatmeal-and-honey-conditioner-8-45-oz")</f>
        <v>https://prolisok-store.com/products/catwalk-by-tigi-oatmeal-and-honey-conditioner-8-45-oz</v>
      </c>
      <c r="C2165" t="s">
        <v>5162</v>
      </c>
      <c r="D2165" t="s">
        <v>5369</v>
      </c>
      <c r="E2165" s="3" t="str">
        <f>HYPERLINK("https://www.amazon.com/Catwalk-Oatmeal-Honey-Shampoo-Conditioner/dp/B01LYNEGFF/ref=sr_1_8?keywords=Catwalk+by+tigi+oatmeal&amp;qid=1695259368&amp;sr=8-8", "https://www.amazon.com/Catwalk-Oatmeal-Honey-Shampoo-Conditioner/dp/B01LYNEGFF/ref=sr_1_8?keywords=Catwalk+by+tigi+oatmeal&amp;qid=1695259368&amp;sr=8-8")</f>
        <v>https://www.amazon.com/Catwalk-Oatmeal-Honey-Shampoo-Conditioner/dp/B01LYNEGFF/ref=sr_1_8?keywords=Catwalk+by+tigi+oatmeal&amp;qid=1695259368&amp;sr=8-8</v>
      </c>
      <c r="F2165" t="s">
        <v>5370</v>
      </c>
      <c r="G2165" t="e">
        <f ca="1">IMAGE("https://prolisok-store.com/cdn/shop/products/251803_300x.jpg?v=1690900068")</f>
        <v>#NAME?</v>
      </c>
      <c r="H2165" t="e">
        <f ca="1">IMAGE("https://m.media-amazon.com/images/I/51GUSafszbL._AC_UL320_.jpg")</f>
        <v>#NAME?</v>
      </c>
      <c r="I2165" t="s">
        <v>4229</v>
      </c>
      <c r="J2165">
        <v>24.25</v>
      </c>
      <c r="K2165" s="2" t="s">
        <v>5383</v>
      </c>
      <c r="L2165">
        <v>4.4000000000000004</v>
      </c>
      <c r="M2165">
        <v>125</v>
      </c>
      <c r="O2165" t="s">
        <v>26</v>
      </c>
      <c r="P2165" t="s">
        <v>39</v>
      </c>
      <c r="Q2165" t="s">
        <v>5164</v>
      </c>
    </row>
    <row r="2166" spans="1:17" ht="15.75" x14ac:dyDescent="0.25">
      <c r="A2166" s="3" t="str">
        <f>HYPERLINK("https://prolisok-store.com/collections/hair-care/products/bed-head-by-tigi-moisture-maniac-conditioner-25-36-oz", "https://prolisok-store.com/collections/hair-care/products/bed-head-by-tigi-moisture-maniac-conditioner-25-36-oz")</f>
        <v>https://prolisok-store.com/collections/hair-care/products/bed-head-by-tigi-moisture-maniac-conditioner-25-36-oz</v>
      </c>
      <c r="B2166" s="3" t="str">
        <f>HYPERLINK("https://prolisok-store.com/products/bed-head-by-tigi-moisture-maniac-conditioner-25-36-oz", "https://prolisok-store.com/products/bed-head-by-tigi-moisture-maniac-conditioner-25-36-oz")</f>
        <v>https://prolisok-store.com/products/bed-head-by-tigi-moisture-maniac-conditioner-25-36-oz</v>
      </c>
      <c r="C2166" t="s">
        <v>5384</v>
      </c>
      <c r="D2166" t="s">
        <v>5385</v>
      </c>
      <c r="E2166" s="3" t="str">
        <f>HYPERLINK("https://www.amazon.com/TIGI-Moisture-Maniac-Shampoo-25-36/dp/B000G014X6/ref=sr_1_5?keywords=Bed+head+by+tigi+moisture+maniac+conditioner+25.36+oz&amp;qid=1695259382&amp;sr=8-5", "https://www.amazon.com/TIGI-Moisture-Maniac-Shampoo-25-36/dp/B000G014X6/ref=sr_1_5?keywords=Bed+head+by+tigi+moisture+maniac+conditioner+25.36+oz&amp;qid=1695259382&amp;sr=8-5")</f>
        <v>https://www.amazon.com/TIGI-Moisture-Maniac-Shampoo-25-36/dp/B000G014X6/ref=sr_1_5?keywords=Bed+head+by+tigi+moisture+maniac+conditioner+25.36+oz&amp;qid=1695259382&amp;sr=8-5</v>
      </c>
      <c r="F2166" t="s">
        <v>5386</v>
      </c>
      <c r="G2166" t="e">
        <f ca="1">IMAGE("https://prolisok-store.com/cdn/shop/products/152905_300x.jpg?v=1690899967")</f>
        <v>#NAME?</v>
      </c>
      <c r="H2166" t="e">
        <f ca="1">IMAGE("https://m.media-amazon.com/images/I/71w29--dsSL._AC_UL320_.jpg")</f>
        <v>#NAME?</v>
      </c>
      <c r="I2166" t="s">
        <v>5348</v>
      </c>
      <c r="J2166">
        <v>34.19</v>
      </c>
      <c r="K2166" s="2" t="s">
        <v>4835</v>
      </c>
      <c r="L2166">
        <v>4.5999999999999996</v>
      </c>
      <c r="M2166">
        <v>206</v>
      </c>
      <c r="O2166" t="s">
        <v>26</v>
      </c>
      <c r="P2166" t="s">
        <v>39</v>
      </c>
      <c r="Q2166" t="s">
        <v>5387</v>
      </c>
    </row>
    <row r="2167" spans="1:17" ht="15.75" x14ac:dyDescent="0.25">
      <c r="A2167" s="3" t="str">
        <f>HYPERLINK("https://prolisok-store.com/collections/hair-care/products/bed-head-by-tigi-recharge-conditioner-6-76-oz", "https://prolisok-store.com/collections/hair-care/products/bed-head-by-tigi-recharge-conditioner-6-76-oz")</f>
        <v>https://prolisok-store.com/collections/hair-care/products/bed-head-by-tigi-recharge-conditioner-6-76-oz</v>
      </c>
      <c r="B2167" s="3" t="str">
        <f>HYPERLINK("https://prolisok-store.com/products/bed-head-by-tigi-recharge-conditioner-6-76-oz", "https://prolisok-store.com/products/bed-head-by-tigi-recharge-conditioner-6-76-oz")</f>
        <v>https://prolisok-store.com/products/bed-head-by-tigi-recharge-conditioner-6-76-oz</v>
      </c>
      <c r="C2167" t="s">
        <v>5388</v>
      </c>
      <c r="D2167" t="s">
        <v>5389</v>
      </c>
      <c r="E2167" s="3" t="str">
        <f>HYPERLINK("https://www.amazon.com/TIGI-Hi-Def-Curls-Conditioner-Manufacturer/dp/B008JGZ7KK/ref=sr_1_10?keywords=Bed+head+by+tigi+recharge+conditioner+6.76+oz&amp;qid=1695259375&amp;sr=8-10", "https://www.amazon.com/TIGI-Hi-Def-Curls-Conditioner-Manufacturer/dp/B008JGZ7KK/ref=sr_1_10?keywords=Bed+head+by+tigi+recharge+conditioner+6.76+oz&amp;qid=1695259375&amp;sr=8-10")</f>
        <v>https://www.amazon.com/TIGI-Hi-Def-Curls-Conditioner-Manufacturer/dp/B008JGZ7KK/ref=sr_1_10?keywords=Bed+head+by+tigi+recharge+conditioner+6.76+oz&amp;qid=1695259375&amp;sr=8-10</v>
      </c>
      <c r="F2167" t="s">
        <v>5390</v>
      </c>
      <c r="G2167" t="e">
        <f ca="1">IMAGE("https://prolisok-store.com/cdn/shop/products/244405_300x.jpg?v=1690899930")</f>
        <v>#NAME?</v>
      </c>
      <c r="H2167" t="e">
        <f ca="1">IMAGE("https://m.media-amazon.com/images/I/71+mjBeZL+L._AC_UL320_.jpg")</f>
        <v>#NAME?</v>
      </c>
      <c r="I2167" t="s">
        <v>5321</v>
      </c>
      <c r="J2167">
        <v>22.5</v>
      </c>
      <c r="K2167" s="2" t="s">
        <v>5391</v>
      </c>
      <c r="L2167">
        <v>4.3</v>
      </c>
      <c r="M2167">
        <v>11</v>
      </c>
      <c r="O2167" t="s">
        <v>26</v>
      </c>
      <c r="P2167" t="s">
        <v>39</v>
      </c>
      <c r="Q2167" t="s">
        <v>5392</v>
      </c>
    </row>
    <row r="2168" spans="1:17" ht="15.75" x14ac:dyDescent="0.25">
      <c r="A2168" s="3" t="str">
        <f>HYPERLINK("https://prolisok-store.com/collections/hair-care/products/bed-head-by-tigi-moisture-maniac-conditioner-13-53-oz", "https://prolisok-store.com/collections/hair-care/products/bed-head-by-tigi-moisture-maniac-conditioner-13-53-oz")</f>
        <v>https://prolisok-store.com/collections/hair-care/products/bed-head-by-tigi-moisture-maniac-conditioner-13-53-oz</v>
      </c>
      <c r="B2168" s="3" t="str">
        <f>HYPERLINK("https://prolisok-store.com/products/bed-head-by-tigi-moisture-maniac-conditioner-13-53-oz", "https://prolisok-store.com/products/bed-head-by-tigi-moisture-maniac-conditioner-13-53-oz")</f>
        <v>https://prolisok-store.com/products/bed-head-by-tigi-moisture-maniac-conditioner-13-53-oz</v>
      </c>
      <c r="C2168" t="s">
        <v>5216</v>
      </c>
      <c r="D2168" t="s">
        <v>5393</v>
      </c>
      <c r="E2168" s="3" t="str">
        <f>HYPERLINK("https://www.amazon.com/TIGI-Conditioner-Moisture-Sulfate-Free-Moisturizing/dp/B09VLG4BRX/ref=sr_1_8?keywords=Bed+head+by+tigi+moisture+maniac+conditioner+13.53+oz&amp;qid=1695259400&amp;sr=8-8", "https://www.amazon.com/TIGI-Conditioner-Moisture-Sulfate-Free-Moisturizing/dp/B09VLG4BRX/ref=sr_1_8?keywords=Bed+head+by+tigi+moisture+maniac+conditioner+13.53+oz&amp;qid=1695259400&amp;sr=8-8")</f>
        <v>https://www.amazon.com/TIGI-Conditioner-Moisture-Sulfate-Free-Moisturizing/dp/B09VLG4BRX/ref=sr_1_8?keywords=Bed+head+by+tigi+moisture+maniac+conditioner+13.53+oz&amp;qid=1695259400&amp;sr=8-8</v>
      </c>
      <c r="F2168" t="s">
        <v>5394</v>
      </c>
      <c r="G2168" t="e">
        <f ca="1">IMAGE("https://prolisok-store.com/cdn/shop/products/458919_300x.jpg?v=1690899990")</f>
        <v>#NAME?</v>
      </c>
      <c r="H2168" t="e">
        <f ca="1">IMAGE("https://m.media-amazon.com/images/I/71KDuTaJlCL._AC_UL320_.jpg")</f>
        <v>#NAME?</v>
      </c>
      <c r="I2168" t="s">
        <v>5103</v>
      </c>
      <c r="J2168">
        <v>22.99</v>
      </c>
      <c r="K2168" s="2" t="s">
        <v>5395</v>
      </c>
      <c r="L2168">
        <v>4.2</v>
      </c>
      <c r="M2168">
        <v>1229</v>
      </c>
      <c r="O2168" t="s">
        <v>26</v>
      </c>
      <c r="P2168" t="s">
        <v>39</v>
      </c>
      <c r="Q2168" t="s">
        <v>5220</v>
      </c>
    </row>
    <row r="2169" spans="1:17" ht="15.75" x14ac:dyDescent="0.25">
      <c r="A2169" s="3" t="str">
        <f>HYPERLINK("https://prolisok-store.com/collections/hair-care/products/bed-head-by-tigi-elasticate-shampoo-8-45-oz", "https://prolisok-store.com/collections/hair-care/products/bed-head-by-tigi-elasticate-shampoo-8-45-oz")</f>
        <v>https://prolisok-store.com/collections/hair-care/products/bed-head-by-tigi-elasticate-shampoo-8-45-oz</v>
      </c>
      <c r="B2169" s="3" t="str">
        <f>HYPERLINK("https://prolisok-store.com/products/bed-head-by-tigi-elasticate-shampoo-8-45-oz", "https://prolisok-store.com/products/bed-head-by-tigi-elasticate-shampoo-8-45-oz")</f>
        <v>https://prolisok-store.com/products/bed-head-by-tigi-elasticate-shampoo-8-45-oz</v>
      </c>
      <c r="C2169" t="s">
        <v>5396</v>
      </c>
      <c r="D2169" t="s">
        <v>5178</v>
      </c>
      <c r="E2169" s="3" t="str">
        <f>HYPERLINK("https://www.amazon.com/Bed-Head-Resurrection-Shampoo-Conditioner/dp/B003T18TE6/ref=sr_1_9?keywords=Bed+head+by+tigi+elasticate+shampoo+8.45+oz&amp;qid=1695259385&amp;sr=8-9", "https://www.amazon.com/Bed-Head-Resurrection-Shampoo-Conditioner/dp/B003T18TE6/ref=sr_1_9?keywords=Bed+head+by+tigi+elasticate+shampoo+8.45+oz&amp;qid=1695259385&amp;sr=8-9")</f>
        <v>https://www.amazon.com/Bed-Head-Resurrection-Shampoo-Conditioner/dp/B003T18TE6/ref=sr_1_9?keywords=Bed+head+by+tigi+elasticate+shampoo+8.45+oz&amp;qid=1695259385&amp;sr=8-9</v>
      </c>
      <c r="F2169" t="s">
        <v>5179</v>
      </c>
      <c r="G2169" t="e">
        <f ca="1">IMAGE("https://prolisok-store.com/cdn/shop/products/244399_300x.jpg?v=1690899925")</f>
        <v>#NAME?</v>
      </c>
      <c r="H2169" t="e">
        <f ca="1">IMAGE("https://m.media-amazon.com/images/I/71SUeFDYyNL._AC_UL320_.jpg")</f>
        <v>#NAME?</v>
      </c>
      <c r="I2169" t="s">
        <v>5397</v>
      </c>
      <c r="J2169">
        <v>19.38</v>
      </c>
      <c r="K2169" s="2" t="s">
        <v>5398</v>
      </c>
      <c r="L2169">
        <v>4.5999999999999996</v>
      </c>
      <c r="M2169">
        <v>12743</v>
      </c>
      <c r="O2169" t="s">
        <v>26</v>
      </c>
      <c r="P2169" t="s">
        <v>39</v>
      </c>
      <c r="Q2169" t="s">
        <v>5399</v>
      </c>
    </row>
    <row r="2170" spans="1:17" ht="15.75" x14ac:dyDescent="0.25">
      <c r="A2170" s="3" t="str">
        <f>HYPERLINK("https://prolisok-store.com/collections/hair-care/products/bed-head-by-tigi-recovery-shampoo-25-36-oz", "https://prolisok-store.com/collections/hair-care/products/bed-head-by-tigi-recovery-shampoo-25-36-oz")</f>
        <v>https://prolisok-store.com/collections/hair-care/products/bed-head-by-tigi-recovery-shampoo-25-36-oz</v>
      </c>
      <c r="B2170" s="3" t="str">
        <f>HYPERLINK("https://prolisok-store.com/products/bed-head-by-tigi-recovery-shampoo-25-36-oz", "https://prolisok-store.com/products/bed-head-by-tigi-recovery-shampoo-25-36-oz")</f>
        <v>https://prolisok-store.com/products/bed-head-by-tigi-recovery-shampoo-25-36-oz</v>
      </c>
      <c r="C2170" t="s">
        <v>5360</v>
      </c>
      <c r="D2170" t="s">
        <v>5400</v>
      </c>
      <c r="E2170" s="3" t="str">
        <f>HYPERLINK("https://www.amazon.com/TIGI-Recovery-Shampoo-Damage-25-36-Ounce/dp/B0BGQPZ4YK/ref=sr_1_10?keywords=Bed+head+by+tigi+recovery+shampoo+25.36+oz&amp;qid=1695259368&amp;sr=8-10", "https://www.amazon.com/TIGI-Recovery-Shampoo-Damage-25-36-Ounce/dp/B0BGQPZ4YK/ref=sr_1_10?keywords=Bed+head+by+tigi+recovery+shampoo+25.36+oz&amp;qid=1695259368&amp;sr=8-10")</f>
        <v>https://www.amazon.com/TIGI-Recovery-Shampoo-Damage-25-36-Ounce/dp/B0BGQPZ4YK/ref=sr_1_10?keywords=Bed+head+by+tigi+recovery+shampoo+25.36+oz&amp;qid=1695259368&amp;sr=8-10</v>
      </c>
      <c r="F2170" t="s">
        <v>5401</v>
      </c>
      <c r="G2170" t="e">
        <f ca="1">IMAGE("https://prolisok-store.com/cdn/shop/products/195934_300x.jpg?v=1690899977")</f>
        <v>#NAME?</v>
      </c>
      <c r="H2170" t="e">
        <f ca="1">IMAGE("https://m.media-amazon.com/images/I/21VobBy0eUL._AC_UL320_.jpg")</f>
        <v>#NAME?</v>
      </c>
      <c r="I2170" t="s">
        <v>5348</v>
      </c>
      <c r="J2170">
        <v>32.9</v>
      </c>
      <c r="K2170" s="2" t="s">
        <v>5402</v>
      </c>
      <c r="L2170">
        <v>5</v>
      </c>
      <c r="M2170">
        <v>2</v>
      </c>
      <c r="O2170" t="s">
        <v>26</v>
      </c>
      <c r="P2170" t="s">
        <v>39</v>
      </c>
      <c r="Q2170" t="s">
        <v>5362</v>
      </c>
    </row>
    <row r="2171" spans="1:17" ht="15.75" x14ac:dyDescent="0.25">
      <c r="A2171" s="3" t="str">
        <f>HYPERLINK("https://prolisok-store.com/collections/hair-care/products/bed-head-by-tigi-moisture-maniac-conditioner-25-36-oz", "https://prolisok-store.com/collections/hair-care/products/bed-head-by-tigi-moisture-maniac-conditioner-25-36-oz")</f>
        <v>https://prolisok-store.com/collections/hair-care/products/bed-head-by-tigi-moisture-maniac-conditioner-25-36-oz</v>
      </c>
      <c r="B2171" s="3" t="str">
        <f>HYPERLINK("https://prolisok-store.com/products/bed-head-by-tigi-moisture-maniac-conditioner-25-36-oz", "https://prolisok-store.com/products/bed-head-by-tigi-moisture-maniac-conditioner-25-36-oz")</f>
        <v>https://prolisok-store.com/products/bed-head-by-tigi-moisture-maniac-conditioner-25-36-oz</v>
      </c>
      <c r="C2171" t="s">
        <v>5384</v>
      </c>
      <c r="D2171" t="s">
        <v>5282</v>
      </c>
      <c r="E2171" s="3" t="str">
        <f>HYPERLINK("https://www.amazon.com/TIGI-Moisture-Maniac-Moisturizing-Conditioner/dp/B0054Y2Y3I/ref=sr_1_2?keywords=Bed+head+by+tigi+moisture+maniac+conditioner+25.36+oz&amp;qid=1695259382&amp;sr=8-2", "https://www.amazon.com/TIGI-Moisture-Maniac-Moisturizing-Conditioner/dp/B0054Y2Y3I/ref=sr_1_2?keywords=Bed+head+by+tigi+moisture+maniac+conditioner+25.36+oz&amp;qid=1695259382&amp;sr=8-2")</f>
        <v>https://www.amazon.com/TIGI-Moisture-Maniac-Moisturizing-Conditioner/dp/B0054Y2Y3I/ref=sr_1_2?keywords=Bed+head+by+tigi+moisture+maniac+conditioner+25.36+oz&amp;qid=1695259382&amp;sr=8-2</v>
      </c>
      <c r="F2171" t="s">
        <v>5283</v>
      </c>
      <c r="G2171" t="e">
        <f ca="1">IMAGE("https://prolisok-store.com/cdn/shop/products/152905_300x.jpg?v=1690899967")</f>
        <v>#NAME?</v>
      </c>
      <c r="H2171" t="e">
        <f ca="1">IMAGE("https://m.media-amazon.com/images/I/71XGQUsDoxL._AC_UL320_.jpg")</f>
        <v>#NAME?</v>
      </c>
      <c r="I2171" t="s">
        <v>5348</v>
      </c>
      <c r="J2171">
        <v>32.9</v>
      </c>
      <c r="K2171" s="2" t="s">
        <v>5402</v>
      </c>
      <c r="L2171">
        <v>4.5999999999999996</v>
      </c>
      <c r="M2171">
        <v>18</v>
      </c>
      <c r="O2171" t="s">
        <v>26</v>
      </c>
      <c r="P2171" t="s">
        <v>39</v>
      </c>
      <c r="Q2171" t="s">
        <v>5387</v>
      </c>
    </row>
    <row r="2172" spans="1:17" ht="15.75" x14ac:dyDescent="0.25">
      <c r="A2172" s="3" t="str">
        <f>HYPERLINK("https://prolisok-store.com/collections/hair-care/products/bed-head-by-tigi-elasticate-shampoo-8-45-oz", "https://prolisok-store.com/collections/hair-care/products/bed-head-by-tigi-elasticate-shampoo-8-45-oz")</f>
        <v>https://prolisok-store.com/collections/hair-care/products/bed-head-by-tigi-elasticate-shampoo-8-45-oz</v>
      </c>
      <c r="B2172" s="3" t="str">
        <f>HYPERLINK("https://prolisok-store.com/products/bed-head-by-tigi-elasticate-shampoo-8-45-oz", "https://prolisok-store.com/products/bed-head-by-tigi-elasticate-shampoo-8-45-oz")</f>
        <v>https://prolisok-store.com/products/bed-head-by-tigi-elasticate-shampoo-8-45-oz</v>
      </c>
      <c r="C2172" t="s">
        <v>5396</v>
      </c>
      <c r="D2172" t="s">
        <v>5403</v>
      </c>
      <c r="E2172" s="3" t="str">
        <f>HYPERLINK("https://www.amazon.com/Head-Humidity-Resistant-Sulfate-Free-Shampoo/dp/B0036G5BAE/ref=sr_1_7?keywords=Bed+head+by+tigi+elasticate+shampoo+8.45+oz&amp;qid=1695259385&amp;sr=8-7", "https://www.amazon.com/Head-Humidity-Resistant-Sulfate-Free-Shampoo/dp/B0036G5BAE/ref=sr_1_7?keywords=Bed+head+by+tigi+elasticate+shampoo+8.45+oz&amp;qid=1695259385&amp;sr=8-7")</f>
        <v>https://www.amazon.com/Head-Humidity-Resistant-Sulfate-Free-Shampoo/dp/B0036G5BAE/ref=sr_1_7?keywords=Bed+head+by+tigi+elasticate+shampoo+8.45+oz&amp;qid=1695259385&amp;sr=8-7</v>
      </c>
      <c r="F2172" t="s">
        <v>5404</v>
      </c>
      <c r="G2172" t="e">
        <f ca="1">IMAGE("https://prolisok-store.com/cdn/shop/products/244399_300x.jpg?v=1690899925")</f>
        <v>#NAME?</v>
      </c>
      <c r="H2172" t="e">
        <f ca="1">IMAGE("https://m.media-amazon.com/images/I/61R9MNmLiEL._AC_UL320_.jpg")</f>
        <v>#NAME?</v>
      </c>
      <c r="I2172" t="s">
        <v>5397</v>
      </c>
      <c r="J2172">
        <v>19.2</v>
      </c>
      <c r="K2172" s="2" t="s">
        <v>5405</v>
      </c>
      <c r="L2172">
        <v>4.5999999999999996</v>
      </c>
      <c r="M2172">
        <v>2</v>
      </c>
      <c r="O2172" t="s">
        <v>26</v>
      </c>
      <c r="P2172" t="s">
        <v>39</v>
      </c>
      <c r="Q2172" t="s">
        <v>5399</v>
      </c>
    </row>
    <row r="2173" spans="1:17" ht="15.75" x14ac:dyDescent="0.25">
      <c r="A2173" s="3" t="str">
        <f>HYPERLINK("https://prolisok-store.com/collections/hair-care/products/bed-head-by-tigi-resurrection-conditioner-13-53-oz", "https://prolisok-store.com/collections/hair-care/products/bed-head-by-tigi-resurrection-conditioner-13-53-oz")</f>
        <v>https://prolisok-store.com/collections/hair-care/products/bed-head-by-tigi-resurrection-conditioner-13-53-oz</v>
      </c>
      <c r="B2173" s="3" t="str">
        <f>HYPERLINK("https://prolisok-store.com/products/bed-head-by-tigi-resurrection-conditioner-13-53-oz", "https://prolisok-store.com/products/bed-head-by-tigi-resurrection-conditioner-13-53-oz")</f>
        <v>https://prolisok-store.com/products/bed-head-by-tigi-resurrection-conditioner-13-53-oz</v>
      </c>
      <c r="C2173" t="s">
        <v>5336</v>
      </c>
      <c r="D2173" t="s">
        <v>5206</v>
      </c>
      <c r="E2173" s="3" t="str">
        <f>HYPERLINK("https://www.amazon.com/TIGI-Re-Energize-Shampoo-Conditioner-25-36/dp/B003T1CQDQ/ref=sr_1_10?keywords=Bed+head+by+tigi+resurrection+conditioner+13.53+oz&amp;qid=1695259381&amp;sr=8-10", "https://www.amazon.com/TIGI-Re-Energize-Shampoo-Conditioner-25-36/dp/B003T1CQDQ/ref=sr_1_10?keywords=Bed+head+by+tigi+resurrection+conditioner+13.53+oz&amp;qid=1695259381&amp;sr=8-10")</f>
        <v>https://www.amazon.com/TIGI-Re-Energize-Shampoo-Conditioner-25-36/dp/B003T1CQDQ/ref=sr_1_10?keywords=Bed+head+by+tigi+resurrection+conditioner+13.53+oz&amp;qid=1695259381&amp;sr=8-10</v>
      </c>
      <c r="F2173" t="s">
        <v>5207</v>
      </c>
      <c r="G2173" t="e">
        <f ca="1">IMAGE("https://prolisok-store.com/cdn/shop/products/416079_300x.jpg?v=1690900033")</f>
        <v>#NAME?</v>
      </c>
      <c r="H2173" t="e">
        <f ca="1">IMAGE("https://m.media-amazon.com/images/I/81RdG+inaUL._AC_UL320_.jpg")</f>
        <v>#NAME?</v>
      </c>
      <c r="I2173" t="s">
        <v>5103</v>
      </c>
      <c r="J2173">
        <v>22.35</v>
      </c>
      <c r="K2173" s="2" t="s">
        <v>5406</v>
      </c>
      <c r="L2173">
        <v>4.5999999999999996</v>
      </c>
      <c r="M2173">
        <v>5605</v>
      </c>
      <c r="O2173" t="s">
        <v>26</v>
      </c>
      <c r="P2173" t="s">
        <v>39</v>
      </c>
      <c r="Q2173" t="s">
        <v>5337</v>
      </c>
    </row>
    <row r="2174" spans="1:17" ht="15.75" x14ac:dyDescent="0.25">
      <c r="A2174" s="3" t="str">
        <f>HYPERLINK("https://prolisok-store.com/collections/hair-care/products/doterra-correct-x-essential-ointment", "https://prolisok-store.com/collections/hair-care/products/doterra-correct-x-essential-ointment")</f>
        <v>https://prolisok-store.com/collections/hair-care/products/doterra-correct-x-essential-ointment</v>
      </c>
      <c r="B2174" s="3" t="str">
        <f>HYPERLINK("https://prolisok-store.com/products/doterra-correct-x-essential-ointment", "https://prolisok-store.com/products/doterra-correct-x-essential-ointment")</f>
        <v>https://prolisok-store.com/products/doterra-correct-x-essential-ointment</v>
      </c>
      <c r="C2174" t="s">
        <v>4870</v>
      </c>
      <c r="D2174" t="s">
        <v>4871</v>
      </c>
      <c r="E2174" s="3" t="str">
        <f>HYPERLINK("https://www.amazon.com/doTERRA-Correct-X-Essential-Ointment-15/dp/B00O2E4J7A/ref=sr_1_1?keywords=doTERRA+Correct-X+Essential+Ointment&amp;qid=1695259372&amp;sr=8-1", "https://www.amazon.com/doTERRA-Correct-X-Essential-Ointment-15/dp/B00O2E4J7A/ref=sr_1_1?keywords=doTERRA+Correct-X+Essential+Ointment&amp;qid=1695259372&amp;sr=8-1")</f>
        <v>https://www.amazon.com/doTERRA-Correct-X-Essential-Ointment-15/dp/B00O2E4J7A/ref=sr_1_1?keywords=doTERRA+Correct-X+Essential+Ointment&amp;qid=1695259372&amp;sr=8-1</v>
      </c>
      <c r="F2174" t="s">
        <v>4872</v>
      </c>
      <c r="G2174" t="e">
        <f ca="1">IMAGE("https://prolisok-store.com/cdn/shop/files/715OpTqz2HL._AC_SL1500_300x.jpg?v=1693059159")</f>
        <v>#NAME?</v>
      </c>
      <c r="H2174" t="e">
        <f ca="1">IMAGE("https://m.media-amazon.com/images/I/715OpTqz2HL._AC_UL320_.jpg")</f>
        <v>#NAME?</v>
      </c>
      <c r="I2174" t="s">
        <v>4873</v>
      </c>
      <c r="J2174">
        <v>14.99</v>
      </c>
      <c r="K2174" s="2" t="s">
        <v>4874</v>
      </c>
      <c r="L2174">
        <v>4.8</v>
      </c>
      <c r="M2174">
        <v>1282</v>
      </c>
      <c r="O2174" t="s">
        <v>26</v>
      </c>
      <c r="P2174" t="s">
        <v>39</v>
      </c>
      <c r="Q2174" t="s">
        <v>4875</v>
      </c>
    </row>
    <row r="2175" spans="1:17" ht="15.75" x14ac:dyDescent="0.25">
      <c r="A2175" s="3" t="str">
        <f>HYPERLINK("https://prolisok-store.com/collections/hair-care/products/bed-head-men-by-tigi-matte-separation-wax-3-oz", "https://prolisok-store.com/collections/hair-care/products/bed-head-men-by-tigi-matte-separation-wax-3-oz")</f>
        <v>https://prolisok-store.com/collections/hair-care/products/bed-head-men-by-tigi-matte-separation-wax-3-oz</v>
      </c>
      <c r="B2175" s="3" t="str">
        <f>HYPERLINK("https://prolisok-store.com/products/bed-head-men-by-tigi-matte-separation-wax-3-oz", "https://prolisok-store.com/products/bed-head-men-by-tigi-matte-separation-wax-3-oz")</f>
        <v>https://prolisok-store.com/products/bed-head-men-by-tigi-matte-separation-wax-3-oz</v>
      </c>
      <c r="C2175" t="s">
        <v>5407</v>
      </c>
      <c r="D2175" t="s">
        <v>5408</v>
      </c>
      <c r="E2175" s="3" t="str">
        <f>HYPERLINK("https://www.amazon.com/TIGI-Manipulator-MatteTM-Paste-Strong/dp/B08ZYXFY1J/ref=sr_1_6?keywords=Bed+head+men+by+tigi+matte+separation+wax+3+oz&amp;qid=1695259401&amp;sr=8-6", "https://www.amazon.com/TIGI-Manipulator-MatteTM-Paste-Strong/dp/B08ZYXFY1J/ref=sr_1_6?keywords=Bed+head+men+by+tigi+matte+separation+wax+3+oz&amp;qid=1695259401&amp;sr=8-6")</f>
        <v>https://www.amazon.com/TIGI-Manipulator-MatteTM-Paste-Strong/dp/B08ZYXFY1J/ref=sr_1_6?keywords=Bed+head+men+by+tigi+matte+separation+wax+3+oz&amp;qid=1695259401&amp;sr=8-6</v>
      </c>
      <c r="F2175" t="s">
        <v>5409</v>
      </c>
      <c r="G2175" t="e">
        <f ca="1">IMAGE("https://prolisok-store.com/cdn/shop/products/276241_300x.jpg?v=1690900117")</f>
        <v>#NAME?</v>
      </c>
      <c r="H2175" t="e">
        <f ca="1">IMAGE("https://m.media-amazon.com/images/I/41dRy9EgBrL._AC_UL320_.jpg")</f>
        <v>#NAME?</v>
      </c>
      <c r="I2175" t="s">
        <v>5410</v>
      </c>
      <c r="J2175">
        <v>28.9</v>
      </c>
      <c r="K2175" s="2" t="s">
        <v>5411</v>
      </c>
      <c r="L2175">
        <v>3.9</v>
      </c>
      <c r="M2175">
        <v>25</v>
      </c>
      <c r="O2175" t="s">
        <v>26</v>
      </c>
      <c r="P2175" t="s">
        <v>39</v>
      </c>
      <c r="Q2175" t="s">
        <v>5412</v>
      </c>
    </row>
    <row r="2176" spans="1:17" ht="15.75" x14ac:dyDescent="0.25">
      <c r="A2176" s="3" t="str">
        <f>HYPERLINK("https://prolisok-store.com/collections/hair-care/products/bed-head-by-tigi-colour-goddess-oil-infused-shampoo-for-coloured-hair-13-5-oz", "https://prolisok-store.com/collections/hair-care/products/bed-head-by-tigi-colour-goddess-oil-infused-shampoo-for-coloured-hair-13-5-oz")</f>
        <v>https://prolisok-store.com/collections/hair-care/products/bed-head-by-tigi-colour-goddess-oil-infused-shampoo-for-coloured-hair-13-5-oz</v>
      </c>
      <c r="B2176" s="3" t="str">
        <f>HYPERLINK("https://prolisok-store.com/products/bed-head-by-tigi-colour-goddess-oil-infused-shampoo-for-coloured-hair-13-5-oz", "https://prolisok-store.com/products/bed-head-by-tigi-colour-goddess-oil-infused-shampoo-for-coloured-hair-13-5-oz")</f>
        <v>https://prolisok-store.com/products/bed-head-by-tigi-colour-goddess-oil-infused-shampoo-for-coloured-hair-13-5-oz</v>
      </c>
      <c r="C2176" t="s">
        <v>5261</v>
      </c>
      <c r="D2176" t="s">
        <v>5413</v>
      </c>
      <c r="E2176" s="3" t="str">
        <f>HYPERLINK("https://www.amazon.com/Color-Goddess-colored-shampoo-conditioner/dp/B0127XF0CA/ref=sr_1_2?keywords=Bed+head+by+tigi+colour+goddess+oil+infused+shampoo+for+coloured+hair+13.5+oz&amp;qid=1695259369&amp;sr=8-2", "https://www.amazon.com/Color-Goddess-colored-shampoo-conditioner/dp/B0127XF0CA/ref=sr_1_2?keywords=Bed+head+by+tigi+colour+goddess+oil+infused+shampoo+for+coloured+hair+13.5+oz&amp;qid=1695259369&amp;sr=8-2")</f>
        <v>https://www.amazon.com/Color-Goddess-colored-shampoo-conditioner/dp/B0127XF0CA/ref=sr_1_2?keywords=Bed+head+by+tigi+colour+goddess+oil+infused+shampoo+for+coloured+hair+13.5+oz&amp;qid=1695259369&amp;sr=8-2</v>
      </c>
      <c r="F2176" t="s">
        <v>5414</v>
      </c>
      <c r="G2176" t="e">
        <f ca="1">IMAGE("https://prolisok-store.com/cdn/shop/products/251252_300x.jpg?v=1690899937")</f>
        <v>#NAME?</v>
      </c>
      <c r="H2176" t="e">
        <f ca="1">IMAGE("https://m.media-amazon.com/images/I/81OTWFrKhPL._AC_UL320_.jpg")</f>
        <v>#NAME?</v>
      </c>
      <c r="I2176" t="s">
        <v>5103</v>
      </c>
      <c r="J2176">
        <v>21.91</v>
      </c>
      <c r="K2176" s="2" t="s">
        <v>5415</v>
      </c>
      <c r="L2176">
        <v>4.5</v>
      </c>
      <c r="M2176">
        <v>16069</v>
      </c>
      <c r="O2176" t="s">
        <v>26</v>
      </c>
      <c r="P2176" t="s">
        <v>39</v>
      </c>
      <c r="Q2176" t="s">
        <v>5265</v>
      </c>
    </row>
    <row r="2177" spans="1:17" ht="15.75" x14ac:dyDescent="0.25">
      <c r="A2177" s="3" t="str">
        <f>HYPERLINK("https://prolisok-store.com/collections/hair-care/products/bed-head-by-tigi-manipulator-matte-2-oz", "https://prolisok-store.com/collections/hair-care/products/bed-head-by-tigi-manipulator-matte-2-oz")</f>
        <v>https://prolisok-store.com/collections/hair-care/products/bed-head-by-tigi-manipulator-matte-2-oz</v>
      </c>
      <c r="B2177" s="3" t="str">
        <f>HYPERLINK("https://prolisok-store.com/products/bed-head-by-tigi-manipulator-matte-2-oz", "https://prolisok-store.com/products/bed-head-by-tigi-manipulator-matte-2-oz")</f>
        <v>https://prolisok-store.com/products/bed-head-by-tigi-manipulator-matte-2-oz</v>
      </c>
      <c r="C2177" t="s">
        <v>5152</v>
      </c>
      <c r="D2177" t="s">
        <v>5408</v>
      </c>
      <c r="E2177" s="3" t="str">
        <f>HYPERLINK("https://www.amazon.com/TIGI-Manipulator-MatteTM-Paste-Strong/dp/B08ZYXFY1J/ref=sr_1_9?keywords=Bed+head+by+tigi+manipulator+matte+2+oz&amp;qid=1695259373&amp;sr=8-9", "https://www.amazon.com/TIGI-Manipulator-MatteTM-Paste-Strong/dp/B08ZYXFY1J/ref=sr_1_9?keywords=Bed+head+by+tigi+manipulator+matte+2+oz&amp;qid=1695259373&amp;sr=8-9")</f>
        <v>https://www.amazon.com/TIGI-Manipulator-MatteTM-Paste-Strong/dp/B08ZYXFY1J/ref=sr_1_9?keywords=Bed+head+by+tigi+manipulator+matte+2+oz&amp;qid=1695259373&amp;sr=8-9</v>
      </c>
      <c r="F2177" t="s">
        <v>5409</v>
      </c>
      <c r="G2177" t="e">
        <f ca="1">IMAGE("https://prolisok-store.com/cdn/shop/products/280792_300x.jpg?v=1690899952")</f>
        <v>#NAME?</v>
      </c>
      <c r="H2177" t="e">
        <f ca="1">IMAGE("https://m.media-amazon.com/images/I/41dRy9EgBrL._AC_UL320_.jpg")</f>
        <v>#NAME?</v>
      </c>
      <c r="I2177" t="s">
        <v>5135</v>
      </c>
      <c r="J2177">
        <v>28.9</v>
      </c>
      <c r="K2177" s="2" t="s">
        <v>5416</v>
      </c>
      <c r="L2177">
        <v>3.9</v>
      </c>
      <c r="M2177">
        <v>25</v>
      </c>
      <c r="O2177" t="s">
        <v>26</v>
      </c>
      <c r="P2177" t="s">
        <v>39</v>
      </c>
      <c r="Q2177" t="s">
        <v>5156</v>
      </c>
    </row>
    <row r="2178" spans="1:17" ht="15.75" x14ac:dyDescent="0.25">
      <c r="A2178" s="3" t="str">
        <f>HYPERLINK("https://prolisok-store.com/collections/hair-care/products/bed-head-by-tigi-recovery-conditioner-25-36-oz", "https://prolisok-store.com/collections/hair-care/products/bed-head-by-tigi-recovery-conditioner-25-36-oz")</f>
        <v>https://prolisok-store.com/collections/hair-care/products/bed-head-by-tigi-recovery-conditioner-25-36-oz</v>
      </c>
      <c r="B2178" s="3" t="str">
        <f>HYPERLINK("https://prolisok-store.com/products/bed-head-by-tigi-recovery-conditioner-25-36-oz", "https://prolisok-store.com/products/bed-head-by-tigi-recovery-conditioner-25-36-oz")</f>
        <v>https://prolisok-store.com/products/bed-head-by-tigi-recovery-conditioner-25-36-oz</v>
      </c>
      <c r="C2178" t="s">
        <v>5315</v>
      </c>
      <c r="D2178" t="s">
        <v>5417</v>
      </c>
      <c r="E2178" s="3" t="str">
        <f>HYPERLINK("https://www.amazon.com/TIGI-Urban-Dotes-Recovery-Conditioner/dp/B01IAEN6SU/ref=sr_1_5?keywords=Bed+head+by+tigi+recovery+conditioner+25.36+oz&amp;qid=1695259402&amp;sr=8-5", "https://www.amazon.com/TIGI-Urban-Dotes-Recovery-Conditioner/dp/B01IAEN6SU/ref=sr_1_5?keywords=Bed+head+by+tigi+recovery+conditioner+25.36+oz&amp;qid=1695259402&amp;sr=8-5")</f>
        <v>https://www.amazon.com/TIGI-Urban-Dotes-Recovery-Conditioner/dp/B01IAEN6SU/ref=sr_1_5?keywords=Bed+head+by+tigi+recovery+conditioner+25.36+oz&amp;qid=1695259402&amp;sr=8-5</v>
      </c>
      <c r="F2178" t="s">
        <v>5418</v>
      </c>
      <c r="G2178" t="e">
        <f ca="1">IMAGE("https://prolisok-store.com/cdn/shop/products/195939_300x.jpg?v=1690899979")</f>
        <v>#NAME?</v>
      </c>
      <c r="H2178" t="e">
        <f ca="1">IMAGE("https://m.media-amazon.com/images/I/61222WpOSyL._AC_UL320_.jpg")</f>
        <v>#NAME?</v>
      </c>
      <c r="I2178" t="s">
        <v>5135</v>
      </c>
      <c r="J2178">
        <v>28.73</v>
      </c>
      <c r="K2178" s="2" t="s">
        <v>5419</v>
      </c>
      <c r="L2178">
        <v>4</v>
      </c>
      <c r="M2178">
        <v>5</v>
      </c>
      <c r="O2178" t="s">
        <v>26</v>
      </c>
      <c r="P2178" t="s">
        <v>39</v>
      </c>
      <c r="Q2178" t="s">
        <v>5317</v>
      </c>
    </row>
    <row r="2179" spans="1:17" ht="15.75" x14ac:dyDescent="0.25">
      <c r="A2179" s="3" t="str">
        <f>HYPERLINK("https://prolisok-store.com/collections/hair-care/products/bed-head-by-tigi-brunette-goddess-shine-spray-4-23-oz", "https://prolisok-store.com/collections/hair-care/products/bed-head-by-tigi-brunette-goddess-shine-spray-4-23-oz")</f>
        <v>https://prolisok-store.com/collections/hair-care/products/bed-head-by-tigi-brunette-goddess-shine-spray-4-23-oz</v>
      </c>
      <c r="B2179" s="3" t="str">
        <f>HYPERLINK("https://prolisok-store.com/products/bed-head-by-tigi-brunette-goddess-shine-spray-4-23-oz", "https://prolisok-store.com/products/bed-head-by-tigi-brunette-goddess-shine-spray-4-23-oz")</f>
        <v>https://prolisok-store.com/products/bed-head-by-tigi-brunette-goddess-shine-spray-4-23-oz</v>
      </c>
      <c r="C2179" t="s">
        <v>5310</v>
      </c>
      <c r="D2179" t="s">
        <v>5420</v>
      </c>
      <c r="E2179" s="3" t="str">
        <f>HYPERLINK("https://www.amazon.com/Brunette-Goddess-Shine-Spray-4-23/dp/B00DULXCHE/ref=sr_1_1?keywords=Bed+head+by+tigi+brunette+goddess+shine+spray+4.23+oz&amp;qid=1695259392&amp;sr=8-1", "https://www.amazon.com/Brunette-Goddess-Shine-Spray-4-23/dp/B00DULXCHE/ref=sr_1_1?keywords=Bed+head+by+tigi+brunette+goddess+shine+spray+4.23+oz&amp;qid=1695259392&amp;sr=8-1")</f>
        <v>https://www.amazon.com/Brunette-Goddess-Shine-Spray-4-23/dp/B00DULXCHE/ref=sr_1_1?keywords=Bed+head+by+tigi+brunette+goddess+shine+spray+4.23+oz&amp;qid=1695259392&amp;sr=8-1</v>
      </c>
      <c r="F2179" t="s">
        <v>5421</v>
      </c>
      <c r="G2179" t="e">
        <f ca="1">IMAGE("https://prolisok-store.com/cdn/shop/products/188965_300x.jpg?v=1690899975")</f>
        <v>#NAME?</v>
      </c>
      <c r="H2179" t="e">
        <f ca="1">IMAGE("https://m.media-amazon.com/images/I/11wDpR2rTuL._AC_UL320_.jpg")</f>
        <v>#NAME?</v>
      </c>
      <c r="I2179" t="s">
        <v>4318</v>
      </c>
      <c r="J2179">
        <v>22</v>
      </c>
      <c r="K2179" s="2" t="s">
        <v>5422</v>
      </c>
      <c r="L2179">
        <v>5</v>
      </c>
      <c r="M2179">
        <v>1</v>
      </c>
      <c r="O2179" t="s">
        <v>26</v>
      </c>
      <c r="P2179" t="s">
        <v>39</v>
      </c>
      <c r="Q2179" t="s">
        <v>5314</v>
      </c>
    </row>
    <row r="2180" spans="1:17" ht="15.75" x14ac:dyDescent="0.25">
      <c r="A2180" s="3" t="str">
        <f>HYPERLINK("https://prolisok-store.com/collections/hair-care/products/bed-head-by-tigi-dumb-blonde-reconstructor-6-7-oz", "https://prolisok-store.com/collections/hair-care/products/bed-head-by-tigi-dumb-blonde-reconstructor-6-7-oz")</f>
        <v>https://prolisok-store.com/collections/hair-care/products/bed-head-by-tigi-dumb-blonde-reconstructor-6-7-oz</v>
      </c>
      <c r="B2180" s="3" t="str">
        <f>HYPERLINK("https://prolisok-store.com/products/bed-head-by-tigi-dumb-blonde-reconstructor-6-7-oz", "https://prolisok-store.com/products/bed-head-by-tigi-dumb-blonde-reconstructor-6-7-oz")</f>
        <v>https://prolisok-store.com/products/bed-head-by-tigi-dumb-blonde-reconstructor-6-7-oz</v>
      </c>
      <c r="C2180" t="s">
        <v>5423</v>
      </c>
      <c r="D2180" t="s">
        <v>5424</v>
      </c>
      <c r="E2180" s="3" t="str">
        <f>HYPERLINK("https://www.amazon.com/TIGI-Bed-Head-Blonde-Tween/dp/B00HEMAWQY/ref=sr_1_7?keywords=Bed+head+by+tigi+dumb+blonde+reconstructor+6.7+oz&amp;qid=1695259391&amp;sr=8-7", "https://www.amazon.com/TIGI-Bed-Head-Blonde-Tween/dp/B00HEMAWQY/ref=sr_1_7?keywords=Bed+head+by+tigi+dumb+blonde+reconstructor+6.7+oz&amp;qid=1695259391&amp;sr=8-7")</f>
        <v>https://www.amazon.com/TIGI-Bed-Head-Blonde-Tween/dp/B00HEMAWQY/ref=sr_1_7?keywords=Bed+head+by+tigi+dumb+blonde+reconstructor+6.7+oz&amp;qid=1695259391&amp;sr=8-7</v>
      </c>
      <c r="F2180" t="s">
        <v>5425</v>
      </c>
      <c r="G2180" t="e">
        <f ca="1">IMAGE("https://prolisok-store.com/cdn/shop/products/131722_300x.jpg?v=1690899961")</f>
        <v>#NAME?</v>
      </c>
      <c r="H2180" t="e">
        <f ca="1">IMAGE("https://m.media-amazon.com/images/I/51VbEhnFUzL._AC_UL320_.jpg")</f>
        <v>#NAME?</v>
      </c>
      <c r="I2180" t="s">
        <v>5426</v>
      </c>
      <c r="J2180">
        <v>23.13</v>
      </c>
      <c r="K2180" s="2" t="s">
        <v>5427</v>
      </c>
      <c r="L2180">
        <v>4.3</v>
      </c>
      <c r="M2180">
        <v>2507</v>
      </c>
      <c r="O2180" t="s">
        <v>26</v>
      </c>
      <c r="P2180" t="s">
        <v>39</v>
      </c>
      <c r="Q2180" t="s">
        <v>5428</v>
      </c>
    </row>
    <row r="2181" spans="1:17" ht="15.75" x14ac:dyDescent="0.25">
      <c r="A2181" s="3" t="str">
        <f>HYPERLINK("https://prolisok-store.com/collections/hair-care/products/bed-head-by-tigi-resurrection-shampoo-8-45-oz", "https://prolisok-store.com/collections/hair-care/products/bed-head-by-tigi-resurrection-shampoo-8-45-oz")</f>
        <v>https://prolisok-store.com/collections/hair-care/products/bed-head-by-tigi-resurrection-shampoo-8-45-oz</v>
      </c>
      <c r="B2181" s="3" t="str">
        <f>HYPERLINK("https://prolisok-store.com/products/bed-head-by-tigi-resurrection-shampoo-8-45-oz", "https://prolisok-store.com/products/bed-head-by-tigi-resurrection-shampoo-8-45-oz")</f>
        <v>https://prolisok-store.com/products/bed-head-by-tigi-resurrection-shampoo-8-45-oz</v>
      </c>
      <c r="C2181" t="s">
        <v>5226</v>
      </c>
      <c r="D2181" t="s">
        <v>5178</v>
      </c>
      <c r="E2181" s="3" t="str">
        <f>HYPERLINK("https://www.amazon.com/Bed-Head-Resurrection-Shampoo-Conditioner/dp/B003T18TE6/ref=sr_1_1?keywords=Bed+head+by+tigi+resurrection+shampoo+8.45+oz&amp;qid=1695259396&amp;sr=8-1", "https://www.amazon.com/Bed-Head-Resurrection-Shampoo-Conditioner/dp/B003T18TE6/ref=sr_1_1?keywords=Bed+head+by+tigi+resurrection+shampoo+8.45+oz&amp;qid=1695259396&amp;sr=8-1")</f>
        <v>https://www.amazon.com/Bed-Head-Resurrection-Shampoo-Conditioner/dp/B003T18TE6/ref=sr_1_1?keywords=Bed+head+by+tigi+resurrection+shampoo+8.45+oz&amp;qid=1695259396&amp;sr=8-1</v>
      </c>
      <c r="F2181" t="s">
        <v>5179</v>
      </c>
      <c r="G2181" t="e">
        <f ca="1">IMAGE("https://prolisok-store.com/cdn/shop/products/195947_300x.jpg?v=1690899986")</f>
        <v>#NAME?</v>
      </c>
      <c r="H2181" t="e">
        <f ca="1">IMAGE("https://m.media-amazon.com/images/I/71SUeFDYyNL._AC_UL320_.jpg")</f>
        <v>#NAME?</v>
      </c>
      <c r="I2181" t="s">
        <v>5229</v>
      </c>
      <c r="J2181">
        <v>19.38</v>
      </c>
      <c r="K2181" s="2" t="s">
        <v>5429</v>
      </c>
      <c r="L2181">
        <v>4.5999999999999996</v>
      </c>
      <c r="M2181">
        <v>12743</v>
      </c>
      <c r="O2181" t="s">
        <v>26</v>
      </c>
      <c r="P2181" t="s">
        <v>39</v>
      </c>
      <c r="Q2181" t="s">
        <v>5231</v>
      </c>
    </row>
    <row r="2182" spans="1:17" ht="15.75" x14ac:dyDescent="0.25">
      <c r="A2182" s="3" t="str">
        <f>HYPERLINK("https://prolisok-store.com/collections/hair-care/products/bed-head-by-tigi-dumb-blonde-reconstructor-6-7-oz", "https://prolisok-store.com/collections/hair-care/products/bed-head-by-tigi-dumb-blonde-reconstructor-6-7-oz")</f>
        <v>https://prolisok-store.com/collections/hair-care/products/bed-head-by-tigi-dumb-blonde-reconstructor-6-7-oz</v>
      </c>
      <c r="B2182" s="3" t="str">
        <f>HYPERLINK("https://prolisok-store.com/products/bed-head-by-tigi-dumb-blonde-reconstructor-6-7-oz", "https://prolisok-store.com/products/bed-head-by-tigi-dumb-blonde-reconstructor-6-7-oz")</f>
        <v>https://prolisok-store.com/products/bed-head-by-tigi-dumb-blonde-reconstructor-6-7-oz</v>
      </c>
      <c r="C2182" t="s">
        <v>5423</v>
      </c>
      <c r="D2182" t="s">
        <v>5424</v>
      </c>
      <c r="E2182" s="3" t="str">
        <f>HYPERLINK("https://www.amazon.com/TIGI-Blonde-Shampoo-Reconstructor-Tween/dp/B01AC3TC0S/ref=sr_1_3?keywords=Bed+head+by+tigi+dumb+blonde+reconstructor+6.7+oz&amp;qid=1695259391&amp;sr=8-3", "https://www.amazon.com/TIGI-Blonde-Shampoo-Reconstructor-Tween/dp/B01AC3TC0S/ref=sr_1_3?keywords=Bed+head+by+tigi+dumb+blonde+reconstructor+6.7+oz&amp;qid=1695259391&amp;sr=8-3")</f>
        <v>https://www.amazon.com/TIGI-Blonde-Shampoo-Reconstructor-Tween/dp/B01AC3TC0S/ref=sr_1_3?keywords=Bed+head+by+tigi+dumb+blonde+reconstructor+6.7+oz&amp;qid=1695259391&amp;sr=8-3</v>
      </c>
      <c r="F2182" t="s">
        <v>5430</v>
      </c>
      <c r="G2182" t="e">
        <f ca="1">IMAGE("https://prolisok-store.com/cdn/shop/products/131722_300x.jpg?v=1690899961")</f>
        <v>#NAME?</v>
      </c>
      <c r="H2182" t="e">
        <f ca="1">IMAGE("https://m.media-amazon.com/images/I/71veoRtE4zL._AC_UL320_.jpg")</f>
        <v>#NAME?</v>
      </c>
      <c r="I2182" t="s">
        <v>5426</v>
      </c>
      <c r="J2182">
        <v>22.96</v>
      </c>
      <c r="K2182" s="2" t="s">
        <v>5431</v>
      </c>
      <c r="L2182">
        <v>4.4000000000000004</v>
      </c>
      <c r="M2182">
        <v>7328</v>
      </c>
      <c r="O2182" t="s">
        <v>26</v>
      </c>
      <c r="P2182" t="s">
        <v>39</v>
      </c>
      <c r="Q2182" t="s">
        <v>5428</v>
      </c>
    </row>
    <row r="2183" spans="1:17" ht="15.75" x14ac:dyDescent="0.25">
      <c r="A2183" s="3" t="str">
        <f>HYPERLINK("https://prolisok-store.com/collections/hair-care/products/bed-head-by-tigi-dumb-blonde-reconstructor-6-7-oz", "https://prolisok-store.com/collections/hair-care/products/bed-head-by-tigi-dumb-blonde-reconstructor-6-7-oz")</f>
        <v>https://prolisok-store.com/collections/hair-care/products/bed-head-by-tigi-dumb-blonde-reconstructor-6-7-oz</v>
      </c>
      <c r="B2183" s="3" t="str">
        <f>HYPERLINK("https://prolisok-store.com/products/bed-head-by-tigi-dumb-blonde-reconstructor-6-7-oz", "https://prolisok-store.com/products/bed-head-by-tigi-dumb-blonde-reconstructor-6-7-oz")</f>
        <v>https://prolisok-store.com/products/bed-head-by-tigi-dumb-blonde-reconstructor-6-7-oz</v>
      </c>
      <c r="C2183" t="s">
        <v>5423</v>
      </c>
      <c r="D2183" t="s">
        <v>5379</v>
      </c>
      <c r="E2183" s="3" t="str">
        <f>HYPERLINK("https://www.amazon.com/TIGI-Blonde-Shampoo-Reconstructor-Conditioner/dp/B001DDCW6S/ref=sr_1_10?keywords=Bed+head+by+tigi+dumb+blonde+reconstructor+6.7+oz&amp;qid=1695259391&amp;sr=8-10", "https://www.amazon.com/TIGI-Blonde-Shampoo-Reconstructor-Conditioner/dp/B001DDCW6S/ref=sr_1_10?keywords=Bed+head+by+tigi+dumb+blonde+reconstructor+6.7+oz&amp;qid=1695259391&amp;sr=8-10")</f>
        <v>https://www.amazon.com/TIGI-Blonde-Shampoo-Reconstructor-Conditioner/dp/B001DDCW6S/ref=sr_1_10?keywords=Bed+head+by+tigi+dumb+blonde+reconstructor+6.7+oz&amp;qid=1695259391&amp;sr=8-10</v>
      </c>
      <c r="F2183" t="s">
        <v>5380</v>
      </c>
      <c r="G2183" t="e">
        <f ca="1">IMAGE("https://prolisok-store.com/cdn/shop/products/131722_300x.jpg?v=1690899961")</f>
        <v>#NAME?</v>
      </c>
      <c r="H2183" t="e">
        <f ca="1">IMAGE("https://m.media-amazon.com/images/I/81CAXxAyWyL._AC_UL320_.jpg")</f>
        <v>#NAME?</v>
      </c>
      <c r="I2183" t="s">
        <v>5426</v>
      </c>
      <c r="J2183">
        <v>22.85</v>
      </c>
      <c r="K2183" s="2" t="s">
        <v>5432</v>
      </c>
      <c r="L2183">
        <v>4.2</v>
      </c>
      <c r="M2183">
        <v>5029</v>
      </c>
      <c r="O2183" t="s">
        <v>26</v>
      </c>
      <c r="P2183" t="s">
        <v>39</v>
      </c>
      <c r="Q2183" t="s">
        <v>5428</v>
      </c>
    </row>
    <row r="2184" spans="1:17" ht="15.75" x14ac:dyDescent="0.25">
      <c r="A2184" s="3" t="str">
        <f>HYPERLINK("https://prolisok-store.com/collections/hair-care/products/bed-head-by-tigi-small-talk-thickening-cream-4-23-oz", "https://prolisok-store.com/collections/hair-care/products/bed-head-by-tigi-small-talk-thickening-cream-4-23-oz")</f>
        <v>https://prolisok-store.com/collections/hair-care/products/bed-head-by-tigi-small-talk-thickening-cream-4-23-oz</v>
      </c>
      <c r="B2184" s="3" t="str">
        <f>HYPERLINK("https://prolisok-store.com/products/bed-head-by-tigi-small-talk-thickening-cream-4-23-oz", "https://prolisok-store.com/products/bed-head-by-tigi-small-talk-thickening-cream-4-23-oz")</f>
        <v>https://prolisok-store.com/products/bed-head-by-tigi-small-talk-thickening-cream-4-23-oz</v>
      </c>
      <c r="C2184" t="s">
        <v>5144</v>
      </c>
      <c r="D2184" t="s">
        <v>5433</v>
      </c>
      <c r="E2184" s="3" t="str">
        <f>HYPERLINK("https://www.amazon.com/TIGI-Small-Thickening-Cream-Unisex/dp/B08R4VQ3WX/ref=sr_1_1?keywords=Bed+head+by+tigi+small+talk+thickening+cream+4.23+oz&amp;qid=1695259387&amp;sr=8-1", "https://www.amazon.com/TIGI-Small-Thickening-Cream-Unisex/dp/B08R4VQ3WX/ref=sr_1_1?keywords=Bed+head+by+tigi+small+talk+thickening+cream+4.23+oz&amp;qid=1695259387&amp;sr=8-1")</f>
        <v>https://www.amazon.com/TIGI-Small-Thickening-Cream-Unisex/dp/B08R4VQ3WX/ref=sr_1_1?keywords=Bed+head+by+tigi+small+talk+thickening+cream+4.23+oz&amp;qid=1695259387&amp;sr=8-1</v>
      </c>
      <c r="F2184" t="s">
        <v>5434</v>
      </c>
      <c r="G2184" t="e">
        <f ca="1">IMAGE("https://prolisok-store.com/cdn/shop/products/416090_300x.jpg?v=1690900049")</f>
        <v>#NAME?</v>
      </c>
      <c r="H2184" t="e">
        <f ca="1">IMAGE("https://m.media-amazon.com/images/I/51oYV0JrurL._AC_UL320_.jpg")</f>
        <v>#NAME?</v>
      </c>
      <c r="I2184" t="s">
        <v>5115</v>
      </c>
      <c r="J2184">
        <v>13.91</v>
      </c>
      <c r="K2184" s="2" t="s">
        <v>5435</v>
      </c>
      <c r="L2184">
        <v>4.5999999999999996</v>
      </c>
      <c r="M2184">
        <v>1816</v>
      </c>
      <c r="O2184" t="s">
        <v>26</v>
      </c>
      <c r="P2184" t="s">
        <v>39</v>
      </c>
      <c r="Q2184" t="s">
        <v>5148</v>
      </c>
    </row>
    <row r="2185" spans="1:17" ht="15.75" x14ac:dyDescent="0.25">
      <c r="A2185" s="3" t="str">
        <f>HYPERLINK("https://prolisok-store.com/collections/hair-care/products/bed-head-by-tigi-resurrection-conditioner-6-76-oz", "https://prolisok-store.com/collections/hair-care/products/bed-head-by-tigi-resurrection-conditioner-6-76-oz")</f>
        <v>https://prolisok-store.com/collections/hair-care/products/bed-head-by-tigi-resurrection-conditioner-6-76-oz</v>
      </c>
      <c r="B2185" s="3" t="str">
        <f>HYPERLINK("https://prolisok-store.com/products/bed-head-by-tigi-resurrection-conditioner-6-76-oz", "https://prolisok-store.com/products/bed-head-by-tigi-resurrection-conditioner-6-76-oz")</f>
        <v>https://prolisok-store.com/products/bed-head-by-tigi-resurrection-conditioner-6-76-oz</v>
      </c>
      <c r="C2185" t="s">
        <v>5318</v>
      </c>
      <c r="D2185" t="s">
        <v>5178</v>
      </c>
      <c r="E2185" s="3" t="str">
        <f>HYPERLINK("https://www.amazon.com/Bed-Head-Resurrection-Shampoo-Conditioner/dp/B003T18TE6/ref=sr_1_4?keywords=Bed+head+by+tigi+resurrection+conditioner+6.76+oz&amp;qid=1695259380&amp;sr=8-4", "https://www.amazon.com/Bed-Head-Resurrection-Shampoo-Conditioner/dp/B003T18TE6/ref=sr_1_4?keywords=Bed+head+by+tigi+resurrection+conditioner+6.76+oz&amp;qid=1695259380&amp;sr=8-4")</f>
        <v>https://www.amazon.com/Bed-Head-Resurrection-Shampoo-Conditioner/dp/B003T18TE6/ref=sr_1_4?keywords=Bed+head+by+tigi+resurrection+conditioner+6.76+oz&amp;qid=1695259380&amp;sr=8-4</v>
      </c>
      <c r="F2185" t="s">
        <v>5179</v>
      </c>
      <c r="G2185" t="e">
        <f ca="1">IMAGE("https://prolisok-store.com/cdn/shop/products/195948_300x.jpg?v=1690899988")</f>
        <v>#NAME?</v>
      </c>
      <c r="H2185" t="e">
        <f ca="1">IMAGE("https://m.media-amazon.com/images/I/71SUeFDYyNL._AC_UL320_.jpg")</f>
        <v>#NAME?</v>
      </c>
      <c r="I2185" t="s">
        <v>5321</v>
      </c>
      <c r="J2185">
        <v>19.38</v>
      </c>
      <c r="K2185" s="2" t="s">
        <v>5436</v>
      </c>
      <c r="L2185">
        <v>4.5999999999999996</v>
      </c>
      <c r="M2185">
        <v>12743</v>
      </c>
      <c r="O2185" t="s">
        <v>26</v>
      </c>
      <c r="P2185" t="s">
        <v>39</v>
      </c>
      <c r="Q2185" t="s">
        <v>5323</v>
      </c>
    </row>
    <row r="2186" spans="1:17" ht="15.75" x14ac:dyDescent="0.25">
      <c r="A2186" s="3" t="str">
        <f>HYPERLINK("https://prolisok-store.com/collections/hair-care/products/bed-head-men-by-tigi-matte-separation-wax-3-oz", "https://prolisok-store.com/collections/hair-care/products/bed-head-men-by-tigi-matte-separation-wax-3-oz")</f>
        <v>https://prolisok-store.com/collections/hair-care/products/bed-head-men-by-tigi-matte-separation-wax-3-oz</v>
      </c>
      <c r="B2186" s="3" t="str">
        <f>HYPERLINK("https://prolisok-store.com/products/bed-head-men-by-tigi-matte-separation-wax-3-oz", "https://prolisok-store.com/products/bed-head-men-by-tigi-matte-separation-wax-3-oz")</f>
        <v>https://prolisok-store.com/products/bed-head-men-by-tigi-matte-separation-wax-3-oz</v>
      </c>
      <c r="C2186" t="s">
        <v>5407</v>
      </c>
      <c r="D2186" t="s">
        <v>5437</v>
      </c>
      <c r="E2186" s="3" t="str">
        <f>HYPERLINK("https://www.amazon.com/Bed-Head-TIGI-Manipulator-Matte/dp/B0C4QWNCZF/ref=sr_1_7?keywords=Bed+head+men+by+tigi+matte+separation+wax+3+oz&amp;qid=1695259401&amp;sr=8-7", "https://www.amazon.com/Bed-Head-TIGI-Manipulator-Matte/dp/B0C4QWNCZF/ref=sr_1_7?keywords=Bed+head+men+by+tigi+matte+separation+wax+3+oz&amp;qid=1695259401&amp;sr=8-7")</f>
        <v>https://www.amazon.com/Bed-Head-TIGI-Manipulator-Matte/dp/B0C4QWNCZF/ref=sr_1_7?keywords=Bed+head+men+by+tigi+matte+separation+wax+3+oz&amp;qid=1695259401&amp;sr=8-7</v>
      </c>
      <c r="F2186" t="s">
        <v>5438</v>
      </c>
      <c r="G2186" t="e">
        <f ca="1">IMAGE("https://prolisok-store.com/cdn/shop/products/276241_300x.jpg?v=1690900117")</f>
        <v>#NAME?</v>
      </c>
      <c r="H2186" t="e">
        <f ca="1">IMAGE("https://m.media-amazon.com/images/I/716GrbqjmmL._AC_UL320_.jpg")</f>
        <v>#NAME?</v>
      </c>
      <c r="I2186" t="s">
        <v>5410</v>
      </c>
      <c r="J2186">
        <v>25.84</v>
      </c>
      <c r="K2186" s="2" t="s">
        <v>5439</v>
      </c>
      <c r="L2186">
        <v>4.7</v>
      </c>
      <c r="M2186">
        <v>596</v>
      </c>
      <c r="O2186" t="s">
        <v>26</v>
      </c>
      <c r="P2186" t="s">
        <v>39</v>
      </c>
      <c r="Q2186" t="s">
        <v>5412</v>
      </c>
    </row>
    <row r="2187" spans="1:17" ht="15.75" x14ac:dyDescent="0.25">
      <c r="A2187" s="3" t="str">
        <f>HYPERLINK("https://prolisok-store.com/collections/hair-care/products/bed-head-men-by-tigi-pure-texture-molding-paste-2-93-oz-gold-packaging", "https://prolisok-store.com/collections/hair-care/products/bed-head-men-by-tigi-pure-texture-molding-paste-2-93-oz-gold-packaging")</f>
        <v>https://prolisok-store.com/collections/hair-care/products/bed-head-men-by-tigi-pure-texture-molding-paste-2-93-oz-gold-packaging</v>
      </c>
      <c r="B2187" s="3" t="str">
        <f>HYPERLINK("https://prolisok-store.com/products/bed-head-men-by-tigi-pure-texture-molding-paste-2-93-oz-gold-packaging", "https://prolisok-store.com/products/bed-head-men-by-tigi-pure-texture-molding-paste-2-93-oz-gold-packaging")</f>
        <v>https://prolisok-store.com/products/bed-head-men-by-tigi-pure-texture-molding-paste-2-93-oz-gold-packaging</v>
      </c>
      <c r="C2187" t="s">
        <v>5100</v>
      </c>
      <c r="D2187" t="s">
        <v>5440</v>
      </c>
      <c r="E2187" s="3" t="str">
        <f>HYPERLINK("https://www.amazon.com/TIGI-Head-Texture-Molding-Paste/dp/B01IAFDDRI/ref=sr_1_2?keywords=Bed+head+men+by+tigi+pure+texture+molding+paste+2.93+oz+%28gold+packaging%29&amp;qid=1695259380&amp;sr=8-2", "https://www.amazon.com/TIGI-Head-Texture-Molding-Paste/dp/B01IAFDDRI/ref=sr_1_2?keywords=Bed+head+men+by+tigi+pure+texture+molding+paste+2.93+oz+%28gold+packaging%29&amp;qid=1695259380&amp;sr=8-2")</f>
        <v>https://www.amazon.com/TIGI-Head-Texture-Molding-Paste/dp/B01IAFDDRI/ref=sr_1_2?keywords=Bed+head+men+by+tigi+pure+texture+molding+paste+2.93+oz+%28gold+packaging%29&amp;qid=1695259380&amp;sr=8-2</v>
      </c>
      <c r="F2187" t="s">
        <v>5441</v>
      </c>
      <c r="G2187" t="e">
        <f ca="1">IMAGE("https://prolisok-store.com/cdn/shop/products/276239_300x.jpg?v=1690900115")</f>
        <v>#NAME?</v>
      </c>
      <c r="H2187" t="e">
        <f ca="1">IMAGE("https://m.media-amazon.com/images/I/61fehOfCYaL._AC_UL320_.jpg")</f>
        <v>#NAME?</v>
      </c>
      <c r="I2187" t="s">
        <v>5103</v>
      </c>
      <c r="J2187">
        <v>19.690000000000001</v>
      </c>
      <c r="K2187" s="2" t="s">
        <v>5442</v>
      </c>
      <c r="L2187">
        <v>4.5999999999999996</v>
      </c>
      <c r="M2187">
        <v>555</v>
      </c>
      <c r="O2187" t="s">
        <v>26</v>
      </c>
      <c r="P2187" t="s">
        <v>39</v>
      </c>
      <c r="Q2187" t="s">
        <v>5105</v>
      </c>
    </row>
    <row r="2188" spans="1:17" ht="15.75" x14ac:dyDescent="0.25">
      <c r="A2188" s="3" t="str">
        <f>HYPERLINK("https://prolisok-store.com/collections/hair-care/products/bed-head-by-tigi-blow-out-golden-illuminating-shine-cream-3-4-oz", "https://prolisok-store.com/collections/hair-care/products/bed-head-by-tigi-blow-out-golden-illuminating-shine-cream-3-4-oz")</f>
        <v>https://prolisok-store.com/collections/hair-care/products/bed-head-by-tigi-blow-out-golden-illuminating-shine-cream-3-4-oz</v>
      </c>
      <c r="B2188" s="3" t="str">
        <f>HYPERLINK("https://prolisok-store.com/products/bed-head-by-tigi-blow-out-golden-illuminating-shine-cream-3-4-oz", "https://prolisok-store.com/products/bed-head-by-tigi-blow-out-golden-illuminating-shine-cream-3-4-oz")</f>
        <v>https://prolisok-store.com/products/bed-head-by-tigi-blow-out-golden-illuminating-shine-cream-3-4-oz</v>
      </c>
      <c r="C2188" t="s">
        <v>5443</v>
      </c>
      <c r="D2188" t="s">
        <v>5444</v>
      </c>
      <c r="E2188" s="3" t="str">
        <f>HYPERLINK("https://www.amazon.com/TIGI-Blow-Out-Golden-Illuminating-Shine/dp/B01IAEUCKK/ref=sr_1_2?keywords=Bed+head+by+tigi+blow-out+golden+illuminating+shine+cream+3.4+oz&amp;qid=1695259394&amp;sr=8-2", "https://www.amazon.com/TIGI-Blow-Out-Golden-Illuminating-Shine/dp/B01IAEUCKK/ref=sr_1_2?keywords=Bed+head+by+tigi+blow-out+golden+illuminating+shine+cream+3.4+oz&amp;qid=1695259394&amp;sr=8-2")</f>
        <v>https://www.amazon.com/TIGI-Blow-Out-Golden-Illuminating-Shine/dp/B01IAEUCKK/ref=sr_1_2?keywords=Bed+head+by+tigi+blow-out+golden+illuminating+shine+cream+3.4+oz&amp;qid=1695259394&amp;sr=8-2</v>
      </c>
      <c r="F2188" t="s">
        <v>5445</v>
      </c>
      <c r="G2188" t="e">
        <f ca="1">IMAGE("https://prolisok-store.com/cdn/shop/products/276505_300x.jpg?v=1690899939")</f>
        <v>#NAME?</v>
      </c>
      <c r="H2188" t="e">
        <f ca="1">IMAGE("https://m.media-amazon.com/images/I/61ACFMhoaPL._AC_UL320_.jpg")</f>
        <v>#NAME?</v>
      </c>
      <c r="I2188" t="s">
        <v>5198</v>
      </c>
      <c r="J2188">
        <v>27.2</v>
      </c>
      <c r="K2188" s="2" t="s">
        <v>5446</v>
      </c>
      <c r="L2188">
        <v>4.8</v>
      </c>
      <c r="M2188">
        <v>10</v>
      </c>
      <c r="O2188" t="s">
        <v>26</v>
      </c>
      <c r="P2188" t="s">
        <v>39</v>
      </c>
      <c r="Q2188" t="s">
        <v>5447</v>
      </c>
    </row>
    <row r="2189" spans="1:17" ht="15.75" x14ac:dyDescent="0.25">
      <c r="A2189" s="3" t="str">
        <f>HYPERLINK("https://prolisok-store.com/collections/hair-care/products/bed-head-by-tigi-flexi-head-hair-spray-10-6-oz", "https://prolisok-store.com/collections/hair-care/products/bed-head-by-tigi-flexi-head-hair-spray-10-6-oz")</f>
        <v>https://prolisok-store.com/collections/hair-care/products/bed-head-by-tigi-flexi-head-hair-spray-10-6-oz</v>
      </c>
      <c r="B2189" s="3" t="str">
        <f>HYPERLINK("https://prolisok-store.com/products/bed-head-by-tigi-flexi-head-hair-spray-10-6-oz", "https://prolisok-store.com/products/bed-head-by-tigi-flexi-head-hair-spray-10-6-oz")</f>
        <v>https://prolisok-store.com/products/bed-head-by-tigi-flexi-head-hair-spray-10-6-oz</v>
      </c>
      <c r="C2189" t="s">
        <v>5195</v>
      </c>
      <c r="D2189" t="s">
        <v>5311</v>
      </c>
      <c r="E2189" s="3" t="str">
        <f>HYPERLINK("https://www.amazon.com/Bed-Head-Headrush-Shine-Spray/dp/B0C4R6QJJD/ref=sr_1_8?keywords=Bed+head+by+tigi+flexi+head+hair+spray+10.6+oz&amp;qid=1695259385&amp;sr=8-8", "https://www.amazon.com/Bed-Head-Headrush-Shine-Spray/dp/B0C4R6QJJD/ref=sr_1_8?keywords=Bed+head+by+tigi+flexi+head+hair+spray+10.6+oz&amp;qid=1695259385&amp;sr=8-8")</f>
        <v>https://www.amazon.com/Bed-Head-Headrush-Shine-Spray/dp/B0C4R6QJJD/ref=sr_1_8?keywords=Bed+head+by+tigi+flexi+head+hair+spray+10.6+oz&amp;qid=1695259385&amp;sr=8-8</v>
      </c>
      <c r="F2189" t="s">
        <v>5312</v>
      </c>
      <c r="G2189" t="e">
        <f ca="1">IMAGE("https://prolisok-store.com/cdn/shop/products/280790_300x.jpg?v=1690899950")</f>
        <v>#NAME?</v>
      </c>
      <c r="H2189" t="e">
        <f ca="1">IMAGE("https://m.media-amazon.com/images/I/61KQAVC1trL._AC_UL320_.jpg")</f>
        <v>#NAME?</v>
      </c>
      <c r="I2189" t="s">
        <v>5198</v>
      </c>
      <c r="J2189">
        <v>27.16</v>
      </c>
      <c r="K2189" s="2" t="s">
        <v>5448</v>
      </c>
      <c r="L2189">
        <v>5</v>
      </c>
      <c r="M2189">
        <v>1</v>
      </c>
      <c r="O2189" t="s">
        <v>26</v>
      </c>
      <c r="P2189" t="s">
        <v>39</v>
      </c>
      <c r="Q2189" t="s">
        <v>5200</v>
      </c>
    </row>
    <row r="2190" spans="1:17" ht="15.75" x14ac:dyDescent="0.25">
      <c r="A2190" s="3" t="str">
        <f>HYPERLINK("https://prolisok-store.com/collections/hair-care/products/bed-head-men-by-tigi-dense-up-style-building-shampoo-8-5-oz", "https://prolisok-store.com/collections/hair-care/products/bed-head-men-by-tigi-dense-up-style-building-shampoo-8-5-oz")</f>
        <v>https://prolisok-store.com/collections/hair-care/products/bed-head-men-by-tigi-dense-up-style-building-shampoo-8-5-oz</v>
      </c>
      <c r="B2190" s="3" t="str">
        <f>HYPERLINK("https://prolisok-store.com/products/bed-head-men-by-tigi-dense-up-style-building-shampoo-8-5-oz", "https://prolisok-store.com/products/bed-head-men-by-tigi-dense-up-style-building-shampoo-8-5-oz")</f>
        <v>https://prolisok-store.com/products/bed-head-men-by-tigi-dense-up-style-building-shampoo-8-5-oz</v>
      </c>
      <c r="C2190" t="s">
        <v>5449</v>
      </c>
      <c r="D2190" t="s">
        <v>5450</v>
      </c>
      <c r="E2190" s="3" t="str">
        <f>HYPERLINK("https://www.amazon.com/TIGI-Dense-Up-Building-Shampoo/dp/B07GJP93JJ/ref=sr_1_1?keywords=Bed+head+men+by+tigi+dense+up+style+building+shampoo+8.5+oz&amp;qid=1695259378&amp;sr=8-1", "https://www.amazon.com/TIGI-Dense-Up-Building-Shampoo/dp/B07GJP93JJ/ref=sr_1_1?keywords=Bed+head+men+by+tigi+dense+up+style+building+shampoo+8.5+oz&amp;qid=1695259378&amp;sr=8-1")</f>
        <v>https://www.amazon.com/TIGI-Dense-Up-Building-Shampoo/dp/B07GJP93JJ/ref=sr_1_1?keywords=Bed+head+men+by+tigi+dense+up+style+building+shampoo+8.5+oz&amp;qid=1695259378&amp;sr=8-1</v>
      </c>
      <c r="F2190" t="s">
        <v>5451</v>
      </c>
      <c r="G2190" t="e">
        <f ca="1">IMAGE("https://prolisok-store.com/cdn/shop/products/343660_300x.jpg?v=1690900121")</f>
        <v>#NAME?</v>
      </c>
      <c r="H2190" t="e">
        <f ca="1">IMAGE("https://m.media-amazon.com/images/I/51+tNnW7jFL._AC_UL320_.jpg")</f>
        <v>#NAME?</v>
      </c>
      <c r="I2190" t="s">
        <v>5452</v>
      </c>
      <c r="J2190">
        <v>19.989999999999998</v>
      </c>
      <c r="K2190" s="2" t="s">
        <v>5453</v>
      </c>
      <c r="L2190">
        <v>4.3</v>
      </c>
      <c r="M2190">
        <v>684</v>
      </c>
      <c r="O2190" t="s">
        <v>26</v>
      </c>
      <c r="P2190" t="s">
        <v>39</v>
      </c>
      <c r="Q2190" t="s">
        <v>5454</v>
      </c>
    </row>
    <row r="2191" spans="1:17" ht="15.75" x14ac:dyDescent="0.25">
      <c r="A2191" s="3" t="str">
        <f>HYPERLINK("https://prolisok-store.com/collections/hair-care/products/bed-head-by-tigi-resurrection-shampoo-13-53-oz", "https://prolisok-store.com/collections/hair-care/products/bed-head-by-tigi-resurrection-shampoo-13-53-oz")</f>
        <v>https://prolisok-store.com/collections/hair-care/products/bed-head-by-tigi-resurrection-shampoo-13-53-oz</v>
      </c>
      <c r="B2191" s="3" t="str">
        <f>HYPERLINK("https://prolisok-store.com/products/bed-head-by-tigi-resurrection-shampoo-13-53-oz", "https://prolisok-store.com/products/bed-head-by-tigi-resurrection-shampoo-13-53-oz")</f>
        <v>https://prolisok-store.com/products/bed-head-by-tigi-resurrection-shampoo-13-53-oz</v>
      </c>
      <c r="C2191" t="s">
        <v>5240</v>
      </c>
      <c r="D2191" t="s">
        <v>5178</v>
      </c>
      <c r="E2191" s="3" t="str">
        <f>HYPERLINK("https://www.amazon.com/Bed-Head-Resurrection-Shampoo-Conditioner/dp/B003T18TE6/ref=sr_1_1?keywords=Bed+head+by+tigi+resurrection+shampoo+13.53+oz&amp;qid=1695259387&amp;sr=8-1", "https://www.amazon.com/Bed-Head-Resurrection-Shampoo-Conditioner/dp/B003T18TE6/ref=sr_1_1?keywords=Bed+head+by+tigi+resurrection+shampoo+13.53+oz&amp;qid=1695259387&amp;sr=8-1")</f>
        <v>https://www.amazon.com/Bed-Head-Resurrection-Shampoo-Conditioner/dp/B003T18TE6/ref=sr_1_1?keywords=Bed+head+by+tigi+resurrection+shampoo+13.53+oz&amp;qid=1695259387&amp;sr=8-1</v>
      </c>
      <c r="F2191" t="s">
        <v>5179</v>
      </c>
      <c r="G2191" t="e">
        <f ca="1">IMAGE("https://prolisok-store.com/cdn/shop/products/416081_300x.jpg?v=1690900035")</f>
        <v>#NAME?</v>
      </c>
      <c r="H2191" t="e">
        <f ca="1">IMAGE("https://m.media-amazon.com/images/I/71SUeFDYyNL._AC_UL320_.jpg")</f>
        <v>#NAME?</v>
      </c>
      <c r="I2191" t="s">
        <v>5103</v>
      </c>
      <c r="J2191">
        <v>19.38</v>
      </c>
      <c r="K2191" s="2" t="s">
        <v>5455</v>
      </c>
      <c r="L2191">
        <v>4.5999999999999996</v>
      </c>
      <c r="M2191">
        <v>12743</v>
      </c>
      <c r="O2191" t="s">
        <v>26</v>
      </c>
      <c r="P2191" t="s">
        <v>39</v>
      </c>
      <c r="Q2191" t="s">
        <v>5242</v>
      </c>
    </row>
    <row r="2192" spans="1:17" ht="15.75" x14ac:dyDescent="0.25">
      <c r="A2192" s="3" t="str">
        <f>HYPERLINK("https://prolisok-store.com/collections/hair-care/products/bed-head-by-tigi-resurrection-conditioner-13-53-oz", "https://prolisok-store.com/collections/hair-care/products/bed-head-by-tigi-resurrection-conditioner-13-53-oz")</f>
        <v>https://prolisok-store.com/collections/hair-care/products/bed-head-by-tigi-resurrection-conditioner-13-53-oz</v>
      </c>
      <c r="B2192" s="3" t="str">
        <f>HYPERLINK("https://prolisok-store.com/products/bed-head-by-tigi-resurrection-conditioner-13-53-oz", "https://prolisok-store.com/products/bed-head-by-tigi-resurrection-conditioner-13-53-oz")</f>
        <v>https://prolisok-store.com/products/bed-head-by-tigi-resurrection-conditioner-13-53-oz</v>
      </c>
      <c r="C2192" t="s">
        <v>5336</v>
      </c>
      <c r="D2192" t="s">
        <v>5178</v>
      </c>
      <c r="E2192" s="3" t="str">
        <f>HYPERLINK("https://www.amazon.com/Bed-Head-Resurrection-Shampoo-Conditioner/dp/B003T18TE6/ref=sr_1_4?keywords=Bed+head+by+tigi+resurrection+conditioner+13.53+oz&amp;qid=1695259381&amp;sr=8-4", "https://www.amazon.com/Bed-Head-Resurrection-Shampoo-Conditioner/dp/B003T18TE6/ref=sr_1_4?keywords=Bed+head+by+tigi+resurrection+conditioner+13.53+oz&amp;qid=1695259381&amp;sr=8-4")</f>
        <v>https://www.amazon.com/Bed-Head-Resurrection-Shampoo-Conditioner/dp/B003T18TE6/ref=sr_1_4?keywords=Bed+head+by+tigi+resurrection+conditioner+13.53+oz&amp;qid=1695259381&amp;sr=8-4</v>
      </c>
      <c r="F2192" t="s">
        <v>5179</v>
      </c>
      <c r="G2192" t="e">
        <f ca="1">IMAGE("https://prolisok-store.com/cdn/shop/products/416079_300x.jpg?v=1690900033")</f>
        <v>#NAME?</v>
      </c>
      <c r="H2192" t="e">
        <f ca="1">IMAGE("https://m.media-amazon.com/images/I/71SUeFDYyNL._AC_UL320_.jpg")</f>
        <v>#NAME?</v>
      </c>
      <c r="I2192" t="s">
        <v>5103</v>
      </c>
      <c r="J2192">
        <v>19.38</v>
      </c>
      <c r="K2192" s="2" t="s">
        <v>5455</v>
      </c>
      <c r="L2192">
        <v>4.5999999999999996</v>
      </c>
      <c r="M2192">
        <v>12743</v>
      </c>
      <c r="O2192" t="s">
        <v>26</v>
      </c>
      <c r="P2192" t="s">
        <v>39</v>
      </c>
      <c r="Q2192" t="s">
        <v>5337</v>
      </c>
    </row>
    <row r="2193" spans="1:17" ht="15.75" x14ac:dyDescent="0.25">
      <c r="A2193" s="3" t="str">
        <f>HYPERLINK("https://prolisok-store.com/collections/hair-care/products/bed-head-by-tigi-recovery-conditioner-25-36-oz", "https://prolisok-store.com/collections/hair-care/products/bed-head-by-tigi-recovery-conditioner-25-36-oz")</f>
        <v>https://prolisok-store.com/collections/hair-care/products/bed-head-by-tigi-recovery-conditioner-25-36-oz</v>
      </c>
      <c r="B2193" s="3" t="str">
        <f>HYPERLINK("https://prolisok-store.com/products/bed-head-by-tigi-recovery-conditioner-25-36-oz", "https://prolisok-store.com/products/bed-head-by-tigi-recovery-conditioner-25-36-oz")</f>
        <v>https://prolisok-store.com/products/bed-head-by-tigi-recovery-conditioner-25-36-oz</v>
      </c>
      <c r="C2193" t="s">
        <v>5315</v>
      </c>
      <c r="D2193" t="s">
        <v>5138</v>
      </c>
      <c r="E2193" s="3" t="str">
        <f>HYPERLINK("https://www.amazon.com/Anti-dote-PFZoVz-Recovery-Shampoo-Conditioner/dp/B07487K2RB/ref=sr_1_7?keywords=Bed+head+by+tigi+recovery+conditioner+25.36+oz&amp;qid=1695259402&amp;sr=8-7", "https://www.amazon.com/Anti-dote-PFZoVz-Recovery-Shampoo-Conditioner/dp/B07487K2RB/ref=sr_1_7?keywords=Bed+head+by+tigi+recovery+conditioner+25.36+oz&amp;qid=1695259402&amp;sr=8-7")</f>
        <v>https://www.amazon.com/Anti-dote-PFZoVz-Recovery-Shampoo-Conditioner/dp/B07487K2RB/ref=sr_1_7?keywords=Bed+head+by+tigi+recovery+conditioner+25.36+oz&amp;qid=1695259402&amp;sr=8-7</v>
      </c>
      <c r="F2193" t="s">
        <v>5139</v>
      </c>
      <c r="G2193" t="e">
        <f ca="1">IMAGE("https://prolisok-store.com/cdn/shop/products/195939_300x.jpg?v=1690899979")</f>
        <v>#NAME?</v>
      </c>
      <c r="H2193" t="e">
        <f ca="1">IMAGE("https://m.media-amazon.com/images/I/71Wyt4QQhXL._AC_UL320_.jpg")</f>
        <v>#NAME?</v>
      </c>
      <c r="I2193" t="s">
        <v>5135</v>
      </c>
      <c r="J2193">
        <v>25.72</v>
      </c>
      <c r="K2193" s="2" t="s">
        <v>5456</v>
      </c>
      <c r="L2193">
        <v>4.7</v>
      </c>
      <c r="M2193">
        <v>1085</v>
      </c>
      <c r="O2193" t="s">
        <v>26</v>
      </c>
      <c r="P2193" t="s">
        <v>39</v>
      </c>
      <c r="Q2193" t="s">
        <v>5317</v>
      </c>
    </row>
    <row r="2194" spans="1:17" ht="15.75" x14ac:dyDescent="0.25">
      <c r="A2194" s="3" t="str">
        <f>HYPERLINK("https://prolisok-store.com/collections/hair-care/products/bed-head-by-tigi-recovery-conditioner-25-36-oz", "https://prolisok-store.com/collections/hair-care/products/bed-head-by-tigi-recovery-conditioner-25-36-oz")</f>
        <v>https://prolisok-store.com/collections/hair-care/products/bed-head-by-tigi-recovery-conditioner-25-36-oz</v>
      </c>
      <c r="B2194" s="3" t="str">
        <f>HYPERLINK("https://prolisok-store.com/products/bed-head-by-tigi-recovery-conditioner-25-36-oz", "https://prolisok-store.com/products/bed-head-by-tigi-recovery-conditioner-25-36-oz")</f>
        <v>https://prolisok-store.com/products/bed-head-by-tigi-recovery-conditioner-25-36-oz</v>
      </c>
      <c r="C2194" t="s">
        <v>5315</v>
      </c>
      <c r="D2194" t="s">
        <v>5457</v>
      </c>
      <c r="E2194" s="3" t="str">
        <f>HYPERLINK("https://www.amazon.com/TIGI-Urban-Dotes-Recovery-Conditioner/dp/B005NOQ6CY/ref=sr_1_3?keywords=Bed+head+by+tigi+recovery+conditioner+25.36+oz&amp;qid=1695259402&amp;sr=8-3", "https://www.amazon.com/TIGI-Urban-Dotes-Recovery-Conditioner/dp/B005NOQ6CY/ref=sr_1_3?keywords=Bed+head+by+tigi+recovery+conditioner+25.36+oz&amp;qid=1695259402&amp;sr=8-3")</f>
        <v>https://www.amazon.com/TIGI-Urban-Dotes-Recovery-Conditioner/dp/B005NOQ6CY/ref=sr_1_3?keywords=Bed+head+by+tigi+recovery+conditioner+25.36+oz&amp;qid=1695259402&amp;sr=8-3</v>
      </c>
      <c r="F2194" t="s">
        <v>5458</v>
      </c>
      <c r="G2194" t="e">
        <f ca="1">IMAGE("https://prolisok-store.com/cdn/shop/products/195939_300x.jpg?v=1690899979")</f>
        <v>#NAME?</v>
      </c>
      <c r="H2194" t="e">
        <f ca="1">IMAGE("https://m.media-amazon.com/images/I/71lsCxDzxAL._AC_UL320_.jpg")</f>
        <v>#NAME?</v>
      </c>
      <c r="I2194" t="s">
        <v>5135</v>
      </c>
      <c r="J2194">
        <v>25.62</v>
      </c>
      <c r="K2194" s="2" t="s">
        <v>5459</v>
      </c>
      <c r="L2194">
        <v>4.5</v>
      </c>
      <c r="M2194">
        <v>102</v>
      </c>
      <c r="O2194" t="s">
        <v>26</v>
      </c>
      <c r="P2194" t="s">
        <v>39</v>
      </c>
      <c r="Q2194" t="s">
        <v>5317</v>
      </c>
    </row>
    <row r="2195" spans="1:17" ht="15.75" x14ac:dyDescent="0.25">
      <c r="A2195" s="3" t="str">
        <f>HYPERLINK("https://prolisok-store.com/collections/hair-care/products/bed-head-by-tigi-resurrection-conditioner-6-76-oz", "https://prolisok-store.com/collections/hair-care/products/bed-head-by-tigi-resurrection-conditioner-6-76-oz")</f>
        <v>https://prolisok-store.com/collections/hair-care/products/bed-head-by-tigi-resurrection-conditioner-6-76-oz</v>
      </c>
      <c r="B2195" s="3" t="str">
        <f>HYPERLINK("https://prolisok-store.com/products/bed-head-by-tigi-resurrection-conditioner-6-76-oz", "https://prolisok-store.com/products/bed-head-by-tigi-resurrection-conditioner-6-76-oz")</f>
        <v>https://prolisok-store.com/products/bed-head-by-tigi-resurrection-conditioner-6-76-oz</v>
      </c>
      <c r="C2195" t="s">
        <v>5318</v>
      </c>
      <c r="D2195" t="s">
        <v>5188</v>
      </c>
      <c r="E2195" s="3" t="str">
        <f>HYPERLINK("https://www.amazon.com/TIGI-Urban-Resurrection-Conditioner-level-3/dp/B006A6TU5Y/ref=sr_1_7?keywords=Bed+head+by+tigi+resurrection+conditioner+6.76+oz&amp;qid=1695259380&amp;sr=8-7", "https://www.amazon.com/TIGI-Urban-Resurrection-Conditioner-level-3/dp/B006A6TU5Y/ref=sr_1_7?keywords=Bed+head+by+tigi+resurrection+conditioner+6.76+oz&amp;qid=1695259380&amp;sr=8-7")</f>
        <v>https://www.amazon.com/TIGI-Urban-Resurrection-Conditioner-level-3/dp/B006A6TU5Y/ref=sr_1_7?keywords=Bed+head+by+tigi+resurrection+conditioner+6.76+oz&amp;qid=1695259380&amp;sr=8-7</v>
      </c>
      <c r="F2195" t="s">
        <v>5189</v>
      </c>
      <c r="G2195" t="e">
        <f ca="1">IMAGE("https://prolisok-store.com/cdn/shop/products/195948_300x.jpg?v=1690899988")</f>
        <v>#NAME?</v>
      </c>
      <c r="H2195" t="e">
        <f ca="1">IMAGE("https://m.media-amazon.com/images/I/81S1QERjQ8L._AC_UL320_.jpg")</f>
        <v>#NAME?</v>
      </c>
      <c r="I2195" t="s">
        <v>5321</v>
      </c>
      <c r="J2195">
        <v>18.600000000000001</v>
      </c>
      <c r="K2195" s="2" t="s">
        <v>5460</v>
      </c>
      <c r="L2195">
        <v>4.3</v>
      </c>
      <c r="M2195">
        <v>106</v>
      </c>
      <c r="O2195" t="s">
        <v>26</v>
      </c>
      <c r="P2195" t="s">
        <v>39</v>
      </c>
      <c r="Q2195" t="s">
        <v>5323</v>
      </c>
    </row>
    <row r="2196" spans="1:17" ht="15.75" x14ac:dyDescent="0.25">
      <c r="A2196" s="3" t="str">
        <f>HYPERLINK("https://prolisok-store.com/collections/hair-care/products/bed-head-by-tigi-back-it-up-texturizing-cream-4-23-oz", "https://prolisok-store.com/collections/hair-care/products/bed-head-by-tigi-back-it-up-texturizing-cream-4-23-oz")</f>
        <v>https://prolisok-store.com/collections/hair-care/products/bed-head-by-tigi-back-it-up-texturizing-cream-4-23-oz</v>
      </c>
      <c r="B2196" s="3" t="str">
        <f>HYPERLINK("https://prolisok-store.com/products/bed-head-by-tigi-back-it-up-texturizing-cream-4-23-oz", "https://prolisok-store.com/products/bed-head-by-tigi-back-it-up-texturizing-cream-4-23-oz")</f>
        <v>https://prolisok-store.com/products/bed-head-by-tigi-back-it-up-texturizing-cream-4-23-oz</v>
      </c>
      <c r="C2196" t="s">
        <v>5461</v>
      </c>
      <c r="D2196" t="s">
        <v>5462</v>
      </c>
      <c r="E2196" s="3" t="str">
        <f>HYPERLINK("https://www.amazon.com/TIGI-Texturizing-Cream-Shape-Texture/dp/B08ZWRYKQF/ref=sr_1_1?keywords=Bed+head+by+tigi+back+it+up+texturizing+cream+4.23+oz&amp;qid=1695259376&amp;sr=8-1", "https://www.amazon.com/TIGI-Texturizing-Cream-Shape-Texture/dp/B08ZWRYKQF/ref=sr_1_1?keywords=Bed+head+by+tigi+back+it+up+texturizing+cream+4.23+oz&amp;qid=1695259376&amp;sr=8-1")</f>
        <v>https://www.amazon.com/TIGI-Texturizing-Cream-Shape-Texture/dp/B08ZWRYKQF/ref=sr_1_1?keywords=Bed+head+by+tigi+back+it+up+texturizing+cream+4.23+oz&amp;qid=1695259376&amp;sr=8-1</v>
      </c>
      <c r="F2196" t="s">
        <v>5463</v>
      </c>
      <c r="G2196" t="e">
        <f ca="1">IMAGE("https://prolisok-store.com/cdn/shop/products/416072_300x.jpg?v=1690900021")</f>
        <v>#NAME?</v>
      </c>
      <c r="H2196" t="e">
        <f ca="1">IMAGE("https://m.media-amazon.com/images/I/81nI03yRhoL._AC_UL320_.jpg")</f>
        <v>#NAME?</v>
      </c>
      <c r="I2196" t="s">
        <v>5135</v>
      </c>
      <c r="J2196">
        <v>25.52</v>
      </c>
      <c r="K2196" s="2" t="s">
        <v>5464</v>
      </c>
      <c r="L2196">
        <v>5</v>
      </c>
      <c r="M2196">
        <v>6</v>
      </c>
      <c r="O2196" t="s">
        <v>26</v>
      </c>
      <c r="P2196" t="s">
        <v>39</v>
      </c>
      <c r="Q2196" t="s">
        <v>5465</v>
      </c>
    </row>
    <row r="2197" spans="1:17" ht="15.75" x14ac:dyDescent="0.25">
      <c r="A2197" s="3" t="str">
        <f>HYPERLINK("https://prolisok-store.com/collections/hair-care/products/bed-head-by-tigi-manipulator-2-oz", "https://prolisok-store.com/collections/hair-care/products/bed-head-by-tigi-manipulator-2-oz")</f>
        <v>https://prolisok-store.com/collections/hair-care/products/bed-head-by-tigi-manipulator-2-oz</v>
      </c>
      <c r="B2197" s="3" t="str">
        <f>HYPERLINK("https://prolisok-store.com/products/bed-head-by-tigi-manipulator-2-oz", "https://prolisok-store.com/products/bed-head-by-tigi-manipulator-2-oz")</f>
        <v>https://prolisok-store.com/products/bed-head-by-tigi-manipulator-2-oz</v>
      </c>
      <c r="C2197" t="s">
        <v>5132</v>
      </c>
      <c r="D2197" t="s">
        <v>5466</v>
      </c>
      <c r="E2197" s="3" t="str">
        <f>HYPERLINK("https://www.amazon.com/TIGI-Head-Manipulator-Texture-Paste/dp/B00NFUQST4/ref=sr_1_8?keywords=Bed+head+by+tigi+manipulator+2+oz&amp;qid=1695259393&amp;sr=8-8", "https://www.amazon.com/TIGI-Head-Manipulator-Texture-Paste/dp/B00NFUQST4/ref=sr_1_8?keywords=Bed+head+by+tigi+manipulator+2+oz&amp;qid=1695259393&amp;sr=8-8")</f>
        <v>https://www.amazon.com/TIGI-Head-Manipulator-Texture-Paste/dp/B00NFUQST4/ref=sr_1_8?keywords=Bed+head+by+tigi+manipulator+2+oz&amp;qid=1695259393&amp;sr=8-8</v>
      </c>
      <c r="F2197" t="s">
        <v>5467</v>
      </c>
      <c r="G2197" t="e">
        <f ca="1">IMAGE("https://prolisok-store.com/cdn/shop/products/131719_300x.jpg?v=1690899959")</f>
        <v>#NAME?</v>
      </c>
      <c r="H2197" t="e">
        <f ca="1">IMAGE("https://m.media-amazon.com/images/I/71ywc6YZMcL._AC_UL320_.jpg")</f>
        <v>#NAME?</v>
      </c>
      <c r="I2197" t="s">
        <v>5135</v>
      </c>
      <c r="J2197">
        <v>25.5</v>
      </c>
      <c r="K2197" s="2" t="s">
        <v>5468</v>
      </c>
      <c r="L2197">
        <v>4.7</v>
      </c>
      <c r="M2197">
        <v>369</v>
      </c>
      <c r="O2197" t="s">
        <v>26</v>
      </c>
      <c r="P2197" t="s">
        <v>39</v>
      </c>
      <c r="Q2197" t="s">
        <v>5137</v>
      </c>
    </row>
    <row r="2198" spans="1:17" ht="15.75" x14ac:dyDescent="0.25">
      <c r="A2198" s="3" t="str">
        <f>HYPERLINK("https://prolisok-store.com/collections/hair-care/products/bed-head-men-by-tigi-charge-up-conditioner-6-7-oz", "https://prolisok-store.com/collections/hair-care/products/bed-head-men-by-tigi-charge-up-conditioner-6-7-oz")</f>
        <v>https://prolisok-store.com/collections/hair-care/products/bed-head-men-by-tigi-charge-up-conditioner-6-7-oz</v>
      </c>
      <c r="B2198" s="3" t="str">
        <f>HYPERLINK("https://prolisok-store.com/products/bed-head-men-by-tigi-charge-up-conditioner-6-7-oz", "https://prolisok-store.com/products/bed-head-men-by-tigi-charge-up-conditioner-6-7-oz")</f>
        <v>https://prolisok-store.com/products/bed-head-men-by-tigi-charge-up-conditioner-6-7-oz</v>
      </c>
      <c r="C2198" t="s">
        <v>5301</v>
      </c>
      <c r="D2198" t="s">
        <v>5469</v>
      </c>
      <c r="E2198" s="3" t="str">
        <f>HYPERLINK("https://www.amazon.com/Tigi-Head-Charge-Conditioner-Ounce/dp/B0717BM37F/ref=sr_1_5?keywords=Bed+head+men+by+tigi+charge+up+conditioner+6.7+oz&amp;qid=1695259394&amp;sr=8-5", "https://www.amazon.com/Tigi-Head-Charge-Conditioner-Ounce/dp/B0717BM37F/ref=sr_1_5?keywords=Bed+head+men+by+tigi+charge+up+conditioner+6.7+oz&amp;qid=1695259394&amp;sr=8-5")</f>
        <v>https://www.amazon.com/Tigi-Head-Charge-Conditioner-Ounce/dp/B0717BM37F/ref=sr_1_5?keywords=Bed+head+men+by+tigi+charge+up+conditioner+6.7+oz&amp;qid=1695259394&amp;sr=8-5</v>
      </c>
      <c r="F2198" t="s">
        <v>5470</v>
      </c>
      <c r="G2198" t="e">
        <f ca="1">IMAGE("https://prolisok-store.com/cdn/shop/products/179714_300x.jpg?v=1690900110")</f>
        <v>#NAME?</v>
      </c>
      <c r="H2198" t="e">
        <f ca="1">IMAGE("https://m.media-amazon.com/images/I/51I0+9Ox4fL._AC_UL320_.jpg")</f>
        <v>#NAME?</v>
      </c>
      <c r="I2198" t="s">
        <v>4296</v>
      </c>
      <c r="J2198">
        <v>13.8</v>
      </c>
      <c r="K2198" s="2" t="s">
        <v>5471</v>
      </c>
      <c r="L2198">
        <v>5</v>
      </c>
      <c r="M2198">
        <v>11</v>
      </c>
      <c r="O2198" t="s">
        <v>26</v>
      </c>
      <c r="P2198" t="s">
        <v>39</v>
      </c>
      <c r="Q2198" t="s">
        <v>5305</v>
      </c>
    </row>
    <row r="2199" spans="1:17" ht="15.75" x14ac:dyDescent="0.25">
      <c r="A2199" s="3" t="str">
        <f>HYPERLINK("https://prolisok-store.com/collections/hair-care/products/bed-head-by-tigi-resurrection-conditioner-13-53-oz", "https://prolisok-store.com/collections/hair-care/products/bed-head-by-tigi-resurrection-conditioner-13-53-oz")</f>
        <v>https://prolisok-store.com/collections/hair-care/products/bed-head-by-tigi-resurrection-conditioner-13-53-oz</v>
      </c>
      <c r="B2199" s="3" t="str">
        <f>HYPERLINK("https://prolisok-store.com/products/bed-head-by-tigi-resurrection-conditioner-13-53-oz", "https://prolisok-store.com/products/bed-head-by-tigi-resurrection-conditioner-13-53-oz")</f>
        <v>https://prolisok-store.com/products/bed-head-by-tigi-resurrection-conditioner-13-53-oz</v>
      </c>
      <c r="C2199" t="s">
        <v>5336</v>
      </c>
      <c r="D2199" t="s">
        <v>5188</v>
      </c>
      <c r="E2199" s="3" t="str">
        <f>HYPERLINK("https://www.amazon.com/TIGI-Urban-Resurrection-Conditioner-level-3/dp/B006A6TU5Y/ref=sr_1_6?keywords=Bed+head+by+tigi+resurrection+conditioner+13.53+oz&amp;qid=1695259381&amp;sr=8-6", "https://www.amazon.com/TIGI-Urban-Resurrection-Conditioner-level-3/dp/B006A6TU5Y/ref=sr_1_6?keywords=Bed+head+by+tigi+resurrection+conditioner+13.53+oz&amp;qid=1695259381&amp;sr=8-6")</f>
        <v>https://www.amazon.com/TIGI-Urban-Resurrection-Conditioner-level-3/dp/B006A6TU5Y/ref=sr_1_6?keywords=Bed+head+by+tigi+resurrection+conditioner+13.53+oz&amp;qid=1695259381&amp;sr=8-6</v>
      </c>
      <c r="F2199" t="s">
        <v>5189</v>
      </c>
      <c r="G2199" t="e">
        <f ca="1">IMAGE("https://prolisok-store.com/cdn/shop/products/416079_300x.jpg?v=1690900033")</f>
        <v>#NAME?</v>
      </c>
      <c r="H2199" t="e">
        <f ca="1">IMAGE("https://m.media-amazon.com/images/I/81S1QERjQ8L._AC_UL320_.jpg")</f>
        <v>#NAME?</v>
      </c>
      <c r="I2199" t="s">
        <v>5103</v>
      </c>
      <c r="J2199">
        <v>18.600000000000001</v>
      </c>
      <c r="K2199" s="2" t="s">
        <v>5472</v>
      </c>
      <c r="L2199">
        <v>4.3</v>
      </c>
      <c r="M2199">
        <v>106</v>
      </c>
      <c r="O2199" t="s">
        <v>26</v>
      </c>
      <c r="P2199" t="s">
        <v>39</v>
      </c>
      <c r="Q2199" t="s">
        <v>5337</v>
      </c>
    </row>
    <row r="2200" spans="1:17" ht="15.75" x14ac:dyDescent="0.25">
      <c r="A2200" s="3" t="str">
        <f>HYPERLINK("https://prolisok-store.com/collections/hair-care/products/catwalk-by-tigi-oatmeal-and-honey-shampoo-10-14-oz", "https://prolisok-store.com/collections/hair-care/products/catwalk-by-tigi-oatmeal-and-honey-shampoo-10-14-oz")</f>
        <v>https://prolisok-store.com/collections/hair-care/products/catwalk-by-tigi-oatmeal-and-honey-shampoo-10-14-oz</v>
      </c>
      <c r="B2200" s="3" t="str">
        <f>HYPERLINK("https://prolisok-store.com/products/catwalk-by-tigi-oatmeal-and-honey-shampoo-10-14-oz", "https://prolisok-store.com/products/catwalk-by-tigi-oatmeal-and-honey-shampoo-10-14-oz")</f>
        <v>https://prolisok-store.com/products/catwalk-by-tigi-oatmeal-and-honey-shampoo-10-14-oz</v>
      </c>
      <c r="C2200" t="s">
        <v>5157</v>
      </c>
      <c r="D2200" t="s">
        <v>5473</v>
      </c>
      <c r="E2200" s="3" t="str">
        <f>HYPERLINK("https://www.amazon.com/Tigi-Catwalk-Oatmeal-Shampoo-Damaged/dp/B009QZBCTS/ref=sr_1_6?keywords=Catwalk+by+tigi+oatmeal&amp;qid=1695259392&amp;sr=8-6", "https://www.amazon.com/Tigi-Catwalk-Oatmeal-Shampoo-Damaged/dp/B009QZBCTS/ref=sr_1_6?keywords=Catwalk+by+tigi+oatmeal&amp;qid=1695259392&amp;sr=8-6")</f>
        <v>https://www.amazon.com/Tigi-Catwalk-Oatmeal-Shampoo-Damaged/dp/B009QZBCTS/ref=sr_1_6?keywords=Catwalk+by+tigi+oatmeal&amp;qid=1695259392&amp;sr=8-6</v>
      </c>
      <c r="F2200" t="s">
        <v>5474</v>
      </c>
      <c r="G2200" t="e">
        <f ca="1">IMAGE("https://prolisok-store.com/cdn/shop/products/251312_300x.jpg?v=1690900066")</f>
        <v>#NAME?</v>
      </c>
      <c r="H2200" t="e">
        <f ca="1">IMAGE("https://m.media-amazon.com/images/I/51yqCLQBz8L._AC_UL320_.jpg")</f>
        <v>#NAME?</v>
      </c>
      <c r="I2200" t="s">
        <v>4318</v>
      </c>
      <c r="J2200">
        <v>19.11</v>
      </c>
      <c r="K2200" s="2" t="s">
        <v>5475</v>
      </c>
      <c r="L2200">
        <v>4.2</v>
      </c>
      <c r="M2200">
        <v>92</v>
      </c>
      <c r="O2200" t="s">
        <v>26</v>
      </c>
      <c r="P2200" t="s">
        <v>39</v>
      </c>
      <c r="Q2200" t="s">
        <v>5161</v>
      </c>
    </row>
    <row r="2201" spans="1:17" ht="15.75" x14ac:dyDescent="0.25">
      <c r="A2201" s="3" t="str">
        <f>HYPERLINK("https://prolisok-store.com/collections/hair-care/products/bed-head-by-tigi-resurrection-shampoo-25-36-oz", "https://prolisok-store.com/collections/hair-care/products/bed-head-by-tigi-resurrection-shampoo-25-36-oz")</f>
        <v>https://prolisok-store.com/collections/hair-care/products/bed-head-by-tigi-resurrection-shampoo-25-36-oz</v>
      </c>
      <c r="B2201" s="3" t="str">
        <f>HYPERLINK("https://prolisok-store.com/products/bed-head-by-tigi-resurrection-shampoo-25-36-oz", "https://prolisok-store.com/products/bed-head-by-tigi-resurrection-shampoo-25-36-oz")</f>
        <v>https://prolisok-store.com/products/bed-head-by-tigi-resurrection-shampoo-25-36-oz</v>
      </c>
      <c r="C2201" t="s">
        <v>5347</v>
      </c>
      <c r="D2201" t="s">
        <v>5128</v>
      </c>
      <c r="E2201" s="3" t="str">
        <f>HYPERLINK("https://www.amazon.com/Tigi-Urban-Resurrection-Shampoo-25-36oz/dp/B00JVGQP0I/ref=sr_1_2?keywords=Bed+head+by+tigi+resurrection+shampoo+25.36+oz&amp;qid=1695259368&amp;sr=8-2", "https://www.amazon.com/Tigi-Urban-Resurrection-Shampoo-25-36oz/dp/B00JVGQP0I/ref=sr_1_2?keywords=Bed+head+by+tigi+resurrection+shampoo+25.36+oz&amp;qid=1695259368&amp;sr=8-2")</f>
        <v>https://www.amazon.com/Tigi-Urban-Resurrection-Shampoo-25-36oz/dp/B00JVGQP0I/ref=sr_1_2?keywords=Bed+head+by+tigi+resurrection+shampoo+25.36+oz&amp;qid=1695259368&amp;sr=8-2</v>
      </c>
      <c r="F2201" t="s">
        <v>5129</v>
      </c>
      <c r="G2201" t="e">
        <f ca="1">IMAGE("https://prolisok-store.com/cdn/shop/products/195942_300x.jpg?v=1690899981")</f>
        <v>#NAME?</v>
      </c>
      <c r="H2201" t="e">
        <f ca="1">IMAGE("https://m.media-amazon.com/images/I/71mqEYYW7DL._AC_UL320_.jpg")</f>
        <v>#NAME?</v>
      </c>
      <c r="I2201" t="s">
        <v>5348</v>
      </c>
      <c r="J2201">
        <v>27</v>
      </c>
      <c r="K2201" s="2" t="s">
        <v>5476</v>
      </c>
      <c r="L2201">
        <v>4.8</v>
      </c>
      <c r="M2201">
        <v>228</v>
      </c>
      <c r="O2201" t="s">
        <v>26</v>
      </c>
      <c r="P2201" t="s">
        <v>39</v>
      </c>
      <c r="Q2201" t="s">
        <v>5350</v>
      </c>
    </row>
    <row r="2202" spans="1:17" ht="15.75" x14ac:dyDescent="0.25">
      <c r="A2202" s="3" t="str">
        <f>HYPERLINK("https://prolisok-store.com/collections/hair-care/products/bed-head-by-tigi-dumb-blonde-reconstructor-6-7-oz", "https://prolisok-store.com/collections/hair-care/products/bed-head-by-tigi-dumb-blonde-reconstructor-6-7-oz")</f>
        <v>https://prolisok-store.com/collections/hair-care/products/bed-head-by-tigi-dumb-blonde-reconstructor-6-7-oz</v>
      </c>
      <c r="B2202" s="3" t="str">
        <f>HYPERLINK("https://prolisok-store.com/products/bed-head-by-tigi-dumb-blonde-reconstructor-6-7-oz", "https://prolisok-store.com/products/bed-head-by-tigi-dumb-blonde-reconstructor-6-7-oz")</f>
        <v>https://prolisok-store.com/products/bed-head-by-tigi-dumb-blonde-reconstructor-6-7-oz</v>
      </c>
      <c r="C2202" t="s">
        <v>5423</v>
      </c>
      <c r="D2202" t="s">
        <v>5477</v>
      </c>
      <c r="E2202" s="3" t="str">
        <f>HYPERLINK("https://www.amazon.com/Tigi-Reconstructor-Chemically-Treated-25-36oz/dp/B00SJKNA5A/ref=sr_1_5?keywords=Bed+head+by+tigi+dumb+blonde+reconstructor+6.7+oz&amp;qid=1695259391&amp;sr=8-5", "https://www.amazon.com/Tigi-Reconstructor-Chemically-Treated-25-36oz/dp/B00SJKNA5A/ref=sr_1_5?keywords=Bed+head+by+tigi+dumb+blonde+reconstructor+6.7+oz&amp;qid=1695259391&amp;sr=8-5")</f>
        <v>https://www.amazon.com/Tigi-Reconstructor-Chemically-Treated-25-36oz/dp/B00SJKNA5A/ref=sr_1_5?keywords=Bed+head+by+tigi+dumb+blonde+reconstructor+6.7+oz&amp;qid=1695259391&amp;sr=8-5</v>
      </c>
      <c r="F2202" t="s">
        <v>5478</v>
      </c>
      <c r="G2202" t="e">
        <f ca="1">IMAGE("https://prolisok-store.com/cdn/shop/products/131722_300x.jpg?v=1690899961")</f>
        <v>#NAME?</v>
      </c>
      <c r="H2202" t="e">
        <f ca="1">IMAGE("https://m.media-amazon.com/images/I/716VrbmoAkL._AC_UL320_.jpg")</f>
        <v>#NAME?</v>
      </c>
      <c r="I2202" t="s">
        <v>5426</v>
      </c>
      <c r="J2202">
        <v>20.09</v>
      </c>
      <c r="K2202" s="2" t="s">
        <v>5479</v>
      </c>
      <c r="L2202">
        <v>4.4000000000000004</v>
      </c>
      <c r="M2202">
        <v>171</v>
      </c>
      <c r="O2202" t="s">
        <v>26</v>
      </c>
      <c r="P2202" t="s">
        <v>39</v>
      </c>
      <c r="Q2202" t="s">
        <v>5428</v>
      </c>
    </row>
    <row r="2203" spans="1:17" ht="15.75" x14ac:dyDescent="0.25">
      <c r="A2203" s="3" t="str">
        <f>HYPERLINK("https://prolisok-store.com/collections/hair-care/products/bed-head-by-tigi-recovery-shampoo-25-36-oz", "https://prolisok-store.com/collections/hair-care/products/bed-head-by-tigi-recovery-shampoo-25-36-oz")</f>
        <v>https://prolisok-store.com/collections/hair-care/products/bed-head-by-tigi-recovery-shampoo-25-36-oz</v>
      </c>
      <c r="B2203" s="3" t="str">
        <f>HYPERLINK("https://prolisok-store.com/products/bed-head-by-tigi-recovery-shampoo-25-36-oz", "https://prolisok-store.com/products/bed-head-by-tigi-recovery-shampoo-25-36-oz")</f>
        <v>https://prolisok-store.com/products/bed-head-by-tigi-recovery-shampoo-25-36-oz</v>
      </c>
      <c r="C2203" t="s">
        <v>5360</v>
      </c>
      <c r="D2203" t="s">
        <v>5480</v>
      </c>
      <c r="E2203" s="3" t="str">
        <f>HYPERLINK("https://www.amazon.com/TIGI-Urban-Recovery-Shampoo-Damage/dp/B00MME7CCQ/ref=sr_1_3?keywords=Bed+head+by+tigi+recovery+shampoo+25.36+oz&amp;qid=1695259368&amp;sr=8-3", "https://www.amazon.com/TIGI-Urban-Recovery-Shampoo-Damage/dp/B00MME7CCQ/ref=sr_1_3?keywords=Bed+head+by+tigi+recovery+shampoo+25.36+oz&amp;qid=1695259368&amp;sr=8-3")</f>
        <v>https://www.amazon.com/TIGI-Urban-Recovery-Shampoo-Damage/dp/B00MME7CCQ/ref=sr_1_3?keywords=Bed+head+by+tigi+recovery+shampoo+25.36+oz&amp;qid=1695259368&amp;sr=8-3</v>
      </c>
      <c r="F2203" t="s">
        <v>5481</v>
      </c>
      <c r="G2203" t="e">
        <f ca="1">IMAGE("https://prolisok-store.com/cdn/shop/products/195934_300x.jpg?v=1690899977")</f>
        <v>#NAME?</v>
      </c>
      <c r="H2203" t="e">
        <f ca="1">IMAGE("https://m.media-amazon.com/images/I/51xPnsFCMLL._AC_UL320_.jpg")</f>
        <v>#NAME?</v>
      </c>
      <c r="I2203" t="s">
        <v>5348</v>
      </c>
      <c r="J2203">
        <v>26.99</v>
      </c>
      <c r="K2203" s="2" t="s">
        <v>5482</v>
      </c>
      <c r="L2203">
        <v>4.7</v>
      </c>
      <c r="M2203">
        <v>176</v>
      </c>
      <c r="O2203" t="s">
        <v>26</v>
      </c>
      <c r="P2203" t="s">
        <v>39</v>
      </c>
      <c r="Q2203" t="s">
        <v>5362</v>
      </c>
    </row>
    <row r="2204" spans="1:17" ht="15.75" x14ac:dyDescent="0.25">
      <c r="A2204" s="3" t="str">
        <f>HYPERLINK("https://prolisok-store.com/collections/hair-care/products/bed-head-by-tigi-resurrection-shampoo-32-8-oz", "https://prolisok-store.com/collections/hair-care/products/bed-head-by-tigi-resurrection-shampoo-32-8-oz")</f>
        <v>https://prolisok-store.com/collections/hair-care/products/bed-head-by-tigi-resurrection-shampoo-32-8-oz</v>
      </c>
      <c r="B2204" s="3" t="str">
        <f>HYPERLINK("https://prolisok-store.com/products/bed-head-by-tigi-resurrection-shampoo-32-8-oz", "https://prolisok-store.com/products/bed-head-by-tigi-resurrection-shampoo-32-8-oz")</f>
        <v>https://prolisok-store.com/products/bed-head-by-tigi-resurrection-shampoo-32-8-oz</v>
      </c>
      <c r="C2204" t="s">
        <v>5483</v>
      </c>
      <c r="D2204" t="s">
        <v>5227</v>
      </c>
      <c r="E2204" s="3" t="str">
        <f>HYPERLINK("https://www.amazon.com/Urban-Antidotes-Resurrection-Shampoo-Damage/dp/B09BK81WTZ/ref=sr_1_10?keywords=Bed+head+by+tigi+resurrection+shampoo+32.8+oz&amp;qid=1695259397&amp;sr=8-10", "https://www.amazon.com/Urban-Antidotes-Resurrection-Shampoo-Damage/dp/B09BK81WTZ/ref=sr_1_10?keywords=Bed+head+by+tigi+resurrection+shampoo+32.8+oz&amp;qid=1695259397&amp;sr=8-10")</f>
        <v>https://www.amazon.com/Urban-Antidotes-Resurrection-Shampoo-Damage/dp/B09BK81WTZ/ref=sr_1_10?keywords=Bed+head+by+tigi+resurrection+shampoo+32.8+oz&amp;qid=1695259397&amp;sr=8-10</v>
      </c>
      <c r="F2204" t="s">
        <v>5228</v>
      </c>
      <c r="G2204" t="e">
        <f ca="1">IMAGE("https://prolisok-store.com/cdn/shop/products/416082_300x.jpg?v=1690900037")</f>
        <v>#NAME?</v>
      </c>
      <c r="H2204" t="e">
        <f ca="1">IMAGE("https://m.media-amazon.com/images/I/412yzu18PUL._AC_UL320_.jpg")</f>
        <v>#NAME?</v>
      </c>
      <c r="I2204" t="s">
        <v>5484</v>
      </c>
      <c r="J2204">
        <v>35.99</v>
      </c>
      <c r="K2204" s="2" t="s">
        <v>5485</v>
      </c>
      <c r="L2204">
        <v>4.7</v>
      </c>
      <c r="M2204">
        <v>9</v>
      </c>
      <c r="O2204" t="s">
        <v>26</v>
      </c>
      <c r="P2204" t="s">
        <v>39</v>
      </c>
      <c r="Q2204" t="s">
        <v>5486</v>
      </c>
    </row>
    <row r="2205" spans="1:17" ht="15.75" x14ac:dyDescent="0.25">
      <c r="A2205" s="3" t="str">
        <f>HYPERLINK("https://prolisok-store.com/collections/hair-care/products/bed-head-by-tigi-manipulator-1-oz", "https://prolisok-store.com/collections/hair-care/products/bed-head-by-tigi-manipulator-1-oz")</f>
        <v>https://prolisok-store.com/collections/hair-care/products/bed-head-by-tigi-manipulator-1-oz</v>
      </c>
      <c r="B2205" s="3" t="str">
        <f>HYPERLINK("https://prolisok-store.com/products/bed-head-by-tigi-manipulator-1-oz", "https://prolisok-store.com/products/bed-head-by-tigi-manipulator-1-oz")</f>
        <v>https://prolisok-store.com/products/bed-head-by-tigi-manipulator-1-oz</v>
      </c>
      <c r="C2205" t="s">
        <v>5487</v>
      </c>
      <c r="D2205" t="s">
        <v>5488</v>
      </c>
      <c r="E2205" s="3" t="str">
        <f>HYPERLINK("https://www.amazon.com/Head-TIGI-Manipulator-Texturizing-Putty/dp/B08R4XX2QR/ref=sr_1_1?keywords=Bed+head+by+tigi+manipulator+1+oz&amp;qid=1695259376&amp;sr=8-1", "https://www.amazon.com/Head-TIGI-Manipulator-Texturizing-Putty/dp/B08R4XX2QR/ref=sr_1_1?keywords=Bed+head+by+tigi+manipulator+1+oz&amp;qid=1695259376&amp;sr=8-1")</f>
        <v>https://www.amazon.com/Head-TIGI-Manipulator-Texturizing-Putty/dp/B08R4XX2QR/ref=sr_1_1?keywords=Bed+head+by+tigi+manipulator+1+oz&amp;qid=1695259376&amp;sr=8-1</v>
      </c>
      <c r="F2205" t="s">
        <v>5489</v>
      </c>
      <c r="G2205" t="e">
        <f ca="1">IMAGE("https://prolisok-store.com/cdn/shop/products/319805_300x.jpg?v=1690899916")</f>
        <v>#NAME?</v>
      </c>
      <c r="H2205" t="e">
        <f ca="1">IMAGE("https://m.media-amazon.com/images/I/71Pk1J3ag9L._AC_UL320_.jpg")</f>
        <v>#NAME?</v>
      </c>
      <c r="I2205" t="s">
        <v>5115</v>
      </c>
      <c r="J2205">
        <v>12.25</v>
      </c>
      <c r="K2205" s="2" t="s">
        <v>5490</v>
      </c>
      <c r="L2205">
        <v>4.5999999999999996</v>
      </c>
      <c r="M2205">
        <v>2061</v>
      </c>
      <c r="O2205" t="s">
        <v>26</v>
      </c>
      <c r="P2205" t="s">
        <v>39</v>
      </c>
      <c r="Q2205" t="s">
        <v>5491</v>
      </c>
    </row>
    <row r="2206" spans="1:17" ht="15.75" x14ac:dyDescent="0.25">
      <c r="A2206" s="3" t="str">
        <f>HYPERLINK("https://prolisok-store.com/collections/hair-care/products/bed-head-by-tigi-moisture-maniac-conditioner-25-36-oz", "https://prolisok-store.com/collections/hair-care/products/bed-head-by-tigi-moisture-maniac-conditioner-25-36-oz")</f>
        <v>https://prolisok-store.com/collections/hair-care/products/bed-head-by-tigi-moisture-maniac-conditioner-25-36-oz</v>
      </c>
      <c r="B2206" s="3" t="str">
        <f>HYPERLINK("https://prolisok-store.com/products/bed-head-by-tigi-moisture-maniac-conditioner-25-36-oz", "https://prolisok-store.com/products/bed-head-by-tigi-moisture-maniac-conditioner-25-36-oz")</f>
        <v>https://prolisok-store.com/products/bed-head-by-tigi-moisture-maniac-conditioner-25-36-oz</v>
      </c>
      <c r="C2206" t="s">
        <v>5384</v>
      </c>
      <c r="D2206" t="s">
        <v>5492</v>
      </c>
      <c r="E2206" s="3" t="str">
        <f>HYPERLINK("https://www.amazon.com/TIGI-Moisture-Maniac-Moisturizing-Conditioner/dp/B000FZXGH4/ref=sr_1_1?keywords=Bed+head+by+tigi+moisture+maniac+conditioner+25.36+oz&amp;qid=1695259382&amp;sr=8-1", "https://www.amazon.com/TIGI-Moisture-Maniac-Moisturizing-Conditioner/dp/B000FZXGH4/ref=sr_1_1?keywords=Bed+head+by+tigi+moisture+maniac+conditioner+25.36+oz&amp;qid=1695259382&amp;sr=8-1")</f>
        <v>https://www.amazon.com/TIGI-Moisture-Maniac-Moisturizing-Conditioner/dp/B000FZXGH4/ref=sr_1_1?keywords=Bed+head+by+tigi+moisture+maniac+conditioner+25.36+oz&amp;qid=1695259382&amp;sr=8-1</v>
      </c>
      <c r="F2206" t="s">
        <v>5493</v>
      </c>
      <c r="G2206" t="e">
        <f ca="1">IMAGE("https://prolisok-store.com/cdn/shop/products/152905_300x.jpg?v=1690899967")</f>
        <v>#NAME?</v>
      </c>
      <c r="H2206" t="e">
        <f ca="1">IMAGE("https://m.media-amazon.com/images/I/61zxcS+ylcL._AC_UL320_.jpg")</f>
        <v>#NAME?</v>
      </c>
      <c r="I2206" t="s">
        <v>5348</v>
      </c>
      <c r="J2206">
        <v>26.11</v>
      </c>
      <c r="K2206" s="2" t="s">
        <v>5494</v>
      </c>
      <c r="L2206">
        <v>4.5</v>
      </c>
      <c r="M2206">
        <v>229</v>
      </c>
      <c r="O2206" t="s">
        <v>26</v>
      </c>
      <c r="P2206" t="s">
        <v>39</v>
      </c>
      <c r="Q2206" t="s">
        <v>5387</v>
      </c>
    </row>
    <row r="2207" spans="1:17" ht="15.75" x14ac:dyDescent="0.25">
      <c r="A2207" s="3" t="str">
        <f>HYPERLINK("https://prolisok-store.com/collections/hair-care/products/bed-head-by-tigi-recovery-conditioner-25-36-oz", "https://prolisok-store.com/collections/hair-care/products/bed-head-by-tigi-recovery-conditioner-25-36-oz")</f>
        <v>https://prolisok-store.com/collections/hair-care/products/bed-head-by-tigi-recovery-conditioner-25-36-oz</v>
      </c>
      <c r="B2207" s="3" t="str">
        <f>HYPERLINK("https://prolisok-store.com/products/bed-head-by-tigi-recovery-conditioner-25-36-oz", "https://prolisok-store.com/products/bed-head-by-tigi-recovery-conditioner-25-36-oz")</f>
        <v>https://prolisok-store.com/products/bed-head-by-tigi-recovery-conditioner-25-36-oz</v>
      </c>
      <c r="C2207" t="s">
        <v>5315</v>
      </c>
      <c r="D2207" t="s">
        <v>5495</v>
      </c>
      <c r="E2207" s="3" t="str">
        <f>HYPERLINK("https://www.amazon.com/TIGI-Urban-Dotes-Recovery-Conditioner/dp/B01IAEN55O/ref=sr_1_1?keywords=Bed+head+by+tigi+recovery+conditioner+25.36+oz&amp;qid=1695259402&amp;sr=8-1", "https://www.amazon.com/TIGI-Urban-Dotes-Recovery-Conditioner/dp/B01IAEN55O/ref=sr_1_1?keywords=Bed+head+by+tigi+recovery+conditioner+25.36+oz&amp;qid=1695259402&amp;sr=8-1")</f>
        <v>https://www.amazon.com/TIGI-Urban-Dotes-Recovery-Conditioner/dp/B01IAEN55O/ref=sr_1_1?keywords=Bed+head+by+tigi+recovery+conditioner+25.36+oz&amp;qid=1695259402&amp;sr=8-1</v>
      </c>
      <c r="F2207" t="s">
        <v>5496</v>
      </c>
      <c r="G2207" t="e">
        <f ca="1">IMAGE("https://prolisok-store.com/cdn/shop/products/195939_300x.jpg?v=1690899979")</f>
        <v>#NAME?</v>
      </c>
      <c r="H2207" t="e">
        <f ca="1">IMAGE("https://m.media-amazon.com/images/I/61222WpOSyL._AC_UL320_.jpg")</f>
        <v>#NAME?</v>
      </c>
      <c r="I2207" t="s">
        <v>5135</v>
      </c>
      <c r="J2207">
        <v>23.76</v>
      </c>
      <c r="K2207" s="2" t="s">
        <v>5497</v>
      </c>
      <c r="L2207">
        <v>4.7</v>
      </c>
      <c r="M2207">
        <v>36</v>
      </c>
      <c r="O2207" t="s">
        <v>26</v>
      </c>
      <c r="P2207" t="s">
        <v>39</v>
      </c>
      <c r="Q2207" t="s">
        <v>5317</v>
      </c>
    </row>
    <row r="2208" spans="1:17" ht="15.75" x14ac:dyDescent="0.25">
      <c r="A2208" s="3" t="str">
        <f>HYPERLINK("https://prolisok-store.com/collections/hair-care/products/bed-head-men-by-tigi-charge-up-conditioner-6-7-oz", "https://prolisok-store.com/collections/hair-care/products/bed-head-men-by-tigi-charge-up-conditioner-6-7-oz")</f>
        <v>https://prolisok-store.com/collections/hair-care/products/bed-head-men-by-tigi-charge-up-conditioner-6-7-oz</v>
      </c>
      <c r="B2208" s="3" t="str">
        <f>HYPERLINK("https://prolisok-store.com/products/bed-head-men-by-tigi-charge-up-conditioner-6-7-oz", "https://prolisok-store.com/products/bed-head-men-by-tigi-charge-up-conditioner-6-7-oz")</f>
        <v>https://prolisok-store.com/products/bed-head-men-by-tigi-charge-up-conditioner-6-7-oz</v>
      </c>
      <c r="C2208" t="s">
        <v>5301</v>
      </c>
      <c r="D2208" t="s">
        <v>5498</v>
      </c>
      <c r="E2208" s="3" t="str">
        <f>HYPERLINK("https://www.amazon.com/Tigi-Charge-Thickening-Conditioner-200ml/dp/B019JE27RG/ref=sr_1_4?keywords=Bed+head+men+by+tigi+charge+up+conditioner+6.7+oz&amp;qid=1695259394&amp;sr=8-4", "https://www.amazon.com/Tigi-Charge-Thickening-Conditioner-200ml/dp/B019JE27RG/ref=sr_1_4?keywords=Bed+head+men+by+tigi+charge+up+conditioner+6.7+oz&amp;qid=1695259394&amp;sr=8-4")</f>
        <v>https://www.amazon.com/Tigi-Charge-Thickening-Conditioner-200ml/dp/B019JE27RG/ref=sr_1_4?keywords=Bed+head+men+by+tigi+charge+up+conditioner+6.7+oz&amp;qid=1695259394&amp;sr=8-4</v>
      </c>
      <c r="F2208" t="s">
        <v>5499</v>
      </c>
      <c r="G2208" t="e">
        <f ca="1">IMAGE("https://prolisok-store.com/cdn/shop/products/179714_300x.jpg?v=1690900110")</f>
        <v>#NAME?</v>
      </c>
      <c r="H2208" t="e">
        <f ca="1">IMAGE("https://m.media-amazon.com/images/I/51EVThoxhNL._AC_UL320_.jpg")</f>
        <v>#NAME?</v>
      </c>
      <c r="I2208" t="s">
        <v>4296</v>
      </c>
      <c r="J2208">
        <v>12.86</v>
      </c>
      <c r="K2208" s="2" t="s">
        <v>5500</v>
      </c>
      <c r="L2208">
        <v>4.2</v>
      </c>
      <c r="M2208">
        <v>23</v>
      </c>
      <c r="O2208" t="s">
        <v>26</v>
      </c>
      <c r="P2208" t="s">
        <v>39</v>
      </c>
      <c r="Q2208" t="s">
        <v>5305</v>
      </c>
    </row>
    <row r="2209" spans="1:17" ht="15.75" x14ac:dyDescent="0.25">
      <c r="A2209" s="3" t="str">
        <f>HYPERLINK("https://prolisok-store.com/collections/hair-care/products/bed-head-by-tigi-recovery-shampoo-25-36-oz", "https://prolisok-store.com/collections/hair-care/products/bed-head-by-tigi-recovery-shampoo-25-36-oz")</f>
        <v>https://prolisok-store.com/collections/hair-care/products/bed-head-by-tigi-recovery-shampoo-25-36-oz</v>
      </c>
      <c r="B2209" s="3" t="str">
        <f>HYPERLINK("https://prolisok-store.com/products/bed-head-by-tigi-recovery-shampoo-25-36-oz", "https://prolisok-store.com/products/bed-head-by-tigi-recovery-shampoo-25-36-oz")</f>
        <v>https://prolisok-store.com/products/bed-head-by-tigi-recovery-shampoo-25-36-oz</v>
      </c>
      <c r="C2209" t="s">
        <v>5360</v>
      </c>
      <c r="D2209" t="s">
        <v>5138</v>
      </c>
      <c r="E2209" s="3" t="str">
        <f>HYPERLINK("https://www.amazon.com/Anti-dote-PFZoVz-Recovery-Shampoo-Conditioner/dp/B07487K2RB/ref=sr_1_6?keywords=Bed+head+by+tigi+recovery+shampoo+25.36+oz&amp;qid=1695259368&amp;sr=8-6", "https://www.amazon.com/Anti-dote-PFZoVz-Recovery-Shampoo-Conditioner/dp/B07487K2RB/ref=sr_1_6?keywords=Bed+head+by+tigi+recovery+shampoo+25.36+oz&amp;qid=1695259368&amp;sr=8-6")</f>
        <v>https://www.amazon.com/Anti-dote-PFZoVz-Recovery-Shampoo-Conditioner/dp/B07487K2RB/ref=sr_1_6?keywords=Bed+head+by+tigi+recovery+shampoo+25.36+oz&amp;qid=1695259368&amp;sr=8-6</v>
      </c>
      <c r="F2209" t="s">
        <v>5139</v>
      </c>
      <c r="G2209" t="e">
        <f ca="1">IMAGE("https://prolisok-store.com/cdn/shop/products/195934_300x.jpg?v=1690899977")</f>
        <v>#NAME?</v>
      </c>
      <c r="H2209" t="e">
        <f ca="1">IMAGE("https://m.media-amazon.com/images/I/71Wyt4QQhXL._AC_UL320_.jpg")</f>
        <v>#NAME?</v>
      </c>
      <c r="I2209" t="s">
        <v>5348</v>
      </c>
      <c r="J2209">
        <v>25.72</v>
      </c>
      <c r="K2209" s="2" t="s">
        <v>5501</v>
      </c>
      <c r="L2209">
        <v>4.7</v>
      </c>
      <c r="M2209">
        <v>1085</v>
      </c>
      <c r="O2209" t="s">
        <v>26</v>
      </c>
      <c r="P2209" t="s">
        <v>39</v>
      </c>
      <c r="Q2209" t="s">
        <v>5362</v>
      </c>
    </row>
    <row r="2210" spans="1:17" ht="15.75" x14ac:dyDescent="0.25">
      <c r="A2210" s="3" t="str">
        <f>HYPERLINK("https://prolisok-store.com/collections/hair-care/products/bed-head-by-tigi-recovery-conditioner-25-36-oz", "https://prolisok-store.com/collections/hair-care/products/bed-head-by-tigi-recovery-conditioner-25-36-oz")</f>
        <v>https://prolisok-store.com/collections/hair-care/products/bed-head-by-tigi-recovery-conditioner-25-36-oz</v>
      </c>
      <c r="B2210" s="3" t="str">
        <f>HYPERLINK("https://prolisok-store.com/products/bed-head-by-tigi-recovery-conditioner-25-36-oz", "https://prolisok-store.com/products/bed-head-by-tigi-recovery-conditioner-25-36-oz")</f>
        <v>https://prolisok-store.com/products/bed-head-by-tigi-recovery-conditioner-25-36-oz</v>
      </c>
      <c r="C2210" t="s">
        <v>5315</v>
      </c>
      <c r="D2210" t="s">
        <v>5502</v>
      </c>
      <c r="E2210" s="3" t="str">
        <f>HYPERLINK("https://www.amazon.com/Urban-Antidotes-Conditioner-Recovery-25-36/dp/B00450LEX8/ref=sr_1_8?keywords=Bed+head+by+tigi+recovery+conditioner+25.36+oz&amp;qid=1695259402&amp;sr=8-8", "https://www.amazon.com/Urban-Antidotes-Conditioner-Recovery-25-36/dp/B00450LEX8/ref=sr_1_8?keywords=Bed+head+by+tigi+recovery+conditioner+25.36+oz&amp;qid=1695259402&amp;sr=8-8")</f>
        <v>https://www.amazon.com/Urban-Antidotes-Conditioner-Recovery-25-36/dp/B00450LEX8/ref=sr_1_8?keywords=Bed+head+by+tigi+recovery+conditioner+25.36+oz&amp;qid=1695259402&amp;sr=8-8</v>
      </c>
      <c r="F2210" t="s">
        <v>5503</v>
      </c>
      <c r="G2210" t="e">
        <f ca="1">IMAGE("https://prolisok-store.com/cdn/shop/products/195939_300x.jpg?v=1690899979")</f>
        <v>#NAME?</v>
      </c>
      <c r="H2210" t="e">
        <f ca="1">IMAGE("https://m.media-amazon.com/images/I/61222WpOSyL._AC_UL320_.jpg")</f>
        <v>#NAME?</v>
      </c>
      <c r="I2210" t="s">
        <v>5135</v>
      </c>
      <c r="J2210">
        <v>22.99</v>
      </c>
      <c r="K2210" s="2" t="s">
        <v>5504</v>
      </c>
      <c r="L2210">
        <v>4.4000000000000004</v>
      </c>
      <c r="M2210">
        <v>48</v>
      </c>
      <c r="O2210" t="s">
        <v>26</v>
      </c>
      <c r="P2210" t="s">
        <v>39</v>
      </c>
      <c r="Q2210" t="s">
        <v>5317</v>
      </c>
    </row>
    <row r="2211" spans="1:17" ht="15.75" x14ac:dyDescent="0.25">
      <c r="A2211" s="3" t="str">
        <f>HYPERLINK("https://prolisok-store.com/collections/hair-care/products/bed-head-by-tigi-resurrection-shampoo-25-36-oz", "https://prolisok-store.com/collections/hair-care/products/bed-head-by-tigi-resurrection-shampoo-25-36-oz")</f>
        <v>https://prolisok-store.com/collections/hair-care/products/bed-head-by-tigi-resurrection-shampoo-25-36-oz</v>
      </c>
      <c r="B2211" s="3" t="str">
        <f>HYPERLINK("https://prolisok-store.com/products/bed-head-by-tigi-resurrection-shampoo-25-36-oz", "https://prolisok-store.com/products/bed-head-by-tigi-resurrection-shampoo-25-36-oz")</f>
        <v>https://prolisok-store.com/products/bed-head-by-tigi-resurrection-shampoo-25-36-oz</v>
      </c>
      <c r="C2211" t="s">
        <v>5347</v>
      </c>
      <c r="D2211" t="s">
        <v>5505</v>
      </c>
      <c r="E2211" s="3" t="str">
        <f>HYPERLINK("https://www.amazon.com/TIGI-Urban-Antidotes-Re-Energize-Shampoo/dp/B0127Y9CI2/ref=sr_1_5?keywords=Bed+head+by+tigi+resurrection+shampoo+25.36+oz&amp;qid=1695259368&amp;sr=8-5", "https://www.amazon.com/TIGI-Urban-Antidotes-Re-Energize-Shampoo/dp/B0127Y9CI2/ref=sr_1_5?keywords=Bed+head+by+tigi+resurrection+shampoo+25.36+oz&amp;qid=1695259368&amp;sr=8-5")</f>
        <v>https://www.amazon.com/TIGI-Urban-Antidotes-Re-Energize-Shampoo/dp/B0127Y9CI2/ref=sr_1_5?keywords=Bed+head+by+tigi+resurrection+shampoo+25.36+oz&amp;qid=1695259368&amp;sr=8-5</v>
      </c>
      <c r="F2211" t="s">
        <v>5506</v>
      </c>
      <c r="G2211" t="e">
        <f ca="1">IMAGE("https://prolisok-store.com/cdn/shop/products/195942_300x.jpg?v=1690899981")</f>
        <v>#NAME?</v>
      </c>
      <c r="H2211" t="e">
        <f ca="1">IMAGE("https://m.media-amazon.com/images/I/81XqLWz+CwL._AC_UL320_.jpg")</f>
        <v>#NAME?</v>
      </c>
      <c r="I2211" t="s">
        <v>5348</v>
      </c>
      <c r="J2211">
        <v>24.87</v>
      </c>
      <c r="K2211" s="2" t="s">
        <v>5507</v>
      </c>
      <c r="L2211">
        <v>4.5999999999999996</v>
      </c>
      <c r="M2211">
        <v>6891</v>
      </c>
      <c r="O2211" t="s">
        <v>26</v>
      </c>
      <c r="P2211" t="s">
        <v>39</v>
      </c>
      <c r="Q2211" t="s">
        <v>5350</v>
      </c>
    </row>
    <row r="2212" spans="1:17" ht="15.75" x14ac:dyDescent="0.25">
      <c r="A2212" s="3" t="str">
        <f>HYPERLINK("https://prolisok-store.com/collections/hair-care/products/bed-head-by-tigi-recovery-shampoo-25-36-oz", "https://prolisok-store.com/collections/hair-care/products/bed-head-by-tigi-recovery-shampoo-25-36-oz")</f>
        <v>https://prolisok-store.com/collections/hair-care/products/bed-head-by-tigi-recovery-shampoo-25-36-oz</v>
      </c>
      <c r="B2212" s="3" t="str">
        <f>HYPERLINK("https://prolisok-store.com/products/bed-head-by-tigi-recovery-shampoo-25-36-oz", "https://prolisok-store.com/products/bed-head-by-tigi-recovery-shampoo-25-36-oz")</f>
        <v>https://prolisok-store.com/products/bed-head-by-tigi-recovery-shampoo-25-36-oz</v>
      </c>
      <c r="C2212" t="s">
        <v>5360</v>
      </c>
      <c r="D2212" t="s">
        <v>5505</v>
      </c>
      <c r="E2212" s="3" t="str">
        <f>HYPERLINK("https://www.amazon.com/TIGI-Urban-Antidotes-Re-Energize-Shampoo/dp/B0127Y9CI2/ref=sr_1_9?keywords=Bed+head+by+tigi+recovery+shampoo+25.36+oz&amp;qid=1695259368&amp;sr=8-9", "https://www.amazon.com/TIGI-Urban-Antidotes-Re-Energize-Shampoo/dp/B0127Y9CI2/ref=sr_1_9?keywords=Bed+head+by+tigi+recovery+shampoo+25.36+oz&amp;qid=1695259368&amp;sr=8-9")</f>
        <v>https://www.amazon.com/TIGI-Urban-Antidotes-Re-Energize-Shampoo/dp/B0127Y9CI2/ref=sr_1_9?keywords=Bed+head+by+tigi+recovery+shampoo+25.36+oz&amp;qid=1695259368&amp;sr=8-9</v>
      </c>
      <c r="F2212" t="s">
        <v>5506</v>
      </c>
      <c r="G2212" t="e">
        <f ca="1">IMAGE("https://prolisok-store.com/cdn/shop/products/195934_300x.jpg?v=1690899977")</f>
        <v>#NAME?</v>
      </c>
      <c r="H2212" t="e">
        <f ca="1">IMAGE("https://m.media-amazon.com/images/I/81XqLWz+CwL._AC_UL320_.jpg")</f>
        <v>#NAME?</v>
      </c>
      <c r="I2212" t="s">
        <v>5348</v>
      </c>
      <c r="J2212">
        <v>24.87</v>
      </c>
      <c r="K2212" s="2" t="s">
        <v>5507</v>
      </c>
      <c r="L2212">
        <v>4.5999999999999996</v>
      </c>
      <c r="M2212">
        <v>6891</v>
      </c>
      <c r="O2212" t="s">
        <v>26</v>
      </c>
      <c r="P2212" t="s">
        <v>39</v>
      </c>
      <c r="Q2212" t="s">
        <v>5362</v>
      </c>
    </row>
    <row r="2213" spans="1:17" ht="15.75" x14ac:dyDescent="0.25">
      <c r="A2213" s="3" t="str">
        <f>HYPERLINK("https://prolisok-store.com/collections/hair-care/products/bed-head-men-by-tigi-wise-up-scalp-shampoo-8-45-oz", "https://prolisok-store.com/collections/hair-care/products/bed-head-men-by-tigi-wise-up-scalp-shampoo-8-45-oz")</f>
        <v>https://prolisok-store.com/collections/hair-care/products/bed-head-men-by-tigi-wise-up-scalp-shampoo-8-45-oz</v>
      </c>
      <c r="B2213" s="3" t="str">
        <f>HYPERLINK("https://prolisok-store.com/products/bed-head-men-by-tigi-wise-up-scalp-shampoo-8-45-oz", "https://prolisok-store.com/products/bed-head-men-by-tigi-wise-up-scalp-shampoo-8-45-oz")</f>
        <v>https://prolisok-store.com/products/bed-head-men-by-tigi-wise-up-scalp-shampoo-8-45-oz</v>
      </c>
      <c r="C2213" t="s">
        <v>5266</v>
      </c>
      <c r="D2213" t="s">
        <v>5508</v>
      </c>
      <c r="E2213" s="3" t="str">
        <f>HYPERLINK("https://www.amazon.com/Tigi-Head-Scalp-Shampoo-250ml/dp/B01M7XRU53/ref=sr_1_2?keywords=Bed+head+men+by+tigi+wise+up+scalp+shampoo+8.45+oz&amp;qid=1695259382&amp;sr=8-2", "https://www.amazon.com/Tigi-Head-Scalp-Shampoo-250ml/dp/B01M7XRU53/ref=sr_1_2?keywords=Bed+head+men+by+tigi+wise+up+scalp+shampoo+8.45+oz&amp;qid=1695259382&amp;sr=8-2")</f>
        <v>https://www.amazon.com/Tigi-Head-Scalp-Shampoo-250ml/dp/B01M7XRU53/ref=sr_1_2?keywords=Bed+head+men+by+tigi+wise+up+scalp+shampoo+8.45+oz&amp;qid=1695259382&amp;sr=8-2</v>
      </c>
      <c r="F2213" t="s">
        <v>5509</v>
      </c>
      <c r="G2213" t="e">
        <f ca="1">IMAGE("https://prolisok-store.com/cdn/shop/products/280801_300x.jpg?v=1690900112")</f>
        <v>#NAME?</v>
      </c>
      <c r="H2213" t="e">
        <f ca="1">IMAGE("https://m.media-amazon.com/images/I/31U-bAZ55+L._AC_UL320_.jpg")</f>
        <v>#NAME?</v>
      </c>
      <c r="I2213" t="s">
        <v>5229</v>
      </c>
      <c r="J2213">
        <v>15.3</v>
      </c>
      <c r="K2213" s="2" t="s">
        <v>5510</v>
      </c>
      <c r="L2213">
        <v>4.7</v>
      </c>
      <c r="M2213">
        <v>4</v>
      </c>
      <c r="O2213" t="s">
        <v>26</v>
      </c>
      <c r="P2213" t="s">
        <v>39</v>
      </c>
      <c r="Q2213" t="s">
        <v>5270</v>
      </c>
    </row>
    <row r="2214" spans="1:17" ht="15.75" x14ac:dyDescent="0.25">
      <c r="A2214" s="3" t="str">
        <f>HYPERLINK("https://prolisok-store.com/collections/hair-care/products/bed-head-by-tigi-colour-goddess-oil-infused-shampoo-for-coloured-hair-32-8-oz", "https://prolisok-store.com/collections/hair-care/products/bed-head-by-tigi-colour-goddess-oil-infused-shampoo-for-coloured-hair-32-8-oz")</f>
        <v>https://prolisok-store.com/collections/hair-care/products/bed-head-by-tigi-colour-goddess-oil-infused-shampoo-for-coloured-hair-32-8-oz</v>
      </c>
      <c r="B2214" s="3" t="str">
        <f>HYPERLINK("https://prolisok-store.com/products/bed-head-by-tigi-colour-goddess-oil-infused-shampoo-for-coloured-hair-32-8-oz", "https://prolisok-store.com/products/bed-head-by-tigi-colour-goddess-oil-infused-shampoo-for-coloured-hair-32-8-oz")</f>
        <v>https://prolisok-store.com/products/bed-head-by-tigi-colour-goddess-oil-infused-shampoo-for-coloured-hair-32-8-oz</v>
      </c>
      <c r="C2214" t="s">
        <v>5511</v>
      </c>
      <c r="D2214" t="s">
        <v>5262</v>
      </c>
      <c r="E2214" s="3" t="str">
        <f>HYPERLINK("https://www.amazon.com/TIGI-Goddess-Shampoo-Conditioner-Coloured/dp/B0BNWF9TQ8/ref=sr_1_8?keywords=Bed+head+by+tigi+colour+goddess+oil+infused+shampoo+for+coloured+hair+32.8+oz&amp;qid=1695259395&amp;sr=8-8", "https://www.amazon.com/TIGI-Goddess-Shampoo-Conditioner-Coloured/dp/B0BNWF9TQ8/ref=sr_1_8?keywords=Bed+head+by+tigi+colour+goddess+oil+infused+shampoo+for+coloured+hair+32.8+oz&amp;qid=1695259395&amp;sr=8-8")</f>
        <v>https://www.amazon.com/TIGI-Goddess-Shampoo-Conditioner-Coloured/dp/B0BNWF9TQ8/ref=sr_1_8?keywords=Bed+head+by+tigi+colour+goddess+oil+infused+shampoo+for+coloured+hair+32.8+oz&amp;qid=1695259395&amp;sr=8-8</v>
      </c>
      <c r="F2214" t="s">
        <v>5263</v>
      </c>
      <c r="G2214" t="e">
        <f ca="1">IMAGE("https://prolisok-store.com/cdn/shop/products/416047_300x.jpg?v=1690900000")</f>
        <v>#NAME?</v>
      </c>
      <c r="H2214" t="e">
        <f ca="1">IMAGE("https://m.media-amazon.com/images/I/41WPvwrim2L._AC_UL320_.jpg")</f>
        <v>#NAME?</v>
      </c>
      <c r="I2214" t="s">
        <v>5484</v>
      </c>
      <c r="J2214">
        <v>32</v>
      </c>
      <c r="K2214" s="2" t="s">
        <v>5512</v>
      </c>
      <c r="L2214">
        <v>4</v>
      </c>
      <c r="M2214">
        <v>13</v>
      </c>
      <c r="O2214" t="s">
        <v>26</v>
      </c>
      <c r="P2214" t="s">
        <v>39</v>
      </c>
      <c r="Q2214" t="s">
        <v>5513</v>
      </c>
    </row>
    <row r="2215" spans="1:17" ht="15.75" x14ac:dyDescent="0.25">
      <c r="A2215" s="3" t="str">
        <f>HYPERLINK("https://prolisok-store.com/collections/hair-care/products/bed-head-by-tigi-recovery-shampoo-25-36-oz", "https://prolisok-store.com/collections/hair-care/products/bed-head-by-tigi-recovery-shampoo-25-36-oz")</f>
        <v>https://prolisok-store.com/collections/hair-care/products/bed-head-by-tigi-recovery-shampoo-25-36-oz</v>
      </c>
      <c r="B2215" s="3" t="str">
        <f>HYPERLINK("https://prolisok-store.com/products/bed-head-by-tigi-recovery-shampoo-25-36-oz", "https://prolisok-store.com/products/bed-head-by-tigi-recovery-shampoo-25-36-oz")</f>
        <v>https://prolisok-store.com/products/bed-head-by-tigi-recovery-shampoo-25-36-oz</v>
      </c>
      <c r="C2215" t="s">
        <v>5360</v>
      </c>
      <c r="D2215" t="s">
        <v>5141</v>
      </c>
      <c r="E2215" s="3" t="str">
        <f>HYPERLINK("https://www.amazon.com/TIGI-Anti-dote-Recovery-Shampoo-Conditioner/dp/B003T1G0XI/ref=sr_1_2?keywords=Bed+head+by+tigi+recovery+shampoo+25.36+oz&amp;qid=1695259368&amp;sr=8-2", "https://www.amazon.com/TIGI-Anti-dote-Recovery-Shampoo-Conditioner/dp/B003T1G0XI/ref=sr_1_2?keywords=Bed+head+by+tigi+recovery+shampoo+25.36+oz&amp;qid=1695259368&amp;sr=8-2")</f>
        <v>https://www.amazon.com/TIGI-Anti-dote-Recovery-Shampoo-Conditioner/dp/B003T1G0XI/ref=sr_1_2?keywords=Bed+head+by+tigi+recovery+shampoo+25.36+oz&amp;qid=1695259368&amp;sr=8-2</v>
      </c>
      <c r="F2215" t="s">
        <v>5142</v>
      </c>
      <c r="G2215" t="e">
        <f ca="1">IMAGE("https://prolisok-store.com/cdn/shop/products/195934_300x.jpg?v=1690899977")</f>
        <v>#NAME?</v>
      </c>
      <c r="H2215" t="e">
        <f ca="1">IMAGE("https://m.media-amazon.com/images/I/71gvFsIeyLL._AC_UL320_.jpg")</f>
        <v>#NAME?</v>
      </c>
      <c r="I2215" t="s">
        <v>5348</v>
      </c>
      <c r="J2215">
        <v>23.95</v>
      </c>
      <c r="K2215" s="2" t="s">
        <v>5514</v>
      </c>
      <c r="L2215">
        <v>4.5999999999999996</v>
      </c>
      <c r="M2215">
        <v>7980</v>
      </c>
      <c r="O2215" t="s">
        <v>26</v>
      </c>
      <c r="P2215" t="s">
        <v>39</v>
      </c>
      <c r="Q2215" t="s">
        <v>5362</v>
      </c>
    </row>
    <row r="2216" spans="1:17" ht="15.75" x14ac:dyDescent="0.25">
      <c r="A2216" s="3" t="str">
        <f>HYPERLINK("https://prolisok-store.com/collections/hair-care/products/bed-head-by-tigi-dumb-blonde-reconstructor-6-7-oz", "https://prolisok-store.com/collections/hair-care/products/bed-head-by-tigi-dumb-blonde-reconstructor-6-7-oz")</f>
        <v>https://prolisok-store.com/collections/hair-care/products/bed-head-by-tigi-dumb-blonde-reconstructor-6-7-oz</v>
      </c>
      <c r="B2216" s="3" t="str">
        <f>HYPERLINK("https://prolisok-store.com/products/bed-head-by-tigi-dumb-blonde-reconstructor-6-7-oz", "https://prolisok-store.com/products/bed-head-by-tigi-dumb-blonde-reconstructor-6-7-oz")</f>
        <v>https://prolisok-store.com/products/bed-head-by-tigi-dumb-blonde-reconstructor-6-7-oz</v>
      </c>
      <c r="C2216" t="s">
        <v>5423</v>
      </c>
      <c r="D2216" t="s">
        <v>5515</v>
      </c>
      <c r="E2216" s="3" t="str">
        <f>HYPERLINK("https://www.amazon.com/Tigi-Blonde-Reconstructor-Conditioner-25-36/dp/B077Y81BF2/ref=sr_1_2?keywords=Bed+head+by+tigi+dumb+blonde+reconstructor+6.7+oz&amp;qid=1695259391&amp;sr=8-2", "https://www.amazon.com/Tigi-Blonde-Reconstructor-Conditioner-25-36/dp/B077Y81BF2/ref=sr_1_2?keywords=Bed+head+by+tigi+dumb+blonde+reconstructor+6.7+oz&amp;qid=1695259391&amp;sr=8-2")</f>
        <v>https://www.amazon.com/Tigi-Blonde-Reconstructor-Conditioner-25-36/dp/B077Y81BF2/ref=sr_1_2?keywords=Bed+head+by+tigi+dumb+blonde+reconstructor+6.7+oz&amp;qid=1695259391&amp;sr=8-2</v>
      </c>
      <c r="F2216" t="s">
        <v>5516</v>
      </c>
      <c r="G2216" t="e">
        <f ca="1">IMAGE("https://prolisok-store.com/cdn/shop/products/131722_300x.jpg?v=1690899961")</f>
        <v>#NAME?</v>
      </c>
      <c r="H2216" t="e">
        <f ca="1">IMAGE("https://m.media-amazon.com/images/I/61EBoGBexRL._AC_UL320_.jpg")</f>
        <v>#NAME?</v>
      </c>
      <c r="I2216" t="s">
        <v>5426</v>
      </c>
      <c r="J2216">
        <v>17.45</v>
      </c>
      <c r="K2216" s="2" t="s">
        <v>5517</v>
      </c>
      <c r="L2216">
        <v>4.4000000000000004</v>
      </c>
      <c r="M2216">
        <v>449</v>
      </c>
      <c r="O2216" t="s">
        <v>26</v>
      </c>
      <c r="P2216" t="s">
        <v>39</v>
      </c>
      <c r="Q2216" t="s">
        <v>5428</v>
      </c>
    </row>
    <row r="2217" spans="1:17" ht="15.75" x14ac:dyDescent="0.25">
      <c r="A2217" s="3" t="str">
        <f>HYPERLINK("https://prolisok-store.com/collections/hair-care/products/bed-head-men-by-tigi-matte-separation-wax-3-oz", "https://prolisok-store.com/collections/hair-care/products/bed-head-men-by-tigi-matte-separation-wax-3-oz")</f>
        <v>https://prolisok-store.com/collections/hair-care/products/bed-head-men-by-tigi-matte-separation-wax-3-oz</v>
      </c>
      <c r="B2217" s="3" t="str">
        <f>HYPERLINK("https://prolisok-store.com/products/bed-head-men-by-tigi-matte-separation-wax-3-oz", "https://prolisok-store.com/products/bed-head-men-by-tigi-matte-separation-wax-3-oz")</f>
        <v>https://prolisok-store.com/products/bed-head-men-by-tigi-matte-separation-wax-3-oz</v>
      </c>
      <c r="C2217" t="s">
        <v>5407</v>
      </c>
      <c r="D2217" t="s">
        <v>5518</v>
      </c>
      <c r="E2217" s="3" t="str">
        <f>HYPERLINK("https://www.amazon.com/Head-Matte-Separation-Workable-TIGI/dp/B00Z08NA8Q/ref=sr_1_2?keywords=Bed+head+men+by+tigi+matte+separation+wax+3+oz&amp;qid=1695259401&amp;sr=8-2", "https://www.amazon.com/Head-Matte-Separation-Workable-TIGI/dp/B00Z08NA8Q/ref=sr_1_2?keywords=Bed+head+men+by+tigi+matte+separation+wax+3+oz&amp;qid=1695259401&amp;sr=8-2")</f>
        <v>https://www.amazon.com/Head-Matte-Separation-Workable-TIGI/dp/B00Z08NA8Q/ref=sr_1_2?keywords=Bed+head+men+by+tigi+matte+separation+wax+3+oz&amp;qid=1695259401&amp;sr=8-2</v>
      </c>
      <c r="F2217" t="s">
        <v>5519</v>
      </c>
      <c r="G2217" t="e">
        <f ca="1">IMAGE("https://prolisok-store.com/cdn/shop/products/276241_300x.jpg?v=1690900117")</f>
        <v>#NAME?</v>
      </c>
      <c r="H2217" t="e">
        <f ca="1">IMAGE("https://m.media-amazon.com/images/I/71ZdIGp7pPL._AC_UL320_.jpg")</f>
        <v>#NAME?</v>
      </c>
      <c r="I2217" t="s">
        <v>5410</v>
      </c>
      <c r="J2217">
        <v>20.99</v>
      </c>
      <c r="K2217" s="2" t="s">
        <v>5520</v>
      </c>
      <c r="L2217">
        <v>4.5999999999999996</v>
      </c>
      <c r="M2217">
        <v>2070</v>
      </c>
      <c r="O2217" t="s">
        <v>26</v>
      </c>
      <c r="P2217" t="s">
        <v>39</v>
      </c>
      <c r="Q2217" t="s">
        <v>5412</v>
      </c>
    </row>
    <row r="2218" spans="1:17" ht="15.75" x14ac:dyDescent="0.25">
      <c r="A2218" s="3" t="str">
        <f>HYPERLINK("https://prolisok-store.com/collections/hair-care/products/bed-head-by-tigi-resurrection-conditioner-25-36-oz", "https://prolisok-store.com/collections/hair-care/products/bed-head-by-tigi-resurrection-conditioner-25-36-oz")</f>
        <v>https://prolisok-store.com/collections/hair-care/products/bed-head-by-tigi-resurrection-conditioner-25-36-oz</v>
      </c>
      <c r="B2218" s="3" t="str">
        <f>HYPERLINK("https://prolisok-store.com/products/bed-head-by-tigi-resurrection-conditioner-25-36-oz", "https://prolisok-store.com/products/bed-head-by-tigi-resurrection-conditioner-25-36-oz")</f>
        <v>https://prolisok-store.com/products/bed-head-by-tigi-resurrection-conditioner-25-36-oz</v>
      </c>
      <c r="C2218" t="s">
        <v>5521</v>
      </c>
      <c r="D2218" t="s">
        <v>5522</v>
      </c>
      <c r="E2218" s="3" t="str">
        <f>HYPERLINK("https://www.amazon.com/TIGI-Antidotes-Resurrection-Shampoo-Conditioner/dp/B01AC34TS8/ref=sr_1_5?keywords=Bed+head+by+tigi+resurrection+conditioner+25.36+oz&amp;qid=1695259389&amp;sr=8-5", "https://www.amazon.com/TIGI-Antidotes-Resurrection-Shampoo-Conditioner/dp/B01AC34TS8/ref=sr_1_5?keywords=Bed+head+by+tigi+resurrection+conditioner+25.36+oz&amp;qid=1695259389&amp;sr=8-5")</f>
        <v>https://www.amazon.com/TIGI-Antidotes-Resurrection-Shampoo-Conditioner/dp/B01AC34TS8/ref=sr_1_5?keywords=Bed+head+by+tigi+resurrection+conditioner+25.36+oz&amp;qid=1695259389&amp;sr=8-5</v>
      </c>
      <c r="F2218" t="s">
        <v>5523</v>
      </c>
      <c r="G2218" t="e">
        <f ca="1">IMAGE("https://prolisok-store.com/cdn/shop/products/195943_300x.jpg?v=1690899983")</f>
        <v>#NAME?</v>
      </c>
      <c r="H2218" t="e">
        <f ca="1">IMAGE("https://m.media-amazon.com/images/I/71FY-B3LtlL._AC_UL320_.jpg")</f>
        <v>#NAME?</v>
      </c>
      <c r="I2218" t="s">
        <v>5348</v>
      </c>
      <c r="J2218">
        <v>23.25</v>
      </c>
      <c r="K2218" s="2" t="s">
        <v>5524</v>
      </c>
      <c r="L2218">
        <v>4.5999999999999996</v>
      </c>
      <c r="M2218">
        <v>18709</v>
      </c>
      <c r="O2218" t="s">
        <v>26</v>
      </c>
      <c r="P2218" t="s">
        <v>39</v>
      </c>
      <c r="Q2218" t="s">
        <v>5525</v>
      </c>
    </row>
    <row r="2219" spans="1:17" ht="15.75" x14ac:dyDescent="0.25">
      <c r="A2219" s="3" t="str">
        <f>HYPERLINK("https://prolisok-store.com/collections/hair-care/products/bed-head-by-tigi-resurrection-shampoo-25-36-oz", "https://prolisok-store.com/collections/hair-care/products/bed-head-by-tigi-resurrection-shampoo-25-36-oz")</f>
        <v>https://prolisok-store.com/collections/hair-care/products/bed-head-by-tigi-resurrection-shampoo-25-36-oz</v>
      </c>
      <c r="B2219" s="3" t="str">
        <f>HYPERLINK("https://prolisok-store.com/products/bed-head-by-tigi-resurrection-shampoo-25-36-oz", "https://prolisok-store.com/products/bed-head-by-tigi-resurrection-shampoo-25-36-oz")</f>
        <v>https://prolisok-store.com/products/bed-head-by-tigi-resurrection-shampoo-25-36-oz</v>
      </c>
      <c r="C2219" t="s">
        <v>5347</v>
      </c>
      <c r="D2219" t="s">
        <v>5522</v>
      </c>
      <c r="E2219" s="3" t="str">
        <f>HYPERLINK("https://www.amazon.com/TIGI-Antidotes-Resurrection-Shampoo-Conditioner/dp/B01AC34TS8/ref=sr_1_6?keywords=Bed+head+by+tigi+resurrection+shampoo+25.36+oz&amp;qid=1695259368&amp;sr=8-6", "https://www.amazon.com/TIGI-Antidotes-Resurrection-Shampoo-Conditioner/dp/B01AC34TS8/ref=sr_1_6?keywords=Bed+head+by+tigi+resurrection+shampoo+25.36+oz&amp;qid=1695259368&amp;sr=8-6")</f>
        <v>https://www.amazon.com/TIGI-Antidotes-Resurrection-Shampoo-Conditioner/dp/B01AC34TS8/ref=sr_1_6?keywords=Bed+head+by+tigi+resurrection+shampoo+25.36+oz&amp;qid=1695259368&amp;sr=8-6</v>
      </c>
      <c r="F2219" t="s">
        <v>5523</v>
      </c>
      <c r="G2219" t="e">
        <f ca="1">IMAGE("https://prolisok-store.com/cdn/shop/products/195942_300x.jpg?v=1690899981")</f>
        <v>#NAME?</v>
      </c>
      <c r="H2219" t="e">
        <f ca="1">IMAGE("https://m.media-amazon.com/images/I/71FY-B3LtlL._AC_UL320_.jpg")</f>
        <v>#NAME?</v>
      </c>
      <c r="I2219" t="s">
        <v>5348</v>
      </c>
      <c r="J2219">
        <v>23.25</v>
      </c>
      <c r="K2219" s="2" t="s">
        <v>5524</v>
      </c>
      <c r="L2219">
        <v>4.5999999999999996</v>
      </c>
      <c r="M2219">
        <v>18709</v>
      </c>
      <c r="O2219" t="s">
        <v>26</v>
      </c>
      <c r="P2219" t="s">
        <v>39</v>
      </c>
      <c r="Q2219" t="s">
        <v>5350</v>
      </c>
    </row>
    <row r="2220" spans="1:17" ht="15.75" x14ac:dyDescent="0.25">
      <c r="A2220" s="3" t="str">
        <f>HYPERLINK("https://prolisok-store.com/collections/hair-care/products/bed-head-by-tigi-moisture-maniac-conditioner-25-36-oz", "https://prolisok-store.com/collections/hair-care/products/bed-head-by-tigi-moisture-maniac-conditioner-25-36-oz")</f>
        <v>https://prolisok-store.com/collections/hair-care/products/bed-head-by-tigi-moisture-maniac-conditioner-25-36-oz</v>
      </c>
      <c r="B2220" s="3" t="str">
        <f>HYPERLINK("https://prolisok-store.com/products/bed-head-by-tigi-moisture-maniac-conditioner-25-36-oz", "https://prolisok-store.com/products/bed-head-by-tigi-moisture-maniac-conditioner-25-36-oz")</f>
        <v>https://prolisok-store.com/products/bed-head-by-tigi-moisture-maniac-conditioner-25-36-oz</v>
      </c>
      <c r="C2220" t="s">
        <v>5384</v>
      </c>
      <c r="D2220" t="s">
        <v>5393</v>
      </c>
      <c r="E2220" s="3" t="str">
        <f>HYPERLINK("https://www.amazon.com/TIGI-Conditioner-Moisture-Sulfate-Free-Moisturizing/dp/B09VLG4BRX/ref=sr_1_6?keywords=Bed+head+by+tigi+moisture+maniac+conditioner+25.36+oz&amp;qid=1695259382&amp;sr=8-6", "https://www.amazon.com/TIGI-Conditioner-Moisture-Sulfate-Free-Moisturizing/dp/B09VLG4BRX/ref=sr_1_6?keywords=Bed+head+by+tigi+moisture+maniac+conditioner+25.36+oz&amp;qid=1695259382&amp;sr=8-6")</f>
        <v>https://www.amazon.com/TIGI-Conditioner-Moisture-Sulfate-Free-Moisturizing/dp/B09VLG4BRX/ref=sr_1_6?keywords=Bed+head+by+tigi+moisture+maniac+conditioner+25.36+oz&amp;qid=1695259382&amp;sr=8-6</v>
      </c>
      <c r="F2220" t="s">
        <v>5394</v>
      </c>
      <c r="G2220" t="e">
        <f ca="1">IMAGE("https://prolisok-store.com/cdn/shop/products/152905_300x.jpg?v=1690899967")</f>
        <v>#NAME?</v>
      </c>
      <c r="H2220" t="e">
        <f ca="1">IMAGE("https://m.media-amazon.com/images/I/71KDuTaJlCL._AC_UL320_.jpg")</f>
        <v>#NAME?</v>
      </c>
      <c r="I2220" t="s">
        <v>5348</v>
      </c>
      <c r="J2220">
        <v>22.99</v>
      </c>
      <c r="K2220" s="2" t="s">
        <v>4308</v>
      </c>
      <c r="L2220">
        <v>4.2</v>
      </c>
      <c r="M2220">
        <v>1229</v>
      </c>
      <c r="O2220" t="s">
        <v>26</v>
      </c>
      <c r="P2220" t="s">
        <v>39</v>
      </c>
      <c r="Q2220" t="s">
        <v>5387</v>
      </c>
    </row>
    <row r="2221" spans="1:17" ht="15.75" x14ac:dyDescent="0.25">
      <c r="A2221" s="3" t="str">
        <f>HYPERLINK("https://prolisok-store.com/collections/hair-care/products/bed-head-by-tigi-resurrection-shampoo-25-36-oz", "https://prolisok-store.com/collections/hair-care/products/bed-head-by-tigi-resurrection-shampoo-25-36-oz")</f>
        <v>https://prolisok-store.com/collections/hair-care/products/bed-head-by-tigi-resurrection-shampoo-25-36-oz</v>
      </c>
      <c r="B2221" s="3" t="str">
        <f>HYPERLINK("https://prolisok-store.com/products/bed-head-by-tigi-resurrection-shampoo-25-36-oz", "https://prolisok-store.com/products/bed-head-by-tigi-resurrection-shampoo-25-36-oz")</f>
        <v>https://prolisok-store.com/products/bed-head-by-tigi-resurrection-shampoo-25-36-oz</v>
      </c>
      <c r="C2221" t="s">
        <v>5347</v>
      </c>
      <c r="D2221" t="s">
        <v>5526</v>
      </c>
      <c r="E2221" s="3" t="str">
        <f>HYPERLINK("https://www.amazon.com/Urban-dotes-Resurrection-Shampoo-Damage/dp/B004T19PAC/ref=sr_1_1?keywords=Bed+head+by+tigi+resurrection+shampoo+25.36+oz&amp;qid=1695259368&amp;sr=8-1", "https://www.amazon.com/Urban-dotes-Resurrection-Shampoo-Damage/dp/B004T19PAC/ref=sr_1_1?keywords=Bed+head+by+tigi+resurrection+shampoo+25.36+oz&amp;qid=1695259368&amp;sr=8-1")</f>
        <v>https://www.amazon.com/Urban-dotes-Resurrection-Shampoo-Damage/dp/B004T19PAC/ref=sr_1_1?keywords=Bed+head+by+tigi+resurrection+shampoo+25.36+oz&amp;qid=1695259368&amp;sr=8-1</v>
      </c>
      <c r="F2221" t="s">
        <v>5527</v>
      </c>
      <c r="G2221" t="e">
        <f ca="1">IMAGE("https://prolisok-store.com/cdn/shop/products/195942_300x.jpg?v=1690899981")</f>
        <v>#NAME?</v>
      </c>
      <c r="H2221" t="e">
        <f ca="1">IMAGE("https://m.media-amazon.com/images/I/61-YNcOzu7L._AC_UL320_.jpg")</f>
        <v>#NAME?</v>
      </c>
      <c r="I2221" t="s">
        <v>5348</v>
      </c>
      <c r="J2221">
        <v>22.98</v>
      </c>
      <c r="K2221" s="2" t="s">
        <v>5528</v>
      </c>
      <c r="L2221">
        <v>4.7</v>
      </c>
      <c r="M2221">
        <v>5388</v>
      </c>
      <c r="O2221" t="s">
        <v>26</v>
      </c>
      <c r="P2221" t="s">
        <v>39</v>
      </c>
      <c r="Q2221" t="s">
        <v>5350</v>
      </c>
    </row>
    <row r="2222" spans="1:17" ht="15.75" x14ac:dyDescent="0.25">
      <c r="A2222" s="3" t="str">
        <f>HYPERLINK("https://prolisok-store.com/collections/hair-care/products/bed-head-by-tigi-flexi-head-hair-spray-10-6-oz", "https://prolisok-store.com/collections/hair-care/products/bed-head-by-tigi-flexi-head-hair-spray-10-6-oz")</f>
        <v>https://prolisok-store.com/collections/hair-care/products/bed-head-by-tigi-flexi-head-hair-spray-10-6-oz</v>
      </c>
      <c r="B2222" s="3" t="str">
        <f>HYPERLINK("https://prolisok-store.com/products/bed-head-by-tigi-flexi-head-hair-spray-10-6-oz", "https://prolisok-store.com/products/bed-head-by-tigi-flexi-head-hair-spray-10-6-oz")</f>
        <v>https://prolisok-store.com/products/bed-head-by-tigi-flexi-head-hair-spray-10-6-oz</v>
      </c>
      <c r="C2222" t="s">
        <v>5195</v>
      </c>
      <c r="D2222" t="s">
        <v>5529</v>
      </c>
      <c r="E2222" s="3" t="str">
        <f>HYPERLINK("https://www.amazon.com/Tigi-Head-Hard-Hair-Spray/dp/B000LLYFUE/ref=sr_1_1?keywords=Bed+head+by+tigi+flexi+head+hair+spray+10.6+oz&amp;qid=1695259385&amp;sr=8-1", "https://www.amazon.com/Tigi-Head-Hard-Hair-Spray/dp/B000LLYFUE/ref=sr_1_1?keywords=Bed+head+by+tigi+flexi+head+hair+spray+10.6+oz&amp;qid=1695259385&amp;sr=8-1")</f>
        <v>https://www.amazon.com/Tigi-Head-Hard-Hair-Spray/dp/B000LLYFUE/ref=sr_1_1?keywords=Bed+head+by+tigi+flexi+head+hair+spray+10.6+oz&amp;qid=1695259385&amp;sr=8-1</v>
      </c>
      <c r="F2222" t="s">
        <v>5530</v>
      </c>
      <c r="G2222" t="e">
        <f ca="1">IMAGE("https://prolisok-store.com/cdn/shop/products/280790_300x.jpg?v=1690899950")</f>
        <v>#NAME?</v>
      </c>
      <c r="H2222" t="e">
        <f ca="1">IMAGE("https://m.media-amazon.com/images/I/61410NLsLqL._AC_UL320_.jpg")</f>
        <v>#NAME?</v>
      </c>
      <c r="I2222" t="s">
        <v>5198</v>
      </c>
      <c r="J2222">
        <v>21.99</v>
      </c>
      <c r="K2222" s="2" t="s">
        <v>5531</v>
      </c>
      <c r="L2222">
        <v>4.7</v>
      </c>
      <c r="M2222">
        <v>2260</v>
      </c>
      <c r="O2222" t="s">
        <v>26</v>
      </c>
      <c r="P2222" t="s">
        <v>39</v>
      </c>
      <c r="Q2222" t="s">
        <v>5200</v>
      </c>
    </row>
    <row r="2223" spans="1:17" ht="15.75" x14ac:dyDescent="0.25">
      <c r="A2223" s="3" t="str">
        <f>HYPERLINK("https://prolisok-store.com/collections/hair-care/products/bed-head-by-tigi-dumb-blonde-reconstructor-6-7-oz", "https://prolisok-store.com/collections/hair-care/products/bed-head-by-tigi-dumb-blonde-reconstructor-6-7-oz")</f>
        <v>https://prolisok-store.com/collections/hair-care/products/bed-head-by-tigi-dumb-blonde-reconstructor-6-7-oz</v>
      </c>
      <c r="B2223" s="3" t="str">
        <f>HYPERLINK("https://prolisok-store.com/products/bed-head-by-tigi-dumb-blonde-reconstructor-6-7-oz", "https://prolisok-store.com/products/bed-head-by-tigi-dumb-blonde-reconstructor-6-7-oz")</f>
        <v>https://prolisok-store.com/products/bed-head-by-tigi-dumb-blonde-reconstructor-6-7-oz</v>
      </c>
      <c r="C2223" t="s">
        <v>5423</v>
      </c>
      <c r="D2223" t="s">
        <v>5532</v>
      </c>
      <c r="E2223" s="3" t="str">
        <f>HYPERLINK("https://www.amazon.com/HEAD-Tigi-DUMB-BLONDE-RECONSTRUCTOR/dp/B0014XOWJM/ref=sr_1_1?keywords=Bed+head+by+tigi+dumb+blonde+reconstructor+6.7+oz&amp;qid=1695259391&amp;sr=8-1", "https://www.amazon.com/HEAD-Tigi-DUMB-BLONDE-RECONSTRUCTOR/dp/B0014XOWJM/ref=sr_1_1?keywords=Bed+head+by+tigi+dumb+blonde+reconstructor+6.7+oz&amp;qid=1695259391&amp;sr=8-1")</f>
        <v>https://www.amazon.com/HEAD-Tigi-DUMB-BLONDE-RECONSTRUCTOR/dp/B0014XOWJM/ref=sr_1_1?keywords=Bed+head+by+tigi+dumb+blonde+reconstructor+6.7+oz&amp;qid=1695259391&amp;sr=8-1</v>
      </c>
      <c r="F2223" t="s">
        <v>5533</v>
      </c>
      <c r="G2223" t="e">
        <f ca="1">IMAGE("https://prolisok-store.com/cdn/shop/products/131722_300x.jpg?v=1690899961")</f>
        <v>#NAME?</v>
      </c>
      <c r="H2223" t="e">
        <f ca="1">IMAGE("https://m.media-amazon.com/images/I/61mqYm8Qq7L._AC_UL320_.jpg")</f>
        <v>#NAME?</v>
      </c>
      <c r="I2223" t="s">
        <v>5426</v>
      </c>
      <c r="J2223">
        <v>17.03</v>
      </c>
      <c r="K2223" s="2" t="s">
        <v>5534</v>
      </c>
      <c r="L2223">
        <v>4.4000000000000004</v>
      </c>
      <c r="M2223">
        <v>6</v>
      </c>
      <c r="O2223" t="s">
        <v>26</v>
      </c>
      <c r="P2223" t="s">
        <v>39</v>
      </c>
      <c r="Q2223" t="s">
        <v>5428</v>
      </c>
    </row>
    <row r="2224" spans="1:17" ht="15.75" x14ac:dyDescent="0.25">
      <c r="A2224" s="3" t="str">
        <f>HYPERLINK("https://prolisok-store.com/collections/hair-care/products/catwalk-by-tigi-sleek-mystique-look-lock-hair-spray-9-2-oz", "https://prolisok-store.com/collections/hair-care/products/catwalk-by-tigi-sleek-mystique-look-lock-hair-spray-9-2-oz")</f>
        <v>https://prolisok-store.com/collections/hair-care/products/catwalk-by-tigi-sleek-mystique-look-lock-hair-spray-9-2-oz</v>
      </c>
      <c r="B2224" s="3" t="str">
        <f>HYPERLINK("https://prolisok-store.com/products/catwalk-by-tigi-sleek-mystique-look-lock-hair-spray-9-2-oz", "https://prolisok-store.com/products/catwalk-by-tigi-sleek-mystique-look-lock-hair-spray-9-2-oz")</f>
        <v>https://prolisok-store.com/products/catwalk-by-tigi-sleek-mystique-look-lock-hair-spray-9-2-oz</v>
      </c>
      <c r="C2224" t="s">
        <v>5243</v>
      </c>
      <c r="D2224" t="s">
        <v>5535</v>
      </c>
      <c r="E2224" s="3" t="str">
        <f>HYPERLINK("https://www.amazon.com/Catwalk-Straight-Collection-Mystique-Look-Lock/dp/B00BVOAQ8K/ref=sr_1_3?keywords=Catwalk+by+tigi+sleek+mystique+look-lock+hair+spray+9.2+oz&amp;qid=1695259377&amp;sr=8-3", "https://www.amazon.com/Catwalk-Straight-Collection-Mystique-Look-Lock/dp/B00BVOAQ8K/ref=sr_1_3?keywords=Catwalk+by+tigi+sleek+mystique+look-lock+hair+spray+9.2+oz&amp;qid=1695259377&amp;sr=8-3")</f>
        <v>https://www.amazon.com/Catwalk-Straight-Collection-Mystique-Look-Lock/dp/B00BVOAQ8K/ref=sr_1_3?keywords=Catwalk+by+tigi+sleek+mystique+look-lock+hair+spray+9.2+oz&amp;qid=1695259377&amp;sr=8-3</v>
      </c>
      <c r="F2224" t="s">
        <v>5536</v>
      </c>
      <c r="G2224" t="e">
        <f ca="1">IMAGE("https://prolisok-store.com/cdn/shop/products/212032_300x.jpg?v=1690900057")</f>
        <v>#NAME?</v>
      </c>
      <c r="H2224" t="e">
        <f ca="1">IMAGE("https://m.media-amazon.com/images/I/71fQ6Yt9lRL._AC_UL320_.jpg")</f>
        <v>#NAME?</v>
      </c>
      <c r="I2224" t="s">
        <v>5135</v>
      </c>
      <c r="J2224">
        <v>20.77</v>
      </c>
      <c r="K2224" s="2" t="s">
        <v>5537</v>
      </c>
      <c r="L2224">
        <v>2.9</v>
      </c>
      <c r="M2224">
        <v>3</v>
      </c>
      <c r="O2224" t="s">
        <v>26</v>
      </c>
      <c r="P2224" t="s">
        <v>39</v>
      </c>
      <c r="Q2224" t="s">
        <v>5247</v>
      </c>
    </row>
    <row r="2225" spans="1:17" ht="15.75" x14ac:dyDescent="0.25">
      <c r="A2225" s="3" t="str">
        <f>HYPERLINK("https://prolisok-store.com/collections/hair-care/products/bed-head-men-by-tigi-clean-up-peppermint-conditioner-25-36-oz-gold-packaging", "https://prolisok-store.com/collections/hair-care/products/bed-head-men-by-tigi-clean-up-peppermint-conditioner-25-36-oz-gold-packaging")</f>
        <v>https://prolisok-store.com/collections/hair-care/products/bed-head-men-by-tigi-clean-up-peppermint-conditioner-25-36-oz-gold-packaging</v>
      </c>
      <c r="B2225" s="3" t="str">
        <f>HYPERLINK("https://prolisok-store.com/products/bed-head-men-by-tigi-clean-up-peppermint-conditioner-25-36-oz-gold-packaging", "https://prolisok-store.com/products/bed-head-men-by-tigi-clean-up-peppermint-conditioner-25-36-oz-gold-packaging")</f>
        <v>https://prolisok-store.com/products/bed-head-men-by-tigi-clean-up-peppermint-conditioner-25-36-oz-gold-packaging</v>
      </c>
      <c r="C2225" t="s">
        <v>5538</v>
      </c>
      <c r="D2225" t="s">
        <v>5267</v>
      </c>
      <c r="E2225" s="3" t="str">
        <f>HYPERLINK("https://www.amazon.com/Tigi-Bed-Head-Men-Clean/dp/B01BVV6CVM/ref=sr_1_6?keywords=Bed+head+men+by+tigi+clean+up+peppermint+conditioner+25.36+oz+%28gold+packaging%29&amp;qid=1695259384&amp;sr=8-6", "https://www.amazon.com/Tigi-Bed-Head-Men-Clean/dp/B01BVV6CVM/ref=sr_1_6?keywords=Bed+head+men+by+tigi+clean+up+peppermint+conditioner+25.36+oz+%28gold+packaging%29&amp;qid=1695259384&amp;sr=8-6")</f>
        <v>https://www.amazon.com/Tigi-Bed-Head-Men-Clean/dp/B01BVV6CVM/ref=sr_1_6?keywords=Bed+head+men+by+tigi+clean+up+peppermint+conditioner+25.36+oz+%28gold+packaging%29&amp;qid=1695259384&amp;sr=8-6</v>
      </c>
      <c r="F2225" t="s">
        <v>5268</v>
      </c>
      <c r="G2225" t="e">
        <f ca="1">IMAGE("https://prolisok-store.com/cdn/shop/products/263177_300x.jpg?v=1690900119")</f>
        <v>#NAME?</v>
      </c>
      <c r="H2225" t="e">
        <f ca="1">IMAGE("https://m.media-amazon.com/images/I/51j4MZXaJeL._AC_UL320_.jpg")</f>
        <v>#NAME?</v>
      </c>
      <c r="I2225" t="s">
        <v>5539</v>
      </c>
      <c r="J2225">
        <v>28.99</v>
      </c>
      <c r="K2225" s="2" t="s">
        <v>5540</v>
      </c>
      <c r="L2225">
        <v>4.7</v>
      </c>
      <c r="M2225">
        <v>4134</v>
      </c>
      <c r="O2225" t="s">
        <v>26</v>
      </c>
      <c r="P2225" t="s">
        <v>39</v>
      </c>
      <c r="Q2225" t="s">
        <v>5541</v>
      </c>
    </row>
    <row r="2226" spans="1:17" ht="15.75" x14ac:dyDescent="0.25">
      <c r="A2226" s="3" t="str">
        <f>HYPERLINK("https://prolisok-store.com/collections/hair-care/products/bed-head-by-tigi-resurrection-conditioner-6-76-oz", "https://prolisok-store.com/collections/hair-care/products/bed-head-by-tigi-resurrection-conditioner-6-76-oz")</f>
        <v>https://prolisok-store.com/collections/hair-care/products/bed-head-by-tigi-resurrection-conditioner-6-76-oz</v>
      </c>
      <c r="B2226" s="3" t="str">
        <f>HYPERLINK("https://prolisok-store.com/products/bed-head-by-tigi-resurrection-conditioner-6-76-oz", "https://prolisok-store.com/products/bed-head-by-tigi-resurrection-conditioner-6-76-oz")</f>
        <v>https://prolisok-store.com/products/bed-head-by-tigi-resurrection-conditioner-6-76-oz</v>
      </c>
      <c r="C2226" t="s">
        <v>5318</v>
      </c>
      <c r="D2226" t="s">
        <v>5298</v>
      </c>
      <c r="E2226" s="3" t="str">
        <f>HYPERLINK("https://www.amazon.com/Bed-Head-RESURRECTION-CONDITIONER-DAMAGED/dp/B08X8SD5BH/ref=sr_1_3?keywords=Bed+head+by+tigi+resurrection+conditioner+6.76+oz&amp;qid=1695259380&amp;sr=8-3", "https://www.amazon.com/Bed-Head-RESURRECTION-CONDITIONER-DAMAGED/dp/B08X8SD5BH/ref=sr_1_3?keywords=Bed+head+by+tigi+resurrection+conditioner+6.76+oz&amp;qid=1695259380&amp;sr=8-3")</f>
        <v>https://www.amazon.com/Bed-Head-RESURRECTION-CONDITIONER-DAMAGED/dp/B08X8SD5BH/ref=sr_1_3?keywords=Bed+head+by+tigi+resurrection+conditioner+6.76+oz&amp;qid=1695259380&amp;sr=8-3</v>
      </c>
      <c r="F2226" t="s">
        <v>5299</v>
      </c>
      <c r="G2226" t="e">
        <f ca="1">IMAGE("https://prolisok-store.com/cdn/shop/products/195948_300x.jpg?v=1690899988")</f>
        <v>#NAME?</v>
      </c>
      <c r="H2226" t="e">
        <f ca="1">IMAGE("https://m.media-amazon.com/images/I/611ZB8d23-L._AC_UL320_.jpg")</f>
        <v>#NAME?</v>
      </c>
      <c r="I2226" t="s">
        <v>5321</v>
      </c>
      <c r="J2226">
        <v>15</v>
      </c>
      <c r="K2226" s="2" t="s">
        <v>5542</v>
      </c>
      <c r="L2226">
        <v>4.5999999999999996</v>
      </c>
      <c r="M2226">
        <v>244</v>
      </c>
      <c r="O2226" t="s">
        <v>26</v>
      </c>
      <c r="P2226" t="s">
        <v>39</v>
      </c>
      <c r="Q2226" t="s">
        <v>5323</v>
      </c>
    </row>
    <row r="2227" spans="1:17" ht="15.75" x14ac:dyDescent="0.25">
      <c r="A2227" s="3" t="str">
        <f>HYPERLINK("https://prolisok-store.com/collections/hair-care/products/bed-head-by-tigi-dumb-blonde-shampoo-for-chemically-treated-hair-13-5-oz", "https://prolisok-store.com/collections/hair-care/products/bed-head-by-tigi-dumb-blonde-shampoo-for-chemically-treated-hair-13-5-oz")</f>
        <v>https://prolisok-store.com/collections/hair-care/products/bed-head-by-tigi-dumb-blonde-shampoo-for-chemically-treated-hair-13-5-oz</v>
      </c>
      <c r="B2227" s="3" t="str">
        <f>HYPERLINK("https://prolisok-store.com/products/bed-head-by-tigi-dumb-blonde-shampoo-for-chemically-treated-hair-13-5-oz", "https://prolisok-store.com/products/bed-head-by-tigi-dumb-blonde-shampoo-for-chemically-treated-hair-13-5-oz")</f>
        <v>https://prolisok-store.com/products/bed-head-by-tigi-dumb-blonde-shampoo-for-chemically-treated-hair-13-5-oz</v>
      </c>
      <c r="C2227" t="s">
        <v>5378</v>
      </c>
      <c r="D2227" t="s">
        <v>5543</v>
      </c>
      <c r="E2227" s="3" t="str">
        <f>HYPERLINK("https://www.amazon.com/TIGI-Serial-Blonde-Purple-Shampoo/dp/B09JC6NWVQ/ref=sr_1_5?keywords=Bed+head+by+tigi+dumb+blonde+shampoo+for+chemically+treated+hair+13.5+oz&amp;qid=1695259369&amp;sr=8-5", "https://www.amazon.com/TIGI-Serial-Blonde-Purple-Shampoo/dp/B09JC6NWVQ/ref=sr_1_5?keywords=Bed+head+by+tigi+dumb+blonde+shampoo+for+chemically+treated+hair+13.5+oz&amp;qid=1695259369&amp;sr=8-5")</f>
        <v>https://www.amazon.com/TIGI-Serial-Blonde-Purple-Shampoo/dp/B09JC6NWVQ/ref=sr_1_5?keywords=Bed+head+by+tigi+dumb+blonde+shampoo+for+chemically+treated+hair+13.5+oz&amp;qid=1695259369&amp;sr=8-5</v>
      </c>
      <c r="F2227" t="s">
        <v>5544</v>
      </c>
      <c r="G2227" t="e">
        <f ca="1">IMAGE("https://prolisok-store.com/cdn/shop/products/250422_300x.jpg?v=1690899935")</f>
        <v>#NAME?</v>
      </c>
      <c r="H2227" t="e">
        <f ca="1">IMAGE("https://m.media-amazon.com/images/I/5105aBrtroL._AC_UL320_.jpg")</f>
        <v>#NAME?</v>
      </c>
      <c r="I2227" t="s">
        <v>5321</v>
      </c>
      <c r="J2227">
        <v>14.99</v>
      </c>
      <c r="K2227" s="2" t="s">
        <v>5545</v>
      </c>
      <c r="L2227">
        <v>4.7</v>
      </c>
      <c r="M2227">
        <v>59</v>
      </c>
      <c r="O2227" t="s">
        <v>26</v>
      </c>
      <c r="P2227" t="s">
        <v>39</v>
      </c>
      <c r="Q2227" t="s">
        <v>5382</v>
      </c>
    </row>
    <row r="2228" spans="1:17" ht="15.75" x14ac:dyDescent="0.25">
      <c r="A2228" s="3" t="str">
        <f>HYPERLINK("https://prolisok-store.com/collections/hair-care/products/bed-head-by-tigi-totally-beachin-shampoo-8-45-oz", "https://prolisok-store.com/collections/hair-care/products/bed-head-by-tigi-totally-beachin-shampoo-8-45-oz")</f>
        <v>https://prolisok-store.com/collections/hair-care/products/bed-head-by-tigi-totally-beachin-shampoo-8-45-oz</v>
      </c>
      <c r="B2228" s="3" t="str">
        <f>HYPERLINK("https://prolisok-store.com/products/bed-head-by-tigi-totally-beachin-shampoo-8-45-oz", "https://prolisok-store.com/products/bed-head-by-tigi-totally-beachin-shampoo-8-45-oz")</f>
        <v>https://prolisok-store.com/products/bed-head-by-tigi-totally-beachin-shampoo-8-45-oz</v>
      </c>
      <c r="C2228" t="s">
        <v>5546</v>
      </c>
      <c r="D2228" t="s">
        <v>5547</v>
      </c>
      <c r="E2228" s="3" t="str">
        <f>HYPERLINK("https://www.amazon.com/Tigi-Fully-Loaded-Massive-Shampoo/dp/B01GR1RSVO/ref=sr_1_5?keywords=Bed+head+by+tigi+totally+beachin+shampoo+8.45+oz&amp;qid=1695259383&amp;sr=8-5", "https://www.amazon.com/Tigi-Fully-Loaded-Massive-Shampoo/dp/B01GR1RSVO/ref=sr_1_5?keywords=Bed+head+by+tigi+totally+beachin+shampoo+8.45+oz&amp;qid=1695259383&amp;sr=8-5")</f>
        <v>https://www.amazon.com/Tigi-Fully-Loaded-Massive-Shampoo/dp/B01GR1RSVO/ref=sr_1_5?keywords=Bed+head+by+tigi+totally+beachin+shampoo+8.45+oz&amp;qid=1695259383&amp;sr=8-5</v>
      </c>
      <c r="F2228" t="s">
        <v>5548</v>
      </c>
      <c r="G2228" t="e">
        <f ca="1">IMAGE("https://prolisok-store.com/cdn/shop/products/284487_300x.jpg?v=1690899948")</f>
        <v>#NAME?</v>
      </c>
      <c r="H2228" t="e">
        <f ca="1">IMAGE("https://m.media-amazon.com/images/I/61UT3u45uBL._AC_UL320_.jpg")</f>
        <v>#NAME?</v>
      </c>
      <c r="I2228" t="s">
        <v>5321</v>
      </c>
      <c r="J2228">
        <v>14.9</v>
      </c>
      <c r="K2228" s="2" t="s">
        <v>5549</v>
      </c>
      <c r="L2228">
        <v>4.4000000000000004</v>
      </c>
      <c r="M2228">
        <v>38</v>
      </c>
      <c r="O2228" t="s">
        <v>26</v>
      </c>
      <c r="P2228" t="s">
        <v>39</v>
      </c>
      <c r="Q2228" t="s">
        <v>5550</v>
      </c>
    </row>
    <row r="2229" spans="1:17" ht="15.75" x14ac:dyDescent="0.25">
      <c r="A2229" s="3" t="str">
        <f>HYPERLINK("https://prolisok-store.com/collections/hair-care/products/bed-head-by-tigi-after-party-smoothing-cream-for-silky-shiny-hair-3-4-oz", "https://prolisok-store.com/collections/hair-care/products/bed-head-by-tigi-after-party-smoothing-cream-for-silky-shiny-hair-3-4-oz")</f>
        <v>https://prolisok-store.com/collections/hair-care/products/bed-head-by-tigi-after-party-smoothing-cream-for-silky-shiny-hair-3-4-oz</v>
      </c>
      <c r="B2229" s="3" t="str">
        <f>HYPERLINK("https://prolisok-store.com/products/bed-head-by-tigi-after-party-smoothing-cream-for-silky-shiny-hair-3-4-oz", "https://prolisok-store.com/products/bed-head-by-tigi-after-party-smoothing-cream-for-silky-shiny-hair-3-4-oz")</f>
        <v>https://prolisok-store.com/products/bed-head-by-tigi-after-party-smoothing-cream-for-silky-shiny-hair-3-4-oz</v>
      </c>
      <c r="C2229" t="s">
        <v>5551</v>
      </c>
      <c r="D2229" t="s">
        <v>5552</v>
      </c>
      <c r="E2229" s="3" t="str">
        <f>HYPERLINK("https://www.amazon.com/TIGI-After-Party-Smoothing-Travel/dp/B08ZW3HD5N/ref=sr_1_9?keywords=Bed+head+by+tigi+after+party+smoothing+cream+for+silky+shiny+hair+3.4+oz&amp;qid=1695259393&amp;sr=8-9", "https://www.amazon.com/TIGI-After-Party-Smoothing-Travel/dp/B08ZW3HD5N/ref=sr_1_9?keywords=Bed+head+by+tigi+after+party+smoothing+cream+for+silky+shiny+hair+3.4+oz&amp;qid=1695259393&amp;sr=8-9")</f>
        <v>https://www.amazon.com/TIGI-After-Party-Smoothing-Travel/dp/B08ZW3HD5N/ref=sr_1_9?keywords=Bed+head+by+tigi+after+party+smoothing+cream+for+silky+shiny+hair+3.4+oz&amp;qid=1695259393&amp;sr=8-9</v>
      </c>
      <c r="F2229" t="s">
        <v>5553</v>
      </c>
      <c r="G2229" t="e">
        <f ca="1">IMAGE("https://prolisok-store.com/cdn/shop/products/131710_300x.jpg?v=1690899954")</f>
        <v>#NAME?</v>
      </c>
      <c r="H2229" t="e">
        <f ca="1">IMAGE("https://m.media-amazon.com/images/I/61oPHJ0V75S._AC_UL320_.jpg")</f>
        <v>#NAME?</v>
      </c>
      <c r="I2229" t="s">
        <v>5554</v>
      </c>
      <c r="J2229">
        <v>22.33</v>
      </c>
      <c r="K2229" s="2" t="s">
        <v>5555</v>
      </c>
      <c r="L2229">
        <v>4.5</v>
      </c>
      <c r="M2229">
        <v>23</v>
      </c>
      <c r="O2229" t="s">
        <v>26</v>
      </c>
      <c r="P2229" t="s">
        <v>39</v>
      </c>
      <c r="Q2229" t="s">
        <v>5556</v>
      </c>
    </row>
    <row r="2230" spans="1:17" ht="15.75" x14ac:dyDescent="0.25">
      <c r="A2230" s="3" t="str">
        <f>HYPERLINK("https://prolisok-store.com/collections/hair-care/products/catwalk-by-tigi-fashionista-brunette-mask-for-warm-tones-7-05-oz", "https://prolisok-store.com/collections/hair-care/products/catwalk-by-tigi-fashionista-brunette-mask-for-warm-tones-7-05-oz")</f>
        <v>https://prolisok-store.com/collections/hair-care/products/catwalk-by-tigi-fashionista-brunette-mask-for-warm-tones-7-05-oz</v>
      </c>
      <c r="B2230" s="3" t="str">
        <f>HYPERLINK("https://prolisok-store.com/products/catwalk-by-tigi-fashionista-brunette-mask-for-warm-tones-7-05-oz", "https://prolisok-store.com/products/catwalk-by-tigi-fashionista-brunette-mask-for-warm-tones-7-05-oz")</f>
        <v>https://prolisok-store.com/products/catwalk-by-tigi-fashionista-brunette-mask-for-warm-tones-7-05-oz</v>
      </c>
      <c r="C2230" t="s">
        <v>5557</v>
      </c>
      <c r="D2230" t="s">
        <v>5558</v>
      </c>
      <c r="E2230" s="3" t="str">
        <f>HYPERLINK("https://www.amazon.com/Tigi-Catwalk-Fashionista-Brunette-Conditioner/dp/B07C3Z923R/ref=sr_1_3?keywords=Catwalk+by+tigi+fashionista+brunette+mask+for+warm+tones+7.05+oz&amp;qid=1695259399&amp;sr=8-3", "https://www.amazon.com/Tigi-Catwalk-Fashionista-Brunette-Conditioner/dp/B07C3Z923R/ref=sr_1_3?keywords=Catwalk+by+tigi+fashionista+brunette+mask+for+warm+tones+7.05+oz&amp;qid=1695259399&amp;sr=8-3")</f>
        <v>https://www.amazon.com/Tigi-Catwalk-Fashionista-Brunette-Conditioner/dp/B07C3Z923R/ref=sr_1_3?keywords=Catwalk+by+tigi+fashionista+brunette+mask+for+warm+tones+7.05+oz&amp;qid=1695259399&amp;sr=8-3</v>
      </c>
      <c r="F2230" t="s">
        <v>5559</v>
      </c>
      <c r="G2230" t="e">
        <f ca="1">IMAGE("https://prolisok-store.com/cdn/shop/products/280025_300x.jpg?v=1690900078")</f>
        <v>#NAME?</v>
      </c>
      <c r="H2230" t="e">
        <f ca="1">IMAGE("https://m.media-amazon.com/images/I/51wyZs7rYiL._AC_UL320_.jpg")</f>
        <v>#NAME?</v>
      </c>
      <c r="I2230" t="s">
        <v>5124</v>
      </c>
      <c r="J2230">
        <v>19.12</v>
      </c>
      <c r="K2230" s="2" t="s">
        <v>5560</v>
      </c>
      <c r="L2230">
        <v>5</v>
      </c>
      <c r="M2230">
        <v>7</v>
      </c>
      <c r="O2230" t="s">
        <v>26</v>
      </c>
      <c r="P2230" t="s">
        <v>39</v>
      </c>
      <c r="Q2230" t="s">
        <v>5561</v>
      </c>
    </row>
    <row r="2231" spans="1:17" ht="15.75" x14ac:dyDescent="0.25">
      <c r="A2231" s="3" t="str">
        <f>HYPERLINK("https://prolisok-store.com/collections/hair-care/products/bed-head-by-tigi-resurrection-conditioner-13-53-oz", "https://prolisok-store.com/collections/hair-care/products/bed-head-by-tigi-resurrection-conditioner-13-53-oz")</f>
        <v>https://prolisok-store.com/collections/hair-care/products/bed-head-by-tigi-resurrection-conditioner-13-53-oz</v>
      </c>
      <c r="B2231" s="3" t="str">
        <f>HYPERLINK("https://prolisok-store.com/products/bed-head-by-tigi-resurrection-conditioner-13-53-oz", "https://prolisok-store.com/products/bed-head-by-tigi-resurrection-conditioner-13-53-oz")</f>
        <v>https://prolisok-store.com/products/bed-head-by-tigi-resurrection-conditioner-13-53-oz</v>
      </c>
      <c r="C2231" t="s">
        <v>5336</v>
      </c>
      <c r="D2231" t="s">
        <v>5298</v>
      </c>
      <c r="E2231" s="3" t="str">
        <f>HYPERLINK("https://www.amazon.com/Bed-Head-RESURRECTION-CONDITIONER-DAMAGED/dp/B08X8SD5BH/ref=sr_1_1?keywords=Bed+head+by+tigi+resurrection+conditioner+13.53+oz&amp;qid=1695259381&amp;sr=8-1", "https://www.amazon.com/Bed-Head-RESURRECTION-CONDITIONER-DAMAGED/dp/B08X8SD5BH/ref=sr_1_1?keywords=Bed+head+by+tigi+resurrection+conditioner+13.53+oz&amp;qid=1695259381&amp;sr=8-1")</f>
        <v>https://www.amazon.com/Bed-Head-RESURRECTION-CONDITIONER-DAMAGED/dp/B08X8SD5BH/ref=sr_1_1?keywords=Bed+head+by+tigi+resurrection+conditioner+13.53+oz&amp;qid=1695259381&amp;sr=8-1</v>
      </c>
      <c r="F2231" t="s">
        <v>5299</v>
      </c>
      <c r="G2231" t="e">
        <f ca="1">IMAGE("https://prolisok-store.com/cdn/shop/products/416079_300x.jpg?v=1690900033")</f>
        <v>#NAME?</v>
      </c>
      <c r="H2231" t="e">
        <f ca="1">IMAGE("https://m.media-amazon.com/images/I/611ZB8d23-L._AC_UL320_.jpg")</f>
        <v>#NAME?</v>
      </c>
      <c r="I2231" t="s">
        <v>5103</v>
      </c>
      <c r="J2231">
        <v>15</v>
      </c>
      <c r="K2231" s="2" t="s">
        <v>5562</v>
      </c>
      <c r="L2231">
        <v>4.5999999999999996</v>
      </c>
      <c r="M2231">
        <v>244</v>
      </c>
      <c r="O2231" t="s">
        <v>26</v>
      </c>
      <c r="P2231" t="s">
        <v>39</v>
      </c>
      <c r="Q2231" t="s">
        <v>5337</v>
      </c>
    </row>
    <row r="2232" spans="1:17" ht="15.75" x14ac:dyDescent="0.25">
      <c r="A2232" s="3" t="str">
        <f>HYPERLINK("https://prolisok-store.com/collections/hair-care/products/bed-head-by-tigi-masterpiece-extra-strong-hold-hairspray-2-4-oz", "https://prolisok-store.com/collections/hair-care/products/bed-head-by-tigi-masterpiece-extra-strong-hold-hairspray-2-4-oz")</f>
        <v>https://prolisok-store.com/collections/hair-care/products/bed-head-by-tigi-masterpiece-extra-strong-hold-hairspray-2-4-oz</v>
      </c>
      <c r="B2232" s="3" t="str">
        <f>HYPERLINK("https://prolisok-store.com/products/bed-head-by-tigi-masterpiece-extra-strong-hold-hairspray-2-4-oz", "https://prolisok-store.com/products/bed-head-by-tigi-masterpiece-extra-strong-hold-hairspray-2-4-oz")</f>
        <v>https://prolisok-store.com/products/bed-head-by-tigi-masterpiece-extra-strong-hold-hairspray-2-4-oz</v>
      </c>
      <c r="C2232" t="s">
        <v>5112</v>
      </c>
      <c r="D2232" t="s">
        <v>5563</v>
      </c>
      <c r="E2232" s="3" t="str">
        <f>HYPERLINK("https://www.amazon.com/TIGI-Masterpiece-Hairspray-Strong-Travel/dp/B08XWHZBF1/ref=sr_1_2?keywords=Bed+head+by+tigi+masterpiece+extra+strong+hold+hairspray+2.4+oz&amp;qid=1695259386&amp;sr=8-2", "https://www.amazon.com/TIGI-Masterpiece-Hairspray-Strong-Travel/dp/B08XWHZBF1/ref=sr_1_2?keywords=Bed+head+by+tigi+masterpiece+extra+strong+hold+hairspray+2.4+oz&amp;qid=1695259386&amp;sr=8-2")</f>
        <v>https://www.amazon.com/TIGI-Masterpiece-Hairspray-Strong-Travel/dp/B08XWHZBF1/ref=sr_1_2?keywords=Bed+head+by+tigi+masterpiece+extra+strong+hold+hairspray+2.4+oz&amp;qid=1695259386&amp;sr=8-2</v>
      </c>
      <c r="F2232" t="s">
        <v>5564</v>
      </c>
      <c r="G2232" t="e">
        <f ca="1">IMAGE("https://prolisok-store.com/cdn/shop/products/416058_300x.jpg?v=1690900013")</f>
        <v>#NAME?</v>
      </c>
      <c r="H2232" t="e">
        <f ca="1">IMAGE("https://m.media-amazon.com/images/I/61Bl-YnRsWL._AC_UL320_.jpg")</f>
        <v>#NAME?</v>
      </c>
      <c r="I2232" t="s">
        <v>5115</v>
      </c>
      <c r="J2232">
        <v>9.99</v>
      </c>
      <c r="K2232" s="2" t="s">
        <v>5565</v>
      </c>
      <c r="L2232">
        <v>4.7</v>
      </c>
      <c r="M2232">
        <v>1680</v>
      </c>
      <c r="O2232" t="s">
        <v>26</v>
      </c>
      <c r="P2232" t="s">
        <v>39</v>
      </c>
      <c r="Q2232" t="s">
        <v>5117</v>
      </c>
    </row>
    <row r="2233" spans="1:17" ht="15.75" x14ac:dyDescent="0.25">
      <c r="A2233" s="3" t="str">
        <f>HYPERLINK("https://prolisok-store.com/collections/hair-care/products/bed-head-by-tigi-gimme-grip-texturizing-shampoo-13-53-oz", "https://prolisok-store.com/collections/hair-care/products/bed-head-by-tigi-gimme-grip-texturizing-shampoo-13-53-oz")</f>
        <v>https://prolisok-store.com/collections/hair-care/products/bed-head-by-tigi-gimme-grip-texturizing-shampoo-13-53-oz</v>
      </c>
      <c r="B2233" s="3" t="str">
        <f>HYPERLINK("https://prolisok-store.com/products/bed-head-by-tigi-gimme-grip-texturizing-shampoo-13-53-oz", "https://prolisok-store.com/products/bed-head-by-tigi-gimme-grip-texturizing-shampoo-13-53-oz")</f>
        <v>https://prolisok-store.com/products/bed-head-by-tigi-gimme-grip-texturizing-shampoo-13-53-oz</v>
      </c>
      <c r="C2233" t="s">
        <v>5566</v>
      </c>
      <c r="D2233" t="s">
        <v>5567</v>
      </c>
      <c r="E2233" s="3" t="str">
        <f>HYPERLINK("https://www.amazon.com/TIGI-Gimme-Texturizing-Shampoo-Texture/dp/B08XJSB7WN/ref=sr_1_1?keywords=Bed+head+by+tigi+gimme+grip+texturizing+shampoo+13.53+oz&amp;qid=1695259377&amp;sr=8-1", "https://www.amazon.com/TIGI-Gimme-Texturizing-Shampoo-Texture/dp/B08XJSB7WN/ref=sr_1_1?keywords=Bed+head+by+tigi+gimme+grip+texturizing+shampoo+13.53+oz&amp;qid=1695259377&amp;sr=8-1")</f>
        <v>https://www.amazon.com/TIGI-Gimme-Texturizing-Shampoo-Texture/dp/B08XJSB7WN/ref=sr_1_1?keywords=Bed+head+by+tigi+gimme+grip+texturizing+shampoo+13.53+oz&amp;qid=1695259377&amp;sr=8-1</v>
      </c>
      <c r="F2233" t="s">
        <v>5568</v>
      </c>
      <c r="G2233" t="e">
        <f ca="1">IMAGE("https://prolisok-store.com/cdn/shop/products/416046_300x.jpg?v=1690899998")</f>
        <v>#NAME?</v>
      </c>
      <c r="H2233" t="e">
        <f ca="1">IMAGE("https://m.media-amazon.com/images/I/5126NtbJfdL._AC_UL320_.jpg")</f>
        <v>#NAME?</v>
      </c>
      <c r="I2233" t="s">
        <v>5103</v>
      </c>
      <c r="J2233">
        <v>14.87</v>
      </c>
      <c r="K2233" s="2" t="s">
        <v>5569</v>
      </c>
      <c r="L2233">
        <v>4.5</v>
      </c>
      <c r="M2233">
        <v>81</v>
      </c>
      <c r="O2233" t="s">
        <v>26</v>
      </c>
      <c r="P2233" t="s">
        <v>39</v>
      </c>
      <c r="Q2233" t="s">
        <v>5570</v>
      </c>
    </row>
    <row r="2234" spans="1:17" ht="15.75" x14ac:dyDescent="0.25">
      <c r="A2234" s="3" t="str">
        <f>HYPERLINK("https://prolisok-store.com/collections/hair-care/products/bed-head-by-tigi-gimme-grip-texturizing-conditioner-13-53-oz", "https://prolisok-store.com/collections/hair-care/products/bed-head-by-tigi-gimme-grip-texturizing-conditioner-13-53-oz")</f>
        <v>https://prolisok-store.com/collections/hair-care/products/bed-head-by-tigi-gimme-grip-texturizing-conditioner-13-53-oz</v>
      </c>
      <c r="B2234" s="3" t="str">
        <f>HYPERLINK("https://prolisok-store.com/products/bed-head-by-tigi-gimme-grip-texturizing-conditioner-13-53-oz", "https://prolisok-store.com/products/bed-head-by-tigi-gimme-grip-texturizing-conditioner-13-53-oz")</f>
        <v>https://prolisok-store.com/products/bed-head-by-tigi-gimme-grip-texturizing-conditioner-13-53-oz</v>
      </c>
      <c r="C2234" t="s">
        <v>5571</v>
      </c>
      <c r="D2234" t="s">
        <v>5567</v>
      </c>
      <c r="E2234" s="3" t="str">
        <f>HYPERLINK("https://www.amazon.com/TIGI-Gimme-Texturizing-Shampoo-Texture/dp/B08XJSB7WN/ref=sr_1_3?keywords=Bed+head+by+tigi+gimme+grip+texturizing+conditioner+13.53+oz&amp;qid=1695259382&amp;sr=8-3", "https://www.amazon.com/TIGI-Gimme-Texturizing-Shampoo-Texture/dp/B08XJSB7WN/ref=sr_1_3?keywords=Bed+head+by+tigi+gimme+grip+texturizing+conditioner+13.53+oz&amp;qid=1695259382&amp;sr=8-3")</f>
        <v>https://www.amazon.com/TIGI-Gimme-Texturizing-Shampoo-Texture/dp/B08XJSB7WN/ref=sr_1_3?keywords=Bed+head+by+tigi+gimme+grip+texturizing+conditioner+13.53+oz&amp;qid=1695259382&amp;sr=8-3</v>
      </c>
      <c r="F2234" t="s">
        <v>5568</v>
      </c>
      <c r="G2234" t="e">
        <f ca="1">IMAGE("https://prolisok-store.com/cdn/shop/products/416045_300x.jpg?v=1690899996")</f>
        <v>#NAME?</v>
      </c>
      <c r="H2234" t="e">
        <f ca="1">IMAGE("https://m.media-amazon.com/images/I/5126NtbJfdL._AC_UL320_.jpg")</f>
        <v>#NAME?</v>
      </c>
      <c r="I2234" t="s">
        <v>5103</v>
      </c>
      <c r="J2234">
        <v>14.87</v>
      </c>
      <c r="K2234" s="2" t="s">
        <v>5569</v>
      </c>
      <c r="L2234">
        <v>4.5</v>
      </c>
      <c r="M2234">
        <v>81</v>
      </c>
      <c r="O2234" t="s">
        <v>26</v>
      </c>
      <c r="P2234" t="s">
        <v>39</v>
      </c>
      <c r="Q2234" t="s">
        <v>5572</v>
      </c>
    </row>
    <row r="2235" spans="1:17" ht="15.75" x14ac:dyDescent="0.25">
      <c r="A2235" s="3" t="str">
        <f>HYPERLINK("https://prolisok-store.com/collections/hair-care/products/bed-head-by-tigi-foxy-curls-extreme-curl-mousse-8-45-oz", "https://prolisok-store.com/collections/hair-care/products/bed-head-by-tigi-foxy-curls-extreme-curl-mousse-8-45-oz")</f>
        <v>https://prolisok-store.com/collections/hair-care/products/bed-head-by-tigi-foxy-curls-extreme-curl-mousse-8-45-oz</v>
      </c>
      <c r="B2235" s="3" t="str">
        <f>HYPERLINK("https://prolisok-store.com/products/bed-head-by-tigi-foxy-curls-extreme-curl-mousse-8-45-oz", "https://prolisok-store.com/products/bed-head-by-tigi-foxy-curls-extreme-curl-mousse-8-45-oz")</f>
        <v>https://prolisok-store.com/products/bed-head-by-tigi-foxy-curls-extreme-curl-mousse-8-45-oz</v>
      </c>
      <c r="C2235" t="s">
        <v>5221</v>
      </c>
      <c r="D2235" t="s">
        <v>5573</v>
      </c>
      <c r="E2235" s="3" t="str">
        <f>HYPERLINK("https://www.amazon.com/TIGI-Curls-Extreme-Mousse-Ounce/dp/B002RS6KV6/ref=sr_1_1?keywords=Bed+head+by+tigi+foxy+curls+extreme+curl+mousse+8.45+oz&amp;qid=1695259383&amp;sr=8-1", "https://www.amazon.com/TIGI-Curls-Extreme-Mousse-Ounce/dp/B002RS6KV6/ref=sr_1_1?keywords=Bed+head+by+tigi+foxy+curls+extreme+curl+mousse+8.45+oz&amp;qid=1695259383&amp;sr=8-1")</f>
        <v>https://www.amazon.com/TIGI-Curls-Extreme-Mousse-Ounce/dp/B002RS6KV6/ref=sr_1_1?keywords=Bed+head+by+tigi+foxy+curls+extreme+curl+mousse+8.45+oz&amp;qid=1695259383&amp;sr=8-1</v>
      </c>
      <c r="F2235" t="s">
        <v>5574</v>
      </c>
      <c r="G2235" t="e">
        <f ca="1">IMAGE("https://prolisok-store.com/cdn/shop/products/166973_300x.jpg?v=1690899971")</f>
        <v>#NAME?</v>
      </c>
      <c r="H2235" t="e">
        <f ca="1">IMAGE("https://m.media-amazon.com/images/I/51uaBb1qhWL._AC_UL320_.jpg")</f>
        <v>#NAME?</v>
      </c>
      <c r="I2235" t="s">
        <v>5135</v>
      </c>
      <c r="J2235">
        <v>19.79</v>
      </c>
      <c r="K2235" s="2" t="s">
        <v>3681</v>
      </c>
      <c r="L2235">
        <v>4.3</v>
      </c>
      <c r="M2235">
        <v>1535</v>
      </c>
      <c r="O2235" t="s">
        <v>26</v>
      </c>
      <c r="P2235" t="s">
        <v>39</v>
      </c>
      <c r="Q2235" t="s">
        <v>5225</v>
      </c>
    </row>
    <row r="2236" spans="1:17" ht="15.75" x14ac:dyDescent="0.25">
      <c r="A2236" s="3" t="str">
        <f>HYPERLINK("https://prolisok-store.com/collections/hair-care/products/catwalk-by-tigi-oatmeal-and-honey-conditioner-8-45-oz", "https://prolisok-store.com/collections/hair-care/products/catwalk-by-tigi-oatmeal-and-honey-conditioner-8-45-oz")</f>
        <v>https://prolisok-store.com/collections/hair-care/products/catwalk-by-tigi-oatmeal-and-honey-conditioner-8-45-oz</v>
      </c>
      <c r="B2236" s="3" t="str">
        <f>HYPERLINK("https://prolisok-store.com/products/catwalk-by-tigi-oatmeal-and-honey-conditioner-8-45-oz", "https://prolisok-store.com/products/catwalk-by-tigi-oatmeal-and-honey-conditioner-8-45-oz")</f>
        <v>https://prolisok-store.com/products/catwalk-by-tigi-oatmeal-and-honey-conditioner-8-45-oz</v>
      </c>
      <c r="C2236" t="s">
        <v>5162</v>
      </c>
      <c r="D2236" t="s">
        <v>5575</v>
      </c>
      <c r="E2236" s="3" t="str">
        <f>HYPERLINK("https://www.amazon.com/TIGI-Catwalk-Oatmeal-Honey-Conditioner/dp/B01IAEKQCY/ref=sr_1_9?keywords=Catwalk+by+tigi+oatmeal&amp;qid=1695259368&amp;sr=8-9", "https://www.amazon.com/TIGI-Catwalk-Oatmeal-Honey-Conditioner/dp/B01IAEKQCY/ref=sr_1_9?keywords=Catwalk+by+tigi+oatmeal&amp;qid=1695259368&amp;sr=8-9")</f>
        <v>https://www.amazon.com/TIGI-Catwalk-Oatmeal-Honey-Conditioner/dp/B01IAEKQCY/ref=sr_1_9?keywords=Catwalk+by+tigi+oatmeal&amp;qid=1695259368&amp;sr=8-9</v>
      </c>
      <c r="F2236" t="s">
        <v>5576</v>
      </c>
      <c r="G2236" t="e">
        <f ca="1">IMAGE("https://prolisok-store.com/cdn/shop/products/251803_300x.jpg?v=1690900068")</f>
        <v>#NAME?</v>
      </c>
      <c r="H2236" t="e">
        <f ca="1">IMAGE("https://m.media-amazon.com/images/I/51FniMSfYbL._AC_UL320_.jpg")</f>
        <v>#NAME?</v>
      </c>
      <c r="I2236" t="s">
        <v>4229</v>
      </c>
      <c r="J2236">
        <v>14.99</v>
      </c>
      <c r="K2236" s="2" t="s">
        <v>5577</v>
      </c>
      <c r="L2236">
        <v>4.2</v>
      </c>
      <c r="M2236">
        <v>39</v>
      </c>
      <c r="O2236" t="s">
        <v>26</v>
      </c>
      <c r="P2236" t="s">
        <v>39</v>
      </c>
      <c r="Q2236" t="s">
        <v>5164</v>
      </c>
    </row>
    <row r="2237" spans="1:17" ht="15.75" x14ac:dyDescent="0.25">
      <c r="A2237" s="3" t="str">
        <f>HYPERLINK("https://prolisok-store.com/collections/hair-care/products/bed-head-by-tigi-manipulator-2-oz", "https://prolisok-store.com/collections/hair-care/products/bed-head-by-tigi-manipulator-2-oz")</f>
        <v>https://prolisok-store.com/collections/hair-care/products/bed-head-by-tigi-manipulator-2-oz</v>
      </c>
      <c r="B2237" s="3" t="str">
        <f>HYPERLINK("https://prolisok-store.com/products/bed-head-by-tigi-manipulator-2-oz", "https://prolisok-store.com/products/bed-head-by-tigi-manipulator-2-oz")</f>
        <v>https://prolisok-store.com/products/bed-head-by-tigi-manipulator-2-oz</v>
      </c>
      <c r="C2237" t="s">
        <v>5132</v>
      </c>
      <c r="D2237" t="s">
        <v>5578</v>
      </c>
      <c r="E2237" s="3" t="str">
        <f>HYPERLINK("https://www.amazon.com/TIGI-Bed-Head-Manipulator-Unisex/dp/B00Y1NIW3Y/ref=sr_1_6?keywords=Bed+head+by+tigi+manipulator+2+oz&amp;qid=1695259393&amp;sr=8-6", "https://www.amazon.com/TIGI-Bed-Head-Manipulator-Unisex/dp/B00Y1NIW3Y/ref=sr_1_6?keywords=Bed+head+by+tigi+manipulator+2+oz&amp;qid=1695259393&amp;sr=8-6")</f>
        <v>https://www.amazon.com/TIGI-Bed-Head-Manipulator-Unisex/dp/B00Y1NIW3Y/ref=sr_1_6?keywords=Bed+head+by+tigi+manipulator+2+oz&amp;qid=1695259393&amp;sr=8-6</v>
      </c>
      <c r="F2237" t="s">
        <v>5579</v>
      </c>
      <c r="G2237" t="e">
        <f ca="1">IMAGE("https://prolisok-store.com/cdn/shop/products/131719_300x.jpg?v=1690899959")</f>
        <v>#NAME?</v>
      </c>
      <c r="H2237" t="e">
        <f ca="1">IMAGE("https://m.media-amazon.com/images/I/71bkalGl1qL._AC_UL320_.jpg")</f>
        <v>#NAME?</v>
      </c>
      <c r="I2237" t="s">
        <v>5135</v>
      </c>
      <c r="J2237">
        <v>19.3</v>
      </c>
      <c r="K2237" s="2" t="s">
        <v>5580</v>
      </c>
      <c r="L2237">
        <v>4.7</v>
      </c>
      <c r="M2237">
        <v>596</v>
      </c>
      <c r="O2237" t="s">
        <v>26</v>
      </c>
      <c r="P2237" t="s">
        <v>39</v>
      </c>
      <c r="Q2237" t="s">
        <v>5137</v>
      </c>
    </row>
    <row r="2238" spans="1:17" ht="15.75" x14ac:dyDescent="0.25">
      <c r="A2238" s="3" t="str">
        <f>HYPERLINK("https://prolisok-store.com/collections/hair-care/products/bed-head-by-tigi-manipulator-matte-2-oz", "https://prolisok-store.com/collections/hair-care/products/bed-head-by-tigi-manipulator-matte-2-oz")</f>
        <v>https://prolisok-store.com/collections/hair-care/products/bed-head-by-tigi-manipulator-matte-2-oz</v>
      </c>
      <c r="B2238" s="3" t="str">
        <f>HYPERLINK("https://prolisok-store.com/products/bed-head-by-tigi-manipulator-matte-2-oz", "https://prolisok-store.com/products/bed-head-by-tigi-manipulator-matte-2-oz")</f>
        <v>https://prolisok-store.com/products/bed-head-by-tigi-manipulator-matte-2-oz</v>
      </c>
      <c r="C2238" t="s">
        <v>5152</v>
      </c>
      <c r="D2238" t="s">
        <v>5578</v>
      </c>
      <c r="E2238" s="3" t="str">
        <f>HYPERLINK("https://www.amazon.com/TIGI-Bed-Head-Manipulator-Unisex/dp/B00Y1NIW3Y/ref=sr_1_4?keywords=Bed+head+by+tigi+manipulator+matte+2+oz&amp;qid=1695259373&amp;sr=8-4", "https://www.amazon.com/TIGI-Bed-Head-Manipulator-Unisex/dp/B00Y1NIW3Y/ref=sr_1_4?keywords=Bed+head+by+tigi+manipulator+matte+2+oz&amp;qid=1695259373&amp;sr=8-4")</f>
        <v>https://www.amazon.com/TIGI-Bed-Head-Manipulator-Unisex/dp/B00Y1NIW3Y/ref=sr_1_4?keywords=Bed+head+by+tigi+manipulator+matte+2+oz&amp;qid=1695259373&amp;sr=8-4</v>
      </c>
      <c r="F2238" t="s">
        <v>5579</v>
      </c>
      <c r="G2238" t="e">
        <f ca="1">IMAGE("https://prolisok-store.com/cdn/shop/products/280792_300x.jpg?v=1690899952")</f>
        <v>#NAME?</v>
      </c>
      <c r="H2238" t="e">
        <f ca="1">IMAGE("https://m.media-amazon.com/images/I/71bkalGl1qL._AC_UL320_.jpg")</f>
        <v>#NAME?</v>
      </c>
      <c r="I2238" t="s">
        <v>5135</v>
      </c>
      <c r="J2238">
        <v>19.3</v>
      </c>
      <c r="K2238" s="2" t="s">
        <v>5580</v>
      </c>
      <c r="L2238">
        <v>4.7</v>
      </c>
      <c r="M2238">
        <v>596</v>
      </c>
      <c r="O2238" t="s">
        <v>26</v>
      </c>
      <c r="P2238" t="s">
        <v>39</v>
      </c>
      <c r="Q2238" t="s">
        <v>5156</v>
      </c>
    </row>
    <row r="2239" spans="1:17" ht="15.75" x14ac:dyDescent="0.25">
      <c r="A2239" s="3" t="str">
        <f>HYPERLINK("https://prolisok-store.com/collections/hair-care/products/bed-head-by-tigi-manipulator-1-oz", "https://prolisok-store.com/collections/hair-care/products/bed-head-by-tigi-manipulator-1-oz")</f>
        <v>https://prolisok-store.com/collections/hair-care/products/bed-head-by-tigi-manipulator-1-oz</v>
      </c>
      <c r="B2239" s="3" t="str">
        <f>HYPERLINK("https://prolisok-store.com/products/bed-head-by-tigi-manipulator-1-oz", "https://prolisok-store.com/products/bed-head-by-tigi-manipulator-1-oz")</f>
        <v>https://prolisok-store.com/products/bed-head-by-tigi-manipulator-1-oz</v>
      </c>
      <c r="C2239" t="s">
        <v>5487</v>
      </c>
      <c r="D2239" t="s">
        <v>5581</v>
      </c>
      <c r="E2239" s="3" t="str">
        <f>HYPERLINK("https://www.amazon.com/TIGI-Manipulator-Matte-Paste-Strong/dp/B08R4Z9H3Y/ref=sr_1_5?keywords=Bed+head+by+tigi+manipulator+1+oz&amp;qid=1695259376&amp;sr=8-5", "https://www.amazon.com/TIGI-Manipulator-Matte-Paste-Strong/dp/B08R4Z9H3Y/ref=sr_1_5?keywords=Bed+head+by+tigi+manipulator+1+oz&amp;qid=1695259376&amp;sr=8-5")</f>
        <v>https://www.amazon.com/TIGI-Manipulator-Matte-Paste-Strong/dp/B08R4Z9H3Y/ref=sr_1_5?keywords=Bed+head+by+tigi+manipulator+1+oz&amp;qid=1695259376&amp;sr=8-5</v>
      </c>
      <c r="F2239" t="s">
        <v>5582</v>
      </c>
      <c r="G2239" t="e">
        <f ca="1">IMAGE("https://prolisok-store.com/cdn/shop/products/319805_300x.jpg?v=1690899916")</f>
        <v>#NAME?</v>
      </c>
      <c r="H2239" t="e">
        <f ca="1">IMAGE("https://m.media-amazon.com/images/I/71xqtw2xFbL._AC_UL320_.jpg")</f>
        <v>#NAME?</v>
      </c>
      <c r="I2239" t="s">
        <v>5115</v>
      </c>
      <c r="J2239">
        <v>9.59</v>
      </c>
      <c r="K2239" s="2" t="s">
        <v>5583</v>
      </c>
      <c r="L2239">
        <v>4.5</v>
      </c>
      <c r="M2239">
        <v>895</v>
      </c>
      <c r="O2239" t="s">
        <v>26</v>
      </c>
      <c r="P2239" t="s">
        <v>39</v>
      </c>
      <c r="Q2239" t="s">
        <v>5491</v>
      </c>
    </row>
    <row r="2240" spans="1:17" ht="15.75" x14ac:dyDescent="0.25">
      <c r="A2240" s="3" t="str">
        <f>HYPERLINK("https://prolisok-store.com/collections/hair-care/products/bed-head-by-tigi-down-n-dirty-lightweight-conditioner-13-53-oz", "https://prolisok-store.com/collections/hair-care/products/bed-head-by-tigi-down-n-dirty-lightweight-conditioner-13-53-oz")</f>
        <v>https://prolisok-store.com/collections/hair-care/products/bed-head-by-tigi-down-n-dirty-lightweight-conditioner-13-53-oz</v>
      </c>
      <c r="B2240" s="3" t="str">
        <f>HYPERLINK("https://prolisok-store.com/products/bed-head-by-tigi-down-n-dirty-lightweight-conditioner-13-53-oz", "https://prolisok-store.com/products/bed-head-by-tigi-down-n-dirty-lightweight-conditioner-13-53-oz")</f>
        <v>https://prolisok-store.com/products/bed-head-by-tigi-down-n-dirty-lightweight-conditioner-13-53-oz</v>
      </c>
      <c r="C2240" t="s">
        <v>5584</v>
      </c>
      <c r="D2240" t="s">
        <v>5585</v>
      </c>
      <c r="E2240" s="3" t="str">
        <f>HYPERLINK("https://www.amazon.com/TIGI-Dirty-Lightweight-Conditioner-Repair/dp/B08X9CV5G4/ref=sr_1_1?keywords=Bed+head+by+tigi+down+%27n+dirty+lightweight+conditioner+13.53+oz&amp;qid=1695259368&amp;sr=8-1", "https://www.amazon.com/TIGI-Dirty-Lightweight-Conditioner-Repair/dp/B08X9CV5G4/ref=sr_1_1?keywords=Bed+head+by+tigi+down+%27n+dirty+lightweight+conditioner+13.53+oz&amp;qid=1695259368&amp;sr=8-1")</f>
        <v>https://www.amazon.com/TIGI-Dirty-Lightweight-Conditioner-Repair/dp/B08X9CV5G4/ref=sr_1_1?keywords=Bed+head+by+tigi+down+%27n+dirty+lightweight+conditioner+13.53+oz&amp;qid=1695259368&amp;sr=8-1</v>
      </c>
      <c r="F2240" t="s">
        <v>5586</v>
      </c>
      <c r="G2240" t="e">
        <f ca="1">IMAGE("https://prolisok-store.com/cdn/shop/products/416043_300x.jpg?v=1690899992")</f>
        <v>#NAME?</v>
      </c>
      <c r="H2240" t="e">
        <f ca="1">IMAGE("https://m.media-amazon.com/images/I/71rqu86hTWL._AC_UL320_.jpg")</f>
        <v>#NAME?</v>
      </c>
      <c r="I2240" t="s">
        <v>5103</v>
      </c>
      <c r="J2240">
        <v>14.35</v>
      </c>
      <c r="K2240" s="2" t="s">
        <v>5587</v>
      </c>
      <c r="L2240">
        <v>4.4000000000000004</v>
      </c>
      <c r="M2240">
        <v>109</v>
      </c>
      <c r="O2240" t="s">
        <v>26</v>
      </c>
      <c r="P2240" t="s">
        <v>39</v>
      </c>
      <c r="Q2240" t="s">
        <v>5588</v>
      </c>
    </row>
    <row r="2241" spans="1:17" ht="15.75" x14ac:dyDescent="0.25">
      <c r="A2241" s="3" t="str">
        <f>HYPERLINK("https://prolisok-store.com/collections/hair-care/products/bed-head-men-by-tigi-charge-up-conditioner-6-7-oz", "https://prolisok-store.com/collections/hair-care/products/bed-head-men-by-tigi-charge-up-conditioner-6-7-oz")</f>
        <v>https://prolisok-store.com/collections/hair-care/products/bed-head-men-by-tigi-charge-up-conditioner-6-7-oz</v>
      </c>
      <c r="B2241" s="3" t="str">
        <f>HYPERLINK("https://prolisok-store.com/products/bed-head-men-by-tigi-charge-up-conditioner-6-7-oz", "https://prolisok-store.com/products/bed-head-men-by-tigi-charge-up-conditioner-6-7-oz")</f>
        <v>https://prolisok-store.com/products/bed-head-men-by-tigi-charge-up-conditioner-6-7-oz</v>
      </c>
      <c r="C2241" t="s">
        <v>5301</v>
      </c>
      <c r="D2241" t="s">
        <v>5589</v>
      </c>
      <c r="E2241" s="3" t="str">
        <f>HYPERLINK("https://www.amazon.com/HEAD-CLEAN-PEPPERMINT-CONDITIONER-Package/dp/B00GBF1CCS/ref=sr_1_6?keywords=Bed+head+men+by+tigi+charge+up+conditioner+6.7+oz&amp;qid=1695259394&amp;sr=8-6", "https://www.amazon.com/HEAD-CLEAN-PEPPERMINT-CONDITIONER-Package/dp/B00GBF1CCS/ref=sr_1_6?keywords=Bed+head+men+by+tigi+charge+up+conditioner+6.7+oz&amp;qid=1695259394&amp;sr=8-6")</f>
        <v>https://www.amazon.com/HEAD-CLEAN-PEPPERMINT-CONDITIONER-Package/dp/B00GBF1CCS/ref=sr_1_6?keywords=Bed+head+men+by+tigi+charge+up+conditioner+6.7+oz&amp;qid=1695259394&amp;sr=8-6</v>
      </c>
      <c r="F2241" t="s">
        <v>5590</v>
      </c>
      <c r="G2241" t="e">
        <f ca="1">IMAGE("https://prolisok-store.com/cdn/shop/products/179714_300x.jpg?v=1690900110")</f>
        <v>#NAME?</v>
      </c>
      <c r="H2241" t="e">
        <f ca="1">IMAGE("https://m.media-amazon.com/images/I/51hlLLf76NL._AC_UL320_.jpg")</f>
        <v>#NAME?</v>
      </c>
      <c r="I2241" t="s">
        <v>4296</v>
      </c>
      <c r="J2241">
        <v>10.39</v>
      </c>
      <c r="K2241" s="2" t="s">
        <v>5591</v>
      </c>
      <c r="L2241">
        <v>4</v>
      </c>
      <c r="M2241">
        <v>4</v>
      </c>
      <c r="O2241" t="s">
        <v>26</v>
      </c>
      <c r="P2241" t="s">
        <v>39</v>
      </c>
      <c r="Q2241" t="s">
        <v>5305</v>
      </c>
    </row>
    <row r="2242" spans="1:17" ht="15.75" x14ac:dyDescent="0.25">
      <c r="A2242" s="3" t="str">
        <f>HYPERLINK("https://prolisok-store.com/collections/hair-care/products/bed-head-by-tigi-manipulator-1-oz", "https://prolisok-store.com/collections/hair-care/products/bed-head-by-tigi-manipulator-1-oz")</f>
        <v>https://prolisok-store.com/collections/hair-care/products/bed-head-by-tigi-manipulator-1-oz</v>
      </c>
      <c r="B2242" s="3" t="str">
        <f>HYPERLINK("https://prolisok-store.com/products/bed-head-by-tigi-manipulator-1-oz", "https://prolisok-store.com/products/bed-head-by-tigi-manipulator-1-oz")</f>
        <v>https://prolisok-store.com/products/bed-head-by-tigi-manipulator-1-oz</v>
      </c>
      <c r="C2242" t="s">
        <v>5487</v>
      </c>
      <c r="D2242" t="s">
        <v>5592</v>
      </c>
      <c r="E2242" s="3" t="str">
        <f>HYPERLINK("https://www.amazon.com/TIGI-Head-Manipulator-Matte-Unisex/dp/B00MI2SVJK/ref=sr_1_8?keywords=Bed+head+by+tigi+manipulator+1+oz&amp;qid=1695259376&amp;sr=8-8", "https://www.amazon.com/TIGI-Head-Manipulator-Matte-Unisex/dp/B00MI2SVJK/ref=sr_1_8?keywords=Bed+head+by+tigi+manipulator+1+oz&amp;qid=1695259376&amp;sr=8-8")</f>
        <v>https://www.amazon.com/TIGI-Head-Manipulator-Matte-Unisex/dp/B00MI2SVJK/ref=sr_1_8?keywords=Bed+head+by+tigi+manipulator+1+oz&amp;qid=1695259376&amp;sr=8-8</v>
      </c>
      <c r="F2242" t="s">
        <v>5593</v>
      </c>
      <c r="G2242" t="e">
        <f ca="1">IMAGE("https://prolisok-store.com/cdn/shop/products/319805_300x.jpg?v=1690899916")</f>
        <v>#NAME?</v>
      </c>
      <c r="H2242" t="e">
        <f ca="1">IMAGE("https://m.media-amazon.com/images/I/71JDOuB6w9L._AC_UL320_.jpg")</f>
        <v>#NAME?</v>
      </c>
      <c r="I2242" t="s">
        <v>5115</v>
      </c>
      <c r="J2242">
        <v>9.5</v>
      </c>
      <c r="K2242" s="2" t="s">
        <v>5594</v>
      </c>
      <c r="L2242">
        <v>4.4000000000000004</v>
      </c>
      <c r="M2242">
        <v>1935</v>
      </c>
      <c r="O2242" t="s">
        <v>26</v>
      </c>
      <c r="P2242" t="s">
        <v>39</v>
      </c>
      <c r="Q2242" t="s">
        <v>5491</v>
      </c>
    </row>
    <row r="2243" spans="1:17" ht="15.75" x14ac:dyDescent="0.25">
      <c r="A2243" s="3" t="str">
        <f>HYPERLINK("https://prolisok-store.com/collections/hair-care/products/sisley-color-perfecting-shampoo-6-7-oz", "https://prolisok-store.com/collections/hair-care/products/sisley-color-perfecting-shampoo-6-7-oz")</f>
        <v>https://prolisok-store.com/collections/hair-care/products/sisley-color-perfecting-shampoo-6-7-oz</v>
      </c>
      <c r="B2243" s="3" t="str">
        <f>HYPERLINK("https://prolisok-store.com/products/sisley-color-perfecting-shampoo-6-7-oz", "https://prolisok-store.com/products/sisley-color-perfecting-shampoo-6-7-oz")</f>
        <v>https://prolisok-store.com/products/sisley-color-perfecting-shampoo-6-7-oz</v>
      </c>
      <c r="C2243" t="s">
        <v>5595</v>
      </c>
      <c r="D2243" t="s">
        <v>5596</v>
      </c>
      <c r="E2243" s="3" t="str">
        <f>HYPERLINK("https://www.amazon.com/Sisley-Ritual-Color-Perfecting-Shampoo/dp/B0847KJMMD/ref=sr_1_1?keywords=Sisley+color+perfecting+shampoo+6.7+oz&amp;qid=1695259368&amp;sr=8-1", "https://www.amazon.com/Sisley-Ritual-Color-Perfecting-Shampoo/dp/B0847KJMMD/ref=sr_1_1?keywords=Sisley+color+perfecting+shampoo+6.7+oz&amp;qid=1695259368&amp;sr=8-1")</f>
        <v>https://www.amazon.com/Sisley-Ritual-Color-Perfecting-Shampoo/dp/B0847KJMMD/ref=sr_1_1?keywords=Sisley+color+perfecting+shampoo+6.7+oz&amp;qid=1695259368&amp;sr=8-1</v>
      </c>
      <c r="F2243" t="s">
        <v>5597</v>
      </c>
      <c r="G2243" t="e">
        <f ca="1">IMAGE("https://prolisok-store.com/cdn/shop/products/390670_300x.jpg?v=1690900706")</f>
        <v>#NAME?</v>
      </c>
      <c r="H2243" t="e">
        <f ca="1">IMAGE("https://m.media-amazon.com/images/I/51ocmZCF4+L._AC_UL320_.jpg")</f>
        <v>#NAME?</v>
      </c>
      <c r="I2243" t="s">
        <v>5598</v>
      </c>
      <c r="J2243">
        <v>60.39</v>
      </c>
      <c r="K2243" s="2" t="s">
        <v>5599</v>
      </c>
      <c r="L2243">
        <v>4.9000000000000004</v>
      </c>
      <c r="M2243">
        <v>10</v>
      </c>
      <c r="O2243" t="s">
        <v>26</v>
      </c>
      <c r="P2243" t="s">
        <v>39</v>
      </c>
      <c r="Q2243" t="s">
        <v>5600</v>
      </c>
    </row>
    <row r="2244" spans="1:17" ht="15.75" x14ac:dyDescent="0.25">
      <c r="A2244" s="3" t="str">
        <f>HYPERLINK("https://prolisok-store.com/collections/hair-care/products/catwalk-by-tigi-fashionista-brunette-mask-for-warm-tones-7-05-oz", "https://prolisok-store.com/collections/hair-care/products/catwalk-by-tigi-fashionista-brunette-mask-for-warm-tones-7-05-oz")</f>
        <v>https://prolisok-store.com/collections/hair-care/products/catwalk-by-tigi-fashionista-brunette-mask-for-warm-tones-7-05-oz</v>
      </c>
      <c r="B2244" s="3" t="str">
        <f>HYPERLINK("https://prolisok-store.com/products/catwalk-by-tigi-fashionista-brunette-mask-for-warm-tones-7-05-oz", "https://prolisok-store.com/products/catwalk-by-tigi-fashionista-brunette-mask-for-warm-tones-7-05-oz")</f>
        <v>https://prolisok-store.com/products/catwalk-by-tigi-fashionista-brunette-mask-for-warm-tones-7-05-oz</v>
      </c>
      <c r="C2244" t="s">
        <v>5557</v>
      </c>
      <c r="D2244" t="s">
        <v>5601</v>
      </c>
      <c r="E2244" s="3" t="str">
        <f>HYPERLINK("https://www.amazon.com/Catwalk-Fashionista-Brunette-Tones-20-46oz/dp/B01JV8OE3A/ref=sr_1_2?keywords=Catwalk+by+tigi+fashionista+brunette+mask+for+warm+tones+7.05+oz&amp;qid=1695259399&amp;sr=8-2", "https://www.amazon.com/Catwalk-Fashionista-Brunette-Tones-20-46oz/dp/B01JV8OE3A/ref=sr_1_2?keywords=Catwalk+by+tigi+fashionista+brunette+mask+for+warm+tones+7.05+oz&amp;qid=1695259399&amp;sr=8-2")</f>
        <v>https://www.amazon.com/Catwalk-Fashionista-Brunette-Tones-20-46oz/dp/B01JV8OE3A/ref=sr_1_2?keywords=Catwalk+by+tigi+fashionista+brunette+mask+for+warm+tones+7.05+oz&amp;qid=1695259399&amp;sr=8-2</v>
      </c>
      <c r="F2244" t="s">
        <v>5602</v>
      </c>
      <c r="G2244" t="e">
        <f ca="1">IMAGE("https://prolisok-store.com/cdn/shop/products/280025_300x.jpg?v=1690900078")</f>
        <v>#NAME?</v>
      </c>
      <c r="H2244" t="e">
        <f ca="1">IMAGE("https://m.media-amazon.com/images/I/41DtbY5OzBL._AC_UL320_.jpg")</f>
        <v>#NAME?</v>
      </c>
      <c r="I2244" t="s">
        <v>5124</v>
      </c>
      <c r="J2244">
        <v>18</v>
      </c>
      <c r="K2244" s="2" t="s">
        <v>5603</v>
      </c>
      <c r="L2244">
        <v>5</v>
      </c>
      <c r="M2244">
        <v>2</v>
      </c>
      <c r="O2244" t="s">
        <v>26</v>
      </c>
      <c r="P2244" t="s">
        <v>39</v>
      </c>
      <c r="Q2244" t="s">
        <v>5561</v>
      </c>
    </row>
    <row r="2245" spans="1:17" ht="15.75" x14ac:dyDescent="0.25">
      <c r="A2245" s="3" t="str">
        <f>HYPERLINK("https://prolisok-store.com/collections/hair-care/products/catwalk-by-tigi-curls-rock-amplifier-5-oz", "https://prolisok-store.com/collections/hair-care/products/catwalk-by-tigi-curls-rock-amplifier-5-oz")</f>
        <v>https://prolisok-store.com/collections/hair-care/products/catwalk-by-tigi-curls-rock-amplifier-5-oz</v>
      </c>
      <c r="B2245" s="3" t="str">
        <f>HYPERLINK("https://prolisok-store.com/products/catwalk-by-tigi-curls-rock-amplifier-5-oz", "https://prolisok-store.com/products/catwalk-by-tigi-curls-rock-amplifier-5-oz")</f>
        <v>https://prolisok-store.com/products/catwalk-by-tigi-curls-rock-amplifier-5-oz</v>
      </c>
      <c r="C2245" t="s">
        <v>5121</v>
      </c>
      <c r="D2245" t="s">
        <v>5604</v>
      </c>
      <c r="E2245" s="3" t="str">
        <f>HYPERLINK("https://www.amazon.com/Curls-Rock-Amplifier-5-Oz/dp/B00NB3YG8U/ref=sr_1_1?keywords=Catwalk+by+tigi+curls+rock+amplifier+5+oz&amp;qid=1695259398&amp;sr=8-1", "https://www.amazon.com/Curls-Rock-Amplifier-5-Oz/dp/B00NB3YG8U/ref=sr_1_1?keywords=Catwalk+by+tigi+curls+rock+amplifier+5+oz&amp;qid=1695259398&amp;sr=8-1")</f>
        <v>https://www.amazon.com/Curls-Rock-Amplifier-5-Oz/dp/B00NB3YG8U/ref=sr_1_1?keywords=Catwalk+by+tigi+curls+rock+amplifier+5+oz&amp;qid=1695259398&amp;sr=8-1</v>
      </c>
      <c r="F2245" t="s">
        <v>5605</v>
      </c>
      <c r="G2245" t="e">
        <f ca="1">IMAGE("https://prolisok-store.com/cdn/shop/products/191298_300x.jpg?v=1690900062")</f>
        <v>#NAME?</v>
      </c>
      <c r="H2245" t="e">
        <f ca="1">IMAGE("https://m.media-amazon.com/images/I/51w17jSTK5L._AC_UL320_.jpg")</f>
        <v>#NAME?</v>
      </c>
      <c r="I2245" t="s">
        <v>5124</v>
      </c>
      <c r="J2245">
        <v>18</v>
      </c>
      <c r="K2245" s="2" t="s">
        <v>5603</v>
      </c>
      <c r="L2245">
        <v>4.5999999999999996</v>
      </c>
      <c r="M2245">
        <v>156</v>
      </c>
      <c r="O2245" t="s">
        <v>26</v>
      </c>
      <c r="P2245" t="s">
        <v>39</v>
      </c>
      <c r="Q2245" t="s">
        <v>5126</v>
      </c>
    </row>
    <row r="2246" spans="1:17" ht="15.75" x14ac:dyDescent="0.25">
      <c r="A2246" s="3" t="str">
        <f>HYPERLINK("https://prolisok-store.com/collections/hair-care/products/bed-head-by-tigi-elasticate-shampoo-8-45-oz", "https://prolisok-store.com/collections/hair-care/products/bed-head-by-tigi-elasticate-shampoo-8-45-oz")</f>
        <v>https://prolisok-store.com/collections/hair-care/products/bed-head-by-tigi-elasticate-shampoo-8-45-oz</v>
      </c>
      <c r="B2246" s="3" t="str">
        <f>HYPERLINK("https://prolisok-store.com/products/bed-head-by-tigi-elasticate-shampoo-8-45-oz", "https://prolisok-store.com/products/bed-head-by-tigi-elasticate-shampoo-8-45-oz")</f>
        <v>https://prolisok-store.com/products/bed-head-by-tigi-elasticate-shampoo-8-45-oz</v>
      </c>
      <c r="C2246" t="s">
        <v>5396</v>
      </c>
      <c r="D2246" t="s">
        <v>5606</v>
      </c>
      <c r="E2246" s="3" t="str">
        <f>HYPERLINK("https://www.amazon.com/Head-Some-Like-Shampoo-Ounce/dp/B002H3DUVE/ref=sr_1_8?keywords=Bed+head+by+tigi+elasticate+shampoo+8.45+oz&amp;qid=1695259385&amp;sr=8-8", "https://www.amazon.com/Head-Some-Like-Shampoo-Ounce/dp/B002H3DUVE/ref=sr_1_8?keywords=Bed+head+by+tigi+elasticate+shampoo+8.45+oz&amp;qid=1695259385&amp;sr=8-8")</f>
        <v>https://www.amazon.com/Head-Some-Like-Shampoo-Ounce/dp/B002H3DUVE/ref=sr_1_8?keywords=Bed+head+by+tigi+elasticate+shampoo+8.45+oz&amp;qid=1695259385&amp;sr=8-8</v>
      </c>
      <c r="F2246" t="s">
        <v>5607</v>
      </c>
      <c r="G2246" t="e">
        <f ca="1">IMAGE("https://prolisok-store.com/cdn/shop/products/244399_300x.jpg?v=1690899925")</f>
        <v>#NAME?</v>
      </c>
      <c r="H2246" t="e">
        <f ca="1">IMAGE("https://m.media-amazon.com/images/I/51A-61W7xBL._AC_UL320_.jpg")</f>
        <v>#NAME?</v>
      </c>
      <c r="I2246" t="s">
        <v>5397</v>
      </c>
      <c r="J2246">
        <v>11.99</v>
      </c>
      <c r="K2246" s="2" t="s">
        <v>5608</v>
      </c>
      <c r="L2246">
        <v>2.4</v>
      </c>
      <c r="M2246">
        <v>13</v>
      </c>
      <c r="O2246" t="s">
        <v>26</v>
      </c>
      <c r="P2246" t="s">
        <v>39</v>
      </c>
      <c r="Q2246" t="s">
        <v>5399</v>
      </c>
    </row>
    <row r="2247" spans="1:17" ht="15.75" x14ac:dyDescent="0.25">
      <c r="A2247" s="3" t="str">
        <f>HYPERLINK("https://prolisok-store.com/collections/hair-care/products/bed-head-by-tigi-elasticate-shampoo-8-45-oz", "https://prolisok-store.com/collections/hair-care/products/bed-head-by-tigi-elasticate-shampoo-8-45-oz")</f>
        <v>https://prolisok-store.com/collections/hair-care/products/bed-head-by-tigi-elasticate-shampoo-8-45-oz</v>
      </c>
      <c r="B2247" s="3" t="str">
        <f>HYPERLINK("https://prolisok-store.com/products/bed-head-by-tigi-elasticate-shampoo-8-45-oz", "https://prolisok-store.com/products/bed-head-by-tigi-elasticate-shampoo-8-45-oz")</f>
        <v>https://prolisok-store.com/products/bed-head-by-tigi-elasticate-shampoo-8-45-oz</v>
      </c>
      <c r="C2247" t="s">
        <v>5396</v>
      </c>
      <c r="D2247" t="s">
        <v>5609</v>
      </c>
      <c r="E2247" s="3" t="str">
        <f>HYPERLINK("https://www.amazon.com/TIGI-Head-Clean-Daily-Shampoo/dp/B002N5MI2I/ref=sr_1_4?keywords=Bed+head+by+tigi+elasticate+shampoo+8.45+oz&amp;qid=1695259385&amp;sr=8-4", "https://www.amazon.com/TIGI-Head-Clean-Daily-Shampoo/dp/B002N5MI2I/ref=sr_1_4?keywords=Bed+head+by+tigi+elasticate+shampoo+8.45+oz&amp;qid=1695259385&amp;sr=8-4")</f>
        <v>https://www.amazon.com/TIGI-Head-Clean-Daily-Shampoo/dp/B002N5MI2I/ref=sr_1_4?keywords=Bed+head+by+tigi+elasticate+shampoo+8.45+oz&amp;qid=1695259385&amp;sr=8-4</v>
      </c>
      <c r="F2247" t="s">
        <v>5610</v>
      </c>
      <c r="G2247" t="e">
        <f ca="1">IMAGE("https://prolisok-store.com/cdn/shop/products/244399_300x.jpg?v=1690899925")</f>
        <v>#NAME?</v>
      </c>
      <c r="H2247" t="e">
        <f ca="1">IMAGE("https://m.media-amazon.com/images/I/51rtW-Q9RKL._AC_UL320_.jpg")</f>
        <v>#NAME?</v>
      </c>
      <c r="I2247" t="s">
        <v>5397</v>
      </c>
      <c r="J2247">
        <v>11.93</v>
      </c>
      <c r="K2247" s="2" t="s">
        <v>5611</v>
      </c>
      <c r="L2247">
        <v>4.5999999999999996</v>
      </c>
      <c r="M2247">
        <v>663</v>
      </c>
      <c r="O2247" t="s">
        <v>26</v>
      </c>
      <c r="P2247" t="s">
        <v>39</v>
      </c>
      <c r="Q2247" t="s">
        <v>5399</v>
      </c>
    </row>
    <row r="2248" spans="1:17" ht="15.75" x14ac:dyDescent="0.25">
      <c r="A2248" s="3" t="str">
        <f>HYPERLINK("https://prolisok-store.com/collections/hair-care/products/bed-head-by-tigi-gimme-grip-texturizing-conditioner-13-53-oz", "https://prolisok-store.com/collections/hair-care/products/bed-head-by-tigi-gimme-grip-texturizing-conditioner-13-53-oz")</f>
        <v>https://prolisok-store.com/collections/hair-care/products/bed-head-by-tigi-gimme-grip-texturizing-conditioner-13-53-oz</v>
      </c>
      <c r="B2248" s="3" t="str">
        <f>HYPERLINK("https://prolisok-store.com/products/bed-head-by-tigi-gimme-grip-texturizing-conditioner-13-53-oz", "https://prolisok-store.com/products/bed-head-by-tigi-gimme-grip-texturizing-conditioner-13-53-oz")</f>
        <v>https://prolisok-store.com/products/bed-head-by-tigi-gimme-grip-texturizing-conditioner-13-53-oz</v>
      </c>
      <c r="C2248" t="s">
        <v>5571</v>
      </c>
      <c r="D2248" t="s">
        <v>5612</v>
      </c>
      <c r="E2248" s="3" t="str">
        <f>HYPERLINK("https://www.amazon.com/TIGI-Gimme-Texturizing-Conditioner-Texture/dp/B08XWL1SP8/ref=sr_1_2?keywords=Bed+head+by+tigi+gimme+grip+texturizing+conditioner+13.53+oz&amp;qid=1695259382&amp;sr=8-2", "https://www.amazon.com/TIGI-Gimme-Texturizing-Conditioner-Texture/dp/B08XWL1SP8/ref=sr_1_2?keywords=Bed+head+by+tigi+gimme+grip+texturizing+conditioner+13.53+oz&amp;qid=1695259382&amp;sr=8-2")</f>
        <v>https://www.amazon.com/TIGI-Gimme-Texturizing-Conditioner-Texture/dp/B08XWL1SP8/ref=sr_1_2?keywords=Bed+head+by+tigi+gimme+grip+texturizing+conditioner+13.53+oz&amp;qid=1695259382&amp;sr=8-2</v>
      </c>
      <c r="F2248" t="s">
        <v>5613</v>
      </c>
      <c r="G2248" t="e">
        <f ca="1">IMAGE("https://prolisok-store.com/cdn/shop/products/416045_300x.jpg?v=1690899996")</f>
        <v>#NAME?</v>
      </c>
      <c r="H2248" t="e">
        <f ca="1">IMAGE("https://m.media-amazon.com/images/I/71hzDhPyDWL._AC_UL320_.jpg")</f>
        <v>#NAME?</v>
      </c>
      <c r="I2248" t="s">
        <v>5103</v>
      </c>
      <c r="J2248">
        <v>14.01</v>
      </c>
      <c r="K2248" s="2" t="s">
        <v>5614</v>
      </c>
      <c r="L2248">
        <v>4.4000000000000004</v>
      </c>
      <c r="M2248">
        <v>46</v>
      </c>
      <c r="O2248" t="s">
        <v>26</v>
      </c>
      <c r="P2248" t="s">
        <v>39</v>
      </c>
      <c r="Q2248" t="s">
        <v>5572</v>
      </c>
    </row>
    <row r="2249" spans="1:17" ht="15.75" x14ac:dyDescent="0.25">
      <c r="A2249" s="3" t="str">
        <f>HYPERLINK("https://prolisok-store.com/collections/hair-care/products/bed-head-by-tigi-colour-goddess-oil-infused-shampoo-for-coloured-hair-13-5-oz", "https://prolisok-store.com/collections/hair-care/products/bed-head-by-tigi-colour-goddess-oil-infused-shampoo-for-coloured-hair-13-5-oz")</f>
        <v>https://prolisok-store.com/collections/hair-care/products/bed-head-by-tigi-colour-goddess-oil-infused-shampoo-for-coloured-hair-13-5-oz</v>
      </c>
      <c r="B2249" s="3" t="str">
        <f>HYPERLINK("https://prolisok-store.com/products/bed-head-by-tigi-colour-goddess-oil-infused-shampoo-for-coloured-hair-13-5-oz", "https://prolisok-store.com/products/bed-head-by-tigi-colour-goddess-oil-infused-shampoo-for-coloured-hair-13-5-oz")</f>
        <v>https://prolisok-store.com/products/bed-head-by-tigi-colour-goddess-oil-infused-shampoo-for-coloured-hair-13-5-oz</v>
      </c>
      <c r="C2249" t="s">
        <v>5261</v>
      </c>
      <c r="D2249" t="s">
        <v>5615</v>
      </c>
      <c r="E2249" s="3" t="str">
        <f>HYPERLINK("https://www.amazon.com/Colour-Goddess-Infused-Shampoo-Coloured/dp/B01D0SIGUO/ref=sr_1_1?keywords=Bed+head+by+tigi+colour+goddess+oil+infused+shampoo+for+coloured+hair+13.5+oz&amp;qid=1695259369&amp;sr=8-1", "https://www.amazon.com/Colour-Goddess-Infused-Shampoo-Coloured/dp/B01D0SIGUO/ref=sr_1_1?keywords=Bed+head+by+tigi+colour+goddess+oil+infused+shampoo+for+coloured+hair+13.5+oz&amp;qid=1695259369&amp;sr=8-1")</f>
        <v>https://www.amazon.com/Colour-Goddess-Infused-Shampoo-Coloured/dp/B01D0SIGUO/ref=sr_1_1?keywords=Bed+head+by+tigi+colour+goddess+oil+infused+shampoo+for+coloured+hair+13.5+oz&amp;qid=1695259369&amp;sr=8-1</v>
      </c>
      <c r="F2249" t="s">
        <v>5616</v>
      </c>
      <c r="G2249" t="e">
        <f ca="1">IMAGE("https://prolisok-store.com/cdn/shop/products/251252_300x.jpg?v=1690899937")</f>
        <v>#NAME?</v>
      </c>
      <c r="H2249" t="e">
        <f ca="1">IMAGE("https://m.media-amazon.com/images/I/31JPCRXMKOL._AC_UL320_.jpg")</f>
        <v>#NAME?</v>
      </c>
      <c r="I2249" t="s">
        <v>5103</v>
      </c>
      <c r="J2249">
        <v>13.95</v>
      </c>
      <c r="K2249" s="2" t="s">
        <v>5617</v>
      </c>
      <c r="L2249">
        <v>5</v>
      </c>
      <c r="M2249">
        <v>3</v>
      </c>
      <c r="O2249" t="s">
        <v>26</v>
      </c>
      <c r="P2249" t="s">
        <v>39</v>
      </c>
      <c r="Q2249" t="s">
        <v>5265</v>
      </c>
    </row>
    <row r="2250" spans="1:17" ht="15.75" x14ac:dyDescent="0.25">
      <c r="A2250" s="3" t="str">
        <f>HYPERLINK("https://prolisok-store.com/collections/hair-care/products/bed-head-by-tigi-resurrection-shampoo-32-8-oz", "https://prolisok-store.com/collections/hair-care/products/bed-head-by-tigi-resurrection-shampoo-32-8-oz")</f>
        <v>https://prolisok-store.com/collections/hair-care/products/bed-head-by-tigi-resurrection-shampoo-32-8-oz</v>
      </c>
      <c r="B2250" s="3" t="str">
        <f>HYPERLINK("https://prolisok-store.com/products/bed-head-by-tigi-resurrection-shampoo-32-8-oz", "https://prolisok-store.com/products/bed-head-by-tigi-resurrection-shampoo-32-8-oz")</f>
        <v>https://prolisok-store.com/products/bed-head-by-tigi-resurrection-shampoo-32-8-oz</v>
      </c>
      <c r="C2250" t="s">
        <v>5483</v>
      </c>
      <c r="D2250" t="s">
        <v>5128</v>
      </c>
      <c r="E2250" s="3" t="str">
        <f>HYPERLINK("https://www.amazon.com/Tigi-Urban-Resurrection-Shampoo-25-36oz/dp/B00JVGQP0I/ref=sr_1_9?keywords=Bed+head+by+tigi+resurrection+shampoo+32.8+oz&amp;qid=1695259397&amp;sr=8-9", "https://www.amazon.com/Tigi-Urban-Resurrection-Shampoo-25-36oz/dp/B00JVGQP0I/ref=sr_1_9?keywords=Bed+head+by+tigi+resurrection+shampoo+32.8+oz&amp;qid=1695259397&amp;sr=8-9")</f>
        <v>https://www.amazon.com/Tigi-Urban-Resurrection-Shampoo-25-36oz/dp/B00JVGQP0I/ref=sr_1_9?keywords=Bed+head+by+tigi+resurrection+shampoo+32.8+oz&amp;qid=1695259397&amp;sr=8-9</v>
      </c>
      <c r="F2250" t="s">
        <v>5129</v>
      </c>
      <c r="G2250" t="e">
        <f ca="1">IMAGE("https://prolisok-store.com/cdn/shop/products/416082_300x.jpg?v=1690900037")</f>
        <v>#NAME?</v>
      </c>
      <c r="H2250" t="e">
        <f ca="1">IMAGE("https://m.media-amazon.com/images/I/71mqEYYW7DL._AC_UL320_.jpg")</f>
        <v>#NAME?</v>
      </c>
      <c r="I2250" t="s">
        <v>5484</v>
      </c>
      <c r="J2250">
        <v>27</v>
      </c>
      <c r="K2250" s="2" t="s">
        <v>5618</v>
      </c>
      <c r="L2250">
        <v>4.8</v>
      </c>
      <c r="M2250">
        <v>228</v>
      </c>
      <c r="O2250" t="s">
        <v>26</v>
      </c>
      <c r="P2250" t="s">
        <v>39</v>
      </c>
      <c r="Q2250" t="s">
        <v>5486</v>
      </c>
    </row>
    <row r="2251" spans="1:17" ht="15.75" x14ac:dyDescent="0.25">
      <c r="A2251" s="3" t="str">
        <f>HYPERLINK("https://prolisok-store.com/collections/hair-care/products/bed-head-by-tigi-dumb-blonde-reconstructor-6-7-oz", "https://prolisok-store.com/collections/hair-care/products/bed-head-by-tigi-dumb-blonde-reconstructor-6-7-oz")</f>
        <v>https://prolisok-store.com/collections/hair-care/products/bed-head-by-tigi-dumb-blonde-reconstructor-6-7-oz</v>
      </c>
      <c r="B2251" s="3" t="str">
        <f>HYPERLINK("https://prolisok-store.com/products/bed-head-by-tigi-dumb-blonde-reconstructor-6-7-oz", "https://prolisok-store.com/products/bed-head-by-tigi-dumb-blonde-reconstructor-6-7-oz")</f>
        <v>https://prolisok-store.com/products/bed-head-by-tigi-dumb-blonde-reconstructor-6-7-oz</v>
      </c>
      <c r="C2251" t="s">
        <v>5423</v>
      </c>
      <c r="D2251" t="s">
        <v>5619</v>
      </c>
      <c r="E2251" s="3" t="str">
        <f>HYPERLINK("https://www.amazon.com/TIGI-Blonde-Reconstructor-Conditioner-Ounce/dp/B0009I4M66/ref=sr_1_4?keywords=Bed+head+by+tigi+dumb+blonde+reconstructor+6.7+oz&amp;qid=1695259391&amp;sr=8-4", "https://www.amazon.com/TIGI-Blonde-Reconstructor-Conditioner-Ounce/dp/B0009I4M66/ref=sr_1_4?keywords=Bed+head+by+tigi+dumb+blonde+reconstructor+6.7+oz&amp;qid=1695259391&amp;sr=8-4")</f>
        <v>https://www.amazon.com/TIGI-Blonde-Reconstructor-Conditioner-Ounce/dp/B0009I4M66/ref=sr_1_4?keywords=Bed+head+by+tigi+dumb+blonde+reconstructor+6.7+oz&amp;qid=1695259391&amp;sr=8-4</v>
      </c>
      <c r="F2251" t="s">
        <v>5620</v>
      </c>
      <c r="G2251" t="e">
        <f ca="1">IMAGE("https://prolisok-store.com/cdn/shop/products/131722_300x.jpg?v=1690899961")</f>
        <v>#NAME?</v>
      </c>
      <c r="H2251" t="e">
        <f ca="1">IMAGE("https://m.media-amazon.com/images/I/71rkVz4DYAL._AC_UL320_.jpg")</f>
        <v>#NAME?</v>
      </c>
      <c r="I2251" t="s">
        <v>5426</v>
      </c>
      <c r="J2251">
        <v>14.99</v>
      </c>
      <c r="K2251" s="2" t="s">
        <v>5621</v>
      </c>
      <c r="L2251">
        <v>4.0999999999999996</v>
      </c>
      <c r="M2251">
        <v>37</v>
      </c>
      <c r="O2251" t="s">
        <v>26</v>
      </c>
      <c r="P2251" t="s">
        <v>39</v>
      </c>
      <c r="Q2251" t="s">
        <v>5428</v>
      </c>
    </row>
    <row r="2252" spans="1:17" ht="15.75" x14ac:dyDescent="0.25">
      <c r="A2252" s="3" t="str">
        <f>HYPERLINK("https://prolisok-store.com/collections/hair-care/products/bed-head-by-tigi-recovery-shampoo-13-53-oz", "https://prolisok-store.com/collections/hair-care/products/bed-head-by-tigi-recovery-shampoo-13-53-oz")</f>
        <v>https://prolisok-store.com/collections/hair-care/products/bed-head-by-tigi-recovery-shampoo-13-53-oz</v>
      </c>
      <c r="B2252" s="3" t="str">
        <f>HYPERLINK("https://prolisok-store.com/products/bed-head-by-tigi-recovery-shampoo-13-53-oz", "https://prolisok-store.com/products/bed-head-by-tigi-recovery-shampoo-13-53-oz")</f>
        <v>https://prolisok-store.com/products/bed-head-by-tigi-recovery-shampoo-13-53-oz</v>
      </c>
      <c r="C2252" t="s">
        <v>5324</v>
      </c>
      <c r="D2252" t="s">
        <v>5327</v>
      </c>
      <c r="E2252" s="3" t="str">
        <f>HYPERLINK("https://www.amazon.com/TIGI-RECOVERY-MOISTURIZING-SHAMPOO-20-29/dp/B08XJNMX5T/ref=sr_1_1?keywords=Bed+head+by+tigi+recovery+shampoo+13.53+oz&amp;qid=1695259377&amp;sr=8-1", "https://www.amazon.com/TIGI-RECOVERY-MOISTURIZING-SHAMPOO-20-29/dp/B08XJNMX5T/ref=sr_1_1?keywords=Bed+head+by+tigi+recovery+shampoo+13.53+oz&amp;qid=1695259377&amp;sr=8-1")</f>
        <v>https://www.amazon.com/TIGI-RECOVERY-MOISTURIZING-SHAMPOO-20-29/dp/B08XJNMX5T/ref=sr_1_1?keywords=Bed+head+by+tigi+recovery+shampoo+13.53+oz&amp;qid=1695259377&amp;sr=8-1</v>
      </c>
      <c r="F2252" t="s">
        <v>5328</v>
      </c>
      <c r="G2252" t="e">
        <f ca="1">IMAGE("https://prolisok-store.com/cdn/shop/products/416077_300x.jpg?v=1690900029")</f>
        <v>#NAME?</v>
      </c>
      <c r="H2252" t="e">
        <f ca="1">IMAGE("https://m.media-amazon.com/images/I/61+SBMFvDxL._AC_UL320_.jpg")</f>
        <v>#NAME?</v>
      </c>
      <c r="I2252" t="s">
        <v>5103</v>
      </c>
      <c r="J2252">
        <v>13.85</v>
      </c>
      <c r="K2252" s="2" t="s">
        <v>5622</v>
      </c>
      <c r="L2252">
        <v>4.5</v>
      </c>
      <c r="M2252">
        <v>415</v>
      </c>
      <c r="O2252" t="s">
        <v>26</v>
      </c>
      <c r="P2252" t="s">
        <v>39</v>
      </c>
      <c r="Q2252" t="s">
        <v>5326</v>
      </c>
    </row>
    <row r="2253" spans="1:17" ht="15.75" x14ac:dyDescent="0.25">
      <c r="A2253" s="3" t="str">
        <f>HYPERLINK("https://prolisok-store.com/collections/hair-care/products/bed-head-by-tigi-recovery-shampoo-25-36-oz", "https://prolisok-store.com/collections/hair-care/products/bed-head-by-tigi-recovery-shampoo-25-36-oz")</f>
        <v>https://prolisok-store.com/collections/hair-care/products/bed-head-by-tigi-recovery-shampoo-25-36-oz</v>
      </c>
      <c r="B2253" s="3" t="str">
        <f>HYPERLINK("https://prolisok-store.com/products/bed-head-by-tigi-recovery-shampoo-25-36-oz", "https://prolisok-store.com/products/bed-head-by-tigi-recovery-shampoo-25-36-oz")</f>
        <v>https://prolisok-store.com/products/bed-head-by-tigi-recovery-shampoo-25-36-oz</v>
      </c>
      <c r="C2253" t="s">
        <v>5360</v>
      </c>
      <c r="D2253" t="s">
        <v>5623</v>
      </c>
      <c r="E2253" s="3" t="str">
        <f>HYPERLINK("https://www.amazon.com/TIGI-Urban-Dotes-Recovery-Shampoo/dp/B01M7XA02U/ref=sr_1_5?keywords=Bed+head+by+tigi+recovery+shampoo+25.36+oz&amp;qid=1695259368&amp;sr=8-5", "https://www.amazon.com/TIGI-Urban-Dotes-Recovery-Shampoo/dp/B01M7XA02U/ref=sr_1_5?keywords=Bed+head+by+tigi+recovery+shampoo+25.36+oz&amp;qid=1695259368&amp;sr=8-5")</f>
        <v>https://www.amazon.com/TIGI-Urban-Dotes-Recovery-Shampoo/dp/B01M7XA02U/ref=sr_1_5?keywords=Bed+head+by+tigi+recovery+shampoo+25.36+oz&amp;qid=1695259368&amp;sr=8-5</v>
      </c>
      <c r="F2253" t="s">
        <v>5624</v>
      </c>
      <c r="G2253" t="e">
        <f ca="1">IMAGE("https://prolisok-store.com/cdn/shop/products/195934_300x.jpg?v=1690899977")</f>
        <v>#NAME?</v>
      </c>
      <c r="H2253" t="e">
        <f ca="1">IMAGE("https://m.media-amazon.com/images/I/61rg0R77c2L._AC_UL320_.jpg")</f>
        <v>#NAME?</v>
      </c>
      <c r="I2253" t="s">
        <v>5348</v>
      </c>
      <c r="J2253">
        <v>19.989999999999998</v>
      </c>
      <c r="K2253" s="2" t="s">
        <v>5625</v>
      </c>
      <c r="L2253">
        <v>4.5999999999999996</v>
      </c>
      <c r="M2253">
        <v>35</v>
      </c>
      <c r="O2253" t="s">
        <v>26</v>
      </c>
      <c r="P2253" t="s">
        <v>39</v>
      </c>
      <c r="Q2253" t="s">
        <v>5362</v>
      </c>
    </row>
    <row r="2254" spans="1:17" ht="15.75" x14ac:dyDescent="0.25">
      <c r="A2254" s="3" t="str">
        <f>HYPERLINK("https://prolisok-store.com/collections/hair-care/products/bed-head-by-tigi-resurrection-shampoo-25-36-oz", "https://prolisok-store.com/collections/hair-care/products/bed-head-by-tigi-resurrection-shampoo-25-36-oz")</f>
        <v>https://prolisok-store.com/collections/hair-care/products/bed-head-by-tigi-resurrection-shampoo-25-36-oz</v>
      </c>
      <c r="B2254" s="3" t="str">
        <f>HYPERLINK("https://prolisok-store.com/products/bed-head-by-tigi-resurrection-shampoo-25-36-oz", "https://prolisok-store.com/products/bed-head-by-tigi-resurrection-shampoo-25-36-oz")</f>
        <v>https://prolisok-store.com/products/bed-head-by-tigi-resurrection-shampoo-25-36-oz</v>
      </c>
      <c r="C2254" t="s">
        <v>5347</v>
      </c>
      <c r="D2254" t="s">
        <v>5623</v>
      </c>
      <c r="E2254" s="3" t="str">
        <f>HYPERLINK("https://www.amazon.com/TIGI-Urban-Dotes-Recovery-Shampoo/dp/B01M7XA02U/ref=sr_1_8?keywords=Bed+head+by+tigi+resurrection+shampoo+25.36+oz&amp;qid=1695259368&amp;sr=8-8", "https://www.amazon.com/TIGI-Urban-Dotes-Recovery-Shampoo/dp/B01M7XA02U/ref=sr_1_8?keywords=Bed+head+by+tigi+resurrection+shampoo+25.36+oz&amp;qid=1695259368&amp;sr=8-8")</f>
        <v>https://www.amazon.com/TIGI-Urban-Dotes-Recovery-Shampoo/dp/B01M7XA02U/ref=sr_1_8?keywords=Bed+head+by+tigi+resurrection+shampoo+25.36+oz&amp;qid=1695259368&amp;sr=8-8</v>
      </c>
      <c r="F2254" t="s">
        <v>5624</v>
      </c>
      <c r="G2254" t="e">
        <f ca="1">IMAGE("https://prolisok-store.com/cdn/shop/products/195942_300x.jpg?v=1690899981")</f>
        <v>#NAME?</v>
      </c>
      <c r="H2254" t="e">
        <f ca="1">IMAGE("https://m.media-amazon.com/images/I/61rg0R77c2L._AC_UL320_.jpg")</f>
        <v>#NAME?</v>
      </c>
      <c r="I2254" t="s">
        <v>5348</v>
      </c>
      <c r="J2254">
        <v>19.989999999999998</v>
      </c>
      <c r="K2254" s="2" t="s">
        <v>5625</v>
      </c>
      <c r="L2254">
        <v>4.5999999999999996</v>
      </c>
      <c r="M2254">
        <v>35</v>
      </c>
      <c r="O2254" t="s">
        <v>26</v>
      </c>
      <c r="P2254" t="s">
        <v>39</v>
      </c>
      <c r="Q2254" t="s">
        <v>5350</v>
      </c>
    </row>
    <row r="2255" spans="1:17" ht="15.75" x14ac:dyDescent="0.25">
      <c r="A2255" s="3" t="str">
        <f>HYPERLINK("https://prolisok-store.com/collections/hair-care/products/tigi-s-factor-stunning-volume-shampoo-8-45-oz", "https://prolisok-store.com/collections/hair-care/products/tigi-s-factor-stunning-volume-shampoo-8-45-oz")</f>
        <v>https://prolisok-store.com/collections/hair-care/products/tigi-s-factor-stunning-volume-shampoo-8-45-oz</v>
      </c>
      <c r="B2255" s="3" t="str">
        <f>HYPERLINK("https://prolisok-store.com/products/tigi-s-factor-stunning-volume-shampoo-8-45-oz", "https://prolisok-store.com/products/tigi-s-factor-stunning-volume-shampoo-8-45-oz")</f>
        <v>https://prolisok-store.com/products/tigi-s-factor-stunning-volume-shampoo-8-45-oz</v>
      </c>
      <c r="C2255" t="s">
        <v>5352</v>
      </c>
      <c r="D2255" t="s">
        <v>5626</v>
      </c>
      <c r="E2255" s="3" t="str">
        <f>HYPERLINK("https://www.amazon.com/Tigi-Factor-Stunning-Shampoo-Conditioner/dp/B00OY8SPO2/ref=sr_1_1?keywords=Tigi+s+factor+stunning+volume+shampoo+8.45+oz&amp;qid=1695259406&amp;sr=8-1", "https://www.amazon.com/Tigi-Factor-Stunning-Shampoo-Conditioner/dp/B00OY8SPO2/ref=sr_1_1?keywords=Tigi+s+factor+stunning+volume+shampoo+8.45+oz&amp;qid=1695259406&amp;sr=8-1")</f>
        <v>https://www.amazon.com/Tigi-Factor-Stunning-Shampoo-Conditioner/dp/B00OY8SPO2/ref=sr_1_1?keywords=Tigi+s+factor+stunning+volume+shampoo+8.45+oz&amp;qid=1695259406&amp;sr=8-1</v>
      </c>
      <c r="F2255" t="s">
        <v>5627</v>
      </c>
      <c r="G2255" t="e">
        <f ca="1">IMAGE("https://prolisok-store.com/cdn/shop/products/280066_300x.jpg?v=1690900082")</f>
        <v>#NAME?</v>
      </c>
      <c r="H2255" t="e">
        <f ca="1">IMAGE("https://m.media-amazon.com/images/I/51jC4sCXpmL._AC_UL320_.jpg")</f>
        <v>#NAME?</v>
      </c>
      <c r="I2255" t="s">
        <v>748</v>
      </c>
      <c r="J2255">
        <v>24.99</v>
      </c>
      <c r="K2255" s="2" t="s">
        <v>5628</v>
      </c>
      <c r="L2255">
        <v>4.0999999999999996</v>
      </c>
      <c r="M2255">
        <v>75</v>
      </c>
      <c r="O2255" t="s">
        <v>26</v>
      </c>
      <c r="P2255" t="s">
        <v>39</v>
      </c>
      <c r="Q2255" t="s">
        <v>5356</v>
      </c>
    </row>
    <row r="2256" spans="1:17" ht="15.75" x14ac:dyDescent="0.25">
      <c r="A2256" s="3" t="str">
        <f>HYPERLINK("https://prolisok-store.com/collections/hair-care/products/sisley-hair-rituel-restructuring-conditioner-with-cotton-proteins-6-7-oz", "https://prolisok-store.com/collections/hair-care/products/sisley-hair-rituel-restructuring-conditioner-with-cotton-proteins-6-7-oz")</f>
        <v>https://prolisok-store.com/collections/hair-care/products/sisley-hair-rituel-restructuring-conditioner-with-cotton-proteins-6-7-oz</v>
      </c>
      <c r="B2256" s="3" t="str">
        <f>HYPERLINK("https://prolisok-store.com/products/sisley-hair-rituel-restructuring-conditioner-with-cotton-proteins-6-7-oz", "https://prolisok-store.com/products/sisley-hair-rituel-restructuring-conditioner-with-cotton-proteins-6-7-oz")</f>
        <v>https://prolisok-store.com/products/sisley-hair-rituel-restructuring-conditioner-with-cotton-proteins-6-7-oz</v>
      </c>
      <c r="C2256" t="s">
        <v>5629</v>
      </c>
      <c r="D2256" t="s">
        <v>5630</v>
      </c>
      <c r="E2256" s="3" t="str">
        <f>HYPERLINK("https://www.amazon.com/Sisley-Paris-Rituel-Restructuring-Conditioner-Proteins/dp/B07C5XZRB4/ref=sr_1_2?keywords=Sisley+hair+rituel+restructuring+conditioner+with+cotton+proteins+6.7+oz&amp;qid=1695259387&amp;sr=8-2", "https://www.amazon.com/Sisley-Paris-Rituel-Restructuring-Conditioner-Proteins/dp/B07C5XZRB4/ref=sr_1_2?keywords=Sisley+hair+rituel+restructuring+conditioner+with+cotton+proteins+6.7+oz&amp;qid=1695259387&amp;sr=8-2")</f>
        <v>https://www.amazon.com/Sisley-Paris-Rituel-Restructuring-Conditioner-Proteins/dp/B07C5XZRB4/ref=sr_1_2?keywords=Sisley+hair+rituel+restructuring+conditioner+with+cotton+proteins+6.7+oz&amp;qid=1695259387&amp;sr=8-2</v>
      </c>
      <c r="F2256" t="s">
        <v>5631</v>
      </c>
      <c r="G2256" t="e">
        <f ca="1">IMAGE("https://prolisok-store.com/cdn/shop/products/312174_300x.jpg?v=1690900806")</f>
        <v>#NAME?</v>
      </c>
      <c r="H2256" t="e">
        <f ca="1">IMAGE("https://m.media-amazon.com/images/I/61nXrU5H-0L._AC_UL320_.jpg")</f>
        <v>#NAME?</v>
      </c>
      <c r="I2256" t="s">
        <v>5632</v>
      </c>
      <c r="J2256">
        <v>62.47</v>
      </c>
      <c r="K2256" s="2" t="s">
        <v>5633</v>
      </c>
      <c r="L2256">
        <v>4</v>
      </c>
      <c r="M2256">
        <v>1</v>
      </c>
      <c r="O2256" t="s">
        <v>26</v>
      </c>
      <c r="P2256" t="s">
        <v>39</v>
      </c>
      <c r="Q2256" t="s">
        <v>5634</v>
      </c>
    </row>
    <row r="2257" spans="1:17" ht="15.75" x14ac:dyDescent="0.25">
      <c r="A2257" s="3" t="str">
        <f>HYPERLINK("https://prolisok-store.com/collections/hair-care/products/bed-head-by-tigi-recovery-conditioner-25-36-oz", "https://prolisok-store.com/collections/hair-care/products/bed-head-by-tigi-recovery-conditioner-25-36-oz")</f>
        <v>https://prolisok-store.com/collections/hair-care/products/bed-head-by-tigi-recovery-conditioner-25-36-oz</v>
      </c>
      <c r="B2257" s="3" t="str">
        <f>HYPERLINK("https://prolisok-store.com/products/bed-head-by-tigi-recovery-conditioner-25-36-oz", "https://prolisok-store.com/products/bed-head-by-tigi-recovery-conditioner-25-36-oz")</f>
        <v>https://prolisok-store.com/products/bed-head-by-tigi-recovery-conditioner-25-36-oz</v>
      </c>
      <c r="C2257" t="s">
        <v>5315</v>
      </c>
      <c r="D2257" t="s">
        <v>5635</v>
      </c>
      <c r="E2257" s="3" t="str">
        <f>HYPERLINK("https://www.amazon.com/Urban-Recovery-Conditioner-Damage-25-36-Ounce/dp/B004T19P0W/ref=sr_1_6?keywords=Bed+head+by+tigi+recovery+conditioner+25.36+oz&amp;qid=1695259402&amp;sr=8-6", "https://www.amazon.com/Urban-Recovery-Conditioner-Damage-25-36-Ounce/dp/B004T19P0W/ref=sr_1_6?keywords=Bed+head+by+tigi+recovery+conditioner+25.36+oz&amp;qid=1695259402&amp;sr=8-6")</f>
        <v>https://www.amazon.com/Urban-Recovery-Conditioner-Damage-25-36-Ounce/dp/B004T19P0W/ref=sr_1_6?keywords=Bed+head+by+tigi+recovery+conditioner+25.36+oz&amp;qid=1695259402&amp;sr=8-6</v>
      </c>
      <c r="F2257" t="s">
        <v>5636</v>
      </c>
      <c r="G2257" t="e">
        <f ca="1">IMAGE("https://prolisok-store.com/cdn/shop/products/195939_300x.jpg?v=1690899979")</f>
        <v>#NAME?</v>
      </c>
      <c r="H2257" t="e">
        <f ca="1">IMAGE("https://m.media-amazon.com/images/I/71lsCxDzxAL._AC_UL320_.jpg")</f>
        <v>#NAME?</v>
      </c>
      <c r="I2257" t="s">
        <v>5135</v>
      </c>
      <c r="J2257">
        <v>18.13</v>
      </c>
      <c r="K2257" s="2" t="s">
        <v>5637</v>
      </c>
      <c r="L2257">
        <v>4.5999999999999996</v>
      </c>
      <c r="M2257">
        <v>1140</v>
      </c>
      <c r="O2257" t="s">
        <v>26</v>
      </c>
      <c r="P2257" t="s">
        <v>39</v>
      </c>
      <c r="Q2257" t="s">
        <v>5317</v>
      </c>
    </row>
    <row r="2258" spans="1:17" ht="15.75" x14ac:dyDescent="0.25">
      <c r="A2258" s="3" t="str">
        <f>HYPERLINK("https://prolisok-store.com/collections/hair-care/products/bed-head-by-tigi-resurrection-shampoo-13-53-oz", "https://prolisok-store.com/collections/hair-care/products/bed-head-by-tigi-resurrection-shampoo-13-53-oz")</f>
        <v>https://prolisok-store.com/collections/hair-care/products/bed-head-by-tigi-resurrection-shampoo-13-53-oz</v>
      </c>
      <c r="B2258" s="3" t="str">
        <f>HYPERLINK("https://prolisok-store.com/products/bed-head-by-tigi-resurrection-shampoo-13-53-oz", "https://prolisok-store.com/products/bed-head-by-tigi-resurrection-shampoo-13-53-oz")</f>
        <v>https://prolisok-store.com/products/bed-head-by-tigi-resurrection-shampoo-13-53-oz</v>
      </c>
      <c r="C2258" t="s">
        <v>5240</v>
      </c>
      <c r="D2258" t="s">
        <v>5341</v>
      </c>
      <c r="E2258" s="3" t="str">
        <f>HYPERLINK("https://www.amazon.com/TIGI-RESURRECTION-REPAIR-SHAMPOO-DAMAGED/dp/B093FWKM1H/ref=sr_1_5?keywords=Bed+head+by+tigi+resurrection+shampoo+13.53+oz&amp;qid=1695259387&amp;sr=8-5", "https://www.amazon.com/TIGI-RESURRECTION-REPAIR-SHAMPOO-DAMAGED/dp/B093FWKM1H/ref=sr_1_5?keywords=Bed+head+by+tigi+resurrection+shampoo+13.53+oz&amp;qid=1695259387&amp;sr=8-5")</f>
        <v>https://www.amazon.com/TIGI-RESURRECTION-REPAIR-SHAMPOO-DAMAGED/dp/B093FWKM1H/ref=sr_1_5?keywords=Bed+head+by+tigi+resurrection+shampoo+13.53+oz&amp;qid=1695259387&amp;sr=8-5</v>
      </c>
      <c r="F2258" t="s">
        <v>5342</v>
      </c>
      <c r="G2258" t="e">
        <f ca="1">IMAGE("https://prolisok-store.com/cdn/shop/products/416081_300x.jpg?v=1690900035")</f>
        <v>#NAME?</v>
      </c>
      <c r="H2258" t="e">
        <f ca="1">IMAGE("https://m.media-amazon.com/images/I/51zDpUD1p+L._AC_UL320_.jpg")</f>
        <v>#NAME?</v>
      </c>
      <c r="I2258" t="s">
        <v>5103</v>
      </c>
      <c r="J2258">
        <v>13.58</v>
      </c>
      <c r="K2258" s="2" t="s">
        <v>5638</v>
      </c>
      <c r="L2258">
        <v>4.5</v>
      </c>
      <c r="M2258">
        <v>415</v>
      </c>
      <c r="O2258" t="s">
        <v>26</v>
      </c>
      <c r="P2258" t="s">
        <v>39</v>
      </c>
      <c r="Q2258" t="s">
        <v>5242</v>
      </c>
    </row>
    <row r="2259" spans="1:17" ht="15.75" x14ac:dyDescent="0.25">
      <c r="A2259" s="3" t="str">
        <f>HYPERLINK("https://prolisok-store.com/collections/hair-care/products/catwalk-by-tigi-sleek-mystique-fast-fixx-style-prep-9-13-oz", "https://prolisok-store.com/collections/hair-care/products/catwalk-by-tigi-sleek-mystique-fast-fixx-style-prep-9-13-oz")</f>
        <v>https://prolisok-store.com/collections/hair-care/products/catwalk-by-tigi-sleek-mystique-fast-fixx-style-prep-9-13-oz</v>
      </c>
      <c r="B2259" s="3" t="str">
        <f>HYPERLINK("https://prolisok-store.com/products/catwalk-by-tigi-sleek-mystique-fast-fixx-style-prep-9-13-oz", "https://prolisok-store.com/products/catwalk-by-tigi-sleek-mystique-fast-fixx-style-prep-9-13-oz")</f>
        <v>https://prolisok-store.com/products/catwalk-by-tigi-sleek-mystique-fast-fixx-style-prep-9-13-oz</v>
      </c>
      <c r="C2259" t="s">
        <v>5639</v>
      </c>
      <c r="D2259" t="s">
        <v>5640</v>
      </c>
      <c r="E2259" s="3" t="str">
        <f>HYPERLINK("https://www.amazon.com/TIGI-Catwalk-Straight-Collection-Mystique/dp/B003UHACG2/ref=sr_1_1?keywords=Catwalk+by+tigi+sleek+mystique+fast+fixx+style+prep+9.13+oz&amp;qid=1695259403&amp;sr=8-1", "https://www.amazon.com/TIGI-Catwalk-Straight-Collection-Mystique/dp/B003UHACG2/ref=sr_1_1?keywords=Catwalk+by+tigi+sleek+mystique+fast+fixx+style+prep+9.13+oz&amp;qid=1695259403&amp;sr=8-1")</f>
        <v>https://www.amazon.com/TIGI-Catwalk-Straight-Collection-Mystique/dp/B003UHACG2/ref=sr_1_1?keywords=Catwalk+by+tigi+sleek+mystique+fast+fixx+style+prep+9.13+oz&amp;qid=1695259403&amp;sr=8-1</v>
      </c>
      <c r="F2259" t="s">
        <v>5641</v>
      </c>
      <c r="G2259" t="e">
        <f ca="1">IMAGE("https://prolisok-store.com/cdn/shop/products/200530_300x.jpg?v=1690900055")</f>
        <v>#NAME?</v>
      </c>
      <c r="H2259" t="e">
        <f ca="1">IMAGE("https://m.media-amazon.com/images/I/51EYFKFUclL._AC_UL320_.jpg")</f>
        <v>#NAME?</v>
      </c>
      <c r="I2259" t="s">
        <v>5321</v>
      </c>
      <c r="J2259">
        <v>13.14</v>
      </c>
      <c r="K2259" s="2" t="s">
        <v>5642</v>
      </c>
      <c r="L2259">
        <v>4.4000000000000004</v>
      </c>
      <c r="M2259">
        <v>171</v>
      </c>
      <c r="O2259" t="s">
        <v>26</v>
      </c>
      <c r="P2259" t="s">
        <v>39</v>
      </c>
      <c r="Q2259" t="s">
        <v>5643</v>
      </c>
    </row>
    <row r="2260" spans="1:17" ht="15.75" x14ac:dyDescent="0.25">
      <c r="A2260" s="3" t="str">
        <f>HYPERLINK("https://prolisok-store.com/collections/hair-care/products/catwalk-by-tigi-sleek-mystique-fast-fixx-style-prep-9-13-oz", "https://prolisok-store.com/collections/hair-care/products/catwalk-by-tigi-sleek-mystique-fast-fixx-style-prep-9-13-oz")</f>
        <v>https://prolisok-store.com/collections/hair-care/products/catwalk-by-tigi-sleek-mystique-fast-fixx-style-prep-9-13-oz</v>
      </c>
      <c r="B2260" s="3" t="str">
        <f>HYPERLINK("https://prolisok-store.com/products/catwalk-by-tigi-sleek-mystique-fast-fixx-style-prep-9-13-oz", "https://prolisok-store.com/products/catwalk-by-tigi-sleek-mystique-fast-fixx-style-prep-9-13-oz")</f>
        <v>https://prolisok-store.com/products/catwalk-by-tigi-sleek-mystique-fast-fixx-style-prep-9-13-oz</v>
      </c>
      <c r="C2260" t="s">
        <v>5639</v>
      </c>
      <c r="D2260" t="s">
        <v>5644</v>
      </c>
      <c r="E2260" s="3" t="str">
        <f>HYPERLINK("https://www.amazon.com/TIGI-Catwalk-Sleek-Mystique-Style/dp/B0044E8ILG/ref=sr_1_2?keywords=Catwalk+by+tigi+sleek+mystique+fast+fixx+style+prep+9.13+oz&amp;qid=1695259403&amp;sr=8-2", "https://www.amazon.com/TIGI-Catwalk-Sleek-Mystique-Style/dp/B0044E8ILG/ref=sr_1_2?keywords=Catwalk+by+tigi+sleek+mystique+fast+fixx+style+prep+9.13+oz&amp;qid=1695259403&amp;sr=8-2")</f>
        <v>https://www.amazon.com/TIGI-Catwalk-Sleek-Mystique-Style/dp/B0044E8ILG/ref=sr_1_2?keywords=Catwalk+by+tigi+sleek+mystique+fast+fixx+style+prep+9.13+oz&amp;qid=1695259403&amp;sr=8-2</v>
      </c>
      <c r="F2260" t="s">
        <v>5645</v>
      </c>
      <c r="G2260" t="e">
        <f ca="1">IMAGE("https://prolisok-store.com/cdn/shop/products/200530_300x.jpg?v=1690900055")</f>
        <v>#NAME?</v>
      </c>
      <c r="H2260" t="e">
        <f ca="1">IMAGE("https://m.media-amazon.com/images/I/31iFbJSDMML._AC_UL320_.jpg")</f>
        <v>#NAME?</v>
      </c>
      <c r="I2260" t="s">
        <v>5321</v>
      </c>
      <c r="J2260">
        <v>13.14</v>
      </c>
      <c r="K2260" s="2" t="s">
        <v>5642</v>
      </c>
      <c r="L2260">
        <v>4.7</v>
      </c>
      <c r="M2260">
        <v>4</v>
      </c>
      <c r="O2260" t="s">
        <v>26</v>
      </c>
      <c r="P2260" t="s">
        <v>39</v>
      </c>
      <c r="Q2260" t="s">
        <v>5643</v>
      </c>
    </row>
    <row r="2261" spans="1:17" ht="15.75" x14ac:dyDescent="0.25">
      <c r="A2261" s="3" t="str">
        <f>HYPERLINK("https://prolisok-store.com/collections/hair-care/products/bed-head-by-tigi-showdown-anti-frizz-strong-hold-hairspray-5-5-oz", "https://prolisok-store.com/collections/hair-care/products/bed-head-by-tigi-showdown-anti-frizz-strong-hold-hairspray-5-5-oz")</f>
        <v>https://prolisok-store.com/collections/hair-care/products/bed-head-by-tigi-showdown-anti-frizz-strong-hold-hairspray-5-5-oz</v>
      </c>
      <c r="B2261" s="3" t="str">
        <f>HYPERLINK("https://prolisok-store.com/products/bed-head-by-tigi-showdown-anti-frizz-strong-hold-hairspray-5-5-oz", "https://prolisok-store.com/products/bed-head-by-tigi-showdown-anti-frizz-strong-hold-hairspray-5-5-oz")</f>
        <v>https://prolisok-store.com/products/bed-head-by-tigi-showdown-anti-frizz-strong-hold-hairspray-5-5-oz</v>
      </c>
      <c r="C2261" t="s">
        <v>5646</v>
      </c>
      <c r="D2261" t="s">
        <v>5647</v>
      </c>
      <c r="E2261" s="3" t="str">
        <f>HYPERLINK("https://www.amazon.com/Tigi-Showdown-Anti-Frizz-Strong-Hairspray/dp/B083RGYZZ3/ref=sr_1_2?keywords=Bed+head+by+tigi+showdown+anti-frizz+strong+hold+hairspray+5.5+oz&amp;qid=1695259405&amp;sr=8-2", "https://www.amazon.com/Tigi-Showdown-Anti-Frizz-Strong-Hairspray/dp/B083RGYZZ3/ref=sr_1_2?keywords=Bed+head+by+tigi+showdown+anti-frizz+strong+hold+hairspray+5.5+oz&amp;qid=1695259405&amp;sr=8-2")</f>
        <v>https://www.amazon.com/Tigi-Showdown-Anti-Frizz-Strong-Hairspray/dp/B083RGYZZ3/ref=sr_1_2?keywords=Bed+head+by+tigi+showdown+anti-frizz+strong+hold+hairspray+5.5+oz&amp;qid=1695259405&amp;sr=8-2</v>
      </c>
      <c r="F2261" t="s">
        <v>5648</v>
      </c>
      <c r="G2261" t="e">
        <f ca="1">IMAGE("https://prolisok-store.com/cdn/shop/products/416092_300x.jpg?v=1690900051")</f>
        <v>#NAME?</v>
      </c>
      <c r="H2261" t="e">
        <f ca="1">IMAGE("https://m.media-amazon.com/images/I/61Z-pMe4GQL._AC_UL320_.jpg")</f>
        <v>#NAME?</v>
      </c>
      <c r="I2261" t="s">
        <v>5135</v>
      </c>
      <c r="J2261">
        <v>17.850000000000001</v>
      </c>
      <c r="K2261" s="2" t="s">
        <v>5649</v>
      </c>
      <c r="L2261">
        <v>4.4000000000000004</v>
      </c>
      <c r="M2261">
        <v>58</v>
      </c>
      <c r="O2261" t="s">
        <v>26</v>
      </c>
      <c r="P2261" t="s">
        <v>39</v>
      </c>
      <c r="Q2261" t="s">
        <v>5650</v>
      </c>
    </row>
    <row r="2262" spans="1:17" ht="15.75" x14ac:dyDescent="0.25">
      <c r="A2262" s="3" t="str">
        <f>HYPERLINK("https://prolisok-store.com/collections/hair-care/products/bed-head-by-tigi-resurrection-shampoo-25-36-oz", "https://prolisok-store.com/collections/hair-care/products/bed-head-by-tigi-resurrection-shampoo-25-36-oz")</f>
        <v>https://prolisok-store.com/collections/hair-care/products/bed-head-by-tigi-resurrection-shampoo-25-36-oz</v>
      </c>
      <c r="B2262" s="3" t="str">
        <f>HYPERLINK("https://prolisok-store.com/products/bed-head-by-tigi-resurrection-shampoo-25-36-oz", "https://prolisok-store.com/products/bed-head-by-tigi-resurrection-shampoo-25-36-oz")</f>
        <v>https://prolisok-store.com/products/bed-head-by-tigi-resurrection-shampoo-25-36-oz</v>
      </c>
      <c r="C2262" t="s">
        <v>5347</v>
      </c>
      <c r="D2262" t="s">
        <v>5178</v>
      </c>
      <c r="E2262" s="3" t="str">
        <f>HYPERLINK("https://www.amazon.com/Bed-Head-Resurrection-Shampoo-Conditioner/dp/B003T18TE6/ref=sr_1_3?keywords=Bed+head+by+tigi+resurrection+shampoo+25.36+oz&amp;qid=1695259368&amp;sr=8-3", "https://www.amazon.com/Bed-Head-Resurrection-Shampoo-Conditioner/dp/B003T18TE6/ref=sr_1_3?keywords=Bed+head+by+tigi+resurrection+shampoo+25.36+oz&amp;qid=1695259368&amp;sr=8-3")</f>
        <v>https://www.amazon.com/Bed-Head-Resurrection-Shampoo-Conditioner/dp/B003T18TE6/ref=sr_1_3?keywords=Bed+head+by+tigi+resurrection+shampoo+25.36+oz&amp;qid=1695259368&amp;sr=8-3</v>
      </c>
      <c r="F2262" t="s">
        <v>5179</v>
      </c>
      <c r="G2262" t="e">
        <f ca="1">IMAGE("https://prolisok-store.com/cdn/shop/products/195942_300x.jpg?v=1690899981")</f>
        <v>#NAME?</v>
      </c>
      <c r="H2262" t="e">
        <f ca="1">IMAGE("https://m.media-amazon.com/images/I/71SUeFDYyNL._AC_UL320_.jpg")</f>
        <v>#NAME?</v>
      </c>
      <c r="I2262" t="s">
        <v>5348</v>
      </c>
      <c r="J2262">
        <v>19.38</v>
      </c>
      <c r="K2262" s="2" t="s">
        <v>5651</v>
      </c>
      <c r="L2262">
        <v>4.5999999999999996</v>
      </c>
      <c r="M2262">
        <v>12743</v>
      </c>
      <c r="O2262" t="s">
        <v>26</v>
      </c>
      <c r="P2262" t="s">
        <v>39</v>
      </c>
      <c r="Q2262" t="s">
        <v>5350</v>
      </c>
    </row>
    <row r="2263" spans="1:17" ht="15.75" x14ac:dyDescent="0.25">
      <c r="A2263" s="3" t="str">
        <f>HYPERLINK("https://prolisok-store.com/collections/hair-care/products/bed-head-by-tigi-resurrection-conditioner-25-36-oz", "https://prolisok-store.com/collections/hair-care/products/bed-head-by-tigi-resurrection-conditioner-25-36-oz")</f>
        <v>https://prolisok-store.com/collections/hair-care/products/bed-head-by-tigi-resurrection-conditioner-25-36-oz</v>
      </c>
      <c r="B2263" s="3" t="str">
        <f>HYPERLINK("https://prolisok-store.com/products/bed-head-by-tigi-resurrection-conditioner-25-36-oz", "https://prolisok-store.com/products/bed-head-by-tigi-resurrection-conditioner-25-36-oz")</f>
        <v>https://prolisok-store.com/products/bed-head-by-tigi-resurrection-conditioner-25-36-oz</v>
      </c>
      <c r="C2263" t="s">
        <v>5521</v>
      </c>
      <c r="D2263" t="s">
        <v>5178</v>
      </c>
      <c r="E2263" s="3" t="str">
        <f>HYPERLINK("https://www.amazon.com/Bed-Head-Resurrection-Shampoo-Conditioner/dp/B003T18TE6/ref=sr_1_3?keywords=Bed+head+by+tigi+resurrection+conditioner+25.36+oz&amp;qid=1695259389&amp;sr=8-3", "https://www.amazon.com/Bed-Head-Resurrection-Shampoo-Conditioner/dp/B003T18TE6/ref=sr_1_3?keywords=Bed+head+by+tigi+resurrection+conditioner+25.36+oz&amp;qid=1695259389&amp;sr=8-3")</f>
        <v>https://www.amazon.com/Bed-Head-Resurrection-Shampoo-Conditioner/dp/B003T18TE6/ref=sr_1_3?keywords=Bed+head+by+tigi+resurrection+conditioner+25.36+oz&amp;qid=1695259389&amp;sr=8-3</v>
      </c>
      <c r="F2263" t="s">
        <v>5179</v>
      </c>
      <c r="G2263" t="e">
        <f ca="1">IMAGE("https://prolisok-store.com/cdn/shop/products/195943_300x.jpg?v=1690899983")</f>
        <v>#NAME?</v>
      </c>
      <c r="H2263" t="e">
        <f ca="1">IMAGE("https://m.media-amazon.com/images/I/71SUeFDYyNL._AC_UL320_.jpg")</f>
        <v>#NAME?</v>
      </c>
      <c r="I2263" t="s">
        <v>5348</v>
      </c>
      <c r="J2263">
        <v>19.38</v>
      </c>
      <c r="K2263" s="2" t="s">
        <v>5651</v>
      </c>
      <c r="L2263">
        <v>4.5999999999999996</v>
      </c>
      <c r="M2263">
        <v>12743</v>
      </c>
      <c r="O2263" t="s">
        <v>26</v>
      </c>
      <c r="P2263" t="s">
        <v>39</v>
      </c>
      <c r="Q2263" t="s">
        <v>5525</v>
      </c>
    </row>
    <row r="2264" spans="1:17" ht="15.75" x14ac:dyDescent="0.25">
      <c r="A2264" s="3" t="str">
        <f>HYPERLINK("https://prolisok-store.com/collections/hair-care/products/bed-head-by-tigi-recovery-shampoo-32-8-oz", "https://prolisok-store.com/collections/hair-care/products/bed-head-by-tigi-recovery-shampoo-32-8-oz")</f>
        <v>https://prolisok-store.com/collections/hair-care/products/bed-head-by-tigi-recovery-shampoo-32-8-oz</v>
      </c>
      <c r="B2264" s="3" t="str">
        <f>HYPERLINK("https://prolisok-store.com/products/bed-head-by-tigi-recovery-shampoo-32-8-oz", "https://prolisok-store.com/products/bed-head-by-tigi-recovery-shampoo-32-8-oz")</f>
        <v>https://prolisok-store.com/products/bed-head-by-tigi-recovery-shampoo-32-8-oz</v>
      </c>
      <c r="C2264" t="s">
        <v>5652</v>
      </c>
      <c r="D2264" t="s">
        <v>5138</v>
      </c>
      <c r="E2264" s="3" t="str">
        <f>HYPERLINK("https://www.amazon.com/Anti-dote-PFZoVz-Recovery-Shampoo-Conditioner/dp/B07487K2RB/ref=sr_1_7?keywords=Bed+head+by+tigi+recovery+shampoo+32.8+oz&amp;qid=1695259369&amp;sr=8-7", "https://www.amazon.com/Anti-dote-PFZoVz-Recovery-Shampoo-Conditioner/dp/B07487K2RB/ref=sr_1_7?keywords=Bed+head+by+tigi+recovery+shampoo+32.8+oz&amp;qid=1695259369&amp;sr=8-7")</f>
        <v>https://www.amazon.com/Anti-dote-PFZoVz-Recovery-Shampoo-Conditioner/dp/B07487K2RB/ref=sr_1_7?keywords=Bed+head+by+tigi+recovery+shampoo+32.8+oz&amp;qid=1695259369&amp;sr=8-7</v>
      </c>
      <c r="F2264" t="s">
        <v>5139</v>
      </c>
      <c r="G2264" t="e">
        <f ca="1">IMAGE("https://prolisok-store.com/cdn/shop/products/416078_300x.jpg?v=1690900031")</f>
        <v>#NAME?</v>
      </c>
      <c r="H2264" t="e">
        <f ca="1">IMAGE("https://m.media-amazon.com/images/I/71Wyt4QQhXL._AC_UL320_.jpg")</f>
        <v>#NAME?</v>
      </c>
      <c r="I2264" t="s">
        <v>5484</v>
      </c>
      <c r="J2264">
        <v>25.72</v>
      </c>
      <c r="K2264" s="2" t="s">
        <v>5653</v>
      </c>
      <c r="L2264">
        <v>4.7</v>
      </c>
      <c r="M2264">
        <v>1085</v>
      </c>
      <c r="O2264" t="s">
        <v>26</v>
      </c>
      <c r="P2264" t="s">
        <v>39</v>
      </c>
      <c r="Q2264" t="s">
        <v>5654</v>
      </c>
    </row>
    <row r="2265" spans="1:17" ht="15.75" x14ac:dyDescent="0.25">
      <c r="A2265" s="3" t="str">
        <f>HYPERLINK("https://prolisok-store.com/collections/hair-care/products/bed-head-by-tigi-resurrection-shampoo-8-45-oz", "https://prolisok-store.com/collections/hair-care/products/bed-head-by-tigi-resurrection-shampoo-8-45-oz")</f>
        <v>https://prolisok-store.com/collections/hair-care/products/bed-head-by-tigi-resurrection-shampoo-8-45-oz</v>
      </c>
      <c r="B2265" s="3" t="str">
        <f>HYPERLINK("https://prolisok-store.com/products/bed-head-by-tigi-resurrection-shampoo-8-45-oz", "https://prolisok-store.com/products/bed-head-by-tigi-resurrection-shampoo-8-45-oz")</f>
        <v>https://prolisok-store.com/products/bed-head-by-tigi-resurrection-shampoo-8-45-oz</v>
      </c>
      <c r="C2265" t="s">
        <v>5226</v>
      </c>
      <c r="D2265" t="s">
        <v>5609</v>
      </c>
      <c r="E2265" s="3" t="str">
        <f>HYPERLINK("https://www.amazon.com/TIGI-Head-Clean-Daily-Shampoo/dp/B002N5MI2I/ref=sr_1_7?keywords=Bed+head+by+tigi+resurrection+shampoo+8.45+oz&amp;qid=1695259396&amp;sr=8-7", "https://www.amazon.com/TIGI-Head-Clean-Daily-Shampoo/dp/B002N5MI2I/ref=sr_1_7?keywords=Bed+head+by+tigi+resurrection+shampoo+8.45+oz&amp;qid=1695259396&amp;sr=8-7")</f>
        <v>https://www.amazon.com/TIGI-Head-Clean-Daily-Shampoo/dp/B002N5MI2I/ref=sr_1_7?keywords=Bed+head+by+tigi+resurrection+shampoo+8.45+oz&amp;qid=1695259396&amp;sr=8-7</v>
      </c>
      <c r="F2265" t="s">
        <v>5610</v>
      </c>
      <c r="G2265" t="e">
        <f ca="1">IMAGE("https://prolisok-store.com/cdn/shop/products/195947_300x.jpg?v=1690899986")</f>
        <v>#NAME?</v>
      </c>
      <c r="H2265" t="e">
        <f ca="1">IMAGE("https://m.media-amazon.com/images/I/51rtW-Q9RKL._AC_UL320_.jpg")</f>
        <v>#NAME?</v>
      </c>
      <c r="I2265" t="s">
        <v>5229</v>
      </c>
      <c r="J2265">
        <v>11.93</v>
      </c>
      <c r="K2265" s="2" t="s">
        <v>5655</v>
      </c>
      <c r="L2265">
        <v>4.5999999999999996</v>
      </c>
      <c r="M2265">
        <v>663</v>
      </c>
      <c r="O2265" t="s">
        <v>26</v>
      </c>
      <c r="P2265" t="s">
        <v>39</v>
      </c>
      <c r="Q2265" t="s">
        <v>5231</v>
      </c>
    </row>
    <row r="2266" spans="1:17" ht="15.75" x14ac:dyDescent="0.25">
      <c r="A2266" s="3" t="str">
        <f>HYPERLINK("https://prolisok-store.com/collections/hair-care/products/bed-head-by-tigi-recovery-shampoo-25-36-oz", "https://prolisok-store.com/collections/hair-care/products/bed-head-by-tigi-recovery-shampoo-25-36-oz")</f>
        <v>https://prolisok-store.com/collections/hair-care/products/bed-head-by-tigi-recovery-shampoo-25-36-oz</v>
      </c>
      <c r="B2266" s="3" t="str">
        <f>HYPERLINK("https://prolisok-store.com/products/bed-head-by-tigi-recovery-shampoo-25-36-oz", "https://prolisok-store.com/products/bed-head-by-tigi-recovery-shampoo-25-36-oz")</f>
        <v>https://prolisok-store.com/products/bed-head-by-tigi-recovery-shampoo-25-36-oz</v>
      </c>
      <c r="C2266" t="s">
        <v>5360</v>
      </c>
      <c r="D2266" t="s">
        <v>5656</v>
      </c>
      <c r="E2266" s="3" t="str">
        <f>HYPERLINK("https://www.amazon.com/Tigi-Urban-dotes-Recovery-Shampoo/dp/B00DSDJUJI/ref=sr_1_4?keywords=Bed+head+by+tigi+recovery+shampoo+25.36+oz&amp;qid=1695259368&amp;sr=8-4", "https://www.amazon.com/Tigi-Urban-dotes-Recovery-Shampoo/dp/B00DSDJUJI/ref=sr_1_4?keywords=Bed+head+by+tigi+recovery+shampoo+25.36+oz&amp;qid=1695259368&amp;sr=8-4")</f>
        <v>https://www.amazon.com/Tigi-Urban-dotes-Recovery-Shampoo/dp/B00DSDJUJI/ref=sr_1_4?keywords=Bed+head+by+tigi+recovery+shampoo+25.36+oz&amp;qid=1695259368&amp;sr=8-4</v>
      </c>
      <c r="F2266" t="s">
        <v>5657</v>
      </c>
      <c r="G2266" t="e">
        <f ca="1">IMAGE("https://prolisok-store.com/cdn/shop/products/195934_300x.jpg?v=1690899977")</f>
        <v>#NAME?</v>
      </c>
      <c r="H2266" t="e">
        <f ca="1">IMAGE("https://m.media-amazon.com/images/I/51rHqO11G0L._AC_UL320_.jpg")</f>
        <v>#NAME?</v>
      </c>
      <c r="I2266" t="s">
        <v>5348</v>
      </c>
      <c r="J2266">
        <v>18.989999999999998</v>
      </c>
      <c r="K2266" s="2" t="s">
        <v>5658</v>
      </c>
      <c r="L2266">
        <v>4.5</v>
      </c>
      <c r="M2266">
        <v>122</v>
      </c>
      <c r="O2266" t="s">
        <v>26</v>
      </c>
      <c r="P2266" t="s">
        <v>39</v>
      </c>
      <c r="Q2266" t="s">
        <v>5362</v>
      </c>
    </row>
    <row r="2267" spans="1:17" ht="15.75" x14ac:dyDescent="0.25">
      <c r="A2267" s="3" t="str">
        <f>HYPERLINK("https://prolisok-store.com/collections/hair-care/products/bed-head-by-tigi-gimme-grip-texturizing-conditioner-13-53-oz", "https://prolisok-store.com/collections/hair-care/products/bed-head-by-tigi-gimme-grip-texturizing-conditioner-13-53-oz")</f>
        <v>https://prolisok-store.com/collections/hair-care/products/bed-head-by-tigi-gimme-grip-texturizing-conditioner-13-53-oz</v>
      </c>
      <c r="B2267" s="3" t="str">
        <f>HYPERLINK("https://prolisok-store.com/products/bed-head-by-tigi-gimme-grip-texturizing-conditioner-13-53-oz", "https://prolisok-store.com/products/bed-head-by-tigi-gimme-grip-texturizing-conditioner-13-53-oz")</f>
        <v>https://prolisok-store.com/products/bed-head-by-tigi-gimme-grip-texturizing-conditioner-13-53-oz</v>
      </c>
      <c r="C2267" t="s">
        <v>5571</v>
      </c>
      <c r="D2267" t="s">
        <v>5659</v>
      </c>
      <c r="E2267" s="3" t="str">
        <f>HYPERLINK("https://www.amazon.com/TIGI-GIMME-TEXTURIZING-SHAMPOO-TEXTURE/dp/B093CXM4K6/ref=sr_1_4?keywords=Bed+head+by+tigi+gimme+grip+texturizing+conditioner+13.53+oz&amp;qid=1695259382&amp;sr=8-4", "https://www.amazon.com/TIGI-GIMME-TEXTURIZING-SHAMPOO-TEXTURE/dp/B093CXM4K6/ref=sr_1_4?keywords=Bed+head+by+tigi+gimme+grip+texturizing+conditioner+13.53+oz&amp;qid=1695259382&amp;sr=8-4")</f>
        <v>https://www.amazon.com/TIGI-GIMME-TEXTURIZING-SHAMPOO-TEXTURE/dp/B093CXM4K6/ref=sr_1_4?keywords=Bed+head+by+tigi+gimme+grip+texturizing+conditioner+13.53+oz&amp;qid=1695259382&amp;sr=8-4</v>
      </c>
      <c r="F2267" t="s">
        <v>5660</v>
      </c>
      <c r="G2267" t="e">
        <f ca="1">IMAGE("https://prolisok-store.com/cdn/shop/products/416045_300x.jpg?v=1690899996")</f>
        <v>#NAME?</v>
      </c>
      <c r="H2267" t="e">
        <f ca="1">IMAGE("https://m.media-amazon.com/images/I/514ANhzM7BL._AC_UL320_.jpg")</f>
        <v>#NAME?</v>
      </c>
      <c r="I2267" t="s">
        <v>5103</v>
      </c>
      <c r="J2267">
        <v>12.99</v>
      </c>
      <c r="K2267" s="2" t="s">
        <v>5661</v>
      </c>
      <c r="L2267">
        <v>4.4000000000000004</v>
      </c>
      <c r="M2267">
        <v>52</v>
      </c>
      <c r="O2267" t="s">
        <v>26</v>
      </c>
      <c r="P2267" t="s">
        <v>39</v>
      </c>
      <c r="Q2267" t="s">
        <v>5572</v>
      </c>
    </row>
    <row r="2268" spans="1:17" ht="15.75" x14ac:dyDescent="0.25">
      <c r="A2268" s="3" t="str">
        <f>HYPERLINK("https://prolisok-store.com/collections/hair-care/products/bed-head-by-tigi-gimme-grip-texturizing-shampoo-13-53-oz", "https://prolisok-store.com/collections/hair-care/products/bed-head-by-tigi-gimme-grip-texturizing-shampoo-13-53-oz")</f>
        <v>https://prolisok-store.com/collections/hair-care/products/bed-head-by-tigi-gimme-grip-texturizing-shampoo-13-53-oz</v>
      </c>
      <c r="B2268" s="3" t="str">
        <f>HYPERLINK("https://prolisok-store.com/products/bed-head-by-tigi-gimme-grip-texturizing-shampoo-13-53-oz", "https://prolisok-store.com/products/bed-head-by-tigi-gimme-grip-texturizing-shampoo-13-53-oz")</f>
        <v>https://prolisok-store.com/products/bed-head-by-tigi-gimme-grip-texturizing-shampoo-13-53-oz</v>
      </c>
      <c r="C2268" t="s">
        <v>5566</v>
      </c>
      <c r="D2268" t="s">
        <v>5659</v>
      </c>
      <c r="E2268" s="3" t="str">
        <f>HYPERLINK("https://www.amazon.com/TIGI-GIMME-TEXTURIZING-SHAMPOO-TEXTURE/dp/B093CXM4K6/ref=sr_1_2?keywords=Bed+head+by+tigi+gimme+grip+texturizing+shampoo+13.53+oz&amp;qid=1695259377&amp;sr=8-2", "https://www.amazon.com/TIGI-GIMME-TEXTURIZING-SHAMPOO-TEXTURE/dp/B093CXM4K6/ref=sr_1_2?keywords=Bed+head+by+tigi+gimme+grip+texturizing+shampoo+13.53+oz&amp;qid=1695259377&amp;sr=8-2")</f>
        <v>https://www.amazon.com/TIGI-GIMME-TEXTURIZING-SHAMPOO-TEXTURE/dp/B093CXM4K6/ref=sr_1_2?keywords=Bed+head+by+tigi+gimme+grip+texturizing+shampoo+13.53+oz&amp;qid=1695259377&amp;sr=8-2</v>
      </c>
      <c r="F2268" t="s">
        <v>5660</v>
      </c>
      <c r="G2268" t="e">
        <f ca="1">IMAGE("https://prolisok-store.com/cdn/shop/products/416046_300x.jpg?v=1690899998")</f>
        <v>#NAME?</v>
      </c>
      <c r="H2268" t="e">
        <f ca="1">IMAGE("https://m.media-amazon.com/images/I/514ANhzM7BL._AC_UL320_.jpg")</f>
        <v>#NAME?</v>
      </c>
      <c r="I2268" t="s">
        <v>5103</v>
      </c>
      <c r="J2268">
        <v>12.99</v>
      </c>
      <c r="K2268" s="2" t="s">
        <v>5661</v>
      </c>
      <c r="L2268">
        <v>4.4000000000000004</v>
      </c>
      <c r="M2268">
        <v>52</v>
      </c>
      <c r="O2268" t="s">
        <v>26</v>
      </c>
      <c r="P2268" t="s">
        <v>39</v>
      </c>
      <c r="Q2268" t="s">
        <v>5570</v>
      </c>
    </row>
    <row r="2269" spans="1:17" ht="15.75" x14ac:dyDescent="0.25">
      <c r="A2269" s="3" t="str">
        <f>HYPERLINK("https://prolisok-store.com/collections/hair-care/products/bed-head-by-tigi-dumb-blonde-reconstructor-6-7-oz", "https://prolisok-store.com/collections/hair-care/products/bed-head-by-tigi-dumb-blonde-reconstructor-6-7-oz")</f>
        <v>https://prolisok-store.com/collections/hair-care/products/bed-head-by-tigi-dumb-blonde-reconstructor-6-7-oz</v>
      </c>
      <c r="B2269" s="3" t="str">
        <f>HYPERLINK("https://prolisok-store.com/products/bed-head-by-tigi-dumb-blonde-reconstructor-6-7-oz", "https://prolisok-store.com/products/bed-head-by-tigi-dumb-blonde-reconstructor-6-7-oz")</f>
        <v>https://prolisok-store.com/products/bed-head-by-tigi-dumb-blonde-reconstructor-6-7-oz</v>
      </c>
      <c r="C2269" t="s">
        <v>5423</v>
      </c>
      <c r="D2269" t="s">
        <v>5662</v>
      </c>
      <c r="E2269" s="3" t="str">
        <f>HYPERLINK("https://www.amazon.com/TIGI-Head-Blonde-Reconstructor-Conditioner/dp/B00B5PD3JO/ref=sr_1_9?keywords=Bed+head+by+tigi+dumb+blonde+reconstructor+6.7+oz&amp;qid=1695259391&amp;sr=8-9", "https://www.amazon.com/TIGI-Head-Blonde-Reconstructor-Conditioner/dp/B00B5PD3JO/ref=sr_1_9?keywords=Bed+head+by+tigi+dumb+blonde+reconstructor+6.7+oz&amp;qid=1695259391&amp;sr=8-9")</f>
        <v>https://www.amazon.com/TIGI-Head-Blonde-Reconstructor-Conditioner/dp/B00B5PD3JO/ref=sr_1_9?keywords=Bed+head+by+tigi+dumb+blonde+reconstructor+6.7+oz&amp;qid=1695259391&amp;sr=8-9</v>
      </c>
      <c r="F2269" t="s">
        <v>5663</v>
      </c>
      <c r="G2269" t="e">
        <f ca="1">IMAGE("https://prolisok-store.com/cdn/shop/products/131722_300x.jpg?v=1690899961")</f>
        <v>#NAME?</v>
      </c>
      <c r="H2269" t="e">
        <f ca="1">IMAGE("https://m.media-amazon.com/images/I/71N+X1+77-L._AC_UL320_.jpg")</f>
        <v>#NAME?</v>
      </c>
      <c r="I2269" t="s">
        <v>5426</v>
      </c>
      <c r="J2269">
        <v>13.99</v>
      </c>
      <c r="K2269" s="2" t="s">
        <v>5664</v>
      </c>
      <c r="L2269">
        <v>4.3</v>
      </c>
      <c r="M2269">
        <v>72</v>
      </c>
      <c r="O2269" t="s">
        <v>26</v>
      </c>
      <c r="P2269" t="s">
        <v>39</v>
      </c>
      <c r="Q2269" t="s">
        <v>5428</v>
      </c>
    </row>
    <row r="2270" spans="1:17" ht="15.75" x14ac:dyDescent="0.25">
      <c r="A2270" s="3" t="str">
        <f>HYPERLINK("https://prolisok-store.com/collections/hair-care/products/sisley-sisley-hair-rituel-revitalizing-serum-for-the-scalp-2-oz", "https://prolisok-store.com/collections/hair-care/products/sisley-sisley-hair-rituel-revitalizing-serum-for-the-scalp-2-oz")</f>
        <v>https://prolisok-store.com/collections/hair-care/products/sisley-sisley-hair-rituel-revitalizing-serum-for-the-scalp-2-oz</v>
      </c>
      <c r="B2270" s="3" t="str">
        <f>HYPERLINK("https://prolisok-store.com/products/sisley-sisley-hair-rituel-revitalizing-serum-for-the-scalp-2-oz", "https://prolisok-store.com/products/sisley-sisley-hair-rituel-revitalizing-serum-for-the-scalp-2-oz")</f>
        <v>https://prolisok-store.com/products/sisley-sisley-hair-rituel-revitalizing-serum-for-the-scalp-2-oz</v>
      </c>
      <c r="C2270" t="s">
        <v>5665</v>
      </c>
      <c r="D2270" t="s">
        <v>5666</v>
      </c>
      <c r="E2270" s="3" t="str">
        <f>HYPERLINK("https://www.amazon.com/Sisley-Hair-Loss-Products-3473311692108/dp/B079Q9DRN5/ref=sr_1_1?keywords=Sisley+sisley+hair+rituel+revitalizing+serum+for+the+scalp+2+oz&amp;qid=1695259378&amp;sr=8-1", "https://www.amazon.com/Sisley-Hair-Loss-Products-3473311692108/dp/B079Q9DRN5/ref=sr_1_1?keywords=Sisley+sisley+hair+rituel+revitalizing+serum+for+the+scalp+2+oz&amp;qid=1695259378&amp;sr=8-1")</f>
        <v>https://www.amazon.com/Sisley-Hair-Loss-Products-3473311692108/dp/B079Q9DRN5/ref=sr_1_1?keywords=Sisley+sisley+hair+rituel+revitalizing+serum+for+the+scalp+2+oz&amp;qid=1695259378&amp;sr=8-1</v>
      </c>
      <c r="F2270" t="s">
        <v>5667</v>
      </c>
      <c r="G2270" t="e">
        <f ca="1">IMAGE("https://prolisok-store.com/cdn/shop/products/312170_300x.jpg?v=1690900800")</f>
        <v>#NAME?</v>
      </c>
      <c r="H2270" t="e">
        <f ca="1">IMAGE("https://m.media-amazon.com/images/I/41AhW2ME+UL._AC_UL320_.jpg")</f>
        <v>#NAME?</v>
      </c>
      <c r="I2270" t="s">
        <v>5668</v>
      </c>
      <c r="J2270">
        <v>152.63999999999999</v>
      </c>
      <c r="K2270" s="2" t="s">
        <v>5669</v>
      </c>
      <c r="L2270">
        <v>3.9</v>
      </c>
      <c r="M2270">
        <v>32</v>
      </c>
      <c r="O2270" t="s">
        <v>26</v>
      </c>
      <c r="P2270" t="s">
        <v>39</v>
      </c>
      <c r="Q2270" t="s">
        <v>5670</v>
      </c>
    </row>
    <row r="2271" spans="1:17" ht="15.75" x14ac:dyDescent="0.25">
      <c r="A2271" s="3" t="str">
        <f>HYPERLINK("https://prolisok-store.com/collections/hair-care/products/bed-head-by-tigi-resurrection-shampoo-32-8-oz", "https://prolisok-store.com/collections/hair-care/products/bed-head-by-tigi-resurrection-shampoo-32-8-oz")</f>
        <v>https://prolisok-store.com/collections/hair-care/products/bed-head-by-tigi-resurrection-shampoo-32-8-oz</v>
      </c>
      <c r="B2271" s="3" t="str">
        <f>HYPERLINK("https://prolisok-store.com/products/bed-head-by-tigi-resurrection-shampoo-32-8-oz", "https://prolisok-store.com/products/bed-head-by-tigi-resurrection-shampoo-32-8-oz")</f>
        <v>https://prolisok-store.com/products/bed-head-by-tigi-resurrection-shampoo-32-8-oz</v>
      </c>
      <c r="C2271" t="s">
        <v>5483</v>
      </c>
      <c r="D2271" t="s">
        <v>5173</v>
      </c>
      <c r="E2271" s="3" t="str">
        <f>HYPERLINK("https://www.amazon.com/TIGI-Shampoo-Conditioner-Damaged-Resurrection/dp/B0BRTBN9PB/ref=sr_1_4?keywords=Bed+head+by+tigi+resurrection+shampoo+32.8+oz&amp;qid=1695259397&amp;sr=8-4", "https://www.amazon.com/TIGI-Shampoo-Conditioner-Damaged-Resurrection/dp/B0BRTBN9PB/ref=sr_1_4?keywords=Bed+head+by+tigi+resurrection+shampoo+32.8+oz&amp;qid=1695259397&amp;sr=8-4")</f>
        <v>https://www.amazon.com/TIGI-Shampoo-Conditioner-Damaged-Resurrection/dp/B0BRTBN9PB/ref=sr_1_4?keywords=Bed+head+by+tigi+resurrection+shampoo+32.8+oz&amp;qid=1695259397&amp;sr=8-4</v>
      </c>
      <c r="F2271" t="s">
        <v>5174</v>
      </c>
      <c r="G2271" t="e">
        <f ca="1">IMAGE("https://prolisok-store.com/cdn/shop/products/416082_300x.jpg?v=1690900037")</f>
        <v>#NAME?</v>
      </c>
      <c r="H2271" t="e">
        <f ca="1">IMAGE("https://m.media-amazon.com/images/I/716EfzSrDaL._AC_UL320_.jpg")</f>
        <v>#NAME?</v>
      </c>
      <c r="I2271" t="s">
        <v>5484</v>
      </c>
      <c r="J2271">
        <v>24.99</v>
      </c>
      <c r="K2271" s="2" t="s">
        <v>5671</v>
      </c>
      <c r="L2271">
        <v>4.5999999999999996</v>
      </c>
      <c r="M2271">
        <v>493</v>
      </c>
      <c r="O2271" t="s">
        <v>26</v>
      </c>
      <c r="P2271" t="s">
        <v>39</v>
      </c>
      <c r="Q2271" t="s">
        <v>5486</v>
      </c>
    </row>
    <row r="2272" spans="1:17" ht="15.75" x14ac:dyDescent="0.25">
      <c r="A2272" s="3" t="str">
        <f>HYPERLINK("https://prolisok-store.com/collections/hair-care/products/bed-head-by-tigi-recovery-shampoo-32-8-oz", "https://prolisok-store.com/collections/hair-care/products/bed-head-by-tigi-recovery-shampoo-32-8-oz")</f>
        <v>https://prolisok-store.com/collections/hair-care/products/bed-head-by-tigi-recovery-shampoo-32-8-oz</v>
      </c>
      <c r="B2272" s="3" t="str">
        <f>HYPERLINK("https://prolisok-store.com/products/bed-head-by-tigi-recovery-shampoo-32-8-oz", "https://prolisok-store.com/products/bed-head-by-tigi-recovery-shampoo-32-8-oz")</f>
        <v>https://prolisok-store.com/products/bed-head-by-tigi-recovery-shampoo-32-8-oz</v>
      </c>
      <c r="C2272" t="s">
        <v>5652</v>
      </c>
      <c r="D2272" t="s">
        <v>5169</v>
      </c>
      <c r="E2272" s="3" t="str">
        <f>HYPERLINK("https://www.amazon.com/TIGI-Shampoo-Conditioner-Recovery-Prickly/dp/B0BRT9LM3J/ref=sr_1_4?keywords=Bed+head+by+tigi+recovery+shampoo+32.8+oz&amp;qid=1695259369&amp;sr=8-4", "https://www.amazon.com/TIGI-Shampoo-Conditioner-Recovery-Prickly/dp/B0BRT9LM3J/ref=sr_1_4?keywords=Bed+head+by+tigi+recovery+shampoo+32.8+oz&amp;qid=1695259369&amp;sr=8-4")</f>
        <v>https://www.amazon.com/TIGI-Shampoo-Conditioner-Recovery-Prickly/dp/B0BRT9LM3J/ref=sr_1_4?keywords=Bed+head+by+tigi+recovery+shampoo+32.8+oz&amp;qid=1695259369&amp;sr=8-4</v>
      </c>
      <c r="F2272" t="s">
        <v>5170</v>
      </c>
      <c r="G2272" t="e">
        <f ca="1">IMAGE("https://prolisok-store.com/cdn/shop/products/416078_300x.jpg?v=1690900031")</f>
        <v>#NAME?</v>
      </c>
      <c r="H2272" t="e">
        <f ca="1">IMAGE("https://m.media-amazon.com/images/I/71tWMdMnOHL._AC_UL320_.jpg")</f>
        <v>#NAME?</v>
      </c>
      <c r="I2272" t="s">
        <v>5484</v>
      </c>
      <c r="J2272">
        <v>24.99</v>
      </c>
      <c r="K2272" s="2" t="s">
        <v>5671</v>
      </c>
      <c r="L2272">
        <v>4.5999999999999996</v>
      </c>
      <c r="M2272">
        <v>410</v>
      </c>
      <c r="O2272" t="s">
        <v>26</v>
      </c>
      <c r="P2272" t="s">
        <v>39</v>
      </c>
      <c r="Q2272" t="s">
        <v>5654</v>
      </c>
    </row>
    <row r="2273" spans="1:17" ht="15.75" x14ac:dyDescent="0.25">
      <c r="A2273" s="3" t="str">
        <f>HYPERLINK("https://prolisok-store.com/collections/hair-care/products/bed-head-by-tigi-colour-goddess-oil-infused-shampoo-for-coloured-hair-32-8-oz", "https://prolisok-store.com/collections/hair-care/products/bed-head-by-tigi-colour-goddess-oil-infused-shampoo-for-coloured-hair-32-8-oz")</f>
        <v>https://prolisok-store.com/collections/hair-care/products/bed-head-by-tigi-colour-goddess-oil-infused-shampoo-for-coloured-hair-32-8-oz</v>
      </c>
      <c r="B2273" s="3" t="str">
        <f>HYPERLINK("https://prolisok-store.com/products/bed-head-by-tigi-colour-goddess-oil-infused-shampoo-for-coloured-hair-32-8-oz", "https://prolisok-store.com/products/bed-head-by-tigi-colour-goddess-oil-infused-shampoo-for-coloured-hair-32-8-oz")</f>
        <v>https://prolisok-store.com/products/bed-head-by-tigi-colour-goddess-oil-infused-shampoo-for-coloured-hair-32-8-oz</v>
      </c>
      <c r="C2273" t="s">
        <v>5511</v>
      </c>
      <c r="D2273" t="s">
        <v>5344</v>
      </c>
      <c r="E2273" s="3" t="str">
        <f>HYPERLINK("https://www.amazon.com/TIGI-Shampoo-Conditioner-Colored-Goddess/dp/B0BRTB98JS/ref=sr_1_6?keywords=Bed+head+by+tigi+colour+goddess+oil+infused+shampoo+for+coloured+hair+32.8+oz&amp;qid=1695259395&amp;sr=8-6", "https://www.amazon.com/TIGI-Shampoo-Conditioner-Colored-Goddess/dp/B0BRTB98JS/ref=sr_1_6?keywords=Bed+head+by+tigi+colour+goddess+oil+infused+shampoo+for+coloured+hair+32.8+oz&amp;qid=1695259395&amp;sr=8-6")</f>
        <v>https://www.amazon.com/TIGI-Shampoo-Conditioner-Colored-Goddess/dp/B0BRTB98JS/ref=sr_1_6?keywords=Bed+head+by+tigi+colour+goddess+oil+infused+shampoo+for+coloured+hair+32.8+oz&amp;qid=1695259395&amp;sr=8-6</v>
      </c>
      <c r="F2273" t="s">
        <v>5345</v>
      </c>
      <c r="G2273" t="e">
        <f ca="1">IMAGE("https://prolisok-store.com/cdn/shop/products/416047_300x.jpg?v=1690900000")</f>
        <v>#NAME?</v>
      </c>
      <c r="H2273" t="e">
        <f ca="1">IMAGE("https://m.media-amazon.com/images/I/81wvHFfcXZL._AC_UL320_.jpg")</f>
        <v>#NAME?</v>
      </c>
      <c r="I2273" t="s">
        <v>5484</v>
      </c>
      <c r="J2273">
        <v>24.9</v>
      </c>
      <c r="K2273" s="2" t="s">
        <v>5672</v>
      </c>
      <c r="L2273">
        <v>4.5</v>
      </c>
      <c r="M2273">
        <v>357</v>
      </c>
      <c r="O2273" t="s">
        <v>26</v>
      </c>
      <c r="P2273" t="s">
        <v>39</v>
      </c>
      <c r="Q2273" t="s">
        <v>5513</v>
      </c>
    </row>
    <row r="2274" spans="1:17" ht="15.75" x14ac:dyDescent="0.25">
      <c r="A2274" s="3" t="str">
        <f>HYPERLINK("https://prolisok-store.com/collections/hair-care/products/bed-head-by-tigi-resurrection-shampoo-3-38-oz", "https://prolisok-store.com/collections/hair-care/products/bed-head-by-tigi-resurrection-shampoo-3-38-oz")</f>
        <v>https://prolisok-store.com/collections/hair-care/products/bed-head-by-tigi-resurrection-shampoo-3-38-oz</v>
      </c>
      <c r="B2274" s="3" t="str">
        <f>HYPERLINK("https://prolisok-store.com/products/bed-head-by-tigi-resurrection-shampoo-3-38-oz", "https://prolisok-store.com/products/bed-head-by-tigi-resurrection-shampoo-3-38-oz")</f>
        <v>https://prolisok-store.com/products/bed-head-by-tigi-resurrection-shampoo-3-38-oz</v>
      </c>
      <c r="C2274" t="s">
        <v>5176</v>
      </c>
      <c r="D2274" t="s">
        <v>5673</v>
      </c>
      <c r="E2274" s="3" t="str">
        <f>HYPERLINK("https://www.amazon.com/TIGI-Resurrection-Repair-Shampoo-Damaged/dp/B08R4ZR4F1/ref=sr_1_3?keywords=Bed+head+by+tigi+resurrection+shampoo+3.38+oz&amp;qid=1695259374&amp;sr=8-3", "https://www.amazon.com/TIGI-Resurrection-Repair-Shampoo-Damaged/dp/B08R4ZR4F1/ref=sr_1_3?keywords=Bed+head+by+tigi+resurrection+shampoo+3.38+oz&amp;qid=1695259374&amp;sr=8-3")</f>
        <v>https://www.amazon.com/TIGI-Resurrection-Repair-Shampoo-Damaged/dp/B08R4ZR4F1/ref=sr_1_3?keywords=Bed+head+by+tigi+resurrection+shampoo+3.38+oz&amp;qid=1695259374&amp;sr=8-3</v>
      </c>
      <c r="F2274" t="s">
        <v>5674</v>
      </c>
      <c r="G2274" t="e">
        <f ca="1">IMAGE("https://prolisok-store.com/cdn/shop/products/416088_300x.jpg?v=1690900045")</f>
        <v>#NAME?</v>
      </c>
      <c r="H2274" t="e">
        <f ca="1">IMAGE("https://m.media-amazon.com/images/I/61piZqFD1JL._AC_UL320_.jpg")</f>
        <v>#NAME?</v>
      </c>
      <c r="I2274" t="s">
        <v>5166</v>
      </c>
      <c r="J2274">
        <v>6.99</v>
      </c>
      <c r="K2274" s="2" t="s">
        <v>5675</v>
      </c>
      <c r="L2274">
        <v>4.3</v>
      </c>
      <c r="M2274">
        <v>77</v>
      </c>
      <c r="O2274" t="s">
        <v>26</v>
      </c>
      <c r="P2274" t="s">
        <v>39</v>
      </c>
      <c r="Q2274" t="s">
        <v>5177</v>
      </c>
    </row>
    <row r="2275" spans="1:17" ht="15.75" x14ac:dyDescent="0.25">
      <c r="A2275" s="3" t="str">
        <f>HYPERLINK("https://prolisok-store.com/collections/hair-care/products/bed-head-by-tigi-stick-a-hair-stick-for-cool-people-2-7-oz", "https://prolisok-store.com/collections/hair-care/products/bed-head-by-tigi-stick-a-hair-stick-for-cool-people-2-7-oz")</f>
        <v>https://prolisok-store.com/collections/hair-care/products/bed-head-by-tigi-stick-a-hair-stick-for-cool-people-2-7-oz</v>
      </c>
      <c r="B2275" s="3" t="str">
        <f>HYPERLINK("https://prolisok-store.com/products/bed-head-by-tigi-stick-a-hair-stick-for-cool-people-2-7-oz", "https://prolisok-store.com/products/bed-head-by-tigi-stick-a-hair-stick-for-cool-people-2-7-oz")</f>
        <v>https://prolisok-store.com/products/bed-head-by-tigi-stick-a-hair-stick-for-cool-people-2-7-oz</v>
      </c>
      <c r="C2275" t="s">
        <v>5232</v>
      </c>
      <c r="D2275" t="s">
        <v>5676</v>
      </c>
      <c r="E2275" s="3" t="str">
        <f>HYPERLINK("https://www.amazon.com/Tigi-Bed-Head-Stick-Pliable/dp/B01J7RZVI2/ref=sr_1_2?keywords=Bed+head+by+tigi+stick+-+a+hair+stick+for+cool+people+2.7+oz&amp;qid=1695259383&amp;sr=8-2", "https://www.amazon.com/Tigi-Bed-Head-Stick-Pliable/dp/B01J7RZVI2/ref=sr_1_2?keywords=Bed+head+by+tigi+stick+-+a+hair+stick+for+cool+people+2.7+oz&amp;qid=1695259383&amp;sr=8-2")</f>
        <v>https://www.amazon.com/Tigi-Bed-Head-Stick-Pliable/dp/B01J7RZVI2/ref=sr_1_2?keywords=Bed+head+by+tigi+stick+-+a+hair+stick+for+cool+people+2.7+oz&amp;qid=1695259383&amp;sr=8-2</v>
      </c>
      <c r="F2275" t="s">
        <v>5677</v>
      </c>
      <c r="G2275" t="e">
        <f ca="1">IMAGE("https://prolisok-store.com/cdn/shop/products/152852_300x.jpg?v=1690899965")</f>
        <v>#NAME?</v>
      </c>
      <c r="H2275" t="e">
        <f ca="1">IMAGE("https://m.media-amazon.com/images/I/61aBrQRJ0AL._AC_UL320_.jpg")</f>
        <v>#NAME?</v>
      </c>
      <c r="I2275" t="s">
        <v>1748</v>
      </c>
      <c r="J2275">
        <v>19.8</v>
      </c>
      <c r="K2275" s="2" t="s">
        <v>5678</v>
      </c>
      <c r="L2275">
        <v>4.4000000000000004</v>
      </c>
      <c r="M2275">
        <v>271</v>
      </c>
      <c r="O2275" t="s">
        <v>26</v>
      </c>
      <c r="P2275" t="s">
        <v>39</v>
      </c>
      <c r="Q2275" t="s">
        <v>5236</v>
      </c>
    </row>
    <row r="2276" spans="1:17" ht="15.75" x14ac:dyDescent="0.25">
      <c r="A2276" s="3" t="str">
        <f>HYPERLINK("https://prolisok-store.com/collections/hair-care/products/bed-head-by-tigi-flexi-head-hair-spray-10-6-oz", "https://prolisok-store.com/collections/hair-care/products/bed-head-by-tigi-flexi-head-hair-spray-10-6-oz")</f>
        <v>https://prolisok-store.com/collections/hair-care/products/bed-head-by-tigi-flexi-head-hair-spray-10-6-oz</v>
      </c>
      <c r="B2276" s="3" t="str">
        <f>HYPERLINK("https://prolisok-store.com/products/bed-head-by-tigi-flexi-head-hair-spray-10-6-oz", "https://prolisok-store.com/products/bed-head-by-tigi-flexi-head-hair-spray-10-6-oz")</f>
        <v>https://prolisok-store.com/products/bed-head-by-tigi-flexi-head-hair-spray-10-6-oz</v>
      </c>
      <c r="C2276" t="s">
        <v>5195</v>
      </c>
      <c r="D2276" t="s">
        <v>5647</v>
      </c>
      <c r="E2276" s="3" t="str">
        <f>HYPERLINK("https://www.amazon.com/Tigi-Showdown-Anti-Frizz-Strong-Hairspray/dp/B083RGYZZ3/ref=sr_1_3?keywords=Bed+head+by+tigi+flexi+head+hair+spray+10.6+oz&amp;qid=1695259385&amp;sr=8-3", "https://www.amazon.com/Tigi-Showdown-Anti-Frizz-Strong-Hairspray/dp/B083RGYZZ3/ref=sr_1_3?keywords=Bed+head+by+tigi+flexi+head+hair+spray+10.6+oz&amp;qid=1695259385&amp;sr=8-3")</f>
        <v>https://www.amazon.com/Tigi-Showdown-Anti-Frizz-Strong-Hairspray/dp/B083RGYZZ3/ref=sr_1_3?keywords=Bed+head+by+tigi+flexi+head+hair+spray+10.6+oz&amp;qid=1695259385&amp;sr=8-3</v>
      </c>
      <c r="F2276" t="s">
        <v>5648</v>
      </c>
      <c r="G2276" t="e">
        <f ca="1">IMAGE("https://prolisok-store.com/cdn/shop/products/280790_300x.jpg?v=1690899950")</f>
        <v>#NAME?</v>
      </c>
      <c r="H2276" t="e">
        <f ca="1">IMAGE("https://m.media-amazon.com/images/I/61Z-pMe4GQL._AC_UL320_.jpg")</f>
        <v>#NAME?</v>
      </c>
      <c r="I2276" t="s">
        <v>5198</v>
      </c>
      <c r="J2276">
        <v>17.850000000000001</v>
      </c>
      <c r="K2276" s="2" t="s">
        <v>5679</v>
      </c>
      <c r="L2276">
        <v>4.4000000000000004</v>
      </c>
      <c r="M2276">
        <v>58</v>
      </c>
      <c r="O2276" t="s">
        <v>26</v>
      </c>
      <c r="P2276" t="s">
        <v>39</v>
      </c>
      <c r="Q2276" t="s">
        <v>5200</v>
      </c>
    </row>
    <row r="2277" spans="1:17" ht="15.75" x14ac:dyDescent="0.25">
      <c r="A2277" s="3" t="str">
        <f>HYPERLINK("https://prolisok-store.com/collections/hair-care/products/bed-head-by-tigi-resurrection-conditioner-25-36-oz", "https://prolisok-store.com/collections/hair-care/products/bed-head-by-tigi-resurrection-conditioner-25-36-oz")</f>
        <v>https://prolisok-store.com/collections/hair-care/products/bed-head-by-tigi-resurrection-conditioner-25-36-oz</v>
      </c>
      <c r="B2277" s="3" t="str">
        <f>HYPERLINK("https://prolisok-store.com/products/bed-head-by-tigi-resurrection-conditioner-25-36-oz", "https://prolisok-store.com/products/bed-head-by-tigi-resurrection-conditioner-25-36-oz")</f>
        <v>https://prolisok-store.com/products/bed-head-by-tigi-resurrection-conditioner-25-36-oz</v>
      </c>
      <c r="C2277" t="s">
        <v>5521</v>
      </c>
      <c r="D2277" t="s">
        <v>5188</v>
      </c>
      <c r="E2277" s="3" t="str">
        <f>HYPERLINK("https://www.amazon.com/TIGI-Urban-Resurrection-Conditioner-level-3/dp/B006A6TU5Y/ref=sr_1_2?keywords=Bed+head+by+tigi+resurrection+conditioner+25.36+oz&amp;qid=1695259389&amp;sr=8-2", "https://www.amazon.com/TIGI-Urban-Resurrection-Conditioner-level-3/dp/B006A6TU5Y/ref=sr_1_2?keywords=Bed+head+by+tigi+resurrection+conditioner+25.36+oz&amp;qid=1695259389&amp;sr=8-2")</f>
        <v>https://www.amazon.com/TIGI-Urban-Resurrection-Conditioner-level-3/dp/B006A6TU5Y/ref=sr_1_2?keywords=Bed+head+by+tigi+resurrection+conditioner+25.36+oz&amp;qid=1695259389&amp;sr=8-2</v>
      </c>
      <c r="F2277" t="s">
        <v>5189</v>
      </c>
      <c r="G2277" t="e">
        <f ca="1">IMAGE("https://prolisok-store.com/cdn/shop/products/195943_300x.jpg?v=1690899983")</f>
        <v>#NAME?</v>
      </c>
      <c r="H2277" t="e">
        <f ca="1">IMAGE("https://m.media-amazon.com/images/I/81S1QERjQ8L._AC_UL320_.jpg")</f>
        <v>#NAME?</v>
      </c>
      <c r="I2277" t="s">
        <v>5348</v>
      </c>
      <c r="J2277">
        <v>18.600000000000001</v>
      </c>
      <c r="K2277" s="2" t="s">
        <v>5680</v>
      </c>
      <c r="L2277">
        <v>4.3</v>
      </c>
      <c r="M2277">
        <v>106</v>
      </c>
      <c r="O2277" t="s">
        <v>26</v>
      </c>
      <c r="P2277" t="s">
        <v>39</v>
      </c>
      <c r="Q2277" t="s">
        <v>5525</v>
      </c>
    </row>
    <row r="2278" spans="1:17" ht="15.75" x14ac:dyDescent="0.25">
      <c r="A2278" s="3" t="str">
        <f>HYPERLINK("https://prolisok-store.com/collections/hair-care/products/catwalk-by-tigi-sleek-mystique-calming-conditioner-8-45-oz", "https://prolisok-store.com/collections/hair-care/products/catwalk-by-tigi-sleek-mystique-calming-conditioner-8-45-oz")</f>
        <v>https://prolisok-store.com/collections/hair-care/products/catwalk-by-tigi-sleek-mystique-calming-conditioner-8-45-oz</v>
      </c>
      <c r="B2278" s="3" t="str">
        <f>HYPERLINK("https://prolisok-store.com/products/catwalk-by-tigi-sleek-mystique-calming-conditioner-8-45-oz", "https://prolisok-store.com/products/catwalk-by-tigi-sleek-mystique-calming-conditioner-8-45-oz")</f>
        <v>https://prolisok-store.com/products/catwalk-by-tigi-sleek-mystique-calming-conditioner-8-45-oz</v>
      </c>
      <c r="C2278" t="s">
        <v>5681</v>
      </c>
      <c r="D2278" t="s">
        <v>5682</v>
      </c>
      <c r="E2278" s="3" t="str">
        <f>HYPERLINK("https://www.amazon.com/Tigi-Catwalk-Mystique-Calming-Conditioner/dp/B003VHXBBO/ref=sr_1_2?keywords=Catwalk+by+tigi+sleek+mystique+calming+conditioner+8.45+oz&amp;qid=1695259386&amp;sr=8-2", "https://www.amazon.com/Tigi-Catwalk-Mystique-Calming-Conditioner/dp/B003VHXBBO/ref=sr_1_2?keywords=Catwalk+by+tigi+sleek+mystique+calming+conditioner+8.45+oz&amp;qid=1695259386&amp;sr=8-2")</f>
        <v>https://www.amazon.com/Tigi-Catwalk-Mystique-Calming-Conditioner/dp/B003VHXBBO/ref=sr_1_2?keywords=Catwalk+by+tigi+sleek+mystique+calming+conditioner+8.45+oz&amp;qid=1695259386&amp;sr=8-2</v>
      </c>
      <c r="F2278" t="s">
        <v>5683</v>
      </c>
      <c r="G2278" t="e">
        <f ca="1">IMAGE("https://prolisok-store.com/cdn/shop/products/212034_300x.jpg?v=1690900059")</f>
        <v>#NAME?</v>
      </c>
      <c r="H2278" t="e">
        <f ca="1">IMAGE("https://m.media-amazon.com/images/I/714NpZz2TAL._AC_UL320_.jpg")</f>
        <v>#NAME?</v>
      </c>
      <c r="I2278" t="s">
        <v>5684</v>
      </c>
      <c r="J2278">
        <v>13.92</v>
      </c>
      <c r="K2278" s="2" t="s">
        <v>5685</v>
      </c>
      <c r="L2278">
        <v>4.2</v>
      </c>
      <c r="M2278">
        <v>77</v>
      </c>
      <c r="O2278" t="s">
        <v>26</v>
      </c>
      <c r="P2278" t="s">
        <v>39</v>
      </c>
      <c r="Q2278" t="s">
        <v>5686</v>
      </c>
    </row>
    <row r="2279" spans="1:17" ht="15.75" x14ac:dyDescent="0.25">
      <c r="A2279" s="3" t="str">
        <f>HYPERLINK("https://prolisok-store.com/collections/hair-care/products/bed-head-by-tigi-blow-out-golden-illuminating-shine-cream-3-4-oz", "https://prolisok-store.com/collections/hair-care/products/bed-head-by-tigi-blow-out-golden-illuminating-shine-cream-3-4-oz")</f>
        <v>https://prolisok-store.com/collections/hair-care/products/bed-head-by-tigi-blow-out-golden-illuminating-shine-cream-3-4-oz</v>
      </c>
      <c r="B2279" s="3" t="str">
        <f>HYPERLINK("https://prolisok-store.com/products/bed-head-by-tigi-blow-out-golden-illuminating-shine-cream-3-4-oz", "https://prolisok-store.com/products/bed-head-by-tigi-blow-out-golden-illuminating-shine-cream-3-4-oz")</f>
        <v>https://prolisok-store.com/products/bed-head-by-tigi-blow-out-golden-illuminating-shine-cream-3-4-oz</v>
      </c>
      <c r="C2279" t="s">
        <v>5443</v>
      </c>
      <c r="D2279" t="s">
        <v>5687</v>
      </c>
      <c r="E2279" s="3" t="str">
        <f>HYPERLINK("https://www.amazon.com/TIGI-Golden-Illuminating-Shine-Cream/dp/B01HQH9VVI/ref=sr_1_4?keywords=Bed+head+by+tigi+blow-out+golden+illuminating+shine+cream+3.4+oz&amp;qid=1695259394&amp;sr=8-4", "https://www.amazon.com/TIGI-Golden-Illuminating-Shine-Cream/dp/B01HQH9VVI/ref=sr_1_4?keywords=Bed+head+by+tigi+blow-out+golden+illuminating+shine+cream+3.4+oz&amp;qid=1695259394&amp;sr=8-4")</f>
        <v>https://www.amazon.com/TIGI-Golden-Illuminating-Shine-Cream/dp/B01HQH9VVI/ref=sr_1_4?keywords=Bed+head+by+tigi+blow-out+golden+illuminating+shine+cream+3.4+oz&amp;qid=1695259394&amp;sr=8-4</v>
      </c>
      <c r="F2279" t="s">
        <v>5688</v>
      </c>
      <c r="G2279" t="e">
        <f ca="1">IMAGE("https://prolisok-store.com/cdn/shop/products/276505_300x.jpg?v=1690899939")</f>
        <v>#NAME?</v>
      </c>
      <c r="H2279" t="e">
        <f ca="1">IMAGE("https://m.media-amazon.com/images/I/51pklVyfD5L._AC_UL320_.jpg")</f>
        <v>#NAME?</v>
      </c>
      <c r="I2279" t="s">
        <v>5198</v>
      </c>
      <c r="J2279">
        <v>17.489999999999998</v>
      </c>
      <c r="K2279" s="2" t="s">
        <v>5689</v>
      </c>
      <c r="L2279">
        <v>4.4000000000000004</v>
      </c>
      <c r="M2279">
        <v>36</v>
      </c>
      <c r="O2279" t="s">
        <v>26</v>
      </c>
      <c r="P2279" t="s">
        <v>39</v>
      </c>
      <c r="Q2279" t="s">
        <v>5447</v>
      </c>
    </row>
    <row r="2280" spans="1:17" ht="15.75" x14ac:dyDescent="0.25">
      <c r="A2280" s="3" t="str">
        <f>HYPERLINK("https://prolisok-store.com/collections/hair-care/products/bed-head-by-tigi-gimme-grip-texturizing-conditioner-13-53-oz", "https://prolisok-store.com/collections/hair-care/products/bed-head-by-tigi-gimme-grip-texturizing-conditioner-13-53-oz")</f>
        <v>https://prolisok-store.com/collections/hair-care/products/bed-head-by-tigi-gimme-grip-texturizing-conditioner-13-53-oz</v>
      </c>
      <c r="B2280" s="3" t="str">
        <f>HYPERLINK("https://prolisok-store.com/products/bed-head-by-tigi-gimme-grip-texturizing-conditioner-13-53-oz", "https://prolisok-store.com/products/bed-head-by-tigi-gimme-grip-texturizing-conditioner-13-53-oz")</f>
        <v>https://prolisok-store.com/products/bed-head-by-tigi-gimme-grip-texturizing-conditioner-13-53-oz</v>
      </c>
      <c r="C2280" t="s">
        <v>5571</v>
      </c>
      <c r="D2280" t="s">
        <v>5690</v>
      </c>
      <c r="E2280" s="3" t="str">
        <f>HYPERLINK("https://www.amazon.com/BedHead-Gimme-Grip-Conditioner-13-53/dp/B093CX4HYB/ref=sr_1_1?keywords=Bed+head+by+tigi+gimme+grip+texturizing+conditioner+13.53+oz&amp;qid=1695259382&amp;sr=8-1", "https://www.amazon.com/BedHead-Gimme-Grip-Conditioner-13-53/dp/B093CX4HYB/ref=sr_1_1?keywords=Bed+head+by+tigi+gimme+grip+texturizing+conditioner+13.53+oz&amp;qid=1695259382&amp;sr=8-1")</f>
        <v>https://www.amazon.com/BedHead-Gimme-Grip-Conditioner-13-53/dp/B093CX4HYB/ref=sr_1_1?keywords=Bed+head+by+tigi+gimme+grip+texturizing+conditioner+13.53+oz&amp;qid=1695259382&amp;sr=8-1</v>
      </c>
      <c r="F2280" t="s">
        <v>5691</v>
      </c>
      <c r="G2280" t="e">
        <f ca="1">IMAGE("https://prolisok-store.com/cdn/shop/products/416045_300x.jpg?v=1690899996")</f>
        <v>#NAME?</v>
      </c>
      <c r="H2280" t="e">
        <f ca="1">IMAGE("https://m.media-amazon.com/images/I/71+e9YlQf9L._AC_UL320_.jpg")</f>
        <v>#NAME?</v>
      </c>
      <c r="I2280" t="s">
        <v>5103</v>
      </c>
      <c r="J2280">
        <v>12.43</v>
      </c>
      <c r="K2280" s="2" t="s">
        <v>5692</v>
      </c>
      <c r="L2280">
        <v>4.3</v>
      </c>
      <c r="M2280">
        <v>21</v>
      </c>
      <c r="O2280" t="s">
        <v>26</v>
      </c>
      <c r="P2280" t="s">
        <v>39</v>
      </c>
      <c r="Q2280" t="s">
        <v>5572</v>
      </c>
    </row>
    <row r="2281" spans="1:17" ht="15.75" x14ac:dyDescent="0.25">
      <c r="A2281" s="3" t="str">
        <f>HYPERLINK("https://prolisok-store.com/collections/hair-care/products/bed-head-by-tigi-resurrection-shampoo-32-8-oz", "https://prolisok-store.com/collections/hair-care/products/bed-head-by-tigi-resurrection-shampoo-32-8-oz")</f>
        <v>https://prolisok-store.com/collections/hair-care/products/bed-head-by-tigi-resurrection-shampoo-32-8-oz</v>
      </c>
      <c r="B2281" s="3" t="str">
        <f>HYPERLINK("https://prolisok-store.com/products/bed-head-by-tigi-resurrection-shampoo-32-8-oz", "https://prolisok-store.com/products/bed-head-by-tigi-resurrection-shampoo-32-8-oz")</f>
        <v>https://prolisok-store.com/products/bed-head-by-tigi-resurrection-shampoo-32-8-oz</v>
      </c>
      <c r="C2281" t="s">
        <v>5483</v>
      </c>
      <c r="D2281" t="s">
        <v>5141</v>
      </c>
      <c r="E2281" s="3" t="str">
        <f>HYPERLINK("https://www.amazon.com/TIGI-Anti-dote-Recovery-Shampoo-Conditioner/dp/B003T1G0XI/ref=sr_1_8?keywords=Bed+head+by+tigi+resurrection+shampoo+32.8+oz&amp;qid=1695259397&amp;sr=8-8", "https://www.amazon.com/TIGI-Anti-dote-Recovery-Shampoo-Conditioner/dp/B003T1G0XI/ref=sr_1_8?keywords=Bed+head+by+tigi+resurrection+shampoo+32.8+oz&amp;qid=1695259397&amp;sr=8-8")</f>
        <v>https://www.amazon.com/TIGI-Anti-dote-Recovery-Shampoo-Conditioner/dp/B003T1G0XI/ref=sr_1_8?keywords=Bed+head+by+tigi+resurrection+shampoo+32.8+oz&amp;qid=1695259397&amp;sr=8-8</v>
      </c>
      <c r="F2281" t="s">
        <v>5142</v>
      </c>
      <c r="G2281" t="e">
        <f ca="1">IMAGE("https://prolisok-store.com/cdn/shop/products/416082_300x.jpg?v=1690900037")</f>
        <v>#NAME?</v>
      </c>
      <c r="H2281" t="e">
        <f ca="1">IMAGE("https://m.media-amazon.com/images/I/71gvFsIeyLL._AC_UL320_.jpg")</f>
        <v>#NAME?</v>
      </c>
      <c r="I2281" t="s">
        <v>5484</v>
      </c>
      <c r="J2281">
        <v>23.95</v>
      </c>
      <c r="K2281" s="2" t="s">
        <v>5693</v>
      </c>
      <c r="L2281">
        <v>4.5999999999999996</v>
      </c>
      <c r="M2281">
        <v>7980</v>
      </c>
      <c r="O2281" t="s">
        <v>26</v>
      </c>
      <c r="P2281" t="s">
        <v>39</v>
      </c>
      <c r="Q2281" t="s">
        <v>5486</v>
      </c>
    </row>
    <row r="2282" spans="1:17" ht="15.75" x14ac:dyDescent="0.25">
      <c r="A2282" s="3" t="str">
        <f>HYPERLINK("https://prolisok-store.com/collections/hair-care/products/bed-head-by-tigi-recovery-shampoo-32-8-oz", "https://prolisok-store.com/collections/hair-care/products/bed-head-by-tigi-recovery-shampoo-32-8-oz")</f>
        <v>https://prolisok-store.com/collections/hair-care/products/bed-head-by-tigi-recovery-shampoo-32-8-oz</v>
      </c>
      <c r="B2282" s="3" t="str">
        <f>HYPERLINK("https://prolisok-store.com/products/bed-head-by-tigi-recovery-shampoo-32-8-oz", "https://prolisok-store.com/products/bed-head-by-tigi-recovery-shampoo-32-8-oz")</f>
        <v>https://prolisok-store.com/products/bed-head-by-tigi-recovery-shampoo-32-8-oz</v>
      </c>
      <c r="C2282" t="s">
        <v>5652</v>
      </c>
      <c r="D2282" t="s">
        <v>5141</v>
      </c>
      <c r="E2282" s="3" t="str">
        <f>HYPERLINK("https://www.amazon.com/TIGI-Anti-dote-Recovery-Shampoo-Conditioner/dp/B003T1G0XI/ref=sr_1_1?keywords=Bed+head+by+tigi+recovery+shampoo+32.8+oz&amp;qid=1695259369&amp;sr=8-1", "https://www.amazon.com/TIGI-Anti-dote-Recovery-Shampoo-Conditioner/dp/B003T1G0XI/ref=sr_1_1?keywords=Bed+head+by+tigi+recovery+shampoo+32.8+oz&amp;qid=1695259369&amp;sr=8-1")</f>
        <v>https://www.amazon.com/TIGI-Anti-dote-Recovery-Shampoo-Conditioner/dp/B003T1G0XI/ref=sr_1_1?keywords=Bed+head+by+tigi+recovery+shampoo+32.8+oz&amp;qid=1695259369&amp;sr=8-1</v>
      </c>
      <c r="F2282" t="s">
        <v>5142</v>
      </c>
      <c r="G2282" t="e">
        <f ca="1">IMAGE("https://prolisok-store.com/cdn/shop/products/416078_300x.jpg?v=1690900031")</f>
        <v>#NAME?</v>
      </c>
      <c r="H2282" t="e">
        <f ca="1">IMAGE("https://m.media-amazon.com/images/I/71gvFsIeyLL._AC_UL320_.jpg")</f>
        <v>#NAME?</v>
      </c>
      <c r="I2282" t="s">
        <v>5484</v>
      </c>
      <c r="J2282">
        <v>23.95</v>
      </c>
      <c r="K2282" s="2" t="s">
        <v>5693</v>
      </c>
      <c r="L2282">
        <v>4.5999999999999996</v>
      </c>
      <c r="M2282">
        <v>7980</v>
      </c>
      <c r="O2282" t="s">
        <v>26</v>
      </c>
      <c r="P2282" t="s">
        <v>39</v>
      </c>
      <c r="Q2282" t="s">
        <v>5654</v>
      </c>
    </row>
    <row r="2283" spans="1:17" ht="15.75" x14ac:dyDescent="0.25">
      <c r="A2283" s="3" t="str">
        <f>HYPERLINK("https://prolisok-store.com/collections/hair-care/products/tigi-copyright-custom-care-shine-booster-15-22-oz", "https://prolisok-store.com/collections/hair-care/products/tigi-copyright-custom-care-shine-booster-15-22-oz")</f>
        <v>https://prolisok-store.com/collections/hair-care/products/tigi-copyright-custom-care-shine-booster-15-22-oz</v>
      </c>
      <c r="B2283" s="3" t="str">
        <f>HYPERLINK("https://prolisok-store.com/products/tigi-copyright-custom-care-shine-booster-15-22-oz", "https://prolisok-store.com/products/tigi-copyright-custom-care-shine-booster-15-22-oz")</f>
        <v>https://prolisok-store.com/products/tigi-copyright-custom-care-shine-booster-15-22-oz</v>
      </c>
      <c r="C2283" t="s">
        <v>5694</v>
      </c>
      <c r="D2283" t="s">
        <v>5695</v>
      </c>
      <c r="E2283" s="3" t="str">
        <f>HYPERLINK("https://www.amazon.com/TIGI-Copyright-Shine-Booster-15-22oz/dp/B07MXNG5V2/ref=sr_1_1?keywords=Tigi+copyright+custom+care+shine+booster+15.22+oz&amp;qid=1695259371&amp;sr=8-1", "https://www.amazon.com/TIGI-Copyright-Shine-Booster-15-22oz/dp/B07MXNG5V2/ref=sr_1_1?keywords=Tigi+copyright+custom+care+shine+booster+15.22+oz&amp;qid=1695259371&amp;sr=8-1")</f>
        <v>https://www.amazon.com/TIGI-Copyright-Shine-Booster-15-22oz/dp/B07MXNG5V2/ref=sr_1_1?keywords=Tigi+copyright+custom+care+shine+booster+15.22+oz&amp;qid=1695259371&amp;sr=8-1</v>
      </c>
      <c r="F2283" t="s">
        <v>5696</v>
      </c>
      <c r="G2283" t="e">
        <f ca="1">IMAGE("https://prolisok-store.com/cdn/shop/products/413457_300x.jpg?v=1690900106")</f>
        <v>#NAME?</v>
      </c>
      <c r="H2283" t="e">
        <f ca="1">IMAGE("https://m.media-amazon.com/images/I/21zE01WXIML._AC_UL320_.jpg")</f>
        <v>#NAME?</v>
      </c>
      <c r="I2283" t="s">
        <v>5697</v>
      </c>
      <c r="J2283">
        <v>23.86</v>
      </c>
      <c r="K2283" s="2" t="s">
        <v>5698</v>
      </c>
      <c r="L2283">
        <v>4.5999999999999996</v>
      </c>
      <c r="M2283">
        <v>31</v>
      </c>
      <c r="O2283" t="s">
        <v>26</v>
      </c>
      <c r="P2283" t="s">
        <v>39</v>
      </c>
      <c r="Q2283" t="s">
        <v>5699</v>
      </c>
    </row>
    <row r="2284" spans="1:17" ht="15.75" x14ac:dyDescent="0.25">
      <c r="A2284" s="3" t="str">
        <f>HYPERLINK("https://prolisok-store.com/collections/hair-care/products/bed-head-by-tigi-recovery-conditioner-32-8-oz", "https://prolisok-store.com/collections/hair-care/products/bed-head-by-tigi-recovery-conditioner-32-8-oz")</f>
        <v>https://prolisok-store.com/collections/hair-care/products/bed-head-by-tigi-recovery-conditioner-32-8-oz</v>
      </c>
      <c r="B2284" s="3" t="str">
        <f>HYPERLINK("https://prolisok-store.com/products/bed-head-by-tigi-recovery-conditioner-32-8-oz", "https://prolisok-store.com/products/bed-head-by-tigi-recovery-conditioner-32-8-oz")</f>
        <v>https://prolisok-store.com/products/bed-head-by-tigi-recovery-conditioner-32-8-oz</v>
      </c>
      <c r="C2284" t="s">
        <v>5700</v>
      </c>
      <c r="D2284" t="s">
        <v>5169</v>
      </c>
      <c r="E2284" s="3" t="str">
        <f>HYPERLINK("https://www.amazon.com/TIGI-Shampoo-Conditioner-Recovery-Prickly/dp/B0BRT9LM3J/ref=sr_1_7?keywords=Bed+head+by+tigi+recovery+conditioner+32.8+oz&amp;qid=1695259384&amp;sr=8-7", "https://www.amazon.com/TIGI-Shampoo-Conditioner-Recovery-Prickly/dp/B0BRT9LM3J/ref=sr_1_7?keywords=Bed+head+by+tigi+recovery+conditioner+32.8+oz&amp;qid=1695259384&amp;sr=8-7")</f>
        <v>https://www.amazon.com/TIGI-Shampoo-Conditioner-Recovery-Prickly/dp/B0BRT9LM3J/ref=sr_1_7?keywords=Bed+head+by+tigi+recovery+conditioner+32.8+oz&amp;qid=1695259384&amp;sr=8-7</v>
      </c>
      <c r="F2284" t="s">
        <v>5170</v>
      </c>
      <c r="G2284" t="e">
        <f ca="1">IMAGE("https://prolisok-store.com/cdn/shop/products/416076_300x.jpg?v=1690900027")</f>
        <v>#NAME?</v>
      </c>
      <c r="H2284" t="e">
        <f ca="1">IMAGE("https://m.media-amazon.com/images/I/71tWMdMnOHL._AC_UL320_.jpg")</f>
        <v>#NAME?</v>
      </c>
      <c r="I2284" t="s">
        <v>5701</v>
      </c>
      <c r="J2284">
        <v>24.99</v>
      </c>
      <c r="K2284" s="2" t="s">
        <v>5702</v>
      </c>
      <c r="L2284">
        <v>4.5999999999999996</v>
      </c>
      <c r="M2284">
        <v>410</v>
      </c>
      <c r="O2284" t="s">
        <v>26</v>
      </c>
      <c r="P2284" t="s">
        <v>39</v>
      </c>
      <c r="Q2284" t="s">
        <v>5703</v>
      </c>
    </row>
    <row r="2285" spans="1:17" ht="15.75" x14ac:dyDescent="0.25">
      <c r="A2285" s="3" t="str">
        <f>HYPERLINK("https://prolisok-store.com/collections/hair-care/products/bed-head-by-tigi-resurrection-conditioner-25-36-oz", "https://prolisok-store.com/collections/hair-care/products/bed-head-by-tigi-resurrection-conditioner-25-36-oz")</f>
        <v>https://prolisok-store.com/collections/hair-care/products/bed-head-by-tigi-resurrection-conditioner-25-36-oz</v>
      </c>
      <c r="B2285" s="3" t="str">
        <f>HYPERLINK("https://prolisok-store.com/products/bed-head-by-tigi-resurrection-conditioner-25-36-oz", "https://prolisok-store.com/products/bed-head-by-tigi-resurrection-conditioner-25-36-oz")</f>
        <v>https://prolisok-store.com/products/bed-head-by-tigi-resurrection-conditioner-25-36-oz</v>
      </c>
      <c r="C2285" t="s">
        <v>5521</v>
      </c>
      <c r="D2285" t="s">
        <v>5515</v>
      </c>
      <c r="E2285" s="3" t="str">
        <f>HYPERLINK("https://www.amazon.com/Tigi-Blonde-Reconstructor-Conditioner-25-36/dp/B077Y81BF2/ref=sr_1_9?keywords=Bed+head+by+tigi+resurrection+conditioner+25.36+oz&amp;qid=1695259389&amp;sr=8-9", "https://www.amazon.com/Tigi-Blonde-Reconstructor-Conditioner-25-36/dp/B077Y81BF2/ref=sr_1_9?keywords=Bed+head+by+tigi+resurrection+conditioner+25.36+oz&amp;qid=1695259389&amp;sr=8-9")</f>
        <v>https://www.amazon.com/Tigi-Blonde-Reconstructor-Conditioner-25-36/dp/B077Y81BF2/ref=sr_1_9?keywords=Bed+head+by+tigi+resurrection+conditioner+25.36+oz&amp;qid=1695259389&amp;sr=8-9</v>
      </c>
      <c r="F2285" t="s">
        <v>5516</v>
      </c>
      <c r="G2285" t="e">
        <f ca="1">IMAGE("https://prolisok-store.com/cdn/shop/products/195943_300x.jpg?v=1690899983")</f>
        <v>#NAME?</v>
      </c>
      <c r="H2285" t="e">
        <f ca="1">IMAGE("https://m.media-amazon.com/images/I/61EBoGBexRL._AC_UL320_.jpg")</f>
        <v>#NAME?</v>
      </c>
      <c r="I2285" t="s">
        <v>5348</v>
      </c>
      <c r="J2285">
        <v>17.45</v>
      </c>
      <c r="K2285" s="2" t="s">
        <v>5704</v>
      </c>
      <c r="L2285">
        <v>4.4000000000000004</v>
      </c>
      <c r="M2285">
        <v>449</v>
      </c>
      <c r="O2285" t="s">
        <v>26</v>
      </c>
      <c r="P2285" t="s">
        <v>39</v>
      </c>
      <c r="Q2285" t="s">
        <v>5525</v>
      </c>
    </row>
    <row r="2286" spans="1:17" ht="15.75" x14ac:dyDescent="0.25">
      <c r="A2286" s="3" t="str">
        <f>HYPERLINK("https://prolisok-store.com/collections/hair-care/products/bed-head-men-by-tigi-wise-up-scalp-shampoo-8-45-oz", "https://prolisok-store.com/collections/hair-care/products/bed-head-men-by-tigi-wise-up-scalp-shampoo-8-45-oz")</f>
        <v>https://prolisok-store.com/collections/hair-care/products/bed-head-men-by-tigi-wise-up-scalp-shampoo-8-45-oz</v>
      </c>
      <c r="B2286" s="3" t="str">
        <f>HYPERLINK("https://prolisok-store.com/products/bed-head-men-by-tigi-wise-up-scalp-shampoo-8-45-oz", "https://prolisok-store.com/products/bed-head-men-by-tigi-wise-up-scalp-shampoo-8-45-oz")</f>
        <v>https://prolisok-store.com/products/bed-head-men-by-tigi-wise-up-scalp-shampoo-8-45-oz</v>
      </c>
      <c r="C2286" t="s">
        <v>5266</v>
      </c>
      <c r="D2286" t="s">
        <v>5609</v>
      </c>
      <c r="E2286" s="3" t="str">
        <f>HYPERLINK("https://www.amazon.com/TIGI-Head-Clean-Daily-Shampoo/dp/B003XJDE6W/ref=sr_1_4?keywords=Bed+head+men+by+tigi+wise+up+scalp+shampoo+8.45+oz&amp;qid=1695259382&amp;sr=8-4", "https://www.amazon.com/TIGI-Head-Clean-Daily-Shampoo/dp/B003XJDE6W/ref=sr_1_4?keywords=Bed+head+men+by+tigi+wise+up+scalp+shampoo+8.45+oz&amp;qid=1695259382&amp;sr=8-4")</f>
        <v>https://www.amazon.com/TIGI-Head-Clean-Daily-Shampoo/dp/B003XJDE6W/ref=sr_1_4?keywords=Bed+head+men+by+tigi+wise+up+scalp+shampoo+8.45+oz&amp;qid=1695259382&amp;sr=8-4</v>
      </c>
      <c r="F2286" t="s">
        <v>5705</v>
      </c>
      <c r="G2286" t="e">
        <f ca="1">IMAGE("https://prolisok-store.com/cdn/shop/products/280801_300x.jpg?v=1690900112")</f>
        <v>#NAME?</v>
      </c>
      <c r="H2286" t="e">
        <f ca="1">IMAGE("https://m.media-amazon.com/images/I/515sTyIFr0L._AC_UL320_.jpg")</f>
        <v>#NAME?</v>
      </c>
      <c r="I2286" t="s">
        <v>5229</v>
      </c>
      <c r="J2286">
        <v>10.83</v>
      </c>
      <c r="K2286" s="2" t="s">
        <v>5706</v>
      </c>
      <c r="L2286">
        <v>4.5999999999999996</v>
      </c>
      <c r="M2286">
        <v>663</v>
      </c>
      <c r="O2286" t="s">
        <v>26</v>
      </c>
      <c r="P2286" t="s">
        <v>39</v>
      </c>
      <c r="Q2286" t="s">
        <v>5270</v>
      </c>
    </row>
    <row r="2287" spans="1:17" ht="15.75" x14ac:dyDescent="0.25">
      <c r="A2287" s="3" t="str">
        <f>HYPERLINK("https://prolisok-store.com/collections/hair-care/products/bed-head-by-tigi-recovery-shampoo-25-36-oz", "https://prolisok-store.com/collections/hair-care/products/bed-head-by-tigi-recovery-shampoo-25-36-oz")</f>
        <v>https://prolisok-store.com/collections/hair-care/products/bed-head-by-tigi-recovery-shampoo-25-36-oz</v>
      </c>
      <c r="B2287" s="3" t="str">
        <f>HYPERLINK("https://prolisok-store.com/products/bed-head-by-tigi-recovery-shampoo-25-36-oz", "https://prolisok-store.com/products/bed-head-by-tigi-recovery-shampoo-25-36-oz")</f>
        <v>https://prolisok-store.com/products/bed-head-by-tigi-recovery-shampoo-25-36-oz</v>
      </c>
      <c r="C2287" t="s">
        <v>5360</v>
      </c>
      <c r="D2287" t="s">
        <v>5707</v>
      </c>
      <c r="E2287" s="3" t="str">
        <f>HYPERLINK("https://www.amazon.com/Urban-Recovery-Shampoo-Damage-25-36-Ounce/dp/B004T19P16/ref=sr_1_1?keywords=Bed+head+by+tigi+recovery+shampoo+25.36+oz&amp;qid=1695259368&amp;sr=8-1", "https://www.amazon.com/Urban-Recovery-Shampoo-Damage-25-36-Ounce/dp/B004T19P16/ref=sr_1_1?keywords=Bed+head+by+tigi+recovery+shampoo+25.36+oz&amp;qid=1695259368&amp;sr=8-1")</f>
        <v>https://www.amazon.com/Urban-Recovery-Shampoo-Damage-25-36-Ounce/dp/B004T19P16/ref=sr_1_1?keywords=Bed+head+by+tigi+recovery+shampoo+25.36+oz&amp;qid=1695259368&amp;sr=8-1</v>
      </c>
      <c r="F2287" t="s">
        <v>5708</v>
      </c>
      <c r="G2287" t="e">
        <f ca="1">IMAGE("https://prolisok-store.com/cdn/shop/products/195934_300x.jpg?v=1690899977")</f>
        <v>#NAME?</v>
      </c>
      <c r="H2287" t="e">
        <f ca="1">IMAGE("https://m.media-amazon.com/images/I/415qKV4KCBL._AC_UL320_.jpg")</f>
        <v>#NAME?</v>
      </c>
      <c r="I2287" t="s">
        <v>5348</v>
      </c>
      <c r="J2287">
        <v>17.309999999999999</v>
      </c>
      <c r="K2287" s="2" t="s">
        <v>5709</v>
      </c>
      <c r="L2287">
        <v>4.7</v>
      </c>
      <c r="M2287">
        <v>3979</v>
      </c>
      <c r="O2287" t="s">
        <v>26</v>
      </c>
      <c r="P2287" t="s">
        <v>39</v>
      </c>
      <c r="Q2287" t="s">
        <v>5362</v>
      </c>
    </row>
    <row r="2288" spans="1:17" ht="15.75" x14ac:dyDescent="0.25">
      <c r="A2288" s="3" t="str">
        <f>HYPERLINK("https://prolisok-store.com/collections/hair-care/products/catwalk-by-tigi-curls-rock-amplifier-5-oz", "https://prolisok-store.com/collections/hair-care/products/catwalk-by-tigi-curls-rock-amplifier-5-oz")</f>
        <v>https://prolisok-store.com/collections/hair-care/products/catwalk-by-tigi-curls-rock-amplifier-5-oz</v>
      </c>
      <c r="B2288" s="3" t="str">
        <f>HYPERLINK("https://prolisok-store.com/products/catwalk-by-tigi-curls-rock-amplifier-5-oz", "https://prolisok-store.com/products/catwalk-by-tigi-curls-rock-amplifier-5-oz")</f>
        <v>https://prolisok-store.com/products/catwalk-by-tigi-curls-rock-amplifier-5-oz</v>
      </c>
      <c r="C2288" t="s">
        <v>5121</v>
      </c>
      <c r="D2288" t="s">
        <v>5710</v>
      </c>
      <c r="E2288" s="3" t="str">
        <f>HYPERLINK("https://www.amazon.com/TIGI-Catwalk-Collection-Curlesque-Amplifier/dp/B00FZN3JSW/ref=sr_1_6?keywords=Catwalk+by+tigi+curls+rock+amplifier+5+oz&amp;qid=1695259398&amp;sr=8-6", "https://www.amazon.com/TIGI-Catwalk-Collection-Curlesque-Amplifier/dp/B00FZN3JSW/ref=sr_1_6?keywords=Catwalk+by+tigi+curls+rock+amplifier+5+oz&amp;qid=1695259398&amp;sr=8-6")</f>
        <v>https://www.amazon.com/TIGI-Catwalk-Collection-Curlesque-Amplifier/dp/B00FZN3JSW/ref=sr_1_6?keywords=Catwalk+by+tigi+curls+rock+amplifier+5+oz&amp;qid=1695259398&amp;sr=8-6</v>
      </c>
      <c r="F2288" t="s">
        <v>5711</v>
      </c>
      <c r="G2288" t="e">
        <f ca="1">IMAGE("https://prolisok-store.com/cdn/shop/products/191298_300x.jpg?v=1690900062")</f>
        <v>#NAME?</v>
      </c>
      <c r="H2288" t="e">
        <f ca="1">IMAGE("https://m.media-amazon.com/images/I/61Da7MQeqeL._AC_UL320_.jpg")</f>
        <v>#NAME?</v>
      </c>
      <c r="I2288" t="s">
        <v>5124</v>
      </c>
      <c r="J2288">
        <v>15.1</v>
      </c>
      <c r="K2288" s="2" t="s">
        <v>5712</v>
      </c>
      <c r="L2288">
        <v>4.5999999999999996</v>
      </c>
      <c r="M2288">
        <v>586</v>
      </c>
      <c r="O2288" t="s">
        <v>26</v>
      </c>
      <c r="P2288" t="s">
        <v>39</v>
      </c>
      <c r="Q2288" t="s">
        <v>5126</v>
      </c>
    </row>
    <row r="2289" spans="1:17" ht="15.75" x14ac:dyDescent="0.25">
      <c r="A2289" s="3" t="str">
        <f>HYPERLINK("https://prolisok-store.com/collections/hair-care/products/bed-head-by-tigi-blow-out-golden-illuminating-shine-cream-3-4-oz", "https://prolisok-store.com/collections/hair-care/products/bed-head-by-tigi-blow-out-golden-illuminating-shine-cream-3-4-oz")</f>
        <v>https://prolisok-store.com/collections/hair-care/products/bed-head-by-tigi-blow-out-golden-illuminating-shine-cream-3-4-oz</v>
      </c>
      <c r="B2289" s="3" t="str">
        <f>HYPERLINK("https://prolisok-store.com/products/bed-head-by-tigi-blow-out-golden-illuminating-shine-cream-3-4-oz", "https://prolisok-store.com/products/bed-head-by-tigi-blow-out-golden-illuminating-shine-cream-3-4-oz")</f>
        <v>https://prolisok-store.com/products/bed-head-by-tigi-blow-out-golden-illuminating-shine-cream-3-4-oz</v>
      </c>
      <c r="C2289" t="s">
        <v>5443</v>
      </c>
      <c r="D2289" t="s">
        <v>5713</v>
      </c>
      <c r="E2289" s="3" t="str">
        <f>HYPERLINK("https://www.amazon.com/TIGI-Blow-Out-Golden-Illuminating-Shine/dp/B015UVE0C2/ref=sr_1_3?keywords=Bed+head+by+tigi+blow-out+golden+illuminating+shine+cream+3.4+oz&amp;qid=1695259394&amp;sr=8-3", "https://www.amazon.com/TIGI-Blow-Out-Golden-Illuminating-Shine/dp/B015UVE0C2/ref=sr_1_3?keywords=Bed+head+by+tigi+blow-out+golden+illuminating+shine+cream+3.4+oz&amp;qid=1695259394&amp;sr=8-3")</f>
        <v>https://www.amazon.com/TIGI-Blow-Out-Golden-Illuminating-Shine/dp/B015UVE0C2/ref=sr_1_3?keywords=Bed+head+by+tigi+blow-out+golden+illuminating+shine+cream+3.4+oz&amp;qid=1695259394&amp;sr=8-3</v>
      </c>
      <c r="F2289" t="s">
        <v>5714</v>
      </c>
      <c r="G2289" t="e">
        <f ca="1">IMAGE("https://prolisok-store.com/cdn/shop/products/276505_300x.jpg?v=1690899939")</f>
        <v>#NAME?</v>
      </c>
      <c r="H2289" t="e">
        <f ca="1">IMAGE("https://m.media-amazon.com/images/I/51iUW6Lo03L._AC_UL320_.jpg")</f>
        <v>#NAME?</v>
      </c>
      <c r="I2289" t="s">
        <v>5198</v>
      </c>
      <c r="J2289">
        <v>16.45</v>
      </c>
      <c r="K2289" s="2" t="s">
        <v>5715</v>
      </c>
      <c r="L2289">
        <v>4.2</v>
      </c>
      <c r="M2289">
        <v>38</v>
      </c>
      <c r="O2289" t="s">
        <v>26</v>
      </c>
      <c r="P2289" t="s">
        <v>39</v>
      </c>
      <c r="Q2289" t="s">
        <v>5447</v>
      </c>
    </row>
    <row r="2290" spans="1:17" ht="15.75" x14ac:dyDescent="0.25">
      <c r="A2290" s="3" t="str">
        <f>HYPERLINK("https://prolisok-store.com/collections/hair-care/products/bed-head-by-tigi-recovery-shampoo-13-53-oz", "https://prolisok-store.com/collections/hair-care/products/bed-head-by-tigi-recovery-shampoo-13-53-oz")</f>
        <v>https://prolisok-store.com/collections/hair-care/products/bed-head-by-tigi-recovery-shampoo-13-53-oz</v>
      </c>
      <c r="B2290" s="3" t="str">
        <f>HYPERLINK("https://prolisok-store.com/products/bed-head-by-tigi-recovery-shampoo-13-53-oz", "https://prolisok-store.com/products/bed-head-by-tigi-recovery-shampoo-13-53-oz")</f>
        <v>https://prolisok-store.com/products/bed-head-by-tigi-recovery-shampoo-13-53-oz</v>
      </c>
      <c r="C2290" t="s">
        <v>5324</v>
      </c>
      <c r="D2290" t="s">
        <v>5716</v>
      </c>
      <c r="E2290" s="3" t="str">
        <f>HYPERLINK("https://www.amazon.com/TIGI-Recovery-Moisturizing-Shampoo-13-53/dp/B08R4SDKTD/ref=sr_1_7?keywords=Bed+head+by+tigi+recovery+shampoo+13.53+oz&amp;qid=1695259377&amp;sr=8-7", "https://www.amazon.com/TIGI-Recovery-Moisturizing-Shampoo-13-53/dp/B08R4SDKTD/ref=sr_1_7?keywords=Bed+head+by+tigi+recovery+shampoo+13.53+oz&amp;qid=1695259377&amp;sr=8-7")</f>
        <v>https://www.amazon.com/TIGI-Recovery-Moisturizing-Shampoo-13-53/dp/B08R4SDKTD/ref=sr_1_7?keywords=Bed+head+by+tigi+recovery+shampoo+13.53+oz&amp;qid=1695259377&amp;sr=8-7</v>
      </c>
      <c r="F2290" t="s">
        <v>5717</v>
      </c>
      <c r="G2290" t="e">
        <f ca="1">IMAGE("https://prolisok-store.com/cdn/shop/products/416077_300x.jpg?v=1690900029")</f>
        <v>#NAME?</v>
      </c>
      <c r="H2290" t="e">
        <f ca="1">IMAGE("https://m.media-amazon.com/images/I/619on+UmqML._AC_UL320_.jpg")</f>
        <v>#NAME?</v>
      </c>
      <c r="I2290" t="s">
        <v>5103</v>
      </c>
      <c r="J2290">
        <v>11.8</v>
      </c>
      <c r="K2290" s="2" t="s">
        <v>2578</v>
      </c>
      <c r="L2290">
        <v>4.4000000000000004</v>
      </c>
      <c r="M2290">
        <v>235</v>
      </c>
      <c r="O2290" t="s">
        <v>26</v>
      </c>
      <c r="P2290" t="s">
        <v>39</v>
      </c>
      <c r="Q2290" t="s">
        <v>5326</v>
      </c>
    </row>
    <row r="2291" spans="1:17" ht="15.75" x14ac:dyDescent="0.25">
      <c r="A2291" s="3" t="str">
        <f>HYPERLINK("https://prolisok-store.com/collections/hair-care/products/bed-head-men-by-tigi-charge-up-conditioner-6-7-oz", "https://prolisok-store.com/collections/hair-care/products/bed-head-men-by-tigi-charge-up-conditioner-6-7-oz")</f>
        <v>https://prolisok-store.com/collections/hair-care/products/bed-head-men-by-tigi-charge-up-conditioner-6-7-oz</v>
      </c>
      <c r="B2291" s="3" t="str">
        <f>HYPERLINK("https://prolisok-store.com/products/bed-head-men-by-tigi-charge-up-conditioner-6-7-oz", "https://prolisok-store.com/products/bed-head-men-by-tigi-charge-up-conditioner-6-7-oz")</f>
        <v>https://prolisok-store.com/products/bed-head-men-by-tigi-charge-up-conditioner-6-7-oz</v>
      </c>
      <c r="C2291" t="s">
        <v>5301</v>
      </c>
      <c r="D2291" t="s">
        <v>5718</v>
      </c>
      <c r="E2291" s="3" t="str">
        <f>HYPERLINK("https://www.amazon.com/TIGI-Head-Charge-Thickening-Conditioner/dp/B0080FQVQ4/ref=sr_1_1?keywords=Bed+head+men+by+tigi+charge+up+conditioner+6.7+oz&amp;qid=1695259394&amp;sr=8-1", "https://www.amazon.com/TIGI-Head-Charge-Thickening-Conditioner/dp/B0080FQVQ4/ref=sr_1_1?keywords=Bed+head+men+by+tigi+charge+up+conditioner+6.7+oz&amp;qid=1695259394&amp;sr=8-1")</f>
        <v>https://www.amazon.com/TIGI-Head-Charge-Thickening-Conditioner/dp/B0080FQVQ4/ref=sr_1_1?keywords=Bed+head+men+by+tigi+charge+up+conditioner+6.7+oz&amp;qid=1695259394&amp;sr=8-1</v>
      </c>
      <c r="F2291" t="s">
        <v>5719</v>
      </c>
      <c r="G2291" t="e">
        <f ca="1">IMAGE("https://prolisok-store.com/cdn/shop/products/179714_300x.jpg?v=1690900110")</f>
        <v>#NAME?</v>
      </c>
      <c r="H2291" t="e">
        <f ca="1">IMAGE("https://m.media-amazon.com/images/I/41s1VkIDvaL._AC_UL320_.jpg")</f>
        <v>#NAME?</v>
      </c>
      <c r="I2291" t="s">
        <v>4296</v>
      </c>
      <c r="J2291">
        <v>8.5500000000000007</v>
      </c>
      <c r="K2291" s="2" t="s">
        <v>5720</v>
      </c>
      <c r="L2291">
        <v>5</v>
      </c>
      <c r="M2291">
        <v>3</v>
      </c>
      <c r="O2291" t="s">
        <v>26</v>
      </c>
      <c r="P2291" t="s">
        <v>39</v>
      </c>
      <c r="Q2291" t="s">
        <v>5305</v>
      </c>
    </row>
    <row r="2292" spans="1:17" ht="15.75" x14ac:dyDescent="0.25">
      <c r="A2292" s="3" t="str">
        <f>HYPERLINK("https://prolisok-store.com/collections/hair-care/products/bed-head-by-tigi-colour-combat-colour-goddess-leave-in-conditioner-8-45-oz", "https://prolisok-store.com/collections/hair-care/products/bed-head-by-tigi-colour-combat-colour-goddess-leave-in-conditioner-8-45-oz")</f>
        <v>https://prolisok-store.com/collections/hair-care/products/bed-head-by-tigi-colour-combat-colour-goddess-leave-in-conditioner-8-45-oz</v>
      </c>
      <c r="B2292" s="3" t="str">
        <f>HYPERLINK("https://prolisok-store.com/products/bed-head-by-tigi-colour-combat-colour-goddess-leave-in-conditioner-8-45-oz", "https://prolisok-store.com/products/bed-head-by-tigi-colour-combat-colour-goddess-leave-in-conditioner-8-45-oz")</f>
        <v>https://prolisok-store.com/products/bed-head-by-tigi-colour-combat-colour-goddess-leave-in-conditioner-8-45-oz</v>
      </c>
      <c r="C2292" t="s">
        <v>5372</v>
      </c>
      <c r="D2292" t="s">
        <v>5721</v>
      </c>
      <c r="E2292" s="3" t="str">
        <f>HYPERLINK("https://www.amazon.com/Colour-Combat-Goddess-Leave-Conditioner/dp/B004DKQCOQ/ref=sr_1_1?keywords=Bed+head+by+tigi+colour+combat+colour+goddess+leave-in+conditioner+8.45+oz&amp;qid=1695259389&amp;sr=8-1", "https://www.amazon.com/Colour-Combat-Goddess-Leave-Conditioner/dp/B004DKQCOQ/ref=sr_1_1?keywords=Bed+head+by+tigi+colour+combat+colour+goddess+leave-in+conditioner+8.45+oz&amp;qid=1695259389&amp;sr=8-1")</f>
        <v>https://www.amazon.com/Colour-Combat-Goddess-Leave-Conditioner/dp/B004DKQCOQ/ref=sr_1_1?keywords=Bed+head+by+tigi+colour+combat+colour+goddess+leave-in+conditioner+8.45+oz&amp;qid=1695259389&amp;sr=8-1</v>
      </c>
      <c r="F2292" t="s">
        <v>5722</v>
      </c>
      <c r="G2292" t="e">
        <f ca="1">IMAGE("https://prolisok-store.com/cdn/shop/products/211944_300x.jpg?v=1690899973")</f>
        <v>#NAME?</v>
      </c>
      <c r="H2292" t="e">
        <f ca="1">IMAGE("https://m.media-amazon.com/images/I/51HCqZ8p-yL._AC_UL320_.jpg")</f>
        <v>#NAME?</v>
      </c>
      <c r="I2292" t="s">
        <v>5375</v>
      </c>
      <c r="J2292">
        <v>9.9499999999999993</v>
      </c>
      <c r="K2292" s="2" t="s">
        <v>5723</v>
      </c>
      <c r="L2292">
        <v>4.3</v>
      </c>
      <c r="M2292">
        <v>338</v>
      </c>
      <c r="O2292" t="s">
        <v>26</v>
      </c>
      <c r="P2292" t="s">
        <v>39</v>
      </c>
      <c r="Q2292" t="s">
        <v>5377</v>
      </c>
    </row>
    <row r="2293" spans="1:17" ht="15.75" x14ac:dyDescent="0.25">
      <c r="A2293" s="3" t="str">
        <f>HYPERLINK("https://prolisok-store.com/collections/hair-care/products/bed-head-by-tigi-recovery-conditioner-32-8-oz", "https://prolisok-store.com/collections/hair-care/products/bed-head-by-tigi-recovery-conditioner-32-8-oz")</f>
        <v>https://prolisok-store.com/collections/hair-care/products/bed-head-by-tigi-recovery-conditioner-32-8-oz</v>
      </c>
      <c r="B2293" s="3" t="str">
        <f>HYPERLINK("https://prolisok-store.com/products/bed-head-by-tigi-recovery-conditioner-32-8-oz", "https://prolisok-store.com/products/bed-head-by-tigi-recovery-conditioner-32-8-oz")</f>
        <v>https://prolisok-store.com/products/bed-head-by-tigi-recovery-conditioner-32-8-oz</v>
      </c>
      <c r="C2293" t="s">
        <v>5700</v>
      </c>
      <c r="D2293" t="s">
        <v>5141</v>
      </c>
      <c r="E2293" s="3" t="str">
        <f>HYPERLINK("https://www.amazon.com/TIGI-Anti-dote-Recovery-Shampoo-Conditioner/dp/B003T1G0XI/ref=sr_1_10?keywords=Bed+head+by+tigi+recovery+conditioner+32.8+oz&amp;qid=1695259384&amp;sr=8-10", "https://www.amazon.com/TIGI-Anti-dote-Recovery-Shampoo-Conditioner/dp/B003T1G0XI/ref=sr_1_10?keywords=Bed+head+by+tigi+recovery+conditioner+32.8+oz&amp;qid=1695259384&amp;sr=8-10")</f>
        <v>https://www.amazon.com/TIGI-Anti-dote-Recovery-Shampoo-Conditioner/dp/B003T1G0XI/ref=sr_1_10?keywords=Bed+head+by+tigi+recovery+conditioner+32.8+oz&amp;qid=1695259384&amp;sr=8-10</v>
      </c>
      <c r="F2293" t="s">
        <v>5142</v>
      </c>
      <c r="G2293" t="e">
        <f ca="1">IMAGE("https://prolisok-store.com/cdn/shop/products/416076_300x.jpg?v=1690900027")</f>
        <v>#NAME?</v>
      </c>
      <c r="H2293" t="e">
        <f ca="1">IMAGE("https://m.media-amazon.com/images/I/71gvFsIeyLL._AC_UL320_.jpg")</f>
        <v>#NAME?</v>
      </c>
      <c r="I2293" t="s">
        <v>5701</v>
      </c>
      <c r="J2293">
        <v>23.95</v>
      </c>
      <c r="K2293" s="2" t="s">
        <v>5724</v>
      </c>
      <c r="L2293">
        <v>4.5999999999999996</v>
      </c>
      <c r="M2293">
        <v>7980</v>
      </c>
      <c r="O2293" t="s">
        <v>26</v>
      </c>
      <c r="P2293" t="s">
        <v>39</v>
      </c>
      <c r="Q2293" t="s">
        <v>5703</v>
      </c>
    </row>
    <row r="2294" spans="1:17" ht="15.75" x14ac:dyDescent="0.25">
      <c r="A2294" s="3" t="str">
        <f>HYPERLINK("https://prolisok-store.com/collections/hair-care/products/bed-head-by-tigi-recovery-conditioner-32-8-oz", "https://prolisok-store.com/collections/hair-care/products/bed-head-by-tigi-recovery-conditioner-32-8-oz")</f>
        <v>https://prolisok-store.com/collections/hair-care/products/bed-head-by-tigi-recovery-conditioner-32-8-oz</v>
      </c>
      <c r="B2294" s="3" t="str">
        <f>HYPERLINK("https://prolisok-store.com/products/bed-head-by-tigi-recovery-conditioner-32-8-oz", "https://prolisok-store.com/products/bed-head-by-tigi-recovery-conditioner-32-8-oz")</f>
        <v>https://prolisok-store.com/products/bed-head-by-tigi-recovery-conditioner-32-8-oz</v>
      </c>
      <c r="C2294" t="s">
        <v>5700</v>
      </c>
      <c r="D2294" t="s">
        <v>5495</v>
      </c>
      <c r="E2294" s="3" t="str">
        <f>HYPERLINK("https://www.amazon.com/TIGI-Urban-Dotes-Recovery-Conditioner/dp/B01IAEN55O/ref=sr_1_8?keywords=Bed+head+by+tigi+recovery+conditioner+32.8+oz&amp;qid=1695259384&amp;sr=8-8", "https://www.amazon.com/TIGI-Urban-Dotes-Recovery-Conditioner/dp/B01IAEN55O/ref=sr_1_8?keywords=Bed+head+by+tigi+recovery+conditioner+32.8+oz&amp;qid=1695259384&amp;sr=8-8")</f>
        <v>https://www.amazon.com/TIGI-Urban-Dotes-Recovery-Conditioner/dp/B01IAEN55O/ref=sr_1_8?keywords=Bed+head+by+tigi+recovery+conditioner+32.8+oz&amp;qid=1695259384&amp;sr=8-8</v>
      </c>
      <c r="F2294" t="s">
        <v>5496</v>
      </c>
      <c r="G2294" t="e">
        <f ca="1">IMAGE("https://prolisok-store.com/cdn/shop/products/416076_300x.jpg?v=1690900027")</f>
        <v>#NAME?</v>
      </c>
      <c r="H2294" t="e">
        <f ca="1">IMAGE("https://m.media-amazon.com/images/I/61222WpOSyL._AC_UL320_.jpg")</f>
        <v>#NAME?</v>
      </c>
      <c r="I2294" t="s">
        <v>5701</v>
      </c>
      <c r="J2294">
        <v>23.76</v>
      </c>
      <c r="K2294" s="2" t="s">
        <v>5725</v>
      </c>
      <c r="L2294">
        <v>4.7</v>
      </c>
      <c r="M2294">
        <v>36</v>
      </c>
      <c r="O2294" t="s">
        <v>26</v>
      </c>
      <c r="P2294" t="s">
        <v>39</v>
      </c>
      <c r="Q2294" t="s">
        <v>5703</v>
      </c>
    </row>
    <row r="2295" spans="1:17" ht="15.75" x14ac:dyDescent="0.25">
      <c r="A2295" s="3" t="str">
        <f>HYPERLINK("https://prolisok-store.com/collections/hair-care/products/bed-head-by-tigi-recovery-shampoo-32-8-oz", "https://prolisok-store.com/collections/hair-care/products/bed-head-by-tigi-recovery-shampoo-32-8-oz")</f>
        <v>https://prolisok-store.com/collections/hair-care/products/bed-head-by-tigi-recovery-shampoo-32-8-oz</v>
      </c>
      <c r="B2295" s="3" t="str">
        <f>HYPERLINK("https://prolisok-store.com/products/bed-head-by-tigi-recovery-shampoo-32-8-oz", "https://prolisok-store.com/products/bed-head-by-tigi-recovery-shampoo-32-8-oz")</f>
        <v>https://prolisok-store.com/products/bed-head-by-tigi-recovery-shampoo-32-8-oz</v>
      </c>
      <c r="C2295" t="s">
        <v>5652</v>
      </c>
      <c r="D2295" t="s">
        <v>5206</v>
      </c>
      <c r="E2295" s="3" t="str">
        <f>HYPERLINK("https://www.amazon.com/TIGI-Re-Energize-Shampoo-Conditioner-25-36/dp/B003T1CQDQ/ref=sr_1_8?keywords=Bed+head+by+tigi+recovery+shampoo+32.8+oz&amp;qid=1695259369&amp;sr=8-8", "https://www.amazon.com/TIGI-Re-Energize-Shampoo-Conditioner-25-36/dp/B003T1CQDQ/ref=sr_1_8?keywords=Bed+head+by+tigi+recovery+shampoo+32.8+oz&amp;qid=1695259369&amp;sr=8-8")</f>
        <v>https://www.amazon.com/TIGI-Re-Energize-Shampoo-Conditioner-25-36/dp/B003T1CQDQ/ref=sr_1_8?keywords=Bed+head+by+tigi+recovery+shampoo+32.8+oz&amp;qid=1695259369&amp;sr=8-8</v>
      </c>
      <c r="F2295" t="s">
        <v>5207</v>
      </c>
      <c r="G2295" t="e">
        <f ca="1">IMAGE("https://prolisok-store.com/cdn/shop/products/416078_300x.jpg?v=1690900031")</f>
        <v>#NAME?</v>
      </c>
      <c r="H2295" t="e">
        <f ca="1">IMAGE("https://m.media-amazon.com/images/I/81RdG+inaUL._AC_UL320_.jpg")</f>
        <v>#NAME?</v>
      </c>
      <c r="I2295" t="s">
        <v>5484</v>
      </c>
      <c r="J2295">
        <v>22.35</v>
      </c>
      <c r="K2295" s="2" t="s">
        <v>5726</v>
      </c>
      <c r="L2295">
        <v>4.5999999999999996</v>
      </c>
      <c r="M2295">
        <v>5605</v>
      </c>
      <c r="O2295" t="s">
        <v>26</v>
      </c>
      <c r="P2295" t="s">
        <v>39</v>
      </c>
      <c r="Q2295" t="s">
        <v>5654</v>
      </c>
    </row>
    <row r="2296" spans="1:17" ht="15.75" x14ac:dyDescent="0.25">
      <c r="A2296" s="3" t="str">
        <f>HYPERLINK("https://prolisok-store.com/collections/hair-care/products/bed-head-by-tigi-lightheaded-hairspray-light-hold-5-5-oz", "https://prolisok-store.com/collections/hair-care/products/bed-head-by-tigi-lightheaded-hairspray-light-hold-5-5-oz")</f>
        <v>https://prolisok-store.com/collections/hair-care/products/bed-head-by-tigi-lightheaded-hairspray-light-hold-5-5-oz</v>
      </c>
      <c r="B2296" s="3" t="str">
        <f>HYPERLINK("https://prolisok-store.com/products/bed-head-by-tigi-lightheaded-hairspray-light-hold-5-5-oz", "https://prolisok-store.com/products/bed-head-by-tigi-lightheaded-hairspray-light-hold-5-5-oz")</f>
        <v>https://prolisok-store.com/products/bed-head-by-tigi-lightheaded-hairspray-light-hold-5-5-oz</v>
      </c>
      <c r="C2296" t="s">
        <v>5253</v>
      </c>
      <c r="D2296" t="s">
        <v>5727</v>
      </c>
      <c r="E2296" s="3" t="str">
        <f>HYPERLINK("https://www.amazon.com/TIGI-Lightheaded-Hairspray-Light-Flexible/dp/B09S387KRS/ref=sr_1_1?keywords=Bed+head+by+tigi+lightheaded+hairspray+light+hold+5.5+oz&amp;qid=1695259378&amp;sr=8-1", "https://www.amazon.com/TIGI-Lightheaded-Hairspray-Light-Flexible/dp/B09S387KRS/ref=sr_1_1?keywords=Bed+head+by+tigi+lightheaded+hairspray+light+hold+5.5+oz&amp;qid=1695259378&amp;sr=8-1")</f>
        <v>https://www.amazon.com/TIGI-Lightheaded-Hairspray-Light-Flexible/dp/B09S387KRS/ref=sr_1_1?keywords=Bed+head+by+tigi+lightheaded+hairspray+light+hold+5.5+oz&amp;qid=1695259378&amp;sr=8-1</v>
      </c>
      <c r="F2296" t="s">
        <v>5728</v>
      </c>
      <c r="G2296" t="e">
        <f ca="1">IMAGE("https://prolisok-store.com/cdn/shop/products/416074_300x.jpg?v=1690900023")</f>
        <v>#NAME?</v>
      </c>
      <c r="H2296" t="e">
        <f ca="1">IMAGE("https://m.media-amazon.com/images/I/71PfENhhcRL._AC_UL320_.jpg")</f>
        <v>#NAME?</v>
      </c>
      <c r="I2296" t="s">
        <v>5135</v>
      </c>
      <c r="J2296">
        <v>15.31</v>
      </c>
      <c r="K2296" s="2" t="s">
        <v>5729</v>
      </c>
      <c r="L2296">
        <v>4.2</v>
      </c>
      <c r="M2296">
        <v>154</v>
      </c>
      <c r="O2296" t="s">
        <v>26</v>
      </c>
      <c r="P2296" t="s">
        <v>39</v>
      </c>
      <c r="Q2296" t="s">
        <v>5257</v>
      </c>
    </row>
    <row r="2297" spans="1:17" ht="15.75" x14ac:dyDescent="0.25">
      <c r="A2297" s="3" t="str">
        <f>HYPERLINK("https://prolisok-store.com/collections/hair-care/products/bed-head-by-tigi-recovery-conditioner-25-36-oz", "https://prolisok-store.com/collections/hair-care/products/bed-head-by-tigi-recovery-conditioner-25-36-oz")</f>
        <v>https://prolisok-store.com/collections/hair-care/products/bed-head-by-tigi-recovery-conditioner-25-36-oz</v>
      </c>
      <c r="B2297" s="3" t="str">
        <f>HYPERLINK("https://prolisok-store.com/products/bed-head-by-tigi-recovery-conditioner-25-36-oz", "https://prolisok-store.com/products/bed-head-by-tigi-recovery-conditioner-25-36-oz")</f>
        <v>https://prolisok-store.com/products/bed-head-by-tigi-recovery-conditioner-25-36-oz</v>
      </c>
      <c r="C2297" t="s">
        <v>5315</v>
      </c>
      <c r="D2297" t="s">
        <v>5730</v>
      </c>
      <c r="E2297" s="3" t="str">
        <f>HYPERLINK("https://www.amazon.com/TIGI-Urban-Antidotes-Recovery-Conditioner/dp/B01J6MW94C/ref=sr_1_2?keywords=Bed+head+by+tigi+recovery+conditioner+25.36+oz&amp;qid=1695259402&amp;sr=8-2", "https://www.amazon.com/TIGI-Urban-Antidotes-Recovery-Conditioner/dp/B01J6MW94C/ref=sr_1_2?keywords=Bed+head+by+tigi+recovery+conditioner+25.36+oz&amp;qid=1695259402&amp;sr=8-2")</f>
        <v>https://www.amazon.com/TIGI-Urban-Antidotes-Recovery-Conditioner/dp/B01J6MW94C/ref=sr_1_2?keywords=Bed+head+by+tigi+recovery+conditioner+25.36+oz&amp;qid=1695259402&amp;sr=8-2</v>
      </c>
      <c r="F2297" t="s">
        <v>5731</v>
      </c>
      <c r="G2297" t="e">
        <f ca="1">IMAGE("https://prolisok-store.com/cdn/shop/products/195939_300x.jpg?v=1690899979")</f>
        <v>#NAME?</v>
      </c>
      <c r="H2297" t="e">
        <f ca="1">IMAGE("https://m.media-amazon.com/images/I/71lsCxDzxAL._AC_UL320_.jpg")</f>
        <v>#NAME?</v>
      </c>
      <c r="I2297" t="s">
        <v>5135</v>
      </c>
      <c r="J2297">
        <v>15.17</v>
      </c>
      <c r="K2297" s="2" t="s">
        <v>5732</v>
      </c>
      <c r="L2297">
        <v>4</v>
      </c>
      <c r="M2297">
        <v>3</v>
      </c>
      <c r="O2297" t="s">
        <v>26</v>
      </c>
      <c r="P2297" t="s">
        <v>39</v>
      </c>
      <c r="Q2297" t="s">
        <v>5317</v>
      </c>
    </row>
    <row r="2298" spans="1:17" ht="15.75" x14ac:dyDescent="0.25">
      <c r="A2298" s="3" t="str">
        <f>HYPERLINK("https://prolisok-store.com/collections/hair-care/products/bed-head-by-tigi-colour-goddess-oil-infused-shampoo-for-coloured-hair-32-8-oz", "https://prolisok-store.com/collections/hair-care/products/bed-head-by-tigi-colour-goddess-oil-infused-shampoo-for-coloured-hair-32-8-oz")</f>
        <v>https://prolisok-store.com/collections/hair-care/products/bed-head-by-tigi-colour-goddess-oil-infused-shampoo-for-coloured-hair-32-8-oz</v>
      </c>
      <c r="B2298" s="3" t="str">
        <f>HYPERLINK("https://prolisok-store.com/products/bed-head-by-tigi-colour-goddess-oil-infused-shampoo-for-coloured-hair-32-8-oz", "https://prolisok-store.com/products/bed-head-by-tigi-colour-goddess-oil-infused-shampoo-for-coloured-hair-32-8-oz")</f>
        <v>https://prolisok-store.com/products/bed-head-by-tigi-colour-goddess-oil-infused-shampoo-for-coloured-hair-32-8-oz</v>
      </c>
      <c r="C2298" t="s">
        <v>5511</v>
      </c>
      <c r="D2298" t="s">
        <v>5413</v>
      </c>
      <c r="E2298" s="3" t="str">
        <f>HYPERLINK("https://www.amazon.com/Color-Goddess-colored-shampoo-conditioner/dp/B0127XF0CA/ref=sr_1_3?keywords=Bed+head+by+tigi+colour+goddess+oil+infused+shampoo+for+coloured+hair+32.8+oz&amp;qid=1695259395&amp;sr=8-3", "https://www.amazon.com/Color-Goddess-colored-shampoo-conditioner/dp/B0127XF0CA/ref=sr_1_3?keywords=Bed+head+by+tigi+colour+goddess+oil+infused+shampoo+for+coloured+hair+32.8+oz&amp;qid=1695259395&amp;sr=8-3")</f>
        <v>https://www.amazon.com/Color-Goddess-colored-shampoo-conditioner/dp/B0127XF0CA/ref=sr_1_3?keywords=Bed+head+by+tigi+colour+goddess+oil+infused+shampoo+for+coloured+hair+32.8+oz&amp;qid=1695259395&amp;sr=8-3</v>
      </c>
      <c r="F2298" t="s">
        <v>5414</v>
      </c>
      <c r="G2298" t="e">
        <f ca="1">IMAGE("https://prolisok-store.com/cdn/shop/products/416047_300x.jpg?v=1690900000")</f>
        <v>#NAME?</v>
      </c>
      <c r="H2298" t="e">
        <f ca="1">IMAGE("https://m.media-amazon.com/images/I/81OTWFrKhPL._AC_UL320_.jpg")</f>
        <v>#NAME?</v>
      </c>
      <c r="I2298" t="s">
        <v>5484</v>
      </c>
      <c r="J2298">
        <v>21.91</v>
      </c>
      <c r="K2298" s="2" t="s">
        <v>5733</v>
      </c>
      <c r="L2298">
        <v>4.5</v>
      </c>
      <c r="M2298">
        <v>16069</v>
      </c>
      <c r="O2298" t="s">
        <v>26</v>
      </c>
      <c r="P2298" t="s">
        <v>39</v>
      </c>
      <c r="Q2298" t="s">
        <v>5513</v>
      </c>
    </row>
    <row r="2299" spans="1:17" ht="15.75" x14ac:dyDescent="0.25">
      <c r="A2299" s="3" t="str">
        <f>HYPERLINK("https://prolisok-store.com/collections/hair-care/products/bed-head-by-tigi-resurrection-shampoo-8-45-oz", "https://prolisok-store.com/collections/hair-care/products/bed-head-by-tigi-resurrection-shampoo-8-45-oz")</f>
        <v>https://prolisok-store.com/collections/hair-care/products/bed-head-by-tigi-resurrection-shampoo-8-45-oz</v>
      </c>
      <c r="B2299" s="3" t="str">
        <f>HYPERLINK("https://prolisok-store.com/products/bed-head-by-tigi-resurrection-shampoo-8-45-oz", "https://prolisok-store.com/products/bed-head-by-tigi-resurrection-shampoo-8-45-oz")</f>
        <v>https://prolisok-store.com/products/bed-head-by-tigi-resurrection-shampoo-8-45-oz</v>
      </c>
      <c r="C2299" t="s">
        <v>5226</v>
      </c>
      <c r="D2299" t="s">
        <v>5734</v>
      </c>
      <c r="E2299" s="3" t="str">
        <f>HYPERLINK("https://www.amazon.com/Urban-Resurrection-Shampoo-Damage-8-45-Ounce/dp/B004T19OKI/ref=sr_1_2?keywords=Bed+head+by+tigi+resurrection+shampoo+8.45+oz&amp;qid=1695259396&amp;sr=8-2", "https://www.amazon.com/Urban-Resurrection-Shampoo-Damage-8-45-Ounce/dp/B004T19OKI/ref=sr_1_2?keywords=Bed+head+by+tigi+resurrection+shampoo+8.45+oz&amp;qid=1695259396&amp;sr=8-2")</f>
        <v>https://www.amazon.com/Urban-Resurrection-Shampoo-Damage-8-45-Ounce/dp/B004T19OKI/ref=sr_1_2?keywords=Bed+head+by+tigi+resurrection+shampoo+8.45+oz&amp;qid=1695259396&amp;sr=8-2</v>
      </c>
      <c r="F2299" t="s">
        <v>5735</v>
      </c>
      <c r="G2299" t="e">
        <f ca="1">IMAGE("https://prolisok-store.com/cdn/shop/products/195947_300x.jpg?v=1690899986")</f>
        <v>#NAME?</v>
      </c>
      <c r="H2299" t="e">
        <f ca="1">IMAGE("https://m.media-amazon.com/images/I/51+o-3sfQxL._AC_UL320_.jpg")</f>
        <v>#NAME?</v>
      </c>
      <c r="I2299" t="s">
        <v>5229</v>
      </c>
      <c r="J2299">
        <v>10.25</v>
      </c>
      <c r="K2299" s="2" t="s">
        <v>5736</v>
      </c>
      <c r="L2299">
        <v>4.7</v>
      </c>
      <c r="M2299">
        <v>5388</v>
      </c>
      <c r="O2299" t="s">
        <v>26</v>
      </c>
      <c r="P2299" t="s">
        <v>39</v>
      </c>
      <c r="Q2299" t="s">
        <v>5231</v>
      </c>
    </row>
    <row r="2300" spans="1:17" ht="15.75" x14ac:dyDescent="0.25">
      <c r="A2300" s="3" t="str">
        <f>HYPERLINK("https://prolisok-store.com/collections/hair-care/products/bed-head-by-tigi-oh-bee-hive-volumizing-dry-shampoo-5-oz", "https://prolisok-store.com/collections/hair-care/products/bed-head-by-tigi-oh-bee-hive-volumizing-dry-shampoo-5-oz")</f>
        <v>https://prolisok-store.com/collections/hair-care/products/bed-head-by-tigi-oh-bee-hive-volumizing-dry-shampoo-5-oz</v>
      </c>
      <c r="B2300" s="3" t="str">
        <f>HYPERLINK("https://prolisok-store.com/products/bed-head-by-tigi-oh-bee-hive-volumizing-dry-shampoo-5-oz", "https://prolisok-store.com/products/bed-head-by-tigi-oh-bee-hive-volumizing-dry-shampoo-5-oz")</f>
        <v>https://prolisok-store.com/products/bed-head-by-tigi-oh-bee-hive-volumizing-dry-shampoo-5-oz</v>
      </c>
      <c r="C2300" t="s">
        <v>5737</v>
      </c>
      <c r="D2300" t="s">
        <v>5738</v>
      </c>
      <c r="E2300" s="3" t="str">
        <f>HYPERLINK("https://www.amazon.com/TIGI-Head-Hive-Matt-Shampoo/dp/B00SC48FG2/ref=sr_1_1?keywords=Bed+head+by+tigi+oh+bee+hive+volumizing+dry+shampoo+5+oz&amp;qid=1695259384&amp;sr=8-1", "https://www.amazon.com/TIGI-Head-Hive-Matt-Shampoo/dp/B00SC48FG2/ref=sr_1_1?keywords=Bed+head+by+tigi+oh+bee+hive+volumizing+dry+shampoo+5+oz&amp;qid=1695259384&amp;sr=8-1")</f>
        <v>https://www.amazon.com/TIGI-Head-Hive-Matt-Shampoo/dp/B00SC48FG2/ref=sr_1_1?keywords=Bed+head+by+tigi+oh+bee+hive+volumizing+dry+shampoo+5+oz&amp;qid=1695259384&amp;sr=8-1</v>
      </c>
      <c r="F2300" t="s">
        <v>5739</v>
      </c>
      <c r="G2300" t="e">
        <f ca="1">IMAGE("https://prolisok-store.com/cdn/shop/products/416053_300x.jpg?v=1690900007")</f>
        <v>#NAME?</v>
      </c>
      <c r="H2300" t="e">
        <f ca="1">IMAGE("https://m.media-amazon.com/images/I/61RKVr4vyEL._AC_UL320_.jpg")</f>
        <v>#NAME?</v>
      </c>
      <c r="I2300" t="s">
        <v>5135</v>
      </c>
      <c r="J2300">
        <v>14.99</v>
      </c>
      <c r="K2300" s="2" t="s">
        <v>5740</v>
      </c>
      <c r="L2300">
        <v>4.3</v>
      </c>
      <c r="M2300">
        <v>87</v>
      </c>
      <c r="O2300" t="s">
        <v>26</v>
      </c>
      <c r="P2300" t="s">
        <v>39</v>
      </c>
      <c r="Q2300" t="s">
        <v>5741</v>
      </c>
    </row>
    <row r="2301" spans="1:17" ht="15.75" x14ac:dyDescent="0.25">
      <c r="A2301" s="3" t="str">
        <f>HYPERLINK("https://prolisok-store.com/collections/hair-care/products/bed-head-by-tigi-lightheaded-hairspray-light-hold-5-5-oz", "https://prolisok-store.com/collections/hair-care/products/bed-head-by-tigi-lightheaded-hairspray-light-hold-5-5-oz")</f>
        <v>https://prolisok-store.com/collections/hair-care/products/bed-head-by-tigi-lightheaded-hairspray-light-hold-5-5-oz</v>
      </c>
      <c r="B2301" s="3" t="str">
        <f>HYPERLINK("https://prolisok-store.com/products/bed-head-by-tigi-lightheaded-hairspray-light-hold-5-5-oz", "https://prolisok-store.com/products/bed-head-by-tigi-lightheaded-hairspray-light-hold-5-5-oz")</f>
        <v>https://prolisok-store.com/products/bed-head-by-tigi-lightheaded-hairspray-light-hold-5-5-oz</v>
      </c>
      <c r="C2301" t="s">
        <v>5253</v>
      </c>
      <c r="D2301" t="s">
        <v>5742</v>
      </c>
      <c r="E2301" s="3" t="str">
        <f>HYPERLINK("https://www.amazon.com/TIGI-Showdown-Anti-Frizz-Hairspray-Strong/dp/B09S3B5CZT/ref=sr_1_3?keywords=Bed+head+by+tigi+lightheaded+hairspray+light+hold+5.5+oz&amp;qid=1695259378&amp;sr=8-3", "https://www.amazon.com/TIGI-Showdown-Anti-Frizz-Hairspray-Strong/dp/B09S3B5CZT/ref=sr_1_3?keywords=Bed+head+by+tigi+lightheaded+hairspray+light+hold+5.5+oz&amp;qid=1695259378&amp;sr=8-3")</f>
        <v>https://www.amazon.com/TIGI-Showdown-Anti-Frizz-Hairspray-Strong/dp/B09S3B5CZT/ref=sr_1_3?keywords=Bed+head+by+tigi+lightheaded+hairspray+light+hold+5.5+oz&amp;qid=1695259378&amp;sr=8-3</v>
      </c>
      <c r="F2301" t="s">
        <v>5743</v>
      </c>
      <c r="G2301" t="e">
        <f ca="1">IMAGE("https://prolisok-store.com/cdn/shop/products/416074_300x.jpg?v=1690900023")</f>
        <v>#NAME?</v>
      </c>
      <c r="H2301" t="e">
        <f ca="1">IMAGE("https://m.media-amazon.com/images/I/711gImjryvL._AC_UL320_.jpg")</f>
        <v>#NAME?</v>
      </c>
      <c r="I2301" t="s">
        <v>5135</v>
      </c>
      <c r="J2301">
        <v>14.95</v>
      </c>
      <c r="K2301" s="2" t="s">
        <v>5744</v>
      </c>
      <c r="L2301">
        <v>4</v>
      </c>
      <c r="M2301">
        <v>131</v>
      </c>
      <c r="O2301" t="s">
        <v>26</v>
      </c>
      <c r="P2301" t="s">
        <v>39</v>
      </c>
      <c r="Q2301" t="s">
        <v>5257</v>
      </c>
    </row>
    <row r="2302" spans="1:17" ht="15.75" x14ac:dyDescent="0.25">
      <c r="A2302" s="3" t="str">
        <f>HYPERLINK("https://prolisok-store.com/collections/hair-care/products/bed-head-by-tigi-showdown-anti-frizz-strong-hold-hairspray-5-5-oz", "https://prolisok-store.com/collections/hair-care/products/bed-head-by-tigi-showdown-anti-frizz-strong-hold-hairspray-5-5-oz")</f>
        <v>https://prolisok-store.com/collections/hair-care/products/bed-head-by-tigi-showdown-anti-frizz-strong-hold-hairspray-5-5-oz</v>
      </c>
      <c r="B2302" s="3" t="str">
        <f>HYPERLINK("https://prolisok-store.com/products/bed-head-by-tigi-showdown-anti-frizz-strong-hold-hairspray-5-5-oz", "https://prolisok-store.com/products/bed-head-by-tigi-showdown-anti-frizz-strong-hold-hairspray-5-5-oz")</f>
        <v>https://prolisok-store.com/products/bed-head-by-tigi-showdown-anti-frizz-strong-hold-hairspray-5-5-oz</v>
      </c>
      <c r="C2302" t="s">
        <v>5646</v>
      </c>
      <c r="D2302" t="s">
        <v>5742</v>
      </c>
      <c r="E2302" s="3" t="str">
        <f>HYPERLINK("https://www.amazon.com/TIGI-Showdown-Anti-Frizz-Hairspray-Strong/dp/B09S3B5CZT/ref=sr_1_1?keywords=Bed+head+by+tigi+showdown+anti-frizz+strong+hold+hairspray+5.5+oz&amp;qid=1695259405&amp;sr=8-1", "https://www.amazon.com/TIGI-Showdown-Anti-Frizz-Hairspray-Strong/dp/B09S3B5CZT/ref=sr_1_1?keywords=Bed+head+by+tigi+showdown+anti-frizz+strong+hold+hairspray+5.5+oz&amp;qid=1695259405&amp;sr=8-1")</f>
        <v>https://www.amazon.com/TIGI-Showdown-Anti-Frizz-Hairspray-Strong/dp/B09S3B5CZT/ref=sr_1_1?keywords=Bed+head+by+tigi+showdown+anti-frizz+strong+hold+hairspray+5.5+oz&amp;qid=1695259405&amp;sr=8-1</v>
      </c>
      <c r="F2302" t="s">
        <v>5743</v>
      </c>
      <c r="G2302" t="e">
        <f ca="1">IMAGE("https://prolisok-store.com/cdn/shop/products/416092_300x.jpg?v=1690900051")</f>
        <v>#NAME?</v>
      </c>
      <c r="H2302" t="e">
        <f ca="1">IMAGE("https://m.media-amazon.com/images/I/711gImjryvL._AC_UL320_.jpg")</f>
        <v>#NAME?</v>
      </c>
      <c r="I2302" t="s">
        <v>5135</v>
      </c>
      <c r="J2302">
        <v>14.95</v>
      </c>
      <c r="K2302" s="2" t="s">
        <v>5744</v>
      </c>
      <c r="L2302">
        <v>4</v>
      </c>
      <c r="M2302">
        <v>131</v>
      </c>
      <c r="O2302" t="s">
        <v>26</v>
      </c>
      <c r="P2302" t="s">
        <v>39</v>
      </c>
      <c r="Q2302" t="s">
        <v>5650</v>
      </c>
    </row>
    <row r="2303" spans="1:17" ht="15.75" x14ac:dyDescent="0.25">
      <c r="A2303" s="3" t="str">
        <f>HYPERLINK("https://prolisok-store.com/collections/hair-care/products/bed-head-by-tigi-manipulator-1-oz", "https://prolisok-store.com/collections/hair-care/products/bed-head-by-tigi-manipulator-1-oz")</f>
        <v>https://prolisok-store.com/collections/hair-care/products/bed-head-by-tigi-manipulator-1-oz</v>
      </c>
      <c r="B2303" s="3" t="str">
        <f>HYPERLINK("https://prolisok-store.com/products/bed-head-by-tigi-manipulator-1-oz", "https://prolisok-store.com/products/bed-head-by-tigi-manipulator-1-oz")</f>
        <v>https://prolisok-store.com/products/bed-head-by-tigi-manipulator-1-oz</v>
      </c>
      <c r="C2303" t="s">
        <v>5487</v>
      </c>
      <c r="D2303" t="s">
        <v>5745</v>
      </c>
      <c r="E2303" s="3" t="str">
        <f>HYPERLINK("https://www.amazon.com/TIGI-Head-Manipulator-Texturizer-Ounce/dp/B01ENS6WJW/ref=sr_1_3?keywords=Bed+head+by+tigi+manipulator+1+oz&amp;qid=1695259376&amp;sr=8-3", "https://www.amazon.com/TIGI-Head-Manipulator-Texturizer-Ounce/dp/B01ENS6WJW/ref=sr_1_3?keywords=Bed+head+by+tigi+manipulator+1+oz&amp;qid=1695259376&amp;sr=8-3")</f>
        <v>https://www.amazon.com/TIGI-Head-Manipulator-Texturizer-Ounce/dp/B01ENS6WJW/ref=sr_1_3?keywords=Bed+head+by+tigi+manipulator+1+oz&amp;qid=1695259376&amp;sr=8-3</v>
      </c>
      <c r="F2303" t="s">
        <v>5746</v>
      </c>
      <c r="G2303" t="e">
        <f ca="1">IMAGE("https://prolisok-store.com/cdn/shop/products/319805_300x.jpg?v=1690899916")</f>
        <v>#NAME?</v>
      </c>
      <c r="H2303" t="e">
        <f ca="1">IMAGE("https://m.media-amazon.com/images/I/71vYL6wHdsL._AC_UL320_.jpg")</f>
        <v>#NAME?</v>
      </c>
      <c r="I2303" t="s">
        <v>5115</v>
      </c>
      <c r="J2303">
        <v>7.46</v>
      </c>
      <c r="K2303" s="2" t="s">
        <v>5747</v>
      </c>
      <c r="L2303">
        <v>4.5</v>
      </c>
      <c r="M2303">
        <v>8881</v>
      </c>
      <c r="O2303" t="s">
        <v>26</v>
      </c>
      <c r="P2303" t="s">
        <v>39</v>
      </c>
      <c r="Q2303" t="s">
        <v>5491</v>
      </c>
    </row>
    <row r="2304" spans="1:17" ht="15.75" x14ac:dyDescent="0.25">
      <c r="A2304" s="3" t="str">
        <f>HYPERLINK("https://prolisok-store.com/collections/hair-care/products/bed-head-men-by-tigi-matte-separation-wax-3-oz", "https://prolisok-store.com/collections/hair-care/products/bed-head-men-by-tigi-matte-separation-wax-3-oz")</f>
        <v>https://prolisok-store.com/collections/hair-care/products/bed-head-men-by-tigi-matte-separation-wax-3-oz</v>
      </c>
      <c r="B2304" s="3" t="str">
        <f>HYPERLINK("https://prolisok-store.com/products/bed-head-men-by-tigi-matte-separation-wax-3-oz", "https://prolisok-store.com/products/bed-head-men-by-tigi-matte-separation-wax-3-oz")</f>
        <v>https://prolisok-store.com/products/bed-head-men-by-tigi-matte-separation-wax-3-oz</v>
      </c>
      <c r="C2304" t="s">
        <v>5407</v>
      </c>
      <c r="D2304" t="s">
        <v>5748</v>
      </c>
      <c r="E2304" s="3" t="str">
        <f>HYPERLINK("https://www.amazon.com/TIGI-Bed-Head-Men-Separation/dp/B001SKHJBE/ref=sr_1_3?keywords=Bed+head+men+by+tigi+matte+separation+wax+3+oz&amp;qid=1695259401&amp;sr=8-3", "https://www.amazon.com/TIGI-Bed-Head-Men-Separation/dp/B001SKHJBE/ref=sr_1_3?keywords=Bed+head+men+by+tigi+matte+separation+wax+3+oz&amp;qid=1695259401&amp;sr=8-3")</f>
        <v>https://www.amazon.com/TIGI-Bed-Head-Men-Separation/dp/B001SKHJBE/ref=sr_1_3?keywords=Bed+head+men+by+tigi+matte+separation+wax+3+oz&amp;qid=1695259401&amp;sr=8-3</v>
      </c>
      <c r="F2304" t="s">
        <v>5749</v>
      </c>
      <c r="G2304" t="e">
        <f ca="1">IMAGE("https://prolisok-store.com/cdn/shop/products/276241_300x.jpg?v=1690900117")</f>
        <v>#NAME?</v>
      </c>
      <c r="H2304" t="e">
        <f ca="1">IMAGE("https://m.media-amazon.com/images/I/61wioczVpUL._AC_UL320_.jpg")</f>
        <v>#NAME?</v>
      </c>
      <c r="I2304" t="s">
        <v>5410</v>
      </c>
      <c r="J2304">
        <v>14.35</v>
      </c>
      <c r="K2304" s="2" t="s">
        <v>5750</v>
      </c>
      <c r="L2304">
        <v>4.5999999999999996</v>
      </c>
      <c r="M2304">
        <v>2035</v>
      </c>
      <c r="O2304" t="s">
        <v>26</v>
      </c>
      <c r="P2304" t="s">
        <v>39</v>
      </c>
      <c r="Q2304" t="s">
        <v>5412</v>
      </c>
    </row>
    <row r="2305" spans="1:17" ht="15.75" x14ac:dyDescent="0.25">
      <c r="A2305" s="3" t="str">
        <f>HYPERLINK("https://prolisok-store.com/collections/hair-care/products/catwalk-by-tigi-your-highness-elevating-conditioner-for-fine-lifeless-hair-8-45-oz", "https://prolisok-store.com/collections/hair-care/products/catwalk-by-tigi-your-highness-elevating-conditioner-for-fine-lifeless-hair-8-45-oz")</f>
        <v>https://prolisok-store.com/collections/hair-care/products/catwalk-by-tigi-your-highness-elevating-conditioner-for-fine-lifeless-hair-8-45-oz</v>
      </c>
      <c r="B2305" s="3" t="str">
        <f>HYPERLINK("https://prolisok-store.com/products/catwalk-by-tigi-your-highness-elevating-conditioner-for-fine-lifeless-hair-8-45-oz", "https://prolisok-store.com/products/catwalk-by-tigi-your-highness-elevating-conditioner-for-fine-lifeless-hair-8-45-oz")</f>
        <v>https://prolisok-store.com/products/catwalk-by-tigi-your-highness-elevating-conditioner-for-fine-lifeless-hair-8-45-oz</v>
      </c>
      <c r="C2305" t="s">
        <v>5292</v>
      </c>
      <c r="D2305" t="s">
        <v>5751</v>
      </c>
      <c r="E2305" s="3" t="str">
        <f>HYPERLINK("https://www.amazon.com/Catwalk-Highness-Elevating-Conditioner-Lifeless/dp/B00I87IBTO/ref=sr_1_2?keywords=Catwalk+by+tigi+your+highness+elevating+conditioner+for+fine+lifeless+hair+8.45+oz&amp;qid=1695259380&amp;sr=8-2", "https://www.amazon.com/Catwalk-Highness-Elevating-Conditioner-Lifeless/dp/B00I87IBTO/ref=sr_1_2?keywords=Catwalk+by+tigi+your+highness+elevating+conditioner+for+fine+lifeless+hair+8.45+oz&amp;qid=1695259380&amp;sr=8-2")</f>
        <v>https://www.amazon.com/Catwalk-Highness-Elevating-Conditioner-Lifeless/dp/B00I87IBTO/ref=sr_1_2?keywords=Catwalk+by+tigi+your+highness+elevating+conditioner+for+fine+lifeless+hair+8.45+oz&amp;qid=1695259380&amp;sr=8-2</v>
      </c>
      <c r="F2305" t="s">
        <v>5752</v>
      </c>
      <c r="G2305" t="e">
        <f ca="1">IMAGE("https://prolisok-store.com/cdn/shop/products/319832_300x.jpg?v=1690900053")</f>
        <v>#NAME?</v>
      </c>
      <c r="H2305" t="e">
        <f ca="1">IMAGE("https://m.media-amazon.com/images/I/41IM7bUQs5L._AC_UL320_.jpg")</f>
        <v>#NAME?</v>
      </c>
      <c r="I2305" t="s">
        <v>5295</v>
      </c>
      <c r="J2305">
        <v>9.99</v>
      </c>
      <c r="K2305" s="2" t="s">
        <v>5753</v>
      </c>
      <c r="L2305">
        <v>4.3</v>
      </c>
      <c r="M2305">
        <v>113</v>
      </c>
      <c r="O2305" t="s">
        <v>26</v>
      </c>
      <c r="P2305" t="s">
        <v>39</v>
      </c>
      <c r="Q2305" t="s">
        <v>5297</v>
      </c>
    </row>
    <row r="2306" spans="1:17" ht="15.75" x14ac:dyDescent="0.25">
      <c r="A2306" s="3" t="str">
        <f>HYPERLINK("https://prolisok-store.com/collections/hair-care/products/tigi-s-factor-stunning-volume-shampoo-8-45-oz", "https://prolisok-store.com/collections/hair-care/products/tigi-s-factor-stunning-volume-shampoo-8-45-oz")</f>
        <v>https://prolisok-store.com/collections/hair-care/products/tigi-s-factor-stunning-volume-shampoo-8-45-oz</v>
      </c>
      <c r="B2306" s="3" t="str">
        <f>HYPERLINK("https://prolisok-store.com/products/tigi-s-factor-stunning-volume-shampoo-8-45-oz", "https://prolisok-store.com/products/tigi-s-factor-stunning-volume-shampoo-8-45-oz")</f>
        <v>https://prolisok-store.com/products/tigi-s-factor-stunning-volume-shampoo-8-45-oz</v>
      </c>
      <c r="C2306" t="s">
        <v>5352</v>
      </c>
      <c r="D2306" t="s">
        <v>5754</v>
      </c>
      <c r="E2306" s="3" t="str">
        <f>HYPERLINK("https://www.amazon.com/TIGI-S-Factor-Stunning-Conditioner-Unisex/dp/B00NJ23HX8/ref=sr_1_3?keywords=Tigi+s+factor+stunning+volume+shampoo+8.45+oz&amp;qid=1695259406&amp;sr=8-3", "https://www.amazon.com/TIGI-S-Factor-Stunning-Conditioner-Unisex/dp/B00NJ23HX8/ref=sr_1_3?keywords=Tigi+s+factor+stunning+volume+shampoo+8.45+oz&amp;qid=1695259406&amp;sr=8-3")</f>
        <v>https://www.amazon.com/TIGI-S-Factor-Stunning-Conditioner-Unisex/dp/B00NJ23HX8/ref=sr_1_3?keywords=Tigi+s+factor+stunning+volume+shampoo+8.45+oz&amp;qid=1695259406&amp;sr=8-3</v>
      </c>
      <c r="F2306" t="s">
        <v>5755</v>
      </c>
      <c r="G2306" t="e">
        <f ca="1">IMAGE("https://prolisok-store.com/cdn/shop/products/280066_300x.jpg?v=1690900082")</f>
        <v>#NAME?</v>
      </c>
      <c r="H2306" t="e">
        <f ca="1">IMAGE("https://m.media-amazon.com/images/I/410aGK+jSFL._AC_UL320_.jpg")</f>
        <v>#NAME?</v>
      </c>
      <c r="I2306" t="s">
        <v>748</v>
      </c>
      <c r="J2306">
        <v>19.989999999999998</v>
      </c>
      <c r="K2306" s="2" t="s">
        <v>5756</v>
      </c>
      <c r="L2306">
        <v>4.4000000000000004</v>
      </c>
      <c r="M2306">
        <v>156</v>
      </c>
      <c r="O2306" t="s">
        <v>26</v>
      </c>
      <c r="P2306" t="s">
        <v>39</v>
      </c>
      <c r="Q2306" t="s">
        <v>5356</v>
      </c>
    </row>
    <row r="2307" spans="1:17" ht="15.75" x14ac:dyDescent="0.25">
      <c r="A2307" s="3" t="str">
        <f>HYPERLINK("https://prolisok-store.com/collections/hair-care/products/bed-head-men-by-tigi-wise-up-scalp-shampoo-8-45-oz", "https://prolisok-store.com/collections/hair-care/products/bed-head-men-by-tigi-wise-up-scalp-shampoo-8-45-oz")</f>
        <v>https://prolisok-store.com/collections/hair-care/products/bed-head-men-by-tigi-wise-up-scalp-shampoo-8-45-oz</v>
      </c>
      <c r="B2307" s="3" t="str">
        <f>HYPERLINK("https://prolisok-store.com/products/bed-head-men-by-tigi-wise-up-scalp-shampoo-8-45-oz", "https://prolisok-store.com/products/bed-head-men-by-tigi-wise-up-scalp-shampoo-8-45-oz")</f>
        <v>https://prolisok-store.com/products/bed-head-men-by-tigi-wise-up-scalp-shampoo-8-45-oz</v>
      </c>
      <c r="C2307" t="s">
        <v>5266</v>
      </c>
      <c r="D2307" t="s">
        <v>5757</v>
      </c>
      <c r="E2307" s="3" t="str">
        <f>HYPERLINK("https://www.amazon.com/Bed-Head-Men-Scalp-Shampoo/dp/B019BU27R8/ref=sr_1_5?keywords=Bed+head+men+by+tigi+wise+up+scalp+shampoo+8.45+oz&amp;qid=1695259382&amp;sr=8-5", "https://www.amazon.com/Bed-Head-Men-Scalp-Shampoo/dp/B019BU27R8/ref=sr_1_5?keywords=Bed+head+men+by+tigi+wise+up+scalp+shampoo+8.45+oz&amp;qid=1695259382&amp;sr=8-5")</f>
        <v>https://www.amazon.com/Bed-Head-Men-Scalp-Shampoo/dp/B019BU27R8/ref=sr_1_5?keywords=Bed+head+men+by+tigi+wise+up+scalp+shampoo+8.45+oz&amp;qid=1695259382&amp;sr=8-5</v>
      </c>
      <c r="F2307" t="s">
        <v>5758</v>
      </c>
      <c r="G2307" t="e">
        <f ca="1">IMAGE("https://prolisok-store.com/cdn/shop/products/280801_300x.jpg?v=1690900112")</f>
        <v>#NAME?</v>
      </c>
      <c r="H2307" t="e">
        <f ca="1">IMAGE("https://m.media-amazon.com/images/I/518SIXqV2iL._AC_UL320_.jpg")</f>
        <v>#NAME?</v>
      </c>
      <c r="I2307" t="s">
        <v>5229</v>
      </c>
      <c r="J2307">
        <v>9.99</v>
      </c>
      <c r="K2307" s="2" t="s">
        <v>5759</v>
      </c>
      <c r="L2307">
        <v>4.5</v>
      </c>
      <c r="M2307">
        <v>185</v>
      </c>
      <c r="O2307" t="s">
        <v>26</v>
      </c>
      <c r="P2307" t="s">
        <v>39</v>
      </c>
      <c r="Q2307" t="s">
        <v>5270</v>
      </c>
    </row>
    <row r="2308" spans="1:17" ht="15.75" x14ac:dyDescent="0.25">
      <c r="A2308" s="3" t="str">
        <f>HYPERLINK("https://prolisok-store.com/collections/hair-care/products/bed-head-men-by-tigi-wise-up-scalp-shampoo-8-45-oz", "https://prolisok-store.com/collections/hair-care/products/bed-head-men-by-tigi-wise-up-scalp-shampoo-8-45-oz")</f>
        <v>https://prolisok-store.com/collections/hair-care/products/bed-head-men-by-tigi-wise-up-scalp-shampoo-8-45-oz</v>
      </c>
      <c r="B2308" s="3" t="str">
        <f>HYPERLINK("https://prolisok-store.com/products/bed-head-men-by-tigi-wise-up-scalp-shampoo-8-45-oz", "https://prolisok-store.com/products/bed-head-men-by-tigi-wise-up-scalp-shampoo-8-45-oz")</f>
        <v>https://prolisok-store.com/products/bed-head-men-by-tigi-wise-up-scalp-shampoo-8-45-oz</v>
      </c>
      <c r="C2308" t="s">
        <v>5266</v>
      </c>
      <c r="D2308" t="s">
        <v>5760</v>
      </c>
      <c r="E2308" s="3" t="str">
        <f>HYPERLINK("https://www.amazon.com/JUST-RELEASED-SPRING-2015-Shampoo/dp/B011M5ZWG8/ref=sr_1_1?keywords=Bed+head+men+by+tigi+wise+up+scalp+shampoo+8.45+oz&amp;qid=1695259382&amp;sr=8-1", "https://www.amazon.com/JUST-RELEASED-SPRING-2015-Shampoo/dp/B011M5ZWG8/ref=sr_1_1?keywords=Bed+head+men+by+tigi+wise+up+scalp+shampoo+8.45+oz&amp;qid=1695259382&amp;sr=8-1")</f>
        <v>https://www.amazon.com/JUST-RELEASED-SPRING-2015-Shampoo/dp/B011M5ZWG8/ref=sr_1_1?keywords=Bed+head+men+by+tigi+wise+up+scalp+shampoo+8.45+oz&amp;qid=1695259382&amp;sr=8-1</v>
      </c>
      <c r="F2308" t="s">
        <v>5761</v>
      </c>
      <c r="G2308" t="e">
        <f ca="1">IMAGE("https://prolisok-store.com/cdn/shop/products/280801_300x.jpg?v=1690900112")</f>
        <v>#NAME?</v>
      </c>
      <c r="H2308" t="e">
        <f ca="1">IMAGE("https://m.media-amazon.com/images/I/51MhieFh80L._AC_UL320_.jpg")</f>
        <v>#NAME?</v>
      </c>
      <c r="I2308" t="s">
        <v>5229</v>
      </c>
      <c r="J2308">
        <v>9.9700000000000006</v>
      </c>
      <c r="K2308" s="2" t="s">
        <v>5762</v>
      </c>
      <c r="L2308">
        <v>4.7</v>
      </c>
      <c r="M2308">
        <v>24</v>
      </c>
      <c r="O2308" t="s">
        <v>26</v>
      </c>
      <c r="P2308" t="s">
        <v>39</v>
      </c>
      <c r="Q2308" t="s">
        <v>5270</v>
      </c>
    </row>
    <row r="2309" spans="1:17" ht="15.75" x14ac:dyDescent="0.25">
      <c r="A2309" s="3" t="str">
        <f>HYPERLINK("https://prolisok-store.com/collections/hair-care/products/bed-head-men-by-tigi-wise-up-scalp-shampoo-8-45-oz", "https://prolisok-store.com/collections/hair-care/products/bed-head-men-by-tigi-wise-up-scalp-shampoo-8-45-oz")</f>
        <v>https://prolisok-store.com/collections/hair-care/products/bed-head-men-by-tigi-wise-up-scalp-shampoo-8-45-oz</v>
      </c>
      <c r="B2309" s="3" t="str">
        <f>HYPERLINK("https://prolisok-store.com/products/bed-head-men-by-tigi-wise-up-scalp-shampoo-8-45-oz", "https://prolisok-store.com/products/bed-head-men-by-tigi-wise-up-scalp-shampoo-8-45-oz")</f>
        <v>https://prolisok-store.com/products/bed-head-men-by-tigi-wise-up-scalp-shampoo-8-45-oz</v>
      </c>
      <c r="C2309" t="s">
        <v>5266</v>
      </c>
      <c r="D2309" t="s">
        <v>5609</v>
      </c>
      <c r="E2309" s="3" t="str">
        <f>HYPERLINK("https://www.amazon.com/TIGI-Head-Clean-Daily-Shampoo/dp/B005LA5SWY/ref=sr_1_6?keywords=Bed+head+men+by+tigi+wise+up+scalp+shampoo+8.45+oz&amp;qid=1695259382&amp;sr=8-6", "https://www.amazon.com/TIGI-Head-Clean-Daily-Shampoo/dp/B005LA5SWY/ref=sr_1_6?keywords=Bed+head+men+by+tigi+wise+up+scalp+shampoo+8.45+oz&amp;qid=1695259382&amp;sr=8-6")</f>
        <v>https://www.amazon.com/TIGI-Head-Clean-Daily-Shampoo/dp/B005LA5SWY/ref=sr_1_6?keywords=Bed+head+men+by+tigi+wise+up+scalp+shampoo+8.45+oz&amp;qid=1695259382&amp;sr=8-6</v>
      </c>
      <c r="F2309" t="s">
        <v>5763</v>
      </c>
      <c r="G2309" t="e">
        <f ca="1">IMAGE("https://prolisok-store.com/cdn/shop/products/280801_300x.jpg?v=1690900112")</f>
        <v>#NAME?</v>
      </c>
      <c r="H2309" t="e">
        <f ca="1">IMAGE("https://m.media-amazon.com/images/I/61KrYnixxQL._AC_UL320_.jpg")</f>
        <v>#NAME?</v>
      </c>
      <c r="I2309" t="s">
        <v>5229</v>
      </c>
      <c r="J2309">
        <v>9.9499999999999993</v>
      </c>
      <c r="K2309" s="2" t="s">
        <v>5764</v>
      </c>
      <c r="L2309">
        <v>4.5999999999999996</v>
      </c>
      <c r="M2309">
        <v>169</v>
      </c>
      <c r="O2309" t="s">
        <v>26</v>
      </c>
      <c r="P2309" t="s">
        <v>39</v>
      </c>
      <c r="Q2309" t="s">
        <v>5270</v>
      </c>
    </row>
    <row r="2310" spans="1:17" ht="15.75" x14ac:dyDescent="0.25">
      <c r="A2310" s="3" t="str">
        <f>HYPERLINK("https://prolisok-store.com/collections/hair-care/products/sisley-hair-rituel-regenerating-hair-mask-with-four-botanical-oils-6-7-oz", "https://prolisok-store.com/collections/hair-care/products/sisley-hair-rituel-regenerating-hair-mask-with-four-botanical-oils-6-7-oz")</f>
        <v>https://prolisok-store.com/collections/hair-care/products/sisley-hair-rituel-regenerating-hair-mask-with-four-botanical-oils-6-7-oz</v>
      </c>
      <c r="B2310" s="3" t="str">
        <f>HYPERLINK("https://prolisok-store.com/products/sisley-hair-rituel-regenerating-hair-mask-with-four-botanical-oils-6-7-oz", "https://prolisok-store.com/products/sisley-hair-rituel-regenerating-hair-mask-with-four-botanical-oils-6-7-oz")</f>
        <v>https://prolisok-store.com/products/sisley-hair-rituel-regenerating-hair-mask-with-four-botanical-oils-6-7-oz</v>
      </c>
      <c r="C2310" t="s">
        <v>5765</v>
      </c>
      <c r="D2310" t="s">
        <v>5766</v>
      </c>
      <c r="E2310" s="3" t="str">
        <f>HYPERLINK("https://www.amazon.com/Regenerating-Hair-Care-Mask-Botanical/dp/B079QBHDKR/ref=sr_1_1?keywords=Sisley+hair+rituel+regenerating+hair+mask+with+four+botanical+oils+6.7+oz&amp;qid=1695259384&amp;sr=8-1", "https://www.amazon.com/Regenerating-Hair-Care-Mask-Botanical/dp/B079QBHDKR/ref=sr_1_1?keywords=Sisley+hair+rituel+regenerating+hair+mask+with+four+botanical+oils+6.7+oz&amp;qid=1695259384&amp;sr=8-1")</f>
        <v>https://www.amazon.com/Regenerating-Hair-Care-Mask-Botanical/dp/B079QBHDKR/ref=sr_1_1?keywords=Sisley+hair+rituel+regenerating+hair+mask+with+four+botanical+oils+6.7+oz&amp;qid=1695259384&amp;sr=8-1</v>
      </c>
      <c r="F2310" t="s">
        <v>5767</v>
      </c>
      <c r="G2310" t="e">
        <f ca="1">IMAGE("https://prolisok-store.com/cdn/shop/products/312175_300x.jpg?v=1690900808")</f>
        <v>#NAME?</v>
      </c>
      <c r="H2310" t="e">
        <f ca="1">IMAGE("https://m.media-amazon.com/images/I/41SkBzPlHXL._AC_UL320_.jpg")</f>
        <v>#NAME?</v>
      </c>
      <c r="I2310" t="s">
        <v>5768</v>
      </c>
      <c r="J2310">
        <v>59.35</v>
      </c>
      <c r="K2310" s="2" t="s">
        <v>5769</v>
      </c>
      <c r="L2310">
        <v>4.3</v>
      </c>
      <c r="M2310">
        <v>50</v>
      </c>
      <c r="O2310" t="s">
        <v>26</v>
      </c>
      <c r="P2310" t="s">
        <v>39</v>
      </c>
      <c r="Q2310" t="s">
        <v>5770</v>
      </c>
    </row>
    <row r="2311" spans="1:17" ht="15.75" x14ac:dyDescent="0.25">
      <c r="A2311" s="3" t="str">
        <f>HYPERLINK("https://prolisok-store.com/collections/hair-care/products/bed-head-by-tigi-resurrection-conditioner-25-36-oz", "https://prolisok-store.com/collections/hair-care/products/bed-head-by-tigi-resurrection-conditioner-25-36-oz")</f>
        <v>https://prolisok-store.com/collections/hair-care/products/bed-head-by-tigi-resurrection-conditioner-25-36-oz</v>
      </c>
      <c r="B2311" s="3" t="str">
        <f>HYPERLINK("https://prolisok-store.com/products/bed-head-by-tigi-resurrection-conditioner-25-36-oz", "https://prolisok-store.com/products/bed-head-by-tigi-resurrection-conditioner-25-36-oz")</f>
        <v>https://prolisok-store.com/products/bed-head-by-tigi-resurrection-conditioner-25-36-oz</v>
      </c>
      <c r="C2311" t="s">
        <v>5521</v>
      </c>
      <c r="D2311" t="s">
        <v>5771</v>
      </c>
      <c r="E2311" s="3" t="str">
        <f>HYPERLINK("https://www.amazon.com/Urban-Resurrection-Conditioner-Damage-25-36-Ounce/dp/B004T19PBG/ref=sr_1_1?keywords=Bed+head+by+tigi+resurrection+conditioner+25.36+oz&amp;qid=1695259389&amp;sr=8-1", "https://www.amazon.com/Urban-Resurrection-Conditioner-Damage-25-36-Ounce/dp/B004T19PBG/ref=sr_1_1?keywords=Bed+head+by+tigi+resurrection+conditioner+25.36+oz&amp;qid=1695259389&amp;sr=8-1")</f>
        <v>https://www.amazon.com/Urban-Resurrection-Conditioner-Damage-25-36-Ounce/dp/B004T19PBG/ref=sr_1_1?keywords=Bed+head+by+tigi+resurrection+conditioner+25.36+oz&amp;qid=1695259389&amp;sr=8-1</v>
      </c>
      <c r="F2311" t="s">
        <v>5772</v>
      </c>
      <c r="G2311" t="e">
        <f ca="1">IMAGE("https://prolisok-store.com/cdn/shop/products/195943_300x.jpg?v=1690899983")</f>
        <v>#NAME?</v>
      </c>
      <c r="H2311" t="e">
        <f ca="1">IMAGE("https://m.media-amazon.com/images/I/81ESdju8ssL._AC_UL320_.jpg")</f>
        <v>#NAME?</v>
      </c>
      <c r="I2311" t="s">
        <v>5348</v>
      </c>
      <c r="J2311">
        <v>15.65</v>
      </c>
      <c r="K2311" s="2" t="s">
        <v>5773</v>
      </c>
      <c r="L2311">
        <v>4.7</v>
      </c>
      <c r="M2311">
        <v>3853</v>
      </c>
      <c r="O2311" t="s">
        <v>26</v>
      </c>
      <c r="P2311" t="s">
        <v>39</v>
      </c>
      <c r="Q2311" t="s">
        <v>5525</v>
      </c>
    </row>
    <row r="2312" spans="1:17" ht="15.75" x14ac:dyDescent="0.25">
      <c r="A2312" s="3" t="str">
        <f>HYPERLINK("https://prolisok-store.com/collections/hair-care/products/bed-head-by-tigi-back-it-up-texturizing-cream-4-23-oz", "https://prolisok-store.com/collections/hair-care/products/bed-head-by-tigi-back-it-up-texturizing-cream-4-23-oz")</f>
        <v>https://prolisok-store.com/collections/hair-care/products/bed-head-by-tigi-back-it-up-texturizing-cream-4-23-oz</v>
      </c>
      <c r="B2312" s="3" t="str">
        <f>HYPERLINK("https://prolisok-store.com/products/bed-head-by-tigi-back-it-up-texturizing-cream-4-23-oz", "https://prolisok-store.com/products/bed-head-by-tigi-back-it-up-texturizing-cream-4-23-oz")</f>
        <v>https://prolisok-store.com/products/bed-head-by-tigi-back-it-up-texturizing-cream-4-23-oz</v>
      </c>
      <c r="C2312" t="s">
        <v>5461</v>
      </c>
      <c r="D2312" t="s">
        <v>5774</v>
      </c>
      <c r="E2312" s="3" t="str">
        <f>HYPERLINK("https://www.amazon.com/TIGI-Texturizing-Cream-Shape-Texture/dp/B08R51L3RS/ref=sr_1_2?keywords=Bed+head+by+tigi+back+it+up+texturizing+cream+4.23+oz&amp;qid=1695259376&amp;sr=8-2", "https://www.amazon.com/TIGI-Texturizing-Cream-Shape-Texture/dp/B08R51L3RS/ref=sr_1_2?keywords=Bed+head+by+tigi+back+it+up+texturizing+cream+4.23+oz&amp;qid=1695259376&amp;sr=8-2")</f>
        <v>https://www.amazon.com/TIGI-Texturizing-Cream-Shape-Texture/dp/B08R51L3RS/ref=sr_1_2?keywords=Bed+head+by+tigi+back+it+up+texturizing+cream+4.23+oz&amp;qid=1695259376&amp;sr=8-2</v>
      </c>
      <c r="F2312" t="s">
        <v>5775</v>
      </c>
      <c r="G2312" t="e">
        <f ca="1">IMAGE("https://prolisok-store.com/cdn/shop/products/416072_300x.jpg?v=1690900021")</f>
        <v>#NAME?</v>
      </c>
      <c r="H2312" t="e">
        <f ca="1">IMAGE("https://m.media-amazon.com/images/I/51NRIwh6fmL._AC_UL320_.jpg")</f>
        <v>#NAME?</v>
      </c>
      <c r="I2312" t="s">
        <v>5135</v>
      </c>
      <c r="J2312">
        <v>14.29</v>
      </c>
      <c r="K2312" s="2" t="s">
        <v>5776</v>
      </c>
      <c r="L2312">
        <v>4.4000000000000004</v>
      </c>
      <c r="M2312">
        <v>407</v>
      </c>
      <c r="O2312" t="s">
        <v>26</v>
      </c>
      <c r="P2312" t="s">
        <v>39</v>
      </c>
      <c r="Q2312" t="s">
        <v>5465</v>
      </c>
    </row>
    <row r="2313" spans="1:17" ht="15.75" x14ac:dyDescent="0.25">
      <c r="A2313" s="3" t="str">
        <f>HYPERLINK("https://prolisok-store.com/collections/hair-care/products/versace-dylan-turquoise-by-gianni-versace-hair-mist-1-oz", "https://prolisok-store.com/collections/hair-care/products/versace-dylan-turquoise-by-gianni-versace-hair-mist-1-oz")</f>
        <v>https://prolisok-store.com/collections/hair-care/products/versace-dylan-turquoise-by-gianni-versace-hair-mist-1-oz</v>
      </c>
      <c r="B2313" s="3" t="str">
        <f>HYPERLINK("https://prolisok-store.com/products/versace-dylan-turquoise-by-gianni-versace-hair-mist-1-oz", "https://prolisok-store.com/products/versace-dylan-turquoise-by-gianni-versace-hair-mist-1-oz")</f>
        <v>https://prolisok-store.com/products/versace-dylan-turquoise-by-gianni-versace-hair-mist-1-oz</v>
      </c>
      <c r="C2313" t="s">
        <v>5777</v>
      </c>
      <c r="D2313" t="s">
        <v>5778</v>
      </c>
      <c r="E2313" s="3" t="str">
        <f>HYPERLINK("https://www.amazon.com/VERSACE-DYLAN-TURQUOISE-Gianni-Versace/dp/B08ZV1PTBX/ref=sr_1_1?keywords=Versace+dylan+turquoise+by+gianni+versace+hair+mist+1+oz&amp;qid=1695259370&amp;sr=8-1", "https://www.amazon.com/VERSACE-DYLAN-TURQUOISE-Gianni-Versace/dp/B08ZV1PTBX/ref=sr_1_1?keywords=Versace+dylan+turquoise+by+gianni+versace+hair+mist+1+oz&amp;qid=1695259370&amp;sr=8-1")</f>
        <v>https://www.amazon.com/VERSACE-DYLAN-TURQUOISE-Gianni-Versace/dp/B08ZV1PTBX/ref=sr_1_1?keywords=Versace+dylan+turquoise+by+gianni+versace+hair+mist+1+oz&amp;qid=1695259370&amp;sr=8-1</v>
      </c>
      <c r="F2313" t="s">
        <v>5779</v>
      </c>
      <c r="G2313" t="e">
        <f ca="1">IMAGE("https://prolisok-store.com/cdn/shop/products/378769_300x.jpg?v=1694532213")</f>
        <v>#NAME?</v>
      </c>
      <c r="H2313" t="e">
        <f ca="1">IMAGE("https://m.media-amazon.com/images/I/61WglxBX+YS._AC_UL320_.jpg")</f>
        <v>#NAME?</v>
      </c>
      <c r="I2313" t="s">
        <v>3047</v>
      </c>
      <c r="J2313">
        <v>31.99</v>
      </c>
      <c r="K2313" s="2" t="s">
        <v>5780</v>
      </c>
      <c r="L2313">
        <v>4.5999999999999996</v>
      </c>
      <c r="M2313">
        <v>9</v>
      </c>
      <c r="O2313" t="s">
        <v>26</v>
      </c>
      <c r="P2313" t="s">
        <v>39</v>
      </c>
      <c r="Q2313" t="s">
        <v>5781</v>
      </c>
    </row>
    <row r="2314" spans="1:17" ht="15.75" x14ac:dyDescent="0.25">
      <c r="A2314" s="3" t="str">
        <f>HYPERLINK("https://prolisok-store.com/collections/hair-care/products/bed-head-by-tigi-after-party-smoothing-cream-for-silky-shiny-hair-3-4-oz", "https://prolisok-store.com/collections/hair-care/products/bed-head-by-tigi-after-party-smoothing-cream-for-silky-shiny-hair-3-4-oz")</f>
        <v>https://prolisok-store.com/collections/hair-care/products/bed-head-by-tigi-after-party-smoothing-cream-for-silky-shiny-hair-3-4-oz</v>
      </c>
      <c r="B2314" s="3" t="str">
        <f>HYPERLINK("https://prolisok-store.com/products/bed-head-by-tigi-after-party-smoothing-cream-for-silky-shiny-hair-3-4-oz", "https://prolisok-store.com/products/bed-head-by-tigi-after-party-smoothing-cream-for-silky-shiny-hair-3-4-oz")</f>
        <v>https://prolisok-store.com/products/bed-head-by-tigi-after-party-smoothing-cream-for-silky-shiny-hair-3-4-oz</v>
      </c>
      <c r="C2314" t="s">
        <v>5551</v>
      </c>
      <c r="D2314" t="s">
        <v>5782</v>
      </c>
      <c r="E2314" s="3" t="str">
        <f>HYPERLINK("https://www.amazon.com/TIGI-After-Party-Smoothing-Cream/dp/B08X8MTQWF/ref=sr_1_2?keywords=Bed+head+by+tigi+after+party+smoothing+cream+for+silky+shiny+hair+3.4+oz&amp;qid=1695259393&amp;rdc=1&amp;sr=8-2", "https://www.amazon.com/TIGI-After-Party-Smoothing-Cream/dp/B08X8MTQWF/ref=sr_1_2?keywords=Bed+head+by+tigi+after+party+smoothing+cream+for+silky+shiny+hair+3.4+oz&amp;qid=1695259393&amp;rdc=1&amp;sr=8-2")</f>
        <v>https://www.amazon.com/TIGI-After-Party-Smoothing-Cream/dp/B08X8MTQWF/ref=sr_1_2?keywords=Bed+head+by+tigi+after+party+smoothing+cream+for+silky+shiny+hair+3.4+oz&amp;qid=1695259393&amp;rdc=1&amp;sr=8-2</v>
      </c>
      <c r="F2314" t="s">
        <v>5783</v>
      </c>
      <c r="G2314" t="e">
        <f ca="1">IMAGE("https://prolisok-store.com/cdn/shop/products/131710_300x.jpg?v=1690899954")</f>
        <v>#NAME?</v>
      </c>
      <c r="H2314" t="e">
        <f ca="1">IMAGE("https://m.media-amazon.com/images/I/61XaCrHd38L._AC_UL320_.jpg")</f>
        <v>#NAME?</v>
      </c>
      <c r="I2314" t="s">
        <v>5554</v>
      </c>
      <c r="J2314">
        <v>15.67</v>
      </c>
      <c r="K2314" s="2" t="s">
        <v>5784</v>
      </c>
      <c r="L2314">
        <v>4.7</v>
      </c>
      <c r="M2314">
        <v>1477</v>
      </c>
      <c r="O2314" t="s">
        <v>26</v>
      </c>
      <c r="P2314" t="s">
        <v>39</v>
      </c>
      <c r="Q2314" t="s">
        <v>5556</v>
      </c>
    </row>
    <row r="2315" spans="1:17" ht="15.75" x14ac:dyDescent="0.25">
      <c r="A2315" s="3" t="str">
        <f>HYPERLINK("https://prolisok-store.com/collections/hair-care/products/sisley-hair-rituel-restructuring-conditioner-with-cotton-proteins-6-7-oz", "https://prolisok-store.com/collections/hair-care/products/sisley-hair-rituel-restructuring-conditioner-with-cotton-proteins-6-7-oz")</f>
        <v>https://prolisok-store.com/collections/hair-care/products/sisley-hair-rituel-restructuring-conditioner-with-cotton-proteins-6-7-oz</v>
      </c>
      <c r="B2315" s="3" t="str">
        <f>HYPERLINK("https://prolisok-store.com/products/sisley-hair-rituel-restructuring-conditioner-with-cotton-proteins-6-7-oz", "https://prolisok-store.com/products/sisley-hair-rituel-restructuring-conditioner-with-cotton-proteins-6-7-oz")</f>
        <v>https://prolisok-store.com/products/sisley-hair-rituel-restructuring-conditioner-with-cotton-proteins-6-7-oz</v>
      </c>
      <c r="C2315" t="s">
        <v>5629</v>
      </c>
      <c r="D2315" t="s">
        <v>5785</v>
      </c>
      <c r="E2315" s="3" t="str">
        <f>HYPERLINK("https://www.amazon.com/Restructuring-Conditioner-Cotton-Proteins-6-7/dp/B079PZXD6Z/ref=sr_1_3?keywords=Sisley+hair+rituel+restructuring+conditioner+with+cotton+proteins+6.7+oz&amp;qid=1695259387&amp;sr=8-3", "https://www.amazon.com/Restructuring-Conditioner-Cotton-Proteins-6-7/dp/B079PZXD6Z/ref=sr_1_3?keywords=Sisley+hair+rituel+restructuring+conditioner+with+cotton+proteins+6.7+oz&amp;qid=1695259387&amp;sr=8-3")</f>
        <v>https://www.amazon.com/Restructuring-Conditioner-Cotton-Proteins-6-7/dp/B079PZXD6Z/ref=sr_1_3?keywords=Sisley+hair+rituel+restructuring+conditioner+with+cotton+proteins+6.7+oz&amp;qid=1695259387&amp;sr=8-3</v>
      </c>
      <c r="F2315" t="s">
        <v>5786</v>
      </c>
      <c r="G2315" t="e">
        <f ca="1">IMAGE("https://prolisok-store.com/cdn/shop/products/312174_300x.jpg?v=1690900806")</f>
        <v>#NAME?</v>
      </c>
      <c r="H2315" t="e">
        <f ca="1">IMAGE("https://m.media-amazon.com/images/I/41TwrSIB+VL._AC_UL320_.jpg")</f>
        <v>#NAME?</v>
      </c>
      <c r="I2315" t="s">
        <v>5632</v>
      </c>
      <c r="J2315">
        <v>47.88</v>
      </c>
      <c r="K2315" s="2" t="s">
        <v>5787</v>
      </c>
      <c r="L2315">
        <v>4.2</v>
      </c>
      <c r="M2315">
        <v>36</v>
      </c>
      <c r="O2315" t="s">
        <v>26</v>
      </c>
      <c r="P2315" t="s">
        <v>39</v>
      </c>
      <c r="Q2315" t="s">
        <v>5634</v>
      </c>
    </row>
    <row r="2316" spans="1:17" ht="15.75" x14ac:dyDescent="0.25">
      <c r="A2316" s="3" t="str">
        <f>HYPERLINK("https://prolisok-store.com/collections/hair-care/products/bed-head-by-tigi-after-party-smoothing-cream-for-silky-shiny-hair-3-4-oz", "https://prolisok-store.com/collections/hair-care/products/bed-head-by-tigi-after-party-smoothing-cream-for-silky-shiny-hair-3-4-oz")</f>
        <v>https://prolisok-store.com/collections/hair-care/products/bed-head-by-tigi-after-party-smoothing-cream-for-silky-shiny-hair-3-4-oz</v>
      </c>
      <c r="B2316" s="3" t="str">
        <f>HYPERLINK("https://prolisok-store.com/products/bed-head-by-tigi-after-party-smoothing-cream-for-silky-shiny-hair-3-4-oz", "https://prolisok-store.com/products/bed-head-by-tigi-after-party-smoothing-cream-for-silky-shiny-hair-3-4-oz")</f>
        <v>https://prolisok-store.com/products/bed-head-by-tigi-after-party-smoothing-cream-for-silky-shiny-hair-3-4-oz</v>
      </c>
      <c r="C2316" t="s">
        <v>5551</v>
      </c>
      <c r="D2316" t="s">
        <v>5788</v>
      </c>
      <c r="E2316" s="3" t="str">
        <f>HYPERLINK("https://www.amazon.com/TIGI-After-Party-Smoothing-Travel/dp/B0BK1WQXQK/ref=sr_1_6?keywords=Bed+head+by+tigi+after+party+smoothing+cream+for+silky+shiny+hair+3.4+oz&amp;qid=1695259393&amp;sr=8-6", "https://www.amazon.com/TIGI-After-Party-Smoothing-Travel/dp/B0BK1WQXQK/ref=sr_1_6?keywords=Bed+head+by+tigi+after+party+smoothing+cream+for+silky+shiny+hair+3.4+oz&amp;qid=1695259393&amp;sr=8-6")</f>
        <v>https://www.amazon.com/TIGI-After-Party-Smoothing-Travel/dp/B0BK1WQXQK/ref=sr_1_6?keywords=Bed+head+by+tigi+after+party+smoothing+cream+for+silky+shiny+hair+3.4+oz&amp;qid=1695259393&amp;sr=8-6</v>
      </c>
      <c r="F2316" t="s">
        <v>5789</v>
      </c>
      <c r="G2316" t="e">
        <f ca="1">IMAGE("https://prolisok-store.com/cdn/shop/products/131710_300x.jpg?v=1690899954")</f>
        <v>#NAME?</v>
      </c>
      <c r="H2316" t="e">
        <f ca="1">IMAGE("https://m.media-amazon.com/images/I/31Ir9KhLxZL._AC_UL320_.jpg")</f>
        <v>#NAME?</v>
      </c>
      <c r="I2316" t="s">
        <v>5554</v>
      </c>
      <c r="J2316">
        <v>15.58</v>
      </c>
      <c r="K2316" s="2" t="s">
        <v>5790</v>
      </c>
      <c r="L2316">
        <v>4.7</v>
      </c>
      <c r="M2316">
        <v>31</v>
      </c>
      <c r="O2316" t="s">
        <v>26</v>
      </c>
      <c r="P2316" t="s">
        <v>39</v>
      </c>
      <c r="Q2316" t="s">
        <v>5556</v>
      </c>
    </row>
    <row r="2317" spans="1:17" ht="15.75" x14ac:dyDescent="0.25">
      <c r="A2317" s="3" t="str">
        <f>HYPERLINK("https://prolisok-store.com/collections/hair-care/products/bed-head-by-tigi-dumb-blonde-reconstructor-for-chemically-treated-hair-25-36-oz", "https://prolisok-store.com/collections/hair-care/products/bed-head-by-tigi-dumb-blonde-reconstructor-for-chemically-treated-hair-25-36-oz")</f>
        <v>https://prolisok-store.com/collections/hair-care/products/bed-head-by-tigi-dumb-blonde-reconstructor-for-chemically-treated-hair-25-36-oz</v>
      </c>
      <c r="B2317" s="3" t="str">
        <f>HYPERLINK("https://prolisok-store.com/products/bed-head-by-tigi-dumb-blonde-reconstructor-for-chemically-treated-hair-25-36-oz", "https://prolisok-store.com/products/bed-head-by-tigi-dumb-blonde-reconstructor-for-chemically-treated-hair-25-36-oz")</f>
        <v>https://prolisok-store.com/products/bed-head-by-tigi-dumb-blonde-reconstructor-for-chemically-treated-hair-25-36-oz</v>
      </c>
      <c r="C2317" t="s">
        <v>5791</v>
      </c>
      <c r="D2317" t="s">
        <v>5379</v>
      </c>
      <c r="E2317" s="3" t="str">
        <f>HYPERLINK("https://www.amazon.com/TIGI-Blonde-Shampoo-Reconstructor-Conditioner/dp/B001DDCW6S/ref=sr_1_9?keywords=Bed+head+by+tigi+dumb+blonde+reconstructor+for+chemically+treated+hair+25.36+oz&amp;qid=1695259372&amp;sr=8-9", "https://www.amazon.com/TIGI-Blonde-Shampoo-Reconstructor-Conditioner/dp/B001DDCW6S/ref=sr_1_9?keywords=Bed+head+by+tigi+dumb+blonde+reconstructor+for+chemically+treated+hair+25.36+oz&amp;qid=1695259372&amp;sr=8-9")</f>
        <v>https://www.amazon.com/TIGI-Blonde-Shampoo-Reconstructor-Conditioner/dp/B001DDCW6S/ref=sr_1_9?keywords=Bed+head+by+tigi+dumb+blonde+reconstructor+for+chemically+treated+hair+25.36+oz&amp;qid=1695259372&amp;sr=8-9</v>
      </c>
      <c r="F2317" t="s">
        <v>5380</v>
      </c>
      <c r="G2317" t="e">
        <f ca="1">IMAGE("https://prolisok-store.com/cdn/shop/products/263171_300x.jpg?v=1690899943")</f>
        <v>#NAME?</v>
      </c>
      <c r="H2317" t="e">
        <f ca="1">IMAGE("https://m.media-amazon.com/images/I/81CAXxAyWyL._AC_UL320_.jpg")</f>
        <v>#NAME?</v>
      </c>
      <c r="I2317" t="s">
        <v>5792</v>
      </c>
      <c r="J2317">
        <v>22.85</v>
      </c>
      <c r="K2317" s="2" t="s">
        <v>5793</v>
      </c>
      <c r="L2317">
        <v>4.2</v>
      </c>
      <c r="M2317">
        <v>5029</v>
      </c>
      <c r="O2317" t="s">
        <v>26</v>
      </c>
      <c r="P2317" t="s">
        <v>39</v>
      </c>
      <c r="Q2317" t="s">
        <v>5794</v>
      </c>
    </row>
    <row r="2318" spans="1:17" ht="15.75" x14ac:dyDescent="0.25">
      <c r="A2318" s="3" t="str">
        <f>HYPERLINK("https://prolisok-store.com/collections/hair-care/products/bed-head-by-tigi-queen-for-a-day-thickening-spray-10-5-oz", "https://prolisok-store.com/collections/hair-care/products/bed-head-by-tigi-queen-for-a-day-thickening-spray-10-5-oz")</f>
        <v>https://prolisok-store.com/collections/hair-care/products/bed-head-by-tigi-queen-for-a-day-thickening-spray-10-5-oz</v>
      </c>
      <c r="B2318" s="3" t="str">
        <f>HYPERLINK("https://prolisok-store.com/products/bed-head-by-tigi-queen-for-a-day-thickening-spray-10-5-oz", "https://prolisok-store.com/products/bed-head-by-tigi-queen-for-a-day-thickening-spray-10-5-oz")</f>
        <v>https://prolisok-store.com/products/bed-head-by-tigi-queen-for-a-day-thickening-spray-10-5-oz</v>
      </c>
      <c r="C2318" t="s">
        <v>5181</v>
      </c>
      <c r="D2318" t="s">
        <v>5795</v>
      </c>
      <c r="E2318" s="3" t="str">
        <f>HYPERLINK("https://www.amazon.com/Superstar-Queen-Thickening-Spray-Ounce/dp/B002RS6KU2/ref=sr_1_4?keywords=Bed+head+by+tigi+queen+for+a+day+thickening+spray+10.5+oz&amp;qid=1695259368&amp;sr=8-4", "https://www.amazon.com/Superstar-Queen-Thickening-Spray-Ounce/dp/B002RS6KU2/ref=sr_1_4?keywords=Bed+head+by+tigi+queen+for+a+day+thickening+spray+10.5+oz&amp;qid=1695259368&amp;sr=8-4")</f>
        <v>https://www.amazon.com/Superstar-Queen-Thickening-Spray-Ounce/dp/B002RS6KU2/ref=sr_1_4?keywords=Bed+head+by+tigi+queen+for+a+day+thickening+spray+10.5+oz&amp;qid=1695259368&amp;sr=8-4</v>
      </c>
      <c r="F2318" t="s">
        <v>5796</v>
      </c>
      <c r="G2318" t="e">
        <f ca="1">IMAGE("https://prolisok-store.com/cdn/shop/products/416054_300x.jpg?v=1690900009")</f>
        <v>#NAME?</v>
      </c>
      <c r="H2318" t="e">
        <f ca="1">IMAGE("https://m.media-amazon.com/images/I/61uFnRiM7EL._AC_UL320_.jpg")</f>
        <v>#NAME?</v>
      </c>
      <c r="I2318" t="s">
        <v>5135</v>
      </c>
      <c r="J2318">
        <v>13.86</v>
      </c>
      <c r="K2318" s="2" t="s">
        <v>5797</v>
      </c>
      <c r="L2318">
        <v>4.4000000000000004</v>
      </c>
      <c r="M2318">
        <v>2365</v>
      </c>
      <c r="O2318" t="s">
        <v>26</v>
      </c>
      <c r="P2318" t="s">
        <v>39</v>
      </c>
      <c r="Q2318" t="s">
        <v>5185</v>
      </c>
    </row>
    <row r="2319" spans="1:17" ht="15.75" x14ac:dyDescent="0.25">
      <c r="A2319" s="3" t="str">
        <f>HYPERLINK("https://prolisok-store.com/collections/hair-care/products/bed-head-by-tigi-trouble-maker-dry-spray-way-5-6-oz", "https://prolisok-store.com/collections/hair-care/products/bed-head-by-tigi-trouble-maker-dry-spray-way-5-6-oz")</f>
        <v>https://prolisok-store.com/collections/hair-care/products/bed-head-by-tigi-trouble-maker-dry-spray-way-5-6-oz</v>
      </c>
      <c r="B2319" s="3" t="str">
        <f>HYPERLINK("https://prolisok-store.com/products/bed-head-by-tigi-trouble-maker-dry-spray-way-5-6-oz", "https://prolisok-store.com/products/bed-head-by-tigi-trouble-maker-dry-spray-way-5-6-oz")</f>
        <v>https://prolisok-store.com/products/bed-head-by-tigi-trouble-maker-dry-spray-way-5-6-oz</v>
      </c>
      <c r="C2319" t="s">
        <v>5798</v>
      </c>
      <c r="D2319" t="s">
        <v>5799</v>
      </c>
      <c r="E2319" s="3" t="str">
        <f>HYPERLINK("https://www.amazon.com/TIGI-Trouble-Maker-Texture-Finishing/dp/B09S3LXGCV/ref=sr_1_2?keywords=Bed+head+by+tigi+trouble+maker+dry+spray+way+5.6+oz&amp;qid=1695259422&amp;sr=8-2", "https://www.amazon.com/TIGI-Trouble-Maker-Texture-Finishing/dp/B09S3LXGCV/ref=sr_1_2?keywords=Bed+head+by+tigi+trouble+maker+dry+spray+way+5.6+oz&amp;qid=1695259422&amp;sr=8-2")</f>
        <v>https://www.amazon.com/TIGI-Trouble-Maker-Texture-Finishing/dp/B09S3LXGCV/ref=sr_1_2?keywords=Bed+head+by+tigi+trouble+maker+dry+spray+way+5.6+oz&amp;qid=1695259422&amp;sr=8-2</v>
      </c>
      <c r="F2319" t="s">
        <v>5800</v>
      </c>
      <c r="G2319" t="e">
        <f ca="1">IMAGE("https://prolisok-store.com/cdn/shop/products/416068_300x.jpg?v=1690900019")</f>
        <v>#NAME?</v>
      </c>
      <c r="H2319" t="e">
        <f ca="1">IMAGE("https://m.media-amazon.com/images/I/71oCf5Hv55L._AC_UL320_.jpg")</f>
        <v>#NAME?</v>
      </c>
      <c r="I2319" t="s">
        <v>5135</v>
      </c>
      <c r="J2319">
        <v>13.8</v>
      </c>
      <c r="K2319" s="2" t="s">
        <v>5801</v>
      </c>
      <c r="L2319">
        <v>4.3</v>
      </c>
      <c r="M2319">
        <v>123</v>
      </c>
      <c r="O2319" t="s">
        <v>26</v>
      </c>
      <c r="P2319" t="s">
        <v>39</v>
      </c>
      <c r="Q2319" t="s">
        <v>5802</v>
      </c>
    </row>
    <row r="2320" spans="1:17" ht="15.75" x14ac:dyDescent="0.25">
      <c r="A2320" s="3" t="str">
        <f>HYPERLINK("https://prolisok-store.com/collections/hair-care/products/bed-head-by-tigi-stick-a-hair-stick-for-cool-people-2-7-oz", "https://prolisok-store.com/collections/hair-care/products/bed-head-by-tigi-stick-a-hair-stick-for-cool-people-2-7-oz")</f>
        <v>https://prolisok-store.com/collections/hair-care/products/bed-head-by-tigi-stick-a-hair-stick-for-cool-people-2-7-oz</v>
      </c>
      <c r="B2320" s="3" t="str">
        <f>HYPERLINK("https://prolisok-store.com/products/bed-head-by-tigi-stick-a-hair-stick-for-cool-people-2-7-oz", "https://prolisok-store.com/products/bed-head-by-tigi-stick-a-hair-stick-for-cool-people-2-7-oz")</f>
        <v>https://prolisok-store.com/products/bed-head-by-tigi-stick-a-hair-stick-for-cool-people-2-7-oz</v>
      </c>
      <c r="C2320" t="s">
        <v>5232</v>
      </c>
      <c r="D2320" t="s">
        <v>5803</v>
      </c>
      <c r="E2320" s="3" t="str">
        <f>HYPERLINK("https://www.amazon.com/TIGI-Pliable-Styling-Product-Beeswax/dp/B000141L58/ref=sr_1_3?keywords=Bed+head+by+tigi+stick+-+a+hair+stick+for+cool+people+2.7+oz&amp;qid=1695259383&amp;rdc=1&amp;sr=8-3", "https://www.amazon.com/TIGI-Pliable-Styling-Product-Beeswax/dp/B000141L58/ref=sr_1_3?keywords=Bed+head+by+tigi+stick+-+a+hair+stick+for+cool+people+2.7+oz&amp;qid=1695259383&amp;rdc=1&amp;sr=8-3")</f>
        <v>https://www.amazon.com/TIGI-Pliable-Styling-Product-Beeswax/dp/B000141L58/ref=sr_1_3?keywords=Bed+head+by+tigi+stick+-+a+hair+stick+for+cool+people+2.7+oz&amp;qid=1695259383&amp;rdc=1&amp;sr=8-3</v>
      </c>
      <c r="F2320" t="s">
        <v>5804</v>
      </c>
      <c r="G2320" t="e">
        <f ca="1">IMAGE("https://prolisok-store.com/cdn/shop/products/152852_300x.jpg?v=1690899965")</f>
        <v>#NAME?</v>
      </c>
      <c r="H2320" t="e">
        <f ca="1">IMAGE("https://m.media-amazon.com/images/I/71gw6FXP0VL._AC_UL320_.jpg")</f>
        <v>#NAME?</v>
      </c>
      <c r="I2320" t="s">
        <v>1748</v>
      </c>
      <c r="J2320">
        <v>15.99</v>
      </c>
      <c r="K2320" s="2" t="s">
        <v>5805</v>
      </c>
      <c r="L2320">
        <v>4.4000000000000004</v>
      </c>
      <c r="M2320">
        <v>18498</v>
      </c>
      <c r="O2320" t="s">
        <v>26</v>
      </c>
      <c r="P2320" t="s">
        <v>39</v>
      </c>
      <c r="Q2320" t="s">
        <v>5236</v>
      </c>
    </row>
    <row r="2321" spans="1:17" ht="15.75" x14ac:dyDescent="0.25">
      <c r="A2321" s="3" t="str">
        <f>HYPERLINK("https://prolisok-store.com/collections/hair-care/products/bed-head-by-tigi-queen-for-a-day-thickening-spray-10-5-oz", "https://prolisok-store.com/collections/hair-care/products/bed-head-by-tigi-queen-for-a-day-thickening-spray-10-5-oz")</f>
        <v>https://prolisok-store.com/collections/hair-care/products/bed-head-by-tigi-queen-for-a-day-thickening-spray-10-5-oz</v>
      </c>
      <c r="B2321" s="3" t="str">
        <f>HYPERLINK("https://prolisok-store.com/products/bed-head-by-tigi-queen-for-a-day-thickening-spray-10-5-oz", "https://prolisok-store.com/products/bed-head-by-tigi-queen-for-a-day-thickening-spray-10-5-oz")</f>
        <v>https://prolisok-store.com/products/bed-head-by-tigi-queen-for-a-day-thickening-spray-10-5-oz</v>
      </c>
      <c r="C2321" t="s">
        <v>5181</v>
      </c>
      <c r="D2321" t="s">
        <v>5806</v>
      </c>
      <c r="E2321" s="3" t="str">
        <f>HYPERLINK("https://www.amazon.com/TIGI-Superstar-Queen-Thickening-Spray/dp/B0002SEHKO/ref=sr_1_2?keywords=Bed+head+by+tigi+queen+for+a+day+thickening+spray+10.5+oz&amp;qid=1695259368&amp;sr=8-2", "https://www.amazon.com/TIGI-Superstar-Queen-Thickening-Spray/dp/B0002SEHKO/ref=sr_1_2?keywords=Bed+head+by+tigi+queen+for+a+day+thickening+spray+10.5+oz&amp;qid=1695259368&amp;sr=8-2")</f>
        <v>https://www.amazon.com/TIGI-Superstar-Queen-Thickening-Spray/dp/B0002SEHKO/ref=sr_1_2?keywords=Bed+head+by+tigi+queen+for+a+day+thickening+spray+10.5+oz&amp;qid=1695259368&amp;sr=8-2</v>
      </c>
      <c r="F2321" t="s">
        <v>5807</v>
      </c>
      <c r="G2321" t="e">
        <f ca="1">IMAGE("https://prolisok-store.com/cdn/shop/products/416054_300x.jpg?v=1690900009")</f>
        <v>#NAME?</v>
      </c>
      <c r="H2321" t="e">
        <f ca="1">IMAGE("https://m.media-amazon.com/images/I/81YToyewceL._AC_UL320_.jpg")</f>
        <v>#NAME?</v>
      </c>
      <c r="I2321" t="s">
        <v>5135</v>
      </c>
      <c r="J2321">
        <v>13.79</v>
      </c>
      <c r="K2321" s="2" t="s">
        <v>5808</v>
      </c>
      <c r="L2321">
        <v>4.3</v>
      </c>
      <c r="M2321">
        <v>728</v>
      </c>
      <c r="O2321" t="s">
        <v>26</v>
      </c>
      <c r="P2321" t="s">
        <v>39</v>
      </c>
      <c r="Q2321" t="s">
        <v>5185</v>
      </c>
    </row>
    <row r="2322" spans="1:17" ht="15.75" x14ac:dyDescent="0.25">
      <c r="A2322" s="3" t="str">
        <f>HYPERLINK("https://prolisok-store.com/collections/hair-care/products/sisley-hair-rituel-revitalizing-volumizing-shampoo-with-camellia-oil-6-7-oz", "https://prolisok-store.com/collections/hair-care/products/sisley-hair-rituel-revitalizing-volumizing-shampoo-with-camellia-oil-6-7-oz")</f>
        <v>https://prolisok-store.com/collections/hair-care/products/sisley-hair-rituel-revitalizing-volumizing-shampoo-with-camellia-oil-6-7-oz</v>
      </c>
      <c r="B2322" s="3" t="str">
        <f>HYPERLINK("https://prolisok-store.com/products/sisley-hair-rituel-revitalizing-volumizing-shampoo-with-camellia-oil-6-7-oz", "https://prolisok-store.com/products/sisley-hair-rituel-revitalizing-volumizing-shampoo-with-camellia-oil-6-7-oz")</f>
        <v>https://prolisok-store.com/products/sisley-hair-rituel-revitalizing-volumizing-shampoo-with-camellia-oil-6-7-oz</v>
      </c>
      <c r="C2322" t="s">
        <v>5809</v>
      </c>
      <c r="D2322" t="s">
        <v>5810</v>
      </c>
      <c r="E2322" s="3" t="str">
        <f>HYPERLINK("https://www.amazon.com/Revitalizing-Smoothing-Shampoo-Macadamia-Parallel/dp/B079PW545W/ref=sr_1_3?keywords=Sisley+hair+rituel+revitalizing+volumizing+shampoo+with+camellia+oil+6.7+oz&amp;qid=1695259395&amp;sr=8-3", "https://www.amazon.com/Revitalizing-Smoothing-Shampoo-Macadamia-Parallel/dp/B079PW545W/ref=sr_1_3?keywords=Sisley+hair+rituel+revitalizing+volumizing+shampoo+with+camellia+oil+6.7+oz&amp;qid=1695259395&amp;sr=8-3")</f>
        <v>https://www.amazon.com/Revitalizing-Smoothing-Shampoo-Macadamia-Parallel/dp/B079PW545W/ref=sr_1_3?keywords=Sisley+hair+rituel+revitalizing+volumizing+shampoo+with+camellia+oil+6.7+oz&amp;qid=1695259395&amp;sr=8-3</v>
      </c>
      <c r="F2322" t="s">
        <v>5811</v>
      </c>
      <c r="G2322" t="e">
        <f ca="1">IMAGE("https://prolisok-store.com/cdn/shop/products/312171_300x.jpg?v=1690900802")</f>
        <v>#NAME?</v>
      </c>
      <c r="H2322" t="e">
        <f ca="1">IMAGE("https://m.media-amazon.com/images/I/41bcjfRjrwL._AC_UL320_.jpg")</f>
        <v>#NAME?</v>
      </c>
      <c r="I2322" t="s">
        <v>5632</v>
      </c>
      <c r="J2322">
        <v>46.98</v>
      </c>
      <c r="K2322" s="2" t="s">
        <v>5812</v>
      </c>
      <c r="L2322">
        <v>4.5999999999999996</v>
      </c>
      <c r="M2322">
        <v>28</v>
      </c>
      <c r="O2322" t="s">
        <v>26</v>
      </c>
      <c r="P2322" t="s">
        <v>39</v>
      </c>
      <c r="Q2322" t="s">
        <v>5813</v>
      </c>
    </row>
    <row r="2323" spans="1:17" ht="15.75" x14ac:dyDescent="0.25">
      <c r="A2323" s="3" t="str">
        <f>HYPERLINK("https://prolisok-store.com/collections/hair-care/products/sisley-hair-rituel-revitalizing-smoothing-shampoo-with-macadamia-oil-6-7-oz", "https://prolisok-store.com/collections/hair-care/products/sisley-hair-rituel-revitalizing-smoothing-shampoo-with-macadamia-oil-6-7-oz")</f>
        <v>https://prolisok-store.com/collections/hair-care/products/sisley-hair-rituel-revitalizing-smoothing-shampoo-with-macadamia-oil-6-7-oz</v>
      </c>
      <c r="B2323" s="3" t="str">
        <f>HYPERLINK("https://prolisok-store.com/products/sisley-hair-rituel-revitalizing-smoothing-shampoo-with-macadamia-oil-6-7-oz", "https://prolisok-store.com/products/sisley-hair-rituel-revitalizing-smoothing-shampoo-with-macadamia-oil-6-7-oz")</f>
        <v>https://prolisok-store.com/products/sisley-hair-rituel-revitalizing-smoothing-shampoo-with-macadamia-oil-6-7-oz</v>
      </c>
      <c r="C2323" t="s">
        <v>5814</v>
      </c>
      <c r="D2323" t="s">
        <v>5810</v>
      </c>
      <c r="E2323" s="3" t="str">
        <f>HYPERLINK("https://www.amazon.com/Revitalizing-Smoothing-Shampoo-Macadamia-Parallel/dp/B079PW545W/ref=sr_1_1?keywords=Sisley+hair+rituel+revitalizing+smoothing+shampoo+with+macadamia+oil+6.7+oz&amp;qid=1695259375&amp;sr=8-1", "https://www.amazon.com/Revitalizing-Smoothing-Shampoo-Macadamia-Parallel/dp/B079PW545W/ref=sr_1_1?keywords=Sisley+hair+rituel+revitalizing+smoothing+shampoo+with+macadamia+oil+6.7+oz&amp;qid=1695259375&amp;sr=8-1")</f>
        <v>https://www.amazon.com/Revitalizing-Smoothing-Shampoo-Macadamia-Parallel/dp/B079PW545W/ref=sr_1_1?keywords=Sisley+hair+rituel+revitalizing+smoothing+shampoo+with+macadamia+oil+6.7+oz&amp;qid=1695259375&amp;sr=8-1</v>
      </c>
      <c r="F2323" t="s">
        <v>5811</v>
      </c>
      <c r="G2323" t="e">
        <f ca="1">IMAGE("https://prolisok-store.com/cdn/shop/products/312172_300x.jpg?v=1690900804")</f>
        <v>#NAME?</v>
      </c>
      <c r="H2323" t="e">
        <f ca="1">IMAGE("https://m.media-amazon.com/images/I/41bcjfRjrwL._AC_UL320_.jpg")</f>
        <v>#NAME?</v>
      </c>
      <c r="I2323" t="s">
        <v>5632</v>
      </c>
      <c r="J2323">
        <v>46.98</v>
      </c>
      <c r="K2323" s="2" t="s">
        <v>5812</v>
      </c>
      <c r="L2323">
        <v>4.5999999999999996</v>
      </c>
      <c r="M2323">
        <v>28</v>
      </c>
      <c r="O2323" t="s">
        <v>26</v>
      </c>
      <c r="P2323" t="s">
        <v>39</v>
      </c>
      <c r="Q2323" t="s">
        <v>5815</v>
      </c>
    </row>
    <row r="2324" spans="1:17" ht="15.75" x14ac:dyDescent="0.25">
      <c r="A2324" s="3" t="str">
        <f>HYPERLINK("https://prolisok-store.com/collections/hair-care/products/bed-head-by-tigi-resurrection-conditioner-25-36-oz", "https://prolisok-store.com/collections/hair-care/products/bed-head-by-tigi-resurrection-conditioner-25-36-oz")</f>
        <v>https://prolisok-store.com/collections/hair-care/products/bed-head-by-tigi-resurrection-conditioner-25-36-oz</v>
      </c>
      <c r="B2324" s="3" t="str">
        <f>HYPERLINK("https://prolisok-store.com/products/bed-head-by-tigi-resurrection-conditioner-25-36-oz", "https://prolisok-store.com/products/bed-head-by-tigi-resurrection-conditioner-25-36-oz")</f>
        <v>https://prolisok-store.com/products/bed-head-by-tigi-resurrection-conditioner-25-36-oz</v>
      </c>
      <c r="C2324" t="s">
        <v>5521</v>
      </c>
      <c r="D2324" t="s">
        <v>5298</v>
      </c>
      <c r="E2324" s="3" t="str">
        <f>HYPERLINK("https://www.amazon.com/Bed-Head-RESURRECTION-CONDITIONER-DAMAGED/dp/B08X8SD5BH/ref=sr_1_4?keywords=Bed+head+by+tigi+resurrection+conditioner+25.36+oz&amp;qid=1695259389&amp;sr=8-4", "https://www.amazon.com/Bed-Head-RESURRECTION-CONDITIONER-DAMAGED/dp/B08X8SD5BH/ref=sr_1_4?keywords=Bed+head+by+tigi+resurrection+conditioner+25.36+oz&amp;qid=1695259389&amp;sr=8-4")</f>
        <v>https://www.amazon.com/Bed-Head-RESURRECTION-CONDITIONER-DAMAGED/dp/B08X8SD5BH/ref=sr_1_4?keywords=Bed+head+by+tigi+resurrection+conditioner+25.36+oz&amp;qid=1695259389&amp;sr=8-4</v>
      </c>
      <c r="F2324" t="s">
        <v>5299</v>
      </c>
      <c r="G2324" t="e">
        <f ca="1">IMAGE("https://prolisok-store.com/cdn/shop/products/195943_300x.jpg?v=1690899983")</f>
        <v>#NAME?</v>
      </c>
      <c r="H2324" t="e">
        <f ca="1">IMAGE("https://m.media-amazon.com/images/I/611ZB8d23-L._AC_UL320_.jpg")</f>
        <v>#NAME?</v>
      </c>
      <c r="I2324" t="s">
        <v>5348</v>
      </c>
      <c r="J2324">
        <v>15</v>
      </c>
      <c r="K2324" s="2" t="s">
        <v>5816</v>
      </c>
      <c r="L2324">
        <v>4.5999999999999996</v>
      </c>
      <c r="M2324">
        <v>244</v>
      </c>
      <c r="O2324" t="s">
        <v>26</v>
      </c>
      <c r="P2324" t="s">
        <v>39</v>
      </c>
      <c r="Q2324" t="s">
        <v>5525</v>
      </c>
    </row>
    <row r="2325" spans="1:17" ht="15.75" x14ac:dyDescent="0.25">
      <c r="A2325" s="3" t="str">
        <f>HYPERLINK("https://prolisok-store.com/collections/hair-care/products/tigi-copyright-custom-care-repair-booster-15-22-oz", "https://prolisok-store.com/collections/hair-care/products/tigi-copyright-custom-care-repair-booster-15-22-oz")</f>
        <v>https://prolisok-store.com/collections/hair-care/products/tigi-copyright-custom-care-repair-booster-15-22-oz</v>
      </c>
      <c r="B2325" s="3" t="str">
        <f>HYPERLINK("https://prolisok-store.com/products/tigi-copyright-custom-care-repair-booster-15-22-oz", "https://prolisok-store.com/products/tigi-copyright-custom-care-repair-booster-15-22-oz")</f>
        <v>https://prolisok-store.com/products/tigi-copyright-custom-care-repair-booster-15-22-oz</v>
      </c>
      <c r="C2325" t="s">
        <v>5817</v>
      </c>
      <c r="D2325" t="s">
        <v>5818</v>
      </c>
      <c r="E2325" s="3" t="str">
        <f>HYPERLINK("https://www.amazon.com/TIGI-Copyright-Repair-Booster-15-22oz/dp/B07YGWJGY6/ref=sr_1_1?keywords=Tigi+copyright+custom+care+repair+booster+15.22+oz&amp;qid=1695259373&amp;sr=8-1", "https://www.amazon.com/TIGI-Copyright-Repair-Booster-15-22oz/dp/B07YGWJGY6/ref=sr_1_1?keywords=Tigi+copyright+custom+care+repair+booster+15.22+oz&amp;qid=1695259373&amp;sr=8-1")</f>
        <v>https://www.amazon.com/TIGI-Copyright-Repair-Booster-15-22oz/dp/B07YGWJGY6/ref=sr_1_1?keywords=Tigi+copyright+custom+care+repair+booster+15.22+oz&amp;qid=1695259373&amp;sr=8-1</v>
      </c>
      <c r="F2325" t="s">
        <v>5819</v>
      </c>
      <c r="G2325" t="e">
        <f ca="1">IMAGE("https://prolisok-store.com/cdn/shop/products/413448_300x.jpg?v=1690900104")</f>
        <v>#NAME?</v>
      </c>
      <c r="H2325" t="e">
        <f ca="1">IMAGE("https://m.media-amazon.com/images/I/210Xsxf6DIL._AC_UL320_.jpg")</f>
        <v>#NAME?</v>
      </c>
      <c r="I2325" t="s">
        <v>5697</v>
      </c>
      <c r="J2325">
        <v>20</v>
      </c>
      <c r="K2325" s="2" t="s">
        <v>5820</v>
      </c>
      <c r="L2325">
        <v>4.7</v>
      </c>
      <c r="M2325">
        <v>108</v>
      </c>
      <c r="O2325" t="s">
        <v>26</v>
      </c>
      <c r="P2325" t="s">
        <v>39</v>
      </c>
      <c r="Q2325" t="s">
        <v>5821</v>
      </c>
    </row>
    <row r="2326" spans="1:17" ht="15.75" x14ac:dyDescent="0.25">
      <c r="A2326" s="3" t="str">
        <f>HYPERLINK("https://prolisok-store.com/collections/hair-care/products/tigi-s-factor-stunning-volume-shampoo-8-45-oz", "https://prolisok-store.com/collections/hair-care/products/tigi-s-factor-stunning-volume-shampoo-8-45-oz")</f>
        <v>https://prolisok-store.com/collections/hair-care/products/tigi-s-factor-stunning-volume-shampoo-8-45-oz</v>
      </c>
      <c r="B2326" s="3" t="str">
        <f>HYPERLINK("https://prolisok-store.com/products/tigi-s-factor-stunning-volume-shampoo-8-45-oz", "https://prolisok-store.com/products/tigi-s-factor-stunning-volume-shampoo-8-45-oz")</f>
        <v>https://prolisok-store.com/products/tigi-s-factor-stunning-volume-shampoo-8-45-oz</v>
      </c>
      <c r="C2326" t="s">
        <v>5352</v>
      </c>
      <c r="D2326" t="s">
        <v>5822</v>
      </c>
      <c r="E2326" s="3" t="str">
        <f>HYPERLINK("https://www.amazon.com/TIGI-S-Factor-Stunning-Shampoo-Fluid/dp/B01BY66AUC/ref=sr_1_4?keywords=Tigi+s+factor+stunning+volume+shampoo+8.45+oz&amp;qid=1695259406&amp;sr=8-4", "https://www.amazon.com/TIGI-S-Factor-Stunning-Shampoo-Fluid/dp/B01BY66AUC/ref=sr_1_4?keywords=Tigi+s+factor+stunning+volume+shampoo+8.45+oz&amp;qid=1695259406&amp;sr=8-4")</f>
        <v>https://www.amazon.com/TIGI-S-Factor-Stunning-Shampoo-Fluid/dp/B01BY66AUC/ref=sr_1_4?keywords=Tigi+s+factor+stunning+volume+shampoo+8.45+oz&amp;qid=1695259406&amp;sr=8-4</v>
      </c>
      <c r="F2326" t="s">
        <v>5823</v>
      </c>
      <c r="G2326" t="e">
        <f ca="1">IMAGE("https://prolisok-store.com/cdn/shop/products/280066_300x.jpg?v=1690900082")</f>
        <v>#NAME?</v>
      </c>
      <c r="H2326" t="e">
        <f ca="1">IMAGE("https://m.media-amazon.com/images/I/418owv86MdL._AC_UL320_.jpg")</f>
        <v>#NAME?</v>
      </c>
      <c r="I2326" t="s">
        <v>748</v>
      </c>
      <c r="J2326">
        <v>18.600000000000001</v>
      </c>
      <c r="K2326" s="2" t="s">
        <v>5824</v>
      </c>
      <c r="L2326">
        <v>3.9</v>
      </c>
      <c r="M2326">
        <v>17</v>
      </c>
      <c r="O2326" t="s">
        <v>26</v>
      </c>
      <c r="P2326" t="s">
        <v>39</v>
      </c>
      <c r="Q2326" t="s">
        <v>5356</v>
      </c>
    </row>
    <row r="2327" spans="1:17" ht="15.75" x14ac:dyDescent="0.25">
      <c r="A2327" s="3" t="str">
        <f>HYPERLINK("https://prolisok-store.com/collections/hair-care/products/bed-head-by-tigi-recharge-conditioner-6-76-oz", "https://prolisok-store.com/collections/hair-care/products/bed-head-by-tigi-recharge-conditioner-6-76-oz")</f>
        <v>https://prolisok-store.com/collections/hair-care/products/bed-head-by-tigi-recharge-conditioner-6-76-oz</v>
      </c>
      <c r="B2327" s="3" t="str">
        <f>HYPERLINK("https://prolisok-store.com/products/bed-head-by-tigi-recharge-conditioner-6-76-oz", "https://prolisok-store.com/products/bed-head-by-tigi-recharge-conditioner-6-76-oz")</f>
        <v>https://prolisok-store.com/products/bed-head-by-tigi-recharge-conditioner-6-76-oz</v>
      </c>
      <c r="C2327" t="s">
        <v>5388</v>
      </c>
      <c r="D2327" t="s">
        <v>5825</v>
      </c>
      <c r="E2327" s="3" t="str">
        <f>HYPERLINK("https://www.amazon.com/TIGI-Recharge-High-Octane-Shine-Conditioner/dp/B0097CTGVQ/ref=sr_1_2?keywords=Bed+head+by+tigi+recharge+conditioner+6.76+oz&amp;qid=1695259375&amp;sr=8-2", "https://www.amazon.com/TIGI-Recharge-High-Octane-Shine-Conditioner/dp/B0097CTGVQ/ref=sr_1_2?keywords=Bed+head+by+tigi+recharge+conditioner+6.76+oz&amp;qid=1695259375&amp;sr=8-2")</f>
        <v>https://www.amazon.com/TIGI-Recharge-High-Octane-Shine-Conditioner/dp/B0097CTGVQ/ref=sr_1_2?keywords=Bed+head+by+tigi+recharge+conditioner+6.76+oz&amp;qid=1695259375&amp;sr=8-2</v>
      </c>
      <c r="F2327" t="s">
        <v>5826</v>
      </c>
      <c r="G2327" t="e">
        <f ca="1">IMAGE("https://prolisok-store.com/cdn/shop/products/244405_300x.jpg?v=1690899930")</f>
        <v>#NAME?</v>
      </c>
      <c r="H2327" t="e">
        <f ca="1">IMAGE("https://m.media-amazon.com/images/I/71Km2iikovL._AC_UL320_.jpg")</f>
        <v>#NAME?</v>
      </c>
      <c r="I2327" t="s">
        <v>5321</v>
      </c>
      <c r="J2327">
        <v>9.9</v>
      </c>
      <c r="K2327" s="2" t="s">
        <v>5827</v>
      </c>
      <c r="L2327">
        <v>4.3</v>
      </c>
      <c r="M2327">
        <v>67</v>
      </c>
      <c r="O2327" t="s">
        <v>26</v>
      </c>
      <c r="P2327" t="s">
        <v>39</v>
      </c>
      <c r="Q2327" t="s">
        <v>5392</v>
      </c>
    </row>
    <row r="2328" spans="1:17" ht="15.75" x14ac:dyDescent="0.25">
      <c r="A2328" s="3" t="str">
        <f>HYPERLINK("https://prolisok-store.com/collections/hair-care/products/bed-head-by-tigi-flexi-head-hair-spray-10-6-oz", "https://prolisok-store.com/collections/hair-care/products/bed-head-by-tigi-flexi-head-hair-spray-10-6-oz")</f>
        <v>https://prolisok-store.com/collections/hair-care/products/bed-head-by-tigi-flexi-head-hair-spray-10-6-oz</v>
      </c>
      <c r="B2328" s="3" t="str">
        <f>HYPERLINK("https://prolisok-store.com/products/bed-head-by-tigi-flexi-head-hair-spray-10-6-oz", "https://prolisok-store.com/products/bed-head-by-tigi-flexi-head-hair-spray-10-6-oz")</f>
        <v>https://prolisok-store.com/products/bed-head-by-tigi-flexi-head-hair-spray-10-6-oz</v>
      </c>
      <c r="C2328" t="s">
        <v>5195</v>
      </c>
      <c r="D2328" t="s">
        <v>5828</v>
      </c>
      <c r="E2328" s="3" t="str">
        <f>HYPERLINK("https://www.amazon.com/TIGI-Flexi-Strong-Flexible-Unisex/dp/B00MI2SRO4/ref=sr_1_4?keywords=Bed+head+by+tigi+flexi+head+hair+spray+10.6+oz&amp;qid=1695259385&amp;sr=8-4", "https://www.amazon.com/TIGI-Flexi-Strong-Flexible-Unisex/dp/B00MI2SRO4/ref=sr_1_4?keywords=Bed+head+by+tigi+flexi+head+hair+spray+10.6+oz&amp;qid=1695259385&amp;sr=8-4")</f>
        <v>https://www.amazon.com/TIGI-Flexi-Strong-Flexible-Unisex/dp/B00MI2SRO4/ref=sr_1_4?keywords=Bed+head+by+tigi+flexi+head+hair+spray+10.6+oz&amp;qid=1695259385&amp;sr=8-4</v>
      </c>
      <c r="F2328" t="s">
        <v>5829</v>
      </c>
      <c r="G2328" t="e">
        <f ca="1">IMAGE("https://prolisok-store.com/cdn/shop/products/280790_300x.jpg?v=1690899950")</f>
        <v>#NAME?</v>
      </c>
      <c r="H2328" t="e">
        <f ca="1">IMAGE("https://m.media-amazon.com/images/I/61M-+Sb+CML._AC_UL320_.jpg")</f>
        <v>#NAME?</v>
      </c>
      <c r="I2328" t="s">
        <v>5198</v>
      </c>
      <c r="J2328">
        <v>14.2</v>
      </c>
      <c r="K2328" s="2" t="s">
        <v>5830</v>
      </c>
      <c r="L2328">
        <v>4</v>
      </c>
      <c r="M2328">
        <v>145</v>
      </c>
      <c r="O2328" t="s">
        <v>26</v>
      </c>
      <c r="P2328" t="s">
        <v>39</v>
      </c>
      <c r="Q2328" t="s">
        <v>5200</v>
      </c>
    </row>
    <row r="2329" spans="1:17" ht="15.75" x14ac:dyDescent="0.25">
      <c r="A2329" s="3" t="str">
        <f>HYPERLINK("https://prolisok-store.com/collections/hair-care/products/bed-head-by-tigi-after-party-smoothing-cream-for-silky-shiny-hair-3-4-oz", "https://prolisok-store.com/collections/hair-care/products/bed-head-by-tigi-after-party-smoothing-cream-for-silky-shiny-hair-3-4-oz")</f>
        <v>https://prolisok-store.com/collections/hair-care/products/bed-head-by-tigi-after-party-smoothing-cream-for-silky-shiny-hair-3-4-oz</v>
      </c>
      <c r="B2329" s="3" t="str">
        <f>HYPERLINK("https://prolisok-store.com/products/bed-head-by-tigi-after-party-smoothing-cream-for-silky-shiny-hair-3-4-oz", "https://prolisok-store.com/products/bed-head-by-tigi-after-party-smoothing-cream-for-silky-shiny-hair-3-4-oz")</f>
        <v>https://prolisok-store.com/products/bed-head-by-tigi-after-party-smoothing-cream-for-silky-shiny-hair-3-4-oz</v>
      </c>
      <c r="C2329" t="s">
        <v>5551</v>
      </c>
      <c r="D2329" t="s">
        <v>5831</v>
      </c>
      <c r="E2329" s="3" t="str">
        <f>HYPERLINK("https://www.amazon.com/TIGI-After-Party-Smoothing-Cream/dp/B000X2DMHS/ref=sr_1_1?keywords=Bed+head+by+tigi+after+party+smoothing+cream+for+silky+shiny+hair+3.4+oz&amp;qid=1695259393&amp;sr=8-1", "https://www.amazon.com/TIGI-After-Party-Smoothing-Cream/dp/B000X2DMHS/ref=sr_1_1?keywords=Bed+head+by+tigi+after+party+smoothing+cream+for+silky+shiny+hair+3.4+oz&amp;qid=1695259393&amp;sr=8-1")</f>
        <v>https://www.amazon.com/TIGI-After-Party-Smoothing-Cream/dp/B000X2DMHS/ref=sr_1_1?keywords=Bed+head+by+tigi+after+party+smoothing+cream+for+silky+shiny+hair+3.4+oz&amp;qid=1695259393&amp;sr=8-1</v>
      </c>
      <c r="F2329" t="s">
        <v>5832</v>
      </c>
      <c r="G2329" t="e">
        <f ca="1">IMAGE("https://prolisok-store.com/cdn/shop/products/131710_300x.jpg?v=1690899954")</f>
        <v>#NAME?</v>
      </c>
      <c r="H2329" t="e">
        <f ca="1">IMAGE("https://m.media-amazon.com/images/I/71lwxBsIHwL._AC_UL320_.jpg")</f>
        <v>#NAME?</v>
      </c>
      <c r="I2329" t="s">
        <v>5554</v>
      </c>
      <c r="J2329">
        <v>14.99</v>
      </c>
      <c r="K2329" s="2" t="s">
        <v>5833</v>
      </c>
      <c r="L2329">
        <v>4.7</v>
      </c>
      <c r="M2329">
        <v>4110</v>
      </c>
      <c r="O2329" t="s">
        <v>26</v>
      </c>
      <c r="P2329" t="s">
        <v>39</v>
      </c>
      <c r="Q2329" t="s">
        <v>5556</v>
      </c>
    </row>
    <row r="2330" spans="1:17" ht="15.75" x14ac:dyDescent="0.25">
      <c r="A2330" s="3" t="str">
        <f>HYPERLINK("https://prolisok-store.com/collections/hair-care/products/bed-head-by-tigi-salty-not-sorry-epic-texturizing-salt-spray-3-38-oz", "https://prolisok-store.com/collections/hair-care/products/bed-head-by-tigi-salty-not-sorry-epic-texturizing-salt-spray-3-38-oz")</f>
        <v>https://prolisok-store.com/collections/hair-care/products/bed-head-by-tigi-salty-not-sorry-epic-texturizing-salt-spray-3-38-oz</v>
      </c>
      <c r="B2330" s="3" t="str">
        <f>HYPERLINK("https://prolisok-store.com/products/bed-head-by-tigi-salty-not-sorry-epic-texturizing-salt-spray-3-38-oz", "https://prolisok-store.com/products/bed-head-by-tigi-salty-not-sorry-epic-texturizing-salt-spray-3-38-oz")</f>
        <v>https://prolisok-store.com/products/bed-head-by-tigi-salty-not-sorry-epic-texturizing-salt-spray-3-38-oz</v>
      </c>
      <c r="C2330" t="s">
        <v>5834</v>
      </c>
      <c r="D2330" t="s">
        <v>5835</v>
      </c>
      <c r="E2330" s="3" t="str">
        <f>HYPERLINK("https://www.amazon.com/TIGI-Texturizing-Natural-Undone-Hairstyles/dp/B08R4XW81K/ref=sr_1_1?keywords=Bed+head+by+tigi+salty+not+sorry+epic+texturizing+salt+spray+3.38+oz&amp;qid=1695259393&amp;sr=8-1", "https://www.amazon.com/TIGI-Texturizing-Natural-Undone-Hairstyles/dp/B08R4XW81K/ref=sr_1_1?keywords=Bed+head+by+tigi+salty+not+sorry+epic+texturizing+salt+spray+3.38+oz&amp;qid=1695259393&amp;sr=8-1")</f>
        <v>https://www.amazon.com/TIGI-Texturizing-Natural-Undone-Hairstyles/dp/B08R4XW81K/ref=sr_1_1?keywords=Bed+head+by+tigi+salty+not+sorry+epic+texturizing+salt+spray+3.38+oz&amp;qid=1695259393&amp;sr=8-1</v>
      </c>
      <c r="F2330" t="s">
        <v>5836</v>
      </c>
      <c r="G2330" t="e">
        <f ca="1">IMAGE("https://prolisok-store.com/cdn/shop/products/416083_300x.jpg?v=1690900039")</f>
        <v>#NAME?</v>
      </c>
      <c r="H2330" t="e">
        <f ca="1">IMAGE("https://m.media-amazon.com/images/I/61PpoMdY5-L._AC_UL320_.jpg")</f>
        <v>#NAME?</v>
      </c>
      <c r="I2330" t="s">
        <v>5135</v>
      </c>
      <c r="J2330">
        <v>13.37</v>
      </c>
      <c r="K2330" s="2" t="s">
        <v>5837</v>
      </c>
      <c r="L2330">
        <v>4.4000000000000004</v>
      </c>
      <c r="M2330">
        <v>840</v>
      </c>
      <c r="O2330" t="s">
        <v>26</v>
      </c>
      <c r="P2330" t="s">
        <v>39</v>
      </c>
      <c r="Q2330" t="s">
        <v>5838</v>
      </c>
    </row>
    <row r="2331" spans="1:17" ht="15.75" x14ac:dyDescent="0.25">
      <c r="A2331" s="3" t="str">
        <f>HYPERLINK("https://prolisok-store.com/collections/hair-care/products/bed-head-by-tigi-resurrection-shampoo-32-8-oz", "https://prolisok-store.com/collections/hair-care/products/bed-head-by-tigi-resurrection-shampoo-32-8-oz")</f>
        <v>https://prolisok-store.com/collections/hair-care/products/bed-head-by-tigi-resurrection-shampoo-32-8-oz</v>
      </c>
      <c r="B2331" s="3" t="str">
        <f>HYPERLINK("https://prolisok-store.com/products/bed-head-by-tigi-resurrection-shampoo-32-8-oz", "https://prolisok-store.com/products/bed-head-by-tigi-resurrection-shampoo-32-8-oz")</f>
        <v>https://prolisok-store.com/products/bed-head-by-tigi-resurrection-shampoo-32-8-oz</v>
      </c>
      <c r="C2331" t="s">
        <v>5483</v>
      </c>
      <c r="D2331" t="s">
        <v>5178</v>
      </c>
      <c r="E2331" s="3" t="str">
        <f>HYPERLINK("https://www.amazon.com/Bed-Head-Resurrection-Shampoo-Conditioner/dp/B003T18TE6/ref=sr_1_1?keywords=Bed+head+by+tigi+resurrection+shampoo+32.8+oz&amp;qid=1695259397&amp;sr=8-1", "https://www.amazon.com/Bed-Head-Resurrection-Shampoo-Conditioner/dp/B003T18TE6/ref=sr_1_1?keywords=Bed+head+by+tigi+resurrection+shampoo+32.8+oz&amp;qid=1695259397&amp;sr=8-1")</f>
        <v>https://www.amazon.com/Bed-Head-Resurrection-Shampoo-Conditioner/dp/B003T18TE6/ref=sr_1_1?keywords=Bed+head+by+tigi+resurrection+shampoo+32.8+oz&amp;qid=1695259397&amp;sr=8-1</v>
      </c>
      <c r="F2331" t="s">
        <v>5179</v>
      </c>
      <c r="G2331" t="e">
        <f ca="1">IMAGE("https://prolisok-store.com/cdn/shop/products/416082_300x.jpg?v=1690900037")</f>
        <v>#NAME?</v>
      </c>
      <c r="H2331" t="e">
        <f ca="1">IMAGE("https://m.media-amazon.com/images/I/71SUeFDYyNL._AC_UL320_.jpg")</f>
        <v>#NAME?</v>
      </c>
      <c r="I2331" t="s">
        <v>5484</v>
      </c>
      <c r="J2331">
        <v>19.38</v>
      </c>
      <c r="K2331" s="2" t="s">
        <v>5839</v>
      </c>
      <c r="L2331">
        <v>4.5999999999999996</v>
      </c>
      <c r="M2331">
        <v>12743</v>
      </c>
      <c r="O2331" t="s">
        <v>26</v>
      </c>
      <c r="P2331" t="s">
        <v>39</v>
      </c>
      <c r="Q2331" t="s">
        <v>5486</v>
      </c>
    </row>
    <row r="2332" spans="1:17" ht="15.75" x14ac:dyDescent="0.25">
      <c r="A2332" s="3" t="str">
        <f>HYPERLINK("https://prolisok-store.com/collections/hair-care/products/catwalk-by-tigi-fashionista-violet-shampoo-safe-for-color-25-36-oz", "https://prolisok-store.com/collections/hair-care/products/catwalk-by-tigi-fashionista-violet-shampoo-safe-for-color-25-36-oz")</f>
        <v>https://prolisok-store.com/collections/hair-care/products/catwalk-by-tigi-fashionista-violet-shampoo-safe-for-color-25-36-oz</v>
      </c>
      <c r="B2332" s="3" t="str">
        <f>HYPERLINK("https://prolisok-store.com/products/catwalk-by-tigi-fashionista-violet-shampoo-safe-for-color-25-36-oz", "https://prolisok-store.com/products/catwalk-by-tigi-fashionista-violet-shampoo-safe-for-color-25-36-oz")</f>
        <v>https://prolisok-store.com/products/catwalk-by-tigi-fashionista-violet-shampoo-safe-for-color-25-36-oz</v>
      </c>
      <c r="C2332" t="s">
        <v>5840</v>
      </c>
      <c r="D2332" t="s">
        <v>5841</v>
      </c>
      <c r="E2332" s="3" t="str">
        <f>HYPERLINK("https://www.amazon.com/TIGI-Catwalk-Fashionista-Shampoo-Conditioner/dp/B01B2A1PN2/ref=sr_1_1?keywords=Catwalk+by+tigi+fashionista+violet+shampoo+safe+for+color+25.36+oz&amp;qid=1695259386&amp;sr=8-1", "https://www.amazon.com/TIGI-Catwalk-Fashionista-Shampoo-Conditioner/dp/B01B2A1PN2/ref=sr_1_1?keywords=Catwalk+by+tigi+fashionista+violet+shampoo+safe+for+color+25.36+oz&amp;qid=1695259386&amp;sr=8-1")</f>
        <v>https://www.amazon.com/TIGI-Catwalk-Fashionista-Shampoo-Conditioner/dp/B01B2A1PN2/ref=sr_1_1?keywords=Catwalk+by+tigi+fashionista+violet+shampoo+safe+for+color+25.36+oz&amp;qid=1695259386&amp;sr=8-1</v>
      </c>
      <c r="F2332" t="s">
        <v>5842</v>
      </c>
      <c r="G2332" t="e">
        <f ca="1">IMAGE("https://prolisok-store.com/cdn/shop/products/255771_300x.jpg?v=1690900072")</f>
        <v>#NAME?</v>
      </c>
      <c r="H2332" t="e">
        <f ca="1">IMAGE("https://m.media-amazon.com/images/I/71e+xq2uljL._AC_UL320_.jpg")</f>
        <v>#NAME?</v>
      </c>
      <c r="I2332" t="s">
        <v>5843</v>
      </c>
      <c r="J2332">
        <v>23.3</v>
      </c>
      <c r="K2332" s="2" t="s">
        <v>5844</v>
      </c>
      <c r="L2332">
        <v>4.4000000000000004</v>
      </c>
      <c r="M2332">
        <v>4062</v>
      </c>
      <c r="O2332" t="s">
        <v>26</v>
      </c>
      <c r="P2332" t="s">
        <v>39</v>
      </c>
      <c r="Q2332" t="s">
        <v>5845</v>
      </c>
    </row>
    <row r="2333" spans="1:17" ht="15.75" x14ac:dyDescent="0.25">
      <c r="A2333" s="3" t="str">
        <f>HYPERLINK("https://prolisok-store.com/collections/hair-care/products/bed-head-by-tigi-queen-for-a-day-thickening-spray-10-5-oz", "https://prolisok-store.com/collections/hair-care/products/bed-head-by-tigi-queen-for-a-day-thickening-spray-10-5-oz")</f>
        <v>https://prolisok-store.com/collections/hair-care/products/bed-head-by-tigi-queen-for-a-day-thickening-spray-10-5-oz</v>
      </c>
      <c r="B2333" s="3" t="str">
        <f>HYPERLINK("https://prolisok-store.com/products/bed-head-by-tigi-queen-for-a-day-thickening-spray-10-5-oz", "https://prolisok-store.com/products/bed-head-by-tigi-queen-for-a-day-thickening-spray-10-5-oz")</f>
        <v>https://prolisok-store.com/products/bed-head-by-tigi-queen-for-a-day-thickening-spray-10-5-oz</v>
      </c>
      <c r="C2333" t="s">
        <v>5181</v>
      </c>
      <c r="D2333" t="s">
        <v>5846</v>
      </c>
      <c r="E2333" s="3" t="str">
        <f>HYPERLINK("https://www.amazon.com/BedHead-Queen-Day-Thickening-Spray/dp/B093FWQYPK/ref=sr_1_1?keywords=Bed+head+by+tigi+queen+for+a+day+thickening+spray+10.5+oz&amp;qid=1695259368&amp;sr=8-1", "https://www.amazon.com/BedHead-Queen-Day-Thickening-Spray/dp/B093FWQYPK/ref=sr_1_1?keywords=Bed+head+by+tigi+queen+for+a+day+thickening+spray+10.5+oz&amp;qid=1695259368&amp;sr=8-1")</f>
        <v>https://www.amazon.com/BedHead-Queen-Day-Thickening-Spray/dp/B093FWQYPK/ref=sr_1_1?keywords=Bed+head+by+tigi+queen+for+a+day+thickening+spray+10.5+oz&amp;qid=1695259368&amp;sr=8-1</v>
      </c>
      <c r="F2333" t="s">
        <v>5847</v>
      </c>
      <c r="G2333" t="e">
        <f ca="1">IMAGE("https://prolisok-store.com/cdn/shop/products/416054_300x.jpg?v=1690900009")</f>
        <v>#NAME?</v>
      </c>
      <c r="H2333" t="e">
        <f ca="1">IMAGE("https://m.media-amazon.com/images/I/71BqUiO85VL._AC_UL320_.jpg")</f>
        <v>#NAME?</v>
      </c>
      <c r="I2333" t="s">
        <v>5135</v>
      </c>
      <c r="J2333">
        <v>13.31</v>
      </c>
      <c r="K2333" s="2" t="s">
        <v>5848</v>
      </c>
      <c r="L2333">
        <v>4.3</v>
      </c>
      <c r="M2333">
        <v>760</v>
      </c>
      <c r="O2333" t="s">
        <v>26</v>
      </c>
      <c r="P2333" t="s">
        <v>39</v>
      </c>
      <c r="Q2333" t="s">
        <v>5185</v>
      </c>
    </row>
    <row r="2334" spans="1:17" ht="15.75" x14ac:dyDescent="0.25">
      <c r="A2334" s="3" t="str">
        <f>HYPERLINK("https://prolisok-store.com/collections/hair-care/products/bed-head-men-by-tigi-charge-up-conditioner-6-7-oz", "https://prolisok-store.com/collections/hair-care/products/bed-head-men-by-tigi-charge-up-conditioner-6-7-oz")</f>
        <v>https://prolisok-store.com/collections/hair-care/products/bed-head-men-by-tigi-charge-up-conditioner-6-7-oz</v>
      </c>
      <c r="B2334" s="3" t="str">
        <f>HYPERLINK("https://prolisok-store.com/products/bed-head-men-by-tigi-charge-up-conditioner-6-7-oz", "https://prolisok-store.com/products/bed-head-men-by-tigi-charge-up-conditioner-6-7-oz")</f>
        <v>https://prolisok-store.com/products/bed-head-men-by-tigi-charge-up-conditioner-6-7-oz</v>
      </c>
      <c r="C2334" t="s">
        <v>5301</v>
      </c>
      <c r="D2334" t="s">
        <v>5849</v>
      </c>
      <c r="E2334" s="3" t="str">
        <f>HYPERLINK("https://www.amazon.com/TIGI-Charge-Thickening-Conditioner-Ounce/dp/B002UD52J4/ref=sr_1_2?keywords=Bed+head+men+by+tigi+charge+up+conditioner+6.7+oz&amp;qid=1695259394&amp;sr=8-2", "https://www.amazon.com/TIGI-Charge-Thickening-Conditioner-Ounce/dp/B002UD52J4/ref=sr_1_2?keywords=Bed+head+men+by+tigi+charge+up+conditioner+6.7+oz&amp;qid=1695259394&amp;sr=8-2")</f>
        <v>https://www.amazon.com/TIGI-Charge-Thickening-Conditioner-Ounce/dp/B002UD52J4/ref=sr_1_2?keywords=Bed+head+men+by+tigi+charge+up+conditioner+6.7+oz&amp;qid=1695259394&amp;sr=8-2</v>
      </c>
      <c r="F2334" t="s">
        <v>5850</v>
      </c>
      <c r="G2334" t="e">
        <f ca="1">IMAGE("https://prolisok-store.com/cdn/shop/products/179714_300x.jpg?v=1690900110")</f>
        <v>#NAME?</v>
      </c>
      <c r="H2334" t="e">
        <f ca="1">IMAGE("https://m.media-amazon.com/images/I/51rJCHMyikL._AC_UL320_.jpg")</f>
        <v>#NAME?</v>
      </c>
      <c r="I2334" t="s">
        <v>4296</v>
      </c>
      <c r="J2334">
        <v>7.25</v>
      </c>
      <c r="K2334" s="2" t="s">
        <v>5851</v>
      </c>
      <c r="L2334">
        <v>4.3</v>
      </c>
      <c r="M2334">
        <v>142</v>
      </c>
      <c r="O2334" t="s">
        <v>26</v>
      </c>
      <c r="P2334" t="s">
        <v>39</v>
      </c>
      <c r="Q2334" t="s">
        <v>5305</v>
      </c>
    </row>
    <row r="2335" spans="1:17" ht="15.75" x14ac:dyDescent="0.25">
      <c r="A2335" s="3" t="str">
        <f>HYPERLINK("https://prolisok-store.com/collections/hair-care/products/bed-head-by-tigi-flexi-head-hair-spray-10-6-oz", "https://prolisok-store.com/collections/hair-care/products/bed-head-by-tigi-flexi-head-hair-spray-10-6-oz")</f>
        <v>https://prolisok-store.com/collections/hair-care/products/bed-head-by-tigi-flexi-head-hair-spray-10-6-oz</v>
      </c>
      <c r="B2335" s="3" t="str">
        <f>HYPERLINK("https://prolisok-store.com/products/bed-head-by-tigi-flexi-head-hair-spray-10-6-oz", "https://prolisok-store.com/products/bed-head-by-tigi-flexi-head-hair-spray-10-6-oz")</f>
        <v>https://prolisok-store.com/products/bed-head-by-tigi-flexi-head-hair-spray-10-6-oz</v>
      </c>
      <c r="C2335" t="s">
        <v>5195</v>
      </c>
      <c r="D2335" t="s">
        <v>5846</v>
      </c>
      <c r="E2335" s="3" t="str">
        <f>HYPERLINK("https://www.amazon.com/BedHead-Queen-Day-Thickening-Spray/dp/B093FWQYPK/ref=sr_1_9?keywords=Bed+head+by+tigi+flexi+head+hair+spray+10.6+oz&amp;qid=1695259385&amp;sr=8-9", "https://www.amazon.com/BedHead-Queen-Day-Thickening-Spray/dp/B093FWQYPK/ref=sr_1_9?keywords=Bed+head+by+tigi+flexi+head+hair+spray+10.6+oz&amp;qid=1695259385&amp;sr=8-9")</f>
        <v>https://www.amazon.com/BedHead-Queen-Day-Thickening-Spray/dp/B093FWQYPK/ref=sr_1_9?keywords=Bed+head+by+tigi+flexi+head+hair+spray+10.6+oz&amp;qid=1695259385&amp;sr=8-9</v>
      </c>
      <c r="F2335" t="s">
        <v>5847</v>
      </c>
      <c r="G2335" t="e">
        <f ca="1">IMAGE("https://prolisok-store.com/cdn/shop/products/280790_300x.jpg?v=1690899950")</f>
        <v>#NAME?</v>
      </c>
      <c r="H2335" t="e">
        <f ca="1">IMAGE("https://m.media-amazon.com/images/I/71BqUiO85VL._AC_UL320_.jpg")</f>
        <v>#NAME?</v>
      </c>
      <c r="I2335" t="s">
        <v>5198</v>
      </c>
      <c r="J2335">
        <v>13.31</v>
      </c>
      <c r="K2335" s="2" t="s">
        <v>5852</v>
      </c>
      <c r="L2335">
        <v>4.3</v>
      </c>
      <c r="M2335">
        <v>760</v>
      </c>
      <c r="O2335" t="s">
        <v>26</v>
      </c>
      <c r="P2335" t="s">
        <v>39</v>
      </c>
      <c r="Q2335" t="s">
        <v>5200</v>
      </c>
    </row>
    <row r="2336" spans="1:17" ht="15.75" x14ac:dyDescent="0.25">
      <c r="A2336" s="3" t="str">
        <f>HYPERLINK("https://prolisok-store.com/collections/hair-care/products/bed-head-by-tigi-recovery-shampoo-25-36-oz", "https://prolisok-store.com/collections/hair-care/products/bed-head-by-tigi-recovery-shampoo-25-36-oz")</f>
        <v>https://prolisok-store.com/collections/hair-care/products/bed-head-by-tigi-recovery-shampoo-25-36-oz</v>
      </c>
      <c r="B2336" s="3" t="str">
        <f>HYPERLINK("https://prolisok-store.com/products/bed-head-by-tigi-recovery-shampoo-25-36-oz", "https://prolisok-store.com/products/bed-head-by-tigi-recovery-shampoo-25-36-oz")</f>
        <v>https://prolisok-store.com/products/bed-head-by-tigi-recovery-shampoo-25-36-oz</v>
      </c>
      <c r="C2336" t="s">
        <v>5360</v>
      </c>
      <c r="D2336" t="s">
        <v>5327</v>
      </c>
      <c r="E2336" s="3" t="str">
        <f>HYPERLINK("https://www.amazon.com/TIGI-RECOVERY-MOISTURIZING-SHAMPOO-20-29/dp/B08XJNMX5T/ref=sr_1_8?keywords=Bed+head+by+tigi+recovery+shampoo+25.36+oz&amp;qid=1695259368&amp;sr=8-8", "https://www.amazon.com/TIGI-RECOVERY-MOISTURIZING-SHAMPOO-20-29/dp/B08XJNMX5T/ref=sr_1_8?keywords=Bed+head+by+tigi+recovery+shampoo+25.36+oz&amp;qid=1695259368&amp;sr=8-8")</f>
        <v>https://www.amazon.com/TIGI-RECOVERY-MOISTURIZING-SHAMPOO-20-29/dp/B08XJNMX5T/ref=sr_1_8?keywords=Bed+head+by+tigi+recovery+shampoo+25.36+oz&amp;qid=1695259368&amp;sr=8-8</v>
      </c>
      <c r="F2336" t="s">
        <v>5328</v>
      </c>
      <c r="G2336" t="e">
        <f ca="1">IMAGE("https://prolisok-store.com/cdn/shop/products/195934_300x.jpg?v=1690899977")</f>
        <v>#NAME?</v>
      </c>
      <c r="H2336" t="e">
        <f ca="1">IMAGE("https://m.media-amazon.com/images/I/61+SBMFvDxL._AC_UL320_.jpg")</f>
        <v>#NAME?</v>
      </c>
      <c r="I2336" t="s">
        <v>5348</v>
      </c>
      <c r="J2336">
        <v>13.85</v>
      </c>
      <c r="K2336" s="2" t="s">
        <v>5853</v>
      </c>
      <c r="L2336">
        <v>4.5</v>
      </c>
      <c r="M2336">
        <v>415</v>
      </c>
      <c r="O2336" t="s">
        <v>26</v>
      </c>
      <c r="P2336" t="s">
        <v>39</v>
      </c>
      <c r="Q2336" t="s">
        <v>5362</v>
      </c>
    </row>
    <row r="2337" spans="1:17" ht="15.75" x14ac:dyDescent="0.25">
      <c r="A2337" s="3" t="str">
        <f>HYPERLINK("https://prolisok-store.com/collections/hair-care/products/catwalk-by-tigi-fashionista-violet-conditioner-25-36-oz", "https://prolisok-store.com/collections/hair-care/products/catwalk-by-tigi-fashionista-violet-conditioner-25-36-oz")</f>
        <v>https://prolisok-store.com/collections/hair-care/products/catwalk-by-tigi-fashionista-violet-conditioner-25-36-oz</v>
      </c>
      <c r="B2337" s="3" t="str">
        <f>HYPERLINK("https://prolisok-store.com/products/catwalk-by-tigi-fashionista-violet-conditioner-25-36-oz", "https://prolisok-store.com/products/catwalk-by-tigi-fashionista-violet-conditioner-25-36-oz")</f>
        <v>https://prolisok-store.com/products/catwalk-by-tigi-fashionista-violet-conditioner-25-36-oz</v>
      </c>
      <c r="C2337" t="s">
        <v>5854</v>
      </c>
      <c r="D2337" t="s">
        <v>5855</v>
      </c>
      <c r="E2337" s="3" t="str">
        <f>HYPERLINK("https://www.amazon.com/Catwalk-Shampoo-Conditioner-Fashionista-Violet/dp/B074QW89BV/ref=sr_1_5?keywords=Catwalk+by+tigi+fashionista+violet+conditioner+25.36+oz&amp;qid=1695259382&amp;sr=8-5", "https://www.amazon.com/Catwalk-Shampoo-Conditioner-Fashionista-Violet/dp/B074QW89BV/ref=sr_1_5?keywords=Catwalk+by+tigi+fashionista+violet+conditioner+25.36+oz&amp;qid=1695259382&amp;sr=8-5")</f>
        <v>https://www.amazon.com/Catwalk-Shampoo-Conditioner-Fashionista-Violet/dp/B074QW89BV/ref=sr_1_5?keywords=Catwalk+by+tigi+fashionista+violet+conditioner+25.36+oz&amp;qid=1695259382&amp;sr=8-5</v>
      </c>
      <c r="F2337" t="s">
        <v>5856</v>
      </c>
      <c r="G2337" t="e">
        <f ca="1">IMAGE("https://prolisok-store.com/cdn/shop/products/255770_300x.jpg?v=1690900070")</f>
        <v>#NAME?</v>
      </c>
      <c r="H2337" t="e">
        <f ca="1">IMAGE("https://m.media-amazon.com/images/I/71fUWABJvAL._AC_UL320_.jpg")</f>
        <v>#NAME?</v>
      </c>
      <c r="I2337" t="s">
        <v>5857</v>
      </c>
      <c r="J2337">
        <v>23.6</v>
      </c>
      <c r="K2337" s="2" t="s">
        <v>5858</v>
      </c>
      <c r="L2337">
        <v>4.5999999999999996</v>
      </c>
      <c r="M2337">
        <v>614</v>
      </c>
      <c r="O2337" t="s">
        <v>26</v>
      </c>
      <c r="P2337" t="s">
        <v>39</v>
      </c>
      <c r="Q2337" t="s">
        <v>5859</v>
      </c>
    </row>
    <row r="2338" spans="1:17" ht="15.75" x14ac:dyDescent="0.25">
      <c r="A2338" s="3" t="str">
        <f>HYPERLINK("https://prolisok-store.com/collections/hair-care/products/bed-head-by-tigi-lightheaded-hairspray-light-hold-5-5-oz", "https://prolisok-store.com/collections/hair-care/products/bed-head-by-tigi-lightheaded-hairspray-light-hold-5-5-oz")</f>
        <v>https://prolisok-store.com/collections/hair-care/products/bed-head-by-tigi-lightheaded-hairspray-light-hold-5-5-oz</v>
      </c>
      <c r="B2338" s="3" t="str">
        <f>HYPERLINK("https://prolisok-store.com/products/bed-head-by-tigi-lightheaded-hairspray-light-hold-5-5-oz", "https://prolisok-store.com/products/bed-head-by-tigi-lightheaded-hairspray-light-hold-5-5-oz")</f>
        <v>https://prolisok-store.com/products/bed-head-by-tigi-lightheaded-hairspray-light-hold-5-5-oz</v>
      </c>
      <c r="C2338" t="s">
        <v>5253</v>
      </c>
      <c r="D2338" t="s">
        <v>5860</v>
      </c>
      <c r="E2338" s="3" t="str">
        <f>HYPERLINK("https://www.amazon.com/Lightheaded-Flexible-Hairspray-Compressed-Packaging/dp/B07YNCSRZS/ref=sr_1_2?keywords=Bed+head+by+tigi+lightheaded+hairspray+light+hold+5.5+oz&amp;qid=1695259378&amp;sr=8-2", "https://www.amazon.com/Lightheaded-Flexible-Hairspray-Compressed-Packaging/dp/B07YNCSRZS/ref=sr_1_2?keywords=Bed+head+by+tigi+lightheaded+hairspray+light+hold+5.5+oz&amp;qid=1695259378&amp;sr=8-2")</f>
        <v>https://www.amazon.com/Lightheaded-Flexible-Hairspray-Compressed-Packaging/dp/B07YNCSRZS/ref=sr_1_2?keywords=Bed+head+by+tigi+lightheaded+hairspray+light+hold+5.5+oz&amp;qid=1695259378&amp;sr=8-2</v>
      </c>
      <c r="F2338" t="s">
        <v>5861</v>
      </c>
      <c r="G2338" t="e">
        <f ca="1">IMAGE("https://prolisok-store.com/cdn/shop/products/416074_300x.jpg?v=1690900023")</f>
        <v>#NAME?</v>
      </c>
      <c r="H2338" t="e">
        <f ca="1">IMAGE("https://m.media-amazon.com/images/I/61iirkvo9nL._AC_UL320_.jpg")</f>
        <v>#NAME?</v>
      </c>
      <c r="I2338" t="s">
        <v>5135</v>
      </c>
      <c r="J2338">
        <v>12.65</v>
      </c>
      <c r="K2338" s="2" t="s">
        <v>5862</v>
      </c>
      <c r="L2338">
        <v>4.5</v>
      </c>
      <c r="M2338">
        <v>106</v>
      </c>
      <c r="O2338" t="s">
        <v>26</v>
      </c>
      <c r="P2338" t="s">
        <v>39</v>
      </c>
      <c r="Q2338" t="s">
        <v>5257</v>
      </c>
    </row>
    <row r="2339" spans="1:17" ht="15.75" x14ac:dyDescent="0.25">
      <c r="A2339" s="3" t="str">
        <f>HYPERLINK("https://prolisok-store.com/collections/hair-care/products/catwalk-by-tigi-fashionista-violet-conditioner-25-36-oz", "https://prolisok-store.com/collections/hair-care/products/catwalk-by-tigi-fashionista-violet-conditioner-25-36-oz")</f>
        <v>https://prolisok-store.com/collections/hair-care/products/catwalk-by-tigi-fashionista-violet-conditioner-25-36-oz</v>
      </c>
      <c r="B2339" s="3" t="str">
        <f>HYPERLINK("https://prolisok-store.com/products/catwalk-by-tigi-fashionista-violet-conditioner-25-36-oz", "https://prolisok-store.com/products/catwalk-by-tigi-fashionista-violet-conditioner-25-36-oz")</f>
        <v>https://prolisok-store.com/products/catwalk-by-tigi-fashionista-violet-conditioner-25-36-oz</v>
      </c>
      <c r="C2339" t="s">
        <v>5854</v>
      </c>
      <c r="D2339" t="s">
        <v>5841</v>
      </c>
      <c r="E2339" s="3" t="str">
        <f>HYPERLINK("https://www.amazon.com/TIGI-Catwalk-Fashionista-Shampoo-Conditioner/dp/B01B2A1PN2/ref=sr_1_2?keywords=Catwalk+by+tigi+fashionista+violet+conditioner+25.36+oz&amp;qid=1695259382&amp;sr=8-2", "https://www.amazon.com/TIGI-Catwalk-Fashionista-Shampoo-Conditioner/dp/B01B2A1PN2/ref=sr_1_2?keywords=Catwalk+by+tigi+fashionista+violet+conditioner+25.36+oz&amp;qid=1695259382&amp;sr=8-2")</f>
        <v>https://www.amazon.com/TIGI-Catwalk-Fashionista-Shampoo-Conditioner/dp/B01B2A1PN2/ref=sr_1_2?keywords=Catwalk+by+tigi+fashionista+violet+conditioner+25.36+oz&amp;qid=1695259382&amp;sr=8-2</v>
      </c>
      <c r="F2339" t="s">
        <v>5842</v>
      </c>
      <c r="G2339" t="e">
        <f ca="1">IMAGE("https://prolisok-store.com/cdn/shop/products/255770_300x.jpg?v=1690900070")</f>
        <v>#NAME?</v>
      </c>
      <c r="H2339" t="e">
        <f ca="1">IMAGE("https://m.media-amazon.com/images/I/71e+xq2uljL._AC_UL320_.jpg")</f>
        <v>#NAME?</v>
      </c>
      <c r="I2339" t="s">
        <v>5857</v>
      </c>
      <c r="J2339">
        <v>23.3</v>
      </c>
      <c r="K2339" s="2" t="s">
        <v>5863</v>
      </c>
      <c r="L2339">
        <v>4.4000000000000004</v>
      </c>
      <c r="M2339">
        <v>4062</v>
      </c>
      <c r="O2339" t="s">
        <v>26</v>
      </c>
      <c r="P2339" t="s">
        <v>39</v>
      </c>
      <c r="Q2339" t="s">
        <v>5859</v>
      </c>
    </row>
    <row r="2340" spans="1:17" ht="15.75" x14ac:dyDescent="0.25">
      <c r="A2340" s="3" t="str">
        <f>HYPERLINK("https://prolisok-store.com/collections/hair-care/products/bed-head-by-tigi-dumb-blonde-reconstructor-for-chemically-treated-hair-25-36-oz", "https://prolisok-store.com/collections/hair-care/products/bed-head-by-tigi-dumb-blonde-reconstructor-for-chemically-treated-hair-25-36-oz")</f>
        <v>https://prolisok-store.com/collections/hair-care/products/bed-head-by-tigi-dumb-blonde-reconstructor-for-chemically-treated-hair-25-36-oz</v>
      </c>
      <c r="B2340" s="3" t="str">
        <f>HYPERLINK("https://prolisok-store.com/products/bed-head-by-tigi-dumb-blonde-reconstructor-for-chemically-treated-hair-25-36-oz", "https://prolisok-store.com/products/bed-head-by-tigi-dumb-blonde-reconstructor-for-chemically-treated-hair-25-36-oz")</f>
        <v>https://prolisok-store.com/products/bed-head-by-tigi-dumb-blonde-reconstructor-for-chemically-treated-hair-25-36-oz</v>
      </c>
      <c r="C2340" t="s">
        <v>5791</v>
      </c>
      <c r="D2340" t="s">
        <v>5477</v>
      </c>
      <c r="E2340" s="3" t="str">
        <f>HYPERLINK("https://www.amazon.com/Tigi-Reconstructor-Chemically-Treated-25-36oz/dp/B00SJKNA5A/ref=sr_1_1?keywords=Bed+head+by+tigi+dumb+blonde+reconstructor+for+chemically+treated+hair+25.36+oz&amp;qid=1695259372&amp;sr=8-1", "https://www.amazon.com/Tigi-Reconstructor-Chemically-Treated-25-36oz/dp/B00SJKNA5A/ref=sr_1_1?keywords=Bed+head+by+tigi+dumb+blonde+reconstructor+for+chemically+treated+hair+25.36+oz&amp;qid=1695259372&amp;sr=8-1")</f>
        <v>https://www.amazon.com/Tigi-Reconstructor-Chemically-Treated-25-36oz/dp/B00SJKNA5A/ref=sr_1_1?keywords=Bed+head+by+tigi+dumb+blonde+reconstructor+for+chemically+treated+hair+25.36+oz&amp;qid=1695259372&amp;sr=8-1</v>
      </c>
      <c r="F2340" t="s">
        <v>5478</v>
      </c>
      <c r="G2340" t="e">
        <f ca="1">IMAGE("https://prolisok-store.com/cdn/shop/products/263171_300x.jpg?v=1690899943")</f>
        <v>#NAME?</v>
      </c>
      <c r="H2340" t="e">
        <f ca="1">IMAGE("https://m.media-amazon.com/images/I/716VrbmoAkL._AC_UL320_.jpg")</f>
        <v>#NAME?</v>
      </c>
      <c r="I2340" t="s">
        <v>5792</v>
      </c>
      <c r="J2340">
        <v>20.09</v>
      </c>
      <c r="K2340" s="2" t="s">
        <v>5864</v>
      </c>
      <c r="L2340">
        <v>4.4000000000000004</v>
      </c>
      <c r="M2340">
        <v>171</v>
      </c>
      <c r="O2340" t="s">
        <v>26</v>
      </c>
      <c r="P2340" t="s">
        <v>39</v>
      </c>
      <c r="Q2340" t="s">
        <v>5794</v>
      </c>
    </row>
    <row r="2341" spans="1:17" ht="15.75" x14ac:dyDescent="0.25">
      <c r="A2341" s="3" t="str">
        <f>HYPERLINK("https://prolisok-store.com/collections/hair-care/products/bed-head-by-tigi-manipulator-2-oz", "https://prolisok-store.com/collections/hair-care/products/bed-head-by-tigi-manipulator-2-oz")</f>
        <v>https://prolisok-store.com/collections/hair-care/products/bed-head-by-tigi-manipulator-2-oz</v>
      </c>
      <c r="B2341" s="3" t="str">
        <f>HYPERLINK("https://prolisok-store.com/products/bed-head-by-tigi-manipulator-2-oz", "https://prolisok-store.com/products/bed-head-by-tigi-manipulator-2-oz")</f>
        <v>https://prolisok-store.com/products/bed-head-by-tigi-manipulator-2-oz</v>
      </c>
      <c r="C2341" t="s">
        <v>5132</v>
      </c>
      <c r="D2341" t="s">
        <v>5488</v>
      </c>
      <c r="E2341" s="3" t="str">
        <f>HYPERLINK("https://www.amazon.com/Head-TIGI-Manipulator-Texturizing-Putty/dp/B08R4XX2QR/ref=sr_1_3?keywords=Bed+head+by+tigi+manipulator+2+oz&amp;qid=1695259393&amp;sr=8-3", "https://www.amazon.com/Head-TIGI-Manipulator-Texturizing-Putty/dp/B08R4XX2QR/ref=sr_1_3?keywords=Bed+head+by+tigi+manipulator+2+oz&amp;qid=1695259393&amp;sr=8-3")</f>
        <v>https://www.amazon.com/Head-TIGI-Manipulator-Texturizing-Putty/dp/B08R4XX2QR/ref=sr_1_3?keywords=Bed+head+by+tigi+manipulator+2+oz&amp;qid=1695259393&amp;sr=8-3</v>
      </c>
      <c r="F2341" t="s">
        <v>5489</v>
      </c>
      <c r="G2341" t="e">
        <f ca="1">IMAGE("https://prolisok-store.com/cdn/shop/products/131719_300x.jpg?v=1690899959")</f>
        <v>#NAME?</v>
      </c>
      <c r="H2341" t="e">
        <f ca="1">IMAGE("https://m.media-amazon.com/images/I/71Pk1J3ag9L._AC_UL320_.jpg")</f>
        <v>#NAME?</v>
      </c>
      <c r="I2341" t="s">
        <v>5135</v>
      </c>
      <c r="J2341">
        <v>12.23</v>
      </c>
      <c r="K2341" s="2" t="s">
        <v>5865</v>
      </c>
      <c r="L2341">
        <v>4.5999999999999996</v>
      </c>
      <c r="M2341">
        <v>2061</v>
      </c>
      <c r="O2341" t="s">
        <v>26</v>
      </c>
      <c r="P2341" t="s">
        <v>39</v>
      </c>
      <c r="Q2341" t="s">
        <v>5137</v>
      </c>
    </row>
    <row r="2342" spans="1:17" ht="15.75" x14ac:dyDescent="0.25">
      <c r="A2342" s="3" t="str">
        <f>HYPERLINK("https://prolisok-store.com/collections/hair-care/products/bed-head-men-by-tigi-matte-separation-wax-3-oz", "https://prolisok-store.com/collections/hair-care/products/bed-head-men-by-tigi-matte-separation-wax-3-oz")</f>
        <v>https://prolisok-store.com/collections/hair-care/products/bed-head-men-by-tigi-matte-separation-wax-3-oz</v>
      </c>
      <c r="B2342" s="3" t="str">
        <f>HYPERLINK("https://prolisok-store.com/products/bed-head-men-by-tigi-matte-separation-wax-3-oz", "https://prolisok-store.com/products/bed-head-men-by-tigi-matte-separation-wax-3-oz")</f>
        <v>https://prolisok-store.com/products/bed-head-men-by-tigi-matte-separation-wax-3-oz</v>
      </c>
      <c r="C2342" t="s">
        <v>5407</v>
      </c>
      <c r="D2342" t="s">
        <v>5866</v>
      </c>
      <c r="E2342" s="3" t="str">
        <f>HYPERLINK("https://www.amazon.com/TIGI-Matte-Separation-Workable-Ounce/dp/B002N5MI2S/ref=sr_1_1?keywords=Bed+head+men+by+tigi+matte+separation+wax+3+oz&amp;qid=1695259401&amp;sr=8-1", "https://www.amazon.com/TIGI-Matte-Separation-Workable-Ounce/dp/B002N5MI2S/ref=sr_1_1?keywords=Bed+head+men+by+tigi+matte+separation+wax+3+oz&amp;qid=1695259401&amp;sr=8-1")</f>
        <v>https://www.amazon.com/TIGI-Matte-Separation-Workable-Ounce/dp/B002N5MI2S/ref=sr_1_1?keywords=Bed+head+men+by+tigi+matte+separation+wax+3+oz&amp;qid=1695259401&amp;sr=8-1</v>
      </c>
      <c r="F2342" t="s">
        <v>5867</v>
      </c>
      <c r="G2342" t="e">
        <f ca="1">IMAGE("https://prolisok-store.com/cdn/shop/products/276241_300x.jpg?v=1690900117")</f>
        <v>#NAME?</v>
      </c>
      <c r="H2342" t="e">
        <f ca="1">IMAGE("https://m.media-amazon.com/images/I/71bQ9zX3K+L._AC_UL320_.jpg")</f>
        <v>#NAME?</v>
      </c>
      <c r="I2342" t="s">
        <v>5410</v>
      </c>
      <c r="J2342">
        <v>11.5</v>
      </c>
      <c r="K2342" s="2" t="s">
        <v>5868</v>
      </c>
      <c r="L2342">
        <v>4.4000000000000004</v>
      </c>
      <c r="M2342">
        <v>15249</v>
      </c>
      <c r="O2342" t="s">
        <v>26</v>
      </c>
      <c r="P2342" t="s">
        <v>39</v>
      </c>
      <c r="Q2342" t="s">
        <v>5412</v>
      </c>
    </row>
    <row r="2343" spans="1:17" ht="15.75" x14ac:dyDescent="0.25">
      <c r="A2343" s="3" t="str">
        <f>HYPERLINK("https://prolisok-store.com/collections/hair-care/products/bed-head-by-tigi-recharge-conditioner-6-76-oz", "https://prolisok-store.com/collections/hair-care/products/bed-head-by-tigi-recharge-conditioner-6-76-oz")</f>
        <v>https://prolisok-store.com/collections/hair-care/products/bed-head-by-tigi-recharge-conditioner-6-76-oz</v>
      </c>
      <c r="B2343" s="3" t="str">
        <f>HYPERLINK("https://prolisok-store.com/products/bed-head-by-tigi-recharge-conditioner-6-76-oz", "https://prolisok-store.com/products/bed-head-by-tigi-recharge-conditioner-6-76-oz")</f>
        <v>https://prolisok-store.com/products/bed-head-by-tigi-recharge-conditioner-6-76-oz</v>
      </c>
      <c r="C2343" t="s">
        <v>5388</v>
      </c>
      <c r="D2343" t="s">
        <v>5718</v>
      </c>
      <c r="E2343" s="3" t="str">
        <f>HYPERLINK("https://www.amazon.com/TIGI-Head-Charge-Thickening-Conditioner/dp/B0080FQVQ4/ref=sr_1_7?keywords=Bed+head+by+tigi+recharge+conditioner+6.76+oz&amp;qid=1695259375&amp;sr=8-7", "https://www.amazon.com/TIGI-Head-Charge-Thickening-Conditioner/dp/B0080FQVQ4/ref=sr_1_7?keywords=Bed+head+by+tigi+recharge+conditioner+6.76+oz&amp;qid=1695259375&amp;sr=8-7")</f>
        <v>https://www.amazon.com/TIGI-Head-Charge-Thickening-Conditioner/dp/B0080FQVQ4/ref=sr_1_7?keywords=Bed+head+by+tigi+recharge+conditioner+6.76+oz&amp;qid=1695259375&amp;sr=8-7</v>
      </c>
      <c r="F2343" t="s">
        <v>5719</v>
      </c>
      <c r="G2343" t="e">
        <f ca="1">IMAGE("https://prolisok-store.com/cdn/shop/products/244405_300x.jpg?v=1690899930")</f>
        <v>#NAME?</v>
      </c>
      <c r="H2343" t="e">
        <f ca="1">IMAGE("https://m.media-amazon.com/images/I/41s1VkIDvaL._AC_UL320_.jpg")</f>
        <v>#NAME?</v>
      </c>
      <c r="I2343" t="s">
        <v>5321</v>
      </c>
      <c r="J2343">
        <v>8.5500000000000007</v>
      </c>
      <c r="K2343" s="2" t="s">
        <v>5869</v>
      </c>
      <c r="L2343">
        <v>5</v>
      </c>
      <c r="M2343">
        <v>3</v>
      </c>
      <c r="O2343" t="s">
        <v>26</v>
      </c>
      <c r="P2343" t="s">
        <v>39</v>
      </c>
      <c r="Q2343" t="s">
        <v>5392</v>
      </c>
    </row>
    <row r="2344" spans="1:17" ht="15.75" x14ac:dyDescent="0.25">
      <c r="A2344" s="3" t="str">
        <f>HYPERLINK("https://prolisok-store.com/collections/hair-care/products/bed-head-men-by-tigi-clean-up-peppermint-conditioner-25-36-oz-gold-packaging", "https://prolisok-store.com/collections/hair-care/products/bed-head-men-by-tigi-clean-up-peppermint-conditioner-25-36-oz-gold-packaging")</f>
        <v>https://prolisok-store.com/collections/hair-care/products/bed-head-men-by-tigi-clean-up-peppermint-conditioner-25-36-oz-gold-packaging</v>
      </c>
      <c r="B2344" s="3" t="str">
        <f>HYPERLINK("https://prolisok-store.com/products/bed-head-men-by-tigi-clean-up-peppermint-conditioner-25-36-oz-gold-packaging", "https://prolisok-store.com/products/bed-head-men-by-tigi-clean-up-peppermint-conditioner-25-36-oz-gold-packaging")</f>
        <v>https://prolisok-store.com/products/bed-head-men-by-tigi-clean-up-peppermint-conditioner-25-36-oz-gold-packaging</v>
      </c>
      <c r="C2344" t="s">
        <v>5538</v>
      </c>
      <c r="D2344" t="s">
        <v>5870</v>
      </c>
      <c r="E2344" s="3" t="str">
        <f>HYPERLINK("https://www.amazon.com/Bed-Head-Clean-Peppermint-Conditioner/dp/B003U4FPKI/ref=sr_1_3?keywords=Bed+head+men+by+tigi+clean+up+peppermint+conditioner+25.36+oz+%28gold+packaging%29&amp;qid=1695259384&amp;sr=8-3", "https://www.amazon.com/Bed-Head-Clean-Peppermint-Conditioner/dp/B003U4FPKI/ref=sr_1_3?keywords=Bed+head+men+by+tigi+clean+up+peppermint+conditioner+25.36+oz+%28gold+packaging%29&amp;qid=1695259384&amp;sr=8-3")</f>
        <v>https://www.amazon.com/Bed-Head-Clean-Peppermint-Conditioner/dp/B003U4FPKI/ref=sr_1_3?keywords=Bed+head+men+by+tigi+clean+up+peppermint+conditioner+25.36+oz+%28gold+packaging%29&amp;qid=1695259384&amp;sr=8-3</v>
      </c>
      <c r="F2344" t="s">
        <v>5871</v>
      </c>
      <c r="G2344" t="e">
        <f ca="1">IMAGE("https://prolisok-store.com/cdn/shop/products/263177_300x.jpg?v=1690900119")</f>
        <v>#NAME?</v>
      </c>
      <c r="H2344" t="e">
        <f ca="1">IMAGE("https://m.media-amazon.com/images/I/31Zbo+8AsSL._AC_UL320_.jpg")</f>
        <v>#NAME?</v>
      </c>
      <c r="I2344" t="s">
        <v>5539</v>
      </c>
      <c r="J2344">
        <v>16.18</v>
      </c>
      <c r="K2344" s="2" t="s">
        <v>5872</v>
      </c>
      <c r="L2344">
        <v>4.5999999999999996</v>
      </c>
      <c r="M2344">
        <v>3</v>
      </c>
      <c r="O2344" t="s">
        <v>26</v>
      </c>
      <c r="P2344" t="s">
        <v>39</v>
      </c>
      <c r="Q2344" t="s">
        <v>5541</v>
      </c>
    </row>
    <row r="2345" spans="1:17" ht="15.75" x14ac:dyDescent="0.25">
      <c r="A2345" s="3" t="str">
        <f>HYPERLINK("https://prolisok-store.com/collections/hair-care/products/bed-head-by-tigi-blow-out-golden-illuminating-shine-cream-3-4-oz", "https://prolisok-store.com/collections/hair-care/products/bed-head-by-tigi-blow-out-golden-illuminating-shine-cream-3-4-oz")</f>
        <v>https://prolisok-store.com/collections/hair-care/products/bed-head-by-tigi-blow-out-golden-illuminating-shine-cream-3-4-oz</v>
      </c>
      <c r="B2345" s="3" t="str">
        <f>HYPERLINK("https://prolisok-store.com/products/bed-head-by-tigi-blow-out-golden-illuminating-shine-cream-3-4-oz", "https://prolisok-store.com/products/bed-head-by-tigi-blow-out-golden-illuminating-shine-cream-3-4-oz")</f>
        <v>https://prolisok-store.com/products/bed-head-by-tigi-blow-out-golden-illuminating-shine-cream-3-4-oz</v>
      </c>
      <c r="C2345" t="s">
        <v>5443</v>
      </c>
      <c r="D2345" t="s">
        <v>5873</v>
      </c>
      <c r="E2345" s="3" t="str">
        <f>HYPERLINK("https://www.amazon.com/TIGI-Blow-Out-Golden-Illuminating-Shine/dp/B00MI2SNMU/ref=sr_1_1?keywords=Bed+head+by+tigi+blow-out+golden+illuminating+shine+cream+3.4+oz&amp;qid=1695259394&amp;sr=8-1", "https://www.amazon.com/TIGI-Blow-Out-Golden-Illuminating-Shine/dp/B00MI2SNMU/ref=sr_1_1?keywords=Bed+head+by+tigi+blow-out+golden+illuminating+shine+cream+3.4+oz&amp;qid=1695259394&amp;sr=8-1")</f>
        <v>https://www.amazon.com/TIGI-Blow-Out-Golden-Illuminating-Shine/dp/B00MI2SNMU/ref=sr_1_1?keywords=Bed+head+by+tigi+blow-out+golden+illuminating+shine+cream+3.4+oz&amp;qid=1695259394&amp;sr=8-1</v>
      </c>
      <c r="F2345" t="s">
        <v>5874</v>
      </c>
      <c r="G2345" t="e">
        <f ca="1">IMAGE("https://prolisok-store.com/cdn/shop/products/276505_300x.jpg?v=1690899939")</f>
        <v>#NAME?</v>
      </c>
      <c r="H2345" t="e">
        <f ca="1">IMAGE("https://m.media-amazon.com/images/I/517jgF-PfHL._AC_UL320_.jpg")</f>
        <v>#NAME?</v>
      </c>
      <c r="I2345" t="s">
        <v>5198</v>
      </c>
      <c r="J2345">
        <v>11.95</v>
      </c>
      <c r="K2345" s="2" t="s">
        <v>5875</v>
      </c>
      <c r="L2345">
        <v>4.4000000000000004</v>
      </c>
      <c r="M2345">
        <v>2405</v>
      </c>
      <c r="O2345" t="s">
        <v>26</v>
      </c>
      <c r="P2345" t="s">
        <v>39</v>
      </c>
      <c r="Q2345" t="s">
        <v>5447</v>
      </c>
    </row>
    <row r="2346" spans="1:17" ht="15.75" x14ac:dyDescent="0.25">
      <c r="A2346" s="3" t="str">
        <f>HYPERLINK("https://prolisok-store.com/collections/hair-care/products/bed-head-by-tigi-manipulator-2-oz", "https://prolisok-store.com/collections/hair-care/products/bed-head-by-tigi-manipulator-2-oz")</f>
        <v>https://prolisok-store.com/collections/hair-care/products/bed-head-by-tigi-manipulator-2-oz</v>
      </c>
      <c r="B2346" s="3" t="str">
        <f>HYPERLINK("https://prolisok-store.com/products/bed-head-by-tigi-manipulator-2-oz", "https://prolisok-store.com/products/bed-head-by-tigi-manipulator-2-oz")</f>
        <v>https://prolisok-store.com/products/bed-head-by-tigi-manipulator-2-oz</v>
      </c>
      <c r="C2346" t="s">
        <v>5132</v>
      </c>
      <c r="D2346" t="s">
        <v>5876</v>
      </c>
      <c r="E2346" s="3" t="str">
        <f>HYPERLINK("https://www.amazon.com/TIGI-Bed-Head-Manipulator-pack/dp/B00BAXUWSQ/ref=sr_1_9?keywords=Bed+head+by+tigi+manipulator+2+oz&amp;qid=1695259393&amp;sr=8-9", "https://www.amazon.com/TIGI-Bed-Head-Manipulator-pack/dp/B00BAXUWSQ/ref=sr_1_9?keywords=Bed+head+by+tigi+manipulator+2+oz&amp;qid=1695259393&amp;sr=8-9")</f>
        <v>https://www.amazon.com/TIGI-Bed-Head-Manipulator-pack/dp/B00BAXUWSQ/ref=sr_1_9?keywords=Bed+head+by+tigi+manipulator+2+oz&amp;qid=1695259393&amp;sr=8-9</v>
      </c>
      <c r="F2346" t="s">
        <v>5877</v>
      </c>
      <c r="G2346" t="e">
        <f ca="1">IMAGE("https://prolisok-store.com/cdn/shop/products/131719_300x.jpg?v=1690899959")</f>
        <v>#NAME?</v>
      </c>
      <c r="H2346" t="e">
        <f ca="1">IMAGE("https://m.media-amazon.com/images/I/615-7+vt6SL._AC_UL320_.jpg")</f>
        <v>#NAME?</v>
      </c>
      <c r="I2346" t="s">
        <v>5135</v>
      </c>
      <c r="J2346">
        <v>10.99</v>
      </c>
      <c r="K2346" s="2" t="s">
        <v>4333</v>
      </c>
      <c r="L2346">
        <v>4.5999999999999996</v>
      </c>
      <c r="M2346">
        <v>312</v>
      </c>
      <c r="O2346" t="s">
        <v>26</v>
      </c>
      <c r="P2346" t="s">
        <v>39</v>
      </c>
      <c r="Q2346" t="s">
        <v>5137</v>
      </c>
    </row>
    <row r="2347" spans="1:17" ht="15.75" x14ac:dyDescent="0.25">
      <c r="A2347" s="3" t="str">
        <f>HYPERLINK("https://prolisok-store.com/collections/hair-care/products/catwalk-by-tigi-sleek-mystique-calming-conditioner-8-45-oz", "https://prolisok-store.com/collections/hair-care/products/catwalk-by-tigi-sleek-mystique-calming-conditioner-8-45-oz")</f>
        <v>https://prolisok-store.com/collections/hair-care/products/catwalk-by-tigi-sleek-mystique-calming-conditioner-8-45-oz</v>
      </c>
      <c r="B2347" s="3" t="str">
        <f>HYPERLINK("https://prolisok-store.com/products/catwalk-by-tigi-sleek-mystique-calming-conditioner-8-45-oz", "https://prolisok-store.com/products/catwalk-by-tigi-sleek-mystique-calming-conditioner-8-45-oz")</f>
        <v>https://prolisok-store.com/products/catwalk-by-tigi-sleek-mystique-calming-conditioner-8-45-oz</v>
      </c>
      <c r="C2347" t="s">
        <v>5681</v>
      </c>
      <c r="D2347" t="s">
        <v>5878</v>
      </c>
      <c r="E2347" s="3" t="str">
        <f>HYPERLINK("https://www.amazon.com/TIGI-Catwalk-Mystique-Calming-Conditioner/dp/B004LEL2E4/ref=sr_1_1?keywords=Catwalk+by+tigi+sleek+mystique+calming+conditioner+8.45+oz&amp;qid=1695259386&amp;sr=8-1", "https://www.amazon.com/TIGI-Catwalk-Mystique-Calming-Conditioner/dp/B004LEL2E4/ref=sr_1_1?keywords=Catwalk+by+tigi+sleek+mystique+calming+conditioner+8.45+oz&amp;qid=1695259386&amp;sr=8-1")</f>
        <v>https://www.amazon.com/TIGI-Catwalk-Mystique-Calming-Conditioner/dp/B004LEL2E4/ref=sr_1_1?keywords=Catwalk+by+tigi+sleek+mystique+calming+conditioner+8.45+oz&amp;qid=1695259386&amp;sr=8-1</v>
      </c>
      <c r="F2347" t="s">
        <v>5879</v>
      </c>
      <c r="G2347" t="e">
        <f ca="1">IMAGE("https://prolisok-store.com/cdn/shop/products/212034_300x.jpg?v=1690900059")</f>
        <v>#NAME?</v>
      </c>
      <c r="H2347" t="e">
        <f ca="1">IMAGE("https://m.media-amazon.com/images/I/61Rxb18rwdL._AC_UL320_.jpg")</f>
        <v>#NAME?</v>
      </c>
      <c r="I2347" t="s">
        <v>5684</v>
      </c>
      <c r="J2347">
        <v>8.9499999999999993</v>
      </c>
      <c r="K2347" s="2" t="s">
        <v>5880</v>
      </c>
      <c r="L2347">
        <v>3.7</v>
      </c>
      <c r="M2347">
        <v>12</v>
      </c>
      <c r="O2347" t="s">
        <v>26</v>
      </c>
      <c r="P2347" t="s">
        <v>39</v>
      </c>
      <c r="Q2347" t="s">
        <v>5686</v>
      </c>
    </row>
    <row r="2348" spans="1:17" ht="15.75" x14ac:dyDescent="0.25">
      <c r="A2348" s="3" t="str">
        <f>HYPERLINK("https://prolisok-store.com/collections/hair-care/products/bed-head-by-tigi-queen-beach-salt-texture-spray-3-4-oz", "https://prolisok-store.com/collections/hair-care/products/bed-head-by-tigi-queen-beach-salt-texture-spray-3-4-oz")</f>
        <v>https://prolisok-store.com/collections/hair-care/products/bed-head-by-tigi-queen-beach-salt-texture-spray-3-4-oz</v>
      </c>
      <c r="B2348" s="3" t="str">
        <f>HYPERLINK("https://prolisok-store.com/products/bed-head-by-tigi-queen-beach-salt-texture-spray-3-4-oz", "https://prolisok-store.com/products/bed-head-by-tigi-queen-beach-salt-texture-spray-3-4-oz")</f>
        <v>https://prolisok-store.com/products/bed-head-by-tigi-queen-beach-salt-texture-spray-3-4-oz</v>
      </c>
      <c r="C2348" t="s">
        <v>5881</v>
      </c>
      <c r="D2348" t="s">
        <v>5882</v>
      </c>
      <c r="E2348" s="3" t="str">
        <f>HYPERLINK("https://www.amazon.com/Bed-Head-Queen-Beach-Spray/dp/B06X1D75Y2/ref=sr_1_1?keywords=Bed+head+by+tigi+queen+beach+salt+texture+spray+3.4+oz&amp;qid=1695259377&amp;sr=8-1", "https://www.amazon.com/Bed-Head-Queen-Beach-Spray/dp/B06X1D75Y2/ref=sr_1_1?keywords=Bed+head+by+tigi+queen+beach+salt+texture+spray+3.4+oz&amp;qid=1695259377&amp;sr=8-1")</f>
        <v>https://www.amazon.com/Bed-Head-Queen-Beach-Spray/dp/B06X1D75Y2/ref=sr_1_1?keywords=Bed+head+by+tigi+queen+beach+salt+texture+spray+3.4+oz&amp;qid=1695259377&amp;sr=8-1</v>
      </c>
      <c r="F2348" t="s">
        <v>5883</v>
      </c>
      <c r="G2348" t="e">
        <f ca="1">IMAGE("https://prolisok-store.com/cdn/shop/products/310356_300x.jpg?v=1690899912")</f>
        <v>#NAME?</v>
      </c>
      <c r="H2348" t="e">
        <f ca="1">IMAGE("https://m.media-amazon.com/images/I/61fxerQuxoL._AC_UL320_.jpg")</f>
        <v>#NAME?</v>
      </c>
      <c r="I2348" t="s">
        <v>3890</v>
      </c>
      <c r="J2348">
        <v>9.85</v>
      </c>
      <c r="K2348" s="2" t="s">
        <v>5884</v>
      </c>
      <c r="L2348">
        <v>4.3</v>
      </c>
      <c r="M2348">
        <v>957</v>
      </c>
      <c r="O2348" t="s">
        <v>26</v>
      </c>
      <c r="P2348" t="s">
        <v>39</v>
      </c>
      <c r="Q2348" t="s">
        <v>5885</v>
      </c>
    </row>
    <row r="2349" spans="1:17" ht="15.75" x14ac:dyDescent="0.25">
      <c r="A2349" s="3" t="str">
        <f>HYPERLINK("https://prolisok-store.com/collections/hair-care/products/catwalk-by-tigi-session-series-finishing-hair-spray-9-2-oz", "https://prolisok-store.com/collections/hair-care/products/catwalk-by-tigi-session-series-finishing-hair-spray-9-2-oz")</f>
        <v>https://prolisok-store.com/collections/hair-care/products/catwalk-by-tigi-session-series-finishing-hair-spray-9-2-oz</v>
      </c>
      <c r="B2349" s="3" t="str">
        <f>HYPERLINK("https://prolisok-store.com/products/catwalk-by-tigi-session-series-finishing-hair-spray-9-2-oz", "https://prolisok-store.com/products/catwalk-by-tigi-session-series-finishing-hair-spray-9-2-oz")</f>
        <v>https://prolisok-store.com/products/catwalk-by-tigi-session-series-finishing-hair-spray-9-2-oz</v>
      </c>
      <c r="C2349" t="s">
        <v>5330</v>
      </c>
      <c r="D2349" t="s">
        <v>5886</v>
      </c>
      <c r="E2349" s="3" t="str">
        <f>HYPERLINK("https://www.amazon.com/Catwalk-TIGI-Session-Finishing-Hairspray/dp/B00520N64K/ref=sr_1_7?keywords=Catwalk+by+tigi+session+series+finishing+hair+spray+9.2+oz&amp;qid=1695259401&amp;sr=8-7", "https://www.amazon.com/Catwalk-TIGI-Session-Finishing-Hairspray/dp/B00520N64K/ref=sr_1_7?keywords=Catwalk+by+tigi+session+series+finishing+hair+spray+9.2+oz&amp;qid=1695259401&amp;sr=8-7")</f>
        <v>https://www.amazon.com/Catwalk-TIGI-Session-Finishing-Hairspray/dp/B00520N64K/ref=sr_1_7?keywords=Catwalk+by+tigi+session+series+finishing+hair+spray+9.2+oz&amp;qid=1695259401&amp;sr=8-7</v>
      </c>
      <c r="F2349" t="s">
        <v>5887</v>
      </c>
      <c r="G2349" t="e">
        <f ca="1">IMAGE("https://prolisok-store.com/cdn/shop/products/231663_300x.jpg?v=1690900074")</f>
        <v>#NAME?</v>
      </c>
      <c r="H2349" t="e">
        <f ca="1">IMAGE("https://m.media-amazon.com/images/I/612qr9Buh8L._AC_UL320_.jpg")</f>
        <v>#NAME?</v>
      </c>
      <c r="I2349" t="s">
        <v>5135</v>
      </c>
      <c r="J2349">
        <v>10.5</v>
      </c>
      <c r="K2349" s="2" t="s">
        <v>5888</v>
      </c>
      <c r="L2349">
        <v>4.0999999999999996</v>
      </c>
      <c r="M2349">
        <v>171</v>
      </c>
      <c r="O2349" t="s">
        <v>26</v>
      </c>
      <c r="P2349" t="s">
        <v>39</v>
      </c>
      <c r="Q2349" t="s">
        <v>5334</v>
      </c>
    </row>
    <row r="2350" spans="1:17" ht="15.75" x14ac:dyDescent="0.25">
      <c r="A2350" s="3" t="str">
        <f>HYPERLINK("https://prolisok-store.com/collections/hair-care/products/bed-head-by-tigi-stick-a-hair-stick-for-cool-people-2-7-oz", "https://prolisok-store.com/collections/hair-care/products/bed-head-by-tigi-stick-a-hair-stick-for-cool-people-2-7-oz")</f>
        <v>https://prolisok-store.com/collections/hair-care/products/bed-head-by-tigi-stick-a-hair-stick-for-cool-people-2-7-oz</v>
      </c>
      <c r="B2350" s="3" t="str">
        <f>HYPERLINK("https://prolisok-store.com/products/bed-head-by-tigi-stick-a-hair-stick-for-cool-people-2-7-oz", "https://prolisok-store.com/products/bed-head-by-tigi-stick-a-hair-stick-for-cool-people-2-7-oz")</f>
        <v>https://prolisok-store.com/products/bed-head-by-tigi-stick-a-hair-stick-for-cool-people-2-7-oz</v>
      </c>
      <c r="C2350" t="s">
        <v>5232</v>
      </c>
      <c r="D2350" t="s">
        <v>5889</v>
      </c>
      <c r="E2350" s="3" t="str">
        <f>HYPERLINK("https://www.amazon.com/Control-Non-greasy-Styling-Temporary-SOVONCARE/dp/B0B8S7XFNX/ref=sr_1_4?keywords=Bed+head+by+tigi+stick+-+a+hair+stick+for+cool+people+2.7+oz&amp;qid=1695259383&amp;sr=8-4", "https://www.amazon.com/Control-Non-greasy-Styling-Temporary-SOVONCARE/dp/B0B8S7XFNX/ref=sr_1_4?keywords=Bed+head+by+tigi+stick+-+a+hair+stick+for+cool+people+2.7+oz&amp;qid=1695259383&amp;sr=8-4")</f>
        <v>https://www.amazon.com/Control-Non-greasy-Styling-Temporary-SOVONCARE/dp/B0B8S7XFNX/ref=sr_1_4?keywords=Bed+head+by+tigi+stick+-+a+hair+stick+for+cool+people+2.7+oz&amp;qid=1695259383&amp;sr=8-4</v>
      </c>
      <c r="F2350" t="s">
        <v>5890</v>
      </c>
      <c r="G2350" t="e">
        <f ca="1">IMAGE("https://prolisok-store.com/cdn/shop/products/152852_300x.jpg?v=1690899965")</f>
        <v>#NAME?</v>
      </c>
      <c r="H2350" t="e">
        <f ca="1">IMAGE("https://m.media-amazon.com/images/I/71eO7ZmqF1L._AC_UL320_.jpg")</f>
        <v>#NAME?</v>
      </c>
      <c r="I2350" t="s">
        <v>1748</v>
      </c>
      <c r="J2350">
        <v>11.99</v>
      </c>
      <c r="K2350" s="2" t="s">
        <v>5891</v>
      </c>
      <c r="L2350">
        <v>4.3</v>
      </c>
      <c r="M2350">
        <v>181</v>
      </c>
      <c r="O2350" t="s">
        <v>26</v>
      </c>
      <c r="P2350" t="s">
        <v>39</v>
      </c>
      <c r="Q2350" t="s">
        <v>5236</v>
      </c>
    </row>
    <row r="2351" spans="1:17" ht="15.75" x14ac:dyDescent="0.25">
      <c r="A2351" s="3" t="str">
        <f>HYPERLINK("https://prolisok-store.com/collections/hair-care/products/catwalk-by-tigi-fashionista-violet-conditioner-25-36-oz", "https://prolisok-store.com/collections/hair-care/products/catwalk-by-tigi-fashionista-violet-conditioner-25-36-oz")</f>
        <v>https://prolisok-store.com/collections/hair-care/products/catwalk-by-tigi-fashionista-violet-conditioner-25-36-oz</v>
      </c>
      <c r="B2351" s="3" t="str">
        <f>HYPERLINK("https://prolisok-store.com/products/catwalk-by-tigi-fashionista-violet-conditioner-25-36-oz", "https://prolisok-store.com/products/catwalk-by-tigi-fashionista-violet-conditioner-25-36-oz")</f>
        <v>https://prolisok-store.com/products/catwalk-by-tigi-fashionista-violet-conditioner-25-36-oz</v>
      </c>
      <c r="C2351" t="s">
        <v>5854</v>
      </c>
      <c r="D2351" t="s">
        <v>5558</v>
      </c>
      <c r="E2351" s="3" t="str">
        <f>HYPERLINK("https://www.amazon.com/Tigi-Catwalk-Fashionista-Brunette-Conditioner/dp/B07C3Z923R/ref=sr_1_4?keywords=Catwalk+by+tigi+fashionista+violet+conditioner+25.36+oz&amp;qid=1695259382&amp;sr=8-4", "https://www.amazon.com/Tigi-Catwalk-Fashionista-Brunette-Conditioner/dp/B07C3Z923R/ref=sr_1_4?keywords=Catwalk+by+tigi+fashionista+violet+conditioner+25.36+oz&amp;qid=1695259382&amp;sr=8-4")</f>
        <v>https://www.amazon.com/Tigi-Catwalk-Fashionista-Brunette-Conditioner/dp/B07C3Z923R/ref=sr_1_4?keywords=Catwalk+by+tigi+fashionista+violet+conditioner+25.36+oz&amp;qid=1695259382&amp;sr=8-4</v>
      </c>
      <c r="F2351" t="s">
        <v>5559</v>
      </c>
      <c r="G2351" t="e">
        <f ca="1">IMAGE("https://prolisok-store.com/cdn/shop/products/255770_300x.jpg?v=1690900070")</f>
        <v>#NAME?</v>
      </c>
      <c r="H2351" t="e">
        <f ca="1">IMAGE("https://m.media-amazon.com/images/I/51wyZs7rYiL._AC_UL320_.jpg")</f>
        <v>#NAME?</v>
      </c>
      <c r="I2351" t="s">
        <v>5857</v>
      </c>
      <c r="J2351">
        <v>19.12</v>
      </c>
      <c r="K2351" s="2" t="s">
        <v>5892</v>
      </c>
      <c r="L2351">
        <v>5</v>
      </c>
      <c r="M2351">
        <v>7</v>
      </c>
      <c r="O2351" t="s">
        <v>26</v>
      </c>
      <c r="P2351" t="s">
        <v>39</v>
      </c>
      <c r="Q2351" t="s">
        <v>5859</v>
      </c>
    </row>
    <row r="2352" spans="1:17" ht="15.75" x14ac:dyDescent="0.25">
      <c r="A2352" s="3" t="str">
        <f>HYPERLINK("https://prolisok-store.com/collections/hair-care/products/catwalk-by-tigi-fashionista-brunette-mask-for-warm-tones-20-46-oz", "https://prolisok-store.com/collections/hair-care/products/catwalk-by-tigi-fashionista-brunette-mask-for-warm-tones-20-46-oz")</f>
        <v>https://prolisok-store.com/collections/hair-care/products/catwalk-by-tigi-fashionista-brunette-mask-for-warm-tones-20-46-oz</v>
      </c>
      <c r="B2352" s="3" t="str">
        <f>HYPERLINK("https://prolisok-store.com/products/catwalk-by-tigi-fashionista-brunette-mask-for-warm-tones-20-46-oz", "https://prolisok-store.com/products/catwalk-by-tigi-fashionista-brunette-mask-for-warm-tones-20-46-oz")</f>
        <v>https://prolisok-store.com/products/catwalk-by-tigi-fashionista-brunette-mask-for-warm-tones-20-46-oz</v>
      </c>
      <c r="C2352" t="s">
        <v>5893</v>
      </c>
      <c r="D2352" t="s">
        <v>5558</v>
      </c>
      <c r="E2352" s="3" t="str">
        <f>HYPERLINK("https://www.amazon.com/Tigi-Catwalk-Fashionista-Brunette-Conditioner/dp/B07C3Z923R/ref=sr_1_4?keywords=Catwalk+by+tigi+fashionista+brunette+mask+for+warm+tones+20.46+oz&amp;qid=1695259373&amp;sr=8-4", "https://www.amazon.com/Tigi-Catwalk-Fashionista-Brunette-Conditioner/dp/B07C3Z923R/ref=sr_1_4?keywords=Catwalk+by+tigi+fashionista+brunette+mask+for+warm+tones+20.46+oz&amp;qid=1695259373&amp;sr=8-4")</f>
        <v>https://www.amazon.com/Tigi-Catwalk-Fashionista-Brunette-Conditioner/dp/B07C3Z923R/ref=sr_1_4?keywords=Catwalk+by+tigi+fashionista+brunette+mask+for+warm+tones+20.46+oz&amp;qid=1695259373&amp;sr=8-4</v>
      </c>
      <c r="F2352" t="s">
        <v>5559</v>
      </c>
      <c r="G2352" t="e">
        <f ca="1">IMAGE("https://prolisok-store.com/cdn/shop/products/280026_300x.jpg?v=1690900080")</f>
        <v>#NAME?</v>
      </c>
      <c r="H2352" t="e">
        <f ca="1">IMAGE("https://m.media-amazon.com/images/I/51wyZs7rYiL._AC_UL320_.jpg")</f>
        <v>#NAME?</v>
      </c>
      <c r="I2352" t="s">
        <v>5857</v>
      </c>
      <c r="J2352">
        <v>19.12</v>
      </c>
      <c r="K2352" s="2" t="s">
        <v>5892</v>
      </c>
      <c r="L2352">
        <v>5</v>
      </c>
      <c r="M2352">
        <v>7</v>
      </c>
      <c r="O2352" t="s">
        <v>26</v>
      </c>
      <c r="P2352" t="s">
        <v>39</v>
      </c>
      <c r="Q2352" t="s">
        <v>5894</v>
      </c>
    </row>
    <row r="2353" spans="1:17" ht="15.75" x14ac:dyDescent="0.25">
      <c r="A2353" s="3" t="str">
        <f>HYPERLINK("https://prolisok-store.com/collections/hair-care/products/bed-head-by-tigi-dumb-blonde-reconstructor-6-7-oz", "https://prolisok-store.com/collections/hair-care/products/bed-head-by-tigi-dumb-blonde-reconstructor-6-7-oz")</f>
        <v>https://prolisok-store.com/collections/hair-care/products/bed-head-by-tigi-dumb-blonde-reconstructor-6-7-oz</v>
      </c>
      <c r="B2353" s="3" t="str">
        <f>HYPERLINK("https://prolisok-store.com/products/bed-head-by-tigi-dumb-blonde-reconstructor-6-7-oz", "https://prolisok-store.com/products/bed-head-by-tigi-dumb-blonde-reconstructor-6-7-oz")</f>
        <v>https://prolisok-store.com/products/bed-head-by-tigi-dumb-blonde-reconstructor-6-7-oz</v>
      </c>
      <c r="C2353" t="s">
        <v>5423</v>
      </c>
      <c r="D2353" t="s">
        <v>5895</v>
      </c>
      <c r="E2353" s="3" t="str">
        <f>HYPERLINK("https://www.amazon.com/TIGI-Blonde-Reconstructor-Conditioner-Ounce/dp/B001G7POOI/ref=sr_1_8?keywords=Bed+head+by+tigi+dumb+blonde+reconstructor+6.7+oz&amp;qid=1695259391&amp;sr=8-8", "https://www.amazon.com/TIGI-Blonde-Reconstructor-Conditioner-Ounce/dp/B001G7POOI/ref=sr_1_8?keywords=Bed+head+by+tigi+dumb+blonde+reconstructor+6.7+oz&amp;qid=1695259391&amp;sr=8-8")</f>
        <v>https://www.amazon.com/TIGI-Blonde-Reconstructor-Conditioner-Ounce/dp/B001G7POOI/ref=sr_1_8?keywords=Bed+head+by+tigi+dumb+blonde+reconstructor+6.7+oz&amp;qid=1695259391&amp;sr=8-8</v>
      </c>
      <c r="F2353" t="s">
        <v>5896</v>
      </c>
      <c r="G2353" t="e">
        <f ca="1">IMAGE("https://prolisok-store.com/cdn/shop/products/131722_300x.jpg?v=1690899961")</f>
        <v>#NAME?</v>
      </c>
      <c r="H2353" t="e">
        <f ca="1">IMAGE("https://m.media-amazon.com/images/I/514gL-9J7lS._AC_UL320_.jpg")</f>
        <v>#NAME?</v>
      </c>
      <c r="I2353" t="s">
        <v>5426</v>
      </c>
      <c r="J2353">
        <v>8.19</v>
      </c>
      <c r="K2353" s="2" t="s">
        <v>5897</v>
      </c>
      <c r="L2353">
        <v>4.5999999999999996</v>
      </c>
      <c r="M2353">
        <v>67</v>
      </c>
      <c r="O2353" t="s">
        <v>26</v>
      </c>
      <c r="P2353" t="s">
        <v>39</v>
      </c>
      <c r="Q2353" t="s">
        <v>5428</v>
      </c>
    </row>
    <row r="2354" spans="1:17" ht="15.75" x14ac:dyDescent="0.25">
      <c r="A2354" s="3" t="str">
        <f>HYPERLINK("https://prolisok-store.com/collections/hair-care/products/bed-head-by-tigi-recovery-conditioner-32-8-oz", "https://prolisok-store.com/collections/hair-care/products/bed-head-by-tigi-recovery-conditioner-32-8-oz")</f>
        <v>https://prolisok-store.com/collections/hair-care/products/bed-head-by-tigi-recovery-conditioner-32-8-oz</v>
      </c>
      <c r="B2354" s="3" t="str">
        <f>HYPERLINK("https://prolisok-store.com/products/bed-head-by-tigi-recovery-conditioner-32-8-oz", "https://prolisok-store.com/products/bed-head-by-tigi-recovery-conditioner-32-8-oz")</f>
        <v>https://prolisok-store.com/products/bed-head-by-tigi-recovery-conditioner-32-8-oz</v>
      </c>
      <c r="C2354" t="s">
        <v>5700</v>
      </c>
      <c r="D2354" t="s">
        <v>5730</v>
      </c>
      <c r="E2354" s="3" t="str">
        <f>HYPERLINK("https://www.amazon.com/TIGI-Urban-Antidotes-Recovery-Conditioner/dp/B01J6MW94C/ref=sr_1_5?keywords=Bed+head+by+tigi+recovery+conditioner+32.8+oz&amp;qid=1695259384&amp;sr=8-5", "https://www.amazon.com/TIGI-Urban-Antidotes-Recovery-Conditioner/dp/B01J6MW94C/ref=sr_1_5?keywords=Bed+head+by+tigi+recovery+conditioner+32.8+oz&amp;qid=1695259384&amp;sr=8-5")</f>
        <v>https://www.amazon.com/TIGI-Urban-Antidotes-Recovery-Conditioner/dp/B01J6MW94C/ref=sr_1_5?keywords=Bed+head+by+tigi+recovery+conditioner+32.8+oz&amp;qid=1695259384&amp;sr=8-5</v>
      </c>
      <c r="F2354" t="s">
        <v>5731</v>
      </c>
      <c r="G2354" t="e">
        <f ca="1">IMAGE("https://prolisok-store.com/cdn/shop/products/416076_300x.jpg?v=1690900027")</f>
        <v>#NAME?</v>
      </c>
      <c r="H2354" t="e">
        <f ca="1">IMAGE("https://m.media-amazon.com/images/I/71lsCxDzxAL._AC_UL320_.jpg")</f>
        <v>#NAME?</v>
      </c>
      <c r="I2354" t="s">
        <v>5701</v>
      </c>
      <c r="J2354">
        <v>15.17</v>
      </c>
      <c r="K2354" s="2" t="s">
        <v>5898</v>
      </c>
      <c r="L2354">
        <v>4</v>
      </c>
      <c r="M2354">
        <v>3</v>
      </c>
      <c r="O2354" t="s">
        <v>26</v>
      </c>
      <c r="P2354" t="s">
        <v>39</v>
      </c>
      <c r="Q2354" t="s">
        <v>5703</v>
      </c>
    </row>
    <row r="2355" spans="1:17" ht="15.75" x14ac:dyDescent="0.25">
      <c r="A2355" s="3" t="str">
        <f>HYPERLINK("https://prolisok-store.com/collections/hair-care/products/catwalk-by-tigi-fashionista-brunette-mask-for-warm-tones-20-46-oz", "https://prolisok-store.com/collections/hair-care/products/catwalk-by-tigi-fashionista-brunette-mask-for-warm-tones-20-46-oz")</f>
        <v>https://prolisok-store.com/collections/hair-care/products/catwalk-by-tigi-fashionista-brunette-mask-for-warm-tones-20-46-oz</v>
      </c>
      <c r="B2355" s="3" t="str">
        <f>HYPERLINK("https://prolisok-store.com/products/catwalk-by-tigi-fashionista-brunette-mask-for-warm-tones-20-46-oz", "https://prolisok-store.com/products/catwalk-by-tigi-fashionista-brunette-mask-for-warm-tones-20-46-oz")</f>
        <v>https://prolisok-store.com/products/catwalk-by-tigi-fashionista-brunette-mask-for-warm-tones-20-46-oz</v>
      </c>
      <c r="C2355" t="s">
        <v>5893</v>
      </c>
      <c r="D2355" t="s">
        <v>5601</v>
      </c>
      <c r="E2355" s="3" t="str">
        <f>HYPERLINK("https://www.amazon.com/Catwalk-Fashionista-Brunette-Tones-20-46oz/dp/B01JV8OE3A/ref=sr_1_1?keywords=Catwalk+by+tigi+fashionista+brunette+mask+for+warm+tones+20.46+oz&amp;qid=1695259373&amp;sr=8-1", "https://www.amazon.com/Catwalk-Fashionista-Brunette-Tones-20-46oz/dp/B01JV8OE3A/ref=sr_1_1?keywords=Catwalk+by+tigi+fashionista+brunette+mask+for+warm+tones+20.46+oz&amp;qid=1695259373&amp;sr=8-1")</f>
        <v>https://www.amazon.com/Catwalk-Fashionista-Brunette-Tones-20-46oz/dp/B01JV8OE3A/ref=sr_1_1?keywords=Catwalk+by+tigi+fashionista+brunette+mask+for+warm+tones+20.46+oz&amp;qid=1695259373&amp;sr=8-1</v>
      </c>
      <c r="F2355" t="s">
        <v>5602</v>
      </c>
      <c r="G2355" t="e">
        <f ca="1">IMAGE("https://prolisok-store.com/cdn/shop/products/280026_300x.jpg?v=1690900080")</f>
        <v>#NAME?</v>
      </c>
      <c r="H2355" t="e">
        <f ca="1">IMAGE("https://m.media-amazon.com/images/I/41DtbY5OzBL._AC_UL320_.jpg")</f>
        <v>#NAME?</v>
      </c>
      <c r="I2355" t="s">
        <v>5857</v>
      </c>
      <c r="J2355">
        <v>18</v>
      </c>
      <c r="K2355" s="2" t="s">
        <v>5899</v>
      </c>
      <c r="L2355">
        <v>5</v>
      </c>
      <c r="M2355">
        <v>2</v>
      </c>
      <c r="O2355" t="s">
        <v>26</v>
      </c>
      <c r="P2355" t="s">
        <v>39</v>
      </c>
      <c r="Q2355" t="s">
        <v>5894</v>
      </c>
    </row>
    <row r="2356" spans="1:17" ht="15.75" x14ac:dyDescent="0.25">
      <c r="A2356" s="3" t="str">
        <f>HYPERLINK("https://prolisok-store.com/collections/hair-care/products/bed-head-by-tigi-colour-goddess-oil-infused-shampoo-for-coloured-hair-32-8-oz", "https://prolisok-store.com/collections/hair-care/products/bed-head-by-tigi-colour-goddess-oil-infused-shampoo-for-coloured-hair-32-8-oz")</f>
        <v>https://prolisok-store.com/collections/hair-care/products/bed-head-by-tigi-colour-goddess-oil-infused-shampoo-for-coloured-hair-32-8-oz</v>
      </c>
      <c r="B2356" s="3" t="str">
        <f>HYPERLINK("https://prolisok-store.com/products/bed-head-by-tigi-colour-goddess-oil-infused-shampoo-for-coloured-hair-32-8-oz", "https://prolisok-store.com/products/bed-head-by-tigi-colour-goddess-oil-infused-shampoo-for-coloured-hair-32-8-oz")</f>
        <v>https://prolisok-store.com/products/bed-head-by-tigi-colour-goddess-oil-infused-shampoo-for-coloured-hair-32-8-oz</v>
      </c>
      <c r="C2356" t="s">
        <v>5511</v>
      </c>
      <c r="D2356" t="s">
        <v>5615</v>
      </c>
      <c r="E2356" s="3" t="str">
        <f>HYPERLINK("https://www.amazon.com/Colour-Goddess-Infused-Shampoo-Coloured/dp/B01D0SIGUO/ref=sr_1_2?keywords=Bed+head+by+tigi+colour+goddess+oil+infused+shampoo+for+coloured+hair+32.8+oz&amp;qid=1695259395&amp;sr=8-2", "https://www.amazon.com/Colour-Goddess-Infused-Shampoo-Coloured/dp/B01D0SIGUO/ref=sr_1_2?keywords=Bed+head+by+tigi+colour+goddess+oil+infused+shampoo+for+coloured+hair+32.8+oz&amp;qid=1695259395&amp;sr=8-2")</f>
        <v>https://www.amazon.com/Colour-Goddess-Infused-Shampoo-Coloured/dp/B01D0SIGUO/ref=sr_1_2?keywords=Bed+head+by+tigi+colour+goddess+oil+infused+shampoo+for+coloured+hair+32.8+oz&amp;qid=1695259395&amp;sr=8-2</v>
      </c>
      <c r="F2356" t="s">
        <v>5616</v>
      </c>
      <c r="G2356" t="e">
        <f ca="1">IMAGE("https://prolisok-store.com/cdn/shop/products/416047_300x.jpg?v=1690900000")</f>
        <v>#NAME?</v>
      </c>
      <c r="H2356" t="e">
        <f ca="1">IMAGE("https://m.media-amazon.com/images/I/31JPCRXMKOL._AC_UL320_.jpg")</f>
        <v>#NAME?</v>
      </c>
      <c r="I2356" t="s">
        <v>5484</v>
      </c>
      <c r="J2356">
        <v>13.95</v>
      </c>
      <c r="K2356" s="2" t="s">
        <v>5900</v>
      </c>
      <c r="L2356">
        <v>5</v>
      </c>
      <c r="M2356">
        <v>3</v>
      </c>
      <c r="O2356" t="s">
        <v>26</v>
      </c>
      <c r="P2356" t="s">
        <v>39</v>
      </c>
      <c r="Q2356" t="s">
        <v>5513</v>
      </c>
    </row>
    <row r="2357" spans="1:17" ht="15.75" x14ac:dyDescent="0.25">
      <c r="A2357" s="3" t="str">
        <f>HYPERLINK("https://prolisok-store.com/collections/hair-care/products/bed-head-by-tigi-manipulator-matte-2-oz", "https://prolisok-store.com/collections/hair-care/products/bed-head-by-tigi-manipulator-matte-2-oz")</f>
        <v>https://prolisok-store.com/collections/hair-care/products/bed-head-by-tigi-manipulator-matte-2-oz</v>
      </c>
      <c r="B2357" s="3" t="str">
        <f>HYPERLINK("https://prolisok-store.com/products/bed-head-by-tigi-manipulator-matte-2-oz", "https://prolisok-store.com/products/bed-head-by-tigi-manipulator-matte-2-oz")</f>
        <v>https://prolisok-store.com/products/bed-head-by-tigi-manipulator-matte-2-oz</v>
      </c>
      <c r="C2357" t="s">
        <v>5152</v>
      </c>
      <c r="D2357" t="s">
        <v>5581</v>
      </c>
      <c r="E2357" s="3" t="str">
        <f>HYPERLINK("https://www.amazon.com/TIGI-Manipulator-Matte-Paste-Strong/dp/B08R4Z9H3Y/ref=sr_1_1?keywords=Bed+head+by+tigi+manipulator+matte+2+oz&amp;qid=1695259373&amp;sr=8-1", "https://www.amazon.com/TIGI-Manipulator-Matte-Paste-Strong/dp/B08R4Z9H3Y/ref=sr_1_1?keywords=Bed+head+by+tigi+manipulator+matte+2+oz&amp;qid=1695259373&amp;sr=8-1")</f>
        <v>https://www.amazon.com/TIGI-Manipulator-Matte-Paste-Strong/dp/B08R4Z9H3Y/ref=sr_1_1?keywords=Bed+head+by+tigi+manipulator+matte+2+oz&amp;qid=1695259373&amp;sr=8-1</v>
      </c>
      <c r="F2357" t="s">
        <v>5582</v>
      </c>
      <c r="G2357" t="e">
        <f ca="1">IMAGE("https://prolisok-store.com/cdn/shop/products/280792_300x.jpg?v=1690899952")</f>
        <v>#NAME?</v>
      </c>
      <c r="H2357" t="e">
        <f ca="1">IMAGE("https://m.media-amazon.com/images/I/71xqtw2xFbL._AC_UL320_.jpg")</f>
        <v>#NAME?</v>
      </c>
      <c r="I2357" t="s">
        <v>5135</v>
      </c>
      <c r="J2357">
        <v>9.59</v>
      </c>
      <c r="K2357" s="2" t="s">
        <v>5901</v>
      </c>
      <c r="L2357">
        <v>4.5</v>
      </c>
      <c r="M2357">
        <v>895</v>
      </c>
      <c r="O2357" t="s">
        <v>26</v>
      </c>
      <c r="P2357" t="s">
        <v>39</v>
      </c>
      <c r="Q2357" t="s">
        <v>5156</v>
      </c>
    </row>
    <row r="2358" spans="1:17" ht="15.75" x14ac:dyDescent="0.25">
      <c r="A2358" s="3" t="str">
        <f>HYPERLINK("https://prolisok-store.com/collections/hair-care/products/bed-head-by-tigi-recovery-shampoo-32-8-oz", "https://prolisok-store.com/collections/hair-care/products/bed-head-by-tigi-recovery-shampoo-32-8-oz")</f>
        <v>https://prolisok-store.com/collections/hair-care/products/bed-head-by-tigi-recovery-shampoo-32-8-oz</v>
      </c>
      <c r="B2358" s="3" t="str">
        <f>HYPERLINK("https://prolisok-store.com/products/bed-head-by-tigi-recovery-shampoo-32-8-oz", "https://prolisok-store.com/products/bed-head-by-tigi-recovery-shampoo-32-8-oz")</f>
        <v>https://prolisok-store.com/products/bed-head-by-tigi-recovery-shampoo-32-8-oz</v>
      </c>
      <c r="C2358" t="s">
        <v>5652</v>
      </c>
      <c r="D2358" t="s">
        <v>5327</v>
      </c>
      <c r="E2358" s="3" t="str">
        <f>HYPERLINK("https://www.amazon.com/TIGI-RECOVERY-MOISTURIZING-SHAMPOO-20-29/dp/B08XJNMX5T/ref=sr_1_2?keywords=Bed+head+by+tigi+recovery+shampoo+32.8+oz&amp;qid=1695259369&amp;sr=8-2", "https://www.amazon.com/TIGI-RECOVERY-MOISTURIZING-SHAMPOO-20-29/dp/B08XJNMX5T/ref=sr_1_2?keywords=Bed+head+by+tigi+recovery+shampoo+32.8+oz&amp;qid=1695259369&amp;sr=8-2")</f>
        <v>https://www.amazon.com/TIGI-RECOVERY-MOISTURIZING-SHAMPOO-20-29/dp/B08XJNMX5T/ref=sr_1_2?keywords=Bed+head+by+tigi+recovery+shampoo+32.8+oz&amp;qid=1695259369&amp;sr=8-2</v>
      </c>
      <c r="F2358" t="s">
        <v>5328</v>
      </c>
      <c r="G2358" t="e">
        <f ca="1">IMAGE("https://prolisok-store.com/cdn/shop/products/416078_300x.jpg?v=1690900031")</f>
        <v>#NAME?</v>
      </c>
      <c r="H2358" t="e">
        <f ca="1">IMAGE("https://m.media-amazon.com/images/I/61+SBMFvDxL._AC_UL320_.jpg")</f>
        <v>#NAME?</v>
      </c>
      <c r="I2358" t="s">
        <v>5484</v>
      </c>
      <c r="J2358">
        <v>13.85</v>
      </c>
      <c r="K2358" s="2" t="s">
        <v>5902</v>
      </c>
      <c r="L2358">
        <v>4.5</v>
      </c>
      <c r="M2358">
        <v>415</v>
      </c>
      <c r="O2358" t="s">
        <v>26</v>
      </c>
      <c r="P2358" t="s">
        <v>39</v>
      </c>
      <c r="Q2358" t="s">
        <v>5654</v>
      </c>
    </row>
    <row r="2359" spans="1:17" ht="15.75" x14ac:dyDescent="0.25">
      <c r="A2359" s="3" t="str">
        <f>HYPERLINK("https://prolisok-store.com/collections/hair-care/products/bed-head-by-tigi-manipulator-2-oz", "https://prolisok-store.com/collections/hair-care/products/bed-head-by-tigi-manipulator-2-oz")</f>
        <v>https://prolisok-store.com/collections/hair-care/products/bed-head-by-tigi-manipulator-2-oz</v>
      </c>
      <c r="B2359" s="3" t="str">
        <f>HYPERLINK("https://prolisok-store.com/products/bed-head-by-tigi-manipulator-2-oz", "https://prolisok-store.com/products/bed-head-by-tigi-manipulator-2-oz")</f>
        <v>https://prolisok-store.com/products/bed-head-by-tigi-manipulator-2-oz</v>
      </c>
      <c r="C2359" t="s">
        <v>5132</v>
      </c>
      <c r="D2359" t="s">
        <v>5592</v>
      </c>
      <c r="E2359" s="3" t="str">
        <f>HYPERLINK("https://www.amazon.com/TIGI-Head-Manipulator-Matte-Unisex/dp/B00MI2SVJK/ref=sr_1_4?keywords=Bed+head+by+tigi+manipulator+2+oz&amp;qid=1695259393&amp;sr=8-4", "https://www.amazon.com/TIGI-Head-Manipulator-Matte-Unisex/dp/B00MI2SVJK/ref=sr_1_4?keywords=Bed+head+by+tigi+manipulator+2+oz&amp;qid=1695259393&amp;sr=8-4")</f>
        <v>https://www.amazon.com/TIGI-Head-Manipulator-Matte-Unisex/dp/B00MI2SVJK/ref=sr_1_4?keywords=Bed+head+by+tigi+manipulator+2+oz&amp;qid=1695259393&amp;sr=8-4</v>
      </c>
      <c r="F2359" t="s">
        <v>5593</v>
      </c>
      <c r="G2359" t="e">
        <f ca="1">IMAGE("https://prolisok-store.com/cdn/shop/products/131719_300x.jpg?v=1690899959")</f>
        <v>#NAME?</v>
      </c>
      <c r="H2359" t="e">
        <f ca="1">IMAGE("https://m.media-amazon.com/images/I/71JDOuB6w9L._AC_UL320_.jpg")</f>
        <v>#NAME?</v>
      </c>
      <c r="I2359" t="s">
        <v>5135</v>
      </c>
      <c r="J2359">
        <v>9.5</v>
      </c>
      <c r="K2359" s="2" t="s">
        <v>5903</v>
      </c>
      <c r="L2359">
        <v>4.4000000000000004</v>
      </c>
      <c r="M2359">
        <v>1935</v>
      </c>
      <c r="O2359" t="s">
        <v>26</v>
      </c>
      <c r="P2359" t="s">
        <v>39</v>
      </c>
      <c r="Q2359" t="s">
        <v>5137</v>
      </c>
    </row>
    <row r="2360" spans="1:17" ht="15.75" x14ac:dyDescent="0.25">
      <c r="A2360" s="3" t="str">
        <f>HYPERLINK("https://prolisok-store.com/collections/hair-care/products/bed-head-by-tigi-manipulator-matte-2-oz", "https://prolisok-store.com/collections/hair-care/products/bed-head-by-tigi-manipulator-matte-2-oz")</f>
        <v>https://prolisok-store.com/collections/hair-care/products/bed-head-by-tigi-manipulator-matte-2-oz</v>
      </c>
      <c r="B2360" s="3" t="str">
        <f>HYPERLINK("https://prolisok-store.com/products/bed-head-by-tigi-manipulator-matte-2-oz", "https://prolisok-store.com/products/bed-head-by-tigi-manipulator-matte-2-oz")</f>
        <v>https://prolisok-store.com/products/bed-head-by-tigi-manipulator-matte-2-oz</v>
      </c>
      <c r="C2360" t="s">
        <v>5152</v>
      </c>
      <c r="D2360" t="s">
        <v>5592</v>
      </c>
      <c r="E2360" s="3" t="str">
        <f>HYPERLINK("https://www.amazon.com/TIGI-Head-Manipulator-Matte-Unisex/dp/B00MI2SVJK/ref=sr_1_2?keywords=Bed+head+by+tigi+manipulator+matte+2+oz&amp;qid=1695259373&amp;sr=8-2", "https://www.amazon.com/TIGI-Head-Manipulator-Matte-Unisex/dp/B00MI2SVJK/ref=sr_1_2?keywords=Bed+head+by+tigi+manipulator+matte+2+oz&amp;qid=1695259373&amp;sr=8-2")</f>
        <v>https://www.amazon.com/TIGI-Head-Manipulator-Matte-Unisex/dp/B00MI2SVJK/ref=sr_1_2?keywords=Bed+head+by+tigi+manipulator+matte+2+oz&amp;qid=1695259373&amp;sr=8-2</v>
      </c>
      <c r="F2360" t="s">
        <v>5593</v>
      </c>
      <c r="G2360" t="e">
        <f ca="1">IMAGE("https://prolisok-store.com/cdn/shop/products/280792_300x.jpg?v=1690899952")</f>
        <v>#NAME?</v>
      </c>
      <c r="H2360" t="e">
        <f ca="1">IMAGE("https://m.media-amazon.com/images/I/71JDOuB6w9L._AC_UL320_.jpg")</f>
        <v>#NAME?</v>
      </c>
      <c r="I2360" t="s">
        <v>5135</v>
      </c>
      <c r="J2360">
        <v>9.5</v>
      </c>
      <c r="K2360" s="2" t="s">
        <v>5903</v>
      </c>
      <c r="L2360">
        <v>4.4000000000000004</v>
      </c>
      <c r="M2360">
        <v>1935</v>
      </c>
      <c r="O2360" t="s">
        <v>26</v>
      </c>
      <c r="P2360" t="s">
        <v>39</v>
      </c>
      <c r="Q2360" t="s">
        <v>5156</v>
      </c>
    </row>
    <row r="2361" spans="1:17" ht="15.75" x14ac:dyDescent="0.25">
      <c r="A2361" s="3" t="str">
        <f>HYPERLINK("https://prolisok-store.com/collections/hair-care/products/catwalk-by-tigi-fashionista-brunette-mask-for-warm-tones-7-05-oz", "https://prolisok-store.com/collections/hair-care/products/catwalk-by-tigi-fashionista-brunette-mask-for-warm-tones-7-05-oz")</f>
        <v>https://prolisok-store.com/collections/hair-care/products/catwalk-by-tigi-fashionista-brunette-mask-for-warm-tones-7-05-oz</v>
      </c>
      <c r="B2361" s="3" t="str">
        <f>HYPERLINK("https://prolisok-store.com/products/catwalk-by-tigi-fashionista-brunette-mask-for-warm-tones-7-05-oz", "https://prolisok-store.com/products/catwalk-by-tigi-fashionista-brunette-mask-for-warm-tones-7-05-oz")</f>
        <v>https://prolisok-store.com/products/catwalk-by-tigi-fashionista-brunette-mask-for-warm-tones-7-05-oz</v>
      </c>
      <c r="C2361" t="s">
        <v>5557</v>
      </c>
      <c r="D2361" t="s">
        <v>5904</v>
      </c>
      <c r="E2361" s="3" t="str">
        <f>HYPERLINK("https://www.amazon.com/TIGI-Catwalk-Fashionista-Brunette-Tones/dp/B00N555Z5W/ref=sr_1_1?keywords=Catwalk+by+tigi+fashionista+brunette+mask+for+warm+tones+7.05+oz&amp;qid=1695259399&amp;sr=8-1", "https://www.amazon.com/TIGI-Catwalk-Fashionista-Brunette-Tones/dp/B00N555Z5W/ref=sr_1_1?keywords=Catwalk+by+tigi+fashionista+brunette+mask+for+warm+tones+7.05+oz&amp;qid=1695259399&amp;sr=8-1")</f>
        <v>https://www.amazon.com/TIGI-Catwalk-Fashionista-Brunette-Tones/dp/B00N555Z5W/ref=sr_1_1?keywords=Catwalk+by+tigi+fashionista+brunette+mask+for+warm+tones+7.05+oz&amp;qid=1695259399&amp;sr=8-1</v>
      </c>
      <c r="F2361" t="s">
        <v>5905</v>
      </c>
      <c r="G2361" t="e">
        <f ca="1">IMAGE("https://prolisok-store.com/cdn/shop/products/280025_300x.jpg?v=1690900078")</f>
        <v>#NAME?</v>
      </c>
      <c r="H2361" t="e">
        <f ca="1">IMAGE("https://m.media-amazon.com/images/I/41d0LyvItWL._AC_UL320_.jpg")</f>
        <v>#NAME?</v>
      </c>
      <c r="I2361" t="s">
        <v>5124</v>
      </c>
      <c r="J2361">
        <v>9</v>
      </c>
      <c r="K2361" s="2" t="s">
        <v>5906</v>
      </c>
      <c r="L2361">
        <v>4.0999999999999996</v>
      </c>
      <c r="M2361">
        <v>36</v>
      </c>
      <c r="O2361" t="s">
        <v>26</v>
      </c>
      <c r="P2361" t="s">
        <v>39</v>
      </c>
      <c r="Q2361" t="s">
        <v>5561</v>
      </c>
    </row>
    <row r="2362" spans="1:17" ht="15.75" x14ac:dyDescent="0.25">
      <c r="A2362" s="3" t="str">
        <f>HYPERLINK("https://prolisok-store.com/collections/hair-care/products/bed-head-by-tigi-resurrection-shampoo-32-8-oz", "https://prolisok-store.com/collections/hair-care/products/bed-head-by-tigi-resurrection-shampoo-32-8-oz")</f>
        <v>https://prolisok-store.com/collections/hair-care/products/bed-head-by-tigi-resurrection-shampoo-32-8-oz</v>
      </c>
      <c r="B2362" s="3" t="str">
        <f>HYPERLINK("https://prolisok-store.com/products/bed-head-by-tigi-resurrection-shampoo-32-8-oz", "https://prolisok-store.com/products/bed-head-by-tigi-resurrection-shampoo-32-8-oz")</f>
        <v>https://prolisok-store.com/products/bed-head-by-tigi-resurrection-shampoo-32-8-oz</v>
      </c>
      <c r="C2362" t="s">
        <v>5483</v>
      </c>
      <c r="D2362" t="s">
        <v>5341</v>
      </c>
      <c r="E2362" s="3" t="str">
        <f>HYPERLINK("https://www.amazon.com/TIGI-RESURRECTION-REPAIR-SHAMPOO-DAMAGED/dp/B093FWKM1H/ref=sr_1_5?keywords=Bed+head+by+tigi+resurrection+shampoo+32.8+oz&amp;qid=1695259397&amp;sr=8-5", "https://www.amazon.com/TIGI-RESURRECTION-REPAIR-SHAMPOO-DAMAGED/dp/B093FWKM1H/ref=sr_1_5?keywords=Bed+head+by+tigi+resurrection+shampoo+32.8+oz&amp;qid=1695259397&amp;sr=8-5")</f>
        <v>https://www.amazon.com/TIGI-RESURRECTION-REPAIR-SHAMPOO-DAMAGED/dp/B093FWKM1H/ref=sr_1_5?keywords=Bed+head+by+tigi+resurrection+shampoo+32.8+oz&amp;qid=1695259397&amp;sr=8-5</v>
      </c>
      <c r="F2362" t="s">
        <v>5342</v>
      </c>
      <c r="G2362" t="e">
        <f ca="1">IMAGE("https://prolisok-store.com/cdn/shop/products/416082_300x.jpg?v=1690900037")</f>
        <v>#NAME?</v>
      </c>
      <c r="H2362" t="e">
        <f ca="1">IMAGE("https://m.media-amazon.com/images/I/51zDpUD1p+L._AC_UL320_.jpg")</f>
        <v>#NAME?</v>
      </c>
      <c r="I2362" t="s">
        <v>5484</v>
      </c>
      <c r="J2362">
        <v>13.58</v>
      </c>
      <c r="K2362" s="2" t="s">
        <v>5907</v>
      </c>
      <c r="L2362">
        <v>4.5</v>
      </c>
      <c r="M2362">
        <v>415</v>
      </c>
      <c r="O2362" t="s">
        <v>26</v>
      </c>
      <c r="P2362" t="s">
        <v>39</v>
      </c>
      <c r="Q2362" t="s">
        <v>5486</v>
      </c>
    </row>
    <row r="2363" spans="1:17" ht="15.75" x14ac:dyDescent="0.25">
      <c r="A2363" s="3" t="str">
        <f>HYPERLINK("https://prolisok-store.com/collections/hair-care/products/bed-head-by-tigi-resurrection-shampoo-13-53-oz", "https://prolisok-store.com/collections/hair-care/products/bed-head-by-tigi-resurrection-shampoo-13-53-oz")</f>
        <v>https://prolisok-store.com/collections/hair-care/products/bed-head-by-tigi-resurrection-shampoo-13-53-oz</v>
      </c>
      <c r="B2363" s="3" t="str">
        <f>HYPERLINK("https://prolisok-store.com/products/bed-head-by-tigi-resurrection-shampoo-13-53-oz", "https://prolisok-store.com/products/bed-head-by-tigi-resurrection-shampoo-13-53-oz")</f>
        <v>https://prolisok-store.com/products/bed-head-by-tigi-resurrection-shampoo-13-53-oz</v>
      </c>
      <c r="C2363" t="s">
        <v>5240</v>
      </c>
      <c r="D2363" t="s">
        <v>5673</v>
      </c>
      <c r="E2363" s="3" t="str">
        <f>HYPERLINK("https://www.amazon.com/TIGI-Resurrection-Repair-Shampoo-Damaged/dp/B08R4ZR4F1/ref=sr_1_3?keywords=Bed+head+by+tigi+resurrection+shampoo+13.53+oz&amp;qid=1695259387&amp;sr=8-3", "https://www.amazon.com/TIGI-Resurrection-Repair-Shampoo-Damaged/dp/B08R4ZR4F1/ref=sr_1_3?keywords=Bed+head+by+tigi+resurrection+shampoo+13.53+oz&amp;qid=1695259387&amp;sr=8-3")</f>
        <v>https://www.amazon.com/TIGI-Resurrection-Repair-Shampoo-Damaged/dp/B08R4ZR4F1/ref=sr_1_3?keywords=Bed+head+by+tigi+resurrection+shampoo+13.53+oz&amp;qid=1695259387&amp;sr=8-3</v>
      </c>
      <c r="F2363" t="s">
        <v>5674</v>
      </c>
      <c r="G2363" t="e">
        <f ca="1">IMAGE("https://prolisok-store.com/cdn/shop/products/416081_300x.jpg?v=1690900035")</f>
        <v>#NAME?</v>
      </c>
      <c r="H2363" t="e">
        <f ca="1">IMAGE("https://m.media-amazon.com/images/I/61piZqFD1JL._AC_UL320_.jpg")</f>
        <v>#NAME?</v>
      </c>
      <c r="I2363" t="s">
        <v>5103</v>
      </c>
      <c r="J2363">
        <v>6.99</v>
      </c>
      <c r="K2363" s="2" t="s">
        <v>5908</v>
      </c>
      <c r="L2363">
        <v>4.3</v>
      </c>
      <c r="M2363">
        <v>77</v>
      </c>
      <c r="O2363" t="s">
        <v>26</v>
      </c>
      <c r="P2363" t="s">
        <v>39</v>
      </c>
      <c r="Q2363" t="s">
        <v>5242</v>
      </c>
    </row>
    <row r="2364" spans="1:17" ht="15.75" x14ac:dyDescent="0.25">
      <c r="A2364" s="3" t="str">
        <f>HYPERLINK("https://prolisok-store.com/collections/hair-care/products/bed-head-by-tigi-recharge-conditioner-6-76-oz", "https://prolisok-store.com/collections/hair-care/products/bed-head-by-tigi-recharge-conditioner-6-76-oz")</f>
        <v>https://prolisok-store.com/collections/hair-care/products/bed-head-by-tigi-recharge-conditioner-6-76-oz</v>
      </c>
      <c r="B2364" s="3" t="str">
        <f>HYPERLINK("https://prolisok-store.com/products/bed-head-by-tigi-recharge-conditioner-6-76-oz", "https://prolisok-store.com/products/bed-head-by-tigi-recharge-conditioner-6-76-oz")</f>
        <v>https://prolisok-store.com/products/bed-head-by-tigi-recharge-conditioner-6-76-oz</v>
      </c>
      <c r="C2364" t="s">
        <v>5388</v>
      </c>
      <c r="D2364" t="s">
        <v>5909</v>
      </c>
      <c r="E2364" s="3" t="str">
        <f>HYPERLINK("https://www.amazon.com/HEAD-Tigi-SUPERFUEL-RECHARGE-CONDITIONER/dp/B00EHKXWSG/ref=sr_1_1?keywords=Bed+head+by+tigi+recharge+conditioner+6.76+oz&amp;qid=1695259375&amp;sr=8-1", "https://www.amazon.com/HEAD-Tigi-SUPERFUEL-RECHARGE-CONDITIONER/dp/B00EHKXWSG/ref=sr_1_1?keywords=Bed+head+by+tigi+recharge+conditioner+6.76+oz&amp;qid=1695259375&amp;sr=8-1")</f>
        <v>https://www.amazon.com/HEAD-Tigi-SUPERFUEL-RECHARGE-CONDITIONER/dp/B00EHKXWSG/ref=sr_1_1?keywords=Bed+head+by+tigi+recharge+conditioner+6.76+oz&amp;qid=1695259375&amp;sr=8-1</v>
      </c>
      <c r="F2364" t="s">
        <v>5910</v>
      </c>
      <c r="G2364" t="e">
        <f ca="1">IMAGE("https://prolisok-store.com/cdn/shop/products/244405_300x.jpg?v=1690899930")</f>
        <v>#NAME?</v>
      </c>
      <c r="H2364" t="e">
        <f ca="1">IMAGE("https://m.media-amazon.com/images/I/71mKNXb2+zL._AC_UL320_.jpg")</f>
        <v>#NAME?</v>
      </c>
      <c r="I2364" t="s">
        <v>5321</v>
      </c>
      <c r="J2364">
        <v>6.74</v>
      </c>
      <c r="K2364" s="2" t="s">
        <v>5911</v>
      </c>
      <c r="L2364">
        <v>4.7</v>
      </c>
      <c r="M2364">
        <v>6</v>
      </c>
      <c r="O2364" t="s">
        <v>26</v>
      </c>
      <c r="P2364" t="s">
        <v>39</v>
      </c>
      <c r="Q2364" t="s">
        <v>5392</v>
      </c>
    </row>
    <row r="2365" spans="1:17" ht="15.75" x14ac:dyDescent="0.25">
      <c r="A2365" s="3" t="str">
        <f>HYPERLINK("https://prolisok-store.com/collections/hair-care/products/bed-head-by-tigi-elasticate-conditioner-6-76-oz", "https://prolisok-store.com/collections/hair-care/products/bed-head-by-tigi-elasticate-conditioner-6-76-oz")</f>
        <v>https://prolisok-store.com/collections/hair-care/products/bed-head-by-tigi-elasticate-conditioner-6-76-oz</v>
      </c>
      <c r="B2365" s="3" t="str">
        <f>HYPERLINK("https://prolisok-store.com/products/bed-head-by-tigi-elasticate-conditioner-6-76-oz", "https://prolisok-store.com/products/bed-head-by-tigi-elasticate-conditioner-6-76-oz")</f>
        <v>https://prolisok-store.com/products/bed-head-by-tigi-elasticate-conditioner-6-76-oz</v>
      </c>
      <c r="C2365" t="s">
        <v>5364</v>
      </c>
      <c r="D2365" t="s">
        <v>5909</v>
      </c>
      <c r="E2365" s="3" t="str">
        <f>HYPERLINK("https://www.amazon.com/HEAD-Tigi-SUPERFUEL-RECHARGE-CONDITIONER/dp/B00EHKXWSG/ref=sr_1_7?keywords=Bed+head+by+tigi+elasticate+conditioner+6.76+oz&amp;qid=1695259377&amp;sr=8-7", "https://www.amazon.com/HEAD-Tigi-SUPERFUEL-RECHARGE-CONDITIONER/dp/B00EHKXWSG/ref=sr_1_7?keywords=Bed+head+by+tigi+elasticate+conditioner+6.76+oz&amp;qid=1695259377&amp;sr=8-7")</f>
        <v>https://www.amazon.com/HEAD-Tigi-SUPERFUEL-RECHARGE-CONDITIONER/dp/B00EHKXWSG/ref=sr_1_7?keywords=Bed+head+by+tigi+elasticate+conditioner+6.76+oz&amp;qid=1695259377&amp;sr=8-7</v>
      </c>
      <c r="F2365" t="s">
        <v>5910</v>
      </c>
      <c r="G2365" t="e">
        <f ca="1">IMAGE("https://prolisok-store.com/cdn/shop/products/244401_300x.jpg?v=1690899928")</f>
        <v>#NAME?</v>
      </c>
      <c r="H2365" t="e">
        <f ca="1">IMAGE("https://m.media-amazon.com/images/I/71mKNXb2+zL._AC_UL320_.jpg")</f>
        <v>#NAME?</v>
      </c>
      <c r="I2365" t="s">
        <v>5321</v>
      </c>
      <c r="J2365">
        <v>6.74</v>
      </c>
      <c r="K2365" s="2" t="s">
        <v>5911</v>
      </c>
      <c r="L2365">
        <v>4.7</v>
      </c>
      <c r="M2365">
        <v>6</v>
      </c>
      <c r="O2365" t="s">
        <v>26</v>
      </c>
      <c r="P2365" t="s">
        <v>39</v>
      </c>
      <c r="Q2365" t="s">
        <v>5368</v>
      </c>
    </row>
    <row r="2366" spans="1:17" ht="15.75" x14ac:dyDescent="0.25">
      <c r="A2366" s="3" t="str">
        <f>HYPERLINK("https://prolisok-store.com/collections/hair-care/products/bed-head-by-tigi-recovery-conditioner-32-8-oz", "https://prolisok-store.com/collections/hair-care/products/bed-head-by-tigi-recovery-conditioner-32-8-oz")</f>
        <v>https://prolisok-store.com/collections/hair-care/products/bed-head-by-tigi-recovery-conditioner-32-8-oz</v>
      </c>
      <c r="B2366" s="3" t="str">
        <f>HYPERLINK("https://prolisok-store.com/products/bed-head-by-tigi-recovery-conditioner-32-8-oz", "https://prolisok-store.com/products/bed-head-by-tigi-recovery-conditioner-32-8-oz")</f>
        <v>https://prolisok-store.com/products/bed-head-by-tigi-recovery-conditioner-32-8-oz</v>
      </c>
      <c r="C2366" t="s">
        <v>5700</v>
      </c>
      <c r="D2366" t="s">
        <v>5912</v>
      </c>
      <c r="E2366" s="3" t="str">
        <f>HYPERLINK("https://www.amazon.com/TIGI-RECOVERYTM-MOISTURIZING-CONDITIONER-20-29/dp/B08XVYT9T5/ref=sr_1_6?keywords=Bed+head+by+tigi+recovery+conditioner+32.8+oz&amp;qid=1695259384&amp;sr=8-6", "https://www.amazon.com/TIGI-RECOVERYTM-MOISTURIZING-CONDITIONER-20-29/dp/B08XVYT9T5/ref=sr_1_6?keywords=Bed+head+by+tigi+recovery+conditioner+32.8+oz&amp;qid=1695259384&amp;sr=8-6")</f>
        <v>https://www.amazon.com/TIGI-RECOVERYTM-MOISTURIZING-CONDITIONER-20-29/dp/B08XVYT9T5/ref=sr_1_6?keywords=Bed+head+by+tigi+recovery+conditioner+32.8+oz&amp;qid=1695259384&amp;sr=8-6</v>
      </c>
      <c r="F2366" t="s">
        <v>5913</v>
      </c>
      <c r="G2366" t="e">
        <f ca="1">IMAGE("https://prolisok-store.com/cdn/shop/products/416076_300x.jpg?v=1690900027")</f>
        <v>#NAME?</v>
      </c>
      <c r="H2366" t="e">
        <f ca="1">IMAGE("https://m.media-amazon.com/images/I/619WVhdVGWL._AC_UL320_.jpg")</f>
        <v>#NAME?</v>
      </c>
      <c r="I2366" t="s">
        <v>5701</v>
      </c>
      <c r="J2366">
        <v>13.97</v>
      </c>
      <c r="K2366" s="2" t="s">
        <v>5914</v>
      </c>
      <c r="L2366">
        <v>4.7</v>
      </c>
      <c r="M2366">
        <v>406</v>
      </c>
      <c r="O2366" t="s">
        <v>26</v>
      </c>
      <c r="P2366" t="s">
        <v>39</v>
      </c>
      <c r="Q2366" t="s">
        <v>5703</v>
      </c>
    </row>
    <row r="2367" spans="1:17" ht="15.75" x14ac:dyDescent="0.25">
      <c r="A2367" s="3" t="str">
        <f>HYPERLINK("https://prolisok-store.com/collections/hair-care/products/catwalk-by-tigi-session-series-finishing-hair-spray-9-2-oz", "https://prolisok-store.com/collections/hair-care/products/catwalk-by-tigi-session-series-finishing-hair-spray-9-2-oz")</f>
        <v>https://prolisok-store.com/collections/hair-care/products/catwalk-by-tigi-session-series-finishing-hair-spray-9-2-oz</v>
      </c>
      <c r="B2367" s="3" t="str">
        <f>HYPERLINK("https://prolisok-store.com/products/catwalk-by-tigi-session-series-finishing-hair-spray-9-2-oz", "https://prolisok-store.com/products/catwalk-by-tigi-session-series-finishing-hair-spray-9-2-oz")</f>
        <v>https://prolisok-store.com/products/catwalk-by-tigi-session-series-finishing-hair-spray-9-2-oz</v>
      </c>
      <c r="C2367" t="s">
        <v>5330</v>
      </c>
      <c r="D2367" t="s">
        <v>5915</v>
      </c>
      <c r="E2367" s="3" t="str">
        <f>HYPERLINK("https://www.amazon.com/Catwalk-TIGI-Finishing-Hairspray-8-3/dp/B00KJSAFKI/ref=sr_1_10?keywords=Catwalk+by+tigi+session+series+finishing+hair+spray+9.2+oz&amp;qid=1695259401&amp;sr=8-10", "https://www.amazon.com/Catwalk-TIGI-Finishing-Hairspray-8-3/dp/B00KJSAFKI/ref=sr_1_10?keywords=Catwalk+by+tigi+session+series+finishing+hair+spray+9.2+oz&amp;qid=1695259401&amp;sr=8-10")</f>
        <v>https://www.amazon.com/Catwalk-TIGI-Finishing-Hairspray-8-3/dp/B00KJSAFKI/ref=sr_1_10?keywords=Catwalk+by+tigi+session+series+finishing+hair+spray+9.2+oz&amp;qid=1695259401&amp;sr=8-10</v>
      </c>
      <c r="F2367" t="s">
        <v>5916</v>
      </c>
      <c r="G2367" t="e">
        <f ca="1">IMAGE("https://prolisok-store.com/cdn/shop/products/231663_300x.jpg?v=1690900074")</f>
        <v>#NAME?</v>
      </c>
      <c r="H2367" t="e">
        <f ca="1">IMAGE("https://m.media-amazon.com/images/I/31wj5iB6kFL._AC_UL320_.jpg")</f>
        <v>#NAME?</v>
      </c>
      <c r="I2367" t="s">
        <v>5135</v>
      </c>
      <c r="J2367">
        <v>8.99</v>
      </c>
      <c r="K2367" s="2" t="s">
        <v>5917</v>
      </c>
      <c r="L2367">
        <v>4.8</v>
      </c>
      <c r="M2367">
        <v>5</v>
      </c>
      <c r="O2367" t="s">
        <v>26</v>
      </c>
      <c r="P2367" t="s">
        <v>39</v>
      </c>
      <c r="Q2367" t="s">
        <v>5334</v>
      </c>
    </row>
    <row r="2368" spans="1:17" ht="15.75" x14ac:dyDescent="0.25">
      <c r="A2368" s="3" t="str">
        <f>HYPERLINK("https://prolisok-store.com/collections/hair-care/products/bed-head-by-tigi-elasticate-conditioner-6-76-oz", "https://prolisok-store.com/collections/hair-care/products/bed-head-by-tigi-elasticate-conditioner-6-76-oz")</f>
        <v>https://prolisok-store.com/collections/hair-care/products/bed-head-by-tigi-elasticate-conditioner-6-76-oz</v>
      </c>
      <c r="B2368" s="3" t="str">
        <f>HYPERLINK("https://prolisok-store.com/products/bed-head-by-tigi-elasticate-conditioner-6-76-oz", "https://prolisok-store.com/products/bed-head-by-tigi-elasticate-conditioner-6-76-oz")</f>
        <v>https://prolisok-store.com/products/bed-head-by-tigi-elasticate-conditioner-6-76-oz</v>
      </c>
      <c r="C2368" t="s">
        <v>5364</v>
      </c>
      <c r="D2368" t="s">
        <v>5918</v>
      </c>
      <c r="E2368" s="3" t="str">
        <f>HYPERLINK("https://www.amazon.com/Tigi-Elasticate-Strengthening-Conditioner-Ounce/dp/B0097CPES0/ref=sr_1_1?keywords=Bed+head+by+tigi+elasticate+conditioner+6.76+oz&amp;qid=1695259377&amp;sr=8-1", "https://www.amazon.com/Tigi-Elasticate-Strengthening-Conditioner-Ounce/dp/B0097CPES0/ref=sr_1_1?keywords=Bed+head+by+tigi+elasticate+conditioner+6.76+oz&amp;qid=1695259377&amp;sr=8-1")</f>
        <v>https://www.amazon.com/Tigi-Elasticate-Strengthening-Conditioner-Ounce/dp/B0097CPES0/ref=sr_1_1?keywords=Bed+head+by+tigi+elasticate+conditioner+6.76+oz&amp;qid=1695259377&amp;sr=8-1</v>
      </c>
      <c r="F2368" t="s">
        <v>5919</v>
      </c>
      <c r="G2368" t="e">
        <f ca="1">IMAGE("https://prolisok-store.com/cdn/shop/products/244401_300x.jpg?v=1690899928")</f>
        <v>#NAME?</v>
      </c>
      <c r="H2368" t="e">
        <f ca="1">IMAGE("https://m.media-amazon.com/images/I/410hPYU2MzL._AC_UL320_.jpg")</f>
        <v>#NAME?</v>
      </c>
      <c r="I2368" t="s">
        <v>5321</v>
      </c>
      <c r="J2368">
        <v>6.49</v>
      </c>
      <c r="K2368" s="2" t="s">
        <v>5920</v>
      </c>
      <c r="L2368">
        <v>4.2</v>
      </c>
      <c r="M2368">
        <v>109</v>
      </c>
      <c r="O2368" t="s">
        <v>26</v>
      </c>
      <c r="P2368" t="s">
        <v>39</v>
      </c>
      <c r="Q2368" t="s">
        <v>5368</v>
      </c>
    </row>
    <row r="2369" spans="1:17" ht="15.75" x14ac:dyDescent="0.25">
      <c r="A2369" s="3" t="str">
        <f>HYPERLINK("https://prolisok-store.com/collections/hair-care/products/catwalk-by-tigi-fashionista-violet-conditioner-25-36-oz", "https://prolisok-store.com/collections/hair-care/products/catwalk-by-tigi-fashionista-violet-conditioner-25-36-oz")</f>
        <v>https://prolisok-store.com/collections/hair-care/products/catwalk-by-tigi-fashionista-violet-conditioner-25-36-oz</v>
      </c>
      <c r="B2369" s="3" t="str">
        <f>HYPERLINK("https://prolisok-store.com/products/catwalk-by-tigi-fashionista-violet-conditioner-25-36-oz", "https://prolisok-store.com/products/catwalk-by-tigi-fashionista-violet-conditioner-25-36-oz")</f>
        <v>https://prolisok-store.com/products/catwalk-by-tigi-fashionista-violet-conditioner-25-36-oz</v>
      </c>
      <c r="C2369" t="s">
        <v>5854</v>
      </c>
      <c r="D2369" t="s">
        <v>5921</v>
      </c>
      <c r="E2369" s="3" t="str">
        <f>HYPERLINK("https://www.amazon.com/Catwalk-Fashionista-Conditioner-Blondes-Highlights/dp/B01H0EFGWK/ref=sr_1_3?keywords=Catwalk+by+tigi+fashionista+violet+conditioner+25.36+oz&amp;qid=1695259382&amp;sr=8-3", "https://www.amazon.com/Catwalk-Fashionista-Conditioner-Blondes-Highlights/dp/B01H0EFGWK/ref=sr_1_3?keywords=Catwalk+by+tigi+fashionista+violet+conditioner+25.36+oz&amp;qid=1695259382&amp;sr=8-3")</f>
        <v>https://www.amazon.com/Catwalk-Fashionista-Conditioner-Blondes-Highlights/dp/B01H0EFGWK/ref=sr_1_3?keywords=Catwalk+by+tigi+fashionista+violet+conditioner+25.36+oz&amp;qid=1695259382&amp;sr=8-3</v>
      </c>
      <c r="F2369" t="s">
        <v>5922</v>
      </c>
      <c r="G2369" t="e">
        <f ca="1">IMAGE("https://prolisok-store.com/cdn/shop/products/255770_300x.jpg?v=1690900070")</f>
        <v>#NAME?</v>
      </c>
      <c r="H2369" t="e">
        <f ca="1">IMAGE("https://m.media-amazon.com/images/I/510yJn734yL._AC_UL320_.jpg")</f>
        <v>#NAME?</v>
      </c>
      <c r="I2369" t="s">
        <v>5857</v>
      </c>
      <c r="J2369">
        <v>14.85</v>
      </c>
      <c r="K2369" s="2" t="s">
        <v>5923</v>
      </c>
      <c r="L2369">
        <v>4.5999999999999996</v>
      </c>
      <c r="M2369">
        <v>643</v>
      </c>
      <c r="O2369" t="s">
        <v>26</v>
      </c>
      <c r="P2369" t="s">
        <v>39</v>
      </c>
      <c r="Q2369" t="s">
        <v>5859</v>
      </c>
    </row>
    <row r="2370" spans="1:17" ht="15.75" x14ac:dyDescent="0.25">
      <c r="A2370" s="3" t="str">
        <f>HYPERLINK("https://prolisok-store.com/collections/hair-care/products/bed-head-men-by-tigi-clean-up-peppermint-conditioner-25-36-oz-gold-packaging", "https://prolisok-store.com/collections/hair-care/products/bed-head-men-by-tigi-clean-up-peppermint-conditioner-25-36-oz-gold-packaging")</f>
        <v>https://prolisok-store.com/collections/hair-care/products/bed-head-men-by-tigi-clean-up-peppermint-conditioner-25-36-oz-gold-packaging</v>
      </c>
      <c r="B2370" s="3" t="str">
        <f>HYPERLINK("https://prolisok-store.com/products/bed-head-men-by-tigi-clean-up-peppermint-conditioner-25-36-oz-gold-packaging", "https://prolisok-store.com/products/bed-head-men-by-tigi-clean-up-peppermint-conditioner-25-36-oz-gold-packaging")</f>
        <v>https://prolisok-store.com/products/bed-head-men-by-tigi-clean-up-peppermint-conditioner-25-36-oz-gold-packaging</v>
      </c>
      <c r="C2370" t="s">
        <v>5538</v>
      </c>
      <c r="D2370" t="s">
        <v>5589</v>
      </c>
      <c r="E2370" s="3" t="str">
        <f>HYPERLINK("https://www.amazon.com/HEAD-CLEAN-PEPPERMINT-CONDITIONER-Package/dp/B00GBF1CCS/ref=sr_1_4?keywords=Bed+head+men+by+tigi+clean+up+peppermint+conditioner+25.36+oz+%28gold+packaging%29&amp;qid=1695259384&amp;sr=8-4", "https://www.amazon.com/HEAD-CLEAN-PEPPERMINT-CONDITIONER-Package/dp/B00GBF1CCS/ref=sr_1_4?keywords=Bed+head+men+by+tigi+clean+up+peppermint+conditioner+25.36+oz+%28gold+packaging%29&amp;qid=1695259384&amp;sr=8-4")</f>
        <v>https://www.amazon.com/HEAD-CLEAN-PEPPERMINT-CONDITIONER-Package/dp/B00GBF1CCS/ref=sr_1_4?keywords=Bed+head+men+by+tigi+clean+up+peppermint+conditioner+25.36+oz+%28gold+packaging%29&amp;qid=1695259384&amp;sr=8-4</v>
      </c>
      <c r="F2370" t="s">
        <v>5590</v>
      </c>
      <c r="G2370" t="e">
        <f ca="1">IMAGE("https://prolisok-store.com/cdn/shop/products/263177_300x.jpg?v=1690900119")</f>
        <v>#NAME?</v>
      </c>
      <c r="H2370" t="e">
        <f ca="1">IMAGE("https://m.media-amazon.com/images/I/51hlLLf76NL._AC_UL320_.jpg")</f>
        <v>#NAME?</v>
      </c>
      <c r="I2370" t="s">
        <v>5539</v>
      </c>
      <c r="J2370">
        <v>10.39</v>
      </c>
      <c r="K2370" s="2" t="s">
        <v>5924</v>
      </c>
      <c r="L2370">
        <v>4</v>
      </c>
      <c r="M2370">
        <v>4</v>
      </c>
      <c r="O2370" t="s">
        <v>26</v>
      </c>
      <c r="P2370" t="s">
        <v>39</v>
      </c>
      <c r="Q2370" t="s">
        <v>5541</v>
      </c>
    </row>
    <row r="2371" spans="1:17" ht="15.75" x14ac:dyDescent="0.25">
      <c r="A2371" s="3" t="str">
        <f>HYPERLINK("https://prolisok-store.com/collections/hair-care/products/catwalk-by-tigi-fashionista-violet-conditioner-25-36-oz", "https://prolisok-store.com/collections/hair-care/products/catwalk-by-tigi-fashionista-violet-conditioner-25-36-oz")</f>
        <v>https://prolisok-store.com/collections/hair-care/products/catwalk-by-tigi-fashionista-violet-conditioner-25-36-oz</v>
      </c>
      <c r="B2371" s="3" t="str">
        <f>HYPERLINK("https://prolisok-store.com/products/catwalk-by-tigi-fashionista-violet-conditioner-25-36-oz", "https://prolisok-store.com/products/catwalk-by-tigi-fashionista-violet-conditioner-25-36-oz")</f>
        <v>https://prolisok-store.com/products/catwalk-by-tigi-fashionista-violet-conditioner-25-36-oz</v>
      </c>
      <c r="C2371" t="s">
        <v>5854</v>
      </c>
      <c r="D2371" t="s">
        <v>5925</v>
      </c>
      <c r="E2371" s="3" t="str">
        <f>HYPERLINK("https://www.amazon.com/Catwalk-Fashionista-Violet-Conditioner-Unisex/dp/B00ENNVC66/ref=sr_1_1?keywords=Catwalk+by+tigi+fashionista+violet+conditioner+25.36+oz&amp;qid=1695259382&amp;sr=8-1", "https://www.amazon.com/Catwalk-Fashionista-Violet-Conditioner-Unisex/dp/B00ENNVC66/ref=sr_1_1?keywords=Catwalk+by+tigi+fashionista+violet+conditioner+25.36+oz&amp;qid=1695259382&amp;sr=8-1")</f>
        <v>https://www.amazon.com/Catwalk-Fashionista-Violet-Conditioner-Unisex/dp/B00ENNVC66/ref=sr_1_1?keywords=Catwalk+by+tigi+fashionista+violet+conditioner+25.36+oz&amp;qid=1695259382&amp;sr=8-1</v>
      </c>
      <c r="F2371" t="s">
        <v>5926</v>
      </c>
      <c r="G2371" t="e">
        <f ca="1">IMAGE("https://prolisok-store.com/cdn/shop/products/255770_300x.jpg?v=1690900070")</f>
        <v>#NAME?</v>
      </c>
      <c r="H2371" t="e">
        <f ca="1">IMAGE("https://m.media-amazon.com/images/I/41yaoNp1BDL._AC_UL320_.jpg")</f>
        <v>#NAME?</v>
      </c>
      <c r="I2371" t="s">
        <v>5857</v>
      </c>
      <c r="J2371">
        <v>13.63</v>
      </c>
      <c r="K2371" s="2" t="s">
        <v>5927</v>
      </c>
      <c r="L2371">
        <v>4.3</v>
      </c>
      <c r="M2371">
        <v>538</v>
      </c>
      <c r="O2371" t="s">
        <v>26</v>
      </c>
      <c r="P2371" t="s">
        <v>39</v>
      </c>
      <c r="Q2371" t="s">
        <v>5859</v>
      </c>
    </row>
    <row r="2372" spans="1:17" ht="15.75" x14ac:dyDescent="0.25">
      <c r="A2372" s="3" t="str">
        <f>HYPERLINK("https://prolisok-store.com/collections/hair-care/products/catwalk-by-tigi-session-series-finishing-hair-spray-9-2-oz", "https://prolisok-store.com/collections/hair-care/products/catwalk-by-tigi-session-series-finishing-hair-spray-9-2-oz")</f>
        <v>https://prolisok-store.com/collections/hair-care/products/catwalk-by-tigi-session-series-finishing-hair-spray-9-2-oz</v>
      </c>
      <c r="B2372" s="3" t="str">
        <f>HYPERLINK("https://prolisok-store.com/products/catwalk-by-tigi-session-series-finishing-hair-spray-9-2-oz", "https://prolisok-store.com/products/catwalk-by-tigi-session-series-finishing-hair-spray-9-2-oz")</f>
        <v>https://prolisok-store.com/products/catwalk-by-tigi-session-series-finishing-hair-spray-9-2-oz</v>
      </c>
      <c r="C2372" t="s">
        <v>5330</v>
      </c>
      <c r="D2372" t="s">
        <v>5928</v>
      </c>
      <c r="E2372" s="3" t="str">
        <f>HYPERLINK("https://www.amazon.com/TIGI-Catwalk-Session-Finishing-Hairspray/dp/B008KC5TME/ref=sr_1_2?keywords=Catwalk+by+tigi+session+series+finishing+hair+spray+9.2+oz&amp;qid=1695259401&amp;sr=8-2", "https://www.amazon.com/TIGI-Catwalk-Session-Finishing-Hairspray/dp/B008KC5TME/ref=sr_1_2?keywords=Catwalk+by+tigi+session+series+finishing+hair+spray+9.2+oz&amp;qid=1695259401&amp;sr=8-2")</f>
        <v>https://www.amazon.com/TIGI-Catwalk-Session-Finishing-Hairspray/dp/B008KC5TME/ref=sr_1_2?keywords=Catwalk+by+tigi+session+series+finishing+hair+spray+9.2+oz&amp;qid=1695259401&amp;sr=8-2</v>
      </c>
      <c r="F2372" t="s">
        <v>5929</v>
      </c>
      <c r="G2372" t="e">
        <f ca="1">IMAGE("https://prolisok-store.com/cdn/shop/products/231663_300x.jpg?v=1690900074")</f>
        <v>#NAME?</v>
      </c>
      <c r="H2372" t="e">
        <f ca="1">IMAGE("https://m.media-amazon.com/images/I/31TufGhjztL._AC_UL320_.jpg")</f>
        <v>#NAME?</v>
      </c>
      <c r="I2372" t="s">
        <v>5135</v>
      </c>
      <c r="J2372">
        <v>6.29</v>
      </c>
      <c r="K2372" s="2" t="s">
        <v>5930</v>
      </c>
      <c r="L2372">
        <v>3.2</v>
      </c>
      <c r="M2372">
        <v>13</v>
      </c>
      <c r="O2372" t="s">
        <v>26</v>
      </c>
      <c r="P2372" t="s">
        <v>39</v>
      </c>
      <c r="Q2372" t="s">
        <v>5334</v>
      </c>
    </row>
    <row r="2373" spans="1:17" ht="15.75" x14ac:dyDescent="0.25">
      <c r="A2373" s="3" t="str">
        <f>HYPERLINK("https://prolisok-store.com/collections/hair-care/products/tigi-copyright-custom-care-volume-conditioner-32-79-oz", "https://prolisok-store.com/collections/hair-care/products/tigi-copyright-custom-care-volume-conditioner-32-79-oz")</f>
        <v>https://prolisok-store.com/collections/hair-care/products/tigi-copyright-custom-care-volume-conditioner-32-79-oz</v>
      </c>
      <c r="B2373" s="3" t="str">
        <f>HYPERLINK("https://prolisok-store.com/products/tigi-copyright-custom-care-volume-conditioner-32-79-oz", "https://prolisok-store.com/products/tigi-copyright-custom-care-volume-conditioner-32-79-oz")</f>
        <v>https://prolisok-store.com/products/tigi-copyright-custom-care-volume-conditioner-32-79-oz</v>
      </c>
      <c r="C2373" t="s">
        <v>5931</v>
      </c>
      <c r="D2373" t="s">
        <v>5932</v>
      </c>
      <c r="E2373" s="3" t="str">
        <f>HYPERLINK("https://www.amazon.com/TIGI-Copyright-Volume-Conditioner-Liter/dp/B07YBMQY7Q/ref=sr_1_1?keywords=Tigi+copyright+custom+care+volume+conditioner+32.79+oz&amp;qid=1695259368&amp;sr=8-1", "https://www.amazon.com/TIGI-Copyright-Volume-Conditioner-Liter/dp/B07YBMQY7Q/ref=sr_1_1?keywords=Tigi+copyright+custom+care+volume+conditioner+32.79+oz&amp;qid=1695259368&amp;sr=8-1")</f>
        <v>https://www.amazon.com/TIGI-Copyright-Volume-Conditioner-Liter/dp/B07YBMQY7Q/ref=sr_1_1?keywords=Tigi+copyright+custom+care+volume+conditioner+32.79+oz&amp;qid=1695259368&amp;sr=8-1</v>
      </c>
      <c r="F2373" t="s">
        <v>5933</v>
      </c>
      <c r="G2373" t="e">
        <f ca="1">IMAGE("https://prolisok-store.com/cdn/shop/products/413476_300x.jpg?v=1690900100")</f>
        <v>#NAME?</v>
      </c>
      <c r="H2373" t="e">
        <f ca="1">IMAGE("https://m.media-amazon.com/images/I/41HZFyfIZFL._AC_UL320_.jpg")</f>
        <v>#NAME?</v>
      </c>
      <c r="I2373" t="s">
        <v>5934</v>
      </c>
      <c r="J2373">
        <v>9.9700000000000006</v>
      </c>
      <c r="K2373" s="2" t="s">
        <v>5935</v>
      </c>
      <c r="L2373">
        <v>4.5</v>
      </c>
      <c r="M2373">
        <v>312</v>
      </c>
      <c r="O2373" t="s">
        <v>26</v>
      </c>
      <c r="P2373" t="s">
        <v>39</v>
      </c>
      <c r="Q2373" t="s">
        <v>5936</v>
      </c>
    </row>
    <row r="2374" spans="1:17" ht="15.75" x14ac:dyDescent="0.25">
      <c r="A2374" s="3" t="str">
        <f>HYPERLINK("https://prolisok-store.com/collections/hair-care/products/tigi-copyright-custom-care-repair-booster-15-22-oz", "https://prolisok-store.com/collections/hair-care/products/tigi-copyright-custom-care-repair-booster-15-22-oz")</f>
        <v>https://prolisok-store.com/collections/hair-care/products/tigi-copyright-custom-care-repair-booster-15-22-oz</v>
      </c>
      <c r="B2374" s="3" t="str">
        <f>HYPERLINK("https://prolisok-store.com/products/tigi-copyright-custom-care-repair-booster-15-22-oz", "https://prolisok-store.com/products/tigi-copyright-custom-care-repair-booster-15-22-oz")</f>
        <v>https://prolisok-store.com/products/tigi-copyright-custom-care-repair-booster-15-22-oz</v>
      </c>
      <c r="C2374" t="s">
        <v>5817</v>
      </c>
      <c r="D2374" t="s">
        <v>5937</v>
      </c>
      <c r="E2374" s="3" t="str">
        <f>HYPERLINK("https://www.amazon.com/TIGI-Copyright-Custom-REPAIR-Conditioner/dp/B07H8V65PX/ref=sr_1_4?keywords=Tigi+copyright+custom+care+repair+booster+15.22+oz&amp;qid=1695259373&amp;sr=8-4", "https://www.amazon.com/TIGI-Copyright-Custom-REPAIR-Conditioner/dp/B07H8V65PX/ref=sr_1_4?keywords=Tigi+copyright+custom+care+repair+booster+15.22+oz&amp;qid=1695259373&amp;sr=8-4")</f>
        <v>https://www.amazon.com/TIGI-Copyright-Custom-REPAIR-Conditioner/dp/B07H8V65PX/ref=sr_1_4?keywords=Tigi+copyright+custom+care+repair+booster+15.22+oz&amp;qid=1695259373&amp;sr=8-4</v>
      </c>
      <c r="F2374" t="s">
        <v>5938</v>
      </c>
      <c r="G2374" t="e">
        <f ca="1">IMAGE("https://prolisok-store.com/cdn/shop/products/413448_300x.jpg?v=1690900104")</f>
        <v>#NAME?</v>
      </c>
      <c r="H2374" t="e">
        <f ca="1">IMAGE("https://m.media-amazon.com/images/I/7188Q1ZbyPL._AC_UL320_.jpg")</f>
        <v>#NAME?</v>
      </c>
      <c r="I2374" t="s">
        <v>5697</v>
      </c>
      <c r="J2374">
        <v>7.5</v>
      </c>
      <c r="K2374" s="2" t="s">
        <v>5939</v>
      </c>
      <c r="L2374">
        <v>3.8</v>
      </c>
      <c r="M2374">
        <v>13</v>
      </c>
      <c r="O2374" t="s">
        <v>26</v>
      </c>
      <c r="P2374" t="s">
        <v>39</v>
      </c>
      <c r="Q2374" t="s">
        <v>5821</v>
      </c>
    </row>
    <row r="2375" spans="1:17" ht="15.75" x14ac:dyDescent="0.25">
      <c r="A2375" s="3" t="str">
        <f>HYPERLINK("https://prolisok-store.com/collections/hair-care/products/catwalk-by-tigi-fashionista-brunette-mask-for-warm-tones-20-46-oz", "https://prolisok-store.com/collections/hair-care/products/catwalk-by-tigi-fashionista-brunette-mask-for-warm-tones-20-46-oz")</f>
        <v>https://prolisok-store.com/collections/hair-care/products/catwalk-by-tigi-fashionista-brunette-mask-for-warm-tones-20-46-oz</v>
      </c>
      <c r="B2375" s="3" t="str">
        <f>HYPERLINK("https://prolisok-store.com/products/catwalk-by-tigi-fashionista-brunette-mask-for-warm-tones-20-46-oz", "https://prolisok-store.com/products/catwalk-by-tigi-fashionista-brunette-mask-for-warm-tones-20-46-oz")</f>
        <v>https://prolisok-store.com/products/catwalk-by-tigi-fashionista-brunette-mask-for-warm-tones-20-46-oz</v>
      </c>
      <c r="C2375" t="s">
        <v>5893</v>
      </c>
      <c r="D2375" t="s">
        <v>5904</v>
      </c>
      <c r="E2375" s="3" t="str">
        <f>HYPERLINK("https://www.amazon.com/TIGI-Catwalk-Fashionista-Brunette-Tones/dp/B00N555Z5W/ref=sr_1_3?keywords=Catwalk+by+tigi+fashionista+brunette+mask+for+warm+tones+20.46+oz&amp;qid=1695259373&amp;sr=8-3", "https://www.amazon.com/TIGI-Catwalk-Fashionista-Brunette-Tones/dp/B00N555Z5W/ref=sr_1_3?keywords=Catwalk+by+tigi+fashionista+brunette+mask+for+warm+tones+20.46+oz&amp;qid=1695259373&amp;sr=8-3")</f>
        <v>https://www.amazon.com/TIGI-Catwalk-Fashionista-Brunette-Tones/dp/B00N555Z5W/ref=sr_1_3?keywords=Catwalk+by+tigi+fashionista+brunette+mask+for+warm+tones+20.46+oz&amp;qid=1695259373&amp;sr=8-3</v>
      </c>
      <c r="F2375" t="s">
        <v>5905</v>
      </c>
      <c r="G2375" t="e">
        <f ca="1">IMAGE("https://prolisok-store.com/cdn/shop/products/280026_300x.jpg?v=1690900080")</f>
        <v>#NAME?</v>
      </c>
      <c r="H2375" t="e">
        <f ca="1">IMAGE("https://m.media-amazon.com/images/I/41d0LyvItWL._AC_UL320_.jpg")</f>
        <v>#NAME?</v>
      </c>
      <c r="I2375" t="s">
        <v>5857</v>
      </c>
      <c r="J2375">
        <v>9</v>
      </c>
      <c r="K2375" s="2" t="s">
        <v>5940</v>
      </c>
      <c r="L2375">
        <v>4.0999999999999996</v>
      </c>
      <c r="M2375">
        <v>36</v>
      </c>
      <c r="O2375" t="s">
        <v>26</v>
      </c>
      <c r="P2375" t="s">
        <v>39</v>
      </c>
      <c r="Q2375" t="s">
        <v>5894</v>
      </c>
    </row>
    <row r="2376" spans="1:17" ht="15.75" x14ac:dyDescent="0.25">
      <c r="A2376" s="3" t="str">
        <f>HYPERLINK("https://prolisok-store.com/collections/hair-care/products/bed-head-by-tigi-resurrection-shampoo-32-8-oz", "https://prolisok-store.com/collections/hair-care/products/bed-head-by-tigi-resurrection-shampoo-32-8-oz")</f>
        <v>https://prolisok-store.com/collections/hair-care/products/bed-head-by-tigi-resurrection-shampoo-32-8-oz</v>
      </c>
      <c r="B2376" s="3" t="str">
        <f>HYPERLINK("https://prolisok-store.com/products/bed-head-by-tigi-resurrection-shampoo-32-8-oz", "https://prolisok-store.com/products/bed-head-by-tigi-resurrection-shampoo-32-8-oz")</f>
        <v>https://prolisok-store.com/products/bed-head-by-tigi-resurrection-shampoo-32-8-oz</v>
      </c>
      <c r="C2376" t="s">
        <v>5483</v>
      </c>
      <c r="D2376" t="s">
        <v>5673</v>
      </c>
      <c r="E2376" s="3" t="str">
        <f>HYPERLINK("https://www.amazon.com/TIGI-Resurrection-Repair-Shampoo-Damaged/dp/B08R4ZR4F1/ref=sr_1_3?keywords=Bed+head+by+tigi+resurrection+shampoo+32.8+oz&amp;qid=1695259397&amp;sr=8-3", "https://www.amazon.com/TIGI-Resurrection-Repair-Shampoo-Damaged/dp/B08R4ZR4F1/ref=sr_1_3?keywords=Bed+head+by+tigi+resurrection+shampoo+32.8+oz&amp;qid=1695259397&amp;sr=8-3")</f>
        <v>https://www.amazon.com/TIGI-Resurrection-Repair-Shampoo-Damaged/dp/B08R4ZR4F1/ref=sr_1_3?keywords=Bed+head+by+tigi+resurrection+shampoo+32.8+oz&amp;qid=1695259397&amp;sr=8-3</v>
      </c>
      <c r="F2376" t="s">
        <v>5674</v>
      </c>
      <c r="G2376" t="e">
        <f ca="1">IMAGE("https://prolisok-store.com/cdn/shop/products/416082_300x.jpg?v=1690900037")</f>
        <v>#NAME?</v>
      </c>
      <c r="H2376" t="e">
        <f ca="1">IMAGE("https://m.media-amazon.com/images/I/61piZqFD1JL._AC_UL320_.jpg")</f>
        <v>#NAME?</v>
      </c>
      <c r="I2376" t="s">
        <v>5484</v>
      </c>
      <c r="J2376">
        <v>6.99</v>
      </c>
      <c r="K2376" s="2" t="s">
        <v>5941</v>
      </c>
      <c r="L2376">
        <v>4.3</v>
      </c>
      <c r="M2376">
        <v>77</v>
      </c>
      <c r="O2376" t="s">
        <v>26</v>
      </c>
      <c r="P2376" t="s">
        <v>39</v>
      </c>
      <c r="Q2376" t="s">
        <v>5486</v>
      </c>
    </row>
    <row r="2377" spans="1:17" ht="15.75" x14ac:dyDescent="0.25">
      <c r="A2377" s="3" t="str">
        <f>HYPERLINK("https://prolisok-store.com/collections/hair-care/products/tigi-copyright-custom-care-volume-conditioner-32-79-oz", "https://prolisok-store.com/collections/hair-care/products/tigi-copyright-custom-care-volume-conditioner-32-79-oz")</f>
        <v>https://prolisok-store.com/collections/hair-care/products/tigi-copyright-custom-care-volume-conditioner-32-79-oz</v>
      </c>
      <c r="B2377" s="3" t="str">
        <f>HYPERLINK("https://prolisok-store.com/products/tigi-copyright-custom-care-volume-conditioner-32-79-oz", "https://prolisok-store.com/products/tigi-copyright-custom-care-volume-conditioner-32-79-oz")</f>
        <v>https://prolisok-store.com/products/tigi-copyright-custom-care-volume-conditioner-32-79-oz</v>
      </c>
      <c r="C2377" t="s">
        <v>5931</v>
      </c>
      <c r="D2377" t="s">
        <v>5937</v>
      </c>
      <c r="E2377" s="3" t="str">
        <f>HYPERLINK("https://www.amazon.com/TIGI-Copyright-Custom-REPAIR-Conditioner/dp/B07H8V65PX/ref=sr_1_2?keywords=Tigi+copyright+custom+care+volume+conditioner+32.79+oz&amp;qid=1695259368&amp;sr=8-2", "https://www.amazon.com/TIGI-Copyright-Custom-REPAIR-Conditioner/dp/B07H8V65PX/ref=sr_1_2?keywords=Tigi+copyright+custom+care+volume+conditioner+32.79+oz&amp;qid=1695259368&amp;sr=8-2")</f>
        <v>https://www.amazon.com/TIGI-Copyright-Custom-REPAIR-Conditioner/dp/B07H8V65PX/ref=sr_1_2?keywords=Tigi+copyright+custom+care+volume+conditioner+32.79+oz&amp;qid=1695259368&amp;sr=8-2</v>
      </c>
      <c r="F2377" t="s">
        <v>5938</v>
      </c>
      <c r="G2377" t="e">
        <f ca="1">IMAGE("https://prolisok-store.com/cdn/shop/products/413476_300x.jpg?v=1690900100")</f>
        <v>#NAME?</v>
      </c>
      <c r="H2377" t="e">
        <f ca="1">IMAGE("https://m.media-amazon.com/images/I/7188Q1ZbyPL._AC_UL320_.jpg")</f>
        <v>#NAME?</v>
      </c>
      <c r="I2377" t="s">
        <v>5934</v>
      </c>
      <c r="J2377">
        <v>7.5</v>
      </c>
      <c r="K2377" s="2" t="s">
        <v>5942</v>
      </c>
      <c r="L2377">
        <v>3.8</v>
      </c>
      <c r="M2377">
        <v>13</v>
      </c>
      <c r="O2377" t="s">
        <v>26</v>
      </c>
      <c r="P2377" t="s">
        <v>39</v>
      </c>
      <c r="Q2377" t="s">
        <v>5936</v>
      </c>
    </row>
    <row r="2378" spans="1:17" ht="15.75" x14ac:dyDescent="0.25">
      <c r="A2378" s="3" t="str">
        <f>HYPERLINK("https://prolisok-store.com/collections/hair-care/products/bed-head-by-tigi-stick-a-hair-stick-for-cool-people-2-7-oz", "https://prolisok-store.com/collections/hair-care/products/bed-head-by-tigi-stick-a-hair-stick-for-cool-people-2-7-oz")</f>
        <v>https://prolisok-store.com/collections/hair-care/products/bed-head-by-tigi-stick-a-hair-stick-for-cool-people-2-7-oz</v>
      </c>
      <c r="B2378" s="3" t="str">
        <f>HYPERLINK("https://prolisok-store.com/products/bed-head-by-tigi-stick-a-hair-stick-for-cool-people-2-7-oz", "https://prolisok-store.com/products/bed-head-by-tigi-stick-a-hair-stick-for-cool-people-2-7-oz")</f>
        <v>https://prolisok-store.com/products/bed-head-by-tigi-stick-a-hair-stick-for-cool-people-2-7-oz</v>
      </c>
      <c r="C2378" t="s">
        <v>5232</v>
      </c>
      <c r="D2378" t="s">
        <v>5943</v>
      </c>
      <c r="E2378" s="3" t="str">
        <f>HYPERLINK("https://www.amazon.com/Control-Non-greasy-Styling-Temporary-SOVONCARE/dp/B0B8S886B4/ref=sr_1_10?keywords=Bed+head+by+tigi+stick+-+a+hair+stick+for+cool+people+2.7+oz&amp;qid=1695259383&amp;sr=8-10", "https://www.amazon.com/Control-Non-greasy-Styling-Temporary-SOVONCARE/dp/B0B8S886B4/ref=sr_1_10?keywords=Bed+head+by+tigi+stick+-+a+hair+stick+for+cool+people+2.7+oz&amp;qid=1695259383&amp;sr=8-10")</f>
        <v>https://www.amazon.com/Control-Non-greasy-Styling-Temporary-SOVONCARE/dp/B0B8S886B4/ref=sr_1_10?keywords=Bed+head+by+tigi+stick+-+a+hair+stick+for+cool+people+2.7+oz&amp;qid=1695259383&amp;sr=8-10</v>
      </c>
      <c r="F2378" t="s">
        <v>5944</v>
      </c>
      <c r="G2378" t="e">
        <f ca="1">IMAGE("https://prolisok-store.com/cdn/shop/products/152852_300x.jpg?v=1690899965")</f>
        <v>#NAME?</v>
      </c>
      <c r="H2378" t="e">
        <f ca="1">IMAGE("https://m.media-amazon.com/images/I/710G5NAVJxL._AC_UL320_.jpg")</f>
        <v>#NAME?</v>
      </c>
      <c r="I2378" t="s">
        <v>1748</v>
      </c>
      <c r="J2378">
        <v>4.99</v>
      </c>
      <c r="K2378" s="2" t="s">
        <v>5055</v>
      </c>
      <c r="L2378">
        <v>4</v>
      </c>
      <c r="M2378">
        <v>51</v>
      </c>
      <c r="O2378" t="s">
        <v>26</v>
      </c>
      <c r="P2378" t="s">
        <v>39</v>
      </c>
      <c r="Q2378" t="s">
        <v>5236</v>
      </c>
    </row>
    <row r="2379" spans="1:17" ht="15.75" x14ac:dyDescent="0.25">
      <c r="A2379" s="3" t="str">
        <f>HYPERLINK("https://prolisok-store.com/collections/hair-care/products/tigi-copyright-custom-care-volume-conditioner-32-79-oz", "https://prolisok-store.com/collections/hair-care/products/tigi-copyright-custom-care-volume-conditioner-32-79-oz")</f>
        <v>https://prolisok-store.com/collections/hair-care/products/tigi-copyright-custom-care-volume-conditioner-32-79-oz</v>
      </c>
      <c r="B2379" s="3" t="str">
        <f>HYPERLINK("https://prolisok-store.com/products/tigi-copyright-custom-care-volume-conditioner-32-79-oz", "https://prolisok-store.com/products/tigi-copyright-custom-care-volume-conditioner-32-79-oz")</f>
        <v>https://prolisok-store.com/products/tigi-copyright-custom-care-volume-conditioner-32-79-oz</v>
      </c>
      <c r="C2379" t="s">
        <v>5931</v>
      </c>
      <c r="D2379" t="s">
        <v>5945</v>
      </c>
      <c r="E2379" s="3" t="str">
        <f>HYPERLINK("https://www.amazon.com/TIGI-Copyright-Custom-MOISTURE-Conditioner/dp/B07H8VD1ZQ/ref=sr_1_4?keywords=Tigi+copyright+custom+care+volume+conditioner+32.79+oz&amp;qid=1695259368&amp;sr=8-4", "https://www.amazon.com/TIGI-Copyright-Custom-MOISTURE-Conditioner/dp/B07H8VD1ZQ/ref=sr_1_4?keywords=Tigi+copyright+custom+care+volume+conditioner+32.79+oz&amp;qid=1695259368&amp;sr=8-4")</f>
        <v>https://www.amazon.com/TIGI-Copyright-Custom-MOISTURE-Conditioner/dp/B07H8VD1ZQ/ref=sr_1_4?keywords=Tigi+copyright+custom+care+volume+conditioner+32.79+oz&amp;qid=1695259368&amp;sr=8-4</v>
      </c>
      <c r="F2379" t="s">
        <v>5946</v>
      </c>
      <c r="G2379" t="e">
        <f ca="1">IMAGE("https://prolisok-store.com/cdn/shop/products/413476_300x.jpg?v=1690900100")</f>
        <v>#NAME?</v>
      </c>
      <c r="H2379" t="e">
        <f ca="1">IMAGE("https://m.media-amazon.com/images/I/51QMIr6Ab6L._AC_UL320_.jpg")</f>
        <v>#NAME?</v>
      </c>
      <c r="I2379" t="s">
        <v>5934</v>
      </c>
      <c r="J2379">
        <v>6.99</v>
      </c>
      <c r="K2379" s="2" t="s">
        <v>5947</v>
      </c>
      <c r="L2379">
        <v>3.5</v>
      </c>
      <c r="M2379">
        <v>13</v>
      </c>
      <c r="O2379" t="s">
        <v>26</v>
      </c>
      <c r="P2379" t="s">
        <v>39</v>
      </c>
      <c r="Q2379" t="s">
        <v>5936</v>
      </c>
    </row>
    <row r="2380" spans="1:17" ht="15.75" x14ac:dyDescent="0.25">
      <c r="A2380" s="3" t="str">
        <f>HYPERLINK("https://prolisok-store.com/collections/hair-care/products/tigi-copyright-custom-care-shine-booster-15-22-oz", "https://prolisok-store.com/collections/hair-care/products/tigi-copyright-custom-care-shine-booster-15-22-oz")</f>
        <v>https://prolisok-store.com/collections/hair-care/products/tigi-copyright-custom-care-shine-booster-15-22-oz</v>
      </c>
      <c r="B2380" s="3" t="str">
        <f>HYPERLINK("https://prolisok-store.com/products/tigi-copyright-custom-care-shine-booster-15-22-oz", "https://prolisok-store.com/products/tigi-copyright-custom-care-shine-booster-15-22-oz")</f>
        <v>https://prolisok-store.com/products/tigi-copyright-custom-care-shine-booster-15-22-oz</v>
      </c>
      <c r="C2380" t="s">
        <v>5694</v>
      </c>
      <c r="D2380" t="s">
        <v>5948</v>
      </c>
      <c r="E2380" s="3" t="str">
        <f>HYPERLINK("https://www.amazon.com/TIGI-Copyright-Custom-REPAIR-Booster/dp/B07H6RX16J/ref=sr_1_fkmr0_2?keywords=Tigi+copyright+custom+care+shine+booster+15.22+oz&amp;qid=1695259371&amp;sr=8-2-fkmr0", "https://www.amazon.com/TIGI-Copyright-Custom-REPAIR-Booster/dp/B07H6RX16J/ref=sr_1_fkmr0_2?keywords=Tigi+copyright+custom+care+shine+booster+15.22+oz&amp;qid=1695259371&amp;sr=8-2-fkmr0")</f>
        <v>https://www.amazon.com/TIGI-Copyright-Custom-REPAIR-Booster/dp/B07H6RX16J/ref=sr_1_fkmr0_2?keywords=Tigi+copyright+custom+care+shine+booster+15.22+oz&amp;qid=1695259371&amp;sr=8-2-fkmr0</v>
      </c>
      <c r="F2380" t="s">
        <v>5949</v>
      </c>
      <c r="G2380" t="e">
        <f ca="1">IMAGE("https://prolisok-store.com/cdn/shop/products/413457_300x.jpg?v=1690900106")</f>
        <v>#NAME?</v>
      </c>
      <c r="H2380" t="e">
        <f ca="1">IMAGE("https://m.media-amazon.com/images/I/41dEbxyGrRL._AC_UL320_.jpg")</f>
        <v>#NAME?</v>
      </c>
      <c r="I2380" t="s">
        <v>5697</v>
      </c>
      <c r="J2380">
        <v>5.75</v>
      </c>
      <c r="K2380" s="2" t="s">
        <v>5950</v>
      </c>
      <c r="L2380">
        <v>4.7</v>
      </c>
      <c r="M2380">
        <v>474</v>
      </c>
      <c r="O2380" t="s">
        <v>26</v>
      </c>
      <c r="P2380" t="s">
        <v>39</v>
      </c>
      <c r="Q2380" t="s">
        <v>5699</v>
      </c>
    </row>
    <row r="2381" spans="1:17" ht="15.75" x14ac:dyDescent="0.25">
      <c r="A2381" s="3" t="str">
        <f>HYPERLINK("https://prolisok-store.com/collections/hair-care/products/tigi-copyright-custom-care-repair-booster-15-22-oz", "https://prolisok-store.com/collections/hair-care/products/tigi-copyright-custom-care-repair-booster-15-22-oz")</f>
        <v>https://prolisok-store.com/collections/hair-care/products/tigi-copyright-custom-care-repair-booster-15-22-oz</v>
      </c>
      <c r="B2381" s="3" t="str">
        <f>HYPERLINK("https://prolisok-store.com/products/tigi-copyright-custom-care-repair-booster-15-22-oz", "https://prolisok-store.com/products/tigi-copyright-custom-care-repair-booster-15-22-oz")</f>
        <v>https://prolisok-store.com/products/tigi-copyright-custom-care-repair-booster-15-22-oz</v>
      </c>
      <c r="C2381" t="s">
        <v>5817</v>
      </c>
      <c r="D2381" t="s">
        <v>5948</v>
      </c>
      <c r="E2381" s="3" t="str">
        <f>HYPERLINK("https://www.amazon.com/TIGI-Copyright-Custom-REPAIR-Booster/dp/B07H6RX16J/ref=sr_1_2?keywords=Tigi+copyright+custom+care+repair+booster+15.22+oz&amp;qid=1695259373&amp;sr=8-2", "https://www.amazon.com/TIGI-Copyright-Custom-REPAIR-Booster/dp/B07H6RX16J/ref=sr_1_2?keywords=Tigi+copyright+custom+care+repair+booster+15.22+oz&amp;qid=1695259373&amp;sr=8-2")</f>
        <v>https://www.amazon.com/TIGI-Copyright-Custom-REPAIR-Booster/dp/B07H6RX16J/ref=sr_1_2?keywords=Tigi+copyright+custom+care+repair+booster+15.22+oz&amp;qid=1695259373&amp;sr=8-2</v>
      </c>
      <c r="F2381" t="s">
        <v>5949</v>
      </c>
      <c r="G2381" t="e">
        <f ca="1">IMAGE("https://prolisok-store.com/cdn/shop/products/413448_300x.jpg?v=1690900104")</f>
        <v>#NAME?</v>
      </c>
      <c r="H2381" t="e">
        <f ca="1">IMAGE("https://m.media-amazon.com/images/I/41dEbxyGrRL._AC_UL320_.jpg")</f>
        <v>#NAME?</v>
      </c>
      <c r="I2381" t="s">
        <v>5697</v>
      </c>
      <c r="J2381">
        <v>5.75</v>
      </c>
      <c r="K2381" s="2" t="s">
        <v>5950</v>
      </c>
      <c r="L2381">
        <v>4.7</v>
      </c>
      <c r="M2381">
        <v>474</v>
      </c>
      <c r="O2381" t="s">
        <v>26</v>
      </c>
      <c r="P2381" t="s">
        <v>39</v>
      </c>
      <c r="Q2381" t="s">
        <v>5821</v>
      </c>
    </row>
    <row r="2382" spans="1:17" ht="15.75" x14ac:dyDescent="0.25">
      <c r="A2382" s="3" t="str">
        <f>HYPERLINK("https://prolisok-store.com/collections/makeup/products/3ce-mood-recipe-matte-lip-color-909", "https://prolisok-store.com/collections/makeup/products/3ce-mood-recipe-matte-lip-color-909")</f>
        <v>https://prolisok-store.com/collections/makeup/products/3ce-mood-recipe-matte-lip-color-909</v>
      </c>
      <c r="B2382" s="3" t="str">
        <f>HYPERLINK("https://prolisok-store.com/products/3ce-mood-recipe-matte-lip-color-909", "https://prolisok-store.com/products/3ce-mood-recipe-matte-lip-color-909")</f>
        <v>https://prolisok-store.com/products/3ce-mood-recipe-matte-lip-color-909</v>
      </c>
      <c r="C2382" t="s">
        <v>4358</v>
      </c>
      <c r="D2382" t="s">
        <v>4364</v>
      </c>
      <c r="E2382" s="3" t="str">
        <f>HYPERLINK("https://www.amazon.com/3CE-MOOD-RECIPE-MATTE-COLOR/dp/B0777DZC8Q/ref=sr_1_4?keywords=3CE+Mood+Recipe+Matte+Lip+Color%2C+909&amp;qid=1695259481&amp;sr=8-4", "https://www.amazon.com/3CE-MOOD-RECIPE-MATTE-COLOR/dp/B0777DZC8Q/ref=sr_1_4?keywords=3CE+Mood+Recipe+Matte+Lip+Color%2C+909&amp;qid=1695259481&amp;sr=8-4")</f>
        <v>https://www.amazon.com/3CE-MOOD-RECIPE-MATTE-COLOR/dp/B0777DZC8Q/ref=sr_1_4?keywords=3CE+Mood+Recipe+Matte+Lip+Color%2C+909&amp;qid=1695259481&amp;sr=8-4</v>
      </c>
      <c r="F2382" t="s">
        <v>4365</v>
      </c>
      <c r="G2382" t="e">
        <f ca="1">IMAGE("https://prolisok-store.com/cdn/shop/files/41q_eA_m8iL._SL1000_300x.jpg?v=1693221579")</f>
        <v>#NAME?</v>
      </c>
      <c r="H2382" t="e">
        <f ca="1">IMAGE("https://m.media-amazon.com/images/I/31TEnxtE9lL._AC_UL320_.jpg")</f>
        <v>#NAME?</v>
      </c>
      <c r="I2382" t="s">
        <v>3392</v>
      </c>
      <c r="J2382">
        <v>32</v>
      </c>
      <c r="K2382" s="2" t="s">
        <v>4361</v>
      </c>
      <c r="L2382">
        <v>5</v>
      </c>
      <c r="M2382">
        <v>2</v>
      </c>
      <c r="O2382" t="s">
        <v>26</v>
      </c>
      <c r="P2382" t="s">
        <v>39</v>
      </c>
      <c r="Q2382" t="s">
        <v>4362</v>
      </c>
    </row>
    <row r="2383" spans="1:17" ht="15.75" x14ac:dyDescent="0.25">
      <c r="A2383" s="3" t="str">
        <f>HYPERLINK("https://prolisok-store.com/collections/makeup/products/3ce-mood-recipe-matte-lip-color-116", "https://prolisok-store.com/collections/makeup/products/3ce-mood-recipe-matte-lip-color-116")</f>
        <v>https://prolisok-store.com/collections/makeup/products/3ce-mood-recipe-matte-lip-color-116</v>
      </c>
      <c r="B2383" s="3" t="str">
        <f>HYPERLINK("https://prolisok-store.com/products/3ce-mood-recipe-matte-lip-color-116", "https://prolisok-store.com/products/3ce-mood-recipe-matte-lip-color-116")</f>
        <v>https://prolisok-store.com/products/3ce-mood-recipe-matte-lip-color-116</v>
      </c>
      <c r="C2383" t="s">
        <v>4363</v>
      </c>
      <c r="D2383" t="s">
        <v>4359</v>
      </c>
      <c r="E2383" s="3" t="str">
        <f>HYPERLINK("https://www.amazon.com/3CE-MOOD-RECIPE-MATTE-COLOR/dp/B0777JF4PR/ref=sr_1_4?keywords=3CE+Mood+Recipe+Matte+Lip+Color%2C+116&amp;qid=1695259483&amp;sr=8-4", "https://www.amazon.com/3CE-MOOD-RECIPE-MATTE-COLOR/dp/B0777JF4PR/ref=sr_1_4?keywords=3CE+Mood+Recipe+Matte+Lip+Color%2C+116&amp;qid=1695259483&amp;sr=8-4")</f>
        <v>https://www.amazon.com/3CE-MOOD-RECIPE-MATTE-COLOR/dp/B0777JF4PR/ref=sr_1_4?keywords=3CE+Mood+Recipe+Matte+Lip+Color%2C+116&amp;qid=1695259483&amp;sr=8-4</v>
      </c>
      <c r="F2383" t="s">
        <v>4360</v>
      </c>
      <c r="G2383" t="e">
        <f ca="1">IMAGE("https://prolisok-store.com/cdn/shop/files/31C87n4RBaL_300x.jpg?v=1693221452")</f>
        <v>#NAME?</v>
      </c>
      <c r="H2383" t="e">
        <f ca="1">IMAGE("https://m.media-amazon.com/images/I/41lZN7xGY7L._AC_UL320_.jpg")</f>
        <v>#NAME?</v>
      </c>
      <c r="I2383" t="s">
        <v>3392</v>
      </c>
      <c r="J2383">
        <v>32</v>
      </c>
      <c r="K2383" s="2" t="s">
        <v>4361</v>
      </c>
      <c r="L2383">
        <v>4</v>
      </c>
      <c r="M2383">
        <v>35</v>
      </c>
      <c r="O2383" t="s">
        <v>26</v>
      </c>
      <c r="P2383" t="s">
        <v>39</v>
      </c>
      <c r="Q2383" t="s">
        <v>4366</v>
      </c>
    </row>
    <row r="2384" spans="1:17" ht="15.75" x14ac:dyDescent="0.25">
      <c r="A2384" s="3" t="str">
        <f>HYPERLINK("https://prolisok-store.com/collections/makeup/products/3ce-mood-recipe-matte-lip-color-116", "https://prolisok-store.com/collections/makeup/products/3ce-mood-recipe-matte-lip-color-116")</f>
        <v>https://prolisok-store.com/collections/makeup/products/3ce-mood-recipe-matte-lip-color-116</v>
      </c>
      <c r="B2384" s="3" t="str">
        <f>HYPERLINK("https://prolisok-store.com/products/3ce-mood-recipe-matte-lip-color-116", "https://prolisok-store.com/products/3ce-mood-recipe-matte-lip-color-116")</f>
        <v>https://prolisok-store.com/products/3ce-mood-recipe-matte-lip-color-116</v>
      </c>
      <c r="C2384" t="s">
        <v>4363</v>
      </c>
      <c r="D2384" t="s">
        <v>4367</v>
      </c>
      <c r="E2384" s="3" t="str">
        <f>HYPERLINK("https://www.amazon.com/Concept-Eyes-Recipe-Matte-Color/dp/B01N52PM26/ref=sr_1_7?keywords=3CE+Mood+Recipe+Matte+Lip+Color%2C+116&amp;qid=1695259483&amp;sr=8-7", "https://www.amazon.com/Concept-Eyes-Recipe-Matte-Color/dp/B01N52PM26/ref=sr_1_7?keywords=3CE+Mood+Recipe+Matte+Lip+Color%2C+116&amp;qid=1695259483&amp;sr=8-7")</f>
        <v>https://www.amazon.com/Concept-Eyes-Recipe-Matte-Color/dp/B01N52PM26/ref=sr_1_7?keywords=3CE+Mood+Recipe+Matte+Lip+Color%2C+116&amp;qid=1695259483&amp;sr=8-7</v>
      </c>
      <c r="F2384" t="s">
        <v>4368</v>
      </c>
      <c r="G2384" t="e">
        <f ca="1">IMAGE("https://prolisok-store.com/cdn/shop/files/31C87n4RBaL_300x.jpg?v=1693221452")</f>
        <v>#NAME?</v>
      </c>
      <c r="H2384" t="e">
        <f ca="1">IMAGE("https://m.media-amazon.com/images/I/61XkvzPhvPL._AC_UL320_.jpg")</f>
        <v>#NAME?</v>
      </c>
      <c r="I2384" t="s">
        <v>3392</v>
      </c>
      <c r="J2384">
        <v>32</v>
      </c>
      <c r="K2384" s="2" t="s">
        <v>4361</v>
      </c>
      <c r="L2384">
        <v>2.5</v>
      </c>
      <c r="M2384">
        <v>2</v>
      </c>
      <c r="O2384" t="s">
        <v>26</v>
      </c>
      <c r="P2384" t="s">
        <v>39</v>
      </c>
      <c r="Q2384" t="s">
        <v>4366</v>
      </c>
    </row>
    <row r="2385" spans="1:17" ht="15.75" x14ac:dyDescent="0.25">
      <c r="A2385" s="3" t="str">
        <f>HYPERLINK("https://prolisok-store.com/collections/makeup/products/3ce-mood-recipe-matte-lip-color-909", "https://prolisok-store.com/collections/makeup/products/3ce-mood-recipe-matte-lip-color-909")</f>
        <v>https://prolisok-store.com/collections/makeup/products/3ce-mood-recipe-matte-lip-color-909</v>
      </c>
      <c r="B2385" s="3" t="str">
        <f>HYPERLINK("https://prolisok-store.com/products/3ce-mood-recipe-matte-lip-color-909", "https://prolisok-store.com/products/3ce-mood-recipe-matte-lip-color-909")</f>
        <v>https://prolisok-store.com/products/3ce-mood-recipe-matte-lip-color-909</v>
      </c>
      <c r="C2385" t="s">
        <v>4358</v>
      </c>
      <c r="D2385" t="s">
        <v>4359</v>
      </c>
      <c r="E2385" s="3" t="str">
        <f>HYPERLINK("https://www.amazon.com/3CE-MOOD-RECIPE-MATTE-COLOR/dp/B0777JF4PR/ref=sr_1_5?keywords=3CE+Mood+Recipe+Matte+Lip+Color%2C+909&amp;qid=1695259481&amp;sr=8-5", "https://www.amazon.com/3CE-MOOD-RECIPE-MATTE-COLOR/dp/B0777JF4PR/ref=sr_1_5?keywords=3CE+Mood+Recipe+Matte+Lip+Color%2C+909&amp;qid=1695259481&amp;sr=8-5")</f>
        <v>https://www.amazon.com/3CE-MOOD-RECIPE-MATTE-COLOR/dp/B0777JF4PR/ref=sr_1_5?keywords=3CE+Mood+Recipe+Matte+Lip+Color%2C+909&amp;qid=1695259481&amp;sr=8-5</v>
      </c>
      <c r="F2385" t="s">
        <v>4360</v>
      </c>
      <c r="G2385" t="e">
        <f ca="1">IMAGE("https://prolisok-store.com/cdn/shop/files/41q_eA_m8iL._SL1000_300x.jpg?v=1693221579")</f>
        <v>#NAME?</v>
      </c>
      <c r="H2385" t="e">
        <f ca="1">IMAGE("https://m.media-amazon.com/images/I/41lZN7xGY7L._AC_UL320_.jpg")</f>
        <v>#NAME?</v>
      </c>
      <c r="I2385" t="s">
        <v>3392</v>
      </c>
      <c r="J2385">
        <v>32</v>
      </c>
      <c r="K2385" s="2" t="s">
        <v>4361</v>
      </c>
      <c r="L2385">
        <v>4</v>
      </c>
      <c r="M2385">
        <v>35</v>
      </c>
      <c r="O2385" t="s">
        <v>26</v>
      </c>
      <c r="P2385" t="s">
        <v>39</v>
      </c>
      <c r="Q2385" t="s">
        <v>4362</v>
      </c>
    </row>
    <row r="2386" spans="1:17" ht="15.75" x14ac:dyDescent="0.25">
      <c r="A2386" s="3" t="str">
        <f>HYPERLINK("https://prolisok-store.com/collections/makeup/products/3ce-mood-recipe-matte-lip-color-909", "https://prolisok-store.com/collections/makeup/products/3ce-mood-recipe-matte-lip-color-909")</f>
        <v>https://prolisok-store.com/collections/makeup/products/3ce-mood-recipe-matte-lip-color-909</v>
      </c>
      <c r="B2386" s="3" t="str">
        <f>HYPERLINK("https://prolisok-store.com/products/3ce-mood-recipe-matte-lip-color-909", "https://prolisok-store.com/products/3ce-mood-recipe-matte-lip-color-909")</f>
        <v>https://prolisok-store.com/products/3ce-mood-recipe-matte-lip-color-909</v>
      </c>
      <c r="C2386" t="s">
        <v>4358</v>
      </c>
      <c r="D2386" t="s">
        <v>4367</v>
      </c>
      <c r="E2386" s="3" t="str">
        <f>HYPERLINK("https://www.amazon.com/Concept-Eyes-Recipe-Matte-Color/dp/B01N52PM26/ref=sr_1_7?keywords=3CE+Mood+Recipe+Matte+Lip+Color%2C+909&amp;qid=1695259481&amp;sr=8-7", "https://www.amazon.com/Concept-Eyes-Recipe-Matte-Color/dp/B01N52PM26/ref=sr_1_7?keywords=3CE+Mood+Recipe+Matte+Lip+Color%2C+909&amp;qid=1695259481&amp;sr=8-7")</f>
        <v>https://www.amazon.com/Concept-Eyes-Recipe-Matte-Color/dp/B01N52PM26/ref=sr_1_7?keywords=3CE+Mood+Recipe+Matte+Lip+Color%2C+909&amp;qid=1695259481&amp;sr=8-7</v>
      </c>
      <c r="F2386" t="s">
        <v>4368</v>
      </c>
      <c r="G2386" t="e">
        <f ca="1">IMAGE("https://prolisok-store.com/cdn/shop/files/41q_eA_m8iL._SL1000_300x.jpg?v=1693221579")</f>
        <v>#NAME?</v>
      </c>
      <c r="H2386" t="e">
        <f ca="1">IMAGE("https://m.media-amazon.com/images/I/61XkvzPhvPL._AC_UL320_.jpg")</f>
        <v>#NAME?</v>
      </c>
      <c r="I2386" t="s">
        <v>3392</v>
      </c>
      <c r="J2386">
        <v>32</v>
      </c>
      <c r="K2386" s="2" t="s">
        <v>4361</v>
      </c>
      <c r="L2386">
        <v>2.5</v>
      </c>
      <c r="M2386">
        <v>2</v>
      </c>
      <c r="O2386" t="s">
        <v>26</v>
      </c>
      <c r="P2386" t="s">
        <v>39</v>
      </c>
      <c r="Q2386" t="s">
        <v>4362</v>
      </c>
    </row>
    <row r="2387" spans="1:17" ht="15.75" x14ac:dyDescent="0.25">
      <c r="A2387" s="3" t="str">
        <f>HYPERLINK("https://prolisok-store.com/collections/makeup/products/3ce-mood-recipe-matte-lip-color-116", "https://prolisok-store.com/collections/makeup/products/3ce-mood-recipe-matte-lip-color-116")</f>
        <v>https://prolisok-store.com/collections/makeup/products/3ce-mood-recipe-matte-lip-color-116</v>
      </c>
      <c r="B2387" s="3" t="str">
        <f>HYPERLINK("https://prolisok-store.com/products/3ce-mood-recipe-matte-lip-color-116", "https://prolisok-store.com/products/3ce-mood-recipe-matte-lip-color-116")</f>
        <v>https://prolisok-store.com/products/3ce-mood-recipe-matte-lip-color-116</v>
      </c>
      <c r="C2387" t="s">
        <v>4363</v>
      </c>
      <c r="D2387" t="s">
        <v>4364</v>
      </c>
      <c r="E2387" s="3" t="str">
        <f>HYPERLINK("https://www.amazon.com/3CE-MOOD-RECIPE-MATTE-COLOR/dp/B0777DZC8Q/ref=sr_1_5?keywords=3CE+Mood+Recipe+Matte+Lip+Color%2C+116&amp;qid=1695259483&amp;sr=8-5", "https://www.amazon.com/3CE-MOOD-RECIPE-MATTE-COLOR/dp/B0777DZC8Q/ref=sr_1_5?keywords=3CE+Mood+Recipe+Matte+Lip+Color%2C+116&amp;qid=1695259483&amp;sr=8-5")</f>
        <v>https://www.amazon.com/3CE-MOOD-RECIPE-MATTE-COLOR/dp/B0777DZC8Q/ref=sr_1_5?keywords=3CE+Mood+Recipe+Matte+Lip+Color%2C+116&amp;qid=1695259483&amp;sr=8-5</v>
      </c>
      <c r="F2387" t="s">
        <v>4365</v>
      </c>
      <c r="G2387" t="e">
        <f ca="1">IMAGE("https://prolisok-store.com/cdn/shop/files/31C87n4RBaL_300x.jpg?v=1693221452")</f>
        <v>#NAME?</v>
      </c>
      <c r="H2387" t="e">
        <f ca="1">IMAGE("https://m.media-amazon.com/images/I/31TEnxtE9lL._AC_UL320_.jpg")</f>
        <v>#NAME?</v>
      </c>
      <c r="I2387" t="s">
        <v>3392</v>
      </c>
      <c r="J2387">
        <v>32</v>
      </c>
      <c r="K2387" s="2" t="s">
        <v>4361</v>
      </c>
      <c r="L2387">
        <v>5</v>
      </c>
      <c r="M2387">
        <v>2</v>
      </c>
      <c r="O2387" t="s">
        <v>26</v>
      </c>
      <c r="P2387" t="s">
        <v>39</v>
      </c>
      <c r="Q2387" t="s">
        <v>4366</v>
      </c>
    </row>
    <row r="2388" spans="1:17" ht="15.75" x14ac:dyDescent="0.25">
      <c r="A2388" s="3" t="str">
        <f>HYPERLINK("https://prolisok-store.com/collections/makeup/products/la-mer-soft-fluid-found-sf20-120", "https://prolisok-store.com/collections/makeup/products/la-mer-soft-fluid-found-sf20-120")</f>
        <v>https://prolisok-store.com/collections/makeup/products/la-mer-soft-fluid-found-sf20-120</v>
      </c>
      <c r="B2388" s="3" t="str">
        <f>HYPERLINK("https://prolisok-store.com/products/la-mer-soft-fluid-found-sf20-120", "https://prolisok-store.com/products/la-mer-soft-fluid-found-sf20-120")</f>
        <v>https://prolisok-store.com/products/la-mer-soft-fluid-found-sf20-120</v>
      </c>
      <c r="C2388" t="s">
        <v>4369</v>
      </c>
      <c r="D2388" t="s">
        <v>4370</v>
      </c>
      <c r="E2388" s="3" t="str">
        <f>HYPERLINK("https://www.amazon.com/Soft-Fluid-Foundation-SPF20-Shell/dp/B01MG7U45H/ref=sr_1_9?keywords=La+Mer+Soft+Fluid+Foundation+SF20+120&amp;qid=1695259449&amp;sr=8-9", "https://www.amazon.com/Soft-Fluid-Foundation-SPF20-Shell/dp/B01MG7U45H/ref=sr_1_9?keywords=La+Mer+Soft+Fluid+Foundation+SF20+120&amp;qid=1695259449&amp;sr=8-9")</f>
        <v>https://www.amazon.com/Soft-Fluid-Foundation-SPF20-Shell/dp/B01MG7U45H/ref=sr_1_9?keywords=La+Mer+Soft+Fluid+Foundation+SF20+120&amp;qid=1695259449&amp;sr=8-9</v>
      </c>
      <c r="F2388" t="s">
        <v>4371</v>
      </c>
      <c r="G2388" t="e">
        <f ca="1">IMAGE("https://prolisok-store.com/cdn/shop/products/41uQN86fQQL._SL1000_300x.jpg?v=1674030569")</f>
        <v>#NAME?</v>
      </c>
      <c r="H2388" t="e">
        <f ca="1">IMAGE("https://m.media-amazon.com/images/I/71101CnQpFL._AC_UL320_.jpg")</f>
        <v>#NAME?</v>
      </c>
      <c r="I2388" t="s">
        <v>4346</v>
      </c>
      <c r="J2388">
        <v>200</v>
      </c>
      <c r="K2388" s="2" t="s">
        <v>4372</v>
      </c>
      <c r="L2388">
        <v>4.0999999999999996</v>
      </c>
      <c r="M2388">
        <v>12</v>
      </c>
      <c r="O2388" t="s">
        <v>26</v>
      </c>
      <c r="P2388" t="s">
        <v>39</v>
      </c>
      <c r="Q2388" t="s">
        <v>4373</v>
      </c>
    </row>
    <row r="2389" spans="1:17" ht="15.75" x14ac:dyDescent="0.25">
      <c r="A2389" s="3" t="str">
        <f>HYPERLINK("https://prolisok-store.com/collections/makeup/products/3ce-mood-recipe-matte-lip-color-909", "https://prolisok-store.com/collections/makeup/products/3ce-mood-recipe-matte-lip-color-909")</f>
        <v>https://prolisok-store.com/collections/makeup/products/3ce-mood-recipe-matte-lip-color-909</v>
      </c>
      <c r="B2389" s="3" t="str">
        <f>HYPERLINK("https://prolisok-store.com/products/3ce-mood-recipe-matte-lip-color-909", "https://prolisok-store.com/products/3ce-mood-recipe-matte-lip-color-909")</f>
        <v>https://prolisok-store.com/products/3ce-mood-recipe-matte-lip-color-909</v>
      </c>
      <c r="C2389" t="s">
        <v>4358</v>
      </c>
      <c r="D2389" t="s">
        <v>4385</v>
      </c>
      <c r="E2389" s="3" t="str">
        <f>HYPERLINK("https://www.amazon.com/3CE-Recipe-Matte-Color-No-215/dp/B079HTSF9W/ref=sr_1_8?keywords=3CE+Mood+Recipe+Matte+Lip+Color%2C+909&amp;qid=1695259481&amp;sr=8-8", "https://www.amazon.com/3CE-Recipe-Matte-Color-No-215/dp/B079HTSF9W/ref=sr_1_8?keywords=3CE+Mood+Recipe+Matte+Lip+Color%2C+909&amp;qid=1695259481&amp;sr=8-8")</f>
        <v>https://www.amazon.com/3CE-Recipe-Matte-Color-No-215/dp/B079HTSF9W/ref=sr_1_8?keywords=3CE+Mood+Recipe+Matte+Lip+Color%2C+909&amp;qid=1695259481&amp;sr=8-8</v>
      </c>
      <c r="F2389" t="s">
        <v>4386</v>
      </c>
      <c r="G2389" t="e">
        <f ca="1">IMAGE("https://prolisok-store.com/cdn/shop/files/41q_eA_m8iL._SL1000_300x.jpg?v=1693221579")</f>
        <v>#NAME?</v>
      </c>
      <c r="H2389" t="e">
        <f ca="1">IMAGE("https://m.media-amazon.com/images/I/71Xr5MhF-SL._AC_UL320_.jpg")</f>
        <v>#NAME?</v>
      </c>
      <c r="I2389" t="s">
        <v>3392</v>
      </c>
      <c r="J2389">
        <v>29.89</v>
      </c>
      <c r="K2389" s="2" t="s">
        <v>4387</v>
      </c>
      <c r="L2389">
        <v>3.7</v>
      </c>
      <c r="M2389">
        <v>17</v>
      </c>
      <c r="O2389" t="s">
        <v>26</v>
      </c>
      <c r="P2389" t="s">
        <v>39</v>
      </c>
      <c r="Q2389" t="s">
        <v>4362</v>
      </c>
    </row>
    <row r="2390" spans="1:17" ht="15.75" x14ac:dyDescent="0.25">
      <c r="A2390" s="3" t="str">
        <f>HYPERLINK("https://prolisok-store.com/collections/makeup/products/3ce-mood-recipe-face-blush-rose-beige", "https://prolisok-store.com/collections/makeup/products/3ce-mood-recipe-face-blush-rose-beige")</f>
        <v>https://prolisok-store.com/collections/makeup/products/3ce-mood-recipe-face-blush-rose-beige</v>
      </c>
      <c r="B2390" s="3" t="str">
        <f>HYPERLINK("https://prolisok-store.com/products/3ce-mood-recipe-face-blush-rose-beige", "https://prolisok-store.com/products/3ce-mood-recipe-face-blush-rose-beige")</f>
        <v>https://prolisok-store.com/products/3ce-mood-recipe-face-blush-rose-beige</v>
      </c>
      <c r="C2390" t="s">
        <v>4404</v>
      </c>
      <c r="D2390" t="s">
        <v>4405</v>
      </c>
      <c r="E2390" s="3" t="str">
        <f>HYPERLINK("https://www.amazon.com/MOOD-RECIPE-FACE-BLUSH-MONO/dp/B0777NGV7S/ref=sr_1_4?keywords=3CE+Mood+Recipe+Face+Blush+-&amp;qid=1695259482&amp;sr=8-4", "https://www.amazon.com/MOOD-RECIPE-FACE-BLUSH-MONO/dp/B0777NGV7S/ref=sr_1_4?keywords=3CE+Mood+Recipe+Face+Blush+-&amp;qid=1695259482&amp;sr=8-4")</f>
        <v>https://www.amazon.com/MOOD-RECIPE-FACE-BLUSH-MONO/dp/B0777NGV7S/ref=sr_1_4?keywords=3CE+Mood+Recipe+Face+Blush+-&amp;qid=1695259482&amp;sr=8-4</v>
      </c>
      <c r="F2390" t="s">
        <v>4406</v>
      </c>
      <c r="G2390" t="e">
        <f ca="1">IMAGE("https://prolisok-store.com/cdn/shop/files/31TTnrkqldL_300x.jpg?v=1683820558")</f>
        <v>#NAME?</v>
      </c>
      <c r="H2390" t="e">
        <f ca="1">IMAGE("https://m.media-amazon.com/images/I/31rkG9bJNoL._AC_UL320_.jpg")</f>
        <v>#NAME?</v>
      </c>
      <c r="I2390" t="s">
        <v>3392</v>
      </c>
      <c r="J2390">
        <v>28.79</v>
      </c>
      <c r="K2390" s="2" t="s">
        <v>4407</v>
      </c>
      <c r="L2390">
        <v>4.5999999999999996</v>
      </c>
      <c r="M2390">
        <v>22</v>
      </c>
      <c r="O2390" t="s">
        <v>26</v>
      </c>
      <c r="P2390" t="s">
        <v>39</v>
      </c>
      <c r="Q2390" t="s">
        <v>4408</v>
      </c>
    </row>
    <row r="2391" spans="1:17" ht="15.75" x14ac:dyDescent="0.25">
      <c r="A2391" s="3" t="str">
        <f>HYPERLINK("https://prolisok-store.com/collections/makeup/products/3ce-new-velvet-lip-tint-absorbed-love-long-lasting-matte-finish", "https://prolisok-store.com/collections/makeup/products/3ce-new-velvet-lip-tint-absorbed-love-long-lasting-matte-finish")</f>
        <v>https://prolisok-store.com/collections/makeup/products/3ce-new-velvet-lip-tint-absorbed-love-long-lasting-matte-finish</v>
      </c>
      <c r="B2391" s="3" t="str">
        <f>HYPERLINK("https://prolisok-store.com/products/3ce-new-velvet-lip-tint-absorbed-love-long-lasting-matte-finish", "https://prolisok-store.com/products/3ce-new-velvet-lip-tint-absorbed-love-long-lasting-matte-finish")</f>
        <v>https://prolisok-store.com/products/3ce-new-velvet-lip-tint-absorbed-love-long-lasting-matte-finish</v>
      </c>
      <c r="C2391" t="s">
        <v>4409</v>
      </c>
      <c r="D2391" t="s">
        <v>4410</v>
      </c>
      <c r="E2391" s="3" t="str">
        <f>HYPERLINK("https://www.amazon.com/Velvet-Simply-Speaking-lasting-finish/dp/B07DJ5BL6K/ref=sr_1_3?keywords=3CE+New+Velvet+Lip+Tint&amp;qid=1695259511&amp;sr=8-3", "https://www.amazon.com/Velvet-Simply-Speaking-lasting-finish/dp/B07DJ5BL6K/ref=sr_1_3?keywords=3CE+New+Velvet+Lip+Tint&amp;qid=1695259511&amp;sr=8-3")</f>
        <v>https://www.amazon.com/Velvet-Simply-Speaking-lasting-finish/dp/B07DJ5BL6K/ref=sr_1_3?keywords=3CE+New+Velvet+Lip+Tint&amp;qid=1695259511&amp;sr=8-3</v>
      </c>
      <c r="F2391" t="s">
        <v>4411</v>
      </c>
      <c r="G2391" t="e">
        <f ca="1">IMAGE("https://prolisok-store.com/cdn/shop/files/41TsD5LcYOL_300x.jpg?v=1683818722")</f>
        <v>#NAME?</v>
      </c>
      <c r="H2391" t="e">
        <f ca="1">IMAGE("https://m.media-amazon.com/images/I/51bGwuosuVL._AC_UL320_.jpg")</f>
        <v>#NAME?</v>
      </c>
      <c r="I2391" t="s">
        <v>3392</v>
      </c>
      <c r="J2391">
        <v>28.5</v>
      </c>
      <c r="K2391" s="2" t="s">
        <v>4412</v>
      </c>
      <c r="L2391">
        <v>5</v>
      </c>
      <c r="M2391">
        <v>2</v>
      </c>
      <c r="O2391" t="s">
        <v>26</v>
      </c>
      <c r="P2391" t="s">
        <v>39</v>
      </c>
      <c r="Q2391" t="s">
        <v>4413</v>
      </c>
    </row>
    <row r="2392" spans="1:17" ht="15.75" x14ac:dyDescent="0.25">
      <c r="A2392" s="3" t="str">
        <f>HYPERLINK("https://prolisok-store.com/collections/makeup/products/3ce-mood-recipe-matte-lip-color-3-concept-eyes-season-2-220-hit-me-up", "https://prolisok-store.com/collections/makeup/products/3ce-mood-recipe-matte-lip-color-3-concept-eyes-season-2-220-hit-me-up")</f>
        <v>https://prolisok-store.com/collections/makeup/products/3ce-mood-recipe-matte-lip-color-3-concept-eyes-season-2-220-hit-me-up</v>
      </c>
      <c r="B2392"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2392" t="s">
        <v>4414</v>
      </c>
      <c r="D2392" t="s">
        <v>4415</v>
      </c>
      <c r="E2392" s="3" t="str">
        <f>HYPERLINK("https://www.amazon.com/3CE-Recipe-Concept-Season-Mirrorlike/dp/B078TCYVC7/ref=sr_1_6?keywords=3CE+Mood+Recipe+Matte+Lip+Color+3+Concept+Eyes+Season+2+%28&amp;qid=1695259496&amp;sr=8-6", "https://www.amazon.com/3CE-Recipe-Concept-Season-Mirrorlike/dp/B078TCYVC7/ref=sr_1_6?keywords=3CE+Mood+Recipe+Matte+Lip+Color+3+Concept+Eyes+Season+2+%28&amp;qid=1695259496&amp;sr=8-6")</f>
        <v>https://www.amazon.com/3CE-Recipe-Concept-Season-Mirrorlike/dp/B078TCYVC7/ref=sr_1_6?keywords=3CE+Mood+Recipe+Matte+Lip+Color+3+Concept+Eyes+Season+2+%28&amp;qid=1695259496&amp;sr=8-6</v>
      </c>
      <c r="F2392" t="s">
        <v>4416</v>
      </c>
      <c r="G2392" t="e">
        <f ca="1">IMAGE("https://prolisok-store.com/cdn/shop/files/41eAqvNQC-L._SL1000_300x.jpg?v=1693219330")</f>
        <v>#NAME?</v>
      </c>
      <c r="H2392" t="e">
        <f ca="1">IMAGE("https://m.media-amazon.com/images/I/41+cYXm6Q3L._AC_UL320_.jpg")</f>
        <v>#NAME?</v>
      </c>
      <c r="I2392" t="s">
        <v>3392</v>
      </c>
      <c r="J2392">
        <v>28.06</v>
      </c>
      <c r="K2392" s="2" t="s">
        <v>4417</v>
      </c>
      <c r="L2392">
        <v>3.5</v>
      </c>
      <c r="M2392">
        <v>16</v>
      </c>
      <c r="O2392" t="s">
        <v>26</v>
      </c>
      <c r="P2392" t="s">
        <v>39</v>
      </c>
      <c r="Q2392" t="s">
        <v>4418</v>
      </c>
    </row>
    <row r="2393" spans="1:17" ht="15.75" x14ac:dyDescent="0.25">
      <c r="A2393" s="3" t="str">
        <f>HYPERLINK("https://prolisok-store.com/collections/makeup/products/dabalash-eye-lash-enhancer", "https://prolisok-store.com/collections/makeup/products/dabalash-eye-lash-enhancer")</f>
        <v>https://prolisok-store.com/collections/makeup/products/dabalash-eye-lash-enhancer</v>
      </c>
      <c r="B2393" s="3" t="str">
        <f>HYPERLINK("https://prolisok-store.com/products/dabalash-eye-lash-enhancer", "https://prolisok-store.com/products/dabalash-eye-lash-enhancer")</f>
        <v>https://prolisok-store.com/products/dabalash-eye-lash-enhancer</v>
      </c>
      <c r="C2393" t="s">
        <v>4424</v>
      </c>
      <c r="D2393" t="s">
        <v>4425</v>
      </c>
      <c r="E2393" s="3" t="str">
        <f>HYPERLINK("https://www.amazon.com/Dabalash-Eye-Lash-Enhancer-PACK/dp/B09F9L3ZXH/ref=sr_1_2?keywords=Dabalash+Eye+Lash+Enhancer&amp;qid=1695259453&amp;sr=8-2", "https://www.amazon.com/Dabalash-Eye-Lash-Enhancer-PACK/dp/B09F9L3ZXH/ref=sr_1_2?keywords=Dabalash+Eye+Lash+Enhancer&amp;qid=1695259453&amp;sr=8-2")</f>
        <v>https://www.amazon.com/Dabalash-Eye-Lash-Enhancer-PACK/dp/B09F9L3ZXH/ref=sr_1_2?keywords=Dabalash+Eye+Lash+Enhancer&amp;qid=1695259453&amp;sr=8-2</v>
      </c>
      <c r="F2393" t="s">
        <v>4426</v>
      </c>
      <c r="G2393" t="e">
        <f ca="1">IMAGE("https://prolisok-store.com/cdn/shop/files/71dLRMnmysL._AC_SL1500_300x.jpg?v=1692864868")</f>
        <v>#NAME?</v>
      </c>
      <c r="H2393" t="e">
        <f ca="1">IMAGE("https://m.media-amazon.com/images/I/31Jj6Enas4L._AC_UL320_.jpg")</f>
        <v>#NAME?</v>
      </c>
      <c r="I2393" t="s">
        <v>3458</v>
      </c>
      <c r="J2393">
        <v>67.92</v>
      </c>
      <c r="K2393" s="2" t="s">
        <v>4427</v>
      </c>
      <c r="L2393">
        <v>5</v>
      </c>
      <c r="M2393">
        <v>1</v>
      </c>
      <c r="O2393" t="s">
        <v>26</v>
      </c>
      <c r="P2393" t="s">
        <v>39</v>
      </c>
      <c r="Q2393" t="s">
        <v>4428</v>
      </c>
    </row>
    <row r="2394" spans="1:17" ht="15.75" x14ac:dyDescent="0.25">
      <c r="A2394" s="3" t="str">
        <f>HYPERLINK("https://prolisok-store.com/collections/makeup/products/3ce-mood-recipe-matte-lip-color-116", "https://prolisok-store.com/collections/makeup/products/3ce-mood-recipe-matte-lip-color-116")</f>
        <v>https://prolisok-store.com/collections/makeup/products/3ce-mood-recipe-matte-lip-color-116</v>
      </c>
      <c r="B2394" s="3" t="str">
        <f>HYPERLINK("https://prolisok-store.com/products/3ce-mood-recipe-matte-lip-color-116", "https://prolisok-store.com/products/3ce-mood-recipe-matte-lip-color-116")</f>
        <v>https://prolisok-store.com/products/3ce-mood-recipe-matte-lip-color-116</v>
      </c>
      <c r="C2394" t="s">
        <v>4363</v>
      </c>
      <c r="D2394" t="s">
        <v>4363</v>
      </c>
      <c r="E2394" s="3" t="str">
        <f>HYPERLINK("https://www.amazon.com/3CE-Mood-Recipe-Matte-Color/dp/B079W98JCS/ref=sr_1_1?keywords=3CE+Mood+Recipe+Matte+Lip+Color%2C+116&amp;qid=1695259483&amp;sr=8-1", "https://www.amazon.com/3CE-Mood-Recipe-Matte-Color/dp/B079W98JCS/ref=sr_1_1?keywords=3CE+Mood+Recipe+Matte+Lip+Color%2C+116&amp;qid=1695259483&amp;sr=8-1")</f>
        <v>https://www.amazon.com/3CE-Mood-Recipe-Matte-Color/dp/B079W98JCS/ref=sr_1_1?keywords=3CE+Mood+Recipe+Matte+Lip+Color%2C+116&amp;qid=1695259483&amp;sr=8-1</v>
      </c>
      <c r="F2394" t="s">
        <v>4435</v>
      </c>
      <c r="G2394" t="e">
        <f ca="1">IMAGE("https://prolisok-store.com/cdn/shop/files/31C87n4RBaL_300x.jpg?v=1693221452")</f>
        <v>#NAME?</v>
      </c>
      <c r="H2394" t="e">
        <f ca="1">IMAGE("https://m.media-amazon.com/images/I/31C87n4RBaL._AC_UL320_.jpg")</f>
        <v>#NAME?</v>
      </c>
      <c r="I2394" t="s">
        <v>3392</v>
      </c>
      <c r="J2394">
        <v>25.99</v>
      </c>
      <c r="K2394" s="2" t="s">
        <v>4436</v>
      </c>
      <c r="L2394">
        <v>4.2</v>
      </c>
      <c r="M2394">
        <v>33</v>
      </c>
      <c r="O2394" t="s">
        <v>26</v>
      </c>
      <c r="P2394" t="s">
        <v>39</v>
      </c>
      <c r="Q2394" t="s">
        <v>4366</v>
      </c>
    </row>
    <row r="2395" spans="1:17" ht="15.75" x14ac:dyDescent="0.25">
      <c r="A2395" s="3" t="str">
        <f>HYPERLINK("https://prolisok-store.com/collections/makeup/products/3ce-mood-recipe-matte-lip-color-3-concept-eyes-season-2-220-hit-me-up", "https://prolisok-store.com/collections/makeup/products/3ce-mood-recipe-matte-lip-color-3-concept-eyes-season-2-220-hit-me-up")</f>
        <v>https://prolisok-store.com/collections/makeup/products/3ce-mood-recipe-matte-lip-color-3-concept-eyes-season-2-220-hit-me-up</v>
      </c>
      <c r="B2395"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2395" t="s">
        <v>4414</v>
      </c>
      <c r="D2395" t="s">
        <v>4437</v>
      </c>
      <c r="E2395" s="3" t="str">
        <f>HYPERLINK("https://www.amazon.com/Recipe-Matte-Color-Concept-Season/dp/B077CLJGZG/ref=sr_1_5?keywords=3CE+Mood+Recipe+Matte+Lip+Color+3+Concept+Eyes+Season+2+%28&amp;qid=1695259496&amp;sr=8-5", "https://www.amazon.com/Recipe-Matte-Color-Concept-Season/dp/B077CLJGZG/ref=sr_1_5?keywords=3CE+Mood+Recipe+Matte+Lip+Color+3+Concept+Eyes+Season+2+%28&amp;qid=1695259496&amp;sr=8-5")</f>
        <v>https://www.amazon.com/Recipe-Matte-Color-Concept-Season/dp/B077CLJGZG/ref=sr_1_5?keywords=3CE+Mood+Recipe+Matte+Lip+Color+3+Concept+Eyes+Season+2+%28&amp;qid=1695259496&amp;sr=8-5</v>
      </c>
      <c r="F2395" t="s">
        <v>4438</v>
      </c>
      <c r="G2395" t="e">
        <f ca="1">IMAGE("https://prolisok-store.com/cdn/shop/files/41eAqvNQC-L._SL1000_300x.jpg?v=1693219330")</f>
        <v>#NAME?</v>
      </c>
      <c r="H2395" t="e">
        <f ca="1">IMAGE("https://m.media-amazon.com/images/I/518kiA+OAQL._AC_UL320_.jpg")</f>
        <v>#NAME?</v>
      </c>
      <c r="I2395" t="s">
        <v>3392</v>
      </c>
      <c r="J2395">
        <v>25.88</v>
      </c>
      <c r="K2395" s="2" t="s">
        <v>4439</v>
      </c>
      <c r="L2395">
        <v>4</v>
      </c>
      <c r="M2395">
        <v>20</v>
      </c>
      <c r="O2395" t="s">
        <v>26</v>
      </c>
      <c r="P2395" t="s">
        <v>39</v>
      </c>
      <c r="Q2395" t="s">
        <v>4418</v>
      </c>
    </row>
    <row r="2396" spans="1:17" ht="15.75" x14ac:dyDescent="0.25">
      <c r="A2396" s="3" t="str">
        <f>HYPERLINK("https://prolisok-store.com/collections/makeup/products/3ce-mood-recipe-matte-lip-color-909", "https://prolisok-store.com/collections/makeup/products/3ce-mood-recipe-matte-lip-color-909")</f>
        <v>https://prolisok-store.com/collections/makeup/products/3ce-mood-recipe-matte-lip-color-909</v>
      </c>
      <c r="B2396" s="3" t="str">
        <f>HYPERLINK("https://prolisok-store.com/products/3ce-mood-recipe-matte-lip-color-909", "https://prolisok-store.com/products/3ce-mood-recipe-matte-lip-color-909")</f>
        <v>https://prolisok-store.com/products/3ce-mood-recipe-matte-lip-color-909</v>
      </c>
      <c r="C2396" t="s">
        <v>4358</v>
      </c>
      <c r="D2396" t="s">
        <v>4437</v>
      </c>
      <c r="E2396" s="3" t="str">
        <f>HYPERLINK("https://www.amazon.com/Recipe-Matte-Color-Concept-Season/dp/B077CLJGZG/ref=sr_1_6?keywords=3CE+Mood+Recipe+Matte+Lip+Color%2C+909&amp;qid=1695259481&amp;sr=8-6", "https://www.amazon.com/Recipe-Matte-Color-Concept-Season/dp/B077CLJGZG/ref=sr_1_6?keywords=3CE+Mood+Recipe+Matte+Lip+Color%2C+909&amp;qid=1695259481&amp;sr=8-6")</f>
        <v>https://www.amazon.com/Recipe-Matte-Color-Concept-Season/dp/B077CLJGZG/ref=sr_1_6?keywords=3CE+Mood+Recipe+Matte+Lip+Color%2C+909&amp;qid=1695259481&amp;sr=8-6</v>
      </c>
      <c r="F2396" t="s">
        <v>4438</v>
      </c>
      <c r="G2396" t="e">
        <f ca="1">IMAGE("https://prolisok-store.com/cdn/shop/files/41q_eA_m8iL._SL1000_300x.jpg?v=1693221579")</f>
        <v>#NAME?</v>
      </c>
      <c r="H2396" t="e">
        <f ca="1">IMAGE("https://m.media-amazon.com/images/I/518kiA+OAQL._AC_UL320_.jpg")</f>
        <v>#NAME?</v>
      </c>
      <c r="I2396" t="s">
        <v>3392</v>
      </c>
      <c r="J2396">
        <v>25.88</v>
      </c>
      <c r="K2396" s="2" t="s">
        <v>4439</v>
      </c>
      <c r="L2396">
        <v>4</v>
      </c>
      <c r="M2396">
        <v>20</v>
      </c>
      <c r="O2396" t="s">
        <v>26</v>
      </c>
      <c r="P2396" t="s">
        <v>39</v>
      </c>
      <c r="Q2396" t="s">
        <v>4362</v>
      </c>
    </row>
    <row r="2397" spans="1:17" ht="15.75" x14ac:dyDescent="0.25">
      <c r="A2397" s="3" t="str">
        <f>HYPERLINK("https://prolisok-store.com/collections/makeup/products/3ce-mood-recipe-matte-lip-color-116", "https://prolisok-store.com/collections/makeup/products/3ce-mood-recipe-matte-lip-color-116")</f>
        <v>https://prolisok-store.com/collections/makeup/products/3ce-mood-recipe-matte-lip-color-116</v>
      </c>
      <c r="B2397" s="3" t="str">
        <f>HYPERLINK("https://prolisok-store.com/products/3ce-mood-recipe-matte-lip-color-116", "https://prolisok-store.com/products/3ce-mood-recipe-matte-lip-color-116")</f>
        <v>https://prolisok-store.com/products/3ce-mood-recipe-matte-lip-color-116</v>
      </c>
      <c r="C2397" t="s">
        <v>4363</v>
      </c>
      <c r="D2397" t="s">
        <v>4437</v>
      </c>
      <c r="E2397" s="3" t="str">
        <f>HYPERLINK("https://www.amazon.com/Recipe-Matte-Color-Concept-Season/dp/B077CLJGZG/ref=sr_1_9?keywords=3CE+Mood+Recipe+Matte+Lip+Color%2C+116&amp;qid=1695259483&amp;sr=8-9", "https://www.amazon.com/Recipe-Matte-Color-Concept-Season/dp/B077CLJGZG/ref=sr_1_9?keywords=3CE+Mood+Recipe+Matte+Lip+Color%2C+116&amp;qid=1695259483&amp;sr=8-9")</f>
        <v>https://www.amazon.com/Recipe-Matte-Color-Concept-Season/dp/B077CLJGZG/ref=sr_1_9?keywords=3CE+Mood+Recipe+Matte+Lip+Color%2C+116&amp;qid=1695259483&amp;sr=8-9</v>
      </c>
      <c r="F2397" t="s">
        <v>4438</v>
      </c>
      <c r="G2397" t="e">
        <f ca="1">IMAGE("https://prolisok-store.com/cdn/shop/files/31C87n4RBaL_300x.jpg?v=1693221452")</f>
        <v>#NAME?</v>
      </c>
      <c r="H2397" t="e">
        <f ca="1">IMAGE("https://m.media-amazon.com/images/I/518kiA+OAQL._AC_UL320_.jpg")</f>
        <v>#NAME?</v>
      </c>
      <c r="I2397" t="s">
        <v>3392</v>
      </c>
      <c r="J2397">
        <v>25.88</v>
      </c>
      <c r="K2397" s="2" t="s">
        <v>4439</v>
      </c>
      <c r="L2397">
        <v>4</v>
      </c>
      <c r="M2397">
        <v>20</v>
      </c>
      <c r="O2397" t="s">
        <v>26</v>
      </c>
      <c r="P2397" t="s">
        <v>39</v>
      </c>
      <c r="Q2397" t="s">
        <v>4366</v>
      </c>
    </row>
    <row r="2398" spans="1:17" ht="15.75" x14ac:dyDescent="0.25">
      <c r="A2398" s="3" t="str">
        <f>HYPERLINK("https://prolisok-store.com/collections/makeup/products/sisley-phyto-levres-perfect-lipliner-with-lip-brush-and-sharpener-6-chocolat-1-2g-0-04oz", "https://prolisok-store.com/collections/makeup/products/sisley-phyto-levres-perfect-lipliner-with-lip-brush-and-sharpener-6-chocolat-1-2g-0-04oz")</f>
        <v>https://prolisok-store.com/collections/makeup/products/sisley-phyto-levres-perfect-lipliner-with-lip-brush-and-sharpener-6-chocolat-1-2g-0-04oz</v>
      </c>
      <c r="B2398" s="3" t="str">
        <f>HYPERLINK("https://prolisok-store.com/products/sisley-phyto-levres-perfect-lipliner-with-lip-brush-and-sharpener-6-chocolat-1-2g-0-04oz", "https://prolisok-store.com/products/sisley-phyto-levres-perfect-lipliner-with-lip-brush-and-sharpener-6-chocolat-1-2g-0-04oz")</f>
        <v>https://prolisok-store.com/products/sisley-phyto-levres-perfect-lipliner-with-lip-brush-and-sharpener-6-chocolat-1-2g-0-04oz</v>
      </c>
      <c r="C2398" t="s">
        <v>5951</v>
      </c>
      <c r="D2398" t="s">
        <v>5952</v>
      </c>
      <c r="E2398" s="3" t="str">
        <f>HYPERLINK("https://www.amazon.com/Sisley-Phyto-Levres-Perfect-Lipliner-Sharpener/dp/B004EHRG0M/ref=sr_1_6?keywords=Sisley+phyto+levres+perfect+lipliner+with+lip+brush+and+sharpener+-+%236+chocolat+1.2g%2F0.04oz&amp;qid=1695259543&amp;sr=8-6", "https://www.amazon.com/Sisley-Phyto-Levres-Perfect-Lipliner-Sharpener/dp/B004EHRG0M/ref=sr_1_6?keywords=Sisley+phyto+levres+perfect+lipliner+with+lip+brush+and+sharpener+-+%236+chocolat+1.2g%2F0.04oz&amp;qid=1695259543&amp;sr=8-6")</f>
        <v>https://www.amazon.com/Sisley-Phyto-Levres-Perfect-Lipliner-Sharpener/dp/B004EHRG0M/ref=sr_1_6?keywords=Sisley+phyto+levres+perfect+lipliner+with+lip+brush+and+sharpener+-+%236+chocolat+1.2g%2F0.04oz&amp;qid=1695259543&amp;sr=8-6</v>
      </c>
      <c r="F2398" t="s">
        <v>5953</v>
      </c>
      <c r="G2398" t="e">
        <f ca="1">IMAGE("https://prolisok-store.com/cdn/shop/products/185462_300x.jpg?v=1690900901")</f>
        <v>#NAME?</v>
      </c>
      <c r="H2398" t="e">
        <f ca="1">IMAGE("https://m.media-amazon.com/images/I/61CL0U8J42L._AC_UL320_.jpg")</f>
        <v>#NAME?</v>
      </c>
      <c r="I2398" t="s">
        <v>5954</v>
      </c>
      <c r="J2398">
        <v>158.33000000000001</v>
      </c>
      <c r="K2398" s="2" t="s">
        <v>5955</v>
      </c>
      <c r="L2398">
        <v>5</v>
      </c>
      <c r="M2398">
        <v>1</v>
      </c>
      <c r="O2398" t="s">
        <v>26</v>
      </c>
      <c r="P2398" t="s">
        <v>39</v>
      </c>
      <c r="Q2398" t="s">
        <v>5956</v>
      </c>
    </row>
    <row r="2399" spans="1:17" ht="15.75" x14ac:dyDescent="0.25">
      <c r="A2399" s="3" t="str">
        <f>HYPERLINK("https://prolisok-store.com/collections/makeup/products/sisley-phyto-levres-perfect-lipliner-with-lip-brush-and-sharpener-1-nude-1-2g-0-04oz", "https://prolisok-store.com/collections/makeup/products/sisley-phyto-levres-perfect-lipliner-with-lip-brush-and-sharpener-1-nude-1-2g-0-04oz")</f>
        <v>https://prolisok-store.com/collections/makeup/products/sisley-phyto-levres-perfect-lipliner-with-lip-brush-and-sharpener-1-nude-1-2g-0-04oz</v>
      </c>
      <c r="B2399" s="3" t="str">
        <f>HYPERLINK("https://prolisok-store.com/products/sisley-phyto-levres-perfect-lipliner-with-lip-brush-and-sharpener-1-nude-1-2g-0-04oz", "https://prolisok-store.com/products/sisley-phyto-levres-perfect-lipliner-with-lip-brush-and-sharpener-1-nude-1-2g-0-04oz")</f>
        <v>https://prolisok-store.com/products/sisley-phyto-levres-perfect-lipliner-with-lip-brush-and-sharpener-1-nude-1-2g-0-04oz</v>
      </c>
      <c r="C2399" t="s">
        <v>5957</v>
      </c>
      <c r="D2399" t="s">
        <v>5952</v>
      </c>
      <c r="E2399" s="3" t="str">
        <f>HYPERLINK("https://www.amazon.com/Sisley-Phyto-Levres-Perfect-Lipliner-Sharpener/dp/B004EHRG0M/ref=sr_1_6?keywords=Sisley+phyto+levres+perfect+lipliner+with+lip+brush+and+sharpener+-+%231+nude+1.2g%2F0.04oz&amp;qid=1695259509&amp;sr=8-6", "https://www.amazon.com/Sisley-Phyto-Levres-Perfect-Lipliner-Sharpener/dp/B004EHRG0M/ref=sr_1_6?keywords=Sisley+phyto+levres+perfect+lipliner+with+lip+brush+and+sharpener+-+%231+nude+1.2g%2F0.04oz&amp;qid=1695259509&amp;sr=8-6")</f>
        <v>https://www.amazon.com/Sisley-Phyto-Levres-Perfect-Lipliner-Sharpener/dp/B004EHRG0M/ref=sr_1_6?keywords=Sisley+phyto+levres+perfect+lipliner+with+lip+brush+and+sharpener+-+%231+nude+1.2g%2F0.04oz&amp;qid=1695259509&amp;sr=8-6</v>
      </c>
      <c r="F2399" t="s">
        <v>5953</v>
      </c>
      <c r="G2399" t="e">
        <f ca="1">IMAGE("https://prolisok-store.com/cdn/shop/products/178979_300x.jpg?v=1690900912")</f>
        <v>#NAME?</v>
      </c>
      <c r="H2399" t="e">
        <f ca="1">IMAGE("https://m.media-amazon.com/images/I/61CL0U8J42L._AC_UL320_.jpg")</f>
        <v>#NAME?</v>
      </c>
      <c r="I2399" t="s">
        <v>5954</v>
      </c>
      <c r="J2399">
        <v>158.33000000000001</v>
      </c>
      <c r="K2399" s="2" t="s">
        <v>5955</v>
      </c>
      <c r="L2399">
        <v>5</v>
      </c>
      <c r="M2399">
        <v>1</v>
      </c>
      <c r="O2399" t="s">
        <v>26</v>
      </c>
      <c r="P2399" t="s">
        <v>39</v>
      </c>
      <c r="Q2399" t="s">
        <v>5958</v>
      </c>
    </row>
    <row r="2400" spans="1:17" ht="15.75" x14ac:dyDescent="0.25">
      <c r="A2400" s="3" t="str">
        <f>HYPERLINK("https://prolisok-store.com/collections/makeup/products/sisley-phyto-levres-perfect-lipliner-with-lip-brush-and-sharpener-5-burgundy-1-2g-0-04oz", "https://prolisok-store.com/collections/makeup/products/sisley-phyto-levres-perfect-lipliner-with-lip-brush-and-sharpener-5-burgundy-1-2g-0-04oz")</f>
        <v>https://prolisok-store.com/collections/makeup/products/sisley-phyto-levres-perfect-lipliner-with-lip-brush-and-sharpener-5-burgundy-1-2g-0-04oz</v>
      </c>
      <c r="B2400" s="3" t="str">
        <f>HYPERLINK("https://prolisok-store.com/products/sisley-phyto-levres-perfect-lipliner-with-lip-brush-and-sharpener-5-burgundy-1-2g-0-04oz", "https://prolisok-store.com/products/sisley-phyto-levres-perfect-lipliner-with-lip-brush-and-sharpener-5-burgundy-1-2g-0-04oz")</f>
        <v>https://prolisok-store.com/products/sisley-phyto-levres-perfect-lipliner-with-lip-brush-and-sharpener-5-burgundy-1-2g-0-04oz</v>
      </c>
      <c r="C2400" t="s">
        <v>5959</v>
      </c>
      <c r="D2400" t="s">
        <v>5952</v>
      </c>
      <c r="E2400" s="3" t="str">
        <f>HYPERLINK("https://www.amazon.com/Sisley-Phyto-Levres-Perfect-Lipliner-Sharpener/dp/B004EHRG0M/ref=sr_1_4?keywords=Sisley+phyto+levres+perfect+lipliner+with+lip+brush+and+sharpener+-+%235+burgundy+1.2g%2F0.04oz&amp;qid=1695259523&amp;sr=8-4", "https://www.amazon.com/Sisley-Phyto-Levres-Perfect-Lipliner-Sharpener/dp/B004EHRG0M/ref=sr_1_4?keywords=Sisley+phyto+levres+perfect+lipliner+with+lip+brush+and+sharpener+-+%235+burgundy+1.2g%2F0.04oz&amp;qid=1695259523&amp;sr=8-4")</f>
        <v>https://www.amazon.com/Sisley-Phyto-Levres-Perfect-Lipliner-Sharpener/dp/B004EHRG0M/ref=sr_1_4?keywords=Sisley+phyto+levres+perfect+lipliner+with+lip+brush+and+sharpener+-+%235+burgundy+1.2g%2F0.04oz&amp;qid=1695259523&amp;sr=8-4</v>
      </c>
      <c r="F2400" t="s">
        <v>5953</v>
      </c>
      <c r="G2400" t="e">
        <f ca="1">IMAGE("https://prolisok-store.com/cdn/shop/products/187944_300x.jpg?v=1690900896")</f>
        <v>#NAME?</v>
      </c>
      <c r="H2400" t="e">
        <f ca="1">IMAGE("https://m.media-amazon.com/images/I/61CL0U8J42L._AC_UL320_.jpg")</f>
        <v>#NAME?</v>
      </c>
      <c r="I2400" t="s">
        <v>5954</v>
      </c>
      <c r="J2400">
        <v>158.33000000000001</v>
      </c>
      <c r="K2400" s="2" t="s">
        <v>5955</v>
      </c>
      <c r="L2400">
        <v>5</v>
      </c>
      <c r="M2400">
        <v>1</v>
      </c>
      <c r="O2400" t="s">
        <v>26</v>
      </c>
      <c r="P2400" t="s">
        <v>39</v>
      </c>
      <c r="Q2400" t="s">
        <v>5960</v>
      </c>
    </row>
    <row r="2401" spans="1:17" ht="15.75" x14ac:dyDescent="0.25">
      <c r="A2401" s="3" t="str">
        <f>HYPERLINK("https://prolisok-store.com/collections/makeup/products/sisley-phyto-levres-perfect-lipliner-with-lip-brush-and-sharpener-10-auburn-1-2g-0-04oz", "https://prolisok-store.com/collections/makeup/products/sisley-phyto-levres-perfect-lipliner-with-lip-brush-and-sharpener-10-auburn-1-2g-0-04oz")</f>
        <v>https://prolisok-store.com/collections/makeup/products/sisley-phyto-levres-perfect-lipliner-with-lip-brush-and-sharpener-10-auburn-1-2g-0-04oz</v>
      </c>
      <c r="B2401" s="3" t="str">
        <f>HYPERLINK("https://prolisok-store.com/products/sisley-phyto-levres-perfect-lipliner-with-lip-brush-and-sharpener-10-auburn-1-2g-0-04oz", "https://prolisok-store.com/products/sisley-phyto-levres-perfect-lipliner-with-lip-brush-and-sharpener-10-auburn-1-2g-0-04oz")</f>
        <v>https://prolisok-store.com/products/sisley-phyto-levres-perfect-lipliner-with-lip-brush-and-sharpener-10-auburn-1-2g-0-04oz</v>
      </c>
      <c r="C2401" t="s">
        <v>5961</v>
      </c>
      <c r="D2401" t="s">
        <v>5952</v>
      </c>
      <c r="E2401" s="3" t="str">
        <f>HYPERLINK("https://www.amazon.com/Sisley-Phyto-Levres-Perfect-Lipliner-Sharpener/dp/B004EHRG0M/ref=sr_1_4?keywords=Sisley+phyto+levres+perfect+lipliner+with+lip+brush+and+sharpener+-+%2310+auburn+1.2g%2F0.04oz&amp;qid=1695259518&amp;sr=8-4", "https://www.amazon.com/Sisley-Phyto-Levres-Perfect-Lipliner-Sharpener/dp/B004EHRG0M/ref=sr_1_4?keywords=Sisley+phyto+levres+perfect+lipliner+with+lip+brush+and+sharpener+-+%2310+auburn+1.2g%2F0.04oz&amp;qid=1695259518&amp;sr=8-4")</f>
        <v>https://www.amazon.com/Sisley-Phyto-Levres-Perfect-Lipliner-Sharpener/dp/B004EHRG0M/ref=sr_1_4?keywords=Sisley+phyto+levres+perfect+lipliner+with+lip+brush+and+sharpener+-+%2310+auburn+1.2g%2F0.04oz&amp;qid=1695259518&amp;sr=8-4</v>
      </c>
      <c r="F2401" t="s">
        <v>5953</v>
      </c>
      <c r="G2401" t="e">
        <f ca="1">IMAGE("https://prolisok-store.com/cdn/shop/products/288210_300x.jpg?v=1690900921")</f>
        <v>#NAME?</v>
      </c>
      <c r="H2401" t="e">
        <f ca="1">IMAGE("https://m.media-amazon.com/images/I/61CL0U8J42L._AC_UL320_.jpg")</f>
        <v>#NAME?</v>
      </c>
      <c r="I2401" t="s">
        <v>5954</v>
      </c>
      <c r="J2401">
        <v>158.33000000000001</v>
      </c>
      <c r="K2401" s="2" t="s">
        <v>5955</v>
      </c>
      <c r="L2401">
        <v>5</v>
      </c>
      <c r="M2401">
        <v>1</v>
      </c>
      <c r="O2401" t="s">
        <v>26</v>
      </c>
      <c r="P2401" t="s">
        <v>39</v>
      </c>
      <c r="Q2401" t="s">
        <v>5962</v>
      </c>
    </row>
    <row r="2402" spans="1:17" ht="15.75" x14ac:dyDescent="0.25">
      <c r="A2402" s="3" t="str">
        <f>HYPERLINK("https://prolisok-store.com/collections/makeup/products/suqqu-the-cream-foundation-110-spf25-pa-30g-japan", "https://prolisok-store.com/collections/makeup/products/suqqu-the-cream-foundation-110-spf25-pa-30g-japan")</f>
        <v>https://prolisok-store.com/collections/makeup/products/suqqu-the-cream-foundation-110-spf25-pa-30g-japan</v>
      </c>
      <c r="B2402" s="3" t="str">
        <f>HYPERLINK("https://prolisok-store.com/products/suqqu-the-cream-foundation-110-spf25-pa-30g-japan", "https://prolisok-store.com/products/suqqu-the-cream-foundation-110-spf25-pa-30g-japan")</f>
        <v>https://prolisok-store.com/products/suqqu-the-cream-foundation-110-spf25-pa-30g-japan</v>
      </c>
      <c r="C2402" t="s">
        <v>4440</v>
      </c>
      <c r="D2402" t="s">
        <v>4441</v>
      </c>
      <c r="E2402" s="3" t="str">
        <f>HYPERLINK("https://www.amazon.com/Suqqu-Cream-Foundation-SPF25-Japan/dp/B08H871CL1/ref=sr_1_1?keywords=Suqqu+The+Cream+Foundation+%28110%29+SPF25+PA+30g+Japan&amp;qid=1695259485&amp;sr=8-1", "https://www.amazon.com/Suqqu-Cream-Foundation-SPF25-Japan/dp/B08H871CL1/ref=sr_1_1?keywords=Suqqu+The+Cream+Foundation+%28110%29+SPF25+PA+30g+Japan&amp;qid=1695259485&amp;sr=8-1")</f>
        <v>https://www.amazon.com/Suqqu-Cream-Foundation-SPF25-Japan/dp/B08H871CL1/ref=sr_1_1?keywords=Suqqu+The+Cream+Foundation+%28110%29+SPF25+PA+30g+Japan&amp;qid=1695259485&amp;sr=8-1</v>
      </c>
      <c r="F2402" t="s">
        <v>4442</v>
      </c>
      <c r="G2402" t="e">
        <f ca="1">IMAGE("https://prolisok-store.com/cdn/shop/files/51FTjwGjP4L._SL1280_300x.jpg?v=1693221938")</f>
        <v>#NAME?</v>
      </c>
      <c r="H2402" t="e">
        <f ca="1">IMAGE("https://m.media-amazon.com/images/I/21doHVWc8uL._AC_UL320_.jpg")</f>
        <v>#NAME?</v>
      </c>
      <c r="I2402" t="s">
        <v>3404</v>
      </c>
      <c r="J2402">
        <v>94.47</v>
      </c>
      <c r="K2402" s="2" t="s">
        <v>4443</v>
      </c>
      <c r="L2402">
        <v>3.7</v>
      </c>
      <c r="M2402">
        <v>6</v>
      </c>
      <c r="O2402" t="s">
        <v>26</v>
      </c>
      <c r="P2402" t="s">
        <v>39</v>
      </c>
      <c r="Q2402" t="s">
        <v>4444</v>
      </c>
    </row>
    <row r="2403" spans="1:17" ht="15.75" x14ac:dyDescent="0.25">
      <c r="A2403" s="3" t="str">
        <f>HYPERLINK("https://prolisok-store.com/collections/makeup/products/3ce-mood-recipe-matte-lip-color-909", "https://prolisok-store.com/collections/makeup/products/3ce-mood-recipe-matte-lip-color-909")</f>
        <v>https://prolisok-store.com/collections/makeup/products/3ce-mood-recipe-matte-lip-color-909</v>
      </c>
      <c r="B2403" s="3" t="str">
        <f>HYPERLINK("https://prolisok-store.com/products/3ce-mood-recipe-matte-lip-color-909", "https://prolisok-store.com/products/3ce-mood-recipe-matte-lip-color-909")</f>
        <v>https://prolisok-store.com/products/3ce-mood-recipe-matte-lip-color-909</v>
      </c>
      <c r="C2403" t="s">
        <v>4358</v>
      </c>
      <c r="D2403" t="s">
        <v>4358</v>
      </c>
      <c r="E2403" s="3" t="str">
        <f>HYPERLINK("https://www.amazon.com/3CE-Mood-Recipe-Matte-Color/dp/B079W9GLQL/ref=sr_1_1?keywords=3CE+Mood+Recipe+Matte+Lip+Color%2C+909&amp;qid=1695259481&amp;sr=8-1", "https://www.amazon.com/3CE-Mood-Recipe-Matte-Color/dp/B079W9GLQL/ref=sr_1_1?keywords=3CE+Mood+Recipe+Matte+Lip+Color%2C+909&amp;qid=1695259481&amp;sr=8-1")</f>
        <v>https://www.amazon.com/3CE-Mood-Recipe-Matte-Color/dp/B079W9GLQL/ref=sr_1_1?keywords=3CE+Mood+Recipe+Matte+Lip+Color%2C+909&amp;qid=1695259481&amp;sr=8-1</v>
      </c>
      <c r="F2403" t="s">
        <v>4445</v>
      </c>
      <c r="G2403" t="e">
        <f ca="1">IMAGE("https://prolisok-store.com/cdn/shop/files/41q_eA_m8iL._SL1000_300x.jpg?v=1693221579")</f>
        <v>#NAME?</v>
      </c>
      <c r="H2403" t="e">
        <f ca="1">IMAGE("https://m.media-amazon.com/images/I/41q+eA+m8iL._AC_UL320_.jpg")</f>
        <v>#NAME?</v>
      </c>
      <c r="I2403" t="s">
        <v>3392</v>
      </c>
      <c r="J2403">
        <v>24.99</v>
      </c>
      <c r="K2403" s="2" t="s">
        <v>4446</v>
      </c>
      <c r="L2403">
        <v>4.2</v>
      </c>
      <c r="M2403">
        <v>33</v>
      </c>
      <c r="O2403" t="s">
        <v>26</v>
      </c>
      <c r="P2403" t="s">
        <v>39</v>
      </c>
      <c r="Q2403" t="s">
        <v>4362</v>
      </c>
    </row>
    <row r="2404" spans="1:17" ht="15.75" x14ac:dyDescent="0.25">
      <c r="A2404" s="3" t="str">
        <f>HYPERLINK("https://prolisok-store.com/collections/makeup/products/la-mer-soft-fluid-found-sf20-120", "https://prolisok-store.com/collections/makeup/products/la-mer-soft-fluid-found-sf20-120")</f>
        <v>https://prolisok-store.com/collections/makeup/products/la-mer-soft-fluid-found-sf20-120</v>
      </c>
      <c r="B2404" s="3" t="str">
        <f>HYPERLINK("https://prolisok-store.com/products/la-mer-soft-fluid-found-sf20-120", "https://prolisok-store.com/products/la-mer-soft-fluid-found-sf20-120")</f>
        <v>https://prolisok-store.com/products/la-mer-soft-fluid-found-sf20-120</v>
      </c>
      <c r="C2404" t="s">
        <v>4369</v>
      </c>
      <c r="D2404" t="s">
        <v>4463</v>
      </c>
      <c r="E2404" s="3" t="str">
        <f>HYPERLINK("https://www.amazon.com/Mer-Soft-Fluid-Foundation-Ivory/dp/B01M30X0KO/ref=sr_1_3?keywords=La+Mer+Soft+Fluid+Foundation+SF20+120&amp;qid=1695259449&amp;sr=8-3", "https://www.amazon.com/Mer-Soft-Fluid-Foundation-Ivory/dp/B01M30X0KO/ref=sr_1_3?keywords=La+Mer+Soft+Fluid+Foundation+SF20+120&amp;qid=1695259449&amp;sr=8-3")</f>
        <v>https://www.amazon.com/Mer-Soft-Fluid-Foundation-Ivory/dp/B01M30X0KO/ref=sr_1_3?keywords=La+Mer+Soft+Fluid+Foundation+SF20+120&amp;qid=1695259449&amp;sr=8-3</v>
      </c>
      <c r="F2404" t="s">
        <v>4464</v>
      </c>
      <c r="G2404" t="e">
        <f ca="1">IMAGE("https://prolisok-store.com/cdn/shop/products/41uQN86fQQL._SL1000_300x.jpg?v=1674030569")</f>
        <v>#NAME?</v>
      </c>
      <c r="H2404" t="e">
        <f ca="1">IMAGE("https://m.media-amazon.com/images/I/71foDwwBTlL._AC_UL320_.jpg")</f>
        <v>#NAME?</v>
      </c>
      <c r="I2404" t="s">
        <v>4346</v>
      </c>
      <c r="J2404">
        <v>147</v>
      </c>
      <c r="K2404" s="2" t="s">
        <v>4465</v>
      </c>
      <c r="L2404">
        <v>3.6</v>
      </c>
      <c r="M2404">
        <v>9</v>
      </c>
      <c r="O2404" t="s">
        <v>26</v>
      </c>
      <c r="P2404" t="s">
        <v>39</v>
      </c>
      <c r="Q2404" t="s">
        <v>4373</v>
      </c>
    </row>
    <row r="2405" spans="1:17" ht="15.75" x14ac:dyDescent="0.25">
      <c r="A2405" s="3" t="str">
        <f>HYPERLINK("https://prolisok-store.com/collections/makeup/products/3ce-mood-recipe-matte-lip-color-116", "https://prolisok-store.com/collections/makeup/products/3ce-mood-recipe-matte-lip-color-116")</f>
        <v>https://prolisok-store.com/collections/makeup/products/3ce-mood-recipe-matte-lip-color-116</v>
      </c>
      <c r="B2405" s="3" t="str">
        <f>HYPERLINK("https://prolisok-store.com/products/3ce-mood-recipe-matte-lip-color-116", "https://prolisok-store.com/products/3ce-mood-recipe-matte-lip-color-116")</f>
        <v>https://prolisok-store.com/products/3ce-mood-recipe-matte-lip-color-116</v>
      </c>
      <c r="C2405" t="s">
        <v>4363</v>
      </c>
      <c r="D2405" t="s">
        <v>4470</v>
      </c>
      <c r="E2405" s="3" t="str">
        <f>HYPERLINK("https://www.amazon.com/Recipe-Matte-Color-Concept-Season/dp/B077CMF9NB/ref=sr_1_10?keywords=3CE+Mood+Recipe+Matte+Lip+Color%2C+116&amp;qid=1695259483&amp;sr=8-10", "https://www.amazon.com/Recipe-Matte-Color-Concept-Season/dp/B077CMF9NB/ref=sr_1_10?keywords=3CE+Mood+Recipe+Matte+Lip+Color%2C+116&amp;qid=1695259483&amp;sr=8-10")</f>
        <v>https://www.amazon.com/Recipe-Matte-Color-Concept-Season/dp/B077CMF9NB/ref=sr_1_10?keywords=3CE+Mood+Recipe+Matte+Lip+Color%2C+116&amp;qid=1695259483&amp;sr=8-10</v>
      </c>
      <c r="F2405" t="s">
        <v>4471</v>
      </c>
      <c r="G2405" t="e">
        <f ca="1">IMAGE("https://prolisok-store.com/cdn/shop/files/31C87n4RBaL_300x.jpg?v=1693221452")</f>
        <v>#NAME?</v>
      </c>
      <c r="H2405" t="e">
        <f ca="1">IMAGE("https://m.media-amazon.com/images/I/31Mkk3Fv3nL._AC_UL320_.jpg")</f>
        <v>#NAME?</v>
      </c>
      <c r="I2405" t="s">
        <v>3392</v>
      </c>
      <c r="J2405">
        <v>23.22</v>
      </c>
      <c r="K2405" s="2" t="s">
        <v>4472</v>
      </c>
      <c r="L2405">
        <v>4.0999999999999996</v>
      </c>
      <c r="M2405">
        <v>43</v>
      </c>
      <c r="O2405" t="s">
        <v>26</v>
      </c>
      <c r="P2405" t="s">
        <v>39</v>
      </c>
      <c r="Q2405" t="s">
        <v>4366</v>
      </c>
    </row>
    <row r="2406" spans="1:17" ht="15.75" x14ac:dyDescent="0.25">
      <c r="A2406" s="3" t="str">
        <f>HYPERLINK("https://prolisok-store.com/collections/makeup/products/3ce-mood-recipe-matte-lip-color-3-concept-eyes-season-2-220-hit-me-up", "https://prolisok-store.com/collections/makeup/products/3ce-mood-recipe-matte-lip-color-3-concept-eyes-season-2-220-hit-me-up")</f>
        <v>https://prolisok-store.com/collections/makeup/products/3ce-mood-recipe-matte-lip-color-3-concept-eyes-season-2-220-hit-me-up</v>
      </c>
      <c r="B2406"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2406" t="s">
        <v>4414</v>
      </c>
      <c r="D2406" t="s">
        <v>4470</v>
      </c>
      <c r="E2406" s="3" t="str">
        <f>HYPERLINK("https://www.amazon.com/Recipe-Matte-Color-Concept-Season/dp/B077CMF9NB/ref=sr_1_4?keywords=3CE+Mood+Recipe+Matte+Lip+Color+3+Concept+Eyes+Season+2+%28&amp;qid=1695259496&amp;sr=8-4", "https://www.amazon.com/Recipe-Matte-Color-Concept-Season/dp/B077CMF9NB/ref=sr_1_4?keywords=3CE+Mood+Recipe+Matte+Lip+Color+3+Concept+Eyes+Season+2+%28&amp;qid=1695259496&amp;sr=8-4")</f>
        <v>https://www.amazon.com/Recipe-Matte-Color-Concept-Season/dp/B077CMF9NB/ref=sr_1_4?keywords=3CE+Mood+Recipe+Matte+Lip+Color+3+Concept+Eyes+Season+2+%28&amp;qid=1695259496&amp;sr=8-4</v>
      </c>
      <c r="F2406" t="s">
        <v>4471</v>
      </c>
      <c r="G2406" t="e">
        <f ca="1">IMAGE("https://prolisok-store.com/cdn/shop/files/41eAqvNQC-L._SL1000_300x.jpg?v=1693219330")</f>
        <v>#NAME?</v>
      </c>
      <c r="H2406" t="e">
        <f ca="1">IMAGE("https://m.media-amazon.com/images/I/31Mkk3Fv3nL._AC_UL320_.jpg")</f>
        <v>#NAME?</v>
      </c>
      <c r="I2406" t="s">
        <v>3392</v>
      </c>
      <c r="J2406">
        <v>23.22</v>
      </c>
      <c r="K2406" s="2" t="s">
        <v>4472</v>
      </c>
      <c r="L2406">
        <v>4.0999999999999996</v>
      </c>
      <c r="M2406">
        <v>43</v>
      </c>
      <c r="O2406" t="s">
        <v>26</v>
      </c>
      <c r="P2406" t="s">
        <v>39</v>
      </c>
      <c r="Q2406" t="s">
        <v>4418</v>
      </c>
    </row>
    <row r="2407" spans="1:17" ht="15.75" x14ac:dyDescent="0.25">
      <c r="A2407" s="3" t="str">
        <f>HYPERLINK("https://prolisok-store.com/collections/makeup/products/3ce-mood-recipe-matte-lip-color-909", "https://prolisok-store.com/collections/makeup/products/3ce-mood-recipe-matte-lip-color-909")</f>
        <v>https://prolisok-store.com/collections/makeup/products/3ce-mood-recipe-matte-lip-color-909</v>
      </c>
      <c r="B2407" s="3" t="str">
        <f>HYPERLINK("https://prolisok-store.com/products/3ce-mood-recipe-matte-lip-color-909", "https://prolisok-store.com/products/3ce-mood-recipe-matte-lip-color-909")</f>
        <v>https://prolisok-store.com/products/3ce-mood-recipe-matte-lip-color-909</v>
      </c>
      <c r="C2407" t="s">
        <v>4358</v>
      </c>
      <c r="D2407" t="s">
        <v>4473</v>
      </c>
      <c r="E2407" s="3" t="str">
        <f>HYPERLINK("https://www.amazon.com/Recipe-Matte-Color-Concept-Season/dp/B077CK73GB/ref=sr_1_2?keywords=3CE+Mood+Recipe+Matte+Lip+Color%2C+909&amp;qid=1695259481&amp;sr=8-2", "https://www.amazon.com/Recipe-Matte-Color-Concept-Season/dp/B077CK73GB/ref=sr_1_2?keywords=3CE+Mood+Recipe+Matte+Lip+Color%2C+909&amp;qid=1695259481&amp;sr=8-2")</f>
        <v>https://www.amazon.com/Recipe-Matte-Color-Concept-Season/dp/B077CK73GB/ref=sr_1_2?keywords=3CE+Mood+Recipe+Matte+Lip+Color%2C+909&amp;qid=1695259481&amp;sr=8-2</v>
      </c>
      <c r="F2407" t="s">
        <v>4474</v>
      </c>
      <c r="G2407" t="e">
        <f ca="1">IMAGE("https://prolisok-store.com/cdn/shop/files/41q_eA_m8iL._SL1000_300x.jpg?v=1693221579")</f>
        <v>#NAME?</v>
      </c>
      <c r="H2407" t="e">
        <f ca="1">IMAGE("https://m.media-amazon.com/images/I/3171c0+mu0S._AC_UL320_.jpg")</f>
        <v>#NAME?</v>
      </c>
      <c r="I2407" t="s">
        <v>3392</v>
      </c>
      <c r="J2407">
        <v>23</v>
      </c>
      <c r="K2407" s="2" t="s">
        <v>4475</v>
      </c>
      <c r="L2407">
        <v>3.6</v>
      </c>
      <c r="M2407">
        <v>7</v>
      </c>
      <c r="O2407" t="s">
        <v>26</v>
      </c>
      <c r="P2407" t="s">
        <v>39</v>
      </c>
      <c r="Q2407" t="s">
        <v>4362</v>
      </c>
    </row>
    <row r="2408" spans="1:17" ht="15.75" x14ac:dyDescent="0.25">
      <c r="A2408" s="3" t="str">
        <f>HYPERLINK("https://prolisok-store.com/collections/makeup/products/3ce-mood-recipe-face-blush-rose-beige", "https://prolisok-store.com/collections/makeup/products/3ce-mood-recipe-face-blush-rose-beige")</f>
        <v>https://prolisok-store.com/collections/makeup/products/3ce-mood-recipe-face-blush-rose-beige</v>
      </c>
      <c r="B2408" s="3" t="str">
        <f>HYPERLINK("https://prolisok-store.com/products/3ce-mood-recipe-face-blush-rose-beige", "https://prolisok-store.com/products/3ce-mood-recipe-face-blush-rose-beige")</f>
        <v>https://prolisok-store.com/products/3ce-mood-recipe-face-blush-rose-beige</v>
      </c>
      <c r="C2408" t="s">
        <v>4404</v>
      </c>
      <c r="D2408" t="s">
        <v>4404</v>
      </c>
      <c r="E2408" s="3" t="str">
        <f>HYPERLINK("https://www.amazon.com/3CE-Mood-Recipe-Face-Blush/dp/B0777H6BSW/ref=sr_1_2?keywords=3CE+Mood+Recipe+Face+Blush+-&amp;qid=1695259482&amp;sr=8-2", "https://www.amazon.com/3CE-Mood-Recipe-Face-Blush/dp/B0777H6BSW/ref=sr_1_2?keywords=3CE+Mood+Recipe+Face+Blush+-&amp;qid=1695259482&amp;sr=8-2")</f>
        <v>https://www.amazon.com/3CE-Mood-Recipe-Face-Blush/dp/B0777H6BSW/ref=sr_1_2?keywords=3CE+Mood+Recipe+Face+Blush+-&amp;qid=1695259482&amp;sr=8-2</v>
      </c>
      <c r="F2408" t="s">
        <v>4476</v>
      </c>
      <c r="G2408" t="e">
        <f ca="1">IMAGE("https://prolisok-store.com/cdn/shop/files/31TTnrkqldL_300x.jpg?v=1683820558")</f>
        <v>#NAME?</v>
      </c>
      <c r="H2408" t="e">
        <f ca="1">IMAGE("https://m.media-amazon.com/images/I/31TTnrkqldL._AC_UL320_.jpg")</f>
        <v>#NAME?</v>
      </c>
      <c r="I2408" t="s">
        <v>3392</v>
      </c>
      <c r="J2408">
        <v>23</v>
      </c>
      <c r="K2408" s="2" t="s">
        <v>4475</v>
      </c>
      <c r="L2408">
        <v>4.5999999999999996</v>
      </c>
      <c r="M2408">
        <v>137</v>
      </c>
      <c r="O2408" t="s">
        <v>26</v>
      </c>
      <c r="P2408" t="s">
        <v>39</v>
      </c>
      <c r="Q2408" t="s">
        <v>4408</v>
      </c>
    </row>
    <row r="2409" spans="1:17" ht="15.75" x14ac:dyDescent="0.25">
      <c r="A2409" s="3" t="str">
        <f>HYPERLINK("https://prolisok-store.com/collections/makeup/products/3ce-mood-recipe-matte-lip-color-116", "https://prolisok-store.com/collections/makeup/products/3ce-mood-recipe-matte-lip-color-116")</f>
        <v>https://prolisok-store.com/collections/makeup/products/3ce-mood-recipe-matte-lip-color-116</v>
      </c>
      <c r="B2409" s="3" t="str">
        <f>HYPERLINK("https://prolisok-store.com/products/3ce-mood-recipe-matte-lip-color-116", "https://prolisok-store.com/products/3ce-mood-recipe-matte-lip-color-116")</f>
        <v>https://prolisok-store.com/products/3ce-mood-recipe-matte-lip-color-116</v>
      </c>
      <c r="C2409" t="s">
        <v>4363</v>
      </c>
      <c r="D2409" t="s">
        <v>4473</v>
      </c>
      <c r="E2409" s="3" t="str">
        <f>HYPERLINK("https://www.amazon.com/Recipe-Matte-Color-Concept-Season/dp/B077CK73GB/ref=sr_1_3?keywords=3CE+Mood+Recipe+Matte+Lip+Color%2C+116&amp;qid=1695259483&amp;sr=8-3", "https://www.amazon.com/Recipe-Matte-Color-Concept-Season/dp/B077CK73GB/ref=sr_1_3?keywords=3CE+Mood+Recipe+Matte+Lip+Color%2C+116&amp;qid=1695259483&amp;sr=8-3")</f>
        <v>https://www.amazon.com/Recipe-Matte-Color-Concept-Season/dp/B077CK73GB/ref=sr_1_3?keywords=3CE+Mood+Recipe+Matte+Lip+Color%2C+116&amp;qid=1695259483&amp;sr=8-3</v>
      </c>
      <c r="F2409" t="s">
        <v>4474</v>
      </c>
      <c r="G2409" t="e">
        <f ca="1">IMAGE("https://prolisok-store.com/cdn/shop/files/31C87n4RBaL_300x.jpg?v=1693221452")</f>
        <v>#NAME?</v>
      </c>
      <c r="H2409" t="e">
        <f ca="1">IMAGE("https://m.media-amazon.com/images/I/3171c0+mu0S._AC_UL320_.jpg")</f>
        <v>#NAME?</v>
      </c>
      <c r="I2409" t="s">
        <v>3392</v>
      </c>
      <c r="J2409">
        <v>23</v>
      </c>
      <c r="K2409" s="2" t="s">
        <v>4475</v>
      </c>
      <c r="L2409">
        <v>3.6</v>
      </c>
      <c r="M2409">
        <v>7</v>
      </c>
      <c r="O2409" t="s">
        <v>26</v>
      </c>
      <c r="P2409" t="s">
        <v>39</v>
      </c>
      <c r="Q2409" t="s">
        <v>4366</v>
      </c>
    </row>
    <row r="2410" spans="1:17" ht="15.75" x14ac:dyDescent="0.25">
      <c r="A2410" s="3" t="str">
        <f>HYPERLINK("https://prolisok-store.com/collections/makeup/products/3ce-mood-recipe-matte-lip-color-3-concept-eyes-season-2-220-hit-me-up", "https://prolisok-store.com/collections/makeup/products/3ce-mood-recipe-matte-lip-color-3-concept-eyes-season-2-220-hit-me-up")</f>
        <v>https://prolisok-store.com/collections/makeup/products/3ce-mood-recipe-matte-lip-color-3-concept-eyes-season-2-220-hit-me-up</v>
      </c>
      <c r="B2410"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2410" t="s">
        <v>4414</v>
      </c>
      <c r="D2410" t="s">
        <v>4473</v>
      </c>
      <c r="E2410" s="3" t="str">
        <f>HYPERLINK("https://www.amazon.com/Recipe-Matte-Color-Concept-Season/dp/B077CK73GB/ref=sr_1_2?keywords=3CE+Mood+Recipe+Matte+Lip+Color+3+Concept+Eyes+Season+2+%28&amp;qid=1695259496&amp;sr=8-2", "https://www.amazon.com/Recipe-Matte-Color-Concept-Season/dp/B077CK73GB/ref=sr_1_2?keywords=3CE+Mood+Recipe+Matte+Lip+Color+3+Concept+Eyes+Season+2+%28&amp;qid=1695259496&amp;sr=8-2")</f>
        <v>https://www.amazon.com/Recipe-Matte-Color-Concept-Season/dp/B077CK73GB/ref=sr_1_2?keywords=3CE+Mood+Recipe+Matte+Lip+Color+3+Concept+Eyes+Season+2+%28&amp;qid=1695259496&amp;sr=8-2</v>
      </c>
      <c r="F2410" t="s">
        <v>4474</v>
      </c>
      <c r="G2410" t="e">
        <f ca="1">IMAGE("https://prolisok-store.com/cdn/shop/files/41eAqvNQC-L._SL1000_300x.jpg?v=1693219330")</f>
        <v>#NAME?</v>
      </c>
      <c r="H2410" t="e">
        <f ca="1">IMAGE("https://m.media-amazon.com/images/I/3171c0+mu0S._AC_UL320_.jpg")</f>
        <v>#NAME?</v>
      </c>
      <c r="I2410" t="s">
        <v>3392</v>
      </c>
      <c r="J2410">
        <v>23</v>
      </c>
      <c r="K2410" s="2" t="s">
        <v>4475</v>
      </c>
      <c r="L2410">
        <v>3.6</v>
      </c>
      <c r="M2410">
        <v>7</v>
      </c>
      <c r="O2410" t="s">
        <v>26</v>
      </c>
      <c r="P2410" t="s">
        <v>39</v>
      </c>
      <c r="Q2410" t="s">
        <v>4418</v>
      </c>
    </row>
    <row r="2411" spans="1:17" ht="15.75" x14ac:dyDescent="0.25">
      <c r="A2411" s="3" t="str">
        <f>HYPERLINK("https://prolisok-store.com/collections/makeup/products/3ce-mood-recipe-matte-lip-color-3-concept-eyes-season-2-220-hit-me-up", "https://prolisok-store.com/collections/makeup/products/3ce-mood-recipe-matte-lip-color-3-concept-eyes-season-2-220-hit-me-up")</f>
        <v>https://prolisok-store.com/collections/makeup/products/3ce-mood-recipe-matte-lip-color-3-concept-eyes-season-2-220-hit-me-up</v>
      </c>
      <c r="B2411"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2411" t="s">
        <v>4414</v>
      </c>
      <c r="D2411" t="s">
        <v>4477</v>
      </c>
      <c r="E2411" s="3" t="str">
        <f>HYPERLINK("https://www.amazon.com/Recipe-Matte-Color-Concept-Season/dp/B077CJX6Z5/ref=sr_1_7?keywords=3CE+Mood+Recipe+Matte+Lip+Color+3+Concept+Eyes+Season+2+%28&amp;qid=1695259496&amp;sr=8-7", "https://www.amazon.com/Recipe-Matte-Color-Concept-Season/dp/B077CJX6Z5/ref=sr_1_7?keywords=3CE+Mood+Recipe+Matte+Lip+Color+3+Concept+Eyes+Season+2+%28&amp;qid=1695259496&amp;sr=8-7")</f>
        <v>https://www.amazon.com/Recipe-Matte-Color-Concept-Season/dp/B077CJX6Z5/ref=sr_1_7?keywords=3CE+Mood+Recipe+Matte+Lip+Color+3+Concept+Eyes+Season+2+%28&amp;qid=1695259496&amp;sr=8-7</v>
      </c>
      <c r="F2411" t="s">
        <v>4478</v>
      </c>
      <c r="G2411" t="e">
        <f ca="1">IMAGE("https://prolisok-store.com/cdn/shop/files/41eAqvNQC-L._SL1000_300x.jpg?v=1693219330")</f>
        <v>#NAME?</v>
      </c>
      <c r="H2411" t="e">
        <f ca="1">IMAGE("https://m.media-amazon.com/images/I/31JumltrZnL._AC_UL320_.jpg")</f>
        <v>#NAME?</v>
      </c>
      <c r="I2411" t="s">
        <v>3392</v>
      </c>
      <c r="J2411">
        <v>22.96</v>
      </c>
      <c r="K2411" s="2" t="s">
        <v>4479</v>
      </c>
      <c r="L2411">
        <v>4.2</v>
      </c>
      <c r="M2411">
        <v>32</v>
      </c>
      <c r="O2411" t="s">
        <v>26</v>
      </c>
      <c r="P2411" t="s">
        <v>39</v>
      </c>
      <c r="Q2411" t="s">
        <v>4418</v>
      </c>
    </row>
    <row r="2412" spans="1:17" ht="15.75" x14ac:dyDescent="0.25">
      <c r="A2412" s="3" t="str">
        <f>HYPERLINK("https://prolisok-store.com/collections/makeup/products/estee-lauder-pure-color-envy-sculpting-lipstick-360-fierce-0-12-ounce", "https://prolisok-store.com/collections/makeup/products/estee-lauder-pure-color-envy-sculpting-lipstick-360-fierce-0-12-ounce")</f>
        <v>https://prolisok-store.com/collections/makeup/products/estee-lauder-pure-color-envy-sculpting-lipstick-360-fierce-0-12-ounce</v>
      </c>
      <c r="B2412"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2412" t="s">
        <v>4452</v>
      </c>
      <c r="D2412" t="s">
        <v>4480</v>
      </c>
      <c r="E2412" s="3" t="str">
        <f>HYPERLINK("https://www.amazon.com/Estee-Lauder-Sculpting-Lipstick-Irresistible/dp/B088S6R9VZ/ref=sr_1_8?keywords=Estee+Lauder+Pure+Color+Envy+Sculpting+Lipstick+%23360+Fierce%2C+0.12+Ounce&amp;qid=1695259450&amp;sr=8-8", "https://www.amazon.com/Estee-Lauder-Sculpting-Lipstick-Irresistible/dp/B088S6R9VZ/ref=sr_1_8?keywords=Estee+Lauder+Pure+Color+Envy+Sculpting+Lipstick+%23360+Fierce%2C+0.12+Ounce&amp;qid=1695259450&amp;sr=8-8")</f>
        <v>https://www.amazon.com/Estee-Lauder-Sculpting-Lipstick-Irresistible/dp/B088S6R9VZ/ref=sr_1_8?keywords=Estee+Lauder+Pure+Color+Envy+Sculpting+Lipstick+%23360+Fierce%2C+0.12+Ounce&amp;qid=1695259450&amp;sr=8-8</v>
      </c>
      <c r="F2412" t="s">
        <v>4481</v>
      </c>
      <c r="G2412" t="e">
        <f ca="1">IMAGE("https://prolisok-store.com/cdn/shop/products/61OXcvCJbTL._SL1500_300x.jpg?v=1681307706")</f>
        <v>#NAME?</v>
      </c>
      <c r="H2412" t="e">
        <f ca="1">IMAGE("https://m.media-amazon.com/images/I/513lsWVR9UL._AC_UL320_.jpg")</f>
        <v>#NAME?</v>
      </c>
      <c r="I2412" t="s">
        <v>3419</v>
      </c>
      <c r="J2412">
        <v>42.94</v>
      </c>
      <c r="K2412" s="2" t="s">
        <v>4482</v>
      </c>
      <c r="L2412">
        <v>4.5999999999999996</v>
      </c>
      <c r="M2412">
        <v>147</v>
      </c>
      <c r="O2412" t="s">
        <v>26</v>
      </c>
      <c r="P2412" t="s">
        <v>39</v>
      </c>
      <c r="Q2412" t="s">
        <v>4456</v>
      </c>
    </row>
    <row r="2413" spans="1:17" ht="15.75" x14ac:dyDescent="0.25">
      <c r="A2413" s="3" t="str">
        <f>HYPERLINK("https://prolisok-store.com/collections/makeup/products/mac-small-eye-shadow-refill-pan-antiqued-1-5g-0-05oz", "https://prolisok-store.com/collections/makeup/products/mac-small-eye-shadow-refill-pan-antiqued-1-5g-0-05oz")</f>
        <v>https://prolisok-store.com/collections/makeup/products/mac-small-eye-shadow-refill-pan-antiqued-1-5g-0-05oz</v>
      </c>
      <c r="B2413" s="3" t="str">
        <f>HYPERLINK("https://prolisok-store.com/products/mac-small-eye-shadow-refill-pan-antiqued-1-5g-0-05oz", "https://prolisok-store.com/products/mac-small-eye-shadow-refill-pan-antiqued-1-5g-0-05oz")</f>
        <v>https://prolisok-store.com/products/mac-small-eye-shadow-refill-pan-antiqued-1-5g-0-05oz</v>
      </c>
      <c r="C2413" t="s">
        <v>5963</v>
      </c>
      <c r="D2413" t="s">
        <v>5964</v>
      </c>
      <c r="E2413" s="3" t="str">
        <f>HYPERLINK("https://www.amazon.com/MAC-Small-Eye-Shadow-Refill/dp/B008VFW4LY/ref=sr_1_4?keywords=MAC+small+eye+shadow+refill+pan+-+antiqued+-1.3g%2F0.04oz&amp;qid=1695259548&amp;sr=8-4", "https://www.amazon.com/MAC-Small-Eye-Shadow-Refill/dp/B008VFW4LY/ref=sr_1_4?keywords=MAC+small+eye+shadow+refill+pan+-+antiqued+-1.3g%2F0.04oz&amp;qid=1695259548&amp;sr=8-4")</f>
        <v>https://www.amazon.com/MAC-Small-Eye-Shadow-Refill/dp/B008VFW4LY/ref=sr_1_4?keywords=MAC+small+eye+shadow+refill+pan+-+antiqued+-1.3g%2F0.04oz&amp;qid=1695259548&amp;sr=8-4</v>
      </c>
      <c r="F2413" t="s">
        <v>5965</v>
      </c>
      <c r="G2413" t="e">
        <f ca="1">IMAGE("https://prolisok-store.com/cdn/shop/products/346006_300x.jpg?v=1690393889")</f>
        <v>#NAME?</v>
      </c>
      <c r="H2413" t="e">
        <f ca="1">IMAGE("https://m.media-amazon.com/images/I/31EjoKukrxL._AC_UL320_.jpg")</f>
        <v>#NAME?</v>
      </c>
      <c r="I2413" t="s">
        <v>4275</v>
      </c>
      <c r="J2413">
        <v>35.99</v>
      </c>
      <c r="K2413" s="2" t="s">
        <v>5966</v>
      </c>
      <c r="L2413">
        <v>5</v>
      </c>
      <c r="M2413">
        <v>4</v>
      </c>
      <c r="O2413" t="s">
        <v>26</v>
      </c>
      <c r="P2413" t="s">
        <v>39</v>
      </c>
      <c r="Q2413" t="s">
        <v>5967</v>
      </c>
    </row>
    <row r="2414" spans="1:17" ht="15.75" x14ac:dyDescent="0.25">
      <c r="A2414" s="3" t="str">
        <f>HYPERLINK("https://prolisok-store.com/collections/makeup/products/3ce-mood-recipe-matte-lip-color-3-concept-eyes-season-2-220-hit-me-up", "https://prolisok-store.com/collections/makeup/products/3ce-mood-recipe-matte-lip-color-3-concept-eyes-season-2-220-hit-me-up")</f>
        <v>https://prolisok-store.com/collections/makeup/products/3ce-mood-recipe-matte-lip-color-3-concept-eyes-season-2-220-hit-me-up</v>
      </c>
      <c r="B2414"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2414" t="s">
        <v>4414</v>
      </c>
      <c r="D2414" t="s">
        <v>4414</v>
      </c>
      <c r="E2414" s="3" t="str">
        <f>HYPERLINK("https://www.amazon.com/3CE-Recipe-Matte-Concept-Season/dp/B078T8881J/ref=sr_1_1?keywords=3CE+Mood+Recipe+Matte+Lip+Color+3+Concept+Eyes+Season+2+%28&amp;qid=1695259496&amp;sr=8-1", "https://www.amazon.com/3CE-Recipe-Matte-Concept-Season/dp/B078T8881J/ref=sr_1_1?keywords=3CE+Mood+Recipe+Matte+Lip+Color+3+Concept+Eyes+Season+2+%28&amp;qid=1695259496&amp;sr=8-1")</f>
        <v>https://www.amazon.com/3CE-Recipe-Matte-Concept-Season/dp/B078T8881J/ref=sr_1_1?keywords=3CE+Mood+Recipe+Matte+Lip+Color+3+Concept+Eyes+Season+2+%28&amp;qid=1695259496&amp;sr=8-1</v>
      </c>
      <c r="F2414" t="s">
        <v>4490</v>
      </c>
      <c r="G2414" t="e">
        <f ca="1">IMAGE("https://prolisok-store.com/cdn/shop/files/41eAqvNQC-L._SL1000_300x.jpg?v=1693219330")</f>
        <v>#NAME?</v>
      </c>
      <c r="H2414" t="e">
        <f ca="1">IMAGE("https://m.media-amazon.com/images/I/41eAqvNQC-L._AC_UL320_.jpg")</f>
        <v>#NAME?</v>
      </c>
      <c r="I2414" t="s">
        <v>3392</v>
      </c>
      <c r="J2414">
        <v>22.5</v>
      </c>
      <c r="K2414" s="2" t="s">
        <v>4491</v>
      </c>
      <c r="L2414">
        <v>4.3</v>
      </c>
      <c r="M2414">
        <v>5</v>
      </c>
      <c r="O2414" t="s">
        <v>26</v>
      </c>
      <c r="P2414" t="s">
        <v>39</v>
      </c>
      <c r="Q2414" t="s">
        <v>4418</v>
      </c>
    </row>
    <row r="2415" spans="1:17" ht="15.75" x14ac:dyDescent="0.25">
      <c r="A2415" s="3" t="str">
        <f>HYPERLINK("https://prolisok-store.com/collections/makeup/products/3ce-mood-recipe-matte-lip-color-116", "https://prolisok-store.com/collections/makeup/products/3ce-mood-recipe-matte-lip-color-116")</f>
        <v>https://prolisok-store.com/collections/makeup/products/3ce-mood-recipe-matte-lip-color-116</v>
      </c>
      <c r="B2415" s="3" t="str">
        <f>HYPERLINK("https://prolisok-store.com/products/3ce-mood-recipe-matte-lip-color-116", "https://prolisok-store.com/products/3ce-mood-recipe-matte-lip-color-116")</f>
        <v>https://prolisok-store.com/products/3ce-mood-recipe-matte-lip-color-116</v>
      </c>
      <c r="C2415" t="s">
        <v>4363</v>
      </c>
      <c r="D2415" t="s">
        <v>4414</v>
      </c>
      <c r="E2415" s="3" t="str">
        <f>HYPERLINK("https://www.amazon.com/3CE-Recipe-Matte-Concept-Season/dp/B078T8881J/ref=sr_1_8?keywords=3CE+Mood+Recipe+Matte+Lip+Color%2C+116&amp;qid=1695259483&amp;sr=8-8", "https://www.amazon.com/3CE-Recipe-Matte-Concept-Season/dp/B078T8881J/ref=sr_1_8?keywords=3CE+Mood+Recipe+Matte+Lip+Color%2C+116&amp;qid=1695259483&amp;sr=8-8")</f>
        <v>https://www.amazon.com/3CE-Recipe-Matte-Concept-Season/dp/B078T8881J/ref=sr_1_8?keywords=3CE+Mood+Recipe+Matte+Lip+Color%2C+116&amp;qid=1695259483&amp;sr=8-8</v>
      </c>
      <c r="F2415" t="s">
        <v>4490</v>
      </c>
      <c r="G2415" t="e">
        <f ca="1">IMAGE("https://prolisok-store.com/cdn/shop/files/31C87n4RBaL_300x.jpg?v=1693221452")</f>
        <v>#NAME?</v>
      </c>
      <c r="H2415" t="e">
        <f ca="1">IMAGE("https://m.media-amazon.com/images/I/41eAqvNQC-L._AC_UL320_.jpg")</f>
        <v>#NAME?</v>
      </c>
      <c r="I2415" t="s">
        <v>3392</v>
      </c>
      <c r="J2415">
        <v>22.5</v>
      </c>
      <c r="K2415" s="2" t="s">
        <v>4491</v>
      </c>
      <c r="L2415">
        <v>4.3</v>
      </c>
      <c r="M2415">
        <v>5</v>
      </c>
      <c r="O2415" t="s">
        <v>26</v>
      </c>
      <c r="P2415" t="s">
        <v>39</v>
      </c>
      <c r="Q2415" t="s">
        <v>4366</v>
      </c>
    </row>
    <row r="2416" spans="1:17" ht="15.75" x14ac:dyDescent="0.25">
      <c r="A2416" s="3" t="str">
        <f>HYPERLINK("https://prolisok-store.com/collections/makeup/products/3ce-mood-recipe-matte-lip-color-909", "https://prolisok-store.com/collections/makeup/products/3ce-mood-recipe-matte-lip-color-909")</f>
        <v>https://prolisok-store.com/collections/makeup/products/3ce-mood-recipe-matte-lip-color-909</v>
      </c>
      <c r="B2416" s="3" t="str">
        <f>HYPERLINK("https://prolisok-store.com/products/3ce-mood-recipe-matte-lip-color-909", "https://prolisok-store.com/products/3ce-mood-recipe-matte-lip-color-909")</f>
        <v>https://prolisok-store.com/products/3ce-mood-recipe-matte-lip-color-909</v>
      </c>
      <c r="C2416" t="s">
        <v>4358</v>
      </c>
      <c r="D2416" t="s">
        <v>4414</v>
      </c>
      <c r="E2416" s="3" t="str">
        <f>HYPERLINK("https://www.amazon.com/3CE-Recipe-Matte-Concept-Season/dp/B078T8881J/ref=sr_1_10?keywords=3CE+Mood+Recipe+Matte+Lip+Color%2C+909&amp;qid=1695259481&amp;sr=8-10", "https://www.amazon.com/3CE-Recipe-Matte-Concept-Season/dp/B078T8881J/ref=sr_1_10?keywords=3CE+Mood+Recipe+Matte+Lip+Color%2C+909&amp;qid=1695259481&amp;sr=8-10")</f>
        <v>https://www.amazon.com/3CE-Recipe-Matte-Concept-Season/dp/B078T8881J/ref=sr_1_10?keywords=3CE+Mood+Recipe+Matte+Lip+Color%2C+909&amp;qid=1695259481&amp;sr=8-10</v>
      </c>
      <c r="F2416" t="s">
        <v>4490</v>
      </c>
      <c r="G2416" t="e">
        <f ca="1">IMAGE("https://prolisok-store.com/cdn/shop/files/41q_eA_m8iL._SL1000_300x.jpg?v=1693221579")</f>
        <v>#NAME?</v>
      </c>
      <c r="H2416" t="e">
        <f ca="1">IMAGE("https://m.media-amazon.com/images/I/41eAqvNQC-L._AC_UL320_.jpg")</f>
        <v>#NAME?</v>
      </c>
      <c r="I2416" t="s">
        <v>3392</v>
      </c>
      <c r="J2416">
        <v>22.5</v>
      </c>
      <c r="K2416" s="2" t="s">
        <v>4491</v>
      </c>
      <c r="L2416">
        <v>4.3</v>
      </c>
      <c r="M2416">
        <v>5</v>
      </c>
      <c r="O2416" t="s">
        <v>26</v>
      </c>
      <c r="P2416" t="s">
        <v>39</v>
      </c>
      <c r="Q2416" t="s">
        <v>4362</v>
      </c>
    </row>
    <row r="2417" spans="1:17" ht="15.75" x14ac:dyDescent="0.25">
      <c r="A2417" s="3" t="str">
        <f>HYPERLINK("https://prolisok-store.com/collections/makeup/products/3ce-velvet-lip-tint-4g-stylenanda-private", "https://prolisok-store.com/collections/makeup/products/3ce-velvet-lip-tint-4g-stylenanda-private")</f>
        <v>https://prolisok-store.com/collections/makeup/products/3ce-velvet-lip-tint-4g-stylenanda-private</v>
      </c>
      <c r="B2417" s="3" t="str">
        <f>HYPERLINK("https://prolisok-store.com/products/3ce-velvet-lip-tint-4g-stylenanda-private", "https://prolisok-store.com/products/3ce-velvet-lip-tint-4g-stylenanda-private")</f>
        <v>https://prolisok-store.com/products/3ce-velvet-lip-tint-4g-stylenanda-private</v>
      </c>
      <c r="C2417" t="s">
        <v>4495</v>
      </c>
      <c r="D2417" t="s">
        <v>4496</v>
      </c>
      <c r="E2417" s="3" t="str">
        <f>HYPERLINK("https://www.amazon.com/3CE-Velvet-VELVET-TINT-PRIVATE/dp/B0795FH4GQ/ref=sr_1_5?keywords=3CE+Velvet+Lip+Tint+%284g%29+Stylenanda+%28Private%29&amp;qid=1695259491&amp;sr=8-5", "https://www.amazon.com/3CE-Velvet-VELVET-TINT-PRIVATE/dp/B0795FH4GQ/ref=sr_1_5?keywords=3CE+Velvet+Lip+Tint+%284g%29+Stylenanda+%28Private%29&amp;qid=1695259491&amp;sr=8-5")</f>
        <v>https://www.amazon.com/3CE-Velvet-VELVET-TINT-PRIVATE/dp/B0795FH4GQ/ref=sr_1_5?keywords=3CE+Velvet+Lip+Tint+%284g%29+Stylenanda+%28Private%29&amp;qid=1695259491&amp;sr=8-5</v>
      </c>
      <c r="F2417" t="s">
        <v>4497</v>
      </c>
      <c r="G2417" t="e">
        <f ca="1">IMAGE("https://prolisok-store.com/cdn/shop/files/51lsOgwPjWL._SL1000_300x.jpg?v=1683819884")</f>
        <v>#NAME?</v>
      </c>
      <c r="H2417" t="e">
        <f ca="1">IMAGE("https://m.media-amazon.com/images/I/31y0jY7-a6L._AC_UL320_.jpg")</f>
        <v>#NAME?</v>
      </c>
      <c r="I2417" t="s">
        <v>3392</v>
      </c>
      <c r="J2417">
        <v>22.44</v>
      </c>
      <c r="K2417" s="2" t="s">
        <v>4498</v>
      </c>
      <c r="L2417">
        <v>4.2</v>
      </c>
      <c r="M2417">
        <v>20</v>
      </c>
      <c r="O2417" t="s">
        <v>26</v>
      </c>
      <c r="P2417" t="s">
        <v>39</v>
      </c>
      <c r="Q2417" t="s">
        <v>4499</v>
      </c>
    </row>
    <row r="2418" spans="1:17" ht="15.75" x14ac:dyDescent="0.25">
      <c r="A2418" s="3" t="str">
        <f>HYPERLINK("https://prolisok-store.com/collections/makeup/products/the-soft-fluid-foundation-spf-20-1-oz-porcelain", "https://prolisok-store.com/collections/makeup/products/the-soft-fluid-foundation-spf-20-1-oz-porcelain")</f>
        <v>https://prolisok-store.com/collections/makeup/products/the-soft-fluid-foundation-spf-20-1-oz-porcelain</v>
      </c>
      <c r="B2418" s="3" t="str">
        <f>HYPERLINK("https://prolisok-store.com/products/the-soft-fluid-foundation-spf-20-1-oz-porcelain", "https://prolisok-store.com/products/the-soft-fluid-foundation-spf-20-1-oz-porcelain")</f>
        <v>https://prolisok-store.com/products/the-soft-fluid-foundation-spf-20-1-oz-porcelain</v>
      </c>
      <c r="C2418" t="s">
        <v>4466</v>
      </c>
      <c r="D2418" t="s">
        <v>4500</v>
      </c>
      <c r="E2418" s="3" t="str">
        <f>HYPERLINK("https://www.amazon.com/Mer-Soft-Fluid-Long-Foundation/dp/B01MG45I4H/ref=sr_1_5?keywords=La+Mer+The+Soft+Fluid+Foundation+SPF+20-1+oz.+Porcelain&amp;qid=1695259454&amp;sr=8-5", "https://www.amazon.com/Mer-Soft-Fluid-Long-Foundation/dp/B01MG45I4H/ref=sr_1_5?keywords=La+Mer+The+Soft+Fluid+Foundation+SPF+20-1+oz.+Porcelain&amp;qid=1695259454&amp;sr=8-5")</f>
        <v>https://www.amazon.com/Mer-Soft-Fluid-Long-Foundation/dp/B01MG45I4H/ref=sr_1_5?keywords=La+Mer+The+Soft+Fluid+Foundation+SPF+20-1+oz.+Porcelain&amp;qid=1695259454&amp;sr=8-5</v>
      </c>
      <c r="F2418" t="s">
        <v>4501</v>
      </c>
      <c r="G2418" t="e">
        <f ca="1">IMAGE("https://prolisok-store.com/cdn/shop/products/41wgXKYLRyL._SL1000_300x.jpg?v=1674109756")</f>
        <v>#NAME?</v>
      </c>
      <c r="H2418" t="e">
        <f ca="1">IMAGE("https://m.media-amazon.com/images/I/51oqFtChOJL._AC_UL320_.jpg")</f>
        <v>#NAME?</v>
      </c>
      <c r="I2418" t="s">
        <v>4346</v>
      </c>
      <c r="J2418">
        <v>140</v>
      </c>
      <c r="K2418" s="2" t="s">
        <v>4502</v>
      </c>
      <c r="L2418">
        <v>4.7</v>
      </c>
      <c r="M2418">
        <v>29</v>
      </c>
      <c r="O2418" t="s">
        <v>26</v>
      </c>
      <c r="P2418" t="s">
        <v>2501</v>
      </c>
      <c r="Q2418" t="s">
        <v>4467</v>
      </c>
    </row>
    <row r="2419" spans="1:17" ht="15.75" x14ac:dyDescent="0.25">
      <c r="A2419" s="3" t="str">
        <f>HYPERLINK("https://prolisok-store.com/collections/makeup/products/estee-lauder-pure-color-envy-sculpting-lipstick-360-fierce-0-12-ounce", "https://prolisok-store.com/collections/makeup/products/estee-lauder-pure-color-envy-sculpting-lipstick-360-fierce-0-12-ounce")</f>
        <v>https://prolisok-store.com/collections/makeup/products/estee-lauder-pure-color-envy-sculpting-lipstick-360-fierce-0-12-ounce</v>
      </c>
      <c r="B2419"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2419" t="s">
        <v>4452</v>
      </c>
      <c r="D2419" t="s">
        <v>5968</v>
      </c>
      <c r="E2419" s="3" t="str">
        <f>HYPERLINK("https://www.amazon.com/Color-Velvet-Matte-Sculpting-Lipstick/dp/B072MN9LJM/ref=sr_1_2?keywords=Estee+Lauder+Pure+Color+Envy+Sculpting+Lipstick+%23360+Fierce%2C+0.12+Ounce&amp;qid=1695259450&amp;sr=8-2", "https://www.amazon.com/Color-Velvet-Matte-Sculpting-Lipstick/dp/B072MN9LJM/ref=sr_1_2?keywords=Estee+Lauder+Pure+Color+Envy+Sculpting+Lipstick+%23360+Fierce%2C+0.12+Ounce&amp;qid=1695259450&amp;sr=8-2")</f>
        <v>https://www.amazon.com/Color-Velvet-Matte-Sculpting-Lipstick/dp/B072MN9LJM/ref=sr_1_2?keywords=Estee+Lauder+Pure+Color+Envy+Sculpting+Lipstick+%23360+Fierce%2C+0.12+Ounce&amp;qid=1695259450&amp;sr=8-2</v>
      </c>
      <c r="F2419" t="s">
        <v>5969</v>
      </c>
      <c r="G2419" t="e">
        <f ca="1">IMAGE("https://prolisok-store.com/cdn/shop/products/61OXcvCJbTL._SL1500_300x.jpg?v=1681307706")</f>
        <v>#NAME?</v>
      </c>
      <c r="H2419" t="e">
        <f ca="1">IMAGE("https://m.media-amazon.com/images/I/61wJFyz1YzL._AC_UL320_.jpg")</f>
        <v>#NAME?</v>
      </c>
      <c r="I2419" t="s">
        <v>3419</v>
      </c>
      <c r="J2419">
        <v>41.73</v>
      </c>
      <c r="K2419" s="2" t="s">
        <v>5970</v>
      </c>
      <c r="L2419">
        <v>4.4000000000000004</v>
      </c>
      <c r="M2419">
        <v>9</v>
      </c>
      <c r="O2419" t="s">
        <v>26</v>
      </c>
      <c r="P2419" t="s">
        <v>39</v>
      </c>
      <c r="Q2419" t="s">
        <v>4456</v>
      </c>
    </row>
    <row r="2420" spans="1:17" ht="15.75" x14ac:dyDescent="0.25">
      <c r="A2420" s="3" t="str">
        <f>HYPERLINK("https://prolisok-store.com/collections/makeup/products/3ce-new-velvet-lip-tint-absorbed-love-long-lasting-matte-finish", "https://prolisok-store.com/collections/makeup/products/3ce-new-velvet-lip-tint-absorbed-love-long-lasting-matte-finish")</f>
        <v>https://prolisok-store.com/collections/makeup/products/3ce-new-velvet-lip-tint-absorbed-love-long-lasting-matte-finish</v>
      </c>
      <c r="B2420" s="3" t="str">
        <f>HYPERLINK("https://prolisok-store.com/products/3ce-new-velvet-lip-tint-absorbed-love-long-lasting-matte-finish", "https://prolisok-store.com/products/3ce-new-velvet-lip-tint-absorbed-love-long-lasting-matte-finish")</f>
        <v>https://prolisok-store.com/products/3ce-new-velvet-lip-tint-absorbed-love-long-lasting-matte-finish</v>
      </c>
      <c r="C2420" t="s">
        <v>4409</v>
      </c>
      <c r="D2420" t="s">
        <v>4409</v>
      </c>
      <c r="E2420" s="3" t="str">
        <f>HYPERLINK("https://www.amazon.com/Velvet-ABSORBED-lasting-matte-finish/dp/B07DJ4BWFQ/ref=sr_1_2?keywords=3CE+New+Velvet+Lip+Tint&amp;qid=1695259511&amp;sr=8-2", "https://www.amazon.com/Velvet-ABSORBED-lasting-matte-finish/dp/B07DJ4BWFQ/ref=sr_1_2?keywords=3CE+New+Velvet+Lip+Tint&amp;qid=1695259511&amp;sr=8-2")</f>
        <v>https://www.amazon.com/Velvet-ABSORBED-lasting-matte-finish/dp/B07DJ4BWFQ/ref=sr_1_2?keywords=3CE+New+Velvet+Lip+Tint&amp;qid=1695259511&amp;sr=8-2</v>
      </c>
      <c r="F2420" t="s">
        <v>4468</v>
      </c>
      <c r="G2420" t="e">
        <f ca="1">IMAGE("https://prolisok-store.com/cdn/shop/files/41TsD5LcYOL_300x.jpg?v=1683818722")</f>
        <v>#NAME?</v>
      </c>
      <c r="H2420" t="e">
        <f ca="1">IMAGE("https://m.media-amazon.com/images/I/41TsD5LcYOL._AC_UL320_.jpg")</f>
        <v>#NAME?</v>
      </c>
      <c r="I2420" t="s">
        <v>3392</v>
      </c>
      <c r="J2420">
        <v>22</v>
      </c>
      <c r="K2420" s="2" t="s">
        <v>5971</v>
      </c>
      <c r="L2420">
        <v>4.3</v>
      </c>
      <c r="M2420">
        <v>8</v>
      </c>
      <c r="O2420" t="s">
        <v>26</v>
      </c>
      <c r="P2420" t="s">
        <v>39</v>
      </c>
      <c r="Q2420" t="s">
        <v>4413</v>
      </c>
    </row>
    <row r="2421" spans="1:17" ht="15.75" x14ac:dyDescent="0.25">
      <c r="A2421" s="3" t="str">
        <f>HYPERLINK("https://prolisok-store.com/collections/makeup/products/clinique-by-clinique-chubby-stick-no-07-super-strawberry-3g-0-10oz", "https://prolisok-store.com/collections/makeup/products/clinique-by-clinique-chubby-stick-no-07-super-strawberry-3g-0-10oz")</f>
        <v>https://prolisok-store.com/collections/makeup/products/clinique-by-clinique-chubby-stick-no-07-super-strawberry-3g-0-10oz</v>
      </c>
      <c r="B2421" s="3" t="str">
        <f>HYPERLINK("https://prolisok-store.com/products/clinique-by-clinique-chubby-stick-no-07-super-strawberry-3g-0-10oz", "https://prolisok-store.com/products/clinique-by-clinique-chubby-stick-no-07-super-strawberry-3g-0-10oz")</f>
        <v>https://prolisok-store.com/products/clinique-by-clinique-chubby-stick-no-07-super-strawberry-3g-0-10oz</v>
      </c>
      <c r="C2421" t="s">
        <v>5972</v>
      </c>
      <c r="D2421" t="s">
        <v>5973</v>
      </c>
      <c r="E2421" s="3" t="str">
        <f>HYPERLINK("https://www.amazon.com/Clinique-Little-Colour-Chubby-Moisturizing/dp/B00KJCOLGI/ref=sr_1_5?keywords=Clinique+chubby+stick+-+no.+07+super+strawberry+--3g%2F0.10oz&amp;qid=1695259544&amp;sr=8-5", "https://www.amazon.com/Clinique-Little-Colour-Chubby-Moisturizing/dp/B00KJCOLGI/ref=sr_1_5?keywords=Clinique+chubby+stick+-+no.+07+super+strawberry+--3g%2F0.10oz&amp;qid=1695259544&amp;sr=8-5")</f>
        <v>https://www.amazon.com/Clinique-Little-Colour-Chubby-Moisturizing/dp/B00KJCOLGI/ref=sr_1_5?keywords=Clinique+chubby+stick+-+no.+07+super+strawberry+--3g%2F0.10oz&amp;qid=1695259544&amp;sr=8-5</v>
      </c>
      <c r="F2421" t="s">
        <v>5974</v>
      </c>
      <c r="G2421" t="e">
        <f ca="1">IMAGE("https://prolisok-store.com/cdn/shop/files/B-MRKTS-1052_300x.png?v=1690307567")</f>
        <v>#NAME?</v>
      </c>
      <c r="H2421" t="e">
        <f ca="1">IMAGE("https://m.media-amazon.com/images/I/819+F1aK7tL._AC_UL320_.jpg")</f>
        <v>#NAME?</v>
      </c>
      <c r="I2421" t="s">
        <v>5975</v>
      </c>
      <c r="J2421">
        <v>59</v>
      </c>
      <c r="K2421" s="2" t="s">
        <v>5976</v>
      </c>
      <c r="L2421">
        <v>3.5</v>
      </c>
      <c r="M2421">
        <v>13</v>
      </c>
      <c r="O2421" t="s">
        <v>26</v>
      </c>
      <c r="P2421" t="s">
        <v>39</v>
      </c>
      <c r="Q2421" t="s">
        <v>5977</v>
      </c>
    </row>
    <row r="2422" spans="1:17" ht="15.75" x14ac:dyDescent="0.25">
      <c r="A2422" s="3" t="str">
        <f>HYPERLINK("https://prolisok-store.com/collections/makeup/products/3ce-mood-recipe-face-blush-rose-beige", "https://prolisok-store.com/collections/makeup/products/3ce-mood-recipe-face-blush-rose-beige")</f>
        <v>https://prolisok-store.com/collections/makeup/products/3ce-mood-recipe-face-blush-rose-beige</v>
      </c>
      <c r="B2422" s="3" t="str">
        <f>HYPERLINK("https://prolisok-store.com/products/3ce-mood-recipe-face-blush-rose-beige", "https://prolisok-store.com/products/3ce-mood-recipe-face-blush-rose-beige")</f>
        <v>https://prolisok-store.com/products/3ce-mood-recipe-face-blush-rose-beige</v>
      </c>
      <c r="C2422" t="s">
        <v>4404</v>
      </c>
      <c r="D2422" t="s">
        <v>4517</v>
      </c>
      <c r="E2422" s="3" t="str">
        <f>HYPERLINK("https://www.amazon.com/MOOD-RECIPE-FACE-BLUSH-PEACH/dp/B0777FK974/ref=sr_1_3?keywords=3CE+Mood+Recipe+Face+Blush+-&amp;qid=1695259482&amp;sr=8-3", "https://www.amazon.com/MOOD-RECIPE-FACE-BLUSH-PEACH/dp/B0777FK974/ref=sr_1_3?keywords=3CE+Mood+Recipe+Face+Blush+-&amp;qid=1695259482&amp;sr=8-3")</f>
        <v>https://www.amazon.com/MOOD-RECIPE-FACE-BLUSH-PEACH/dp/B0777FK974/ref=sr_1_3?keywords=3CE+Mood+Recipe+Face+Blush+-&amp;qid=1695259482&amp;sr=8-3</v>
      </c>
      <c r="F2422" t="s">
        <v>4518</v>
      </c>
      <c r="G2422" t="e">
        <f ca="1">IMAGE("https://prolisok-store.com/cdn/shop/files/31TTnrkqldL_300x.jpg?v=1683820558")</f>
        <v>#NAME?</v>
      </c>
      <c r="H2422" t="e">
        <f ca="1">IMAGE("https://m.media-amazon.com/images/I/41p47yBnZFL._AC_UL320_.jpg")</f>
        <v>#NAME?</v>
      </c>
      <c r="I2422" t="s">
        <v>3392</v>
      </c>
      <c r="J2422">
        <v>21.18</v>
      </c>
      <c r="K2422" s="2" t="s">
        <v>4519</v>
      </c>
      <c r="L2422">
        <v>4.8</v>
      </c>
      <c r="M2422">
        <v>25</v>
      </c>
      <c r="O2422" t="s">
        <v>26</v>
      </c>
      <c r="P2422" t="s">
        <v>39</v>
      </c>
      <c r="Q2422" t="s">
        <v>4408</v>
      </c>
    </row>
    <row r="2423" spans="1:17" ht="15.75" x14ac:dyDescent="0.25">
      <c r="A2423" s="3" t="str">
        <f>HYPERLINK("https://prolisok-store.com/collections/makeup/products/3ce-velvet-lip-tint-4g-stylenanda-private", "https://prolisok-store.com/collections/makeup/products/3ce-velvet-lip-tint-4g-stylenanda-private")</f>
        <v>https://prolisok-store.com/collections/makeup/products/3ce-velvet-lip-tint-4g-stylenanda-private</v>
      </c>
      <c r="B2423" s="3" t="str">
        <f>HYPERLINK("https://prolisok-store.com/products/3ce-velvet-lip-tint-4g-stylenanda-private", "https://prolisok-store.com/products/3ce-velvet-lip-tint-4g-stylenanda-private")</f>
        <v>https://prolisok-store.com/products/3ce-velvet-lip-tint-4g-stylenanda-private</v>
      </c>
      <c r="C2423" t="s">
        <v>4495</v>
      </c>
      <c r="D2423" t="s">
        <v>4523</v>
      </c>
      <c r="E2423" s="3" t="str">
        <f>HYPERLINK("https://www.amazon.com/Velvet-colors-Newly-Launched-Stylenanda/dp/B076J83H6F/ref=sr_1_2?keywords=3CE+Velvet+Lip+Tint+%284g%29+Stylenanda+%28Private%29&amp;qid=1695259491&amp;sr=8-2", "https://www.amazon.com/Velvet-colors-Newly-Launched-Stylenanda/dp/B076J83H6F/ref=sr_1_2?keywords=3CE+Velvet+Lip+Tint+%284g%29+Stylenanda+%28Private%29&amp;qid=1695259491&amp;sr=8-2")</f>
        <v>https://www.amazon.com/Velvet-colors-Newly-Launched-Stylenanda/dp/B076J83H6F/ref=sr_1_2?keywords=3CE+Velvet+Lip+Tint+%284g%29+Stylenanda+%28Private%29&amp;qid=1695259491&amp;sr=8-2</v>
      </c>
      <c r="F2423" t="s">
        <v>4524</v>
      </c>
      <c r="G2423" t="e">
        <f ca="1">IMAGE("https://prolisok-store.com/cdn/shop/files/51lsOgwPjWL._SL1000_300x.jpg?v=1683819884")</f>
        <v>#NAME?</v>
      </c>
      <c r="H2423" t="e">
        <f ca="1">IMAGE("https://m.media-amazon.com/images/I/51vrAPNxfqL._AC_UL320_.jpg")</f>
        <v>#NAME?</v>
      </c>
      <c r="I2423" t="s">
        <v>3392</v>
      </c>
      <c r="J2423">
        <v>21</v>
      </c>
      <c r="K2423" s="2" t="s">
        <v>4525</v>
      </c>
      <c r="L2423">
        <v>4.5</v>
      </c>
      <c r="M2423">
        <v>4</v>
      </c>
      <c r="O2423" t="s">
        <v>26</v>
      </c>
      <c r="P2423" t="s">
        <v>39</v>
      </c>
      <c r="Q2423" t="s">
        <v>4499</v>
      </c>
    </row>
    <row r="2424" spans="1:17" ht="15.75" x14ac:dyDescent="0.25">
      <c r="A2424" s="3" t="str">
        <f>HYPERLINK("https://prolisok-store.com/collections/makeup/products/3ce-velvet-lip-tint-4g-stylenanda-private", "https://prolisok-store.com/collections/makeup/products/3ce-velvet-lip-tint-4g-stylenanda-private")</f>
        <v>https://prolisok-store.com/collections/makeup/products/3ce-velvet-lip-tint-4g-stylenanda-private</v>
      </c>
      <c r="B2424" s="3" t="str">
        <f>HYPERLINK("https://prolisok-store.com/products/3ce-velvet-lip-tint-4g-stylenanda-private", "https://prolisok-store.com/products/3ce-velvet-lip-tint-4g-stylenanda-private")</f>
        <v>https://prolisok-store.com/products/3ce-velvet-lip-tint-4g-stylenanda-private</v>
      </c>
      <c r="C2424" t="s">
        <v>4495</v>
      </c>
      <c r="D2424" t="s">
        <v>4530</v>
      </c>
      <c r="E2424" s="3" t="str">
        <f>HYPERLINK("https://www.amazon.com/Velvet-colors-Launched-Stylenanda-Private/dp/B076J9P2Q5/ref=sr_1_1?keywords=3CE+Velvet+Lip+Tint+%284g%29+Stylenanda+%28Private%29&amp;qid=1695259491&amp;sr=8-1", "https://www.amazon.com/Velvet-colors-Launched-Stylenanda-Private/dp/B076J9P2Q5/ref=sr_1_1?keywords=3CE+Velvet+Lip+Tint+%284g%29+Stylenanda+%28Private%29&amp;qid=1695259491&amp;sr=8-1")</f>
        <v>https://www.amazon.com/Velvet-colors-Launched-Stylenanda-Private/dp/B076J9P2Q5/ref=sr_1_1?keywords=3CE+Velvet+Lip+Tint+%284g%29+Stylenanda+%28Private%29&amp;qid=1695259491&amp;sr=8-1</v>
      </c>
      <c r="F2424" t="s">
        <v>4531</v>
      </c>
      <c r="G2424" t="e">
        <f ca="1">IMAGE("https://prolisok-store.com/cdn/shop/files/51lsOgwPjWL._SL1000_300x.jpg?v=1683819884")</f>
        <v>#NAME?</v>
      </c>
      <c r="H2424" t="e">
        <f ca="1">IMAGE("https://m.media-amazon.com/images/I/51lsOgwPjWL._AC_UL320_.jpg")</f>
        <v>#NAME?</v>
      </c>
      <c r="I2424" t="s">
        <v>3392</v>
      </c>
      <c r="J2424">
        <v>20.9</v>
      </c>
      <c r="K2424" s="2" t="s">
        <v>4532</v>
      </c>
      <c r="L2424">
        <v>4.4000000000000004</v>
      </c>
      <c r="M2424">
        <v>10</v>
      </c>
      <c r="O2424" t="s">
        <v>26</v>
      </c>
      <c r="P2424" t="s">
        <v>39</v>
      </c>
      <c r="Q2424" t="s">
        <v>4499</v>
      </c>
    </row>
    <row r="2425" spans="1:17" ht="15.75" x14ac:dyDescent="0.25">
      <c r="A2425" s="3" t="str">
        <f>HYPERLINK("https://prolisok-store.com/collections/makeup/products/3ce-mood-recipe-matte-lip-color-909", "https://prolisok-store.com/collections/makeup/products/3ce-mood-recipe-matte-lip-color-909")</f>
        <v>https://prolisok-store.com/collections/makeup/products/3ce-mood-recipe-matte-lip-color-909</v>
      </c>
      <c r="B2425" s="3" t="str">
        <f>HYPERLINK("https://prolisok-store.com/products/3ce-mood-recipe-matte-lip-color-909", "https://prolisok-store.com/products/3ce-mood-recipe-matte-lip-color-909")</f>
        <v>https://prolisok-store.com/products/3ce-mood-recipe-matte-lip-color-909</v>
      </c>
      <c r="C2425" t="s">
        <v>4358</v>
      </c>
      <c r="D2425" t="s">
        <v>4533</v>
      </c>
      <c r="E2425" s="3" t="str">
        <f>HYPERLINK("https://www.amazon.com/Recipe-Matte-Color-Concept-Season/dp/B077CL1Y59/ref=sr_1_9?keywords=3CE+Mood+Recipe+Matte+Lip+Color%2C+909&amp;qid=1695259481&amp;sr=8-9", "https://www.amazon.com/Recipe-Matte-Color-Concept-Season/dp/B077CL1Y59/ref=sr_1_9?keywords=3CE+Mood+Recipe+Matte+Lip+Color%2C+909&amp;qid=1695259481&amp;sr=8-9")</f>
        <v>https://www.amazon.com/Recipe-Matte-Color-Concept-Season/dp/B077CL1Y59/ref=sr_1_9?keywords=3CE+Mood+Recipe+Matte+Lip+Color%2C+909&amp;qid=1695259481&amp;sr=8-9</v>
      </c>
      <c r="F2425" t="s">
        <v>4534</v>
      </c>
      <c r="G2425" t="e">
        <f ca="1">IMAGE("https://prolisok-store.com/cdn/shop/files/41q_eA_m8iL._SL1000_300x.jpg?v=1693221579")</f>
        <v>#NAME?</v>
      </c>
      <c r="H2425" t="e">
        <f ca="1">IMAGE("https://m.media-amazon.com/images/I/21tv+5J12vL._AC_UL320_.jpg")</f>
        <v>#NAME?</v>
      </c>
      <c r="I2425" t="s">
        <v>3392</v>
      </c>
      <c r="J2425">
        <v>20.86</v>
      </c>
      <c r="K2425" s="2" t="s">
        <v>4535</v>
      </c>
      <c r="L2425">
        <v>4</v>
      </c>
      <c r="M2425">
        <v>39</v>
      </c>
      <c r="O2425" t="s">
        <v>26</v>
      </c>
      <c r="P2425" t="s">
        <v>39</v>
      </c>
      <c r="Q2425" t="s">
        <v>4362</v>
      </c>
    </row>
    <row r="2426" spans="1:17" ht="15.75" x14ac:dyDescent="0.25">
      <c r="A2426" s="3" t="str">
        <f>HYPERLINK("https://prolisok-store.com/collections/makeup/products/3ce-mood-recipe-matte-lip-color-3-concept-eyes-season-2-220-hit-me-up", "https://prolisok-store.com/collections/makeup/products/3ce-mood-recipe-matte-lip-color-3-concept-eyes-season-2-220-hit-me-up")</f>
        <v>https://prolisok-store.com/collections/makeup/products/3ce-mood-recipe-matte-lip-color-3-concept-eyes-season-2-220-hit-me-up</v>
      </c>
      <c r="B2426" s="3" t="str">
        <f>HYPERLINK("https://prolisok-store.com/products/3ce-mood-recipe-matte-lip-color-3-concept-eyes-season-2-220-hit-me-up", "https://prolisok-store.com/products/3ce-mood-recipe-matte-lip-color-3-concept-eyes-season-2-220-hit-me-up")</f>
        <v>https://prolisok-store.com/products/3ce-mood-recipe-matte-lip-color-3-concept-eyes-season-2-220-hit-me-up</v>
      </c>
      <c r="C2426" t="s">
        <v>4414</v>
      </c>
      <c r="D2426" t="s">
        <v>4533</v>
      </c>
      <c r="E2426" s="3" t="str">
        <f>HYPERLINK("https://www.amazon.com/Recipe-Matte-Color-Concept-Season/dp/B077CL1Y59/ref=sr_1_3?keywords=3CE+Mood+Recipe+Matte+Lip+Color+3+Concept+Eyes+Season+2+%28&amp;qid=1695259496&amp;sr=8-3", "https://www.amazon.com/Recipe-Matte-Color-Concept-Season/dp/B077CL1Y59/ref=sr_1_3?keywords=3CE+Mood+Recipe+Matte+Lip+Color+3+Concept+Eyes+Season+2+%28&amp;qid=1695259496&amp;sr=8-3")</f>
        <v>https://www.amazon.com/Recipe-Matte-Color-Concept-Season/dp/B077CL1Y59/ref=sr_1_3?keywords=3CE+Mood+Recipe+Matte+Lip+Color+3+Concept+Eyes+Season+2+%28&amp;qid=1695259496&amp;sr=8-3</v>
      </c>
      <c r="F2426" t="s">
        <v>4534</v>
      </c>
      <c r="G2426" t="e">
        <f ca="1">IMAGE("https://prolisok-store.com/cdn/shop/files/41eAqvNQC-L._SL1000_300x.jpg?v=1693219330")</f>
        <v>#NAME?</v>
      </c>
      <c r="H2426" t="e">
        <f ca="1">IMAGE("https://m.media-amazon.com/images/I/21tv+5J12vL._AC_UL320_.jpg")</f>
        <v>#NAME?</v>
      </c>
      <c r="I2426" t="s">
        <v>3392</v>
      </c>
      <c r="J2426">
        <v>20.86</v>
      </c>
      <c r="K2426" s="2" t="s">
        <v>4535</v>
      </c>
      <c r="L2426">
        <v>4</v>
      </c>
      <c r="M2426">
        <v>39</v>
      </c>
      <c r="O2426" t="s">
        <v>26</v>
      </c>
      <c r="P2426" t="s">
        <v>39</v>
      </c>
      <c r="Q2426" t="s">
        <v>4418</v>
      </c>
    </row>
    <row r="2427" spans="1:17" ht="15.75" x14ac:dyDescent="0.25">
      <c r="A2427" s="3" t="str">
        <f>HYPERLINK("https://prolisok-store.com/collections/makeup/products/3ce-mood-recipe-matte-lip-color-116", "https://prolisok-store.com/collections/makeup/products/3ce-mood-recipe-matte-lip-color-116")</f>
        <v>https://prolisok-store.com/collections/makeup/products/3ce-mood-recipe-matte-lip-color-116</v>
      </c>
      <c r="B2427" s="3" t="str">
        <f>HYPERLINK("https://prolisok-store.com/products/3ce-mood-recipe-matte-lip-color-116", "https://prolisok-store.com/products/3ce-mood-recipe-matte-lip-color-116")</f>
        <v>https://prolisok-store.com/products/3ce-mood-recipe-matte-lip-color-116</v>
      </c>
      <c r="C2427" t="s">
        <v>4363</v>
      </c>
      <c r="D2427" t="s">
        <v>4533</v>
      </c>
      <c r="E2427" s="3" t="str">
        <f>HYPERLINK("https://www.amazon.com/Recipe-Matte-Color-Concept-Season/dp/B077CL1Y59/ref=sr_1_6?keywords=3CE+Mood+Recipe+Matte+Lip+Color%2C+116&amp;qid=1695259483&amp;sr=8-6", "https://www.amazon.com/Recipe-Matte-Color-Concept-Season/dp/B077CL1Y59/ref=sr_1_6?keywords=3CE+Mood+Recipe+Matte+Lip+Color%2C+116&amp;qid=1695259483&amp;sr=8-6")</f>
        <v>https://www.amazon.com/Recipe-Matte-Color-Concept-Season/dp/B077CL1Y59/ref=sr_1_6?keywords=3CE+Mood+Recipe+Matte+Lip+Color%2C+116&amp;qid=1695259483&amp;sr=8-6</v>
      </c>
      <c r="F2427" t="s">
        <v>4534</v>
      </c>
      <c r="G2427" t="e">
        <f ca="1">IMAGE("https://prolisok-store.com/cdn/shop/files/31C87n4RBaL_300x.jpg?v=1693221452")</f>
        <v>#NAME?</v>
      </c>
      <c r="H2427" t="e">
        <f ca="1">IMAGE("https://m.media-amazon.com/images/I/21tv+5J12vL._AC_UL320_.jpg")</f>
        <v>#NAME?</v>
      </c>
      <c r="I2427" t="s">
        <v>3392</v>
      </c>
      <c r="J2427">
        <v>20.86</v>
      </c>
      <c r="K2427" s="2" t="s">
        <v>4535</v>
      </c>
      <c r="L2427">
        <v>4</v>
      </c>
      <c r="M2427">
        <v>39</v>
      </c>
      <c r="O2427" t="s">
        <v>26</v>
      </c>
      <c r="P2427" t="s">
        <v>39</v>
      </c>
      <c r="Q2427" t="s">
        <v>4366</v>
      </c>
    </row>
    <row r="2428" spans="1:17" ht="15.75" x14ac:dyDescent="0.25">
      <c r="A2428" s="3" t="str">
        <f>HYPERLINK("https://prolisok-store.com/collections/makeup/products/3ce-velvet-lip-tint-4g-stylenanda-private", "https://prolisok-store.com/collections/makeup/products/3ce-velvet-lip-tint-4g-stylenanda-private")</f>
        <v>https://prolisok-store.com/collections/makeup/products/3ce-velvet-lip-tint-4g-stylenanda-private</v>
      </c>
      <c r="B2428" s="3" t="str">
        <f>HYPERLINK("https://prolisok-store.com/products/3ce-velvet-lip-tint-4g-stylenanda-private", "https://prolisok-store.com/products/3ce-velvet-lip-tint-4g-stylenanda-private")</f>
        <v>https://prolisok-store.com/products/3ce-velvet-lip-tint-4g-stylenanda-private</v>
      </c>
      <c r="C2428" t="s">
        <v>4495</v>
      </c>
      <c r="D2428" t="s">
        <v>4536</v>
      </c>
      <c r="E2428" s="3" t="str">
        <f>HYPERLINK("https://www.amazon.com/Velvet-colors-Newly-Launched-Stylenanda/dp/B076J8C8XJ/ref=sr_1_4?keywords=3CE+Velvet+Lip+Tint+%284g%29+Stylenanda+%28Private%29&amp;qid=1695259491&amp;sr=8-4", "https://www.amazon.com/Velvet-colors-Newly-Launched-Stylenanda/dp/B076J8C8XJ/ref=sr_1_4?keywords=3CE+Velvet+Lip+Tint+%284g%29+Stylenanda+%28Private%29&amp;qid=1695259491&amp;sr=8-4")</f>
        <v>https://www.amazon.com/Velvet-colors-Newly-Launched-Stylenanda/dp/B076J8C8XJ/ref=sr_1_4?keywords=3CE+Velvet+Lip+Tint+%284g%29+Stylenanda+%28Private%29&amp;qid=1695259491&amp;sr=8-4</v>
      </c>
      <c r="F2428" t="s">
        <v>4537</v>
      </c>
      <c r="G2428" t="e">
        <f ca="1">IMAGE("https://prolisok-store.com/cdn/shop/files/51lsOgwPjWL._SL1000_300x.jpg?v=1683819884")</f>
        <v>#NAME?</v>
      </c>
      <c r="H2428" t="e">
        <f ca="1">IMAGE("https://m.media-amazon.com/images/I/51vIe0hDVvL._AC_UL320_.jpg")</f>
        <v>#NAME?</v>
      </c>
      <c r="I2428" t="s">
        <v>3392</v>
      </c>
      <c r="J2428">
        <v>20.63</v>
      </c>
      <c r="K2428" s="2" t="s">
        <v>4538</v>
      </c>
      <c r="L2428">
        <v>3.3</v>
      </c>
      <c r="M2428">
        <v>30</v>
      </c>
      <c r="O2428" t="s">
        <v>26</v>
      </c>
      <c r="P2428" t="s">
        <v>39</v>
      </c>
      <c r="Q2428" t="s">
        <v>4499</v>
      </c>
    </row>
    <row r="2429" spans="1:17" ht="15.75" x14ac:dyDescent="0.25">
      <c r="A2429" s="3" t="str">
        <f>HYPERLINK("https://prolisok-store.com/collections/makeup/products/3ce-new-mood-recipe-face-blush-style-nanda-3-concept-eyes-mono-pink", "https://prolisok-store.com/collections/makeup/products/3ce-new-mood-recipe-face-blush-style-nanda-3-concept-eyes-mono-pink")</f>
        <v>https://prolisok-store.com/collections/makeup/products/3ce-new-mood-recipe-face-blush-style-nanda-3-concept-eyes-mono-pink</v>
      </c>
      <c r="B2429" s="3" t="str">
        <f>HYPERLINK("https://prolisok-store.com/products/3ce-new-mood-recipe-face-blush-style-nanda-3-concept-eyes-mono-pink", "https://prolisok-store.com/products/3ce-new-mood-recipe-face-blush-style-nanda-3-concept-eyes-mono-pink")</f>
        <v>https://prolisok-store.com/products/3ce-new-mood-recipe-face-blush-style-nanda-3-concept-eyes-mono-pink</v>
      </c>
      <c r="C2429" t="s">
        <v>4542</v>
      </c>
      <c r="D2429" t="s">
        <v>4543</v>
      </c>
      <c r="E2429" s="3" t="str">
        <f>HYPERLINK("https://www.amazon.com/Recipe-Blush-Style-Concept-Season/dp/B077CKPKH1/ref=sr_1_2?keywords=3CE+NEW+Mood+Recipe+Face+Blush+Style+Nanda+3+Concept+Eyes+%28Mono+Pink%29&amp;qid=1695259487&amp;sr=8-2", "https://www.amazon.com/Recipe-Blush-Style-Concept-Season/dp/B077CKPKH1/ref=sr_1_2?keywords=3CE+NEW+Mood+Recipe+Face+Blush+Style+Nanda+3+Concept+Eyes+%28Mono+Pink%29&amp;qid=1695259487&amp;sr=8-2")</f>
        <v>https://www.amazon.com/Recipe-Blush-Style-Concept-Season/dp/B077CKPKH1/ref=sr_1_2?keywords=3CE+NEW+Mood+Recipe+Face+Blush+Style+Nanda+3+Concept+Eyes+%28Mono+Pink%29&amp;qid=1695259487&amp;sr=8-2</v>
      </c>
      <c r="F2429" t="s">
        <v>4544</v>
      </c>
      <c r="G2429" t="e">
        <f ca="1">IMAGE("https://prolisok-store.com/cdn/shop/files/41mwDCFhDfL_300x.jpg?v=1683820366")</f>
        <v>#NAME?</v>
      </c>
      <c r="H2429" t="e">
        <f ca="1">IMAGE("https://m.media-amazon.com/images/I/31BJ6j6MJLL._AC_UL320_.jpg")</f>
        <v>#NAME?</v>
      </c>
      <c r="I2429" t="s">
        <v>3392</v>
      </c>
      <c r="J2429">
        <v>20.29</v>
      </c>
      <c r="K2429" s="2" t="s">
        <v>4545</v>
      </c>
      <c r="L2429">
        <v>4.3</v>
      </c>
      <c r="M2429">
        <v>45</v>
      </c>
      <c r="O2429" t="s">
        <v>26</v>
      </c>
      <c r="P2429" t="s">
        <v>39</v>
      </c>
      <c r="Q2429" t="s">
        <v>4546</v>
      </c>
    </row>
    <row r="2430" spans="1:17" ht="15.75" x14ac:dyDescent="0.25">
      <c r="A2430" s="3" t="str">
        <f>HYPERLINK("https://prolisok-store.com/collections/makeup/products/3ce-mood-recipe-face-blush-rose-beige", "https://prolisok-store.com/collections/makeup/products/3ce-mood-recipe-face-blush-rose-beige")</f>
        <v>https://prolisok-store.com/collections/makeup/products/3ce-mood-recipe-face-blush-rose-beige</v>
      </c>
      <c r="B2430" s="3" t="str">
        <f>HYPERLINK("https://prolisok-store.com/products/3ce-mood-recipe-face-blush-rose-beige", "https://prolisok-store.com/products/3ce-mood-recipe-face-blush-rose-beige")</f>
        <v>https://prolisok-store.com/products/3ce-mood-recipe-face-blush-rose-beige</v>
      </c>
      <c r="C2430" t="s">
        <v>4404</v>
      </c>
      <c r="D2430" t="s">
        <v>4543</v>
      </c>
      <c r="E2430" s="3" t="str">
        <f>HYPERLINK("https://www.amazon.com/Recipe-Blush-Style-Concept-Season/dp/B077CKPKH1/ref=sr_1_5?keywords=3CE+Mood+Recipe+Face+Blush+-&amp;qid=1695259482&amp;sr=8-5", "https://www.amazon.com/Recipe-Blush-Style-Concept-Season/dp/B077CKPKH1/ref=sr_1_5?keywords=3CE+Mood+Recipe+Face+Blush+-&amp;qid=1695259482&amp;sr=8-5")</f>
        <v>https://www.amazon.com/Recipe-Blush-Style-Concept-Season/dp/B077CKPKH1/ref=sr_1_5?keywords=3CE+Mood+Recipe+Face+Blush+-&amp;qid=1695259482&amp;sr=8-5</v>
      </c>
      <c r="F2430" t="s">
        <v>4544</v>
      </c>
      <c r="G2430" t="e">
        <f ca="1">IMAGE("https://prolisok-store.com/cdn/shop/files/31TTnrkqldL_300x.jpg?v=1683820558")</f>
        <v>#NAME?</v>
      </c>
      <c r="H2430" t="e">
        <f ca="1">IMAGE("https://m.media-amazon.com/images/I/31BJ6j6MJLL._AC_UL320_.jpg")</f>
        <v>#NAME?</v>
      </c>
      <c r="I2430" t="s">
        <v>3392</v>
      </c>
      <c r="J2430">
        <v>20.29</v>
      </c>
      <c r="K2430" s="2" t="s">
        <v>4545</v>
      </c>
      <c r="L2430">
        <v>4.3</v>
      </c>
      <c r="M2430">
        <v>45</v>
      </c>
      <c r="O2430" t="s">
        <v>26</v>
      </c>
      <c r="P2430" t="s">
        <v>39</v>
      </c>
      <c r="Q2430" t="s">
        <v>4408</v>
      </c>
    </row>
    <row r="2431" spans="1:17" ht="15.75" x14ac:dyDescent="0.25">
      <c r="A2431" s="3" t="str">
        <f>HYPERLINK("https://prolisok-store.com/collections/makeup/products/estee-lauder-pure-color-envy-sculpting-lipstick-360-fierce-0-12-ounce", "https://prolisok-store.com/collections/makeup/products/estee-lauder-pure-color-envy-sculpting-lipstick-360-fierce-0-12-ounce")</f>
        <v>https://prolisok-store.com/collections/makeup/products/estee-lauder-pure-color-envy-sculpting-lipstick-360-fierce-0-12-ounce</v>
      </c>
      <c r="B2431"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2431" t="s">
        <v>4452</v>
      </c>
      <c r="D2431" t="s">
        <v>5978</v>
      </c>
      <c r="E2431" s="3" t="str">
        <f>HYPERLINK("https://www.amazon.com/Color-Velvet-Matte-Sculpting-Lipstick/dp/B072K2F587/ref=sr_1_3?keywords=Estee+Lauder+Pure+Color+Envy+Sculpting+Lipstick+%23360+Fierce%2C+0.12+Ounce&amp;qid=1695259450&amp;sr=8-3", "https://www.amazon.com/Color-Velvet-Matte-Sculpting-Lipstick/dp/B072K2F587/ref=sr_1_3?keywords=Estee+Lauder+Pure+Color+Envy+Sculpting+Lipstick+%23360+Fierce%2C+0.12+Ounce&amp;qid=1695259450&amp;sr=8-3")</f>
        <v>https://www.amazon.com/Color-Velvet-Matte-Sculpting-Lipstick/dp/B072K2F587/ref=sr_1_3?keywords=Estee+Lauder+Pure+Color+Envy+Sculpting+Lipstick+%23360+Fierce%2C+0.12+Ounce&amp;qid=1695259450&amp;sr=8-3</v>
      </c>
      <c r="F2431" t="s">
        <v>5979</v>
      </c>
      <c r="G2431" t="e">
        <f ca="1">IMAGE("https://prolisok-store.com/cdn/shop/products/61OXcvCJbTL._SL1500_300x.jpg?v=1681307706")</f>
        <v>#NAME?</v>
      </c>
      <c r="H2431" t="e">
        <f ca="1">IMAGE("https://m.media-amazon.com/images/I/61xoXvKnR+L._AC_UL320_.jpg")</f>
        <v>#NAME?</v>
      </c>
      <c r="I2431" t="s">
        <v>3419</v>
      </c>
      <c r="J2431">
        <v>35.950000000000003</v>
      </c>
      <c r="K2431" s="2" t="s">
        <v>5980</v>
      </c>
      <c r="L2431">
        <v>4.5</v>
      </c>
      <c r="M2431">
        <v>16</v>
      </c>
      <c r="O2431" t="s">
        <v>26</v>
      </c>
      <c r="P2431" t="s">
        <v>39</v>
      </c>
      <c r="Q2431" t="s">
        <v>4456</v>
      </c>
    </row>
    <row r="2432" spans="1:17" ht="15.75" x14ac:dyDescent="0.25">
      <c r="A2432" s="3" t="str">
        <f>HYPERLINK("https://prolisok-store.com/collections/makeup/products/3ce-velvet-lip-tint-4g-ea-stylenanda-childlike", "https://prolisok-store.com/collections/makeup/products/3ce-velvet-lip-tint-4g-ea-stylenanda-childlike")</f>
        <v>https://prolisok-store.com/collections/makeup/products/3ce-velvet-lip-tint-4g-ea-stylenanda-childlike</v>
      </c>
      <c r="B2432" s="3" t="str">
        <f>HYPERLINK("https://prolisok-store.com/products/3ce-velvet-lip-tint-4g-ea-stylenanda-childlike", "https://prolisok-store.com/products/3ce-velvet-lip-tint-4g-ea-stylenanda-childlike")</f>
        <v>https://prolisok-store.com/products/3ce-velvet-lip-tint-4g-ea-stylenanda-childlike</v>
      </c>
      <c r="C2432" t="s">
        <v>4565</v>
      </c>
      <c r="D2432" t="s">
        <v>4562</v>
      </c>
      <c r="E2432" s="3" t="str">
        <f>HYPERLINK("https://www.amazon.com/3CE-Velvet-Launched-Stylenanda-Childlike/dp/B076J8T94Z/ref=sr_1_1?keywords=3CE+Velvet+Lip+Tint+%284g%2Fea%29+Stylenanda+%28Childlike%29&amp;qid=1695259456&amp;sr=8-1", "https://www.amazon.com/3CE-Velvet-Launched-Stylenanda-Childlike/dp/B076J8T94Z/ref=sr_1_1?keywords=3CE+Velvet+Lip+Tint+%284g%2Fea%29+Stylenanda+%28Childlike%29&amp;qid=1695259456&amp;sr=8-1")</f>
        <v>https://www.amazon.com/3CE-Velvet-Launched-Stylenanda-Childlike/dp/B076J8T94Z/ref=sr_1_1?keywords=3CE+Velvet+Lip+Tint+%284g%2Fea%29+Stylenanda+%28Childlike%29&amp;qid=1695259456&amp;sr=8-1</v>
      </c>
      <c r="F2432" t="s">
        <v>4563</v>
      </c>
      <c r="G2432" t="e">
        <f ca="1">IMAGE("https://prolisok-store.com/cdn/shop/files/51jcI8m3SjL._SL1000_300x.jpg?v=1683818942")</f>
        <v>#NAME?</v>
      </c>
      <c r="H2432" t="e">
        <f ca="1">IMAGE("https://m.media-amazon.com/images/I/51jcI8m3SjL._AC_UL320_.jpg")</f>
        <v>#NAME?</v>
      </c>
      <c r="I2432" t="s">
        <v>3392</v>
      </c>
      <c r="J2432">
        <v>19</v>
      </c>
      <c r="K2432" s="2" t="s">
        <v>4564</v>
      </c>
      <c r="L2432">
        <v>3.8</v>
      </c>
      <c r="M2432">
        <v>13</v>
      </c>
      <c r="O2432" t="s">
        <v>26</v>
      </c>
      <c r="P2432" t="s">
        <v>39</v>
      </c>
      <c r="Q2432" t="s">
        <v>4566</v>
      </c>
    </row>
    <row r="2433" spans="1:17" ht="15.75" x14ac:dyDescent="0.25">
      <c r="A2433" s="3" t="str">
        <f>HYPERLINK("https://prolisok-store.com/collections/makeup/products/3ce-velvet-lip-tint-4g-stylenanda-private", "https://prolisok-store.com/collections/makeup/products/3ce-velvet-lip-tint-4g-stylenanda-private")</f>
        <v>https://prolisok-store.com/collections/makeup/products/3ce-velvet-lip-tint-4g-stylenanda-private</v>
      </c>
      <c r="B2433" s="3" t="str">
        <f>HYPERLINK("https://prolisok-store.com/products/3ce-velvet-lip-tint-4g-stylenanda-private", "https://prolisok-store.com/products/3ce-velvet-lip-tint-4g-stylenanda-private")</f>
        <v>https://prolisok-store.com/products/3ce-velvet-lip-tint-4g-stylenanda-private</v>
      </c>
      <c r="C2433" t="s">
        <v>4495</v>
      </c>
      <c r="D2433" t="s">
        <v>4562</v>
      </c>
      <c r="E2433" s="3" t="str">
        <f>HYPERLINK("https://www.amazon.com/3CE-Velvet-Launched-Stylenanda-Childlike/dp/B076J8T94Z/ref=sr_1_3?keywords=3CE+Velvet+Lip+Tint+%284g%29+Stylenanda+%28Private%29&amp;qid=1695259491&amp;sr=8-3", "https://www.amazon.com/3CE-Velvet-Launched-Stylenanda-Childlike/dp/B076J8T94Z/ref=sr_1_3?keywords=3CE+Velvet+Lip+Tint+%284g%29+Stylenanda+%28Private%29&amp;qid=1695259491&amp;sr=8-3")</f>
        <v>https://www.amazon.com/3CE-Velvet-Launched-Stylenanda-Childlike/dp/B076J8T94Z/ref=sr_1_3?keywords=3CE+Velvet+Lip+Tint+%284g%29+Stylenanda+%28Private%29&amp;qid=1695259491&amp;sr=8-3</v>
      </c>
      <c r="F2433" t="s">
        <v>4563</v>
      </c>
      <c r="G2433" t="e">
        <f ca="1">IMAGE("https://prolisok-store.com/cdn/shop/files/51lsOgwPjWL._SL1000_300x.jpg?v=1683819884")</f>
        <v>#NAME?</v>
      </c>
      <c r="H2433" t="e">
        <f ca="1">IMAGE("https://m.media-amazon.com/images/I/51jcI8m3SjL._AC_UL320_.jpg")</f>
        <v>#NAME?</v>
      </c>
      <c r="I2433" t="s">
        <v>3392</v>
      </c>
      <c r="J2433">
        <v>19</v>
      </c>
      <c r="K2433" s="2" t="s">
        <v>4564</v>
      </c>
      <c r="L2433">
        <v>3.8</v>
      </c>
      <c r="M2433">
        <v>13</v>
      </c>
      <c r="O2433" t="s">
        <v>26</v>
      </c>
      <c r="P2433" t="s">
        <v>39</v>
      </c>
      <c r="Q2433" t="s">
        <v>4499</v>
      </c>
    </row>
    <row r="2434" spans="1:17" ht="15.75" x14ac:dyDescent="0.25">
      <c r="A2434" s="3" t="str">
        <f>HYPERLINK("https://prolisok-store.com/collections/makeup/products/mac-small-eye-shadow-refill-pan-rule-1-5g-0-05oz", "https://prolisok-store.com/collections/makeup/products/mac-small-eye-shadow-refill-pan-rule-1-5g-0-05oz")</f>
        <v>https://prolisok-store.com/collections/makeup/products/mac-small-eye-shadow-refill-pan-rule-1-5g-0-05oz</v>
      </c>
      <c r="B2434" s="3" t="str">
        <f>HYPERLINK("https://prolisok-store.com/products/mac-small-eye-shadow-refill-pan-rule-1-5g-0-05oz", "https://prolisok-store.com/products/mac-small-eye-shadow-refill-pan-rule-1-5g-0-05oz")</f>
        <v>https://prolisok-store.com/products/mac-small-eye-shadow-refill-pan-rule-1-5g-0-05oz</v>
      </c>
      <c r="C2434" t="s">
        <v>5981</v>
      </c>
      <c r="D2434" t="s">
        <v>5964</v>
      </c>
      <c r="E2434" s="3" t="str">
        <f>HYPERLINK("https://www.amazon.com/MAC-Small-Eye-Shadow-Refill/dp/B008VFW4LY/ref=sr_1_5?keywords=MAC+small+eye+shadow+refill+pan+-+rule+-1.5g%2F0.05oz&amp;qid=1695259535&amp;sr=8-5", "https://www.amazon.com/MAC-Small-Eye-Shadow-Refill/dp/B008VFW4LY/ref=sr_1_5?keywords=MAC+small+eye+shadow+refill+pan+-+rule+-1.5g%2F0.05oz&amp;qid=1695259535&amp;sr=8-5")</f>
        <v>https://www.amazon.com/MAC-Small-Eye-Shadow-Refill/dp/B008VFW4LY/ref=sr_1_5?keywords=MAC+small+eye+shadow+refill+pan+-+rule+-1.5g%2F0.05oz&amp;qid=1695259535&amp;sr=8-5</v>
      </c>
      <c r="F2434" t="s">
        <v>5965</v>
      </c>
      <c r="G2434" t="e">
        <f ca="1">IMAGE("https://prolisok-store.com/cdn/shop/products/347316_300x.jpg?v=1690393893")</f>
        <v>#NAME?</v>
      </c>
      <c r="H2434" t="e">
        <f ca="1">IMAGE("https://m.media-amazon.com/images/I/31EjoKukrxL._AC_UL320_.jpg")</f>
        <v>#NAME?</v>
      </c>
      <c r="I2434" t="s">
        <v>5452</v>
      </c>
      <c r="J2434">
        <v>35.99</v>
      </c>
      <c r="K2434" s="2" t="s">
        <v>5982</v>
      </c>
      <c r="L2434">
        <v>5</v>
      </c>
      <c r="M2434">
        <v>4</v>
      </c>
      <c r="O2434" t="s">
        <v>26</v>
      </c>
      <c r="P2434" t="s">
        <v>39</v>
      </c>
      <c r="Q2434" t="s">
        <v>5983</v>
      </c>
    </row>
    <row r="2435" spans="1:17" ht="15.75" x14ac:dyDescent="0.25">
      <c r="A2435" s="3" t="str">
        <f>HYPERLINK("https://prolisok-store.com/collections/makeup/products/make-up-for-ever-ultra-hd-microfinishing-pressed-powder-translucent", "https://prolisok-store.com/collections/makeup/products/make-up-for-ever-ultra-hd-microfinishing-pressed-powder-translucent")</f>
        <v>https://prolisok-store.com/collections/makeup/products/make-up-for-ever-ultra-hd-microfinishing-pressed-powder-translucent</v>
      </c>
      <c r="B2435" s="3" t="str">
        <f>HYPERLINK("https://prolisok-store.com/products/make-up-for-ever-ultra-hd-microfinishing-pressed-powder-translucent", "https://prolisok-store.com/products/make-up-for-ever-ultra-hd-microfinishing-pressed-powder-translucent")</f>
        <v>https://prolisok-store.com/products/make-up-for-ever-ultra-hd-microfinishing-pressed-powder-translucent</v>
      </c>
      <c r="C2435" t="s">
        <v>4595</v>
      </c>
      <c r="D2435" t="s">
        <v>4596</v>
      </c>
      <c r="E2435" s="3" t="str">
        <f>HYPERLINK("https://www.amazon.com/Make-Up-Ever-Microfinish-Pressed/dp/B00IO92GU6/ref=sr_1_8?keywords=MAKE+UP+FOR+EVER+Ultra+HD+Microfinishing+Pressed+Powder+Translucent&amp;qid=1695259449&amp;sr=8-8", "https://www.amazon.com/Make-Up-Ever-Microfinish-Pressed/dp/B00IO92GU6/ref=sr_1_8?keywords=MAKE+UP+FOR+EVER+Ultra+HD+Microfinishing+Pressed+Powder+Translucent&amp;qid=1695259449&amp;sr=8-8")</f>
        <v>https://www.amazon.com/Make-Up-Ever-Microfinish-Pressed/dp/B00IO92GU6/ref=sr_1_8?keywords=MAKE+UP+FOR+EVER+Ultra+HD+Microfinishing+Pressed+Powder+Translucent&amp;qid=1695259449&amp;sr=8-8</v>
      </c>
      <c r="F2435" t="s">
        <v>4597</v>
      </c>
      <c r="G2435" t="e">
        <f ca="1">IMAGE("https://prolisok-store.com/cdn/shop/files/611llduh92L._SL1500_300x.jpg?v=1693220499")</f>
        <v>#NAME?</v>
      </c>
      <c r="H2435" t="e">
        <f ca="1">IMAGE("https://m.media-amazon.com/images/I/713Q6-WxD2L._AC_UL320_.jpg")</f>
        <v>#NAME?</v>
      </c>
      <c r="I2435" t="s">
        <v>3419</v>
      </c>
      <c r="J2435">
        <v>33.979999999999997</v>
      </c>
      <c r="K2435" s="2" t="s">
        <v>4598</v>
      </c>
      <c r="L2435">
        <v>4</v>
      </c>
      <c r="M2435">
        <v>147</v>
      </c>
      <c r="O2435" t="s">
        <v>26</v>
      </c>
      <c r="P2435" t="s">
        <v>39</v>
      </c>
      <c r="Q2435" t="s">
        <v>4599</v>
      </c>
    </row>
    <row r="2436" spans="1:17" ht="15.75" x14ac:dyDescent="0.25">
      <c r="A2436" s="3" t="str">
        <f>HYPERLINK("https://prolisok-store.com/collections/makeup/products/mac-small-eye-shadow-refill-pan-antiqued-1-5g-0-05oz", "https://prolisok-store.com/collections/makeup/products/mac-small-eye-shadow-refill-pan-antiqued-1-5g-0-05oz")</f>
        <v>https://prolisok-store.com/collections/makeup/products/mac-small-eye-shadow-refill-pan-antiqued-1-5g-0-05oz</v>
      </c>
      <c r="B2436" s="3" t="str">
        <f>HYPERLINK("https://prolisok-store.com/products/mac-small-eye-shadow-refill-pan-antiqued-1-5g-0-05oz", "https://prolisok-store.com/products/mac-small-eye-shadow-refill-pan-antiqued-1-5g-0-05oz")</f>
        <v>https://prolisok-store.com/products/mac-small-eye-shadow-refill-pan-antiqued-1-5g-0-05oz</v>
      </c>
      <c r="C2436" t="s">
        <v>5963</v>
      </c>
      <c r="D2436" t="s">
        <v>5984</v>
      </c>
      <c r="E2436" s="3" t="str">
        <f>HYPERLINK("https://www.amazon.com/MAC-Small-Eye-Shadow-Refill/dp/B00DST2YW2/ref=sr_1_10?keywords=MAC+small+eye+shadow+refill+pan+-+antiqued+-1.3g%2F0.04oz&amp;qid=1695259548&amp;sr=8-10", "https://www.amazon.com/MAC-Small-Eye-Shadow-Refill/dp/B00DST2YW2/ref=sr_1_10?keywords=MAC+small+eye+shadow+refill+pan+-+antiqued+-1.3g%2F0.04oz&amp;qid=1695259548&amp;sr=8-10")</f>
        <v>https://www.amazon.com/MAC-Small-Eye-Shadow-Refill/dp/B00DST2YW2/ref=sr_1_10?keywords=MAC+small+eye+shadow+refill+pan+-+antiqued+-1.3g%2F0.04oz&amp;qid=1695259548&amp;sr=8-10</v>
      </c>
      <c r="F2436" t="s">
        <v>5985</v>
      </c>
      <c r="G2436" t="e">
        <f ca="1">IMAGE("https://prolisok-store.com/cdn/shop/products/346006_300x.jpg?v=1690393889")</f>
        <v>#NAME?</v>
      </c>
      <c r="H2436" t="e">
        <f ca="1">IMAGE("https://m.media-amazon.com/images/I/31do7uc8NzL._AC_UL320_.jpg")</f>
        <v>#NAME?</v>
      </c>
      <c r="I2436" t="s">
        <v>4275</v>
      </c>
      <c r="J2436">
        <v>28.5</v>
      </c>
      <c r="K2436" s="2" t="s">
        <v>5986</v>
      </c>
      <c r="L2436">
        <v>4.9000000000000004</v>
      </c>
      <c r="M2436">
        <v>10</v>
      </c>
      <c r="O2436" t="s">
        <v>26</v>
      </c>
      <c r="P2436" t="s">
        <v>39</v>
      </c>
      <c r="Q2436" t="s">
        <v>5967</v>
      </c>
    </row>
    <row r="2437" spans="1:17" ht="15.75" x14ac:dyDescent="0.25">
      <c r="A2437" s="3" t="str">
        <f>HYPERLINK("https://prolisok-store.com/collections/makeup/products/3ce-multi-eye-color-palette-beach-muse-makeup-palette-9-color", "https://prolisok-store.com/collections/makeup/products/3ce-multi-eye-color-palette-beach-muse-makeup-palette-9-color")</f>
        <v>https://prolisok-store.com/collections/makeup/products/3ce-multi-eye-color-palette-beach-muse-makeup-palette-9-color</v>
      </c>
      <c r="B2437" s="3" t="str">
        <f>HYPERLINK("https://prolisok-store.com/products/3ce-multi-eye-color-palette-beach-muse-makeup-palette-9-color", "https://prolisok-store.com/products/3ce-multi-eye-color-palette-beach-muse-makeup-palette-9-color")</f>
        <v>https://prolisok-store.com/products/3ce-multi-eye-color-palette-beach-muse-makeup-palette-9-color</v>
      </c>
      <c r="C2437" t="s">
        <v>4629</v>
      </c>
      <c r="D2437" t="s">
        <v>4625</v>
      </c>
      <c r="E2437" s="3" t="str">
        <f>HYPERLINK("https://www.amazon.com/Recipe-Multi-Color-Palette-Eyeshadows/dp/B07B7KBYXC/ref=sr_1_5?keywords=3CE+Multi+Eye+Color+Palette%2CBeach+Muse%2CMakeup+Palette+9+Color&amp;qid=1695259449&amp;sr=8-5", "https://www.amazon.com/Recipe-Multi-Color-Palette-Eyeshadows/dp/B07B7KBYXC/ref=sr_1_5?keywords=3CE+Multi+Eye+Color+Palette%2CBeach+Muse%2CMakeup+Palette+9+Color&amp;qid=1695259449&amp;sr=8-5")</f>
        <v>https://www.amazon.com/Recipe-Multi-Color-Palette-Eyeshadows/dp/B07B7KBYXC/ref=sr_1_5?keywords=3CE+Multi+Eye+Color+Palette%2CBeach+Muse%2CMakeup+Palette+9+Color&amp;qid=1695259449&amp;sr=8-5</v>
      </c>
      <c r="F2437" t="s">
        <v>4626</v>
      </c>
      <c r="G2437" t="e">
        <f ca="1">IMAGE("https://prolisok-store.com/cdn/shop/files/61UqvcCJGwL._SL1001_300x.jpg?v=1682590795")</f>
        <v>#NAME?</v>
      </c>
      <c r="H2437" t="e">
        <f ca="1">IMAGE("https://m.media-amazon.com/images/I/612+Ciqg7fL._AC_UL320_.jpg")</f>
        <v>#NAME?</v>
      </c>
      <c r="I2437" t="s">
        <v>3458</v>
      </c>
      <c r="J2437">
        <v>43.53</v>
      </c>
      <c r="K2437" s="2" t="s">
        <v>4627</v>
      </c>
      <c r="L2437">
        <v>3.7</v>
      </c>
      <c r="M2437">
        <v>7</v>
      </c>
      <c r="O2437" t="s">
        <v>26</v>
      </c>
      <c r="P2437" t="s">
        <v>39</v>
      </c>
      <c r="Q2437" t="s">
        <v>4630</v>
      </c>
    </row>
    <row r="2438" spans="1:17" ht="15.75" x14ac:dyDescent="0.25">
      <c r="A2438" s="3" t="str">
        <f>HYPERLINK("https://prolisok-store.com/collections/makeup/products/3ce-mood-recipe-multi-eye-color-palette-plot-twist-9-tone-on-tone-eyeshadows", "https://prolisok-store.com/collections/makeup/products/3ce-mood-recipe-multi-eye-color-palette-plot-twist-9-tone-on-tone-eyeshadows")</f>
        <v>https://prolisok-store.com/collections/makeup/products/3ce-mood-recipe-multi-eye-color-palette-plot-twist-9-tone-on-tone-eyeshadows</v>
      </c>
      <c r="B2438" s="3" t="str">
        <f>HYPERLINK("https://prolisok-store.com/products/3ce-mood-recipe-multi-eye-color-palette-plot-twist-9-tone-on-tone-eyeshadows", "https://prolisok-store.com/products/3ce-mood-recipe-multi-eye-color-palette-plot-twist-9-tone-on-tone-eyeshadows")</f>
        <v>https://prolisok-store.com/products/3ce-mood-recipe-multi-eye-color-palette-plot-twist-9-tone-on-tone-eyeshadows</v>
      </c>
      <c r="C2438" t="s">
        <v>4625</v>
      </c>
      <c r="D2438" t="s">
        <v>4625</v>
      </c>
      <c r="E2438" s="3" t="str">
        <f>HYPERLINK("https://www.amazon.com/Recipe-Multi-Color-Palette-Eyeshadows/dp/B07B7KBYXC/ref=sr_1_1?keywords=3CE+Mood+Recipe+Multi+Eye+Color+Palette+%23PLOT+TWIST+9+Tone+on+tone+Eyeshadows&amp;qid=1695259483&amp;sr=8-1", "https://www.amazon.com/Recipe-Multi-Color-Palette-Eyeshadows/dp/B07B7KBYXC/ref=sr_1_1?keywords=3CE+Mood+Recipe+Multi+Eye+Color+Palette+%23PLOT+TWIST+9+Tone+on+tone+Eyeshadows&amp;qid=1695259483&amp;sr=8-1")</f>
        <v>https://www.amazon.com/Recipe-Multi-Color-Palette-Eyeshadows/dp/B07B7KBYXC/ref=sr_1_1?keywords=3CE+Mood+Recipe+Multi+Eye+Color+Palette+%23PLOT+TWIST+9+Tone+on+tone+Eyeshadows&amp;qid=1695259483&amp;sr=8-1</v>
      </c>
      <c r="F2438" t="s">
        <v>4626</v>
      </c>
      <c r="G2438" t="e">
        <f ca="1">IMAGE("https://prolisok-store.com/cdn/shop/files/41MZkdbeE1L_300x.jpg?v=1693220923")</f>
        <v>#NAME?</v>
      </c>
      <c r="H2438" t="e">
        <f ca="1">IMAGE("https://m.media-amazon.com/images/I/612+Ciqg7fL._AC_UL320_.jpg")</f>
        <v>#NAME?</v>
      </c>
      <c r="I2438" t="s">
        <v>3458</v>
      </c>
      <c r="J2438">
        <v>43.53</v>
      </c>
      <c r="K2438" s="2" t="s">
        <v>4627</v>
      </c>
      <c r="L2438">
        <v>3.7</v>
      </c>
      <c r="M2438">
        <v>7</v>
      </c>
      <c r="O2438" t="s">
        <v>26</v>
      </c>
      <c r="P2438" t="s">
        <v>39</v>
      </c>
      <c r="Q2438" t="s">
        <v>4628</v>
      </c>
    </row>
    <row r="2439" spans="1:17" ht="15.75" x14ac:dyDescent="0.25">
      <c r="A2439" s="3" t="str">
        <f>HYPERLINK("https://prolisok-store.com/collections/makeup/products/3ce-mood-recipe-face-blush-rose-beige", "https://prolisok-store.com/collections/makeup/products/3ce-mood-recipe-face-blush-rose-beige")</f>
        <v>https://prolisok-store.com/collections/makeup/products/3ce-mood-recipe-face-blush-rose-beige</v>
      </c>
      <c r="B2439" s="3" t="str">
        <f>HYPERLINK("https://prolisok-store.com/products/3ce-mood-recipe-face-blush-rose-beige", "https://prolisok-store.com/products/3ce-mood-recipe-face-blush-rose-beige")</f>
        <v>https://prolisok-store.com/products/3ce-mood-recipe-face-blush-rose-beige</v>
      </c>
      <c r="C2439" t="s">
        <v>4404</v>
      </c>
      <c r="D2439" t="s">
        <v>4639</v>
      </c>
      <c r="E2439" s="3" t="str">
        <f>HYPERLINK("https://www.amazon.com/Recipe-Blush-Style-Concept-Season/dp/B077CMDPZB/ref=sr_1_1?keywords=3CE+Mood+Recipe+Face+Blush+-&amp;qid=1695259482&amp;sr=8-1", "https://www.amazon.com/Recipe-Blush-Style-Concept-Season/dp/B077CMDPZB/ref=sr_1_1?keywords=3CE+Mood+Recipe+Face+Blush+-&amp;qid=1695259482&amp;sr=8-1")</f>
        <v>https://www.amazon.com/Recipe-Blush-Style-Concept-Season/dp/B077CMDPZB/ref=sr_1_1?keywords=3CE+Mood+Recipe+Face+Blush+-&amp;qid=1695259482&amp;sr=8-1</v>
      </c>
      <c r="F2439" t="s">
        <v>4640</v>
      </c>
      <c r="G2439" t="e">
        <f ca="1">IMAGE("https://prolisok-store.com/cdn/shop/files/31TTnrkqldL_300x.jpg?v=1683820558")</f>
        <v>#NAME?</v>
      </c>
      <c r="H2439" t="e">
        <f ca="1">IMAGE("https://m.media-amazon.com/images/I/51qL5+W0qqL._AC_UL320_.jpg")</f>
        <v>#NAME?</v>
      </c>
      <c r="I2439" t="s">
        <v>3392</v>
      </c>
      <c r="J2439">
        <v>16.899999999999999</v>
      </c>
      <c r="K2439" s="2" t="s">
        <v>4641</v>
      </c>
      <c r="L2439">
        <v>4.3</v>
      </c>
      <c r="M2439">
        <v>39</v>
      </c>
      <c r="O2439" t="s">
        <v>26</v>
      </c>
      <c r="P2439" t="s">
        <v>39</v>
      </c>
      <c r="Q2439" t="s">
        <v>4408</v>
      </c>
    </row>
    <row r="2440" spans="1:17" ht="15.75" x14ac:dyDescent="0.25">
      <c r="A2440" s="3" t="str">
        <f>HYPERLINK("https://prolisok-store.com/collections/makeup/products/3ce-new-mood-recipe-face-blush-style-nanda-3-concept-eyes-mono-pink", "https://prolisok-store.com/collections/makeup/products/3ce-new-mood-recipe-face-blush-style-nanda-3-concept-eyes-mono-pink")</f>
        <v>https://prolisok-store.com/collections/makeup/products/3ce-new-mood-recipe-face-blush-style-nanda-3-concept-eyes-mono-pink</v>
      </c>
      <c r="B2440" s="3" t="str">
        <f>HYPERLINK("https://prolisok-store.com/products/3ce-new-mood-recipe-face-blush-style-nanda-3-concept-eyes-mono-pink", "https://prolisok-store.com/products/3ce-new-mood-recipe-face-blush-style-nanda-3-concept-eyes-mono-pink")</f>
        <v>https://prolisok-store.com/products/3ce-new-mood-recipe-face-blush-style-nanda-3-concept-eyes-mono-pink</v>
      </c>
      <c r="C2440" t="s">
        <v>4542</v>
      </c>
      <c r="D2440" t="s">
        <v>4639</v>
      </c>
      <c r="E2440" s="3" t="str">
        <f>HYPERLINK("https://www.amazon.com/Recipe-Blush-Style-Concept-Season/dp/B077CMDPZB/ref=sr_1_1?keywords=3CE+NEW+Mood+Recipe+Face+Blush+Style+Nanda+3+Concept+Eyes+%28Mono+Pink%29&amp;qid=1695259487&amp;sr=8-1", "https://www.amazon.com/Recipe-Blush-Style-Concept-Season/dp/B077CMDPZB/ref=sr_1_1?keywords=3CE+NEW+Mood+Recipe+Face+Blush+Style+Nanda+3+Concept+Eyes+%28Mono+Pink%29&amp;qid=1695259487&amp;sr=8-1")</f>
        <v>https://www.amazon.com/Recipe-Blush-Style-Concept-Season/dp/B077CMDPZB/ref=sr_1_1?keywords=3CE+NEW+Mood+Recipe+Face+Blush+Style+Nanda+3+Concept+Eyes+%28Mono+Pink%29&amp;qid=1695259487&amp;sr=8-1</v>
      </c>
      <c r="F2440" t="s">
        <v>4640</v>
      </c>
      <c r="G2440" t="e">
        <f ca="1">IMAGE("https://prolisok-store.com/cdn/shop/files/41mwDCFhDfL_300x.jpg?v=1683820366")</f>
        <v>#NAME?</v>
      </c>
      <c r="H2440" t="e">
        <f ca="1">IMAGE("https://m.media-amazon.com/images/I/51qL5+W0qqL._AC_UL320_.jpg")</f>
        <v>#NAME?</v>
      </c>
      <c r="I2440" t="s">
        <v>3392</v>
      </c>
      <c r="J2440">
        <v>16.899999999999999</v>
      </c>
      <c r="K2440" s="2" t="s">
        <v>4641</v>
      </c>
      <c r="L2440">
        <v>4.3</v>
      </c>
      <c r="M2440">
        <v>39</v>
      </c>
      <c r="O2440" t="s">
        <v>26</v>
      </c>
      <c r="P2440" t="s">
        <v>39</v>
      </c>
      <c r="Q2440" t="s">
        <v>4546</v>
      </c>
    </row>
    <row r="2441" spans="1:17" ht="15.75" x14ac:dyDescent="0.25">
      <c r="A2441" s="3" t="str">
        <f>HYPERLINK("https://prolisok-store.com/collections/makeup/products/make-up-for-ever-ultra-hd-microfinishing-pressed-powder-translucent", "https://prolisok-store.com/collections/makeup/products/make-up-for-ever-ultra-hd-microfinishing-pressed-powder-translucent")</f>
        <v>https://prolisok-store.com/collections/makeup/products/make-up-for-ever-ultra-hd-microfinishing-pressed-powder-translucent</v>
      </c>
      <c r="B2441" s="3" t="str">
        <f>HYPERLINK("https://prolisok-store.com/products/make-up-for-ever-ultra-hd-microfinishing-pressed-powder-translucent", "https://prolisok-store.com/products/make-up-for-ever-ultra-hd-microfinishing-pressed-powder-translucent")</f>
        <v>https://prolisok-store.com/products/make-up-for-ever-ultra-hd-microfinishing-pressed-powder-translucent</v>
      </c>
      <c r="C2441" t="s">
        <v>4595</v>
      </c>
      <c r="D2441" t="s">
        <v>4645</v>
      </c>
      <c r="E2441" s="3" t="str">
        <f>HYPERLINK("https://www.amazon.com/Make-Up-Ever-Microfinishing-Translucent/dp/B0719RCNVQ/ref=sr_1_2?keywords=MAKE+UP+FOR+EVER+Ultra+HD+Microfinishing+Pressed+Powder+Translucent&amp;qid=1695259449&amp;sr=8-2", "https://www.amazon.com/Make-Up-Ever-Microfinishing-Translucent/dp/B0719RCNVQ/ref=sr_1_2?keywords=MAKE+UP+FOR+EVER+Ultra+HD+Microfinishing+Pressed+Powder+Translucent&amp;qid=1695259449&amp;sr=8-2")</f>
        <v>https://www.amazon.com/Make-Up-Ever-Microfinishing-Translucent/dp/B0719RCNVQ/ref=sr_1_2?keywords=MAKE+UP+FOR+EVER+Ultra+HD+Microfinishing+Pressed+Powder+Translucent&amp;qid=1695259449&amp;sr=8-2</v>
      </c>
      <c r="F2441" t="s">
        <v>4646</v>
      </c>
      <c r="G2441" t="e">
        <f ca="1">IMAGE("https://prolisok-store.com/cdn/shop/files/611llduh92L._SL1500_300x.jpg?v=1693220499")</f>
        <v>#NAME?</v>
      </c>
      <c r="H2441" t="e">
        <f ca="1">IMAGE("https://m.media-amazon.com/images/I/41mRouLbOpL._AC_UL320_.jpg")</f>
        <v>#NAME?</v>
      </c>
      <c r="I2441" t="s">
        <v>3419</v>
      </c>
      <c r="J2441">
        <v>31.45</v>
      </c>
      <c r="K2441" s="2" t="s">
        <v>4647</v>
      </c>
      <c r="L2441">
        <v>4.5</v>
      </c>
      <c r="M2441">
        <v>267</v>
      </c>
      <c r="O2441" t="s">
        <v>26</v>
      </c>
      <c r="P2441" t="s">
        <v>39</v>
      </c>
      <c r="Q2441" t="s">
        <v>4599</v>
      </c>
    </row>
    <row r="2442" spans="1:17" ht="15.75" x14ac:dyDescent="0.25">
      <c r="A2442" s="3" t="str">
        <f>HYPERLINK("https://prolisok-store.com/collections/makeup/products/sisley-eye-and-lip-contour-balm-16ml-0-5oz", "https://prolisok-store.com/collections/makeup/products/sisley-eye-and-lip-contour-balm-16ml-0-5oz")</f>
        <v>https://prolisok-store.com/collections/makeup/products/sisley-eye-and-lip-contour-balm-16ml-0-5oz</v>
      </c>
      <c r="B2442" s="3" t="str">
        <f>HYPERLINK("https://prolisok-store.com/products/sisley-eye-and-lip-contour-balm-16ml-0-5oz", "https://prolisok-store.com/products/sisley-eye-and-lip-contour-balm-16ml-0-5oz")</f>
        <v>https://prolisok-store.com/products/sisley-eye-and-lip-contour-balm-16ml-0-5oz</v>
      </c>
      <c r="C2442" t="s">
        <v>5987</v>
      </c>
      <c r="D2442" t="s">
        <v>5988</v>
      </c>
      <c r="E2442" s="3" t="str">
        <f>HYPERLINK("https://www.amazon.com/Sisley-Botanical-Eye-Contour-Balm-30ml/dp/B00EOQ7PF4/ref=sr_1_2?keywords=Sisley+eye+%26+lip+contour+balm+16ml%2F0.5oz&amp;qid=1695259521&amp;sr=8-2", "https://www.amazon.com/Sisley-Botanical-Eye-Contour-Balm-30ml/dp/B00EOQ7PF4/ref=sr_1_2?keywords=Sisley+eye+%26+lip+contour+balm+16ml%2F0.5oz&amp;qid=1695259521&amp;sr=8-2")</f>
        <v>https://www.amazon.com/Sisley-Botanical-Eye-Contour-Balm-30ml/dp/B00EOQ7PF4/ref=sr_1_2?keywords=Sisley+eye+%26+lip+contour+balm+16ml%2F0.5oz&amp;qid=1695259521&amp;sr=8-2</v>
      </c>
      <c r="F2442" t="s">
        <v>5989</v>
      </c>
      <c r="G2442" t="e">
        <f ca="1">IMAGE("https://prolisok-store.com/cdn/shop/products/444353_300x.jpg?v=1690900668")</f>
        <v>#NAME?</v>
      </c>
      <c r="H2442" t="e">
        <f ca="1">IMAGE("https://m.media-amazon.com/images/I/5164Px9GS9L._AC_UL320_.jpg")</f>
        <v>#NAME?</v>
      </c>
      <c r="I2442" t="s">
        <v>5990</v>
      </c>
      <c r="J2442">
        <v>122.67</v>
      </c>
      <c r="K2442" s="2" t="s">
        <v>5991</v>
      </c>
      <c r="L2442">
        <v>5</v>
      </c>
      <c r="M2442">
        <v>2</v>
      </c>
      <c r="O2442" t="s">
        <v>26</v>
      </c>
      <c r="P2442" t="s">
        <v>39</v>
      </c>
      <c r="Q2442" t="s">
        <v>5992</v>
      </c>
    </row>
    <row r="2443" spans="1:17" ht="15.75" x14ac:dyDescent="0.25">
      <c r="A2443" s="3" t="str">
        <f>HYPERLINK("https://prolisok-store.com/collections/makeup/products/the-soft-fluid-foundation-spf-20-1-oz-porcelain", "https://prolisok-store.com/collections/makeup/products/the-soft-fluid-foundation-spf-20-1-oz-porcelain")</f>
        <v>https://prolisok-store.com/collections/makeup/products/the-soft-fluid-foundation-spf-20-1-oz-porcelain</v>
      </c>
      <c r="B2443" s="3" t="str">
        <f>HYPERLINK("https://prolisok-store.com/products/the-soft-fluid-foundation-spf-20-1-oz-porcelain", "https://prolisok-store.com/products/the-soft-fluid-foundation-spf-20-1-oz-porcelain")</f>
        <v>https://prolisok-store.com/products/the-soft-fluid-foundation-spf-20-1-oz-porcelain</v>
      </c>
      <c r="C2443" t="s">
        <v>4466</v>
      </c>
      <c r="D2443" t="s">
        <v>4663</v>
      </c>
      <c r="E2443" s="3" t="str">
        <f>HYPERLINK("https://www.amazon.com/Mer-Soft-Fluid-Long-Foundation/dp/B01MDNSIK4/ref=sr_1_2?keywords=La+Mer+The+Soft+Fluid+Foundation+SPF+20-1+oz.+Porcelain&amp;qid=1695259454&amp;sr=8-2", "https://www.amazon.com/Mer-Soft-Fluid-Long-Foundation/dp/B01MDNSIK4/ref=sr_1_2?keywords=La+Mer+The+Soft+Fluid+Foundation+SPF+20-1+oz.+Porcelain&amp;qid=1695259454&amp;sr=8-2")</f>
        <v>https://www.amazon.com/Mer-Soft-Fluid-Long-Foundation/dp/B01MDNSIK4/ref=sr_1_2?keywords=La+Mer+The+Soft+Fluid+Foundation+SPF+20-1+oz.+Porcelain&amp;qid=1695259454&amp;sr=8-2</v>
      </c>
      <c r="F2443" t="s">
        <v>4664</v>
      </c>
      <c r="G2443" t="e">
        <f ca="1">IMAGE("https://prolisok-store.com/cdn/shop/products/41wgXKYLRyL._SL1000_300x.jpg?v=1674109756")</f>
        <v>#NAME?</v>
      </c>
      <c r="H2443" t="e">
        <f ca="1">IMAGE("https://m.media-amazon.com/images/I/51icv2b8-jL._AC_UL320_.jpg")</f>
        <v>#NAME?</v>
      </c>
      <c r="I2443" t="s">
        <v>4346</v>
      </c>
      <c r="J2443">
        <v>100</v>
      </c>
      <c r="K2443" s="2" t="s">
        <v>4665</v>
      </c>
      <c r="L2443">
        <v>5</v>
      </c>
      <c r="M2443">
        <v>3</v>
      </c>
      <c r="O2443" t="s">
        <v>26</v>
      </c>
      <c r="P2443" t="s">
        <v>2501</v>
      </c>
      <c r="Q2443" t="s">
        <v>4467</v>
      </c>
    </row>
    <row r="2444" spans="1:17" ht="15.75" x14ac:dyDescent="0.25">
      <c r="A2444" s="3" t="str">
        <f>HYPERLINK("https://prolisok-store.com/collections/makeup/products/la-mer-soft-fluid-found-sf20-120", "https://prolisok-store.com/collections/makeup/products/la-mer-soft-fluid-found-sf20-120")</f>
        <v>https://prolisok-store.com/collections/makeup/products/la-mer-soft-fluid-found-sf20-120</v>
      </c>
      <c r="B2444" s="3" t="str">
        <f>HYPERLINK("https://prolisok-store.com/products/la-mer-soft-fluid-found-sf20-120", "https://prolisok-store.com/products/la-mer-soft-fluid-found-sf20-120")</f>
        <v>https://prolisok-store.com/products/la-mer-soft-fluid-found-sf20-120</v>
      </c>
      <c r="C2444" t="s">
        <v>4369</v>
      </c>
      <c r="D2444" t="s">
        <v>4663</v>
      </c>
      <c r="E2444" s="3" t="str">
        <f>HYPERLINK("https://www.amazon.com/Mer-Soft-Fluid-Long-Foundation/dp/B01MDNSIK4/ref=sr_1_5?keywords=La+Mer+Soft+Fluid+Foundation+SF20+120&amp;qid=1695259449&amp;sr=8-5", "https://www.amazon.com/Mer-Soft-Fluid-Long-Foundation/dp/B01MDNSIK4/ref=sr_1_5?keywords=La+Mer+Soft+Fluid+Foundation+SF20+120&amp;qid=1695259449&amp;sr=8-5")</f>
        <v>https://www.amazon.com/Mer-Soft-Fluid-Long-Foundation/dp/B01MDNSIK4/ref=sr_1_5?keywords=La+Mer+Soft+Fluid+Foundation+SF20+120&amp;qid=1695259449&amp;sr=8-5</v>
      </c>
      <c r="F2444" t="s">
        <v>4664</v>
      </c>
      <c r="G2444" t="e">
        <f ca="1">IMAGE("https://prolisok-store.com/cdn/shop/products/41uQN86fQQL._SL1000_300x.jpg?v=1674030569")</f>
        <v>#NAME?</v>
      </c>
      <c r="H2444" t="e">
        <f ca="1">IMAGE("https://m.media-amazon.com/images/I/51icv2b8-jL._AC_UL320_.jpg")</f>
        <v>#NAME?</v>
      </c>
      <c r="I2444" t="s">
        <v>4346</v>
      </c>
      <c r="J2444">
        <v>100</v>
      </c>
      <c r="K2444" s="2" t="s">
        <v>4665</v>
      </c>
      <c r="L2444">
        <v>5</v>
      </c>
      <c r="M2444">
        <v>3</v>
      </c>
      <c r="O2444" t="s">
        <v>26</v>
      </c>
      <c r="P2444" t="s">
        <v>39</v>
      </c>
      <c r="Q2444" t="s">
        <v>4373</v>
      </c>
    </row>
    <row r="2445" spans="1:17" ht="15.75" x14ac:dyDescent="0.25">
      <c r="A2445" s="3" t="str">
        <f>HYPERLINK("https://prolisok-store.com/collections/makeup/products/ipsa-creative-concealer-ex-4-5g", "https://prolisok-store.com/collections/makeup/products/ipsa-creative-concealer-ex-4-5g")</f>
        <v>https://prolisok-store.com/collections/makeup/products/ipsa-creative-concealer-ex-4-5g</v>
      </c>
      <c r="B2445" s="3" t="str">
        <f>HYPERLINK("https://prolisok-store.com/products/ipsa-creative-concealer-ex-4-5g", "https://prolisok-store.com/products/ipsa-creative-concealer-ex-4-5g")</f>
        <v>https://prolisok-store.com/products/ipsa-creative-concealer-ex-4-5g</v>
      </c>
      <c r="C2445" t="s">
        <v>4684</v>
      </c>
      <c r="D2445" t="s">
        <v>4685</v>
      </c>
      <c r="E2445" s="3" t="str">
        <f>HYPERLINK("https://www.amazon.com/IPSA-CREATIVE-CONCEALER-EX-4-5g/dp/B01K7MW1IY/ref=sr_1_3?keywords=IPSA+creative+concealer+ex+4.5g&amp;qid=1695259483&amp;sr=8-3", "https://www.amazon.com/IPSA-CREATIVE-CONCEALER-EX-4-5g/dp/B01K7MW1IY/ref=sr_1_3?keywords=IPSA+creative+concealer+ex+4.5g&amp;qid=1695259483&amp;sr=8-3")</f>
        <v>https://www.amazon.com/IPSA-CREATIVE-CONCEALER-EX-4-5g/dp/B01K7MW1IY/ref=sr_1_3?keywords=IPSA+creative+concealer+ex+4.5g&amp;qid=1695259483&amp;sr=8-3</v>
      </c>
      <c r="F2445" t="s">
        <v>4686</v>
      </c>
      <c r="G2445" t="e">
        <f ca="1">IMAGE("https://prolisok-store.com/cdn/shop/files/61Taf-7_nfL._AC_SL1500_300x.jpg?v=1689078688")</f>
        <v>#NAME?</v>
      </c>
      <c r="H2445" t="e">
        <f ca="1">IMAGE("https://m.media-amazon.com/images/I/61Taf-7+nfL._AC_UL320_.jpg")</f>
        <v>#NAME?</v>
      </c>
      <c r="I2445" t="s">
        <v>3458</v>
      </c>
      <c r="J2445">
        <v>39.51</v>
      </c>
      <c r="K2445" s="2" t="s">
        <v>4687</v>
      </c>
      <c r="L2445">
        <v>4.0999999999999996</v>
      </c>
      <c r="M2445">
        <v>61</v>
      </c>
      <c r="O2445" t="s">
        <v>26</v>
      </c>
      <c r="P2445" t="s">
        <v>39</v>
      </c>
      <c r="Q2445" t="s">
        <v>4688</v>
      </c>
    </row>
    <row r="2446" spans="1:17" ht="15.75" x14ac:dyDescent="0.25">
      <c r="A2446" s="3" t="str">
        <f>HYPERLINK("https://prolisok-store.com/collections/makeup/products/ipsa-creative-concealer-ex-4-5g", "https://prolisok-store.com/collections/makeup/products/ipsa-creative-concealer-ex-4-5g")</f>
        <v>https://prolisok-store.com/collections/makeup/products/ipsa-creative-concealer-ex-4-5g</v>
      </c>
      <c r="B2446" s="3" t="str">
        <f>HYPERLINK("https://prolisok-store.com/products/ipsa-creative-concealer-ex-4-5g", "https://prolisok-store.com/products/ipsa-creative-concealer-ex-4-5g")</f>
        <v>https://prolisok-store.com/products/ipsa-creative-concealer-ex-4-5g</v>
      </c>
      <c r="C2446" t="s">
        <v>4684</v>
      </c>
      <c r="D2446" t="s">
        <v>4719</v>
      </c>
      <c r="E2446" s="3" t="str">
        <f>HYPERLINK("https://www.amazon.com/Ipsa-Creative-Concealer-SPF25-0-15oz/dp/B009ZBZIX4/ref=sr_1_4?keywords=IPSA+creative+concealer+ex+4.5g&amp;qid=1695259483&amp;sr=8-4", "https://www.amazon.com/Ipsa-Creative-Concealer-SPF25-0-15oz/dp/B009ZBZIX4/ref=sr_1_4?keywords=IPSA+creative+concealer+ex+4.5g&amp;qid=1695259483&amp;sr=8-4")</f>
        <v>https://www.amazon.com/Ipsa-Creative-Concealer-SPF25-0-15oz/dp/B009ZBZIX4/ref=sr_1_4?keywords=IPSA+creative+concealer+ex+4.5g&amp;qid=1695259483&amp;sr=8-4</v>
      </c>
      <c r="F2446" t="s">
        <v>4720</v>
      </c>
      <c r="G2446" t="e">
        <f ca="1">IMAGE("https://prolisok-store.com/cdn/shop/files/61Taf-7_nfL._AC_SL1500_300x.jpg?v=1689078688")</f>
        <v>#NAME?</v>
      </c>
      <c r="H2446" t="e">
        <f ca="1">IMAGE("https://m.media-amazon.com/images/I/61xnYFbYjwL._AC_UL320_.jpg")</f>
        <v>#NAME?</v>
      </c>
      <c r="I2446" t="s">
        <v>3458</v>
      </c>
      <c r="J2446">
        <v>37.99</v>
      </c>
      <c r="K2446" s="2" t="s">
        <v>4721</v>
      </c>
      <c r="L2446">
        <v>3.8</v>
      </c>
      <c r="M2446">
        <v>10</v>
      </c>
      <c r="O2446" t="s">
        <v>26</v>
      </c>
      <c r="P2446" t="s">
        <v>39</v>
      </c>
      <c r="Q2446" t="s">
        <v>4688</v>
      </c>
    </row>
    <row r="2447" spans="1:17" ht="15.75" x14ac:dyDescent="0.25">
      <c r="A2447" s="3" t="str">
        <f>HYPERLINK("https://prolisok-store.com/collections/makeup/products/mac-small-eye-shadow-refill-pan-antiqued-1-5g-0-05oz", "https://prolisok-store.com/collections/makeup/products/mac-small-eye-shadow-refill-pan-antiqued-1-5g-0-05oz")</f>
        <v>https://prolisok-store.com/collections/makeup/products/mac-small-eye-shadow-refill-pan-antiqued-1-5g-0-05oz</v>
      </c>
      <c r="B2447" s="3" t="str">
        <f>HYPERLINK("https://prolisok-store.com/products/mac-small-eye-shadow-refill-pan-antiqued-1-5g-0-05oz", "https://prolisok-store.com/products/mac-small-eye-shadow-refill-pan-antiqued-1-5g-0-05oz")</f>
        <v>https://prolisok-store.com/products/mac-small-eye-shadow-refill-pan-antiqued-1-5g-0-05oz</v>
      </c>
      <c r="C2447" t="s">
        <v>5963</v>
      </c>
      <c r="D2447" t="s">
        <v>5993</v>
      </c>
      <c r="E2447" s="3" t="str">
        <f>HYPERLINK("https://www.amazon.com/MAC-Small-Eye-Shadow-Refill/dp/B01GR1R8ZU/ref=sr_1_3?keywords=MAC+small+eye+shadow+refill+pan+-+antiqued+-1.3g%2F0.04oz&amp;qid=1695259548&amp;sr=8-3", "https://www.amazon.com/MAC-Small-Eye-Shadow-Refill/dp/B01GR1R8ZU/ref=sr_1_3?keywords=MAC+small+eye+shadow+refill+pan+-+antiqued+-1.3g%2F0.04oz&amp;qid=1695259548&amp;sr=8-3")</f>
        <v>https://www.amazon.com/MAC-Small-Eye-Shadow-Refill/dp/B01GR1R8ZU/ref=sr_1_3?keywords=MAC+small+eye+shadow+refill+pan+-+antiqued+-1.3g%2F0.04oz&amp;qid=1695259548&amp;sr=8-3</v>
      </c>
      <c r="F2447" t="s">
        <v>5994</v>
      </c>
      <c r="G2447" t="e">
        <f ca="1">IMAGE("https://prolisok-store.com/cdn/shop/products/346006_300x.jpg?v=1690393889")</f>
        <v>#NAME?</v>
      </c>
      <c r="H2447" t="e">
        <f ca="1">IMAGE("https://m.media-amazon.com/images/I/51AFM5VsbAL._AC_UL320_.jpg")</f>
        <v>#NAME?</v>
      </c>
      <c r="I2447" t="s">
        <v>4275</v>
      </c>
      <c r="J2447">
        <v>23.71</v>
      </c>
      <c r="K2447" s="2" t="s">
        <v>5995</v>
      </c>
      <c r="L2447">
        <v>3.8</v>
      </c>
      <c r="M2447">
        <v>14</v>
      </c>
      <c r="O2447" t="s">
        <v>26</v>
      </c>
      <c r="P2447" t="s">
        <v>39</v>
      </c>
      <c r="Q2447" t="s">
        <v>5967</v>
      </c>
    </row>
    <row r="2448" spans="1:17" ht="15.75" x14ac:dyDescent="0.25">
      <c r="A2448" s="3" t="str">
        <f>HYPERLINK("https://prolisok-store.com/collections/makeup/products/la-mer-soft-fluid-found-sf20-120", "https://prolisok-store.com/collections/makeup/products/la-mer-soft-fluid-found-sf20-120")</f>
        <v>https://prolisok-store.com/collections/makeup/products/la-mer-soft-fluid-found-sf20-120</v>
      </c>
      <c r="B2448" s="3" t="str">
        <f>HYPERLINK("https://prolisok-store.com/products/la-mer-soft-fluid-found-sf20-120", "https://prolisok-store.com/products/la-mer-soft-fluid-found-sf20-120")</f>
        <v>https://prolisok-store.com/products/la-mer-soft-fluid-found-sf20-120</v>
      </c>
      <c r="C2448" t="s">
        <v>4369</v>
      </c>
      <c r="D2448" t="s">
        <v>4727</v>
      </c>
      <c r="E2448" s="3" t="str">
        <f>HYPERLINK("https://www.amazon.com/Mer-Soft-Fluid-Long-Foundation/dp/B01M4MTXYQ/ref=sr_1_2?keywords=La+Mer+Soft+Fluid+Foundation+SF20+120&amp;qid=1695259449&amp;sr=8-2", "https://www.amazon.com/Mer-Soft-Fluid-Long-Foundation/dp/B01M4MTXYQ/ref=sr_1_2?keywords=La+Mer+Soft+Fluid+Foundation+SF20+120&amp;qid=1695259449&amp;sr=8-2")</f>
        <v>https://www.amazon.com/Mer-Soft-Fluid-Long-Foundation/dp/B01M4MTXYQ/ref=sr_1_2?keywords=La+Mer+Soft+Fluid+Foundation+SF20+120&amp;qid=1695259449&amp;sr=8-2</v>
      </c>
      <c r="F2448" t="s">
        <v>4728</v>
      </c>
      <c r="G2448" t="e">
        <f ca="1">IMAGE("https://prolisok-store.com/cdn/shop/products/41uQN86fQQL._SL1000_300x.jpg?v=1674030569")</f>
        <v>#NAME?</v>
      </c>
      <c r="H2448" t="e">
        <f ca="1">IMAGE("https://m.media-amazon.com/images/I/41-HkHGOXiL._AC_UL320_.jpg")</f>
        <v>#NAME?</v>
      </c>
      <c r="I2448" t="s">
        <v>4346</v>
      </c>
      <c r="J2448">
        <v>94</v>
      </c>
      <c r="K2448" s="2" t="s">
        <v>4729</v>
      </c>
      <c r="L2448">
        <v>4.2</v>
      </c>
      <c r="M2448">
        <v>43</v>
      </c>
      <c r="O2448" t="s">
        <v>26</v>
      </c>
      <c r="P2448" t="s">
        <v>39</v>
      </c>
      <c r="Q2448" t="s">
        <v>4373</v>
      </c>
    </row>
    <row r="2449" spans="1:17" ht="15.75" x14ac:dyDescent="0.25">
      <c r="A2449" s="3" t="str">
        <f>HYPERLINK("https://prolisok-store.com/collections/makeup/products/the-soft-fluid-foundation-spf-20-1-oz-porcelain", "https://prolisok-store.com/collections/makeup/products/the-soft-fluid-foundation-spf-20-1-oz-porcelain")</f>
        <v>https://prolisok-store.com/collections/makeup/products/the-soft-fluid-foundation-spf-20-1-oz-porcelain</v>
      </c>
      <c r="B2449" s="3" t="str">
        <f>HYPERLINK("https://prolisok-store.com/products/the-soft-fluid-foundation-spf-20-1-oz-porcelain", "https://prolisok-store.com/products/the-soft-fluid-foundation-spf-20-1-oz-porcelain")</f>
        <v>https://prolisok-store.com/products/the-soft-fluid-foundation-spf-20-1-oz-porcelain</v>
      </c>
      <c r="C2449" t="s">
        <v>4466</v>
      </c>
      <c r="D2449" t="s">
        <v>4727</v>
      </c>
      <c r="E2449" s="3" t="str">
        <f>HYPERLINK("https://www.amazon.com/Mer-Soft-Fluid-Long-Foundation/dp/B01M4MTXYQ/ref=sr_1_1?keywords=La+Mer+The+Soft+Fluid+Foundation+SPF+20-1+oz.+Porcelain&amp;qid=1695259454&amp;sr=8-1", "https://www.amazon.com/Mer-Soft-Fluid-Long-Foundation/dp/B01M4MTXYQ/ref=sr_1_1?keywords=La+Mer+The+Soft+Fluid+Foundation+SPF+20-1+oz.+Porcelain&amp;qid=1695259454&amp;sr=8-1")</f>
        <v>https://www.amazon.com/Mer-Soft-Fluid-Long-Foundation/dp/B01M4MTXYQ/ref=sr_1_1?keywords=La+Mer+The+Soft+Fluid+Foundation+SPF+20-1+oz.+Porcelain&amp;qid=1695259454&amp;sr=8-1</v>
      </c>
      <c r="F2449" t="s">
        <v>4728</v>
      </c>
      <c r="G2449" t="e">
        <f ca="1">IMAGE("https://prolisok-store.com/cdn/shop/products/41wgXKYLRyL._SL1000_300x.jpg?v=1674109756")</f>
        <v>#NAME?</v>
      </c>
      <c r="H2449" t="e">
        <f ca="1">IMAGE("https://m.media-amazon.com/images/I/41-HkHGOXiL._AC_UL320_.jpg")</f>
        <v>#NAME?</v>
      </c>
      <c r="I2449" t="s">
        <v>4346</v>
      </c>
      <c r="J2449">
        <v>94</v>
      </c>
      <c r="K2449" s="2" t="s">
        <v>4729</v>
      </c>
      <c r="L2449">
        <v>4.2</v>
      </c>
      <c r="M2449">
        <v>43</v>
      </c>
      <c r="O2449" t="s">
        <v>26</v>
      </c>
      <c r="P2449" t="s">
        <v>2501</v>
      </c>
      <c r="Q2449" t="s">
        <v>4467</v>
      </c>
    </row>
    <row r="2450" spans="1:17" ht="15.75" x14ac:dyDescent="0.25">
      <c r="A2450" s="3" t="str">
        <f>HYPERLINK("https://prolisok-store.com/collections/makeup/products/mac-small-eye-shadow-refill-pan-rule-1-5g-0-05oz", "https://prolisok-store.com/collections/makeup/products/mac-small-eye-shadow-refill-pan-rule-1-5g-0-05oz")</f>
        <v>https://prolisok-store.com/collections/makeup/products/mac-small-eye-shadow-refill-pan-rule-1-5g-0-05oz</v>
      </c>
      <c r="B2450" s="3" t="str">
        <f>HYPERLINK("https://prolisok-store.com/products/mac-small-eye-shadow-refill-pan-rule-1-5g-0-05oz", "https://prolisok-store.com/products/mac-small-eye-shadow-refill-pan-rule-1-5g-0-05oz")</f>
        <v>https://prolisok-store.com/products/mac-small-eye-shadow-refill-pan-rule-1-5g-0-05oz</v>
      </c>
      <c r="C2450" t="s">
        <v>5981</v>
      </c>
      <c r="D2450" t="s">
        <v>5984</v>
      </c>
      <c r="E2450" s="3" t="str">
        <f>HYPERLINK("https://www.amazon.com/MAC-Small-Eye-Shadow-Refill/dp/B00DST2YW2/ref=sr_1_7?keywords=MAC+small+eye+shadow+refill+pan+-+rule+-1.5g%2F0.05oz&amp;qid=1695259535&amp;sr=8-7", "https://www.amazon.com/MAC-Small-Eye-Shadow-Refill/dp/B00DST2YW2/ref=sr_1_7?keywords=MAC+small+eye+shadow+refill+pan+-+rule+-1.5g%2F0.05oz&amp;qid=1695259535&amp;sr=8-7")</f>
        <v>https://www.amazon.com/MAC-Small-Eye-Shadow-Refill/dp/B00DST2YW2/ref=sr_1_7?keywords=MAC+small+eye+shadow+refill+pan+-+rule+-1.5g%2F0.05oz&amp;qid=1695259535&amp;sr=8-7</v>
      </c>
      <c r="F2450" t="s">
        <v>5985</v>
      </c>
      <c r="G2450" t="e">
        <f ca="1">IMAGE("https://prolisok-store.com/cdn/shop/products/347316_300x.jpg?v=1690393893")</f>
        <v>#NAME?</v>
      </c>
      <c r="H2450" t="e">
        <f ca="1">IMAGE("https://m.media-amazon.com/images/I/31do7uc8NzL._AC_UL320_.jpg")</f>
        <v>#NAME?</v>
      </c>
      <c r="I2450" t="s">
        <v>5452</v>
      </c>
      <c r="J2450">
        <v>28.5</v>
      </c>
      <c r="K2450" s="2" t="s">
        <v>5996</v>
      </c>
      <c r="L2450">
        <v>4.9000000000000004</v>
      </c>
      <c r="M2450">
        <v>10</v>
      </c>
      <c r="O2450" t="s">
        <v>26</v>
      </c>
      <c r="P2450" t="s">
        <v>39</v>
      </c>
      <c r="Q2450" t="s">
        <v>5983</v>
      </c>
    </row>
    <row r="2451" spans="1:17" ht="15.75" x14ac:dyDescent="0.25">
      <c r="A2451" s="3" t="str">
        <f>HYPERLINK("https://prolisok-store.com/collections/makeup/products/3ce-multi-eye-color-palette-beach-muse-makeup-palette-9-color", "https://prolisok-store.com/collections/makeup/products/3ce-multi-eye-color-palette-beach-muse-makeup-palette-9-color")</f>
        <v>https://prolisok-store.com/collections/makeup/products/3ce-multi-eye-color-palette-beach-muse-makeup-palette-9-color</v>
      </c>
      <c r="B2451" s="3" t="str">
        <f>HYPERLINK("https://prolisok-store.com/products/3ce-multi-eye-color-palette-beach-muse-makeup-palette-9-color", "https://prolisok-store.com/products/3ce-multi-eye-color-palette-beach-muse-makeup-palette-9-color")</f>
        <v>https://prolisok-store.com/products/3ce-multi-eye-color-palette-beach-muse-makeup-palette-9-color</v>
      </c>
      <c r="C2451" t="s">
        <v>4629</v>
      </c>
      <c r="D2451" t="s">
        <v>4695</v>
      </c>
      <c r="E2451" s="3" t="str">
        <f>HYPERLINK("https://www.amazon.com/3CE-Palette-Butter-9Colors-Staylenanda/dp/B08W8HSQCF/ref=sr_1_4?keywords=3CE+Multi+Eye+Color+Palette%2CBeach+Muse%2CMakeup+Palette+9+Color&amp;qid=1695259449&amp;sr=8-4", "https://www.amazon.com/3CE-Palette-Butter-9Colors-Staylenanda/dp/B08W8HSQCF/ref=sr_1_4?keywords=3CE+Multi+Eye+Color+Palette%2CBeach+Muse%2CMakeup+Palette+9+Color&amp;qid=1695259449&amp;sr=8-4")</f>
        <v>https://www.amazon.com/3CE-Palette-Butter-9Colors-Staylenanda/dp/B08W8HSQCF/ref=sr_1_4?keywords=3CE+Multi+Eye+Color+Palette%2CBeach+Muse%2CMakeup+Palette+9+Color&amp;qid=1695259449&amp;sr=8-4</v>
      </c>
      <c r="F2451" t="s">
        <v>4696</v>
      </c>
      <c r="G2451" t="e">
        <f ca="1">IMAGE("https://prolisok-store.com/cdn/shop/files/61UqvcCJGwL._SL1001_300x.jpg?v=1682590795")</f>
        <v>#NAME?</v>
      </c>
      <c r="H2451" t="e">
        <f ca="1">IMAGE("https://m.media-amazon.com/images/I/51-jFSNIXUL._AC_UL320_.jpg")</f>
        <v>#NAME?</v>
      </c>
      <c r="I2451" t="s">
        <v>3458</v>
      </c>
      <c r="J2451">
        <v>36.19</v>
      </c>
      <c r="K2451" s="2" t="s">
        <v>4747</v>
      </c>
      <c r="L2451">
        <v>3.7</v>
      </c>
      <c r="M2451">
        <v>4</v>
      </c>
      <c r="O2451" t="s">
        <v>26</v>
      </c>
      <c r="P2451" t="s">
        <v>39</v>
      </c>
      <c r="Q2451" t="s">
        <v>4630</v>
      </c>
    </row>
    <row r="2452" spans="1:17" ht="15.75" x14ac:dyDescent="0.25">
      <c r="A2452" s="3" t="str">
        <f>HYPERLINK("https://prolisok-store.com/collections/makeup/products/3ce-multi-eye-color-palette-butter-cream-with-eyeshadow-brushes", "https://prolisok-store.com/collections/makeup/products/3ce-multi-eye-color-palette-butter-cream-with-eyeshadow-brushes")</f>
        <v>https://prolisok-store.com/collections/makeup/products/3ce-multi-eye-color-palette-butter-cream-with-eyeshadow-brushes</v>
      </c>
      <c r="B2452" s="3" t="str">
        <f>HYPERLINK("https://prolisok-store.com/products/3ce-multi-eye-color-palette-butter-cream-with-eyeshadow-brushes", "https://prolisok-store.com/products/3ce-multi-eye-color-palette-butter-cream-with-eyeshadow-brushes")</f>
        <v>https://prolisok-store.com/products/3ce-multi-eye-color-palette-butter-cream-with-eyeshadow-brushes</v>
      </c>
      <c r="C2452" t="s">
        <v>4634</v>
      </c>
      <c r="D2452" t="s">
        <v>4695</v>
      </c>
      <c r="E2452" s="3" t="str">
        <f>HYPERLINK("https://www.amazon.com/3CE-Palette-Butter-9Colors-Staylenanda/dp/B08W8HSQCF/ref=sr_1_9?keywords=3CE+Multi+Eye+Color+Palette&amp;qid=1695259486&amp;sr=8-9", "https://www.amazon.com/3CE-Palette-Butter-9Colors-Staylenanda/dp/B08W8HSQCF/ref=sr_1_9?keywords=3CE+Multi+Eye+Color+Palette&amp;qid=1695259486&amp;sr=8-9")</f>
        <v>https://www.amazon.com/3CE-Palette-Butter-9Colors-Staylenanda/dp/B08W8HSQCF/ref=sr_1_9?keywords=3CE+Multi+Eye+Color+Palette&amp;qid=1695259486&amp;sr=8-9</v>
      </c>
      <c r="F2452" t="s">
        <v>4696</v>
      </c>
      <c r="G2452" t="e">
        <f ca="1">IMAGE("https://prolisok-store.com/cdn/shop/files/51o8ZquVsdL._SL1000_300x.jpg?v=1693221158")</f>
        <v>#NAME?</v>
      </c>
      <c r="H2452" t="e">
        <f ca="1">IMAGE("https://m.media-amazon.com/images/I/51-jFSNIXUL._AC_UL320_.jpg")</f>
        <v>#NAME?</v>
      </c>
      <c r="I2452" t="s">
        <v>3458</v>
      </c>
      <c r="J2452">
        <v>36.19</v>
      </c>
      <c r="K2452" s="2" t="s">
        <v>4747</v>
      </c>
      <c r="L2452">
        <v>3.7</v>
      </c>
      <c r="M2452">
        <v>4</v>
      </c>
      <c r="O2452" t="s">
        <v>26</v>
      </c>
      <c r="P2452" t="s">
        <v>39</v>
      </c>
      <c r="Q2452" t="s">
        <v>4638</v>
      </c>
    </row>
    <row r="2453" spans="1:17" ht="15.75" x14ac:dyDescent="0.25">
      <c r="A2453" s="3" t="str">
        <f>HYPERLINK("https://prolisok-store.com/collections/makeup/products/lilash-purified-eyelash-physician-formulated-serum-for-fuller-longer-looking-eyelashes-natural-eyelash-enhancer-safe-for-sensitive-eyes-contact-lens-wearers-90-day-supply-2ml", "https://prolisok-store.com/collections/makeup/products/lilash-purified-eyelash-physician-formulated-serum-for-fuller-longer-looking-eyelashes-natural-eyelash-enhancer-safe-for-sensitive-eyes-contact-lens-wearers-90-day-supply-2ml")</f>
        <v>https://prolisok-store.com/collections/makeup/products/lilash-purified-eyelash-physician-formulated-serum-for-fuller-longer-looking-eyelashes-natural-eyelash-enhancer-safe-for-sensitive-eyes-contact-lens-wearers-90-day-supply-2ml</v>
      </c>
      <c r="B2453" s="3" t="str">
        <f>HYPERLINK("https://prolisok-store.com/products/lilash-purified-eyelash-physician-formulated-serum-for-fuller-longer-looking-eyelashes-natural-eyelash-enhancer-safe-for-sensitive-eyes-contact-lens-wearers-90-day-supply-2ml", "https://prolisok-store.com/products/lilash-purified-eyelash-physician-formulated-serum-for-fuller-longer-looking-eyelashes-natural-eyelash-enhancer-safe-for-sensitive-eyes-contact-lens-wearers-90-day-supply-2ml")</f>
        <v>https://prolisok-store.com/products/lilash-purified-eyelash-physician-formulated-serum-for-fuller-longer-looking-eyelashes-natural-eyelash-enhancer-safe-for-sensitive-eyes-contact-lens-wearers-90-day-supply-2ml</v>
      </c>
      <c r="C2453" t="s">
        <v>4748</v>
      </c>
      <c r="D2453" t="s">
        <v>4749</v>
      </c>
      <c r="E2453" s="3" t="str">
        <f>HYPERLINK("https://www.amazon.com/Cosmetic-Alchemy-LiLash-Purified-Eyelash/dp/B07CVM7DLJ/ref=sr_1_1?keywords=LiLash+Purified+Eyelash+Physician-Formulated+Serum+for+Fuller&amp;qid=1695259448&amp;sr=8-1", "https://www.amazon.com/Cosmetic-Alchemy-LiLash-Purified-Eyelash/dp/B07CVM7DLJ/ref=sr_1_1?keywords=LiLash+Purified+Eyelash+Physician-Formulated+Serum+for+Fuller&amp;qid=1695259448&amp;sr=8-1")</f>
        <v>https://www.amazon.com/Cosmetic-Alchemy-LiLash-Purified-Eyelash/dp/B07CVM7DLJ/ref=sr_1_1?keywords=LiLash+Purified+Eyelash+Physician-Formulated+Serum+for+Fuller&amp;qid=1695259448&amp;sr=8-1</v>
      </c>
      <c r="F2453" t="s">
        <v>4750</v>
      </c>
      <c r="G2453" t="e">
        <f ca="1">IMAGE("https://prolisok-store.com/cdn/shop/products/61HFfFbKf4L._SL1500_300x.jpg?v=1677603293")</f>
        <v>#NAME?</v>
      </c>
      <c r="H2453" t="e">
        <f ca="1">IMAGE("https://m.media-amazon.com/images/I/614z2MzHVML._AC_UL320_.jpg")</f>
        <v>#NAME?</v>
      </c>
      <c r="I2453" t="s">
        <v>4346</v>
      </c>
      <c r="J2453">
        <v>90</v>
      </c>
      <c r="K2453" s="2" t="s">
        <v>4751</v>
      </c>
      <c r="L2453">
        <v>4.5</v>
      </c>
      <c r="M2453">
        <v>1348</v>
      </c>
      <c r="O2453" t="s">
        <v>26</v>
      </c>
      <c r="P2453" t="s">
        <v>39</v>
      </c>
      <c r="Q2453" t="s">
        <v>4752</v>
      </c>
    </row>
    <row r="2454" spans="1:17" ht="15.75" x14ac:dyDescent="0.25">
      <c r="A2454" s="3" t="str">
        <f>HYPERLINK("https://prolisok-store.com/collections/makeup/products/la-mer-soft-fluid-found-sf20-120", "https://prolisok-store.com/collections/makeup/products/la-mer-soft-fluid-found-sf20-120")</f>
        <v>https://prolisok-store.com/collections/makeup/products/la-mer-soft-fluid-found-sf20-120</v>
      </c>
      <c r="B2454" s="3" t="str">
        <f>HYPERLINK("https://prolisok-store.com/products/la-mer-soft-fluid-found-sf20-120", "https://prolisok-store.com/products/la-mer-soft-fluid-found-sf20-120")</f>
        <v>https://prolisok-store.com/products/la-mer-soft-fluid-found-sf20-120</v>
      </c>
      <c r="C2454" t="s">
        <v>4369</v>
      </c>
      <c r="D2454" t="s">
        <v>4761</v>
      </c>
      <c r="E2454" s="3" t="str">
        <f>HYPERLINK("https://www.amazon.com/Mer-Soft-Fluid-Long-Foundation/dp/B01M30X3VA/ref=sr_1_1?keywords=La+Mer+Soft+Fluid+Foundation+SF20+120&amp;qid=1695259449&amp;sr=8-1", "https://www.amazon.com/Mer-Soft-Fluid-Long-Foundation/dp/B01M30X3VA/ref=sr_1_1?keywords=La+Mer+Soft+Fluid+Foundation+SF20+120&amp;qid=1695259449&amp;sr=8-1")</f>
        <v>https://www.amazon.com/Mer-Soft-Fluid-Long-Foundation/dp/B01M30X3VA/ref=sr_1_1?keywords=La+Mer+Soft+Fluid+Foundation+SF20+120&amp;qid=1695259449&amp;sr=8-1</v>
      </c>
      <c r="F2454" t="s">
        <v>4762</v>
      </c>
      <c r="G2454" t="e">
        <f ca="1">IMAGE("https://prolisok-store.com/cdn/shop/products/41uQN86fQQL._SL1000_300x.jpg?v=1674030569")</f>
        <v>#NAME?</v>
      </c>
      <c r="H2454" t="e">
        <f ca="1">IMAGE("https://m.media-amazon.com/images/I/41uQN86fQQL._AC_UL320_.jpg")</f>
        <v>#NAME?</v>
      </c>
      <c r="I2454" t="s">
        <v>4346</v>
      </c>
      <c r="J2454">
        <v>88.87</v>
      </c>
      <c r="K2454" s="2" t="s">
        <v>4763</v>
      </c>
      <c r="L2454">
        <v>4.7</v>
      </c>
      <c r="M2454">
        <v>29</v>
      </c>
      <c r="O2454" t="s">
        <v>26</v>
      </c>
      <c r="P2454" t="s">
        <v>39</v>
      </c>
      <c r="Q2454" t="s">
        <v>4373</v>
      </c>
    </row>
    <row r="2455" spans="1:17" ht="15.75" x14ac:dyDescent="0.25">
      <c r="A2455" s="3" t="str">
        <f>HYPERLINK("https://prolisok-store.com/collections/makeup/products/clinique-by-clinique-take-the-day-off-make-up-remover-125ml-4-2oz", "https://prolisok-store.com/collections/makeup/products/clinique-by-clinique-take-the-day-off-make-up-remover-125ml-4-2oz")</f>
        <v>https://prolisok-store.com/collections/makeup/products/clinique-by-clinique-take-the-day-off-make-up-remover-125ml-4-2oz</v>
      </c>
      <c r="B2455" s="3" t="str">
        <f>HYPERLINK("https://prolisok-store.com/products/clinique-by-clinique-take-the-day-off-make-up-remover-125ml-4-2oz", "https://prolisok-store.com/products/clinique-by-clinique-take-the-day-off-make-up-remover-125ml-4-2oz")</f>
        <v>https://prolisok-store.com/products/clinique-by-clinique-take-the-day-off-make-up-remover-125ml-4-2oz</v>
      </c>
      <c r="C2455" t="s">
        <v>5997</v>
      </c>
      <c r="D2455" t="s">
        <v>5998</v>
      </c>
      <c r="E2455" s="3" t="str">
        <f>HYPERLINK("https://www.amazon.com/Clinique-Makeup-Remover-125ml-Cleanser/dp/B00IUGQX7A/ref=sr_1_10?keywords=Clinique+take+the+day+off+make+up+remover+--125ml%2F4.2oz&amp;qid=1695259552&amp;sr=8-10", "https://www.amazon.com/Clinique-Makeup-Remover-125ml-Cleanser/dp/B00IUGQX7A/ref=sr_1_10?keywords=Clinique+take+the+day+off+make+up+remover+--125ml%2F4.2oz&amp;qid=1695259552&amp;sr=8-10")</f>
        <v>https://www.amazon.com/Clinique-Makeup-Remover-125ml-Cleanser/dp/B00IUGQX7A/ref=sr_1_10?keywords=Clinique+take+the+day+off+make+up+remover+--125ml%2F4.2oz&amp;qid=1695259552&amp;sr=8-10</v>
      </c>
      <c r="F2455" t="s">
        <v>5999</v>
      </c>
      <c r="G2455" t="e">
        <f ca="1">IMAGE("https://prolisok-store.com/cdn/shop/products/129645_300x.jpg?v=1688060465")</f>
        <v>#NAME?</v>
      </c>
      <c r="H2455" t="e">
        <f ca="1">IMAGE("https://m.media-amazon.com/images/I/61nXryWVVQL._AC_UL320_.jpg")</f>
        <v>#NAME?</v>
      </c>
      <c r="I2455" t="s">
        <v>6000</v>
      </c>
      <c r="J2455">
        <v>40.42</v>
      </c>
      <c r="K2455" s="2" t="s">
        <v>6001</v>
      </c>
      <c r="L2455">
        <v>4.7</v>
      </c>
      <c r="M2455">
        <v>111</v>
      </c>
      <c r="O2455" t="s">
        <v>26</v>
      </c>
      <c r="P2455" t="s">
        <v>39</v>
      </c>
      <c r="Q2455" t="s">
        <v>6002</v>
      </c>
    </row>
    <row r="2456" spans="1:17" ht="15.75" x14ac:dyDescent="0.25">
      <c r="A2456" s="3" t="str">
        <f>HYPERLINK("https://prolisok-store.com/collections/makeup/products/dabalash-eye-lash-enhancer", "https://prolisok-store.com/collections/makeup/products/dabalash-eye-lash-enhancer")</f>
        <v>https://prolisok-store.com/collections/makeup/products/dabalash-eye-lash-enhancer</v>
      </c>
      <c r="B2456" s="3" t="str">
        <f>HYPERLINK("https://prolisok-store.com/products/dabalash-eye-lash-enhancer", "https://prolisok-store.com/products/dabalash-eye-lash-enhancer")</f>
        <v>https://prolisok-store.com/products/dabalash-eye-lash-enhancer</v>
      </c>
      <c r="C2456" t="s">
        <v>4424</v>
      </c>
      <c r="D2456" t="s">
        <v>4798</v>
      </c>
      <c r="E2456" s="3" t="str">
        <f>HYPERLINK("https://www.amazon.com/DabaLash-Professional-Eyelash-Enhancer-0-18FL/dp/B07XRPJS1T/ref=sr_1_3?keywords=Dabalash+Eye+Lash+Enhancer&amp;qid=1695259453&amp;sr=8-3", "https://www.amazon.com/DabaLash-Professional-Eyelash-Enhancer-0-18FL/dp/B07XRPJS1T/ref=sr_1_3?keywords=Dabalash+Eye+Lash+Enhancer&amp;qid=1695259453&amp;sr=8-3")</f>
        <v>https://www.amazon.com/DabaLash-Professional-Eyelash-Enhancer-0-18FL/dp/B07XRPJS1T/ref=sr_1_3?keywords=Dabalash+Eye+Lash+Enhancer&amp;qid=1695259453&amp;sr=8-3</v>
      </c>
      <c r="F2456" t="s">
        <v>4799</v>
      </c>
      <c r="G2456" t="e">
        <f ca="1">IMAGE("https://prolisok-store.com/cdn/shop/files/71dLRMnmysL._AC_SL1500_300x.jpg?v=1692864868")</f>
        <v>#NAME?</v>
      </c>
      <c r="H2456" t="e">
        <f ca="1">IMAGE("https://m.media-amazon.com/images/I/512M+GxCY5L._AC_UL320_.jpg")</f>
        <v>#NAME?</v>
      </c>
      <c r="I2456" t="s">
        <v>3458</v>
      </c>
      <c r="J2456">
        <v>34.4</v>
      </c>
      <c r="K2456" s="2" t="s">
        <v>4800</v>
      </c>
      <c r="L2456">
        <v>5</v>
      </c>
      <c r="M2456">
        <v>1</v>
      </c>
      <c r="O2456" t="s">
        <v>26</v>
      </c>
      <c r="P2456" t="s">
        <v>39</v>
      </c>
      <c r="Q2456" t="s">
        <v>4428</v>
      </c>
    </row>
    <row r="2457" spans="1:17" ht="15.75" x14ac:dyDescent="0.25">
      <c r="A2457" s="3" t="str">
        <f>HYPERLINK("https://prolisok-store.com/collections/makeup/products/mac-small-eye-shadow-refill-pan-rule-1-5g-0-05oz", "https://prolisok-store.com/collections/makeup/products/mac-small-eye-shadow-refill-pan-rule-1-5g-0-05oz")</f>
        <v>https://prolisok-store.com/collections/makeup/products/mac-small-eye-shadow-refill-pan-rule-1-5g-0-05oz</v>
      </c>
      <c r="B2457" s="3" t="str">
        <f>HYPERLINK("https://prolisok-store.com/products/mac-small-eye-shadow-refill-pan-rule-1-5g-0-05oz", "https://prolisok-store.com/products/mac-small-eye-shadow-refill-pan-rule-1-5g-0-05oz")</f>
        <v>https://prolisok-store.com/products/mac-small-eye-shadow-refill-pan-rule-1-5g-0-05oz</v>
      </c>
      <c r="C2457" t="s">
        <v>5981</v>
      </c>
      <c r="D2457" t="s">
        <v>6003</v>
      </c>
      <c r="E2457" s="3" t="str">
        <f>HYPERLINK("https://www.amazon.com/MAC-Shadow-Palette-Refill-Matte/dp/B004FVFSWU/ref=sr_1_2?keywords=MAC+small+eye+shadow+refill+pan+-+rule+-1.5g%2F0.05oz&amp;qid=1695259535&amp;sr=8-2", "https://www.amazon.com/MAC-Shadow-Palette-Refill-Matte/dp/B004FVFSWU/ref=sr_1_2?keywords=MAC+small+eye+shadow+refill+pan+-+rule+-1.5g%2F0.05oz&amp;qid=1695259535&amp;sr=8-2")</f>
        <v>https://www.amazon.com/MAC-Shadow-Palette-Refill-Matte/dp/B004FVFSWU/ref=sr_1_2?keywords=MAC+small+eye+shadow+refill+pan+-+rule+-1.5g%2F0.05oz&amp;qid=1695259535&amp;sr=8-2</v>
      </c>
      <c r="F2457" t="s">
        <v>6004</v>
      </c>
      <c r="G2457" t="e">
        <f ca="1">IMAGE("https://prolisok-store.com/cdn/shop/products/347316_300x.jpg?v=1690393893")</f>
        <v>#NAME?</v>
      </c>
      <c r="H2457" t="e">
        <f ca="1">IMAGE("https://m.media-amazon.com/images/I/41laGnHox5L._AC_UL320_.jpg")</f>
        <v>#NAME?</v>
      </c>
      <c r="I2457" t="s">
        <v>5452</v>
      </c>
      <c r="J2457">
        <v>24.99</v>
      </c>
      <c r="K2457" s="2" t="s">
        <v>6005</v>
      </c>
      <c r="L2457">
        <v>4.4000000000000004</v>
      </c>
      <c r="M2457">
        <v>5</v>
      </c>
      <c r="O2457" t="s">
        <v>26</v>
      </c>
      <c r="P2457" t="s">
        <v>39</v>
      </c>
      <c r="Q2457" t="s">
        <v>5983</v>
      </c>
    </row>
    <row r="2458" spans="1:17" ht="15.75" x14ac:dyDescent="0.25">
      <c r="A2458" s="3" t="str">
        <f>HYPERLINK("https://prolisok-store.com/collections/makeup/products/mac-small-eye-shadow-refill-pan-rule-1-5g-0-05oz", "https://prolisok-store.com/collections/makeup/products/mac-small-eye-shadow-refill-pan-rule-1-5g-0-05oz")</f>
        <v>https://prolisok-store.com/collections/makeup/products/mac-small-eye-shadow-refill-pan-rule-1-5g-0-05oz</v>
      </c>
      <c r="B2458" s="3" t="str">
        <f>HYPERLINK("https://prolisok-store.com/products/mac-small-eye-shadow-refill-pan-rule-1-5g-0-05oz", "https://prolisok-store.com/products/mac-small-eye-shadow-refill-pan-rule-1-5g-0-05oz")</f>
        <v>https://prolisok-store.com/products/mac-small-eye-shadow-refill-pan-rule-1-5g-0-05oz</v>
      </c>
      <c r="C2458" t="s">
        <v>5981</v>
      </c>
      <c r="D2458" t="s">
        <v>6006</v>
      </c>
      <c r="E2458" s="3" t="str">
        <f>HYPERLINK("https://www.amazon.com/MAC-Small-Eye-Shadow-Refill/dp/B008VFW5B8/ref=sr_1_6?keywords=MAC+small+eye+shadow+refill+pan+-+rule+-1.5g%2F0.05oz&amp;qid=1695259535&amp;sr=8-6", "https://www.amazon.com/MAC-Small-Eye-Shadow-Refill/dp/B008VFW5B8/ref=sr_1_6?keywords=MAC+small+eye+shadow+refill+pan+-+rule+-1.5g%2F0.05oz&amp;qid=1695259535&amp;sr=8-6")</f>
        <v>https://www.amazon.com/MAC-Small-Eye-Shadow-Refill/dp/B008VFW5B8/ref=sr_1_6?keywords=MAC+small+eye+shadow+refill+pan+-+rule+-1.5g%2F0.05oz&amp;qid=1695259535&amp;sr=8-6</v>
      </c>
      <c r="F2458" t="s">
        <v>6007</v>
      </c>
      <c r="G2458" t="e">
        <f ca="1">IMAGE("https://prolisok-store.com/cdn/shop/products/347316_300x.jpg?v=1690393893")</f>
        <v>#NAME?</v>
      </c>
      <c r="H2458" t="e">
        <f ca="1">IMAGE("https://m.media-amazon.com/images/I/51HPmxGUpLL._AC_UL320_.jpg")</f>
        <v>#NAME?</v>
      </c>
      <c r="I2458" t="s">
        <v>5452</v>
      </c>
      <c r="J2458">
        <v>24.99</v>
      </c>
      <c r="K2458" s="2" t="s">
        <v>6005</v>
      </c>
      <c r="L2458">
        <v>5</v>
      </c>
      <c r="M2458">
        <v>9</v>
      </c>
      <c r="O2458" t="s">
        <v>26</v>
      </c>
      <c r="P2458" t="s">
        <v>39</v>
      </c>
      <c r="Q2458" t="s">
        <v>5983</v>
      </c>
    </row>
    <row r="2459" spans="1:17" ht="15.75" x14ac:dyDescent="0.25">
      <c r="A2459" s="3" t="str">
        <f>HYPERLINK("https://prolisok-store.com/collections/makeup/products/ipsa-creative-concealer-ex-4-5g", "https://prolisok-store.com/collections/makeup/products/ipsa-creative-concealer-ex-4-5g")</f>
        <v>https://prolisok-store.com/collections/makeup/products/ipsa-creative-concealer-ex-4-5g</v>
      </c>
      <c r="B2459" s="3" t="str">
        <f>HYPERLINK("https://prolisok-store.com/products/ipsa-creative-concealer-ex-4-5g", "https://prolisok-store.com/products/ipsa-creative-concealer-ex-4-5g")</f>
        <v>https://prolisok-store.com/products/ipsa-creative-concealer-ex-4-5g</v>
      </c>
      <c r="C2459" t="s">
        <v>4684</v>
      </c>
      <c r="D2459" t="s">
        <v>4827</v>
      </c>
      <c r="E2459" s="3" t="str">
        <f>HYPERLINK("https://www.amazon.com/Ipsa-Creative-Concealer-0-15oz-SPF25/dp/B01KU1WM3Q/ref=sr_1_2?keywords=IPSA+creative+concealer+ex+4.5g&amp;qid=1695259483&amp;sr=8-2", "https://www.amazon.com/Ipsa-Creative-Concealer-0-15oz-SPF25/dp/B01KU1WM3Q/ref=sr_1_2?keywords=IPSA+creative+concealer+ex+4.5g&amp;qid=1695259483&amp;sr=8-2")</f>
        <v>https://www.amazon.com/Ipsa-Creative-Concealer-0-15oz-SPF25/dp/B01KU1WM3Q/ref=sr_1_2?keywords=IPSA+creative+concealer+ex+4.5g&amp;qid=1695259483&amp;sr=8-2</v>
      </c>
      <c r="F2459" t="s">
        <v>4828</v>
      </c>
      <c r="G2459" t="e">
        <f ca="1">IMAGE("https://prolisok-store.com/cdn/shop/files/61Taf-7_nfL._AC_SL1500_300x.jpg?v=1689078688")</f>
        <v>#NAME?</v>
      </c>
      <c r="H2459" t="e">
        <f ca="1">IMAGE("https://m.media-amazon.com/images/I/31DHw-YeyPL._AC_UL320_.jpg")</f>
        <v>#NAME?</v>
      </c>
      <c r="I2459" t="s">
        <v>3458</v>
      </c>
      <c r="J2459">
        <v>31.89</v>
      </c>
      <c r="K2459" s="2" t="s">
        <v>4829</v>
      </c>
      <c r="L2459">
        <v>4.4000000000000004</v>
      </c>
      <c r="M2459">
        <v>23</v>
      </c>
      <c r="O2459" t="s">
        <v>26</v>
      </c>
      <c r="P2459" t="s">
        <v>39</v>
      </c>
      <c r="Q2459" t="s">
        <v>4688</v>
      </c>
    </row>
    <row r="2460" spans="1:17" ht="15.75" x14ac:dyDescent="0.25">
      <c r="A2460" s="3" t="str">
        <f>HYPERLINK("https://prolisok-store.com/collections/makeup/products/3ce-multi-eye-color-palette-beach-muse-makeup-palette-9-color", "https://prolisok-store.com/collections/makeup/products/3ce-multi-eye-color-palette-beach-muse-makeup-palette-9-color")</f>
        <v>https://prolisok-store.com/collections/makeup/products/3ce-multi-eye-color-palette-beach-muse-makeup-palette-9-color</v>
      </c>
      <c r="B2460" s="3" t="str">
        <f>HYPERLINK("https://prolisok-store.com/products/3ce-multi-eye-color-palette-beach-muse-makeup-palette-9-color", "https://prolisok-store.com/products/3ce-multi-eye-color-palette-beach-muse-makeup-palette-9-color")</f>
        <v>https://prolisok-store.com/products/3ce-multi-eye-color-palette-beach-muse-makeup-palette-9-color</v>
      </c>
      <c r="C2460" t="s">
        <v>4629</v>
      </c>
      <c r="D2460" t="s">
        <v>4629</v>
      </c>
      <c r="E2460" s="3" t="str">
        <f>HYPERLINK("https://www.amazon.com/3CE-Multi-Color-Palette-Makeup/dp/B07SPS4HHG/ref=sr_1_1?keywords=3CE+Multi+Eye+Color+Palette%2CBeach+Muse%2CMakeup+Palette+9+Color&amp;qid=1695259449&amp;sr=8-1", "https://www.amazon.com/3CE-Multi-Color-Palette-Makeup/dp/B07SPS4HHG/ref=sr_1_1?keywords=3CE+Multi+Eye+Color+Palette%2CBeach+Muse%2CMakeup+Palette+9+Color&amp;qid=1695259449&amp;sr=8-1")</f>
        <v>https://www.amazon.com/3CE-Multi-Color-Palette-Makeup/dp/B07SPS4HHG/ref=sr_1_1?keywords=3CE+Multi+Eye+Color+Palette%2CBeach+Muse%2CMakeup+Palette+9+Color&amp;qid=1695259449&amp;sr=8-1</v>
      </c>
      <c r="F2460" t="s">
        <v>4855</v>
      </c>
      <c r="G2460" t="e">
        <f ca="1">IMAGE("https://prolisok-store.com/cdn/shop/files/61UqvcCJGwL._SL1001_300x.jpg?v=1682590795")</f>
        <v>#NAME?</v>
      </c>
      <c r="H2460" t="e">
        <f ca="1">IMAGE("https://m.media-amazon.com/images/I/61UqvcCJGwL._AC_UL320_.jpg")</f>
        <v>#NAME?</v>
      </c>
      <c r="I2460" t="s">
        <v>3458</v>
      </c>
      <c r="J2460">
        <v>31.3</v>
      </c>
      <c r="K2460" s="2" t="s">
        <v>4856</v>
      </c>
      <c r="L2460">
        <v>4.4000000000000004</v>
      </c>
      <c r="M2460">
        <v>51</v>
      </c>
      <c r="O2460" t="s">
        <v>26</v>
      </c>
      <c r="P2460" t="s">
        <v>39</v>
      </c>
      <c r="Q2460" t="s">
        <v>4630</v>
      </c>
    </row>
    <row r="2461" spans="1:17" ht="15.75" x14ac:dyDescent="0.25">
      <c r="A2461" s="3" t="str">
        <f>HYPERLINK("https://prolisok-store.com/collections/makeup/products/mac-eye-kohl-phone-number-1-36g-0-048oz", "https://prolisok-store.com/collections/makeup/products/mac-eye-kohl-phone-number-1-36g-0-048oz")</f>
        <v>https://prolisok-store.com/collections/makeup/products/mac-eye-kohl-phone-number-1-36g-0-048oz</v>
      </c>
      <c r="B2461" s="3" t="str">
        <f>HYPERLINK("https://prolisok-store.com/products/mac-eye-kohl-phone-number-1-36g-0-048oz", "https://prolisok-store.com/products/mac-eye-kohl-phone-number-1-36g-0-048oz")</f>
        <v>https://prolisok-store.com/products/mac-eye-kohl-phone-number-1-36g-0-048oz</v>
      </c>
      <c r="C2461" t="s">
        <v>6008</v>
      </c>
      <c r="D2461" t="s">
        <v>6009</v>
      </c>
      <c r="E2461" s="3" t="str">
        <f>HYPERLINK("https://www.amazon.com/MAC-Eye-Kohl-Phone-Number/dp/B001JDC09Q/ref=sr_1_3?keywords=MAC+eye+kohl+-+phone+number+-1.36g%2F0.048oz&amp;qid=1695259543&amp;sr=8-3", "https://www.amazon.com/MAC-Eye-Kohl-Phone-Number/dp/B001JDC09Q/ref=sr_1_3?keywords=MAC+eye+kohl+-+phone+number+-1.36g%2F0.048oz&amp;qid=1695259543&amp;sr=8-3")</f>
        <v>https://www.amazon.com/MAC-Eye-Kohl-Phone-Number/dp/B001JDC09Q/ref=sr_1_3?keywords=MAC+eye+kohl+-+phone+number+-1.36g%2F0.048oz&amp;qid=1695259543&amp;sr=8-3</v>
      </c>
      <c r="F2461" t="s">
        <v>6010</v>
      </c>
      <c r="G2461" t="e">
        <f ca="1">IMAGE("https://prolisok-store.com/cdn/shop/products/191813_300x.jpg?v=1690393930")</f>
        <v>#NAME?</v>
      </c>
      <c r="H2461" t="e">
        <f ca="1">IMAGE("https://m.media-amazon.com/images/I/51ZQSxSTIIL._AC_UL320_.jpg")</f>
        <v>#NAME?</v>
      </c>
      <c r="I2461" t="s">
        <v>6011</v>
      </c>
      <c r="J2461">
        <v>34.97</v>
      </c>
      <c r="K2461" s="2" t="s">
        <v>6012</v>
      </c>
      <c r="L2461">
        <v>5</v>
      </c>
      <c r="M2461">
        <v>1</v>
      </c>
      <c r="O2461" t="s">
        <v>26</v>
      </c>
      <c r="P2461" t="s">
        <v>39</v>
      </c>
      <c r="Q2461" t="s">
        <v>6013</v>
      </c>
    </row>
    <row r="2462" spans="1:17" ht="15.75" x14ac:dyDescent="0.25">
      <c r="A2462" s="3" t="str">
        <f>HYPERLINK("https://prolisok-store.com/collections/makeup/products/mac-small-eye-shadow-refill-pan-rule-1-5g-0-05oz", "https://prolisok-store.com/collections/makeup/products/mac-small-eye-shadow-refill-pan-rule-1-5g-0-05oz")</f>
        <v>https://prolisok-store.com/collections/makeup/products/mac-small-eye-shadow-refill-pan-rule-1-5g-0-05oz</v>
      </c>
      <c r="B2462" s="3" t="str">
        <f>HYPERLINK("https://prolisok-store.com/products/mac-small-eye-shadow-refill-pan-rule-1-5g-0-05oz", "https://prolisok-store.com/products/mac-small-eye-shadow-refill-pan-rule-1-5g-0-05oz")</f>
        <v>https://prolisok-store.com/products/mac-small-eye-shadow-refill-pan-rule-1-5g-0-05oz</v>
      </c>
      <c r="C2462" t="s">
        <v>5981</v>
      </c>
      <c r="D2462" t="s">
        <v>5993</v>
      </c>
      <c r="E2462" s="3" t="str">
        <f>HYPERLINK("https://www.amazon.com/MAC-Small-Eye-Shadow-Refill/dp/B01GR1R8ZU/ref=sr_1_4?keywords=MAC+small+eye+shadow+refill+pan+-+rule+-1.5g%2F0.05oz&amp;qid=1695259535&amp;sr=8-4", "https://www.amazon.com/MAC-Small-Eye-Shadow-Refill/dp/B01GR1R8ZU/ref=sr_1_4?keywords=MAC+small+eye+shadow+refill+pan+-+rule+-1.5g%2F0.05oz&amp;qid=1695259535&amp;sr=8-4")</f>
        <v>https://www.amazon.com/MAC-Small-Eye-Shadow-Refill/dp/B01GR1R8ZU/ref=sr_1_4?keywords=MAC+small+eye+shadow+refill+pan+-+rule+-1.5g%2F0.05oz&amp;qid=1695259535&amp;sr=8-4</v>
      </c>
      <c r="F2462" t="s">
        <v>5994</v>
      </c>
      <c r="G2462" t="e">
        <f ca="1">IMAGE("https://prolisok-store.com/cdn/shop/products/347316_300x.jpg?v=1690393893")</f>
        <v>#NAME?</v>
      </c>
      <c r="H2462" t="e">
        <f ca="1">IMAGE("https://m.media-amazon.com/images/I/51AFM5VsbAL._AC_UL320_.jpg")</f>
        <v>#NAME?</v>
      </c>
      <c r="I2462" t="s">
        <v>5452</v>
      </c>
      <c r="J2462">
        <v>23.71</v>
      </c>
      <c r="K2462" s="2" t="s">
        <v>6014</v>
      </c>
      <c r="L2462">
        <v>3.8</v>
      </c>
      <c r="M2462">
        <v>14</v>
      </c>
      <c r="O2462" t="s">
        <v>26</v>
      </c>
      <c r="P2462" t="s">
        <v>39</v>
      </c>
      <c r="Q2462" t="s">
        <v>5983</v>
      </c>
    </row>
    <row r="2463" spans="1:17" ht="15.75" x14ac:dyDescent="0.25">
      <c r="A2463" s="3" t="str">
        <f>HYPERLINK("https://prolisok-store.com/collections/makeup/products/estee-lauder-pure-color-envy-sculpting-lipstick-360-fierce-0-12-ounce", "https://prolisok-store.com/collections/makeup/products/estee-lauder-pure-color-envy-sculpting-lipstick-360-fierce-0-12-ounce")</f>
        <v>https://prolisok-store.com/collections/makeup/products/estee-lauder-pure-color-envy-sculpting-lipstick-360-fierce-0-12-ounce</v>
      </c>
      <c r="B2463"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2463" t="s">
        <v>4452</v>
      </c>
      <c r="D2463" t="s">
        <v>4452</v>
      </c>
      <c r="E2463" s="3" t="str">
        <f>HYPERLINK("https://www.amazon.com/Estee-Lauder-Sculpting-Lipstick-FIERCE/dp/B00MDXWEME/ref=sr_1_1?keywords=Estee+Lauder+Pure+Color+Envy+Sculpting+Lipstick+%23360+Fierce%2C+0.12+Ounce&amp;qid=1695259450&amp;sr=8-1", "https://www.amazon.com/Estee-Lauder-Sculpting-Lipstick-FIERCE/dp/B00MDXWEME/ref=sr_1_1?keywords=Estee+Lauder+Pure+Color+Envy+Sculpting+Lipstick+%23360+Fierce%2C+0.12+Ounce&amp;qid=1695259450&amp;sr=8-1")</f>
        <v>https://www.amazon.com/Estee-Lauder-Sculpting-Lipstick-FIERCE/dp/B00MDXWEME/ref=sr_1_1?keywords=Estee+Lauder+Pure+Color+Envy+Sculpting+Lipstick+%23360+Fierce%2C+0.12+Ounce&amp;qid=1695259450&amp;sr=8-1</v>
      </c>
      <c r="F2463" t="s">
        <v>6015</v>
      </c>
      <c r="G2463" t="e">
        <f ca="1">IMAGE("https://prolisok-store.com/cdn/shop/products/61OXcvCJbTL._SL1500_300x.jpg?v=1681307706")</f>
        <v>#NAME?</v>
      </c>
      <c r="H2463" t="e">
        <f ca="1">IMAGE("https://m.media-amazon.com/images/I/61OXcvCJbTL._AC_UL320_.jpg")</f>
        <v>#NAME?</v>
      </c>
      <c r="I2463" t="s">
        <v>3419</v>
      </c>
      <c r="J2463">
        <v>22.8</v>
      </c>
      <c r="K2463" s="2" t="s">
        <v>6016</v>
      </c>
      <c r="L2463">
        <v>4.4000000000000004</v>
      </c>
      <c r="M2463">
        <v>3037</v>
      </c>
      <c r="O2463" t="s">
        <v>26</v>
      </c>
      <c r="P2463" t="s">
        <v>39</v>
      </c>
      <c r="Q2463" t="s">
        <v>4456</v>
      </c>
    </row>
    <row r="2464" spans="1:17" ht="15.75" x14ac:dyDescent="0.25">
      <c r="A2464" s="3" t="str">
        <f>HYPERLINK("https://prolisok-store.com/collections/makeup/products/mac-studio-fix-soft-matte-foundation-stick-nw13-9g-0-32oz", "https://prolisok-store.com/collections/makeup/products/mac-studio-fix-soft-matte-foundation-stick-nw13-9g-0-32oz")</f>
        <v>https://prolisok-store.com/collections/makeup/products/mac-studio-fix-soft-matte-foundation-stick-nw13-9g-0-32oz</v>
      </c>
      <c r="B2464" s="3" t="str">
        <f>HYPERLINK("https://prolisok-store.com/products/mac-studio-fix-soft-matte-foundation-stick-nw13-9g-0-32oz", "https://prolisok-store.com/products/mac-studio-fix-soft-matte-foundation-stick-nw13-9g-0-32oz")</f>
        <v>https://prolisok-store.com/products/mac-studio-fix-soft-matte-foundation-stick-nw13-9g-0-32oz</v>
      </c>
      <c r="C2464" t="s">
        <v>6017</v>
      </c>
      <c r="D2464" t="s">
        <v>6018</v>
      </c>
      <c r="E2464" s="3" t="str">
        <f>HYPERLINK("https://www.amazon.com/Studio-Soft-Matte-Foundation-Stick/dp/B081J99TY9/ref=sr_1_6?keywords=MAC+studio+fix+soft+matte+foundation+stick+-+nw13+-9g%2F0.32oz&amp;qid=1695259544&amp;sr=8-6", "https://www.amazon.com/Studio-Soft-Matte-Foundation-Stick/dp/B081J99TY9/ref=sr_1_6?keywords=MAC+studio+fix+soft+matte+foundation+stick+-+nw13+-9g%2F0.32oz&amp;qid=1695259544&amp;sr=8-6")</f>
        <v>https://www.amazon.com/Studio-Soft-Matte-Foundation-Stick/dp/B081J99TY9/ref=sr_1_6?keywords=MAC+studio+fix+soft+matte+foundation+stick+-+nw13+-9g%2F0.32oz&amp;qid=1695259544&amp;sr=8-6</v>
      </c>
      <c r="F2464" t="s">
        <v>6019</v>
      </c>
      <c r="G2464" t="e">
        <f ca="1">IMAGE("https://prolisok-store.com/cdn/shop/products/409455_300x.jpg?v=1690393877")</f>
        <v>#NAME?</v>
      </c>
      <c r="H2464" t="e">
        <f t="shared" ref="H2464:H2470" ca="1" si="30">IMAGE("https://m.media-amazon.com/images/I/61YBSrOMpQL._AC_UL320_.jpg")</f>
        <v>#NAME?</v>
      </c>
      <c r="I2464" t="s">
        <v>6020</v>
      </c>
      <c r="J2464">
        <v>52</v>
      </c>
      <c r="K2464" s="2" t="s">
        <v>6021</v>
      </c>
      <c r="L2464">
        <v>4.4000000000000004</v>
      </c>
      <c r="M2464">
        <v>32</v>
      </c>
      <c r="O2464" t="s">
        <v>26</v>
      </c>
      <c r="P2464" t="s">
        <v>39</v>
      </c>
      <c r="Q2464" t="s">
        <v>6022</v>
      </c>
    </row>
    <row r="2465" spans="1:17" ht="15.75" x14ac:dyDescent="0.25">
      <c r="A2465" s="3" t="str">
        <f>HYPERLINK("https://prolisok-store.com/collections/makeup/products/mac-studio-fix-soft-matte-foundation-stick-nc38-9g-0-32oz", "https://prolisok-store.com/collections/makeup/products/mac-studio-fix-soft-matte-foundation-stick-nc38-9g-0-32oz")</f>
        <v>https://prolisok-store.com/collections/makeup/products/mac-studio-fix-soft-matte-foundation-stick-nc38-9g-0-32oz</v>
      </c>
      <c r="B2465" s="3" t="str">
        <f>HYPERLINK("https://prolisok-store.com/products/mac-studio-fix-soft-matte-foundation-stick-nc38-9g-0-32oz", "https://prolisok-store.com/products/mac-studio-fix-soft-matte-foundation-stick-nc38-9g-0-32oz")</f>
        <v>https://prolisok-store.com/products/mac-studio-fix-soft-matte-foundation-stick-nc38-9g-0-32oz</v>
      </c>
      <c r="C2465" t="s">
        <v>6023</v>
      </c>
      <c r="D2465" t="s">
        <v>6018</v>
      </c>
      <c r="E2465" s="3" t="str">
        <f>HYPERLINK("https://www.amazon.com/Studio-Soft-Matte-Foundation-Stick/dp/B081J99TY9/ref=sr_1_4?keywords=MAC+studio+fix+soft+matte+foundation+stick+-+nc38+-9g%2F0.32oz&amp;qid=1695259545&amp;sr=8-4", "https://www.amazon.com/Studio-Soft-Matte-Foundation-Stick/dp/B081J99TY9/ref=sr_1_4?keywords=MAC+studio+fix+soft+matte+foundation+stick+-+nc38+-9g%2F0.32oz&amp;qid=1695259545&amp;sr=8-4")</f>
        <v>https://www.amazon.com/Studio-Soft-Matte-Foundation-Stick/dp/B081J99TY9/ref=sr_1_4?keywords=MAC+studio+fix+soft+matte+foundation+stick+-+nc38+-9g%2F0.32oz&amp;qid=1695259545&amp;sr=8-4</v>
      </c>
      <c r="F2465" t="s">
        <v>6019</v>
      </c>
      <c r="G2465" t="e">
        <f ca="1">IMAGE("https://prolisok-store.com/cdn/shop/products/360243_300x.jpg?v=1690393874")</f>
        <v>#NAME?</v>
      </c>
      <c r="H2465" t="e">
        <f t="shared" ca="1" si="30"/>
        <v>#NAME?</v>
      </c>
      <c r="I2465" t="s">
        <v>6020</v>
      </c>
      <c r="J2465">
        <v>52</v>
      </c>
      <c r="K2465" s="2" t="s">
        <v>6021</v>
      </c>
      <c r="L2465">
        <v>4.4000000000000004</v>
      </c>
      <c r="M2465">
        <v>32</v>
      </c>
      <c r="O2465" t="s">
        <v>26</v>
      </c>
      <c r="P2465" t="s">
        <v>39</v>
      </c>
      <c r="Q2465" t="s">
        <v>6024</v>
      </c>
    </row>
    <row r="2466" spans="1:17" ht="15.75" x14ac:dyDescent="0.25">
      <c r="A2466" s="3" t="str">
        <f>HYPERLINK("https://prolisok-store.com/collections/makeup/products/mac-studio-fix-soft-matte-foundation-stick-nw18-9g-0-32oz", "https://prolisok-store.com/collections/makeup/products/mac-studio-fix-soft-matte-foundation-stick-nw18-9g-0-32oz")</f>
        <v>https://prolisok-store.com/collections/makeup/products/mac-studio-fix-soft-matte-foundation-stick-nw18-9g-0-32oz</v>
      </c>
      <c r="B2466" s="3" t="str">
        <f>HYPERLINK("https://prolisok-store.com/products/mac-studio-fix-soft-matte-foundation-stick-nw18-9g-0-32oz", "https://prolisok-store.com/products/mac-studio-fix-soft-matte-foundation-stick-nw18-9g-0-32oz")</f>
        <v>https://prolisok-store.com/products/mac-studio-fix-soft-matte-foundation-stick-nw18-9g-0-32oz</v>
      </c>
      <c r="C2466" t="s">
        <v>6025</v>
      </c>
      <c r="D2466" t="s">
        <v>6018</v>
      </c>
      <c r="E2466" s="3" t="str">
        <f>HYPERLINK("https://www.amazon.com/Studio-Soft-Matte-Foundation-Stick/dp/B081J99TY9/ref=sr_1_6?keywords=MAC+studio+fix+soft+matte+foundation+stick+-+nw18+-9g%2F0.32oz&amp;qid=1695259543&amp;sr=8-6", "https://www.amazon.com/Studio-Soft-Matte-Foundation-Stick/dp/B081J99TY9/ref=sr_1_6?keywords=MAC+studio+fix+soft+matte+foundation+stick+-+nw18+-9g%2F0.32oz&amp;qid=1695259543&amp;sr=8-6")</f>
        <v>https://www.amazon.com/Studio-Soft-Matte-Foundation-Stick/dp/B081J99TY9/ref=sr_1_6?keywords=MAC+studio+fix+soft+matte+foundation+stick+-+nw18+-9g%2F0.32oz&amp;qid=1695259543&amp;sr=8-6</v>
      </c>
      <c r="F2466" t="s">
        <v>6019</v>
      </c>
      <c r="G2466" t="e">
        <f ca="1">IMAGE("https://prolisok-store.com/cdn/shop/products/360235_300x.jpg?v=1690393879")</f>
        <v>#NAME?</v>
      </c>
      <c r="H2466" t="e">
        <f t="shared" ca="1" si="30"/>
        <v>#NAME?</v>
      </c>
      <c r="I2466" t="s">
        <v>6020</v>
      </c>
      <c r="J2466">
        <v>52</v>
      </c>
      <c r="K2466" s="2" t="s">
        <v>6021</v>
      </c>
      <c r="L2466">
        <v>4.4000000000000004</v>
      </c>
      <c r="M2466">
        <v>32</v>
      </c>
      <c r="O2466" t="s">
        <v>26</v>
      </c>
      <c r="P2466" t="s">
        <v>39</v>
      </c>
      <c r="Q2466" t="s">
        <v>6026</v>
      </c>
    </row>
    <row r="2467" spans="1:17" ht="15.75" x14ac:dyDescent="0.25">
      <c r="A2467" s="3" t="str">
        <f>HYPERLINK("https://prolisok-store.com/collections/makeup/products/mac-studio-fix-soft-matte-foundation-stick-nw22-9g-0-32oz", "https://prolisok-store.com/collections/makeup/products/mac-studio-fix-soft-matte-foundation-stick-nw22-9g-0-32oz")</f>
        <v>https://prolisok-store.com/collections/makeup/products/mac-studio-fix-soft-matte-foundation-stick-nw22-9g-0-32oz</v>
      </c>
      <c r="B2467" s="3" t="str">
        <f>HYPERLINK("https://prolisok-store.com/products/mac-studio-fix-soft-matte-foundation-stick-nw22-9g-0-32oz", "https://prolisok-store.com/products/mac-studio-fix-soft-matte-foundation-stick-nw22-9g-0-32oz")</f>
        <v>https://prolisok-store.com/products/mac-studio-fix-soft-matte-foundation-stick-nw22-9g-0-32oz</v>
      </c>
      <c r="C2467" t="s">
        <v>6027</v>
      </c>
      <c r="D2467" t="s">
        <v>6018</v>
      </c>
      <c r="E2467" s="3" t="str">
        <f>HYPERLINK("https://www.amazon.com/Studio-Soft-Matte-Foundation-Stick/dp/B081J99TY9/ref=sr_1_4?keywords=MAC+studio+fix+soft+matte+foundation+stick+-+nw22+-9g%2F0.32oz&amp;qid=1695259534&amp;sr=8-4", "https://www.amazon.com/Studio-Soft-Matte-Foundation-Stick/dp/B081J99TY9/ref=sr_1_4?keywords=MAC+studio+fix+soft+matte+foundation+stick+-+nw22+-9g%2F0.32oz&amp;qid=1695259534&amp;sr=8-4")</f>
        <v>https://www.amazon.com/Studio-Soft-Matte-Foundation-Stick/dp/B081J99TY9/ref=sr_1_4?keywords=MAC+studio+fix+soft+matte+foundation+stick+-+nw22+-9g%2F0.32oz&amp;qid=1695259534&amp;sr=8-4</v>
      </c>
      <c r="F2467" t="s">
        <v>6019</v>
      </c>
      <c r="G2467" t="e">
        <f ca="1">IMAGE("https://prolisok-store.com/cdn/shop/products/360234_300x.jpg?v=1690393881")</f>
        <v>#NAME?</v>
      </c>
      <c r="H2467" t="e">
        <f t="shared" ca="1" si="30"/>
        <v>#NAME?</v>
      </c>
      <c r="I2467" t="s">
        <v>6020</v>
      </c>
      <c r="J2467">
        <v>52</v>
      </c>
      <c r="K2467" s="2" t="s">
        <v>6021</v>
      </c>
      <c r="L2467">
        <v>4.4000000000000004</v>
      </c>
      <c r="M2467">
        <v>32</v>
      </c>
      <c r="O2467" t="s">
        <v>26</v>
      </c>
      <c r="P2467" t="s">
        <v>39</v>
      </c>
      <c r="Q2467" t="s">
        <v>6028</v>
      </c>
    </row>
    <row r="2468" spans="1:17" ht="15.75" x14ac:dyDescent="0.25">
      <c r="A2468" s="3" t="str">
        <f>HYPERLINK("https://prolisok-store.com/collections/makeup/products/mac-studio-fix-soft-matte-foundation-stick-nw30-9g-0-32oz", "https://prolisok-store.com/collections/makeup/products/mac-studio-fix-soft-matte-foundation-stick-nw30-9g-0-32oz")</f>
        <v>https://prolisok-store.com/collections/makeup/products/mac-studio-fix-soft-matte-foundation-stick-nw30-9g-0-32oz</v>
      </c>
      <c r="B2468" s="3" t="str">
        <f>HYPERLINK("https://prolisok-store.com/products/mac-studio-fix-soft-matte-foundation-stick-nw30-9g-0-32oz", "https://prolisok-store.com/products/mac-studio-fix-soft-matte-foundation-stick-nw30-9g-0-32oz")</f>
        <v>https://prolisok-store.com/products/mac-studio-fix-soft-matte-foundation-stick-nw30-9g-0-32oz</v>
      </c>
      <c r="C2468" t="s">
        <v>6029</v>
      </c>
      <c r="D2468" t="s">
        <v>6018</v>
      </c>
      <c r="E2468" s="3" t="str">
        <f>HYPERLINK("https://www.amazon.com/Studio-Soft-Matte-Foundation-Stick/dp/B081J99TY9/ref=sr_1_4?keywords=MAC+studio+fix+soft+matte+foundation+stick+-+nw30+-9g%2F0.32oz&amp;qid=1695259539&amp;sr=8-4", "https://www.amazon.com/Studio-Soft-Matte-Foundation-Stick/dp/B081J99TY9/ref=sr_1_4?keywords=MAC+studio+fix+soft+matte+foundation+stick+-+nw30+-9g%2F0.32oz&amp;qid=1695259539&amp;sr=8-4")</f>
        <v>https://www.amazon.com/Studio-Soft-Matte-Foundation-Stick/dp/B081J99TY9/ref=sr_1_4?keywords=MAC+studio+fix+soft+matte+foundation+stick+-+nw30+-9g%2F0.32oz&amp;qid=1695259539&amp;sr=8-4</v>
      </c>
      <c r="F2468" t="s">
        <v>6019</v>
      </c>
      <c r="G2468" t="e">
        <f ca="1">IMAGE("https://prolisok-store.com/cdn/shop/products/409458_300x.jpg?v=1690393883")</f>
        <v>#NAME?</v>
      </c>
      <c r="H2468" t="e">
        <f t="shared" ca="1" si="30"/>
        <v>#NAME?</v>
      </c>
      <c r="I2468" t="s">
        <v>6020</v>
      </c>
      <c r="J2468">
        <v>52</v>
      </c>
      <c r="K2468" s="2" t="s">
        <v>6021</v>
      </c>
      <c r="L2468">
        <v>4.4000000000000004</v>
      </c>
      <c r="M2468">
        <v>32</v>
      </c>
      <c r="O2468" t="s">
        <v>26</v>
      </c>
      <c r="P2468" t="s">
        <v>39</v>
      </c>
      <c r="Q2468" t="s">
        <v>6030</v>
      </c>
    </row>
    <row r="2469" spans="1:17" ht="15.75" x14ac:dyDescent="0.25">
      <c r="A2469" s="3" t="str">
        <f>HYPERLINK("https://prolisok-store.com/collections/makeup/products/mac-studio-fix-soft-matte-foundation-stick-nc35-9g-0-32oz", "https://prolisok-store.com/collections/makeup/products/mac-studio-fix-soft-matte-foundation-stick-nc35-9g-0-32oz")</f>
        <v>https://prolisok-store.com/collections/makeup/products/mac-studio-fix-soft-matte-foundation-stick-nc35-9g-0-32oz</v>
      </c>
      <c r="B2469" s="3" t="str">
        <f>HYPERLINK("https://prolisok-store.com/products/mac-studio-fix-soft-matte-foundation-stick-nc35-9g-0-32oz", "https://prolisok-store.com/products/mac-studio-fix-soft-matte-foundation-stick-nc35-9g-0-32oz")</f>
        <v>https://prolisok-store.com/products/mac-studio-fix-soft-matte-foundation-stick-nc35-9g-0-32oz</v>
      </c>
      <c r="C2469" t="s">
        <v>6031</v>
      </c>
      <c r="D2469" t="s">
        <v>6018</v>
      </c>
      <c r="E2469" s="3" t="str">
        <f>HYPERLINK("https://www.amazon.com/Studio-Soft-Matte-Foundation-Stick/dp/B081J99TY9/ref=sr_1_1?keywords=MAC+studio+fix+soft+matte+foundation+stick+-+nc35+-9g%2F0.32oz&amp;qid=1695259534&amp;sr=8-1", "https://www.amazon.com/Studio-Soft-Matte-Foundation-Stick/dp/B081J99TY9/ref=sr_1_1?keywords=MAC+studio+fix+soft+matte+foundation+stick+-+nc35+-9g%2F0.32oz&amp;qid=1695259534&amp;sr=8-1")</f>
        <v>https://www.amazon.com/Studio-Soft-Matte-Foundation-Stick/dp/B081J99TY9/ref=sr_1_1?keywords=MAC+studio+fix+soft+matte+foundation+stick+-+nc35+-9g%2F0.32oz&amp;qid=1695259534&amp;sr=8-1</v>
      </c>
      <c r="F2469" t="s">
        <v>6019</v>
      </c>
      <c r="G2469" t="e">
        <f ca="1">IMAGE("https://prolisok-store.com/cdn/shop/products/360244_300x.jpg?v=1690393870")</f>
        <v>#NAME?</v>
      </c>
      <c r="H2469" t="e">
        <f t="shared" ca="1" si="30"/>
        <v>#NAME?</v>
      </c>
      <c r="I2469" t="s">
        <v>6020</v>
      </c>
      <c r="J2469">
        <v>52</v>
      </c>
      <c r="K2469" s="2" t="s">
        <v>6021</v>
      </c>
      <c r="L2469">
        <v>4.4000000000000004</v>
      </c>
      <c r="M2469">
        <v>32</v>
      </c>
      <c r="O2469" t="s">
        <v>26</v>
      </c>
      <c r="P2469" t="s">
        <v>39</v>
      </c>
      <c r="Q2469" t="s">
        <v>6032</v>
      </c>
    </row>
    <row r="2470" spans="1:17" ht="15.75" x14ac:dyDescent="0.25">
      <c r="A2470" s="3" t="str">
        <f>HYPERLINK("https://prolisok-store.com/collections/makeup/products/mac-studio-fix-soft-matte-foundation-stick-nc37-9g-0-32oz", "https://prolisok-store.com/collections/makeup/products/mac-studio-fix-soft-matte-foundation-stick-nc37-9g-0-32oz")</f>
        <v>https://prolisok-store.com/collections/makeup/products/mac-studio-fix-soft-matte-foundation-stick-nc37-9g-0-32oz</v>
      </c>
      <c r="B2470" s="3" t="str">
        <f>HYPERLINK("https://prolisok-store.com/products/mac-studio-fix-soft-matte-foundation-stick-nc37-9g-0-32oz", "https://prolisok-store.com/products/mac-studio-fix-soft-matte-foundation-stick-nc37-9g-0-32oz")</f>
        <v>https://prolisok-store.com/products/mac-studio-fix-soft-matte-foundation-stick-nc37-9g-0-32oz</v>
      </c>
      <c r="C2470" t="s">
        <v>6033</v>
      </c>
      <c r="D2470" t="s">
        <v>6018</v>
      </c>
      <c r="E2470" s="3" t="str">
        <f>HYPERLINK("https://www.amazon.com/Studio-Soft-Matte-Foundation-Stick/dp/B081J99TY9/ref=sr_1_3?keywords=MAC+studio+fix+soft+matte+foundation+stick+-+nc37+-9g%2F0.32oz&amp;qid=1695259534&amp;sr=8-3", "https://www.amazon.com/Studio-Soft-Matte-Foundation-Stick/dp/B081J99TY9/ref=sr_1_3?keywords=MAC+studio+fix+soft+matte+foundation+stick+-+nc37+-9g%2F0.32oz&amp;qid=1695259534&amp;sr=8-3")</f>
        <v>https://www.amazon.com/Studio-Soft-Matte-Foundation-Stick/dp/B081J99TY9/ref=sr_1_3?keywords=MAC+studio+fix+soft+matte+foundation+stick+-+nc37+-9g%2F0.32oz&amp;qid=1695259534&amp;sr=8-3</v>
      </c>
      <c r="F2470" t="s">
        <v>6019</v>
      </c>
      <c r="G2470" t="e">
        <f ca="1">IMAGE("https://prolisok-store.com/cdn/shop/products/375188_300x.jpg?v=1690393872")</f>
        <v>#NAME?</v>
      </c>
      <c r="H2470" t="e">
        <f t="shared" ca="1" si="30"/>
        <v>#NAME?</v>
      </c>
      <c r="I2470" t="s">
        <v>6020</v>
      </c>
      <c r="J2470">
        <v>52</v>
      </c>
      <c r="K2470" s="2" t="s">
        <v>6021</v>
      </c>
      <c r="L2470">
        <v>4.4000000000000004</v>
      </c>
      <c r="M2470">
        <v>32</v>
      </c>
      <c r="O2470" t="s">
        <v>26</v>
      </c>
      <c r="P2470" t="s">
        <v>39</v>
      </c>
      <c r="Q2470" t="s">
        <v>6034</v>
      </c>
    </row>
    <row r="2471" spans="1:17" ht="15.75" x14ac:dyDescent="0.25">
      <c r="A2471" s="3" t="str">
        <f>HYPERLINK("https://prolisok-store.com/collections/makeup/products/mac-pencil-sharpener", "https://prolisok-store.com/collections/makeup/products/mac-pencil-sharpener")</f>
        <v>https://prolisok-store.com/collections/makeup/products/mac-pencil-sharpener</v>
      </c>
      <c r="B2471" s="3" t="str">
        <f>HYPERLINK("https://prolisok-store.com/products/mac-pencil-sharpener", "https://prolisok-store.com/products/mac-pencil-sharpener")</f>
        <v>https://prolisok-store.com/products/mac-pencil-sharpener</v>
      </c>
      <c r="C2471" t="s">
        <v>6035</v>
      </c>
      <c r="D2471" t="s">
        <v>6036</v>
      </c>
      <c r="E2471" s="3" t="str">
        <f>HYPERLINK("https://www.amazon.com/MAC-Pencil-Sharpener-Small-Pencils/dp/B004KGUP9G/ref=sr_1_2?keywords=MAC+pencil+sharpener&amp;qid=1695259540&amp;sr=8-2", "https://www.amazon.com/MAC-Pencil-Sharpener-Small-Pencils/dp/B004KGUP9G/ref=sr_1_2?keywords=MAC+pencil+sharpener&amp;qid=1695259540&amp;sr=8-2")</f>
        <v>https://www.amazon.com/MAC-Pencil-Sharpener-Small-Pencils/dp/B004KGUP9G/ref=sr_1_2?keywords=MAC+pencil+sharpener&amp;qid=1695259540&amp;sr=8-2</v>
      </c>
      <c r="F2471" t="s">
        <v>6037</v>
      </c>
      <c r="G2471" t="e">
        <f ca="1">IMAGE("https://prolisok-store.com/cdn/shop/products/360197_300x.jpg?v=1690393916")</f>
        <v>#NAME?</v>
      </c>
      <c r="H2471" t="e">
        <f ca="1">IMAGE("https://m.media-amazon.com/images/I/51k1r6+pvhL._AC_UL320_.jpg")</f>
        <v>#NAME?</v>
      </c>
      <c r="I2471" t="s">
        <v>4296</v>
      </c>
      <c r="J2471">
        <v>15.99</v>
      </c>
      <c r="K2471" s="2" t="s">
        <v>6038</v>
      </c>
      <c r="L2471">
        <v>4.2</v>
      </c>
      <c r="M2471">
        <v>95</v>
      </c>
      <c r="O2471" t="s">
        <v>26</v>
      </c>
      <c r="P2471" t="s">
        <v>39</v>
      </c>
      <c r="Q2471" t="s">
        <v>6039</v>
      </c>
    </row>
    <row r="2472" spans="1:17" ht="15.75" x14ac:dyDescent="0.25">
      <c r="A2472" s="3" t="str">
        <f>HYPERLINK("https://prolisok-store.com/collections/makeup/products/make-up-for-ever-ultra-hd-microfinishing-pressed-powder-translucent", "https://prolisok-store.com/collections/makeup/products/make-up-for-ever-ultra-hd-microfinishing-pressed-powder-translucent")</f>
        <v>https://prolisok-store.com/collections/makeup/products/make-up-for-ever-ultra-hd-microfinishing-pressed-powder-translucent</v>
      </c>
      <c r="B2472" s="3" t="str">
        <f>HYPERLINK("https://prolisok-store.com/products/make-up-for-ever-ultra-hd-microfinishing-pressed-powder-translucent", "https://prolisok-store.com/products/make-up-for-ever-ultra-hd-microfinishing-pressed-powder-translucent")</f>
        <v>https://prolisok-store.com/products/make-up-for-ever-ultra-hd-microfinishing-pressed-powder-translucent</v>
      </c>
      <c r="C2472" t="s">
        <v>4595</v>
      </c>
      <c r="D2472" t="s">
        <v>4595</v>
      </c>
      <c r="E2472" s="3" t="str">
        <f>HYPERLINK("https://www.amazon.com/MAKE-Ultra-Microfinishing-Pressed-Powder/dp/B0716F3DHR/ref=sr_1_1?keywords=MAKE+UP+FOR+EVER+Ultra+HD+Microfinishing+Pressed+Powder+Translucent&amp;qid=1695259449&amp;sr=8-1", "https://www.amazon.com/MAKE-Ultra-Microfinishing-Pressed-Powder/dp/B0716F3DHR/ref=sr_1_1?keywords=MAKE+UP+FOR+EVER+Ultra+HD+Microfinishing+Pressed+Powder+Translucent&amp;qid=1695259449&amp;sr=8-1")</f>
        <v>https://www.amazon.com/MAKE-Ultra-Microfinishing-Pressed-Powder/dp/B0716F3DHR/ref=sr_1_1?keywords=MAKE+UP+FOR+EVER+Ultra+HD+Microfinishing+Pressed+Powder+Translucent&amp;qid=1695259449&amp;sr=8-1</v>
      </c>
      <c r="F2472" t="s">
        <v>4868</v>
      </c>
      <c r="G2472" t="e">
        <f ca="1">IMAGE("https://prolisok-store.com/cdn/shop/files/611llduh92L._SL1500_300x.jpg?v=1693220499")</f>
        <v>#NAME?</v>
      </c>
      <c r="H2472" t="e">
        <f ca="1">IMAGE("https://m.media-amazon.com/images/I/611llduh92L._AC_UL320_.jpg")</f>
        <v>#NAME?</v>
      </c>
      <c r="I2472" t="s">
        <v>3419</v>
      </c>
      <c r="J2472">
        <v>22</v>
      </c>
      <c r="K2472" s="2" t="s">
        <v>6040</v>
      </c>
      <c r="L2472">
        <v>3.8</v>
      </c>
      <c r="M2472">
        <v>199</v>
      </c>
      <c r="O2472" t="s">
        <v>26</v>
      </c>
      <c r="P2472" t="s">
        <v>39</v>
      </c>
      <c r="Q2472" t="s">
        <v>4599</v>
      </c>
    </row>
    <row r="2473" spans="1:17" ht="15.75" x14ac:dyDescent="0.25">
      <c r="A2473" s="3" t="str">
        <f>HYPERLINK("https://prolisok-store.com/collections/makeup/products/3ce-mood-recipe-multi-eye-color-palette-plot-twist-9-tone-on-tone-eyeshadows", "https://prolisok-store.com/collections/makeup/products/3ce-mood-recipe-multi-eye-color-palette-plot-twist-9-tone-on-tone-eyeshadows")</f>
        <v>https://prolisok-store.com/collections/makeup/products/3ce-mood-recipe-multi-eye-color-palette-plot-twist-9-tone-on-tone-eyeshadows</v>
      </c>
      <c r="B2473" s="3" t="str">
        <f>HYPERLINK("https://prolisok-store.com/products/3ce-mood-recipe-multi-eye-color-palette-plot-twist-9-tone-on-tone-eyeshadows", "https://prolisok-store.com/products/3ce-mood-recipe-multi-eye-color-palette-plot-twist-9-tone-on-tone-eyeshadows")</f>
        <v>https://prolisok-store.com/products/3ce-mood-recipe-multi-eye-color-palette-plot-twist-9-tone-on-tone-eyeshadows</v>
      </c>
      <c r="C2473" t="s">
        <v>4625</v>
      </c>
      <c r="D2473" t="s">
        <v>4895</v>
      </c>
      <c r="E2473" s="3" t="str">
        <f>HYPERLINK("https://www.amazon.com/Recipe-Multi-Palette-OVERTAKE-Eyeshadows/dp/B078C7QSRY/ref=sr_1_2?keywords=3CE+Mood+Recipe+Multi+Eye+Color+Palette+%23PLOT+TWIST+9+Tone+on+tone+Eyeshadows&amp;qid=1695259483&amp;sr=8-2", "https://www.amazon.com/Recipe-Multi-Palette-OVERTAKE-Eyeshadows/dp/B078C7QSRY/ref=sr_1_2?keywords=3CE+Mood+Recipe+Multi+Eye+Color+Palette+%23PLOT+TWIST+9+Tone+on+tone+Eyeshadows&amp;qid=1695259483&amp;sr=8-2")</f>
        <v>https://www.amazon.com/Recipe-Multi-Palette-OVERTAKE-Eyeshadows/dp/B078C7QSRY/ref=sr_1_2?keywords=3CE+Mood+Recipe+Multi+Eye+Color+Palette+%23PLOT+TWIST+9+Tone+on+tone+Eyeshadows&amp;qid=1695259483&amp;sr=8-2</v>
      </c>
      <c r="F2473" t="s">
        <v>4896</v>
      </c>
      <c r="G2473" t="e">
        <f ca="1">IMAGE("https://prolisok-store.com/cdn/shop/files/41MZkdbeE1L_300x.jpg?v=1693220923")</f>
        <v>#NAME?</v>
      </c>
      <c r="H2473" t="e">
        <f ca="1">IMAGE("https://m.media-amazon.com/images/I/51bdtrlMRtL._AC_UL320_.jpg")</f>
        <v>#NAME?</v>
      </c>
      <c r="I2473" t="s">
        <v>3458</v>
      </c>
      <c r="J2473">
        <v>28.99</v>
      </c>
      <c r="K2473" s="2" t="s">
        <v>4897</v>
      </c>
      <c r="L2473">
        <v>4.4000000000000004</v>
      </c>
      <c r="M2473">
        <v>191</v>
      </c>
      <c r="O2473" t="s">
        <v>26</v>
      </c>
      <c r="P2473" t="s">
        <v>39</v>
      </c>
      <c r="Q2473" t="s">
        <v>4628</v>
      </c>
    </row>
    <row r="2474" spans="1:17" ht="15.75" x14ac:dyDescent="0.25">
      <c r="A2474" s="3" t="str">
        <f>HYPERLINK("https://prolisok-store.com/collections/makeup/products/3ce-multi-eye-color-palette-beach-muse-makeup-palette-9-color", "https://prolisok-store.com/collections/makeup/products/3ce-multi-eye-color-palette-beach-muse-makeup-palette-9-color")</f>
        <v>https://prolisok-store.com/collections/makeup/products/3ce-multi-eye-color-palette-beach-muse-makeup-palette-9-color</v>
      </c>
      <c r="B2474" s="3" t="str">
        <f>HYPERLINK("https://prolisok-store.com/products/3ce-multi-eye-color-palette-beach-muse-makeup-palette-9-color", "https://prolisok-store.com/products/3ce-multi-eye-color-palette-beach-muse-makeup-palette-9-color")</f>
        <v>https://prolisok-store.com/products/3ce-multi-eye-color-palette-beach-muse-makeup-palette-9-color</v>
      </c>
      <c r="C2474" t="s">
        <v>4629</v>
      </c>
      <c r="D2474" t="s">
        <v>4895</v>
      </c>
      <c r="E2474" s="3" t="str">
        <f>HYPERLINK("https://www.amazon.com/Recipe-Multi-Palette-OVERTAKE-Eyeshadows/dp/B078C7QSRY/ref=sr_1_3?keywords=3CE+Multi+Eye+Color+Palette%2CBeach+Muse%2CMakeup+Palette+9+Color&amp;qid=1695259449&amp;sr=8-3", "https://www.amazon.com/Recipe-Multi-Palette-OVERTAKE-Eyeshadows/dp/B078C7QSRY/ref=sr_1_3?keywords=3CE+Multi+Eye+Color+Palette%2CBeach+Muse%2CMakeup+Palette+9+Color&amp;qid=1695259449&amp;sr=8-3")</f>
        <v>https://www.amazon.com/Recipe-Multi-Palette-OVERTAKE-Eyeshadows/dp/B078C7QSRY/ref=sr_1_3?keywords=3CE+Multi+Eye+Color+Palette%2CBeach+Muse%2CMakeup+Palette+9+Color&amp;qid=1695259449&amp;sr=8-3</v>
      </c>
      <c r="F2474" t="s">
        <v>4896</v>
      </c>
      <c r="G2474" t="e">
        <f ca="1">IMAGE("https://prolisok-store.com/cdn/shop/files/61UqvcCJGwL._SL1001_300x.jpg?v=1682590795")</f>
        <v>#NAME?</v>
      </c>
      <c r="H2474" t="e">
        <f ca="1">IMAGE("https://m.media-amazon.com/images/I/51bdtrlMRtL._AC_UL320_.jpg")</f>
        <v>#NAME?</v>
      </c>
      <c r="I2474" t="s">
        <v>3458</v>
      </c>
      <c r="J2474">
        <v>28.99</v>
      </c>
      <c r="K2474" s="2" t="s">
        <v>4897</v>
      </c>
      <c r="L2474">
        <v>4.4000000000000004</v>
      </c>
      <c r="M2474">
        <v>191</v>
      </c>
      <c r="O2474" t="s">
        <v>26</v>
      </c>
      <c r="P2474" t="s">
        <v>39</v>
      </c>
      <c r="Q2474" t="s">
        <v>4630</v>
      </c>
    </row>
    <row r="2475" spans="1:17" ht="15.75" x14ac:dyDescent="0.25">
      <c r="A2475" s="3" t="str">
        <f>HYPERLINK("https://prolisok-store.com/collections/makeup/products/mac-eye-kohl-powersurge-1-36g-0-048oz", "https://prolisok-store.com/collections/makeup/products/mac-eye-kohl-powersurge-1-36g-0-048oz")</f>
        <v>https://prolisok-store.com/collections/makeup/products/mac-eye-kohl-powersurge-1-36g-0-048oz</v>
      </c>
      <c r="B2475" s="3" t="str">
        <f>HYPERLINK("https://prolisok-store.com/products/mac-eye-kohl-powersurge-1-36g-0-048oz", "https://prolisok-store.com/products/mac-eye-kohl-powersurge-1-36g-0-048oz")</f>
        <v>https://prolisok-store.com/products/mac-eye-kohl-powersurge-1-36g-0-048oz</v>
      </c>
      <c r="C2475" t="s">
        <v>6041</v>
      </c>
      <c r="D2475" t="s">
        <v>6042</v>
      </c>
      <c r="E2475" s="3" t="str">
        <f>HYPERLINK("https://www.amazon.com/MAC-Eye-Kohl-Powersurge-0-05oz/dp/B000A6JGY0/ref=sr_1_1?keywords=MAC+eye+kohl+-+powersurge+-1.36g%2F0.048oz&amp;qid=1695259547&amp;sr=8-1", "https://www.amazon.com/MAC-Eye-Kohl-Powersurge-0-05oz/dp/B000A6JGY0/ref=sr_1_1?keywords=MAC+eye+kohl+-+powersurge+-1.36g%2F0.048oz&amp;qid=1695259547&amp;sr=8-1")</f>
        <v>https://www.amazon.com/MAC-Eye-Kohl-Powersurge-0-05oz/dp/B000A6JGY0/ref=sr_1_1?keywords=MAC+eye+kohl+-+powersurge+-1.36g%2F0.048oz&amp;qid=1695259547&amp;sr=8-1</v>
      </c>
      <c r="F2475" t="s">
        <v>6043</v>
      </c>
      <c r="G2475" t="e">
        <f ca="1">IMAGE("https://prolisok-store.com/cdn/shop/products/393857_300x.jpg?v=1690393931")</f>
        <v>#NAME?</v>
      </c>
      <c r="H2475" t="e">
        <f ca="1">IMAGE("https://m.media-amazon.com/images/I/51oS45cM++L._AC_UL320_.jpg")</f>
        <v>#NAME?</v>
      </c>
      <c r="I2475" t="s">
        <v>5348</v>
      </c>
      <c r="J2475">
        <v>30.43</v>
      </c>
      <c r="K2475" s="2" t="s">
        <v>6044</v>
      </c>
      <c r="L2475">
        <v>5</v>
      </c>
      <c r="M2475">
        <v>2</v>
      </c>
      <c r="O2475" t="s">
        <v>26</v>
      </c>
      <c r="P2475" t="s">
        <v>39</v>
      </c>
      <c r="Q2475" t="s">
        <v>6045</v>
      </c>
    </row>
    <row r="2476" spans="1:17" ht="15.75" x14ac:dyDescent="0.25">
      <c r="A2476" s="3" t="str">
        <f>HYPERLINK("https://prolisok-store.com/collections/makeup/products/mac-powder-kiss-lipstick-style-shocked-3g-0-1oz", "https://prolisok-store.com/collections/makeup/products/mac-powder-kiss-lipstick-style-shocked-3g-0-1oz")</f>
        <v>https://prolisok-store.com/collections/makeup/products/mac-powder-kiss-lipstick-style-shocked-3g-0-1oz</v>
      </c>
      <c r="B2476" s="3" t="str">
        <f>HYPERLINK("https://prolisok-store.com/products/mac-powder-kiss-lipstick-style-shocked-3g-0-1oz", "https://prolisok-store.com/products/mac-powder-kiss-lipstick-style-shocked-3g-0-1oz")</f>
        <v>https://prolisok-store.com/products/mac-powder-kiss-lipstick-style-shocked-3g-0-1oz</v>
      </c>
      <c r="C2476" t="s">
        <v>6046</v>
      </c>
      <c r="D2476" t="s">
        <v>6047</v>
      </c>
      <c r="E2476" s="3" t="str">
        <f>HYPERLINK("https://www.amazon.com/Powder-Kiss-Lipstick-Style-Shocked/dp/B08XSDM5TZ/ref=sr_1_3?keywords=MAC+powder+kiss+lipstick+-+style+shocked+-3g%2F0.1oz&amp;qid=1695259538&amp;sr=8-3", "https://www.amazon.com/Powder-Kiss-Lipstick-Style-Shocked/dp/B08XSDM5TZ/ref=sr_1_3?keywords=MAC+powder+kiss+lipstick+-+style+shocked+-3g%2F0.1oz&amp;qid=1695259538&amp;sr=8-3")</f>
        <v>https://www.amazon.com/Powder-Kiss-Lipstick-Style-Shocked/dp/B08XSDM5TZ/ref=sr_1_3?keywords=MAC+powder+kiss+lipstick+-+style+shocked+-3g%2F0.1oz&amp;qid=1695259538&amp;sr=8-3</v>
      </c>
      <c r="F2476" t="s">
        <v>6048</v>
      </c>
      <c r="G2476" t="e">
        <f ca="1">IMAGE("https://prolisok-store.com/cdn/shop/products/348149_300x.jpg?v=1690393905")</f>
        <v>#NAME?</v>
      </c>
      <c r="H2476" t="e">
        <f ca="1">IMAGE("https://m.media-amazon.com/images/I/31gIjj+Es4L._AC_UL320_.jpg")</f>
        <v>#NAME?</v>
      </c>
      <c r="I2476" t="s">
        <v>6049</v>
      </c>
      <c r="J2476">
        <v>36.71</v>
      </c>
      <c r="K2476" s="2" t="s">
        <v>6050</v>
      </c>
      <c r="L2476">
        <v>3.8</v>
      </c>
      <c r="M2476">
        <v>8</v>
      </c>
      <c r="O2476" t="s">
        <v>26</v>
      </c>
      <c r="P2476" t="s">
        <v>39</v>
      </c>
      <c r="Q2476" t="s">
        <v>6051</v>
      </c>
    </row>
    <row r="2477" spans="1:17" ht="15.75" x14ac:dyDescent="0.25">
      <c r="A2477" s="3" t="str">
        <f>HYPERLINK("https://prolisok-store.com/collections/makeup/products/sisley-eye-and-lip-contour-balm-16ml-0-5oz", "https://prolisok-store.com/collections/makeup/products/sisley-eye-and-lip-contour-balm-16ml-0-5oz")</f>
        <v>https://prolisok-store.com/collections/makeup/products/sisley-eye-and-lip-contour-balm-16ml-0-5oz</v>
      </c>
      <c r="B2477" s="3" t="str">
        <f>HYPERLINK("https://prolisok-store.com/products/sisley-eye-and-lip-contour-balm-16ml-0-5oz", "https://prolisok-store.com/products/sisley-eye-and-lip-contour-balm-16ml-0-5oz")</f>
        <v>https://prolisok-store.com/products/sisley-eye-and-lip-contour-balm-16ml-0-5oz</v>
      </c>
      <c r="C2477" t="s">
        <v>5987</v>
      </c>
      <c r="D2477" t="s">
        <v>6052</v>
      </c>
      <c r="E2477" s="3" t="str">
        <f>HYPERLINK("https://www.amazon.com/Sisley-Botanical-Contour-Balm-1-Ounce/dp/B002AMUGMI/ref=sr_1_1?keywords=Sisley+eye+%26+lip+contour+balm+16ml%2F0.5oz&amp;qid=1695259521&amp;sr=8-1", "https://www.amazon.com/Sisley-Botanical-Contour-Balm-1-Ounce/dp/B002AMUGMI/ref=sr_1_1?keywords=Sisley+eye+%26+lip+contour+balm+16ml%2F0.5oz&amp;qid=1695259521&amp;sr=8-1")</f>
        <v>https://www.amazon.com/Sisley-Botanical-Contour-Balm-1-Ounce/dp/B002AMUGMI/ref=sr_1_1?keywords=Sisley+eye+%26+lip+contour+balm+16ml%2F0.5oz&amp;qid=1695259521&amp;sr=8-1</v>
      </c>
      <c r="F2477" t="s">
        <v>6053</v>
      </c>
      <c r="G2477" t="e">
        <f ca="1">IMAGE("https://prolisok-store.com/cdn/shop/products/444353_300x.jpg?v=1690900668")</f>
        <v>#NAME?</v>
      </c>
      <c r="H2477" t="e">
        <f ca="1">IMAGE("https://m.media-amazon.com/images/I/61-13pdy7dL._AC_UL320_.jpg")</f>
        <v>#NAME?</v>
      </c>
      <c r="I2477" t="s">
        <v>5990</v>
      </c>
      <c r="J2477">
        <v>79.19</v>
      </c>
      <c r="K2477" s="2" t="s">
        <v>6054</v>
      </c>
      <c r="L2477">
        <v>4.3</v>
      </c>
      <c r="M2477">
        <v>144</v>
      </c>
      <c r="O2477" t="s">
        <v>26</v>
      </c>
      <c r="P2477" t="s">
        <v>39</v>
      </c>
      <c r="Q2477" t="s">
        <v>5992</v>
      </c>
    </row>
    <row r="2478" spans="1:17" ht="15.75" x14ac:dyDescent="0.25">
      <c r="A2478" s="3" t="str">
        <f>HYPERLINK("https://prolisok-store.com/collections/makeup/products/estee-lauder-brow-now-brow-defining-pencil-02-light-brunette-1-2g-0-04oz", "https://prolisok-store.com/collections/makeup/products/estee-lauder-brow-now-brow-defining-pencil-02-light-brunette-1-2g-0-04oz")</f>
        <v>https://prolisok-store.com/collections/makeup/products/estee-lauder-brow-now-brow-defining-pencil-02-light-brunette-1-2g-0-04oz</v>
      </c>
      <c r="B2478" s="3" t="str">
        <f>HYPERLINK("https://prolisok-store.com/products/estee-lauder-brow-now-brow-defining-pencil-02-light-brunette-1-2g-0-04oz", "https://prolisok-store.com/products/estee-lauder-brow-now-brow-defining-pencil-02-light-brunette-1-2g-0-04oz")</f>
        <v>https://prolisok-store.com/products/estee-lauder-brow-now-brow-defining-pencil-02-light-brunette-1-2g-0-04oz</v>
      </c>
      <c r="C2478" t="s">
        <v>6055</v>
      </c>
      <c r="D2478" t="s">
        <v>6056</v>
      </c>
      <c r="E2478" s="3" t="str">
        <f>HYPERLINK("https://www.amazon.com/Estee-Lauder-Brow-Volumizing-Tint/dp/B06W2L5CF3/ref=sr_1_3?keywords=Estee+Lauder+brow+now+brow+defining+pencil+-&amp;qid=1695259522&amp;sr=8-3", "https://www.amazon.com/Estee-Lauder-Brow-Volumizing-Tint/dp/B06W2L5CF3/ref=sr_1_3?keywords=Estee+Lauder+brow+now+brow+defining+pencil+-&amp;qid=1695259522&amp;sr=8-3")</f>
        <v>https://www.amazon.com/Estee-Lauder-Brow-Volumizing-Tint/dp/B06W2L5CF3/ref=sr_1_3?keywords=Estee+Lauder+brow+now+brow+defining+pencil+-&amp;qid=1695259522&amp;sr=8-3</v>
      </c>
      <c r="F2478" t="s">
        <v>6057</v>
      </c>
      <c r="G2478" t="e">
        <f ca="1">IMAGE("https://prolisok-store.com/cdn/shop/products/296947_300x.jpg?v=1690900189")</f>
        <v>#NAME?</v>
      </c>
      <c r="H2478" t="e">
        <f ca="1">IMAGE("https://m.media-amazon.com/images/I/71G4xwP9SWL._AC_UL320_.jpg")</f>
        <v>#NAME?</v>
      </c>
      <c r="I2478" t="s">
        <v>6058</v>
      </c>
      <c r="J2478">
        <v>29.99</v>
      </c>
      <c r="K2478" s="2" t="s">
        <v>6059</v>
      </c>
      <c r="L2478">
        <v>4.2</v>
      </c>
      <c r="M2478">
        <v>93</v>
      </c>
      <c r="O2478" t="s">
        <v>26</v>
      </c>
      <c r="P2478" t="s">
        <v>39</v>
      </c>
      <c r="Q2478" t="s">
        <v>6060</v>
      </c>
    </row>
    <row r="2479" spans="1:17" ht="15.75" x14ac:dyDescent="0.25">
      <c r="A2479" s="3" t="str">
        <f>HYPERLINK("https://prolisok-store.com/collections/makeup/products/clinique-by-clinique-take-the-day-off-make-up-remover-125ml-4-2oz", "https://prolisok-store.com/collections/makeup/products/clinique-by-clinique-take-the-day-off-make-up-remover-125ml-4-2oz")</f>
        <v>https://prolisok-store.com/collections/makeup/products/clinique-by-clinique-take-the-day-off-make-up-remover-125ml-4-2oz</v>
      </c>
      <c r="B2479" s="3" t="str">
        <f>HYPERLINK("https://prolisok-store.com/products/clinique-by-clinique-take-the-day-off-make-up-remover-125ml-4-2oz", "https://prolisok-store.com/products/clinique-by-clinique-take-the-day-off-make-up-remover-125ml-4-2oz")</f>
        <v>https://prolisok-store.com/products/clinique-by-clinique-take-the-day-off-make-up-remover-125ml-4-2oz</v>
      </c>
      <c r="C2479" t="s">
        <v>5997</v>
      </c>
      <c r="D2479" t="s">
        <v>6061</v>
      </c>
      <c r="E2479" s="3" t="str">
        <f>HYPERLINK("https://www.amazon.com/Clinique-Womens-Make-Up-Remover-Ounce/dp/B00VODRK64/ref=sr_1_1?keywords=Clinique+take+the+day+off+make+up+remover+--125ml%2F4.2oz&amp;qid=1695259552&amp;sr=8-1", "https://www.amazon.com/Clinique-Womens-Make-Up-Remover-Ounce/dp/B00VODRK64/ref=sr_1_1?keywords=Clinique+take+the+day+off+make+up+remover+--125ml%2F4.2oz&amp;qid=1695259552&amp;sr=8-1")</f>
        <v>https://www.amazon.com/Clinique-Womens-Make-Up-Remover-Ounce/dp/B00VODRK64/ref=sr_1_1?keywords=Clinique+take+the+day+off+make+up+remover+--125ml%2F4.2oz&amp;qid=1695259552&amp;sr=8-1</v>
      </c>
      <c r="F2479" t="s">
        <v>6062</v>
      </c>
      <c r="G2479" t="e">
        <f ca="1">IMAGE("https://prolisok-store.com/cdn/shop/products/129645_300x.jpg?v=1688060465")</f>
        <v>#NAME?</v>
      </c>
      <c r="H2479" t="e">
        <f ca="1">IMAGE("https://m.media-amazon.com/images/I/51PC4LBC+vL._AC_UL320_.jpg")</f>
        <v>#NAME?</v>
      </c>
      <c r="I2479" t="s">
        <v>6000</v>
      </c>
      <c r="J2479">
        <v>29.89</v>
      </c>
      <c r="K2479" s="2" t="s">
        <v>6063</v>
      </c>
      <c r="L2479">
        <v>4.5999999999999996</v>
      </c>
      <c r="M2479">
        <v>642</v>
      </c>
      <c r="O2479" t="s">
        <v>26</v>
      </c>
      <c r="P2479" t="s">
        <v>39</v>
      </c>
      <c r="Q2479" t="s">
        <v>6002</v>
      </c>
    </row>
    <row r="2480" spans="1:17" ht="15.75" x14ac:dyDescent="0.25">
      <c r="A2480" s="3" t="str">
        <f>HYPERLINK("https://prolisok-store.com/collections/makeup/products/elizabeth-arden-elizabeth-arden-eight-hour-lipcare-stick-spf15-3-7g-0-13oz", "https://prolisok-store.com/collections/makeup/products/elizabeth-arden-elizabeth-arden-eight-hour-lipcare-stick-spf15-3-7g-0-13oz")</f>
        <v>https://prolisok-store.com/collections/makeup/products/elizabeth-arden-elizabeth-arden-eight-hour-lipcare-stick-spf15-3-7g-0-13oz</v>
      </c>
      <c r="B2480" s="3" t="str">
        <f>HYPERLINK("https://prolisok-store.com/products/elizabeth-arden-elizabeth-arden-eight-hour-lipcare-stick-spf15-3-7g-0-13oz", "https://prolisok-store.com/products/elizabeth-arden-elizabeth-arden-eight-hour-lipcare-stick-spf15-3-7g-0-13oz")</f>
        <v>https://prolisok-store.com/products/elizabeth-arden-elizabeth-arden-eight-hour-lipcare-stick-spf15-3-7g-0-13oz</v>
      </c>
      <c r="C2480" t="s">
        <v>6064</v>
      </c>
      <c r="D2480" t="s">
        <v>6065</v>
      </c>
      <c r="E2480" s="3" t="str">
        <f>HYPERLINK("https://www.amazon.com/Elizabeth-Arden-Eight-Protectant-Sunscreen/dp/B00375L8R4/ref=sr_1_1?keywords=Elizabeth+Arden+elizabeth+arden+eight+hour+lipcare+stick+spf+153.7g%2F0.13oz&amp;qid=1695259471&amp;sr=8-1", "https://www.amazon.com/Elizabeth-Arden-Eight-Protectant-Sunscreen/dp/B00375L8R4/ref=sr_1_1?keywords=Elizabeth+Arden+elizabeth+arden+eight+hour+lipcare+stick+spf+153.7g%2F0.13oz&amp;qid=1695259471&amp;sr=8-1")</f>
        <v>https://www.amazon.com/Elizabeth-Arden-Eight-Protectant-Sunscreen/dp/B00375L8R4/ref=sr_1_1?keywords=Elizabeth+Arden+elizabeth+arden+eight+hour+lipcare+stick+spf+153.7g%2F0.13oz&amp;qid=1695259471&amp;sr=8-1</v>
      </c>
      <c r="F2480" t="s">
        <v>6066</v>
      </c>
      <c r="G2480" t="e">
        <f ca="1">IMAGE("https://prolisok-store.com/cdn/shop/products/130037_300x.jpg?v=1693407165")</f>
        <v>#NAME?</v>
      </c>
      <c r="H2480" t="e">
        <f ca="1">IMAGE("https://m.media-amazon.com/images/I/61O-2zI9cgL._AC_UL320_.jpg")</f>
        <v>#NAME?</v>
      </c>
      <c r="I2480" t="s">
        <v>6067</v>
      </c>
      <c r="J2480">
        <v>25</v>
      </c>
      <c r="K2480" s="2" t="s">
        <v>6068</v>
      </c>
      <c r="L2480">
        <v>4.4000000000000004</v>
      </c>
      <c r="M2480">
        <v>4316</v>
      </c>
      <c r="O2480" t="s">
        <v>26</v>
      </c>
      <c r="P2480" t="s">
        <v>39</v>
      </c>
      <c r="Q2480" t="s">
        <v>6069</v>
      </c>
    </row>
    <row r="2481" spans="1:17" ht="15.75" x14ac:dyDescent="0.25">
      <c r="A2481" s="3" t="str">
        <f>HYPERLINK("https://prolisok-store.com/collections/makeup/products/mac-small-eye-shadow-refill-pan-rule-1-5g-0-05oz", "https://prolisok-store.com/collections/makeup/products/mac-small-eye-shadow-refill-pan-rule-1-5g-0-05oz")</f>
        <v>https://prolisok-store.com/collections/makeup/products/mac-small-eye-shadow-refill-pan-rule-1-5g-0-05oz</v>
      </c>
      <c r="B2481" s="3" t="str">
        <f>HYPERLINK("https://prolisok-store.com/products/mac-small-eye-shadow-refill-pan-rule-1-5g-0-05oz", "https://prolisok-store.com/products/mac-small-eye-shadow-refill-pan-rule-1-5g-0-05oz")</f>
        <v>https://prolisok-store.com/products/mac-small-eye-shadow-refill-pan-rule-1-5g-0-05oz</v>
      </c>
      <c r="C2481" t="s">
        <v>5981</v>
      </c>
      <c r="D2481" t="s">
        <v>6070</v>
      </c>
      <c r="E2481" s="3" t="str">
        <f>HYPERLINK("https://www.amazon.com/MAC-Small-Eye-Shadow-Refill/dp/B008VFW6LM/ref=sr_1_3?keywords=MAC+small+eye+shadow+refill+pan+-+rule+-1.5g%2F0.05oz&amp;qid=1695259535&amp;sr=8-3", "https://www.amazon.com/MAC-Small-Eye-Shadow-Refill/dp/B008VFW6LM/ref=sr_1_3?keywords=MAC+small+eye+shadow+refill+pan+-+rule+-1.5g%2F0.05oz&amp;qid=1695259535&amp;sr=8-3")</f>
        <v>https://www.amazon.com/MAC-Small-Eye-Shadow-Refill/dp/B008VFW6LM/ref=sr_1_3?keywords=MAC+small+eye+shadow+refill+pan+-+rule+-1.5g%2F0.05oz&amp;qid=1695259535&amp;sr=8-3</v>
      </c>
      <c r="F2481" t="s">
        <v>6071</v>
      </c>
      <c r="G2481" t="e">
        <f ca="1">IMAGE("https://prolisok-store.com/cdn/shop/products/347316_300x.jpg?v=1690393893")</f>
        <v>#NAME?</v>
      </c>
      <c r="H2481" t="e">
        <f ca="1">IMAGE("https://m.media-amazon.com/images/I/517SYRXzV0L._AC_UL320_.jpg")</f>
        <v>#NAME?</v>
      </c>
      <c r="I2481" t="s">
        <v>5452</v>
      </c>
      <c r="J2481">
        <v>19.28</v>
      </c>
      <c r="K2481" s="2" t="s">
        <v>6072</v>
      </c>
      <c r="L2481">
        <v>4.5999999999999996</v>
      </c>
      <c r="M2481">
        <v>451</v>
      </c>
      <c r="O2481" t="s">
        <v>26</v>
      </c>
      <c r="P2481" t="s">
        <v>39</v>
      </c>
      <c r="Q2481" t="s">
        <v>5983</v>
      </c>
    </row>
    <row r="2482" spans="1:17" ht="15.75" x14ac:dyDescent="0.25">
      <c r="A2482" s="3" t="str">
        <f>HYPERLINK("https://prolisok-store.com/collections/makeup/products/sisley-phyto-levres-perfect-lipliner-with-lip-brush-and-sharpener-5-burgundy-1-2g-0-04oz", "https://prolisok-store.com/collections/makeup/products/sisley-phyto-levres-perfect-lipliner-with-lip-brush-and-sharpener-5-burgundy-1-2g-0-04oz")</f>
        <v>https://prolisok-store.com/collections/makeup/products/sisley-phyto-levres-perfect-lipliner-with-lip-brush-and-sharpener-5-burgundy-1-2g-0-04oz</v>
      </c>
      <c r="B2482" s="3" t="str">
        <f>HYPERLINK("https://prolisok-store.com/products/sisley-phyto-levres-perfect-lipliner-with-lip-brush-and-sharpener-5-burgundy-1-2g-0-04oz", "https://prolisok-store.com/products/sisley-phyto-levres-perfect-lipliner-with-lip-brush-and-sharpener-5-burgundy-1-2g-0-04oz")</f>
        <v>https://prolisok-store.com/products/sisley-phyto-levres-perfect-lipliner-with-lip-brush-and-sharpener-5-burgundy-1-2g-0-04oz</v>
      </c>
      <c r="C2482" t="s">
        <v>5959</v>
      </c>
      <c r="D2482" t="s">
        <v>6073</v>
      </c>
      <c r="E2482" s="3" t="str">
        <f>HYPERLINK("https://www.amazon.com/Phyto-Levres-Perfect-Liner-Sharpener/dp/B003J9KMYI/ref=sr_1_3?keywords=Sisley+phyto+levres+perfect+lipliner+with+lip+brush+and+sharpener+-+%235+burgundy+1.2g%2F0.04oz&amp;qid=1695259523&amp;sr=8-3", "https://www.amazon.com/Phyto-Levres-Perfect-Liner-Sharpener/dp/B003J9KMYI/ref=sr_1_3?keywords=Sisley+phyto+levres+perfect+lipliner+with+lip+brush+and+sharpener+-+%235+burgundy+1.2g%2F0.04oz&amp;qid=1695259523&amp;sr=8-3")</f>
        <v>https://www.amazon.com/Phyto-Levres-Perfect-Liner-Sharpener/dp/B003J9KMYI/ref=sr_1_3?keywords=Sisley+phyto+levres+perfect+lipliner+with+lip+brush+and+sharpener+-+%235+burgundy+1.2g%2F0.04oz&amp;qid=1695259523&amp;sr=8-3</v>
      </c>
      <c r="F2482" t="s">
        <v>6074</v>
      </c>
      <c r="G2482" t="e">
        <f ca="1">IMAGE("https://prolisok-store.com/cdn/shop/products/187944_300x.jpg?v=1690900896")</f>
        <v>#NAME?</v>
      </c>
      <c r="H2482" t="e">
        <f ca="1">IMAGE("https://m.media-amazon.com/images/I/71KVzWD6NrL._AC_UL320_.jpg")</f>
        <v>#NAME?</v>
      </c>
      <c r="I2482" t="s">
        <v>5954</v>
      </c>
      <c r="J2482">
        <v>61.36</v>
      </c>
      <c r="K2482" s="2" t="s">
        <v>6075</v>
      </c>
      <c r="L2482">
        <v>4.0999999999999996</v>
      </c>
      <c r="M2482">
        <v>4</v>
      </c>
      <c r="O2482" t="s">
        <v>26</v>
      </c>
      <c r="P2482" t="s">
        <v>39</v>
      </c>
      <c r="Q2482" t="s">
        <v>5960</v>
      </c>
    </row>
    <row r="2483" spans="1:17" ht="15.75" x14ac:dyDescent="0.25">
      <c r="A2483" s="3" t="str">
        <f>HYPERLINK("https://prolisok-store.com/collections/makeup/products/estee-lauder-brow-now-stay-in-place-brow-gel-clear-1-7ml-0-05oz", "https://prolisok-store.com/collections/makeup/products/estee-lauder-brow-now-stay-in-place-brow-gel-clear-1-7ml-0-05oz")</f>
        <v>https://prolisok-store.com/collections/makeup/products/estee-lauder-brow-now-stay-in-place-brow-gel-clear-1-7ml-0-05oz</v>
      </c>
      <c r="B2483" s="3" t="str">
        <f>HYPERLINK("https://prolisok-store.com/products/estee-lauder-brow-now-stay-in-place-brow-gel-clear-1-7ml-0-05oz", "https://prolisok-store.com/products/estee-lauder-brow-now-stay-in-place-brow-gel-clear-1-7ml-0-05oz")</f>
        <v>https://prolisok-store.com/products/estee-lauder-brow-now-stay-in-place-brow-gel-clear-1-7ml-0-05oz</v>
      </c>
      <c r="C2483" t="s">
        <v>6076</v>
      </c>
      <c r="D2483" t="s">
        <v>6056</v>
      </c>
      <c r="E2483" s="3" t="str">
        <f>HYPERLINK("https://www.amazon.com/Estee-Lauder-Brow-Volumizing-Tint/dp/B06W2L5CF3/ref=sr_1_2?keywords=Estee+Lauder+brow+now+stay+in+place+brow+gel+-&amp;qid=1695259508&amp;sr=8-2", "https://www.amazon.com/Estee-Lauder-Brow-Volumizing-Tint/dp/B06W2L5CF3/ref=sr_1_2?keywords=Estee+Lauder+brow+now+stay+in+place+brow+gel+-&amp;qid=1695259508&amp;sr=8-2")</f>
        <v>https://www.amazon.com/Estee-Lauder-Brow-Volumizing-Tint/dp/B06W2L5CF3/ref=sr_1_2?keywords=Estee+Lauder+brow+now+stay+in+place+brow+gel+-&amp;qid=1695259508&amp;sr=8-2</v>
      </c>
      <c r="F2483" t="s">
        <v>6057</v>
      </c>
      <c r="G2483" t="e">
        <f ca="1">IMAGE("https://prolisok-store.com/cdn/shop/products/296986_300x.jpg?v=1690900193")</f>
        <v>#NAME?</v>
      </c>
      <c r="H2483" t="e">
        <f ca="1">IMAGE("https://m.media-amazon.com/images/I/71G4xwP9SWL._AC_UL320_.jpg")</f>
        <v>#NAME?</v>
      </c>
      <c r="I2483" t="s">
        <v>6077</v>
      </c>
      <c r="J2483">
        <v>29.99</v>
      </c>
      <c r="K2483" s="2" t="s">
        <v>6078</v>
      </c>
      <c r="L2483">
        <v>4.2</v>
      </c>
      <c r="M2483">
        <v>93</v>
      </c>
      <c r="O2483" t="s">
        <v>26</v>
      </c>
      <c r="P2483" t="s">
        <v>39</v>
      </c>
      <c r="Q2483" t="s">
        <v>6079</v>
      </c>
    </row>
    <row r="2484" spans="1:17" ht="15.75" x14ac:dyDescent="0.25">
      <c r="A2484" s="3" t="str">
        <f>HYPERLINK("https://prolisok-store.com/collections/makeup/products/mac-studio-fix-soft-matte-foundation-stick-nw18-9g-0-32oz", "https://prolisok-store.com/collections/makeup/products/mac-studio-fix-soft-matte-foundation-stick-nw18-9g-0-32oz")</f>
        <v>https://prolisok-store.com/collections/makeup/products/mac-studio-fix-soft-matte-foundation-stick-nw18-9g-0-32oz</v>
      </c>
      <c r="B2484" s="3" t="str">
        <f>HYPERLINK("https://prolisok-store.com/products/mac-studio-fix-soft-matte-foundation-stick-nw18-9g-0-32oz", "https://prolisok-store.com/products/mac-studio-fix-soft-matte-foundation-stick-nw18-9g-0-32oz")</f>
        <v>https://prolisok-store.com/products/mac-studio-fix-soft-matte-foundation-stick-nw18-9g-0-32oz</v>
      </c>
      <c r="C2484" t="s">
        <v>6025</v>
      </c>
      <c r="D2484" t="s">
        <v>6080</v>
      </c>
      <c r="E2484" s="3" t="str">
        <f>HYPERLINK("https://www.amazon.com/Studio-Soft-Matte-Foundation-Stick/dp/B081HX9PYY/ref=sr_1_10?keywords=MAC+studio+fix+soft+matte+foundation+stick+-+nw18+-9g%2F0.32oz&amp;qid=1695259543&amp;sr=8-10", "https://www.amazon.com/Studio-Soft-Matte-Foundation-Stick/dp/B081HX9PYY/ref=sr_1_10?keywords=MAC+studio+fix+soft+matte+foundation+stick+-+nw18+-9g%2F0.32oz&amp;qid=1695259543&amp;sr=8-10")</f>
        <v>https://www.amazon.com/Studio-Soft-Matte-Foundation-Stick/dp/B081HX9PYY/ref=sr_1_10?keywords=MAC+studio+fix+soft+matte+foundation+stick+-+nw18+-9g%2F0.32oz&amp;qid=1695259543&amp;sr=8-10</v>
      </c>
      <c r="F2484" t="s">
        <v>6081</v>
      </c>
      <c r="G2484" t="e">
        <f ca="1">IMAGE("https://prolisok-store.com/cdn/shop/products/360235_300x.jpg?v=1690393879")</f>
        <v>#NAME?</v>
      </c>
      <c r="H2484" t="e">
        <f ca="1">IMAGE("https://m.media-amazon.com/images/I/21liGNPGGSS._AC_UL320_.jpg")</f>
        <v>#NAME?</v>
      </c>
      <c r="I2484" t="s">
        <v>6020</v>
      </c>
      <c r="J2484">
        <v>41.94</v>
      </c>
      <c r="K2484" s="2" t="s">
        <v>6082</v>
      </c>
      <c r="L2484">
        <v>4.9000000000000004</v>
      </c>
      <c r="M2484">
        <v>11</v>
      </c>
      <c r="O2484" t="s">
        <v>26</v>
      </c>
      <c r="P2484" t="s">
        <v>39</v>
      </c>
      <c r="Q2484" t="s">
        <v>6026</v>
      </c>
    </row>
    <row r="2485" spans="1:17" ht="15.75" x14ac:dyDescent="0.25">
      <c r="A2485" s="3" t="str">
        <f>HYPERLINK("https://prolisok-store.com/collections/makeup/products/mac-studio-fix-soft-matte-foundation-stick-nw30-9g-0-32oz", "https://prolisok-store.com/collections/makeup/products/mac-studio-fix-soft-matte-foundation-stick-nw30-9g-0-32oz")</f>
        <v>https://prolisok-store.com/collections/makeup/products/mac-studio-fix-soft-matte-foundation-stick-nw30-9g-0-32oz</v>
      </c>
      <c r="B2485" s="3" t="str">
        <f>HYPERLINK("https://prolisok-store.com/products/mac-studio-fix-soft-matte-foundation-stick-nw30-9g-0-32oz", "https://prolisok-store.com/products/mac-studio-fix-soft-matte-foundation-stick-nw30-9g-0-32oz")</f>
        <v>https://prolisok-store.com/products/mac-studio-fix-soft-matte-foundation-stick-nw30-9g-0-32oz</v>
      </c>
      <c r="C2485" t="s">
        <v>6029</v>
      </c>
      <c r="D2485" t="s">
        <v>6080</v>
      </c>
      <c r="E2485" s="3" t="str">
        <f>HYPERLINK("https://www.amazon.com/Studio-Soft-Matte-Foundation-Stick/dp/B081HX9PYY/ref=sr_1_8?keywords=MAC+studio+fix+soft+matte+foundation+stick+-+nw30+-9g%2F0.32oz&amp;qid=1695259539&amp;sr=8-8", "https://www.amazon.com/Studio-Soft-Matte-Foundation-Stick/dp/B081HX9PYY/ref=sr_1_8?keywords=MAC+studio+fix+soft+matte+foundation+stick+-+nw30+-9g%2F0.32oz&amp;qid=1695259539&amp;sr=8-8")</f>
        <v>https://www.amazon.com/Studio-Soft-Matte-Foundation-Stick/dp/B081HX9PYY/ref=sr_1_8?keywords=MAC+studio+fix+soft+matte+foundation+stick+-+nw30+-9g%2F0.32oz&amp;qid=1695259539&amp;sr=8-8</v>
      </c>
      <c r="F2485" t="s">
        <v>6081</v>
      </c>
      <c r="G2485" t="e">
        <f ca="1">IMAGE("https://prolisok-store.com/cdn/shop/products/409458_300x.jpg?v=1690393883")</f>
        <v>#NAME?</v>
      </c>
      <c r="H2485" t="e">
        <f ca="1">IMAGE("https://m.media-amazon.com/images/I/21liGNPGGSS._AC_UL320_.jpg")</f>
        <v>#NAME?</v>
      </c>
      <c r="I2485" t="s">
        <v>6020</v>
      </c>
      <c r="J2485">
        <v>41.94</v>
      </c>
      <c r="K2485" s="2" t="s">
        <v>6082</v>
      </c>
      <c r="L2485">
        <v>4.9000000000000004</v>
      </c>
      <c r="M2485">
        <v>11</v>
      </c>
      <c r="O2485" t="s">
        <v>26</v>
      </c>
      <c r="P2485" t="s">
        <v>39</v>
      </c>
      <c r="Q2485" t="s">
        <v>6030</v>
      </c>
    </row>
    <row r="2486" spans="1:17" ht="15.75" x14ac:dyDescent="0.25">
      <c r="A2486" s="3" t="str">
        <f>HYPERLINK("https://prolisok-store.com/collections/makeup/products/mac-studio-fix-soft-matte-foundation-stick-nw22-9g-0-32oz", "https://prolisok-store.com/collections/makeup/products/mac-studio-fix-soft-matte-foundation-stick-nw22-9g-0-32oz")</f>
        <v>https://prolisok-store.com/collections/makeup/products/mac-studio-fix-soft-matte-foundation-stick-nw22-9g-0-32oz</v>
      </c>
      <c r="B2486" s="3" t="str">
        <f>HYPERLINK("https://prolisok-store.com/products/mac-studio-fix-soft-matte-foundation-stick-nw22-9g-0-32oz", "https://prolisok-store.com/products/mac-studio-fix-soft-matte-foundation-stick-nw22-9g-0-32oz")</f>
        <v>https://prolisok-store.com/products/mac-studio-fix-soft-matte-foundation-stick-nw22-9g-0-32oz</v>
      </c>
      <c r="C2486" t="s">
        <v>6027</v>
      </c>
      <c r="D2486" t="s">
        <v>6080</v>
      </c>
      <c r="E2486" s="3" t="str">
        <f>HYPERLINK("https://www.amazon.com/Studio-Soft-Matte-Foundation-Stick/dp/B081HX9PYY/ref=sr_1_10?keywords=MAC+studio+fix+soft+matte+foundation+stick+-+nw22+-9g%2F0.32oz&amp;qid=1695259534&amp;sr=8-10", "https://www.amazon.com/Studio-Soft-Matte-Foundation-Stick/dp/B081HX9PYY/ref=sr_1_10?keywords=MAC+studio+fix+soft+matte+foundation+stick+-+nw22+-9g%2F0.32oz&amp;qid=1695259534&amp;sr=8-10")</f>
        <v>https://www.amazon.com/Studio-Soft-Matte-Foundation-Stick/dp/B081HX9PYY/ref=sr_1_10?keywords=MAC+studio+fix+soft+matte+foundation+stick+-+nw22+-9g%2F0.32oz&amp;qid=1695259534&amp;sr=8-10</v>
      </c>
      <c r="F2486" t="s">
        <v>6081</v>
      </c>
      <c r="G2486" t="e">
        <f ca="1">IMAGE("https://prolisok-store.com/cdn/shop/products/360234_300x.jpg?v=1690393881")</f>
        <v>#NAME?</v>
      </c>
      <c r="H2486" t="e">
        <f ca="1">IMAGE("https://m.media-amazon.com/images/I/21liGNPGGSS._AC_UL320_.jpg")</f>
        <v>#NAME?</v>
      </c>
      <c r="I2486" t="s">
        <v>6020</v>
      </c>
      <c r="J2486">
        <v>41.94</v>
      </c>
      <c r="K2486" s="2" t="s">
        <v>6082</v>
      </c>
      <c r="L2486">
        <v>4.9000000000000004</v>
      </c>
      <c r="M2486">
        <v>11</v>
      </c>
      <c r="O2486" t="s">
        <v>26</v>
      </c>
      <c r="P2486" t="s">
        <v>39</v>
      </c>
      <c r="Q2486" t="s">
        <v>6028</v>
      </c>
    </row>
    <row r="2487" spans="1:17" ht="15.75" x14ac:dyDescent="0.25">
      <c r="A2487" s="3" t="str">
        <f>HYPERLINK("https://prolisok-store.com/collections/makeup/products/mac-love-me-lipstick-nine-lives-3g-0-1oz", "https://prolisok-store.com/collections/makeup/products/mac-love-me-lipstick-nine-lives-3g-0-1oz")</f>
        <v>https://prolisok-store.com/collections/makeup/products/mac-love-me-lipstick-nine-lives-3g-0-1oz</v>
      </c>
      <c r="B2487" s="3" t="str">
        <f>HYPERLINK("https://prolisok-store.com/products/mac-love-me-lipstick-nine-lives-3g-0-1oz", "https://prolisok-store.com/products/mac-love-me-lipstick-nine-lives-3g-0-1oz")</f>
        <v>https://prolisok-store.com/products/mac-love-me-lipstick-nine-lives-3g-0-1oz</v>
      </c>
      <c r="C2487" t="s">
        <v>6083</v>
      </c>
      <c r="D2487" t="s">
        <v>6084</v>
      </c>
      <c r="E2487" s="3" t="str">
        <f>HYPERLINK("https://www.amazon.com/MAC-Make-Up-Artist-Cosmetics-Lipstick/dp/B0BG3L695H/ref=sr_1_3?keywords=MAC+love+me+lipstick+-+nine+lives-3g%2F0.1oz&amp;qid=1695259538&amp;sr=8-3", "https://www.amazon.com/MAC-Make-Up-Artist-Cosmetics-Lipstick/dp/B0BG3L695H/ref=sr_1_3?keywords=MAC+love+me+lipstick+-+nine+lives-3g%2F0.1oz&amp;qid=1695259538&amp;sr=8-3")</f>
        <v>https://www.amazon.com/MAC-Make-Up-Artist-Cosmetics-Lipstick/dp/B0BG3L695H/ref=sr_1_3?keywords=MAC+love+me+lipstick+-+nine+lives-3g%2F0.1oz&amp;qid=1695259538&amp;sr=8-3</v>
      </c>
      <c r="F2487" t="s">
        <v>6085</v>
      </c>
      <c r="G2487" t="e">
        <f ca="1">IMAGE("https://prolisok-store.com/cdn/shop/products/351917_300x.jpg?v=1690393944")</f>
        <v>#NAME?</v>
      </c>
      <c r="H2487" t="e">
        <f ca="1">IMAGE("https://m.media-amazon.com/images/I/41RnxAtpIFL._AC_UL320_.jpg")</f>
        <v>#NAME?</v>
      </c>
      <c r="I2487" t="s">
        <v>6086</v>
      </c>
      <c r="J2487">
        <v>24.84</v>
      </c>
      <c r="K2487" s="2" t="s">
        <v>6087</v>
      </c>
      <c r="L2487">
        <v>5</v>
      </c>
      <c r="M2487">
        <v>1</v>
      </c>
      <c r="O2487" t="s">
        <v>26</v>
      </c>
      <c r="P2487" t="s">
        <v>39</v>
      </c>
      <c r="Q2487" t="s">
        <v>6088</v>
      </c>
    </row>
    <row r="2488" spans="1:17" ht="15.75" x14ac:dyDescent="0.25">
      <c r="A2488" s="3" t="str">
        <f>HYPERLINK("https://prolisok-store.com/collections/makeup/products/mac-love-me-lipstick-youre-so-vain-3g-0-1oz", "https://prolisok-store.com/collections/makeup/products/mac-love-me-lipstick-youre-so-vain-3g-0-1oz")</f>
        <v>https://prolisok-store.com/collections/makeup/products/mac-love-me-lipstick-youre-so-vain-3g-0-1oz</v>
      </c>
      <c r="B2488" s="3" t="str">
        <f>HYPERLINK("https://prolisok-store.com/products/mac-love-me-lipstick-youre-so-vain-3g-0-1oz", "https://prolisok-store.com/products/mac-love-me-lipstick-youre-so-vain-3g-0-1oz")</f>
        <v>https://prolisok-store.com/products/mac-love-me-lipstick-youre-so-vain-3g-0-1oz</v>
      </c>
      <c r="C2488" t="s">
        <v>6089</v>
      </c>
      <c r="D2488" t="s">
        <v>6084</v>
      </c>
      <c r="E2488" s="3" t="str">
        <f>HYPERLINK("https://www.amazon.com/MAC-Make-Up-Artist-Cosmetics-Lipstick/dp/B0BG3L695H/ref=sr_1_4?keywords=MAC+love+me+lipstick+-+youre+so+vain-3g%2F0.1oz&amp;qid=1695259489&amp;sr=8-4", "https://www.amazon.com/MAC-Make-Up-Artist-Cosmetics-Lipstick/dp/B0BG3L695H/ref=sr_1_4?keywords=MAC+love+me+lipstick+-+youre+so+vain-3g%2F0.1oz&amp;qid=1695259489&amp;sr=8-4")</f>
        <v>https://www.amazon.com/MAC-Make-Up-Artist-Cosmetics-Lipstick/dp/B0BG3L695H/ref=sr_1_4?keywords=MAC+love+me+lipstick+-+youre+so+vain-3g%2F0.1oz&amp;qid=1695259489&amp;sr=8-4</v>
      </c>
      <c r="F2488" t="s">
        <v>6085</v>
      </c>
      <c r="G2488" t="e">
        <f ca="1">IMAGE("https://prolisok-store.com/cdn/shop/products/351920_300x.jpg?v=1690393948")</f>
        <v>#NAME?</v>
      </c>
      <c r="H2488" t="e">
        <f ca="1">IMAGE("https://m.media-amazon.com/images/I/41RnxAtpIFL._AC_UL320_.jpg")</f>
        <v>#NAME?</v>
      </c>
      <c r="I2488" t="s">
        <v>6086</v>
      </c>
      <c r="J2488">
        <v>24.84</v>
      </c>
      <c r="K2488" s="2" t="s">
        <v>6087</v>
      </c>
      <c r="L2488">
        <v>5</v>
      </c>
      <c r="M2488">
        <v>1</v>
      </c>
      <c r="O2488" t="s">
        <v>26</v>
      </c>
      <c r="P2488" t="s">
        <v>39</v>
      </c>
      <c r="Q2488" t="s">
        <v>6090</v>
      </c>
    </row>
    <row r="2489" spans="1:17" ht="15.75" x14ac:dyDescent="0.25">
      <c r="A2489"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489" s="3" t="str">
        <f>HYPERLINK("https://prolisok-store.com/products/mac-studio-fix-24-hour-smooth-wear-concealer-nc48-6-8ml-0-23oz", "https://prolisok-store.com/products/mac-studio-fix-24-hour-smooth-wear-concealer-nc48-6-8ml-0-23oz")</f>
        <v>https://prolisok-store.com/products/mac-studio-fix-24-hour-smooth-wear-concealer-nc48-6-8ml-0-23oz</v>
      </c>
      <c r="C2489" t="s">
        <v>6091</v>
      </c>
      <c r="D2489" t="s">
        <v>6092</v>
      </c>
      <c r="E2489" s="3" t="str">
        <f>HYPERLINK("https://www.amazon.com/Studio-24-Hour-Smooth-Wear-Concealer/dp/B07QP2D7L8/ref=sr_1_6?keywords=MAC+studio+fix+24-hour+smooth+wear+concealer+-+nc48+-6.8ml%2F0.23oz&amp;qid=1695259540&amp;sr=8-6", "https://www.amazon.com/Studio-24-Hour-Smooth-Wear-Concealer/dp/B07QP2D7L8/ref=sr_1_6?keywords=MAC+studio+fix+24-hour+smooth+wear+concealer+-+nc48+-6.8ml%2F0.23oz&amp;qid=1695259540&amp;sr=8-6")</f>
        <v>https://www.amazon.com/Studio-24-Hour-Smooth-Wear-Concealer/dp/B07QP2D7L8/ref=sr_1_6?keywords=MAC+studio+fix+24-hour+smooth+wear+concealer+-+nc48+-6.8ml%2F0.23oz&amp;qid=1695259540&amp;sr=8-6</v>
      </c>
      <c r="F2489" t="s">
        <v>6093</v>
      </c>
      <c r="G2489" t="e">
        <f ca="1">IMAGE("https://prolisok-store.com/cdn/shop/products/360310_300x.jpg?v=1690393914")</f>
        <v>#NAME?</v>
      </c>
      <c r="H2489" t="e">
        <f ca="1">IMAGE("https://m.media-amazon.com/images/I/51-4xxuPj3L._AC_UL320_.jpg")</f>
        <v>#NAME?</v>
      </c>
      <c r="I2489" t="s">
        <v>6094</v>
      </c>
      <c r="J2489">
        <v>31.97</v>
      </c>
      <c r="K2489" s="2" t="s">
        <v>6095</v>
      </c>
      <c r="L2489">
        <v>5</v>
      </c>
      <c r="M2489">
        <v>3</v>
      </c>
      <c r="O2489" t="s">
        <v>26</v>
      </c>
      <c r="P2489" t="s">
        <v>39</v>
      </c>
      <c r="Q2489" t="s">
        <v>6096</v>
      </c>
    </row>
    <row r="2490" spans="1:17" ht="15.75" x14ac:dyDescent="0.25">
      <c r="A2490" s="3" t="str">
        <f>HYPERLINK("https://prolisok-store.com/collections/makeup/products/thrive-causemetics-liquid-lash-extensions-brynn-rich-black-38oz-full-size-0-38-ounce-pack-of-1", "https://prolisok-store.com/collections/makeup/products/thrive-causemetics-liquid-lash-extensions-brynn-rich-black-38oz-full-size-0-38-ounce-pack-of-1")</f>
        <v>https://prolisok-store.com/collections/makeup/products/thrive-causemetics-liquid-lash-extensions-brynn-rich-black-38oz-full-size-0-38-ounce-pack-of-1</v>
      </c>
      <c r="B2490" s="3" t="str">
        <f>HYPERLINK("https://prolisok-store.com/products/thrive-causemetics-liquid-lash-extensions-brynn-rich-black-38oz-full-size-0-38-ounce-pack-of-1", "https://prolisok-store.com/products/thrive-causemetics-liquid-lash-extensions-brynn-rich-black-38oz-full-size-0-38-ounce-pack-of-1")</f>
        <v>https://prolisok-store.com/products/thrive-causemetics-liquid-lash-extensions-brynn-rich-black-38oz-full-size-0-38-ounce-pack-of-1</v>
      </c>
      <c r="C2490" t="s">
        <v>4937</v>
      </c>
      <c r="D2490" t="s">
        <v>4938</v>
      </c>
      <c r="E2490" s="3" t="str">
        <f>HYPERLINK("https://www.amazon.com/Thrive-Causemetics-Liquid-Extensions-Brynn/dp/B0B3PF5FJT/ref=sr_1_5?keywords=Thrive+Causemetics+Liquid+Lash+Extensions+Brynn+Rich+Black+.38oz+Full+Size%2C+0.38+Ounce&amp;qid=1695259454&amp;sr=8-5", "https://www.amazon.com/Thrive-Causemetics-Liquid-Extensions-Brynn/dp/B0B3PF5FJT/ref=sr_1_5?keywords=Thrive+Causemetics+Liquid+Lash+Extensions+Brynn+Rich+Black+.38oz+Full+Size%2C+0.38+Ounce&amp;qid=1695259454&amp;sr=8-5")</f>
        <v>https://www.amazon.com/Thrive-Causemetics-Liquid-Extensions-Brynn/dp/B0B3PF5FJT/ref=sr_1_5?keywords=Thrive+Causemetics+Liquid+Lash+Extensions+Brynn+Rich+Black+.38oz+Full+Size%2C+0.38+Ounce&amp;qid=1695259454&amp;sr=8-5</v>
      </c>
      <c r="F2490" t="s">
        <v>4939</v>
      </c>
      <c r="G2490" t="e">
        <f ca="1">IMAGE("https://prolisok-store.com/cdn/shop/products/41Oz9r8LUjL_300x.jpg?v=1673968472")</f>
        <v>#NAME?</v>
      </c>
      <c r="H2490" t="e">
        <f ca="1">IMAGE("https://m.media-amazon.com/images/I/61nmovpXBwL._AC_UL320_.jpg")</f>
        <v>#NAME?</v>
      </c>
      <c r="I2490" t="s">
        <v>3458</v>
      </c>
      <c r="J2490">
        <v>23.5</v>
      </c>
      <c r="K2490" s="2" t="s">
        <v>4940</v>
      </c>
      <c r="L2490">
        <v>4</v>
      </c>
      <c r="M2490">
        <v>2263</v>
      </c>
      <c r="O2490" t="s">
        <v>26</v>
      </c>
      <c r="P2490" t="s">
        <v>39</v>
      </c>
      <c r="Q2490" t="s">
        <v>4941</v>
      </c>
    </row>
    <row r="2491" spans="1:17" ht="15.75" x14ac:dyDescent="0.25">
      <c r="A2491" s="3" t="str">
        <f>HYPERLINK("https://prolisok-store.com/collections/makeup/products/mac-studio-fix-soft-matte-foundation-stick-nw22-9g-0-32oz", "https://prolisok-store.com/collections/makeup/products/mac-studio-fix-soft-matte-foundation-stick-nw22-9g-0-32oz")</f>
        <v>https://prolisok-store.com/collections/makeup/products/mac-studio-fix-soft-matte-foundation-stick-nw22-9g-0-32oz</v>
      </c>
      <c r="B2491" s="3" t="str">
        <f>HYPERLINK("https://prolisok-store.com/products/mac-studio-fix-soft-matte-foundation-stick-nw22-9g-0-32oz", "https://prolisok-store.com/products/mac-studio-fix-soft-matte-foundation-stick-nw22-9g-0-32oz")</f>
        <v>https://prolisok-store.com/products/mac-studio-fix-soft-matte-foundation-stick-nw22-9g-0-32oz</v>
      </c>
      <c r="C2491" t="s">
        <v>6027</v>
      </c>
      <c r="D2491" t="s">
        <v>6097</v>
      </c>
      <c r="E2491" s="3" t="str">
        <f>HYPERLINK("https://www.amazon.com/Studio-soft-matte-foundation-stick/dp/B0953Z8HJS/ref=sr_1_2?keywords=MAC+studio+fix+soft+matte+foundation+stick+-+nw22+-9g%2F0.32oz&amp;qid=1695259534&amp;sr=8-2", "https://www.amazon.com/Studio-soft-matte-foundation-stick/dp/B0953Z8HJS/ref=sr_1_2?keywords=MAC+studio+fix+soft+matte+foundation+stick+-+nw22+-9g%2F0.32oz&amp;qid=1695259534&amp;sr=8-2")</f>
        <v>https://www.amazon.com/Studio-soft-matte-foundation-stick/dp/B0953Z8HJS/ref=sr_1_2?keywords=MAC+studio+fix+soft+matte+foundation+stick+-+nw22+-9g%2F0.32oz&amp;qid=1695259534&amp;sr=8-2</v>
      </c>
      <c r="F2491" t="s">
        <v>6098</v>
      </c>
      <c r="G2491" t="e">
        <f ca="1">IMAGE("https://prolisok-store.com/cdn/shop/products/360234_300x.jpg?v=1690393881")</f>
        <v>#NAME?</v>
      </c>
      <c r="H2491" t="e">
        <f ca="1">IMAGE("https://m.media-amazon.com/images/I/21YTEMcPwsS._AC_UL320_.jpg")</f>
        <v>#NAME?</v>
      </c>
      <c r="I2491" t="s">
        <v>6020</v>
      </c>
      <c r="J2491">
        <v>39.909999999999997</v>
      </c>
      <c r="K2491" s="2" t="s">
        <v>6099</v>
      </c>
      <c r="L2491">
        <v>4.7</v>
      </c>
      <c r="M2491">
        <v>4</v>
      </c>
      <c r="O2491" t="s">
        <v>26</v>
      </c>
      <c r="P2491" t="s">
        <v>39</v>
      </c>
      <c r="Q2491" t="s">
        <v>6028</v>
      </c>
    </row>
    <row r="2492" spans="1:17" ht="15.75" x14ac:dyDescent="0.25">
      <c r="A2492" s="3" t="str">
        <f>HYPERLINK("https://prolisok-store.com/collections/makeup/products/mac-studio-fix-soft-matte-foundation-stick-nw13-9g-0-32oz", "https://prolisok-store.com/collections/makeup/products/mac-studio-fix-soft-matte-foundation-stick-nw13-9g-0-32oz")</f>
        <v>https://prolisok-store.com/collections/makeup/products/mac-studio-fix-soft-matte-foundation-stick-nw13-9g-0-32oz</v>
      </c>
      <c r="B2492" s="3" t="str">
        <f>HYPERLINK("https://prolisok-store.com/products/mac-studio-fix-soft-matte-foundation-stick-nw13-9g-0-32oz", "https://prolisok-store.com/products/mac-studio-fix-soft-matte-foundation-stick-nw13-9g-0-32oz")</f>
        <v>https://prolisok-store.com/products/mac-studio-fix-soft-matte-foundation-stick-nw13-9g-0-32oz</v>
      </c>
      <c r="C2492" t="s">
        <v>6017</v>
      </c>
      <c r="D2492" t="s">
        <v>6100</v>
      </c>
      <c r="E2492" s="3" t="str">
        <f>HYPERLINK("https://www.amazon.com/Studio-Soft-Matte-Foundation-Stick/dp/B081J6WCWW/ref=sr_1_4?keywords=MAC+studio+fix+soft+matte+foundation+stick+-+nw13+-9g%2F0.32oz&amp;qid=1695259544&amp;sr=8-4", "https://www.amazon.com/Studio-Soft-Matte-Foundation-Stick/dp/B081J6WCWW/ref=sr_1_4?keywords=MAC+studio+fix+soft+matte+foundation+stick+-+nw13+-9g%2F0.32oz&amp;qid=1695259544&amp;sr=8-4")</f>
        <v>https://www.amazon.com/Studio-Soft-Matte-Foundation-Stick/dp/B081J6WCWW/ref=sr_1_4?keywords=MAC+studio+fix+soft+matte+foundation+stick+-+nw13+-9g%2F0.32oz&amp;qid=1695259544&amp;sr=8-4</v>
      </c>
      <c r="F2492" t="s">
        <v>6101</v>
      </c>
      <c r="G2492" t="e">
        <f ca="1">IMAGE("https://prolisok-store.com/cdn/shop/products/409455_300x.jpg?v=1690393877")</f>
        <v>#NAME?</v>
      </c>
      <c r="H2492" t="e">
        <f t="shared" ref="H2492:H2498" ca="1" si="31">IMAGE("https://m.media-amazon.com/images/I/31u-FdyfAfL._AC_UL320_.jpg")</f>
        <v>#NAME?</v>
      </c>
      <c r="I2492" t="s">
        <v>6020</v>
      </c>
      <c r="J2492">
        <v>39.799999999999997</v>
      </c>
      <c r="K2492" s="2" t="s">
        <v>6102</v>
      </c>
      <c r="L2492">
        <v>4.3</v>
      </c>
      <c r="M2492">
        <v>28</v>
      </c>
      <c r="O2492" t="s">
        <v>26</v>
      </c>
      <c r="P2492" t="s">
        <v>39</v>
      </c>
      <c r="Q2492" t="s">
        <v>6022</v>
      </c>
    </row>
    <row r="2493" spans="1:17" ht="15.75" x14ac:dyDescent="0.25">
      <c r="A2493" s="3" t="str">
        <f>HYPERLINK("https://prolisok-store.com/collections/makeup/products/mac-studio-fix-soft-matte-foundation-stick-nw18-9g-0-32oz", "https://prolisok-store.com/collections/makeup/products/mac-studio-fix-soft-matte-foundation-stick-nw18-9g-0-32oz")</f>
        <v>https://prolisok-store.com/collections/makeup/products/mac-studio-fix-soft-matte-foundation-stick-nw18-9g-0-32oz</v>
      </c>
      <c r="B2493" s="3" t="str">
        <f>HYPERLINK("https://prolisok-store.com/products/mac-studio-fix-soft-matte-foundation-stick-nw18-9g-0-32oz", "https://prolisok-store.com/products/mac-studio-fix-soft-matte-foundation-stick-nw18-9g-0-32oz")</f>
        <v>https://prolisok-store.com/products/mac-studio-fix-soft-matte-foundation-stick-nw18-9g-0-32oz</v>
      </c>
      <c r="C2493" t="s">
        <v>6025</v>
      </c>
      <c r="D2493" t="s">
        <v>6100</v>
      </c>
      <c r="E2493" s="3" t="str">
        <f>HYPERLINK("https://www.amazon.com/Studio-Soft-Matte-Foundation-Stick/dp/B081J6WCWW/ref=sr_1_2?keywords=MAC+studio+fix+soft+matte+foundation+stick+-+nw18+-9g%2F0.32oz&amp;qid=1695259543&amp;sr=8-2", "https://www.amazon.com/Studio-Soft-Matte-Foundation-Stick/dp/B081J6WCWW/ref=sr_1_2?keywords=MAC+studio+fix+soft+matte+foundation+stick+-+nw18+-9g%2F0.32oz&amp;qid=1695259543&amp;sr=8-2")</f>
        <v>https://www.amazon.com/Studio-Soft-Matte-Foundation-Stick/dp/B081J6WCWW/ref=sr_1_2?keywords=MAC+studio+fix+soft+matte+foundation+stick+-+nw18+-9g%2F0.32oz&amp;qid=1695259543&amp;sr=8-2</v>
      </c>
      <c r="F2493" t="s">
        <v>6101</v>
      </c>
      <c r="G2493" t="e">
        <f ca="1">IMAGE("https://prolisok-store.com/cdn/shop/products/360235_300x.jpg?v=1690393879")</f>
        <v>#NAME?</v>
      </c>
      <c r="H2493" t="e">
        <f t="shared" ca="1" si="31"/>
        <v>#NAME?</v>
      </c>
      <c r="I2493" t="s">
        <v>6020</v>
      </c>
      <c r="J2493">
        <v>39.799999999999997</v>
      </c>
      <c r="K2493" s="2" t="s">
        <v>6102</v>
      </c>
      <c r="L2493">
        <v>4.3</v>
      </c>
      <c r="M2493">
        <v>28</v>
      </c>
      <c r="O2493" t="s">
        <v>26</v>
      </c>
      <c r="P2493" t="s">
        <v>39</v>
      </c>
      <c r="Q2493" t="s">
        <v>6026</v>
      </c>
    </row>
    <row r="2494" spans="1:17" ht="15.75" x14ac:dyDescent="0.25">
      <c r="A2494" s="3" t="str">
        <f>HYPERLINK("https://prolisok-store.com/collections/makeup/products/mac-studio-fix-soft-matte-foundation-stick-nw30-9g-0-32oz", "https://prolisok-store.com/collections/makeup/products/mac-studio-fix-soft-matte-foundation-stick-nw30-9g-0-32oz")</f>
        <v>https://prolisok-store.com/collections/makeup/products/mac-studio-fix-soft-matte-foundation-stick-nw30-9g-0-32oz</v>
      </c>
      <c r="B2494" s="3" t="str">
        <f>HYPERLINK("https://prolisok-store.com/products/mac-studio-fix-soft-matte-foundation-stick-nw30-9g-0-32oz", "https://prolisok-store.com/products/mac-studio-fix-soft-matte-foundation-stick-nw30-9g-0-32oz")</f>
        <v>https://prolisok-store.com/products/mac-studio-fix-soft-matte-foundation-stick-nw30-9g-0-32oz</v>
      </c>
      <c r="C2494" t="s">
        <v>6029</v>
      </c>
      <c r="D2494" t="s">
        <v>6100</v>
      </c>
      <c r="E2494" s="3" t="str">
        <f>HYPERLINK("https://www.amazon.com/Studio-Soft-Matte-Foundation-Stick/dp/B081J6WCWW/ref=sr_1_3?keywords=MAC+studio+fix+soft+matte+foundation+stick+-+nw30+-9g%2F0.32oz&amp;qid=1695259539&amp;sr=8-3", "https://www.amazon.com/Studio-Soft-Matte-Foundation-Stick/dp/B081J6WCWW/ref=sr_1_3?keywords=MAC+studio+fix+soft+matte+foundation+stick+-+nw30+-9g%2F0.32oz&amp;qid=1695259539&amp;sr=8-3")</f>
        <v>https://www.amazon.com/Studio-Soft-Matte-Foundation-Stick/dp/B081J6WCWW/ref=sr_1_3?keywords=MAC+studio+fix+soft+matte+foundation+stick+-+nw30+-9g%2F0.32oz&amp;qid=1695259539&amp;sr=8-3</v>
      </c>
      <c r="F2494" t="s">
        <v>6101</v>
      </c>
      <c r="G2494" t="e">
        <f ca="1">IMAGE("https://prolisok-store.com/cdn/shop/products/409458_300x.jpg?v=1690393883")</f>
        <v>#NAME?</v>
      </c>
      <c r="H2494" t="e">
        <f t="shared" ca="1" si="31"/>
        <v>#NAME?</v>
      </c>
      <c r="I2494" t="s">
        <v>6020</v>
      </c>
      <c r="J2494">
        <v>39.799999999999997</v>
      </c>
      <c r="K2494" s="2" t="s">
        <v>6102</v>
      </c>
      <c r="L2494">
        <v>4.3</v>
      </c>
      <c r="M2494">
        <v>28</v>
      </c>
      <c r="O2494" t="s">
        <v>26</v>
      </c>
      <c r="P2494" t="s">
        <v>39</v>
      </c>
      <c r="Q2494" t="s">
        <v>6030</v>
      </c>
    </row>
    <row r="2495" spans="1:17" ht="15.75" x14ac:dyDescent="0.25">
      <c r="A2495" s="3" t="str">
        <f>HYPERLINK("https://prolisok-store.com/collections/makeup/products/mac-studio-fix-soft-matte-foundation-stick-nc37-9g-0-32oz", "https://prolisok-store.com/collections/makeup/products/mac-studio-fix-soft-matte-foundation-stick-nc37-9g-0-32oz")</f>
        <v>https://prolisok-store.com/collections/makeup/products/mac-studio-fix-soft-matte-foundation-stick-nc37-9g-0-32oz</v>
      </c>
      <c r="B2495" s="3" t="str">
        <f>HYPERLINK("https://prolisok-store.com/products/mac-studio-fix-soft-matte-foundation-stick-nc37-9g-0-32oz", "https://prolisok-store.com/products/mac-studio-fix-soft-matte-foundation-stick-nc37-9g-0-32oz")</f>
        <v>https://prolisok-store.com/products/mac-studio-fix-soft-matte-foundation-stick-nc37-9g-0-32oz</v>
      </c>
      <c r="C2495" t="s">
        <v>6033</v>
      </c>
      <c r="D2495" t="s">
        <v>6100</v>
      </c>
      <c r="E2495" s="3" t="str">
        <f>HYPERLINK("https://www.amazon.com/Studio-Soft-Matte-Foundation-Stick/dp/B081J6WCWW/ref=sr_1_4?keywords=MAC+studio+fix+soft+matte+foundation+stick+-+nc37+-9g%2F0.32oz&amp;qid=1695259534&amp;sr=8-4", "https://www.amazon.com/Studio-Soft-Matte-Foundation-Stick/dp/B081J6WCWW/ref=sr_1_4?keywords=MAC+studio+fix+soft+matte+foundation+stick+-+nc37+-9g%2F0.32oz&amp;qid=1695259534&amp;sr=8-4")</f>
        <v>https://www.amazon.com/Studio-Soft-Matte-Foundation-Stick/dp/B081J6WCWW/ref=sr_1_4?keywords=MAC+studio+fix+soft+matte+foundation+stick+-+nc37+-9g%2F0.32oz&amp;qid=1695259534&amp;sr=8-4</v>
      </c>
      <c r="F2495" t="s">
        <v>6101</v>
      </c>
      <c r="G2495" t="e">
        <f ca="1">IMAGE("https://prolisok-store.com/cdn/shop/products/375188_300x.jpg?v=1690393872")</f>
        <v>#NAME?</v>
      </c>
      <c r="H2495" t="e">
        <f t="shared" ca="1" si="31"/>
        <v>#NAME?</v>
      </c>
      <c r="I2495" t="s">
        <v>6020</v>
      </c>
      <c r="J2495">
        <v>39.799999999999997</v>
      </c>
      <c r="K2495" s="2" t="s">
        <v>6102</v>
      </c>
      <c r="L2495">
        <v>4.3</v>
      </c>
      <c r="M2495">
        <v>28</v>
      </c>
      <c r="O2495" t="s">
        <v>26</v>
      </c>
      <c r="P2495" t="s">
        <v>39</v>
      </c>
      <c r="Q2495" t="s">
        <v>6034</v>
      </c>
    </row>
    <row r="2496" spans="1:17" ht="15.75" x14ac:dyDescent="0.25">
      <c r="A2496" s="3" t="str">
        <f>HYPERLINK("https://prolisok-store.com/collections/makeup/products/mac-studio-fix-soft-matte-foundation-stick-nw22-9g-0-32oz", "https://prolisok-store.com/collections/makeup/products/mac-studio-fix-soft-matte-foundation-stick-nw22-9g-0-32oz")</f>
        <v>https://prolisok-store.com/collections/makeup/products/mac-studio-fix-soft-matte-foundation-stick-nw22-9g-0-32oz</v>
      </c>
      <c r="B2496" s="3" t="str">
        <f>HYPERLINK("https://prolisok-store.com/products/mac-studio-fix-soft-matte-foundation-stick-nw22-9g-0-32oz", "https://prolisok-store.com/products/mac-studio-fix-soft-matte-foundation-stick-nw22-9g-0-32oz")</f>
        <v>https://prolisok-store.com/products/mac-studio-fix-soft-matte-foundation-stick-nw22-9g-0-32oz</v>
      </c>
      <c r="C2496" t="s">
        <v>6027</v>
      </c>
      <c r="D2496" t="s">
        <v>6100</v>
      </c>
      <c r="E2496" s="3" t="str">
        <f>HYPERLINK("https://www.amazon.com/Studio-Soft-Matte-Foundation-Stick/dp/B081J6WCWW/ref=sr_1_3?keywords=MAC+studio+fix+soft+matte+foundation+stick+-+nw22+-9g%2F0.32oz&amp;qid=1695259534&amp;sr=8-3", "https://www.amazon.com/Studio-Soft-Matte-Foundation-Stick/dp/B081J6WCWW/ref=sr_1_3?keywords=MAC+studio+fix+soft+matte+foundation+stick+-+nw22+-9g%2F0.32oz&amp;qid=1695259534&amp;sr=8-3")</f>
        <v>https://www.amazon.com/Studio-Soft-Matte-Foundation-Stick/dp/B081J6WCWW/ref=sr_1_3?keywords=MAC+studio+fix+soft+matte+foundation+stick+-+nw22+-9g%2F0.32oz&amp;qid=1695259534&amp;sr=8-3</v>
      </c>
      <c r="F2496" t="s">
        <v>6101</v>
      </c>
      <c r="G2496" t="e">
        <f ca="1">IMAGE("https://prolisok-store.com/cdn/shop/products/360234_300x.jpg?v=1690393881")</f>
        <v>#NAME?</v>
      </c>
      <c r="H2496" t="e">
        <f t="shared" ca="1" si="31"/>
        <v>#NAME?</v>
      </c>
      <c r="I2496" t="s">
        <v>6020</v>
      </c>
      <c r="J2496">
        <v>39.799999999999997</v>
      </c>
      <c r="K2496" s="2" t="s">
        <v>6102</v>
      </c>
      <c r="L2496">
        <v>4.3</v>
      </c>
      <c r="M2496">
        <v>28</v>
      </c>
      <c r="O2496" t="s">
        <v>26</v>
      </c>
      <c r="P2496" t="s">
        <v>39</v>
      </c>
      <c r="Q2496" t="s">
        <v>6028</v>
      </c>
    </row>
    <row r="2497" spans="1:17" ht="15.75" x14ac:dyDescent="0.25">
      <c r="A2497" s="3" t="str">
        <f>HYPERLINK("https://prolisok-store.com/collections/makeup/products/mac-studio-fix-soft-matte-foundation-stick-nc38-9g-0-32oz", "https://prolisok-store.com/collections/makeup/products/mac-studio-fix-soft-matte-foundation-stick-nc38-9g-0-32oz")</f>
        <v>https://prolisok-store.com/collections/makeup/products/mac-studio-fix-soft-matte-foundation-stick-nc38-9g-0-32oz</v>
      </c>
      <c r="B2497" s="3" t="str">
        <f>HYPERLINK("https://prolisok-store.com/products/mac-studio-fix-soft-matte-foundation-stick-nc38-9g-0-32oz", "https://prolisok-store.com/products/mac-studio-fix-soft-matte-foundation-stick-nc38-9g-0-32oz")</f>
        <v>https://prolisok-store.com/products/mac-studio-fix-soft-matte-foundation-stick-nc38-9g-0-32oz</v>
      </c>
      <c r="C2497" t="s">
        <v>6023</v>
      </c>
      <c r="D2497" t="s">
        <v>6100</v>
      </c>
      <c r="E2497" s="3" t="str">
        <f>HYPERLINK("https://www.amazon.com/Studio-Soft-Matte-Foundation-Stick/dp/B081J6WCWW/ref=sr_1_5?keywords=MAC+studio+fix+soft+matte+foundation+stick+-+nc38+-9g%2F0.32oz&amp;qid=1695259545&amp;sr=8-5", "https://www.amazon.com/Studio-Soft-Matte-Foundation-Stick/dp/B081J6WCWW/ref=sr_1_5?keywords=MAC+studio+fix+soft+matte+foundation+stick+-+nc38+-9g%2F0.32oz&amp;qid=1695259545&amp;sr=8-5")</f>
        <v>https://www.amazon.com/Studio-Soft-Matte-Foundation-Stick/dp/B081J6WCWW/ref=sr_1_5?keywords=MAC+studio+fix+soft+matte+foundation+stick+-+nc38+-9g%2F0.32oz&amp;qid=1695259545&amp;sr=8-5</v>
      </c>
      <c r="F2497" t="s">
        <v>6101</v>
      </c>
      <c r="G2497" t="e">
        <f ca="1">IMAGE("https://prolisok-store.com/cdn/shop/products/360243_300x.jpg?v=1690393874")</f>
        <v>#NAME?</v>
      </c>
      <c r="H2497" t="e">
        <f t="shared" ca="1" si="31"/>
        <v>#NAME?</v>
      </c>
      <c r="I2497" t="s">
        <v>6020</v>
      </c>
      <c r="J2497">
        <v>39.799999999999997</v>
      </c>
      <c r="K2497" s="2" t="s">
        <v>6102</v>
      </c>
      <c r="L2497">
        <v>4.3</v>
      </c>
      <c r="M2497">
        <v>28</v>
      </c>
      <c r="O2497" t="s">
        <v>26</v>
      </c>
      <c r="P2497" t="s">
        <v>39</v>
      </c>
      <c r="Q2497" t="s">
        <v>6024</v>
      </c>
    </row>
    <row r="2498" spans="1:17" ht="15.75" x14ac:dyDescent="0.25">
      <c r="A2498" s="3" t="str">
        <f>HYPERLINK("https://prolisok-store.com/collections/makeup/products/mac-studio-fix-soft-matte-foundation-stick-nc35-9g-0-32oz", "https://prolisok-store.com/collections/makeup/products/mac-studio-fix-soft-matte-foundation-stick-nc35-9g-0-32oz")</f>
        <v>https://prolisok-store.com/collections/makeup/products/mac-studio-fix-soft-matte-foundation-stick-nc35-9g-0-32oz</v>
      </c>
      <c r="B2498" s="3" t="str">
        <f>HYPERLINK("https://prolisok-store.com/products/mac-studio-fix-soft-matte-foundation-stick-nc35-9g-0-32oz", "https://prolisok-store.com/products/mac-studio-fix-soft-matte-foundation-stick-nc35-9g-0-32oz")</f>
        <v>https://prolisok-store.com/products/mac-studio-fix-soft-matte-foundation-stick-nc35-9g-0-32oz</v>
      </c>
      <c r="C2498" t="s">
        <v>6031</v>
      </c>
      <c r="D2498" t="s">
        <v>6100</v>
      </c>
      <c r="E2498" s="3" t="str">
        <f>HYPERLINK("https://www.amazon.com/Studio-Soft-Matte-Foundation-Stick/dp/B081J6WCWW/ref=sr_1_4?keywords=MAC+studio+fix+soft+matte+foundation+stick+-+nc35+-9g%2F0.32oz&amp;qid=1695259534&amp;sr=8-4", "https://www.amazon.com/Studio-Soft-Matte-Foundation-Stick/dp/B081J6WCWW/ref=sr_1_4?keywords=MAC+studio+fix+soft+matte+foundation+stick+-+nc35+-9g%2F0.32oz&amp;qid=1695259534&amp;sr=8-4")</f>
        <v>https://www.amazon.com/Studio-Soft-Matte-Foundation-Stick/dp/B081J6WCWW/ref=sr_1_4?keywords=MAC+studio+fix+soft+matte+foundation+stick+-+nc35+-9g%2F0.32oz&amp;qid=1695259534&amp;sr=8-4</v>
      </c>
      <c r="F2498" t="s">
        <v>6101</v>
      </c>
      <c r="G2498" t="e">
        <f ca="1">IMAGE("https://prolisok-store.com/cdn/shop/products/360244_300x.jpg?v=1690393870")</f>
        <v>#NAME?</v>
      </c>
      <c r="H2498" t="e">
        <f t="shared" ca="1" si="31"/>
        <v>#NAME?</v>
      </c>
      <c r="I2498" t="s">
        <v>6020</v>
      </c>
      <c r="J2498">
        <v>39.799999999999997</v>
      </c>
      <c r="K2498" s="2" t="s">
        <v>6102</v>
      </c>
      <c r="L2498">
        <v>4.3</v>
      </c>
      <c r="M2498">
        <v>28</v>
      </c>
      <c r="O2498" t="s">
        <v>26</v>
      </c>
      <c r="P2498" t="s">
        <v>39</v>
      </c>
      <c r="Q2498" t="s">
        <v>6032</v>
      </c>
    </row>
    <row r="2499" spans="1:17" ht="15.75" x14ac:dyDescent="0.25">
      <c r="A2499" s="3" t="str">
        <f>HYPERLINK("https://prolisok-store.com/collections/makeup/products/mac-eye-kohl-phone-number-1-36g-0-048oz", "https://prolisok-store.com/collections/makeup/products/mac-eye-kohl-phone-number-1-36g-0-048oz")</f>
        <v>https://prolisok-store.com/collections/makeup/products/mac-eye-kohl-phone-number-1-36g-0-048oz</v>
      </c>
      <c r="B2499" s="3" t="str">
        <f>HYPERLINK("https://prolisok-store.com/products/mac-eye-kohl-phone-number-1-36g-0-048oz", "https://prolisok-store.com/products/mac-eye-kohl-phone-number-1-36g-0-048oz")</f>
        <v>https://prolisok-store.com/products/mac-eye-kohl-phone-number-1-36g-0-048oz</v>
      </c>
      <c r="C2499" t="s">
        <v>6008</v>
      </c>
      <c r="D2499" t="s">
        <v>6009</v>
      </c>
      <c r="E2499" s="3" t="str">
        <f>HYPERLINK("https://www.amazon.com/MAC-Eye-Kohl-Phone-Number/dp/B0006LNCBM/ref=sr_1_1?keywords=MAC+eye+kohl+-+phone+number+-1.36g%2F0.048oz&amp;qid=1695259543&amp;sr=8-1", "https://www.amazon.com/MAC-Eye-Kohl-Phone-Number/dp/B0006LNCBM/ref=sr_1_1?keywords=MAC+eye+kohl+-+phone+number+-1.36g%2F0.048oz&amp;qid=1695259543&amp;sr=8-1")</f>
        <v>https://www.amazon.com/MAC-Eye-Kohl-Phone-Number/dp/B0006LNCBM/ref=sr_1_1?keywords=MAC+eye+kohl+-+phone+number+-1.36g%2F0.048oz&amp;qid=1695259543&amp;sr=8-1</v>
      </c>
      <c r="F2499" t="s">
        <v>6103</v>
      </c>
      <c r="G2499" t="e">
        <f ca="1">IMAGE("https://prolisok-store.com/cdn/shop/products/191813_300x.jpg?v=1690393930")</f>
        <v>#NAME?</v>
      </c>
      <c r="H2499" t="e">
        <f ca="1">IMAGE("https://m.media-amazon.com/images/I/51ZQSxSTIIL._AC_UL320_.jpg")</f>
        <v>#NAME?</v>
      </c>
      <c r="I2499" t="s">
        <v>6011</v>
      </c>
      <c r="J2499">
        <v>26.03</v>
      </c>
      <c r="K2499" s="2" t="s">
        <v>6104</v>
      </c>
      <c r="L2499">
        <v>4.4000000000000004</v>
      </c>
      <c r="M2499">
        <v>65</v>
      </c>
      <c r="O2499" t="s">
        <v>26</v>
      </c>
      <c r="P2499" t="s">
        <v>39</v>
      </c>
      <c r="Q2499" t="s">
        <v>6013</v>
      </c>
    </row>
    <row r="2500" spans="1:17" ht="15.75" x14ac:dyDescent="0.25">
      <c r="A2500" s="3" t="str">
        <f>HYPERLINK("https://prolisok-store.com/collections/makeup/products/mac-eye-kohl-powersurge-1-36g-0-048oz", "https://prolisok-store.com/collections/makeup/products/mac-eye-kohl-powersurge-1-36g-0-048oz")</f>
        <v>https://prolisok-store.com/collections/makeup/products/mac-eye-kohl-powersurge-1-36g-0-048oz</v>
      </c>
      <c r="B2500" s="3" t="str">
        <f>HYPERLINK("https://prolisok-store.com/products/mac-eye-kohl-powersurge-1-36g-0-048oz", "https://prolisok-store.com/products/mac-eye-kohl-powersurge-1-36g-0-048oz")</f>
        <v>https://prolisok-store.com/products/mac-eye-kohl-powersurge-1-36g-0-048oz</v>
      </c>
      <c r="C2500" t="s">
        <v>6041</v>
      </c>
      <c r="D2500" t="s">
        <v>6105</v>
      </c>
      <c r="E2500" s="3" t="str">
        <f>HYPERLINK("https://www.amazon.com/MAC-Eye-Kohl-Teddy-0-05oz/dp/B00166TMNS/ref=sr_1_5?keywords=MAC+eye+kohl+-+powersurge+-1.36g%2F0.048oz&amp;qid=1695259547&amp;sr=8-5", "https://www.amazon.com/MAC-Eye-Kohl-Teddy-0-05oz/dp/B00166TMNS/ref=sr_1_5?keywords=MAC+eye+kohl+-+powersurge+-1.36g%2F0.048oz&amp;qid=1695259547&amp;sr=8-5")</f>
        <v>https://www.amazon.com/MAC-Eye-Kohl-Teddy-0-05oz/dp/B00166TMNS/ref=sr_1_5?keywords=MAC+eye+kohl+-+powersurge+-1.36g%2F0.048oz&amp;qid=1695259547&amp;sr=8-5</v>
      </c>
      <c r="F2500" t="s">
        <v>6106</v>
      </c>
      <c r="G2500" t="e">
        <f ca="1">IMAGE("https://prolisok-store.com/cdn/shop/products/393857_300x.jpg?v=1690393931")</f>
        <v>#NAME?</v>
      </c>
      <c r="H2500" t="e">
        <f ca="1">IMAGE("https://m.media-amazon.com/images/I/51B1lwRR50L._AC_UL320_.jpg")</f>
        <v>#NAME?</v>
      </c>
      <c r="I2500" t="s">
        <v>5348</v>
      </c>
      <c r="J2500">
        <v>24.95</v>
      </c>
      <c r="K2500" s="2" t="s">
        <v>6107</v>
      </c>
      <c r="L2500">
        <v>4.5999999999999996</v>
      </c>
      <c r="M2500">
        <v>306</v>
      </c>
      <c r="O2500" t="s">
        <v>26</v>
      </c>
      <c r="P2500" t="s">
        <v>39</v>
      </c>
      <c r="Q2500" t="s">
        <v>6045</v>
      </c>
    </row>
    <row r="2501" spans="1:17" ht="15.75" x14ac:dyDescent="0.25">
      <c r="A2501" s="3" t="str">
        <f>HYPERLINK("https://prolisok-store.com/collections/makeup/products/mac-studio-fix-powder-plus-foundation-nc15-15g-0-52oz", "https://prolisok-store.com/collections/makeup/products/mac-studio-fix-powder-plus-foundation-nc15-15g-0-52oz")</f>
        <v>https://prolisok-store.com/collections/makeup/products/mac-studio-fix-powder-plus-foundation-nc15-15g-0-52oz</v>
      </c>
      <c r="B2501" s="3" t="str">
        <f>HYPERLINK("https://prolisok-store.com/products/mac-studio-fix-powder-plus-foundation-nc15-15g-0-52oz", "https://prolisok-store.com/products/mac-studio-fix-powder-plus-foundation-nc15-15g-0-52oz")</f>
        <v>https://prolisok-store.com/products/mac-studio-fix-powder-plus-foundation-nc15-15g-0-52oz</v>
      </c>
      <c r="C2501" t="s">
        <v>6108</v>
      </c>
      <c r="D2501" t="s">
        <v>6109</v>
      </c>
      <c r="E2501" s="3" t="str">
        <f>HYPERLINK("https://www.amazon.com/Studio-Powder-Plus-Foundation-Nc20/dp/B0085B1E0Q/ref=sr_1_10?keywords=MAC+studio+fix+powder+plus+foundation+-+nc15+-15g%2F0.52oz&amp;qid=1695259539&amp;sr=8-10", "https://www.amazon.com/Studio-Powder-Plus-Foundation-Nc20/dp/B0085B1E0Q/ref=sr_1_10?keywords=MAC+studio+fix+powder+plus+foundation+-+nc15+-15g%2F0.52oz&amp;qid=1695259539&amp;sr=8-10")</f>
        <v>https://www.amazon.com/Studio-Powder-Plus-Foundation-Nc20/dp/B0085B1E0Q/ref=sr_1_10?keywords=MAC+studio+fix+powder+plus+foundation+-+nc15+-15g%2F0.52oz&amp;qid=1695259539&amp;sr=8-10</v>
      </c>
      <c r="F2501" t="s">
        <v>6110</v>
      </c>
      <c r="G2501" t="e">
        <f ca="1">IMAGE("https://prolisok-store.com/cdn/shop/products/347384_300x.jpg?v=1690393863")</f>
        <v>#NAME?</v>
      </c>
      <c r="H2501" t="e">
        <f ca="1">IMAGE("https://m.media-amazon.com/images/I/41hPgegq9sL._AC_UL320_.jpg")</f>
        <v>#NAME?</v>
      </c>
      <c r="I2501" t="s">
        <v>6111</v>
      </c>
      <c r="J2501">
        <v>42</v>
      </c>
      <c r="K2501" s="2" t="s">
        <v>6112</v>
      </c>
      <c r="L2501">
        <v>4.5</v>
      </c>
      <c r="M2501">
        <v>93</v>
      </c>
      <c r="O2501" t="s">
        <v>26</v>
      </c>
      <c r="P2501" t="s">
        <v>39</v>
      </c>
      <c r="Q2501" t="s">
        <v>6113</v>
      </c>
    </row>
    <row r="2502" spans="1:17" ht="15.75" x14ac:dyDescent="0.25">
      <c r="A2502" s="3" t="str">
        <f>HYPERLINK("https://prolisok-store.com/collections/makeup/products/mac-studio-fix-powder-plus-foundation-nc15-15g-0-52oz", "https://prolisok-store.com/collections/makeup/products/mac-studio-fix-powder-plus-foundation-nc15-15g-0-52oz")</f>
        <v>https://prolisok-store.com/collections/makeup/products/mac-studio-fix-powder-plus-foundation-nc15-15g-0-52oz</v>
      </c>
      <c r="B2502" s="3" t="str">
        <f>HYPERLINK("https://prolisok-store.com/products/mac-studio-fix-powder-plus-foundation-nc15-15g-0-52oz", "https://prolisok-store.com/products/mac-studio-fix-powder-plus-foundation-nc15-15g-0-52oz")</f>
        <v>https://prolisok-store.com/products/mac-studio-fix-powder-plus-foundation-nc15-15g-0-52oz</v>
      </c>
      <c r="C2502" t="s">
        <v>6108</v>
      </c>
      <c r="D2502" t="s">
        <v>6114</v>
      </c>
      <c r="E2502" s="3" t="str">
        <f>HYPERLINK("https://www.amazon.com/M-C-Studio-Powder-Foundation/dp/B0096W4JAU/ref=sr_1_2?keywords=MAC+studio+fix+powder+plus+foundation+-+nc15+-15g%2F0.52oz&amp;qid=1695259539&amp;sr=8-2", "https://www.amazon.com/M-C-Studio-Powder-Foundation/dp/B0096W4JAU/ref=sr_1_2?keywords=MAC+studio+fix+powder+plus+foundation+-+nc15+-15g%2F0.52oz&amp;qid=1695259539&amp;sr=8-2")</f>
        <v>https://www.amazon.com/M-C-Studio-Powder-Foundation/dp/B0096W4JAU/ref=sr_1_2?keywords=MAC+studio+fix+powder+plus+foundation+-+nc15+-15g%2F0.52oz&amp;qid=1695259539&amp;sr=8-2</v>
      </c>
      <c r="F2502" t="s">
        <v>6115</v>
      </c>
      <c r="G2502" t="e">
        <f ca="1">IMAGE("https://prolisok-store.com/cdn/shop/products/347384_300x.jpg?v=1690393863")</f>
        <v>#NAME?</v>
      </c>
      <c r="H2502" t="e">
        <f ca="1">IMAGE("https://m.media-amazon.com/images/I/71s5Rvuml8L._AC_UL320_.jpg")</f>
        <v>#NAME?</v>
      </c>
      <c r="I2502" t="s">
        <v>6111</v>
      </c>
      <c r="J2502">
        <v>41.99</v>
      </c>
      <c r="K2502" s="2" t="s">
        <v>6116</v>
      </c>
      <c r="L2502">
        <v>4.5</v>
      </c>
      <c r="M2502">
        <v>7</v>
      </c>
      <c r="O2502" t="s">
        <v>26</v>
      </c>
      <c r="P2502" t="s">
        <v>39</v>
      </c>
      <c r="Q2502" t="s">
        <v>6113</v>
      </c>
    </row>
    <row r="2503" spans="1:17" ht="15.75" x14ac:dyDescent="0.25">
      <c r="A2503" s="3" t="str">
        <f>HYPERLINK("https://prolisok-store.com/collections/makeup/products/sisley-phyto-levres-perfect-lipliner-with-lip-brush-and-sharpener-1-nude-1-2g-0-04oz", "https://prolisok-store.com/collections/makeup/products/sisley-phyto-levres-perfect-lipliner-with-lip-brush-and-sharpener-1-nude-1-2g-0-04oz")</f>
        <v>https://prolisok-store.com/collections/makeup/products/sisley-phyto-levres-perfect-lipliner-with-lip-brush-and-sharpener-1-nude-1-2g-0-04oz</v>
      </c>
      <c r="B2503" s="3" t="str">
        <f>HYPERLINK("https://prolisok-store.com/products/sisley-phyto-levres-perfect-lipliner-with-lip-brush-and-sharpener-1-nude-1-2g-0-04oz", "https://prolisok-store.com/products/sisley-phyto-levres-perfect-lipliner-with-lip-brush-and-sharpener-1-nude-1-2g-0-04oz")</f>
        <v>https://prolisok-store.com/products/sisley-phyto-levres-perfect-lipliner-with-lip-brush-and-sharpener-1-nude-1-2g-0-04oz</v>
      </c>
      <c r="C2503" t="s">
        <v>5957</v>
      </c>
      <c r="D2503" t="s">
        <v>6117</v>
      </c>
      <c r="E2503" s="3" t="str">
        <f>HYPERLINK("https://www.amazon.com/Sisley-Perfect-Liner-Sharpener-Levres/dp/B0038JX1HO/ref=sr_1_5?keywords=Sisley+phyto+levres+perfect+lipliner+with+lip+brush+and+sharpener+-+%231+nude+1.2g%2F0.04oz&amp;qid=1695259509&amp;sr=8-5", "https://www.amazon.com/Sisley-Perfect-Liner-Sharpener-Levres/dp/B0038JX1HO/ref=sr_1_5?keywords=Sisley+phyto+levres+perfect+lipliner+with+lip+brush+and+sharpener+-+%231+nude+1.2g%2F0.04oz&amp;qid=1695259509&amp;sr=8-5")</f>
        <v>https://www.amazon.com/Sisley-Perfect-Liner-Sharpener-Levres/dp/B0038JX1HO/ref=sr_1_5?keywords=Sisley+phyto+levres+perfect+lipliner+with+lip+brush+and+sharpener+-+%231+nude+1.2g%2F0.04oz&amp;qid=1695259509&amp;sr=8-5</v>
      </c>
      <c r="F2503" t="s">
        <v>6118</v>
      </c>
      <c r="G2503" t="e">
        <f ca="1">IMAGE("https://prolisok-store.com/cdn/shop/products/178979_300x.jpg?v=1690900912")</f>
        <v>#NAME?</v>
      </c>
      <c r="H2503" t="e">
        <f ca="1">IMAGE("https://m.media-amazon.com/images/I/51zXa6oCSVL._AC_UL320_.jpg")</f>
        <v>#NAME?</v>
      </c>
      <c r="I2503" t="s">
        <v>5954</v>
      </c>
      <c r="J2503">
        <v>55.6</v>
      </c>
      <c r="K2503" s="2" t="s">
        <v>6119</v>
      </c>
      <c r="L2503">
        <v>5</v>
      </c>
      <c r="M2503">
        <v>3</v>
      </c>
      <c r="O2503" t="s">
        <v>26</v>
      </c>
      <c r="P2503" t="s">
        <v>39</v>
      </c>
      <c r="Q2503" t="s">
        <v>5958</v>
      </c>
    </row>
    <row r="2504" spans="1:17" ht="15.75" x14ac:dyDescent="0.25">
      <c r="A2504" s="3" t="str">
        <f>HYPERLINK("https://prolisok-store.com/collections/makeup/products/sisley-phyto-cernes-eclat-eye-concealer-02-15ml-0-61oz", "https://prolisok-store.com/collections/makeup/products/sisley-phyto-cernes-eclat-eye-concealer-02-15ml-0-61oz")</f>
        <v>https://prolisok-store.com/collections/makeup/products/sisley-phyto-cernes-eclat-eye-concealer-02-15ml-0-61oz</v>
      </c>
      <c r="B2504" s="3" t="str">
        <f>HYPERLINK("https://prolisok-store.com/products/sisley-phyto-cernes-eclat-eye-concealer-02-15ml-0-61oz", "https://prolisok-store.com/products/sisley-phyto-cernes-eclat-eye-concealer-02-15ml-0-61oz")</f>
        <v>https://prolisok-store.com/products/sisley-phyto-cernes-eclat-eye-concealer-02-15ml-0-61oz</v>
      </c>
      <c r="C2504" t="s">
        <v>6120</v>
      </c>
      <c r="D2504" t="s">
        <v>6121</v>
      </c>
      <c r="E2504" s="3" t="str">
        <f>HYPERLINK("https://www.amazon.com/Sisley-Phyto-Cernes-Eclat-Concealer/dp/B00KCJDAJW/ref=sr_1_4?keywords=Sisley+phyto+cernes+eclat+eye+concealer+-+%23+02+15ml%2F0.61oz&amp;qid=1695259509&amp;sr=8-4", "https://www.amazon.com/Sisley-Phyto-Cernes-Eclat-Concealer/dp/B00KCJDAJW/ref=sr_1_4?keywords=Sisley+phyto+cernes+eclat+eye+concealer+-+%23+02+15ml%2F0.61oz&amp;qid=1695259509&amp;sr=8-4")</f>
        <v>https://www.amazon.com/Sisley-Phyto-Cernes-Eclat-Concealer/dp/B00KCJDAJW/ref=sr_1_4?keywords=Sisley+phyto+cernes+eclat+eye+concealer+-+%23+02+15ml%2F0.61oz&amp;qid=1695259509&amp;sr=8-4</v>
      </c>
      <c r="F2504" t="s">
        <v>6122</v>
      </c>
      <c r="G2504" t="e">
        <f ca="1">IMAGE("https://prolisok-store.com/cdn/shop/products/142851_300x.jpg?v=1690900883")</f>
        <v>#NAME?</v>
      </c>
      <c r="H2504" t="e">
        <f ca="1">IMAGE("https://m.media-amazon.com/images/I/61YMq+P6a7L._AC_UL320_.jpg")</f>
        <v>#NAME?</v>
      </c>
      <c r="I2504" t="s">
        <v>6123</v>
      </c>
      <c r="J2504">
        <v>82.5</v>
      </c>
      <c r="K2504" s="2" t="s">
        <v>6124</v>
      </c>
      <c r="L2504">
        <v>5</v>
      </c>
      <c r="M2504">
        <v>2</v>
      </c>
      <c r="O2504" t="s">
        <v>26</v>
      </c>
      <c r="P2504" t="s">
        <v>39</v>
      </c>
      <c r="Q2504" t="s">
        <v>6125</v>
      </c>
    </row>
    <row r="2505" spans="1:17" ht="15.75" x14ac:dyDescent="0.25">
      <c r="A2505" s="3" t="str">
        <f>HYPERLINK("https://prolisok-store.com/collections/makeup/products/clarins-instant-eye-make-up-remover-125ml-4-2oz", "https://prolisok-store.com/collections/makeup/products/clarins-instant-eye-make-up-remover-125ml-4-2oz")</f>
        <v>https://prolisok-store.com/collections/makeup/products/clarins-instant-eye-make-up-remover-125ml-4-2oz</v>
      </c>
      <c r="B2505" s="3" t="str">
        <f>HYPERLINK("https://prolisok-store.com/products/clarins-instant-eye-make-up-remover-125ml-4-2oz", "https://prolisok-store.com/products/clarins-instant-eye-make-up-remover-125ml-4-2oz")</f>
        <v>https://prolisok-store.com/products/clarins-instant-eye-make-up-remover-125ml-4-2oz</v>
      </c>
      <c r="C2505" t="s">
        <v>6126</v>
      </c>
      <c r="D2505" t="s">
        <v>6127</v>
      </c>
      <c r="E2505" s="3" t="str">
        <f>HYPERLINK("https://www.amazon.com/Bi-Phase-Waterproof-Moisturizing-Non-Irritating-Ophthalmologist/dp/B000KU70PI/ref=sr_1_1?keywords=Clarins+instant+eye+make+up+remover+125ml%2F4.2oz&amp;qid=1695259461&amp;sr=8-1", "https://www.amazon.com/Bi-Phase-Waterproof-Moisturizing-Non-Irritating-Ophthalmologist/dp/B000KU70PI/ref=sr_1_1?keywords=Clarins+instant+eye+make+up+remover+125ml%2F4.2oz&amp;qid=1695259461&amp;sr=8-1")</f>
        <v>https://www.amazon.com/Bi-Phase-Waterproof-Moisturizing-Non-Irritating-Ophthalmologist/dp/B000KU70PI/ref=sr_1_1?keywords=Clarins+instant+eye+make+up+remover+125ml%2F4.2oz&amp;qid=1695259461&amp;sr=8-1</v>
      </c>
      <c r="F2505" t="s">
        <v>6128</v>
      </c>
      <c r="G2505" t="e">
        <f ca="1">IMAGE("https://prolisok-store.com/cdn/shop/products/129535_300x.jpg?v=1693407083")</f>
        <v>#NAME?</v>
      </c>
      <c r="H2505" t="e">
        <f ca="1">IMAGE("https://m.media-amazon.com/images/I/51oob2Y5EaL._AC_UL320_.jpg")</f>
        <v>#NAME?</v>
      </c>
      <c r="I2505" t="s">
        <v>6129</v>
      </c>
      <c r="J2505">
        <v>33</v>
      </c>
      <c r="K2505" s="2" t="s">
        <v>5512</v>
      </c>
      <c r="L2505">
        <v>4.7</v>
      </c>
      <c r="M2505">
        <v>377</v>
      </c>
      <c r="O2505" t="s">
        <v>26</v>
      </c>
      <c r="P2505" t="s">
        <v>39</v>
      </c>
      <c r="Q2505" t="s">
        <v>6130</v>
      </c>
    </row>
    <row r="2506" spans="1:17" ht="15.75" x14ac:dyDescent="0.25">
      <c r="A2506" s="3" t="str">
        <f>HYPERLINK("https://prolisok-store.com/collections/makeup/products/mac-studio-fix-powder-plus-foundation-nc15-15g-0-52oz", "https://prolisok-store.com/collections/makeup/products/mac-studio-fix-powder-plus-foundation-nc15-15g-0-52oz")</f>
        <v>https://prolisok-store.com/collections/makeup/products/mac-studio-fix-powder-plus-foundation-nc15-15g-0-52oz</v>
      </c>
      <c r="B2506" s="3" t="str">
        <f>HYPERLINK("https://prolisok-store.com/products/mac-studio-fix-powder-plus-foundation-nc15-15g-0-52oz", "https://prolisok-store.com/products/mac-studio-fix-powder-plus-foundation-nc15-15g-0-52oz")</f>
        <v>https://prolisok-store.com/products/mac-studio-fix-powder-plus-foundation-nc15-15g-0-52oz</v>
      </c>
      <c r="C2506" t="s">
        <v>6108</v>
      </c>
      <c r="D2506" t="s">
        <v>6131</v>
      </c>
      <c r="E2506" s="3" t="str">
        <f>HYPERLINK("https://www.amazon.com/MAC-Studio-Powder-Foundation-0-52oz/dp/B004DSKYH4/ref=sr_1_8?keywords=MAC+studio+fix+powder+plus+foundation+-+nc15+-15g%2F0.52oz&amp;qid=1695259539&amp;sr=8-8", "https://www.amazon.com/MAC-Studio-Powder-Foundation-0-52oz/dp/B004DSKYH4/ref=sr_1_8?keywords=MAC+studio+fix+powder+plus+foundation+-+nc15+-15g%2F0.52oz&amp;qid=1695259539&amp;sr=8-8")</f>
        <v>https://www.amazon.com/MAC-Studio-Powder-Foundation-0-52oz/dp/B004DSKYH4/ref=sr_1_8?keywords=MAC+studio+fix+powder+plus+foundation+-+nc15+-15g%2F0.52oz&amp;qid=1695259539&amp;sr=8-8</v>
      </c>
      <c r="F2506" t="s">
        <v>6132</v>
      </c>
      <c r="G2506" t="e">
        <f ca="1">IMAGE("https://prolisok-store.com/cdn/shop/products/347384_300x.jpg?v=1690393863")</f>
        <v>#NAME?</v>
      </c>
      <c r="H2506" t="e">
        <f ca="1">IMAGE("https://m.media-amazon.com/images/I/41Fvb4YoBvL._AC_UL320_.jpg")</f>
        <v>#NAME?</v>
      </c>
      <c r="I2506" t="s">
        <v>6111</v>
      </c>
      <c r="J2506">
        <v>40.950000000000003</v>
      </c>
      <c r="K2506" s="2" t="s">
        <v>6133</v>
      </c>
      <c r="L2506">
        <v>4.5</v>
      </c>
      <c r="M2506">
        <v>225</v>
      </c>
      <c r="O2506" t="s">
        <v>26</v>
      </c>
      <c r="P2506" t="s">
        <v>39</v>
      </c>
      <c r="Q2506" t="s">
        <v>6113</v>
      </c>
    </row>
    <row r="2507" spans="1:17" ht="15.75" x14ac:dyDescent="0.25">
      <c r="A2507" s="3" t="str">
        <f>HYPERLINK("https://prolisok-store.com/collections/makeup/products/mac-eye-kohl-phone-number-1-36g-0-048oz", "https://prolisok-store.com/collections/makeup/products/mac-eye-kohl-phone-number-1-36g-0-048oz")</f>
        <v>https://prolisok-store.com/collections/makeup/products/mac-eye-kohl-phone-number-1-36g-0-048oz</v>
      </c>
      <c r="B2507" s="3" t="str">
        <f>HYPERLINK("https://prolisok-store.com/products/mac-eye-kohl-phone-number-1-36g-0-048oz", "https://prolisok-store.com/products/mac-eye-kohl-phone-number-1-36g-0-048oz")</f>
        <v>https://prolisok-store.com/products/mac-eye-kohl-phone-number-1-36g-0-048oz</v>
      </c>
      <c r="C2507" t="s">
        <v>6008</v>
      </c>
      <c r="D2507" t="s">
        <v>6105</v>
      </c>
      <c r="E2507" s="3" t="str">
        <f>HYPERLINK("https://www.amazon.com/MAC-Eye-Kohl-Teddy-0-05oz/dp/B00166TMNS/ref=sr_1_6?keywords=MAC+eye+kohl+-+phone+number+-1.36g%2F0.048oz&amp;qid=1695259543&amp;sr=8-6", "https://www.amazon.com/MAC-Eye-Kohl-Teddy-0-05oz/dp/B00166TMNS/ref=sr_1_6?keywords=MAC+eye+kohl+-+phone+number+-1.36g%2F0.048oz&amp;qid=1695259543&amp;sr=8-6")</f>
        <v>https://www.amazon.com/MAC-Eye-Kohl-Teddy-0-05oz/dp/B00166TMNS/ref=sr_1_6?keywords=MAC+eye+kohl+-+phone+number+-1.36g%2F0.048oz&amp;qid=1695259543&amp;sr=8-6</v>
      </c>
      <c r="F2507" t="s">
        <v>6106</v>
      </c>
      <c r="G2507" t="e">
        <f ca="1">IMAGE("https://prolisok-store.com/cdn/shop/products/191813_300x.jpg?v=1690393930")</f>
        <v>#NAME?</v>
      </c>
      <c r="H2507" t="e">
        <f ca="1">IMAGE("https://m.media-amazon.com/images/I/51B1lwRR50L._AC_UL320_.jpg")</f>
        <v>#NAME?</v>
      </c>
      <c r="I2507" t="s">
        <v>6011</v>
      </c>
      <c r="J2507">
        <v>24.95</v>
      </c>
      <c r="K2507" s="2" t="s">
        <v>3445</v>
      </c>
      <c r="L2507">
        <v>4.5999999999999996</v>
      </c>
      <c r="M2507">
        <v>306</v>
      </c>
      <c r="O2507" t="s">
        <v>26</v>
      </c>
      <c r="P2507" t="s">
        <v>39</v>
      </c>
      <c r="Q2507" t="s">
        <v>6013</v>
      </c>
    </row>
    <row r="2508" spans="1:17" ht="15.75" x14ac:dyDescent="0.25">
      <c r="A2508" s="3" t="str">
        <f>HYPERLINK("https://prolisok-store.com/collections/makeup/products/sisley-phyto-teint-nude-water-infused-second-skin-foundation-00c-swan-30ml-1oz", "https://prolisok-store.com/collections/makeup/products/sisley-phyto-teint-nude-water-infused-second-skin-foundation-00c-swan-30ml-1oz")</f>
        <v>https://prolisok-store.com/collections/makeup/products/sisley-phyto-teint-nude-water-infused-second-skin-foundation-00c-swan-30ml-1oz</v>
      </c>
      <c r="B2508" s="3" t="str">
        <f>HYPERLINK("https://prolisok-store.com/products/sisley-phyto-teint-nude-water-infused-second-skin-foundation-00c-swan-30ml-1oz", "https://prolisok-store.com/products/sisley-phyto-teint-nude-water-infused-second-skin-foundation-00c-swan-30ml-1oz")</f>
        <v>https://prolisok-store.com/products/sisley-phyto-teint-nude-water-infused-second-skin-foundation-00c-swan-30ml-1oz</v>
      </c>
      <c r="C2508" t="s">
        <v>6134</v>
      </c>
      <c r="D2508" t="s">
        <v>6135</v>
      </c>
      <c r="E2508" s="3" t="str">
        <f>HYPERLINK("https://www.amazon.com/Sisley-Phyto-Infused-Second-Foundation/dp/B09MZ86F6H/ref=sr_1_1?keywords=Sisley+phyto+teint+nude+water+infused+second+skin+foundation+-&amp;qid=1695259497&amp;sr=8-1", "https://www.amazon.com/Sisley-Phyto-Infused-Second-Foundation/dp/B09MZ86F6H/ref=sr_1_1?keywords=Sisley+phyto+teint+nude+water+infused+second+skin+foundation+-&amp;qid=1695259497&amp;sr=8-1")</f>
        <v>https://www.amazon.com/Sisley-Phyto-Infused-Second-Foundation/dp/B09MZ86F6H/ref=sr_1_1?keywords=Sisley+phyto+teint+nude+water+infused+second+skin+foundation+-&amp;qid=1695259497&amp;sr=8-1</v>
      </c>
      <c r="F2508" t="s">
        <v>6136</v>
      </c>
      <c r="G2508" t="e">
        <f ca="1">IMAGE("https://prolisok-store.com/cdn/shop/products/429725_300x.jpg?v=1690900617")</f>
        <v>#NAME?</v>
      </c>
      <c r="H2508" t="e">
        <f ca="1">IMAGE("https://m.media-amazon.com/images/I/31qTHBpoNkL._AC_UL320_.jpg")</f>
        <v>#NAME?</v>
      </c>
      <c r="I2508" t="s">
        <v>6137</v>
      </c>
      <c r="J2508">
        <v>94.21</v>
      </c>
      <c r="K2508" s="2" t="s">
        <v>6138</v>
      </c>
      <c r="L2508">
        <v>4</v>
      </c>
      <c r="M2508">
        <v>1</v>
      </c>
      <c r="O2508" t="s">
        <v>26</v>
      </c>
      <c r="P2508" t="s">
        <v>39</v>
      </c>
      <c r="Q2508" t="s">
        <v>6139</v>
      </c>
    </row>
    <row r="2509" spans="1:17" ht="15.75" x14ac:dyDescent="0.25">
      <c r="A2509" s="3" t="str">
        <f>HYPERLINK("https://prolisok-store.com/collections/makeup/products/sisley-phyto-teint-nude-water-infused-second-skin-foundation-3w1-warm-almond-30ml-1oz", "https://prolisok-store.com/collections/makeup/products/sisley-phyto-teint-nude-water-infused-second-skin-foundation-3w1-warm-almond-30ml-1oz")</f>
        <v>https://prolisok-store.com/collections/makeup/products/sisley-phyto-teint-nude-water-infused-second-skin-foundation-3w1-warm-almond-30ml-1oz</v>
      </c>
      <c r="B2509" s="3" t="str">
        <f>HYPERLINK("https://prolisok-store.com/products/sisley-phyto-teint-nude-water-infused-second-skin-foundation-3w1-warm-almond-30ml-1oz", "https://prolisok-store.com/products/sisley-phyto-teint-nude-water-infused-second-skin-foundation-3w1-warm-almond-30ml-1oz")</f>
        <v>https://prolisok-store.com/products/sisley-phyto-teint-nude-water-infused-second-skin-foundation-3w1-warm-almond-30ml-1oz</v>
      </c>
      <c r="C2509" t="s">
        <v>6140</v>
      </c>
      <c r="D2509" t="s">
        <v>6135</v>
      </c>
      <c r="E2509" s="3" t="str">
        <f>HYPERLINK("https://www.amazon.com/Sisley-Phyto-Infused-Second-Foundation/dp/B09MZ86F6H/ref=sr_1_4?keywords=Sisley+phyto+teint+nude+water+infused+second+skin+foundation+-&amp;qid=1695259528&amp;sr=8-4", "https://www.amazon.com/Sisley-Phyto-Infused-Second-Foundation/dp/B09MZ86F6H/ref=sr_1_4?keywords=Sisley+phyto+teint+nude+water+infused+second+skin+foundation+-&amp;qid=1695259528&amp;sr=8-4")</f>
        <v>https://www.amazon.com/Sisley-Phyto-Infused-Second-Foundation/dp/B09MZ86F6H/ref=sr_1_4?keywords=Sisley+phyto+teint+nude+water+infused+second+skin+foundation+-&amp;qid=1695259528&amp;sr=8-4</v>
      </c>
      <c r="F2509" t="s">
        <v>6136</v>
      </c>
      <c r="G2509" t="e">
        <f ca="1">IMAGE("https://prolisok-store.com/cdn/shop/products/429727_300x.jpg?v=1690900620")</f>
        <v>#NAME?</v>
      </c>
      <c r="H2509" t="e">
        <f ca="1">IMAGE("https://m.media-amazon.com/images/I/31qTHBpoNkL._AC_UL320_.jpg")</f>
        <v>#NAME?</v>
      </c>
      <c r="I2509" t="s">
        <v>6137</v>
      </c>
      <c r="J2509">
        <v>94.21</v>
      </c>
      <c r="K2509" s="2" t="s">
        <v>6138</v>
      </c>
      <c r="L2509">
        <v>4</v>
      </c>
      <c r="M2509">
        <v>1</v>
      </c>
      <c r="O2509" t="s">
        <v>26</v>
      </c>
      <c r="P2509" t="s">
        <v>39</v>
      </c>
      <c r="Q2509" t="s">
        <v>6141</v>
      </c>
    </row>
    <row r="2510" spans="1:17" ht="15.75" x14ac:dyDescent="0.25">
      <c r="A2510" s="3" t="str">
        <f>HYPERLINK("https://prolisok-store.com/collections/makeup/products/mac-studio-fix-soft-matte-foundation-stick-nc60-9g-0-32oz", "https://prolisok-store.com/collections/makeup/products/mac-studio-fix-soft-matte-foundation-stick-nc60-9g-0-32oz")</f>
        <v>https://prolisok-store.com/collections/makeup/products/mac-studio-fix-soft-matte-foundation-stick-nc60-9g-0-32oz</v>
      </c>
      <c r="B2510" s="3" t="str">
        <f>HYPERLINK("https://prolisok-store.com/products/mac-studio-fix-soft-matte-foundation-stick-nc60-9g-0-32oz", "https://prolisok-store.com/products/mac-studio-fix-soft-matte-foundation-stick-nc60-9g-0-32oz")</f>
        <v>https://prolisok-store.com/products/mac-studio-fix-soft-matte-foundation-stick-nc60-9g-0-32oz</v>
      </c>
      <c r="C2510" t="s">
        <v>6142</v>
      </c>
      <c r="D2510" t="s">
        <v>6143</v>
      </c>
      <c r="E2510" s="3" t="str">
        <f>HYPERLINK("https://www.amazon.com/Studio-Soft-Matte-Foundation-Stick/dp/B093VVBB9D/ref=sr_1_1?keywords=MAC+studio+fix+soft+matte+foundation+stick+-+nc60+-9g%2F0.32oz&amp;qid=1695259543&amp;sr=8-1", "https://www.amazon.com/Studio-Soft-Matte-Foundation-Stick/dp/B093VVBB9D/ref=sr_1_1?keywords=MAC+studio+fix+soft+matte+foundation+stick+-+nc60+-9g%2F0.32oz&amp;qid=1695259543&amp;sr=8-1")</f>
        <v>https://www.amazon.com/Studio-Soft-Matte-Foundation-Stick/dp/B093VVBB9D/ref=sr_1_1?keywords=MAC+studio+fix+soft+matte+foundation+stick+-+nc60+-9g%2F0.32oz&amp;qid=1695259543&amp;sr=8-1</v>
      </c>
      <c r="F2510" t="s">
        <v>6144</v>
      </c>
      <c r="G2510" t="e">
        <f ca="1">IMAGE("https://prolisok-store.com/cdn/shop/products/375189_300x.jpg?v=1690393875")</f>
        <v>#NAME?</v>
      </c>
      <c r="H2510" t="e">
        <f ca="1">IMAGE("https://m.media-amazon.com/images/I/21TCumcYWDS._AC_UL320_.jpg")</f>
        <v>#NAME?</v>
      </c>
      <c r="I2510" t="s">
        <v>6020</v>
      </c>
      <c r="J2510">
        <v>37.380000000000003</v>
      </c>
      <c r="K2510" s="2" t="s">
        <v>6145</v>
      </c>
      <c r="L2510">
        <v>2.2999999999999998</v>
      </c>
      <c r="M2510">
        <v>3</v>
      </c>
      <c r="O2510" t="s">
        <v>26</v>
      </c>
      <c r="P2510" t="s">
        <v>39</v>
      </c>
      <c r="Q2510" t="s">
        <v>6146</v>
      </c>
    </row>
    <row r="2511" spans="1:17" ht="15.75" x14ac:dyDescent="0.25">
      <c r="A2511" s="3" t="str">
        <f>HYPERLINK("https://prolisok-store.com/collections/makeup/products/sisley-phyto-levres-perfect-lipliner-ruby-1-2g-0-04oz", "https://prolisok-store.com/collections/makeup/products/sisley-phyto-levres-perfect-lipliner-ruby-1-2g-0-04oz")</f>
        <v>https://prolisok-store.com/collections/makeup/products/sisley-phyto-levres-perfect-lipliner-ruby-1-2g-0-04oz</v>
      </c>
      <c r="B2511" s="3" t="str">
        <f>HYPERLINK("https://prolisok-store.com/products/sisley-phyto-levres-perfect-lipliner-ruby-1-2g-0-04oz", "https://prolisok-store.com/products/sisley-phyto-levres-perfect-lipliner-ruby-1-2g-0-04oz")</f>
        <v>https://prolisok-store.com/products/sisley-phyto-levres-perfect-lipliner-ruby-1-2g-0-04oz</v>
      </c>
      <c r="C2511" t="s">
        <v>6147</v>
      </c>
      <c r="D2511" t="s">
        <v>6148</v>
      </c>
      <c r="E2511" s="3" t="str">
        <f>HYPERLINK("https://www.amazon.com/Sisley-phyto-levres-perfect-lipliner/dp/B00YBM7HSQ/ref=sr_1_10?keywords=Sisley+phyto+levres+perfect+lipliner+-&amp;qid=1695259528&amp;sr=8-10", "https://www.amazon.com/Sisley-phyto-levres-perfect-lipliner/dp/B00YBM7HSQ/ref=sr_1_10?keywords=Sisley+phyto+levres+perfect+lipliner+-&amp;qid=1695259528&amp;sr=8-10")</f>
        <v>https://www.amazon.com/Sisley-phyto-levres-perfect-lipliner/dp/B00YBM7HSQ/ref=sr_1_10?keywords=Sisley+phyto+levres+perfect+lipliner+-&amp;qid=1695259528&amp;sr=8-10</v>
      </c>
      <c r="F2511" t="s">
        <v>6149</v>
      </c>
      <c r="G2511" t="e">
        <f ca="1">IMAGE("https://prolisok-store.com/cdn/shop/products/267948_300x.jpg?v=1690900958")</f>
        <v>#NAME?</v>
      </c>
      <c r="H2511" t="e">
        <f ca="1">IMAGE("https://m.media-amazon.com/images/I/51oBWWdwoYL._AC_UL320_.jpg")</f>
        <v>#NAME?</v>
      </c>
      <c r="I2511" t="s">
        <v>6150</v>
      </c>
      <c r="J2511">
        <v>61.76</v>
      </c>
      <c r="K2511" s="2" t="s">
        <v>6151</v>
      </c>
      <c r="L2511">
        <v>4.5</v>
      </c>
      <c r="M2511">
        <v>5</v>
      </c>
      <c r="O2511" t="s">
        <v>26</v>
      </c>
      <c r="P2511" t="s">
        <v>39</v>
      </c>
      <c r="Q2511" t="s">
        <v>6152</v>
      </c>
    </row>
    <row r="2512" spans="1:17" ht="15.75" x14ac:dyDescent="0.25">
      <c r="A2512" s="3" t="str">
        <f>HYPERLINK("https://prolisok-store.com/collections/makeup/products/sisley-phyto-levres-perfect-lipliner-rose-the-1-2g-0-04oz", "https://prolisok-store.com/collections/makeup/products/sisley-phyto-levres-perfect-lipliner-rose-the-1-2g-0-04oz")</f>
        <v>https://prolisok-store.com/collections/makeup/products/sisley-phyto-levres-perfect-lipliner-rose-the-1-2g-0-04oz</v>
      </c>
      <c r="B2512" s="3" t="str">
        <f>HYPERLINK("https://prolisok-store.com/products/sisley-phyto-levres-perfect-lipliner-rose-the-1-2g-0-04oz", "https://prolisok-store.com/products/sisley-phyto-levres-perfect-lipliner-rose-the-1-2g-0-04oz")</f>
        <v>https://prolisok-store.com/products/sisley-phyto-levres-perfect-lipliner-rose-the-1-2g-0-04oz</v>
      </c>
      <c r="C2512" t="s">
        <v>6153</v>
      </c>
      <c r="D2512" t="s">
        <v>6148</v>
      </c>
      <c r="E2512" s="3" t="str">
        <f>HYPERLINK("https://www.amazon.com/Sisley-phyto-levres-perfect-lipliner/dp/B00YBM7HSQ/ref=sr_1_7?keywords=Sisley+phyto+levres+perfect+lipliner+-+%23+rose+the+1.2g%2F0.04oz&amp;qid=1695259492&amp;sr=8-7", "https://www.amazon.com/Sisley-phyto-levres-perfect-lipliner/dp/B00YBM7HSQ/ref=sr_1_7?keywords=Sisley+phyto+levres+perfect+lipliner+-+%23+rose+the+1.2g%2F0.04oz&amp;qid=1695259492&amp;sr=8-7")</f>
        <v>https://www.amazon.com/Sisley-phyto-levres-perfect-lipliner/dp/B00YBM7HSQ/ref=sr_1_7?keywords=Sisley+phyto+levres+perfect+lipliner+-+%23+rose+the+1.2g%2F0.04oz&amp;qid=1695259492&amp;sr=8-7</v>
      </c>
      <c r="F2512" t="s">
        <v>6149</v>
      </c>
      <c r="G2512" t="e">
        <f ca="1">IMAGE("https://prolisok-store.com/cdn/shop/products/279052_300x.jpg?v=1690900965")</f>
        <v>#NAME?</v>
      </c>
      <c r="H2512" t="e">
        <f ca="1">IMAGE("https://m.media-amazon.com/images/I/51oBWWdwoYL._AC_UL320_.jpg")</f>
        <v>#NAME?</v>
      </c>
      <c r="I2512" t="s">
        <v>6150</v>
      </c>
      <c r="J2512">
        <v>61.76</v>
      </c>
      <c r="K2512" s="2" t="s">
        <v>6151</v>
      </c>
      <c r="L2512">
        <v>4.5</v>
      </c>
      <c r="M2512">
        <v>5</v>
      </c>
      <c r="O2512" t="s">
        <v>26</v>
      </c>
      <c r="P2512" t="s">
        <v>39</v>
      </c>
      <c r="Q2512" t="s">
        <v>6154</v>
      </c>
    </row>
    <row r="2513" spans="1:17" ht="15.75" x14ac:dyDescent="0.25">
      <c r="A2513" s="3" t="str">
        <f>HYPERLINK("https://prolisok-store.com/collections/makeup/products/mac-love-me-lipstick-nine-lives-3g-0-1oz", "https://prolisok-store.com/collections/makeup/products/mac-love-me-lipstick-nine-lives-3g-0-1oz")</f>
        <v>https://prolisok-store.com/collections/makeup/products/mac-love-me-lipstick-nine-lives-3g-0-1oz</v>
      </c>
      <c r="B2513" s="3" t="str">
        <f>HYPERLINK("https://prolisok-store.com/products/mac-love-me-lipstick-nine-lives-3g-0-1oz", "https://prolisok-store.com/products/mac-love-me-lipstick-nine-lives-3g-0-1oz")</f>
        <v>https://prolisok-store.com/products/mac-love-me-lipstick-nine-lives-3g-0-1oz</v>
      </c>
      <c r="C2513" t="s">
        <v>6083</v>
      </c>
      <c r="D2513" t="s">
        <v>6155</v>
      </c>
      <c r="E2513" s="3" t="str">
        <f>HYPERLINK("https://www.amazon.com/Love-Me-Lipstick-Nine-Lives/dp/B08XQY84FW/ref=sr_1_1?keywords=MAC+love+me+lipstick+-+nine+lives-3g%2F0.1oz&amp;qid=1695259538&amp;sr=8-1", "https://www.amazon.com/Love-Me-Lipstick-Nine-Lives/dp/B08XQY84FW/ref=sr_1_1?keywords=MAC+love+me+lipstick+-+nine+lives-3g%2F0.1oz&amp;qid=1695259538&amp;sr=8-1")</f>
        <v>https://www.amazon.com/Love-Me-Lipstick-Nine-Lives/dp/B08XQY84FW/ref=sr_1_1?keywords=MAC+love+me+lipstick+-+nine+lives-3g%2F0.1oz&amp;qid=1695259538&amp;sr=8-1</v>
      </c>
      <c r="F2513" t="s">
        <v>6156</v>
      </c>
      <c r="G2513" t="e">
        <f ca="1">IMAGE("https://prolisok-store.com/cdn/shop/products/351917_300x.jpg?v=1690393944")</f>
        <v>#NAME?</v>
      </c>
      <c r="H2513" t="e">
        <f ca="1">IMAGE("https://m.media-amazon.com/images/I/31EU-+G5QIL._AC_UL320_.jpg")</f>
        <v>#NAME?</v>
      </c>
      <c r="I2513" t="s">
        <v>6086</v>
      </c>
      <c r="J2513">
        <v>22.5</v>
      </c>
      <c r="K2513" s="2" t="s">
        <v>6157</v>
      </c>
      <c r="L2513">
        <v>4.5999999999999996</v>
      </c>
      <c r="M2513">
        <v>17</v>
      </c>
      <c r="O2513" t="s">
        <v>26</v>
      </c>
      <c r="P2513" t="s">
        <v>39</v>
      </c>
      <c r="Q2513" t="s">
        <v>6088</v>
      </c>
    </row>
    <row r="2514" spans="1:17" ht="15.75" x14ac:dyDescent="0.25">
      <c r="A2514" s="3" t="str">
        <f>HYPERLINK("https://prolisok-store.com/collections/makeup/products/clinique-by-clinique-stay-matte-powder-oil-free-no-03-stay-beige-7-6g-0-27oz", "https://prolisok-store.com/collections/makeup/products/clinique-by-clinique-stay-matte-powder-oil-free-no-03-stay-beige-7-6g-0-27oz")</f>
        <v>https://prolisok-store.com/collections/makeup/products/clinique-by-clinique-stay-matte-powder-oil-free-no-03-stay-beige-7-6g-0-27oz</v>
      </c>
      <c r="B2514" s="3" t="str">
        <f>HYPERLINK("https://prolisok-store.com/products/clinique-by-clinique-stay-matte-powder-oil-free-no-03-stay-beige-7-6g-0-27oz", "https://prolisok-store.com/products/clinique-by-clinique-stay-matte-powder-oil-free-no-03-stay-beige-7-6g-0-27oz")</f>
        <v>https://prolisok-store.com/products/clinique-by-clinique-stay-matte-powder-oil-free-no-03-stay-beige-7-6g-0-27oz</v>
      </c>
      <c r="C2514" t="s">
        <v>6158</v>
      </c>
      <c r="D2514" t="s">
        <v>6159</v>
      </c>
      <c r="E2514" s="3" t="str">
        <f>HYPERLINK("https://www.amazon.com/Stay-Matte-Powder-Oil-Free/dp/B000ALBLXY/ref=sr_1_6?keywords=Clinique+stay+matte+powder+oil+free+-+no.+03+stay+beige+--7.6g%2F0.27oz&amp;qid=1695259504&amp;sr=8-6", "https://www.amazon.com/Stay-Matte-Powder-Oil-Free/dp/B000ALBLXY/ref=sr_1_6?keywords=Clinique+stay+matte+powder+oil+free+-+no.+03+stay+beige+--7.6g%2F0.27oz&amp;qid=1695259504&amp;sr=8-6")</f>
        <v>https://www.amazon.com/Stay-Matte-Powder-Oil-Free/dp/B000ALBLXY/ref=sr_1_6?keywords=Clinique+stay+matte+powder+oil+free+-+no.+03+stay+beige+--7.6g%2F0.27oz&amp;qid=1695259504&amp;sr=8-6</v>
      </c>
      <c r="F2514" t="s">
        <v>6160</v>
      </c>
      <c r="G2514" t="e">
        <f ca="1">IMAGE("https://prolisok-store.com/cdn/shop/products/168575_300x.jpg?v=1688060505")</f>
        <v>#NAME?</v>
      </c>
      <c r="H2514" t="e">
        <f ca="1">IMAGE("https://m.media-amazon.com/images/I/618oOuN6uhL._AC_UL320_.jpg")</f>
        <v>#NAME?</v>
      </c>
      <c r="I2514" t="s">
        <v>6111</v>
      </c>
      <c r="J2514">
        <v>39.96</v>
      </c>
      <c r="K2514" s="2" t="s">
        <v>6161</v>
      </c>
      <c r="L2514">
        <v>4.5999999999999996</v>
      </c>
      <c r="M2514">
        <v>146</v>
      </c>
      <c r="O2514" t="s">
        <v>26</v>
      </c>
      <c r="P2514" t="s">
        <v>39</v>
      </c>
      <c r="Q2514" t="s">
        <v>6162</v>
      </c>
    </row>
    <row r="2515" spans="1:17" ht="15.75" x14ac:dyDescent="0.25">
      <c r="A2515" s="3" t="str">
        <f>HYPERLINK("https://prolisok-store.com/collections/makeup/products/clinique-by-clinique-take-the-day-off-make-up-remover-125ml-4-2oz", "https://prolisok-store.com/collections/makeup/products/clinique-by-clinique-take-the-day-off-make-up-remover-125ml-4-2oz")</f>
        <v>https://prolisok-store.com/collections/makeup/products/clinique-by-clinique-take-the-day-off-make-up-remover-125ml-4-2oz</v>
      </c>
      <c r="B2515" s="3" t="str">
        <f>HYPERLINK("https://prolisok-store.com/products/clinique-by-clinique-take-the-day-off-make-up-remover-125ml-4-2oz", "https://prolisok-store.com/products/clinique-by-clinique-take-the-day-off-make-up-remover-125ml-4-2oz")</f>
        <v>https://prolisok-store.com/products/clinique-by-clinique-take-the-day-off-make-up-remover-125ml-4-2oz</v>
      </c>
      <c r="C2515" t="s">
        <v>5997</v>
      </c>
      <c r="D2515" t="s">
        <v>6163</v>
      </c>
      <c r="E2515" s="3" t="str">
        <f>HYPERLINK("https://www.amazon.com/Clinique-Take-Day-Cleansing-Balm/dp/B00EXZF01W/ref=sr_1_3?keywords=Clinique+take+the+day+off+make+up+remover+--125ml%2F4.2oz&amp;qid=1695259552&amp;sr=8-3", "https://www.amazon.com/Clinique-Take-Day-Cleansing-Balm/dp/B00EXZF01W/ref=sr_1_3?keywords=Clinique+take+the+day+off+make+up+remover+--125ml%2F4.2oz&amp;qid=1695259552&amp;sr=8-3")</f>
        <v>https://www.amazon.com/Clinique-Take-Day-Cleansing-Balm/dp/B00EXZF01W/ref=sr_1_3?keywords=Clinique+take+the+day+off+make+up+remover+--125ml%2F4.2oz&amp;qid=1695259552&amp;sr=8-3</v>
      </c>
      <c r="F2515" t="s">
        <v>6164</v>
      </c>
      <c r="G2515" t="e">
        <f ca="1">IMAGE("https://prolisok-store.com/cdn/shop/products/129645_300x.jpg?v=1688060465")</f>
        <v>#NAME?</v>
      </c>
      <c r="H2515" t="e">
        <f ca="1">IMAGE("https://m.media-amazon.com/images/I/512uUildTEL._AC_UL320_.jpg")</f>
        <v>#NAME?</v>
      </c>
      <c r="I2515" t="s">
        <v>6000</v>
      </c>
      <c r="J2515">
        <v>24.9</v>
      </c>
      <c r="K2515" s="2" t="s">
        <v>6165</v>
      </c>
      <c r="L2515">
        <v>4.7</v>
      </c>
      <c r="M2515">
        <v>403</v>
      </c>
      <c r="O2515" t="s">
        <v>26</v>
      </c>
      <c r="P2515" t="s">
        <v>39</v>
      </c>
      <c r="Q2515" t="s">
        <v>6002</v>
      </c>
    </row>
    <row r="2516" spans="1:17" ht="15.75" x14ac:dyDescent="0.25">
      <c r="A2516" s="3" t="str">
        <f>HYPERLINK("https://prolisok-store.com/collections/makeup/products/sisley-phyto-levres-perfect-lipliner-with-lip-brush-and-sharpener-1-nude-1-2g-0-04oz", "https://prolisok-store.com/collections/makeup/products/sisley-phyto-levres-perfect-lipliner-with-lip-brush-and-sharpener-1-nude-1-2g-0-04oz")</f>
        <v>https://prolisok-store.com/collections/makeup/products/sisley-phyto-levres-perfect-lipliner-with-lip-brush-and-sharpener-1-nude-1-2g-0-04oz</v>
      </c>
      <c r="B2516" s="3" t="str">
        <f>HYPERLINK("https://prolisok-store.com/products/sisley-phyto-levres-perfect-lipliner-with-lip-brush-and-sharpener-1-nude-1-2g-0-04oz", "https://prolisok-store.com/products/sisley-phyto-levres-perfect-lipliner-with-lip-brush-and-sharpener-1-nude-1-2g-0-04oz")</f>
        <v>https://prolisok-store.com/products/sisley-phyto-levres-perfect-lipliner-with-lip-brush-and-sharpener-1-nude-1-2g-0-04oz</v>
      </c>
      <c r="C2516" t="s">
        <v>5957</v>
      </c>
      <c r="D2516" t="s">
        <v>6166</v>
      </c>
      <c r="E2516" s="3" t="str">
        <f>HYPERLINK("https://www.amazon.com/Sisley-Phyto-Levres-Perfect-Brush-Sharpener/dp/B00VJHTUJ0/ref=sr_1_4?keywords=Sisley+phyto+levres+perfect+lipliner+with+lip+brush+and+sharpener+-+%231+nude+1.2g%2F0.04oz&amp;qid=1695259509&amp;sr=8-4", "https://www.amazon.com/Sisley-Phyto-Levres-Perfect-Brush-Sharpener/dp/B00VJHTUJ0/ref=sr_1_4?keywords=Sisley+phyto+levres+perfect+lipliner+with+lip+brush+and+sharpener+-+%231+nude+1.2g%2F0.04oz&amp;qid=1695259509&amp;sr=8-4")</f>
        <v>https://www.amazon.com/Sisley-Phyto-Levres-Perfect-Brush-Sharpener/dp/B00VJHTUJ0/ref=sr_1_4?keywords=Sisley+phyto+levres+perfect+lipliner+with+lip+brush+and+sharpener+-+%231+nude+1.2g%2F0.04oz&amp;qid=1695259509&amp;sr=8-4</v>
      </c>
      <c r="F2516" t="s">
        <v>6167</v>
      </c>
      <c r="G2516" t="e">
        <f ca="1">IMAGE("https://prolisok-store.com/cdn/shop/products/178979_300x.jpg?v=1690900912")</f>
        <v>#NAME?</v>
      </c>
      <c r="H2516" t="e">
        <f ca="1">IMAGE("https://m.media-amazon.com/images/I/51mh1B5An4L._AC_UL320_.jpg")</f>
        <v>#NAME?</v>
      </c>
      <c r="I2516" t="s">
        <v>5954</v>
      </c>
      <c r="J2516">
        <v>52.42</v>
      </c>
      <c r="K2516" s="2" t="s">
        <v>6168</v>
      </c>
      <c r="L2516">
        <v>4.8</v>
      </c>
      <c r="M2516">
        <v>4</v>
      </c>
      <c r="O2516" t="s">
        <v>26</v>
      </c>
      <c r="P2516" t="s">
        <v>39</v>
      </c>
      <c r="Q2516" t="s">
        <v>5958</v>
      </c>
    </row>
    <row r="2517" spans="1:17" ht="15.75" x14ac:dyDescent="0.25">
      <c r="A2517" s="3" t="str">
        <f>HYPERLINK("https://prolisok-store.com/collections/makeup/products/sisley-phyto-levres-perfect-lipliner-with-lip-brush-and-sharpener-6-chocolat-1-2g-0-04oz", "https://prolisok-store.com/collections/makeup/products/sisley-phyto-levres-perfect-lipliner-with-lip-brush-and-sharpener-6-chocolat-1-2g-0-04oz")</f>
        <v>https://prolisok-store.com/collections/makeup/products/sisley-phyto-levres-perfect-lipliner-with-lip-brush-and-sharpener-6-chocolat-1-2g-0-04oz</v>
      </c>
      <c r="B2517" s="3" t="str">
        <f>HYPERLINK("https://prolisok-store.com/products/sisley-phyto-levres-perfect-lipliner-with-lip-brush-and-sharpener-6-chocolat-1-2g-0-04oz", "https://prolisok-store.com/products/sisley-phyto-levres-perfect-lipliner-with-lip-brush-and-sharpener-6-chocolat-1-2g-0-04oz")</f>
        <v>https://prolisok-store.com/products/sisley-phyto-levres-perfect-lipliner-with-lip-brush-and-sharpener-6-chocolat-1-2g-0-04oz</v>
      </c>
      <c r="C2517" t="s">
        <v>5951</v>
      </c>
      <c r="D2517" t="s">
        <v>6169</v>
      </c>
      <c r="E2517" s="3" t="str">
        <f>HYPERLINK("https://www.amazon.com/Sisley-Phyto-Levres-Perfect-Lipliner-Sharpener/dp/B0137OHSTG/ref=sr_1_5?keywords=Sisley+phyto+levres+perfect+lipliner+with+lip+brush+and+sharpener+-+%236+chocolat+1.2g%2F0.04oz&amp;qid=1695259543&amp;sr=8-5", "https://www.amazon.com/Sisley-Phyto-Levres-Perfect-Lipliner-Sharpener/dp/B0137OHSTG/ref=sr_1_5?keywords=Sisley+phyto+levres+perfect+lipliner+with+lip+brush+and+sharpener+-+%236+chocolat+1.2g%2F0.04oz&amp;qid=1695259543&amp;sr=8-5")</f>
        <v>https://www.amazon.com/Sisley-Phyto-Levres-Perfect-Lipliner-Sharpener/dp/B0137OHSTG/ref=sr_1_5?keywords=Sisley+phyto+levres+perfect+lipliner+with+lip+brush+and+sharpener+-+%236+chocolat+1.2g%2F0.04oz&amp;qid=1695259543&amp;sr=8-5</v>
      </c>
      <c r="F2517" t="s">
        <v>6170</v>
      </c>
      <c r="G2517" t="e">
        <f ca="1">IMAGE("https://prolisok-store.com/cdn/shop/products/185462_300x.jpg?v=1690900901")</f>
        <v>#NAME?</v>
      </c>
      <c r="H2517" t="e">
        <f ca="1">IMAGE("https://m.media-amazon.com/images/I/51sGkQvTb5L._AC_UL320_.jpg")</f>
        <v>#NAME?</v>
      </c>
      <c r="I2517" t="s">
        <v>5954</v>
      </c>
      <c r="J2517">
        <v>52.4</v>
      </c>
      <c r="K2517" s="2" t="s">
        <v>6171</v>
      </c>
      <c r="L2517">
        <v>4.5999999999999996</v>
      </c>
      <c r="M2517">
        <v>19</v>
      </c>
      <c r="O2517" t="s">
        <v>26</v>
      </c>
      <c r="P2517" t="s">
        <v>39</v>
      </c>
      <c r="Q2517" t="s">
        <v>5956</v>
      </c>
    </row>
    <row r="2518" spans="1:17" ht="15.75" x14ac:dyDescent="0.25">
      <c r="A2518" s="3" t="str">
        <f>HYPERLINK("https://prolisok-store.com/collections/makeup/products/sisley-phyto-levres-perfect-lipliner-with-lip-brush-and-sharpener-4-rose-passion-1-2g-0-04oz", "https://prolisok-store.com/collections/makeup/products/sisley-phyto-levres-perfect-lipliner-with-lip-brush-and-sharpener-4-rose-passion-1-2g-0-04oz")</f>
        <v>https://prolisok-store.com/collections/makeup/products/sisley-phyto-levres-perfect-lipliner-with-lip-brush-and-sharpener-4-rose-passion-1-2g-0-04oz</v>
      </c>
      <c r="B2518" s="3" t="str">
        <f>HYPERLINK("https://prolisok-store.com/products/sisley-phyto-levres-perfect-lipliner-with-lip-brush-and-sharpener-4-rose-passion-1-2g-0-04oz", "https://prolisok-store.com/products/sisley-phyto-levres-perfect-lipliner-with-lip-brush-and-sharpener-4-rose-passion-1-2g-0-04oz")</f>
        <v>https://prolisok-store.com/products/sisley-phyto-levres-perfect-lipliner-with-lip-brush-and-sharpener-4-rose-passion-1-2g-0-04oz</v>
      </c>
      <c r="C2518" t="s">
        <v>6172</v>
      </c>
      <c r="D2518" t="s">
        <v>6169</v>
      </c>
      <c r="E2518" s="3" t="str">
        <f>HYPERLINK("https://www.amazon.com/Sisley-Phyto-Levres-Perfect-Lipliner-Sharpener/dp/B0137OHSTG/ref=sr_1_2?keywords=Sisley+phyto+levres+perfect+lipliner+with+lip+brush+and+sharpener+-&amp;qid=1695259537&amp;sr=8-2", "https://www.amazon.com/Sisley-Phyto-Levres-Perfect-Lipliner-Sharpener/dp/B0137OHSTG/ref=sr_1_2?keywords=Sisley+phyto+levres+perfect+lipliner+with+lip+brush+and+sharpener+-&amp;qid=1695259537&amp;sr=8-2")</f>
        <v>https://www.amazon.com/Sisley-Phyto-Levres-Perfect-Lipliner-Sharpener/dp/B0137OHSTG/ref=sr_1_2?keywords=Sisley+phyto+levres+perfect+lipliner+with+lip+brush+and+sharpener+-&amp;qid=1695259537&amp;sr=8-2</v>
      </c>
      <c r="F2518" t="s">
        <v>6170</v>
      </c>
      <c r="G2518" t="e">
        <f ca="1">IMAGE("https://prolisok-store.com/cdn/shop/products/187090_300x.jpg?v=1690900890")</f>
        <v>#NAME?</v>
      </c>
      <c r="H2518" t="e">
        <f ca="1">IMAGE("https://m.media-amazon.com/images/I/51sGkQvTb5L._AC_UL320_.jpg")</f>
        <v>#NAME?</v>
      </c>
      <c r="I2518" t="s">
        <v>5954</v>
      </c>
      <c r="J2518">
        <v>52.4</v>
      </c>
      <c r="K2518" s="2" t="s">
        <v>6171</v>
      </c>
      <c r="L2518">
        <v>4.5999999999999996</v>
      </c>
      <c r="M2518">
        <v>19</v>
      </c>
      <c r="O2518" t="s">
        <v>26</v>
      </c>
      <c r="P2518" t="s">
        <v>39</v>
      </c>
      <c r="Q2518" t="s">
        <v>6173</v>
      </c>
    </row>
    <row r="2519" spans="1:17" ht="15.75" x14ac:dyDescent="0.25">
      <c r="A2519" s="3" t="str">
        <f>HYPERLINK("https://prolisok-store.com/collections/makeup/products/sisley-phyto-levres-perfect-lipliner-with-lip-brush-and-sharpener-1-nude-1-2g-0-04oz", "https://prolisok-store.com/collections/makeup/products/sisley-phyto-levres-perfect-lipliner-with-lip-brush-and-sharpener-1-nude-1-2g-0-04oz")</f>
        <v>https://prolisok-store.com/collections/makeup/products/sisley-phyto-levres-perfect-lipliner-with-lip-brush-and-sharpener-1-nude-1-2g-0-04oz</v>
      </c>
      <c r="B2519" s="3" t="str">
        <f>HYPERLINK("https://prolisok-store.com/products/sisley-phyto-levres-perfect-lipliner-with-lip-brush-and-sharpener-1-nude-1-2g-0-04oz", "https://prolisok-store.com/products/sisley-phyto-levres-perfect-lipliner-with-lip-brush-and-sharpener-1-nude-1-2g-0-04oz")</f>
        <v>https://prolisok-store.com/products/sisley-phyto-levres-perfect-lipliner-with-lip-brush-and-sharpener-1-nude-1-2g-0-04oz</v>
      </c>
      <c r="C2519" t="s">
        <v>5957</v>
      </c>
      <c r="D2519" t="s">
        <v>6169</v>
      </c>
      <c r="E2519" s="3" t="str">
        <f>HYPERLINK("https://www.amazon.com/Sisley-Phyto-Levres-Perfect-Lipliner-Sharpener/dp/B0137OHSTG/ref=sr_1_3?keywords=Sisley+phyto+levres+perfect+lipliner+with+lip+brush+and+sharpener+-+%231+nude+1.2g%2F0.04oz&amp;qid=1695259509&amp;sr=8-3", "https://www.amazon.com/Sisley-Phyto-Levres-Perfect-Lipliner-Sharpener/dp/B0137OHSTG/ref=sr_1_3?keywords=Sisley+phyto+levres+perfect+lipliner+with+lip+brush+and+sharpener+-+%231+nude+1.2g%2F0.04oz&amp;qid=1695259509&amp;sr=8-3")</f>
        <v>https://www.amazon.com/Sisley-Phyto-Levres-Perfect-Lipliner-Sharpener/dp/B0137OHSTG/ref=sr_1_3?keywords=Sisley+phyto+levres+perfect+lipliner+with+lip+brush+and+sharpener+-+%231+nude+1.2g%2F0.04oz&amp;qid=1695259509&amp;sr=8-3</v>
      </c>
      <c r="F2519" t="s">
        <v>6170</v>
      </c>
      <c r="G2519" t="e">
        <f ca="1">IMAGE("https://prolisok-store.com/cdn/shop/products/178979_300x.jpg?v=1690900912")</f>
        <v>#NAME?</v>
      </c>
      <c r="H2519" t="e">
        <f ca="1">IMAGE("https://m.media-amazon.com/images/I/51sGkQvTb5L._AC_UL320_.jpg")</f>
        <v>#NAME?</v>
      </c>
      <c r="I2519" t="s">
        <v>5954</v>
      </c>
      <c r="J2519">
        <v>52.38</v>
      </c>
      <c r="K2519" s="2" t="s">
        <v>6174</v>
      </c>
      <c r="L2519">
        <v>4.5999999999999996</v>
      </c>
      <c r="M2519">
        <v>19</v>
      </c>
      <c r="O2519" t="s">
        <v>26</v>
      </c>
      <c r="P2519" t="s">
        <v>39</v>
      </c>
      <c r="Q2519" t="s">
        <v>5958</v>
      </c>
    </row>
    <row r="2520" spans="1:17" ht="15.75" x14ac:dyDescent="0.25">
      <c r="A2520" s="3" t="str">
        <f>HYPERLINK("https://prolisok-store.com/collections/makeup/products/sisley-phyto-lip-twist-9-chestnut-2-5g-0-08oz", "https://prolisok-store.com/collections/makeup/products/sisley-phyto-lip-twist-9-chestnut-2-5g-0-08oz")</f>
        <v>https://prolisok-store.com/collections/makeup/products/sisley-phyto-lip-twist-9-chestnut-2-5g-0-08oz</v>
      </c>
      <c r="B2520" s="3" t="str">
        <f>HYPERLINK("https://prolisok-store.com/products/sisley-phyto-lip-twist-9-chestnut-2-5g-0-08oz", "https://prolisok-store.com/products/sisley-phyto-lip-twist-9-chestnut-2-5g-0-08oz")</f>
        <v>https://prolisok-store.com/products/sisley-phyto-lip-twist-9-chestnut-2-5g-0-08oz</v>
      </c>
      <c r="C2520" t="s">
        <v>6175</v>
      </c>
      <c r="D2520" t="s">
        <v>6176</v>
      </c>
      <c r="E2520" s="3" t="str">
        <f>HYPERLINK("https://www.amazon.com/Sisley-Phyto-Twist-Women-Chestnut/dp/B00TGS2PFA/ref=sr_1_1?keywords=Sisley+phyto+lip+twist+-+%23+9+chestnut+2.5g%2F0.08oz&amp;qid=1695259524&amp;sr=8-1", "https://www.amazon.com/Sisley-Phyto-Twist-Women-Chestnut/dp/B00TGS2PFA/ref=sr_1_1?keywords=Sisley+phyto+lip+twist+-+%23+9+chestnut+2.5g%2F0.08oz&amp;qid=1695259524&amp;sr=8-1")</f>
        <v>https://www.amazon.com/Sisley-Phyto-Twist-Women-Chestnut/dp/B00TGS2PFA/ref=sr_1_1?keywords=Sisley+phyto+lip+twist+-+%23+9+chestnut+2.5g%2F0.08oz&amp;qid=1695259524&amp;sr=8-1</v>
      </c>
      <c r="F2520" t="s">
        <v>6177</v>
      </c>
      <c r="G2520" t="e">
        <f ca="1">IMAGE("https://prolisok-store.com/cdn/shop/products/268465_300x.jpg?v=1690900962")</f>
        <v>#NAME?</v>
      </c>
      <c r="H2520" t="e">
        <f ca="1">IMAGE("https://m.media-amazon.com/images/I/61udxKE0-6L._AC_UL320_.jpg")</f>
        <v>#NAME?</v>
      </c>
      <c r="I2520" t="s">
        <v>5954</v>
      </c>
      <c r="J2520">
        <v>52.37</v>
      </c>
      <c r="K2520" s="2" t="s">
        <v>3451</v>
      </c>
      <c r="L2520">
        <v>4.7</v>
      </c>
      <c r="M2520">
        <v>19</v>
      </c>
      <c r="O2520" t="s">
        <v>26</v>
      </c>
      <c r="P2520" t="s">
        <v>39</v>
      </c>
      <c r="Q2520" t="s">
        <v>6178</v>
      </c>
    </row>
    <row r="2521" spans="1:17" ht="15.75" x14ac:dyDescent="0.25">
      <c r="A2521" s="3" t="str">
        <f>HYPERLINK("https://prolisok-store.com/collections/makeup/products/mac-studio-fix-powder-plus-foundation-nc15-15g-0-52oz", "https://prolisok-store.com/collections/makeup/products/mac-studio-fix-powder-plus-foundation-nc15-15g-0-52oz")</f>
        <v>https://prolisok-store.com/collections/makeup/products/mac-studio-fix-powder-plus-foundation-nc15-15g-0-52oz</v>
      </c>
      <c r="B2521" s="3" t="str">
        <f>HYPERLINK("https://prolisok-store.com/products/mac-studio-fix-powder-plus-foundation-nc15-15g-0-52oz", "https://prolisok-store.com/products/mac-studio-fix-powder-plus-foundation-nc15-15g-0-52oz")</f>
        <v>https://prolisok-store.com/products/mac-studio-fix-powder-plus-foundation-nc15-15g-0-52oz</v>
      </c>
      <c r="C2521" t="s">
        <v>6108</v>
      </c>
      <c r="D2521" t="s">
        <v>6179</v>
      </c>
      <c r="E2521" s="3" t="str">
        <f>HYPERLINK("https://www.amazon.com/MAC-Studio-Powder-Plus-Foundation/dp/B008I5LI96/ref=sr_1_1?keywords=MAC+studio+fix+powder+plus+foundation+-+nc15+-15g%2F0.52oz&amp;qid=1695259539&amp;sr=8-1", "https://www.amazon.com/MAC-Studio-Powder-Plus-Foundation/dp/B008I5LI96/ref=sr_1_1?keywords=MAC+studio+fix+powder+plus+foundation+-+nc15+-15g%2F0.52oz&amp;qid=1695259539&amp;sr=8-1")</f>
        <v>https://www.amazon.com/MAC-Studio-Powder-Plus-Foundation/dp/B008I5LI96/ref=sr_1_1?keywords=MAC+studio+fix+powder+plus+foundation+-+nc15+-15g%2F0.52oz&amp;qid=1695259539&amp;sr=8-1</v>
      </c>
      <c r="F2521" t="s">
        <v>6180</v>
      </c>
      <c r="G2521" t="e">
        <f ca="1">IMAGE("https://prolisok-store.com/cdn/shop/products/347384_300x.jpg?v=1690393863")</f>
        <v>#NAME?</v>
      </c>
      <c r="H2521" t="e">
        <f ca="1">IMAGE("https://m.media-amazon.com/images/I/51GSeAWMrmL._AC_UL320_.jpg")</f>
        <v>#NAME?</v>
      </c>
      <c r="I2521" t="s">
        <v>6111</v>
      </c>
      <c r="J2521">
        <v>39</v>
      </c>
      <c r="K2521" s="2" t="s">
        <v>6181</v>
      </c>
      <c r="L2521">
        <v>4.4000000000000004</v>
      </c>
      <c r="M2521">
        <v>237</v>
      </c>
      <c r="O2521" t="s">
        <v>26</v>
      </c>
      <c r="P2521" t="s">
        <v>39</v>
      </c>
      <c r="Q2521" t="s">
        <v>6113</v>
      </c>
    </row>
    <row r="2522" spans="1:17" ht="15.75" x14ac:dyDescent="0.25">
      <c r="A2522" s="3" t="str">
        <f>HYPERLINK("https://prolisok-store.com/collections/makeup/products/clinique-by-clinique-chubby-stick-no-07-super-strawberry-3g-0-10oz", "https://prolisok-store.com/collections/makeup/products/clinique-by-clinique-chubby-stick-no-07-super-strawberry-3g-0-10oz")</f>
        <v>https://prolisok-store.com/collections/makeup/products/clinique-by-clinique-chubby-stick-no-07-super-strawberry-3g-0-10oz</v>
      </c>
      <c r="B2522" s="3" t="str">
        <f>HYPERLINK("https://prolisok-store.com/products/clinique-by-clinique-chubby-stick-no-07-super-strawberry-3g-0-10oz", "https://prolisok-store.com/products/clinique-by-clinique-chubby-stick-no-07-super-strawberry-3g-0-10oz")</f>
        <v>https://prolisok-store.com/products/clinique-by-clinique-chubby-stick-no-07-super-strawberry-3g-0-10oz</v>
      </c>
      <c r="C2522" t="s">
        <v>5972</v>
      </c>
      <c r="D2522" t="s">
        <v>6182</v>
      </c>
      <c r="E2522" s="3" t="str">
        <f>HYPERLINK("https://www.amazon.com/Clinique-STRAWBERRY-Chubby-Moisturizing-Colour/dp/B007MHBFQ2/ref=sr_1_3?keywords=Clinique+chubby+stick+-+no.+07+super+strawberry+--3g%2F0.10oz&amp;qid=1695259544&amp;sr=8-3", "https://www.amazon.com/Clinique-STRAWBERRY-Chubby-Moisturizing-Colour/dp/B007MHBFQ2/ref=sr_1_3?keywords=Clinique+chubby+stick+-+no.+07+super+strawberry+--3g%2F0.10oz&amp;qid=1695259544&amp;sr=8-3")</f>
        <v>https://www.amazon.com/Clinique-STRAWBERRY-Chubby-Moisturizing-Colour/dp/B007MHBFQ2/ref=sr_1_3?keywords=Clinique+chubby+stick+-+no.+07+super+strawberry+--3g%2F0.10oz&amp;qid=1695259544&amp;sr=8-3</v>
      </c>
      <c r="F2522" t="s">
        <v>6183</v>
      </c>
      <c r="G2522" t="e">
        <f ca="1">IMAGE("https://prolisok-store.com/cdn/shop/files/B-MRKTS-1052_300x.png?v=1690307567")</f>
        <v>#NAME?</v>
      </c>
      <c r="H2522" t="e">
        <f ca="1">IMAGE("https://m.media-amazon.com/images/I/51EX20I2FNL._AC_UL320_.jpg")</f>
        <v>#NAME?</v>
      </c>
      <c r="I2522" t="s">
        <v>5975</v>
      </c>
      <c r="J2522">
        <v>22.79</v>
      </c>
      <c r="K2522" s="2" t="s">
        <v>6184</v>
      </c>
      <c r="L2522">
        <v>4.5</v>
      </c>
      <c r="M2522">
        <v>549</v>
      </c>
      <c r="O2522" t="s">
        <v>26</v>
      </c>
      <c r="P2522" t="s">
        <v>39</v>
      </c>
      <c r="Q2522" t="s">
        <v>5977</v>
      </c>
    </row>
    <row r="2523" spans="1:17" ht="15.75" x14ac:dyDescent="0.25">
      <c r="A2523" s="3" t="str">
        <f>HYPERLINK("https://prolisok-store.com/collections/makeup/products/sisley-phyto-levres-perfect-lipliner-with-lip-brush-and-sharpener-5-burgundy-1-2g-0-04oz", "https://prolisok-store.com/collections/makeup/products/sisley-phyto-levres-perfect-lipliner-with-lip-brush-and-sharpener-5-burgundy-1-2g-0-04oz")</f>
        <v>https://prolisok-store.com/collections/makeup/products/sisley-phyto-levres-perfect-lipliner-with-lip-brush-and-sharpener-5-burgundy-1-2g-0-04oz</v>
      </c>
      <c r="B2523" s="3" t="str">
        <f>HYPERLINK("https://prolisok-store.com/products/sisley-phyto-levres-perfect-lipliner-with-lip-brush-and-sharpener-5-burgundy-1-2g-0-04oz", "https://prolisok-store.com/products/sisley-phyto-levres-perfect-lipliner-with-lip-brush-and-sharpener-5-burgundy-1-2g-0-04oz")</f>
        <v>https://prolisok-store.com/products/sisley-phyto-levres-perfect-lipliner-with-lip-brush-and-sharpener-5-burgundy-1-2g-0-04oz</v>
      </c>
      <c r="C2523" t="s">
        <v>5959</v>
      </c>
      <c r="D2523" t="s">
        <v>6185</v>
      </c>
      <c r="E2523" s="3" t="str">
        <f>HYPERLINK("https://www.amazon.com/Sisley-Phyto-Levres-Perfect-Lipliner-Sharpener/dp/B00ZRPV3JK/ref=sr_1_6?keywords=Sisley+phyto+levres+perfect+lipliner+with+lip+brush+and+sharpener+-+%235+burgundy+1.2g%2F0.04oz&amp;qid=1695259523&amp;sr=8-6", "https://www.amazon.com/Sisley-Phyto-Levres-Perfect-Lipliner-Sharpener/dp/B00ZRPV3JK/ref=sr_1_6?keywords=Sisley+phyto+levres+perfect+lipliner+with+lip+brush+and+sharpener+-+%235+burgundy+1.2g%2F0.04oz&amp;qid=1695259523&amp;sr=8-6")</f>
        <v>https://www.amazon.com/Sisley-Phyto-Levres-Perfect-Lipliner-Sharpener/dp/B00ZRPV3JK/ref=sr_1_6?keywords=Sisley+phyto+levres+perfect+lipliner+with+lip+brush+and+sharpener+-+%235+burgundy+1.2g%2F0.04oz&amp;qid=1695259523&amp;sr=8-6</v>
      </c>
      <c r="F2523" t="s">
        <v>6186</v>
      </c>
      <c r="G2523" t="e">
        <f ca="1">IMAGE("https://prolisok-store.com/cdn/shop/products/187944_300x.jpg?v=1690900896")</f>
        <v>#NAME?</v>
      </c>
      <c r="H2523" t="e">
        <f ca="1">IMAGE("https://m.media-amazon.com/images/I/51ef7pzn-DL._AC_UL320_.jpg")</f>
        <v>#NAME?</v>
      </c>
      <c r="I2523" t="s">
        <v>5954</v>
      </c>
      <c r="J2523">
        <v>51.75</v>
      </c>
      <c r="K2523" s="2" t="s">
        <v>6187</v>
      </c>
      <c r="L2523">
        <v>4.5999999999999996</v>
      </c>
      <c r="M2523">
        <v>19</v>
      </c>
      <c r="O2523" t="s">
        <v>26</v>
      </c>
      <c r="P2523" t="s">
        <v>39</v>
      </c>
      <c r="Q2523" t="s">
        <v>5960</v>
      </c>
    </row>
    <row r="2524" spans="1:17" ht="15.75" x14ac:dyDescent="0.25">
      <c r="A2524" s="3" t="str">
        <f>HYPERLINK("https://prolisok-store.com/collections/makeup/products/sisley-phyto-levres-perfect-lipliner-with-lip-brush-and-sharpener-10-auburn-1-2g-0-04oz", "https://prolisok-store.com/collections/makeup/products/sisley-phyto-levres-perfect-lipliner-with-lip-brush-and-sharpener-10-auburn-1-2g-0-04oz")</f>
        <v>https://prolisok-store.com/collections/makeup/products/sisley-phyto-levres-perfect-lipliner-with-lip-brush-and-sharpener-10-auburn-1-2g-0-04oz</v>
      </c>
      <c r="B2524" s="3" t="str">
        <f>HYPERLINK("https://prolisok-store.com/products/sisley-phyto-levres-perfect-lipliner-with-lip-brush-and-sharpener-10-auburn-1-2g-0-04oz", "https://prolisok-store.com/products/sisley-phyto-levres-perfect-lipliner-with-lip-brush-and-sharpener-10-auburn-1-2g-0-04oz")</f>
        <v>https://prolisok-store.com/products/sisley-phyto-levres-perfect-lipliner-with-lip-brush-and-sharpener-10-auburn-1-2g-0-04oz</v>
      </c>
      <c r="C2524" t="s">
        <v>5961</v>
      </c>
      <c r="D2524" t="s">
        <v>6185</v>
      </c>
      <c r="E2524" s="3" t="str">
        <f>HYPERLINK("https://www.amazon.com/Sisley-Phyto-Levres-Perfect-Lipliner-Sharpener/dp/B00ZRPV3JK/ref=sr_1_1?keywords=Sisley+phyto+levres+perfect+lipliner+with+lip+brush+and+sharpener+-+%2310+auburn+1.2g%2F0.04oz&amp;qid=1695259518&amp;sr=8-1", "https://www.amazon.com/Sisley-Phyto-Levres-Perfect-Lipliner-Sharpener/dp/B00ZRPV3JK/ref=sr_1_1?keywords=Sisley+phyto+levres+perfect+lipliner+with+lip+brush+and+sharpener+-+%2310+auburn+1.2g%2F0.04oz&amp;qid=1695259518&amp;sr=8-1")</f>
        <v>https://www.amazon.com/Sisley-Phyto-Levres-Perfect-Lipliner-Sharpener/dp/B00ZRPV3JK/ref=sr_1_1?keywords=Sisley+phyto+levres+perfect+lipliner+with+lip+brush+and+sharpener+-+%2310+auburn+1.2g%2F0.04oz&amp;qid=1695259518&amp;sr=8-1</v>
      </c>
      <c r="F2524" t="s">
        <v>6186</v>
      </c>
      <c r="G2524" t="e">
        <f ca="1">IMAGE("https://prolisok-store.com/cdn/shop/products/288210_300x.jpg?v=1690900921")</f>
        <v>#NAME?</v>
      </c>
      <c r="H2524" t="e">
        <f ca="1">IMAGE("https://m.media-amazon.com/images/I/51ef7pzn-DL._AC_UL320_.jpg")</f>
        <v>#NAME?</v>
      </c>
      <c r="I2524" t="s">
        <v>5954</v>
      </c>
      <c r="J2524">
        <v>51.75</v>
      </c>
      <c r="K2524" s="2" t="s">
        <v>6187</v>
      </c>
      <c r="L2524">
        <v>4.5999999999999996</v>
      </c>
      <c r="M2524">
        <v>19</v>
      </c>
      <c r="O2524" t="s">
        <v>26</v>
      </c>
      <c r="P2524" t="s">
        <v>39</v>
      </c>
      <c r="Q2524" t="s">
        <v>5962</v>
      </c>
    </row>
    <row r="2525" spans="1:17" ht="15.75" x14ac:dyDescent="0.25">
      <c r="A2525" s="3" t="str">
        <f>HYPERLINK("https://prolisok-store.com/collections/makeup/products/sisley-phyto-teint-nude-water-infused-second-skin-foundation-00n-pearl-30ml-1oz", "https://prolisok-store.com/collections/makeup/products/sisley-phyto-teint-nude-water-infused-second-skin-foundation-00n-pearl-30ml-1oz")</f>
        <v>https://prolisok-store.com/collections/makeup/products/sisley-phyto-teint-nude-water-infused-second-skin-foundation-00n-pearl-30ml-1oz</v>
      </c>
      <c r="B2525" s="3" t="str">
        <f>HYPERLINK("https://prolisok-store.com/products/sisley-phyto-teint-nude-water-infused-second-skin-foundation-00n-pearl-30ml-1oz", "https://prolisok-store.com/products/sisley-phyto-teint-nude-water-infused-second-skin-foundation-00n-pearl-30ml-1oz")</f>
        <v>https://prolisok-store.com/products/sisley-phyto-teint-nude-water-infused-second-skin-foundation-00n-pearl-30ml-1oz</v>
      </c>
      <c r="C2525" t="s">
        <v>6188</v>
      </c>
      <c r="D2525" t="s">
        <v>6135</v>
      </c>
      <c r="E2525" s="3" t="str">
        <f>HYPERLINK("https://www.amazon.com/Sisley-Phyto-Infused-Second-Foundation/dp/B09MZ86F6H/ref=sr_1_1?keywords=Sisley+phyto+teint+nude+water+infused+second+skin+foundation+-&amp;qid=1695259499&amp;sr=8-1", "https://www.amazon.com/Sisley-Phyto-Infused-Second-Foundation/dp/B09MZ86F6H/ref=sr_1_1?keywords=Sisley+phyto+teint+nude+water+infused+second+skin+foundation+-&amp;qid=1695259499&amp;sr=8-1")</f>
        <v>https://www.amazon.com/Sisley-Phyto-Infused-Second-Foundation/dp/B09MZ86F6H/ref=sr_1_1?keywords=Sisley+phyto+teint+nude+water+infused+second+skin+foundation+-&amp;qid=1695259499&amp;sr=8-1</v>
      </c>
      <c r="F2525" t="s">
        <v>6136</v>
      </c>
      <c r="G2525" t="e">
        <f ca="1">IMAGE("https://prolisok-store.com/cdn/shop/products/424056_300x.jpg?v=1690900607")</f>
        <v>#NAME?</v>
      </c>
      <c r="H2525" t="e">
        <f ca="1">IMAGE("https://m.media-amazon.com/images/I/31qTHBpoNkL._AC_UL320_.jpg")</f>
        <v>#NAME?</v>
      </c>
      <c r="I2525" t="s">
        <v>6189</v>
      </c>
      <c r="J2525">
        <v>93.92</v>
      </c>
      <c r="K2525" s="2" t="s">
        <v>6190</v>
      </c>
      <c r="L2525">
        <v>4</v>
      </c>
      <c r="M2525">
        <v>1</v>
      </c>
      <c r="O2525" t="s">
        <v>26</v>
      </c>
      <c r="P2525" t="s">
        <v>39</v>
      </c>
      <c r="Q2525" t="s">
        <v>6191</v>
      </c>
    </row>
    <row r="2526" spans="1:17" ht="15.75" x14ac:dyDescent="0.25">
      <c r="A2526" s="3" t="str">
        <f>HYPERLINK("https://prolisok-store.com/collections/makeup/products/dabalash-eye-lash-enhancer", "https://prolisok-store.com/collections/makeup/products/dabalash-eye-lash-enhancer")</f>
        <v>https://prolisok-store.com/collections/makeup/products/dabalash-eye-lash-enhancer</v>
      </c>
      <c r="B2526" s="3" t="str">
        <f>HYPERLINK("https://prolisok-store.com/products/dabalash-eye-lash-enhancer", "https://prolisok-store.com/products/dabalash-eye-lash-enhancer")</f>
        <v>https://prolisok-store.com/products/dabalash-eye-lash-enhancer</v>
      </c>
      <c r="C2526" t="s">
        <v>4424</v>
      </c>
      <c r="D2526" t="s">
        <v>4965</v>
      </c>
      <c r="E2526" s="3" t="str">
        <f>HYPERLINK("https://www.amazon.com/Dabalash-Professional-Eyelash-Enhancer-0-18FL/dp/B089S5J4JQ/ref=sr_1_1?keywords=Dabalash+Eye+Lash+Enhancer&amp;qid=1695259453&amp;sr=8-1", "https://www.amazon.com/Dabalash-Professional-Eyelash-Enhancer-0-18FL/dp/B089S5J4JQ/ref=sr_1_1?keywords=Dabalash+Eye+Lash+Enhancer&amp;qid=1695259453&amp;sr=8-1")</f>
        <v>https://www.amazon.com/Dabalash-Professional-Eyelash-Enhancer-0-18FL/dp/B089S5J4JQ/ref=sr_1_1?keywords=Dabalash+Eye+Lash+Enhancer&amp;qid=1695259453&amp;sr=8-1</v>
      </c>
      <c r="F2526" t="s">
        <v>4966</v>
      </c>
      <c r="G2526" t="e">
        <f ca="1">IMAGE("https://prolisok-store.com/cdn/shop/files/71dLRMnmysL._AC_SL1500_300x.jpg?v=1692864868")</f>
        <v>#NAME?</v>
      </c>
      <c r="H2526" t="e">
        <f ca="1">IMAGE("https://m.media-amazon.com/images/I/51UvMdLZWaL._AC_UL320_.jpg")</f>
        <v>#NAME?</v>
      </c>
      <c r="I2526" t="s">
        <v>3458</v>
      </c>
      <c r="J2526">
        <v>20.85</v>
      </c>
      <c r="K2526" s="2" t="s">
        <v>4967</v>
      </c>
      <c r="L2526">
        <v>3.6</v>
      </c>
      <c r="M2526">
        <v>30</v>
      </c>
      <c r="O2526" t="s">
        <v>26</v>
      </c>
      <c r="P2526" t="s">
        <v>39</v>
      </c>
      <c r="Q2526" t="s">
        <v>4428</v>
      </c>
    </row>
    <row r="2527" spans="1:17" ht="15.75" x14ac:dyDescent="0.25">
      <c r="A2527"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527" s="3" t="str">
        <f>HYPERLINK("https://prolisok-store.com/products/mac-studio-fix-24-hour-smooth-wear-concealer-nc48-6-8ml-0-23oz", "https://prolisok-store.com/products/mac-studio-fix-24-hour-smooth-wear-concealer-nc48-6-8ml-0-23oz")</f>
        <v>https://prolisok-store.com/products/mac-studio-fix-24-hour-smooth-wear-concealer-nc48-6-8ml-0-23oz</v>
      </c>
      <c r="C2527" t="s">
        <v>6091</v>
      </c>
      <c r="D2527" t="s">
        <v>6192</v>
      </c>
      <c r="E2527" s="3" t="str">
        <f>HYPERLINK("https://www.amazon.com/MAC-Studio-24-Hour-Smooth-Concealer/dp/B004OKTJM2/ref=sr_1_4?keywords=MAC+studio+fix+24-hour+smooth+wear+concealer+-+nc48+-6.8ml%2F0.23oz&amp;qid=1695259540&amp;sr=8-4", "https://www.amazon.com/MAC-Studio-24-Hour-Smooth-Concealer/dp/B004OKTJM2/ref=sr_1_4?keywords=MAC+studio+fix+24-hour+smooth+wear+concealer+-+nc48+-6.8ml%2F0.23oz&amp;qid=1695259540&amp;sr=8-4")</f>
        <v>https://www.amazon.com/MAC-Studio-24-Hour-Smooth-Concealer/dp/B004OKTJM2/ref=sr_1_4?keywords=MAC+studio+fix+24-hour+smooth+wear+concealer+-+nc48+-6.8ml%2F0.23oz&amp;qid=1695259540&amp;sr=8-4</v>
      </c>
      <c r="F2527" t="s">
        <v>6193</v>
      </c>
      <c r="G2527" t="e">
        <f ca="1">IMAGE("https://prolisok-store.com/cdn/shop/products/360310_300x.jpg?v=1690393914")</f>
        <v>#NAME?</v>
      </c>
      <c r="H2527" t="e">
        <f ca="1">IMAGE("https://m.media-amazon.com/images/I/61dJcfOs89L._AC_UL320_.jpg")</f>
        <v>#NAME?</v>
      </c>
      <c r="I2527" t="s">
        <v>6094</v>
      </c>
      <c r="J2527">
        <v>28</v>
      </c>
      <c r="K2527" s="2" t="s">
        <v>6194</v>
      </c>
      <c r="L2527">
        <v>5</v>
      </c>
      <c r="M2527">
        <v>1</v>
      </c>
      <c r="O2527" t="s">
        <v>26</v>
      </c>
      <c r="P2527" t="s">
        <v>39</v>
      </c>
      <c r="Q2527" t="s">
        <v>6096</v>
      </c>
    </row>
    <row r="2528" spans="1:17" ht="15.75" x14ac:dyDescent="0.25">
      <c r="A2528"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528" s="3" t="str">
        <f>HYPERLINK("https://prolisok-store.com/products/mac-studio-fix-24-hour-smooth-wear-concealer-nc48-6-8ml-0-23oz", "https://prolisok-store.com/products/mac-studio-fix-24-hour-smooth-wear-concealer-nc48-6-8ml-0-23oz")</f>
        <v>https://prolisok-store.com/products/mac-studio-fix-24-hour-smooth-wear-concealer-nc48-6-8ml-0-23oz</v>
      </c>
      <c r="C2528" t="s">
        <v>6091</v>
      </c>
      <c r="D2528" t="s">
        <v>6195</v>
      </c>
      <c r="E2528" s="3" t="str">
        <f>HYPERLINK("https://www.amazon.com/Studio-24-Hour-Smooth-Wear-Concealer/dp/B07QP2VRXZ/ref=sr_1_8?keywords=MAC+studio+fix+24-hour+smooth+wear+concealer+-+nc48+-6.8ml%2F0.23oz&amp;qid=1695259540&amp;sr=8-8", "https://www.amazon.com/Studio-24-Hour-Smooth-Wear-Concealer/dp/B07QP2VRXZ/ref=sr_1_8?keywords=MAC+studio+fix+24-hour+smooth+wear+concealer+-+nc48+-6.8ml%2F0.23oz&amp;qid=1695259540&amp;sr=8-8")</f>
        <v>https://www.amazon.com/Studio-24-Hour-Smooth-Wear-Concealer/dp/B07QP2VRXZ/ref=sr_1_8?keywords=MAC+studio+fix+24-hour+smooth+wear+concealer+-+nc48+-6.8ml%2F0.23oz&amp;qid=1695259540&amp;sr=8-8</v>
      </c>
      <c r="F2528" t="s">
        <v>6196</v>
      </c>
      <c r="G2528" t="e">
        <f ca="1">IMAGE("https://prolisok-store.com/cdn/shop/products/360310_300x.jpg?v=1690393914")</f>
        <v>#NAME?</v>
      </c>
      <c r="H2528" t="e">
        <f ca="1">IMAGE("https://m.media-amazon.com/images/I/21WO9FNKqTS._AC_UL320_.jpg")</f>
        <v>#NAME?</v>
      </c>
      <c r="I2528" t="s">
        <v>6094</v>
      </c>
      <c r="J2528">
        <v>27.83</v>
      </c>
      <c r="K2528" s="2" t="s">
        <v>6197</v>
      </c>
      <c r="L2528">
        <v>4.5999999999999996</v>
      </c>
      <c r="M2528">
        <v>10</v>
      </c>
      <c r="O2528" t="s">
        <v>26</v>
      </c>
      <c r="P2528" t="s">
        <v>39</v>
      </c>
      <c r="Q2528" t="s">
        <v>6096</v>
      </c>
    </row>
    <row r="2529" spans="1:17" ht="15.75" x14ac:dyDescent="0.25">
      <c r="A2529" s="3" t="str">
        <f>HYPERLINK("https://prolisok-store.com/collections/makeup/products/estee-lauder-double-wear-stay-in-place-makeup-spf-10-no-3n2-wheat-30ml-1oz", "https://prolisok-store.com/collections/makeup/products/estee-lauder-double-wear-stay-in-place-makeup-spf-10-no-3n2-wheat-30ml-1oz")</f>
        <v>https://prolisok-store.com/collections/makeup/products/estee-lauder-double-wear-stay-in-place-makeup-spf-10-no-3n2-wheat-30ml-1oz</v>
      </c>
      <c r="B2529" s="3" t="str">
        <f>HYPERLINK("https://prolisok-store.com/products/estee-lauder-double-wear-stay-in-place-makeup-spf-10-no-3n2-wheat-30ml-1oz", "https://prolisok-store.com/products/estee-lauder-double-wear-stay-in-place-makeup-spf-10-no-3n2-wheat-30ml-1oz")</f>
        <v>https://prolisok-store.com/products/estee-lauder-double-wear-stay-in-place-makeup-spf-10-no-3n2-wheat-30ml-1oz</v>
      </c>
      <c r="C2529" t="s">
        <v>6198</v>
      </c>
      <c r="D2529" t="s">
        <v>6199</v>
      </c>
      <c r="E2529" s="3" t="str">
        <f>HYPERLINK("https://www.amazon.com/Estee-Lauder-Double-place-Makeup/dp/B00KU6CGZ6/ref=sr_1_5?keywords=Estee+Lauder+double+wear+stay+in+place+makeup+spf+10+-+no.+3n2+wheat+30ml%2F1oz&amp;qid=1695259525&amp;sr=8-5", "https://www.amazon.com/Estee-Lauder-Double-place-Makeup/dp/B00KU6CGZ6/ref=sr_1_5?keywords=Estee+Lauder+double+wear+stay+in+place+makeup+spf+10+-+no.+3n2+wheat+30ml%2F1oz&amp;qid=1695259525&amp;sr=8-5")</f>
        <v>https://www.amazon.com/Estee-Lauder-Double-place-Makeup/dp/B00KU6CGZ6/ref=sr_1_5?keywords=Estee+Lauder+double+wear+stay+in+place+makeup+spf+10+-+no.+3n2+wheat+30ml%2F1oz&amp;qid=1695259525&amp;sr=8-5</v>
      </c>
      <c r="F2529" t="s">
        <v>6200</v>
      </c>
      <c r="G2529" t="e">
        <f ca="1">IMAGE("https://prolisok-store.com/cdn/shop/products/462865_300x.jpg?v=1690900266")</f>
        <v>#NAME?</v>
      </c>
      <c r="H2529" t="e">
        <f ca="1">IMAGE("https://m.media-amazon.com/images/I/81B8Ga5E4RL._AC_UL320_.jpg")</f>
        <v>#NAME?</v>
      </c>
      <c r="I2529" t="s">
        <v>4432</v>
      </c>
      <c r="J2529">
        <v>46.37</v>
      </c>
      <c r="K2529" s="2" t="s">
        <v>6201</v>
      </c>
      <c r="L2529">
        <v>4.5999999999999996</v>
      </c>
      <c r="M2529">
        <v>3</v>
      </c>
      <c r="O2529" t="s">
        <v>26</v>
      </c>
      <c r="P2529" t="s">
        <v>39</v>
      </c>
      <c r="Q2529" t="s">
        <v>6202</v>
      </c>
    </row>
    <row r="2530" spans="1:17" ht="15.75" x14ac:dyDescent="0.25">
      <c r="A2530" s="3" t="str">
        <f>HYPERLINK("https://prolisok-store.com/collections/makeup/products/clinique-by-clinique-stay-matte-powder-oil-free-no-03-stay-beige-7-6g-0-27oz", "https://prolisok-store.com/collections/makeup/products/clinique-by-clinique-stay-matte-powder-oil-free-no-03-stay-beige-7-6g-0-27oz")</f>
        <v>https://prolisok-store.com/collections/makeup/products/clinique-by-clinique-stay-matte-powder-oil-free-no-03-stay-beige-7-6g-0-27oz</v>
      </c>
      <c r="B2530" s="3" t="str">
        <f>HYPERLINK("https://prolisok-store.com/products/clinique-by-clinique-stay-matte-powder-oil-free-no-03-stay-beige-7-6g-0-27oz", "https://prolisok-store.com/products/clinique-by-clinique-stay-matte-powder-oil-free-no-03-stay-beige-7-6g-0-27oz")</f>
        <v>https://prolisok-store.com/products/clinique-by-clinique-stay-matte-powder-oil-free-no-03-stay-beige-7-6g-0-27oz</v>
      </c>
      <c r="C2530" t="s">
        <v>6158</v>
      </c>
      <c r="D2530" t="s">
        <v>6203</v>
      </c>
      <c r="E2530" s="3" t="str">
        <f>HYPERLINK("https://www.amazon.com/Stay-Matte-Powder-Oil-Free/dp/B005REN0DI/ref=sr_1_2?keywords=Clinique+stay+matte+powder+oil+free+-+no.+03+stay+beige+--7.6g%2F0.27oz&amp;qid=1695259504&amp;sr=8-2", "https://www.amazon.com/Stay-Matte-Powder-Oil-Free/dp/B005REN0DI/ref=sr_1_2?keywords=Clinique+stay+matte+powder+oil+free+-+no.+03+stay+beige+--7.6g%2F0.27oz&amp;qid=1695259504&amp;sr=8-2")</f>
        <v>https://www.amazon.com/Stay-Matte-Powder-Oil-Free/dp/B005REN0DI/ref=sr_1_2?keywords=Clinique+stay+matte+powder+oil+free+-+no.+03+stay+beige+--7.6g%2F0.27oz&amp;qid=1695259504&amp;sr=8-2</v>
      </c>
      <c r="F2530" t="s">
        <v>6204</v>
      </c>
      <c r="G2530" t="e">
        <f ca="1">IMAGE("https://prolisok-store.com/cdn/shop/products/168575_300x.jpg?v=1688060505")</f>
        <v>#NAME?</v>
      </c>
      <c r="H2530" t="e">
        <f ca="1">IMAGE("https://m.media-amazon.com/images/I/519bXkexuLL._AC_UL320_.jpg")</f>
        <v>#NAME?</v>
      </c>
      <c r="I2530" t="s">
        <v>6111</v>
      </c>
      <c r="J2530">
        <v>38</v>
      </c>
      <c r="K2530" s="2" t="s">
        <v>6205</v>
      </c>
      <c r="L2530">
        <v>4.8</v>
      </c>
      <c r="M2530">
        <v>214</v>
      </c>
      <c r="O2530" t="s">
        <v>26</v>
      </c>
      <c r="P2530" t="s">
        <v>39</v>
      </c>
      <c r="Q2530" t="s">
        <v>6162</v>
      </c>
    </row>
    <row r="2531" spans="1:17" ht="15.75" x14ac:dyDescent="0.25">
      <c r="A2531" s="3" t="str">
        <f>HYPERLINK("https://prolisok-store.com/collections/makeup/products/clinique-by-clinique-stay-matte-powder-oil-free-no-03-stay-beige-7-6g-0-27oz", "https://prolisok-store.com/collections/makeup/products/clinique-by-clinique-stay-matte-powder-oil-free-no-03-stay-beige-7-6g-0-27oz")</f>
        <v>https://prolisok-store.com/collections/makeup/products/clinique-by-clinique-stay-matte-powder-oil-free-no-03-stay-beige-7-6g-0-27oz</v>
      </c>
      <c r="B2531" s="3" t="str">
        <f>HYPERLINK("https://prolisok-store.com/products/clinique-by-clinique-stay-matte-powder-oil-free-no-03-stay-beige-7-6g-0-27oz", "https://prolisok-store.com/products/clinique-by-clinique-stay-matte-powder-oil-free-no-03-stay-beige-7-6g-0-27oz")</f>
        <v>https://prolisok-store.com/products/clinique-by-clinique-stay-matte-powder-oil-free-no-03-stay-beige-7-6g-0-27oz</v>
      </c>
      <c r="C2531" t="s">
        <v>6158</v>
      </c>
      <c r="D2531" t="s">
        <v>6206</v>
      </c>
      <c r="E2531" s="3" t="str">
        <f>HYPERLINK("https://www.amazon.com/Clinique-Stay-Matte-Powder-Free/dp/B002NMXYF6/ref=sr_1_1?keywords=Clinique+stay+matte+powder+oil+free+-+no.+03+stay+beige+--7.6g%2F0.27oz&amp;qid=1695259504&amp;sr=8-1", "https://www.amazon.com/Clinique-Stay-Matte-Powder-Free/dp/B002NMXYF6/ref=sr_1_1?keywords=Clinique+stay+matte+powder+oil+free+-+no.+03+stay+beige+--7.6g%2F0.27oz&amp;qid=1695259504&amp;sr=8-1")</f>
        <v>https://www.amazon.com/Clinique-Stay-Matte-Powder-Free/dp/B002NMXYF6/ref=sr_1_1?keywords=Clinique+stay+matte+powder+oil+free+-+no.+03+stay+beige+--7.6g%2F0.27oz&amp;qid=1695259504&amp;sr=8-1</v>
      </c>
      <c r="F2531" t="s">
        <v>6207</v>
      </c>
      <c r="G2531" t="e">
        <f ca="1">IMAGE("https://prolisok-store.com/cdn/shop/products/168575_300x.jpg?v=1688060505")</f>
        <v>#NAME?</v>
      </c>
      <c r="H2531" t="e">
        <f ca="1">IMAGE("https://m.media-amazon.com/images/I/71NDnsLFcrL._AC_UL320_.jpg")</f>
        <v>#NAME?</v>
      </c>
      <c r="I2531" t="s">
        <v>6111</v>
      </c>
      <c r="J2531">
        <v>38</v>
      </c>
      <c r="K2531" s="2" t="s">
        <v>6205</v>
      </c>
      <c r="L2531">
        <v>4.9000000000000004</v>
      </c>
      <c r="M2531">
        <v>10</v>
      </c>
      <c r="O2531" t="s">
        <v>26</v>
      </c>
      <c r="P2531" t="s">
        <v>39</v>
      </c>
      <c r="Q2531" t="s">
        <v>6162</v>
      </c>
    </row>
    <row r="2532" spans="1:17" ht="15.75" x14ac:dyDescent="0.25">
      <c r="A2532" s="3" t="str">
        <f>HYPERLINK("https://prolisok-store.com/collections/makeup/products/estee-lauder-pure-color-envy-sculpting-lipstick-360-fierce-0-12-ounce", "https://prolisok-store.com/collections/makeup/products/estee-lauder-pure-color-envy-sculpting-lipstick-360-fierce-0-12-ounce")</f>
        <v>https://prolisok-store.com/collections/makeup/products/estee-lauder-pure-color-envy-sculpting-lipstick-360-fierce-0-12-ounce</v>
      </c>
      <c r="B2532"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2532" t="s">
        <v>4452</v>
      </c>
      <c r="D2532" t="s">
        <v>4968</v>
      </c>
      <c r="E2532" s="3" t="str">
        <f>HYPERLINK("https://www.amazon.com/Estee-Lauder-Sculpting-Lipstick-Envious/dp/B081KYH7DR/ref=sr_1_9?keywords=Estee+Lauder+Pure+Color+Envy+Sculpting+Lipstick+%23360+Fierce%2C+0.12+Ounce&amp;qid=1695259450&amp;sr=8-9", "https://www.amazon.com/Estee-Lauder-Sculpting-Lipstick-Envious/dp/B081KYH7DR/ref=sr_1_9?keywords=Estee+Lauder+Pure+Color+Envy+Sculpting+Lipstick+%23360+Fierce%2C+0.12+Ounce&amp;qid=1695259450&amp;sr=8-9")</f>
        <v>https://www.amazon.com/Estee-Lauder-Sculpting-Lipstick-Envious/dp/B081KYH7DR/ref=sr_1_9?keywords=Estee+Lauder+Pure+Color+Envy+Sculpting+Lipstick+%23360+Fierce%2C+0.12+Ounce&amp;qid=1695259450&amp;sr=8-9</v>
      </c>
      <c r="F2532" t="s">
        <v>4969</v>
      </c>
      <c r="G2532" t="e">
        <f ca="1">IMAGE("https://prolisok-store.com/cdn/shop/products/61OXcvCJbTL._SL1500_300x.jpg?v=1681307706")</f>
        <v>#NAME?</v>
      </c>
      <c r="H2532" t="e">
        <f ca="1">IMAGE("https://m.media-amazon.com/images/I/71Pi6tBVssL._AC_UL320_.jpg")</f>
        <v>#NAME?</v>
      </c>
      <c r="I2532" t="s">
        <v>3419</v>
      </c>
      <c r="J2532">
        <v>15.38</v>
      </c>
      <c r="K2532" s="2" t="s">
        <v>4970</v>
      </c>
      <c r="L2532">
        <v>4.3</v>
      </c>
      <c r="M2532">
        <v>19</v>
      </c>
      <c r="O2532" t="s">
        <v>26</v>
      </c>
      <c r="P2532" t="s">
        <v>39</v>
      </c>
      <c r="Q2532" t="s">
        <v>4456</v>
      </c>
    </row>
    <row r="2533" spans="1:17" ht="15.75" x14ac:dyDescent="0.25">
      <c r="A2533" s="3" t="str">
        <f>HYPERLINK("https://prolisok-store.com/collections/makeup/products/clinique-by-clinique-chubby-lash-fattening-mascara-01-jumbo-jet-10ml-0-4oz", "https://prolisok-store.com/collections/makeup/products/clinique-by-clinique-chubby-lash-fattening-mascara-01-jumbo-jet-10ml-0-4oz")</f>
        <v>https://prolisok-store.com/collections/makeup/products/clinique-by-clinique-chubby-lash-fattening-mascara-01-jumbo-jet-10ml-0-4oz</v>
      </c>
      <c r="B2533"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533" t="s">
        <v>6208</v>
      </c>
      <c r="D2533" t="s">
        <v>6209</v>
      </c>
      <c r="E2533" s="3" t="str">
        <f>HYPERLINK("https://www.amazon.com/Clinique-Chubby-Lash-Fattening-Mascara/dp/B0093OJWTO/ref=sr_1_3?keywords=Clinique+chubby+lash+fattening+mascara+-+%2301+jumbo+jet+--10ml%2F0.4oz&amp;qid=1695259544&amp;sr=8-3", "https://www.amazon.com/Clinique-Chubby-Lash-Fattening-Mascara/dp/B0093OJWTO/ref=sr_1_3?keywords=Clinique+chubby+lash+fattening+mascara+-+%2301+jumbo+jet+--10ml%2F0.4oz&amp;qid=1695259544&amp;sr=8-3")</f>
        <v>https://www.amazon.com/Clinique-Chubby-Lash-Fattening-Mascara/dp/B0093OJWTO/ref=sr_1_3?keywords=Clinique+chubby+lash+fattening+mascara+-+%2301+jumbo+jet+--10ml%2F0.4oz&amp;qid=1695259544&amp;sr=8-3</v>
      </c>
      <c r="F2533" t="s">
        <v>6210</v>
      </c>
      <c r="G2533" t="e">
        <f ca="1">IMAGE("https://prolisok-store.com/cdn/shop/files/B-MRKTS-1062_300x.png?v=1690307144")</f>
        <v>#NAME?</v>
      </c>
      <c r="H2533" t="e">
        <f ca="1">IMAGE("https://m.media-amazon.com/images/I/61EDa9mYriL._AC_UL320_.jpg")</f>
        <v>#NAME?</v>
      </c>
      <c r="I2533" t="s">
        <v>6000</v>
      </c>
      <c r="J2533">
        <v>23.99</v>
      </c>
      <c r="K2533" s="2" t="s">
        <v>6211</v>
      </c>
      <c r="L2533">
        <v>4.5</v>
      </c>
      <c r="M2533">
        <v>35</v>
      </c>
      <c r="O2533" t="s">
        <v>26</v>
      </c>
      <c r="P2533" t="s">
        <v>39</v>
      </c>
      <c r="Q2533" t="s">
        <v>6212</v>
      </c>
    </row>
    <row r="2534" spans="1:17" ht="15.75" x14ac:dyDescent="0.25">
      <c r="A2534" s="3" t="str">
        <f>HYPERLINK("https://prolisok-store.com/collections/makeup/products/sisley-phyto-khol-star-waterproof-10-mystic-plum-0-3g-0-01oz", "https://prolisok-store.com/collections/makeup/products/sisley-phyto-khol-star-waterproof-10-mystic-plum-0-3g-0-01oz")</f>
        <v>https://prolisok-store.com/collections/makeup/products/sisley-phyto-khol-star-waterproof-10-mystic-plum-0-3g-0-01oz</v>
      </c>
      <c r="B2534" s="3" t="str">
        <f>HYPERLINK("https://prolisok-store.com/products/sisley-phyto-khol-star-waterproof-10-mystic-plum-0-3g-0-01oz", "https://prolisok-store.com/products/sisley-phyto-khol-star-waterproof-10-mystic-plum-0-3g-0-01oz")</f>
        <v>https://prolisok-store.com/products/sisley-phyto-khol-star-waterproof-10-mystic-plum-0-3g-0-01oz</v>
      </c>
      <c r="C2534" t="s">
        <v>6213</v>
      </c>
      <c r="D2534" t="s">
        <v>6214</v>
      </c>
      <c r="E2534" s="3" t="str">
        <f>HYPERLINK("https://www.amazon.com/Phyto-Khol-Star-Waterproof-Sisley-Mystic/dp/B088R2NN1N/ref=sr_1_4?keywords=Sisley+phyto+khol+star+waterproof+-&amp;qid=1695259512&amp;sr=8-4", "https://www.amazon.com/Phyto-Khol-Star-Waterproof-Sisley-Mystic/dp/B088R2NN1N/ref=sr_1_4?keywords=Sisley+phyto+khol+star+waterproof+-&amp;qid=1695259512&amp;sr=8-4")</f>
        <v>https://www.amazon.com/Phyto-Khol-Star-Waterproof-Sisley-Mystic/dp/B088R2NN1N/ref=sr_1_4?keywords=Sisley+phyto+khol+star+waterproof+-&amp;qid=1695259512&amp;sr=8-4</v>
      </c>
      <c r="F2534" t="s">
        <v>6215</v>
      </c>
      <c r="G2534" t="e">
        <f ca="1">IMAGE("https://prolisok-store.com/cdn/shop/products/365110_300x.jpg?v=1690900723")</f>
        <v>#NAME?</v>
      </c>
      <c r="H2534" t="e">
        <f ca="1">IMAGE("https://m.media-amazon.com/images/I/51ILgYiX-+L._AC_UL320_.jpg")</f>
        <v>#NAME?</v>
      </c>
      <c r="I2534" t="s">
        <v>5954</v>
      </c>
      <c r="J2534">
        <v>50.64</v>
      </c>
      <c r="K2534" s="2" t="s">
        <v>6216</v>
      </c>
      <c r="L2534">
        <v>5</v>
      </c>
      <c r="M2534">
        <v>2</v>
      </c>
      <c r="O2534" t="s">
        <v>26</v>
      </c>
      <c r="P2534" t="s">
        <v>39</v>
      </c>
      <c r="Q2534" t="s">
        <v>6217</v>
      </c>
    </row>
    <row r="2535" spans="1:17" ht="15.75" x14ac:dyDescent="0.25">
      <c r="A2535" s="3" t="str">
        <f>HYPERLINK("https://prolisok-store.com/collections/makeup/products/mac-studio-fix-soft-matte-foundation-stick-nw13-9g-0-32oz", "https://prolisok-store.com/collections/makeup/products/mac-studio-fix-soft-matte-foundation-stick-nw13-9g-0-32oz")</f>
        <v>https://prolisok-store.com/collections/makeup/products/mac-studio-fix-soft-matte-foundation-stick-nw13-9g-0-32oz</v>
      </c>
      <c r="B2535" s="3" t="str">
        <f>HYPERLINK("https://prolisok-store.com/products/mac-studio-fix-soft-matte-foundation-stick-nw13-9g-0-32oz", "https://prolisok-store.com/products/mac-studio-fix-soft-matte-foundation-stick-nw13-9g-0-32oz")</f>
        <v>https://prolisok-store.com/products/mac-studio-fix-soft-matte-foundation-stick-nw13-9g-0-32oz</v>
      </c>
      <c r="C2535" t="s">
        <v>6017</v>
      </c>
      <c r="D2535" t="s">
        <v>6218</v>
      </c>
      <c r="E2535" s="3" t="str">
        <f>HYPERLINK("https://www.amazon.com/COSMETICS-STUDIO-MATTE-FOUNDATION-STICK/dp/B09RXZZP1M/ref=sr_1_9?keywords=MAC+studio+fix+soft+matte+foundation+stick+-+nw13+-9g%2F0.32oz&amp;qid=1695259544&amp;sr=8-9", "https://www.amazon.com/COSMETICS-STUDIO-MATTE-FOUNDATION-STICK/dp/B09RXZZP1M/ref=sr_1_9?keywords=MAC+studio+fix+soft+matte+foundation+stick+-+nw13+-9g%2F0.32oz&amp;qid=1695259544&amp;sr=8-9")</f>
        <v>https://www.amazon.com/COSMETICS-STUDIO-MATTE-FOUNDATION-STICK/dp/B09RXZZP1M/ref=sr_1_9?keywords=MAC+studio+fix+soft+matte+foundation+stick+-+nw13+-9g%2F0.32oz&amp;qid=1695259544&amp;sr=8-9</v>
      </c>
      <c r="F2535" t="s">
        <v>6219</v>
      </c>
      <c r="G2535" t="e">
        <f ca="1">IMAGE("https://prolisok-store.com/cdn/shop/products/409455_300x.jpg?v=1690393877")</f>
        <v>#NAME?</v>
      </c>
      <c r="H2535" t="e">
        <f ca="1">IMAGE("https://m.media-amazon.com/images/I/41brkYYLpHL._AC_UL320_.jpg")</f>
        <v>#NAME?</v>
      </c>
      <c r="I2535" t="s">
        <v>6020</v>
      </c>
      <c r="J2535">
        <v>34.97</v>
      </c>
      <c r="K2535" s="2" t="s">
        <v>6220</v>
      </c>
      <c r="L2535">
        <v>4.5</v>
      </c>
      <c r="M2535">
        <v>4</v>
      </c>
      <c r="O2535" t="s">
        <v>26</v>
      </c>
      <c r="P2535" t="s">
        <v>39</v>
      </c>
      <c r="Q2535" t="s">
        <v>6022</v>
      </c>
    </row>
    <row r="2536" spans="1:17" ht="15.75" x14ac:dyDescent="0.25">
      <c r="A2536" s="3" t="str">
        <f>HYPERLINK("https://prolisok-store.com/collections/makeup/products/clinique-by-clinique-take-the-day-off-make-up-remover-125ml-4-2oz", "https://prolisok-store.com/collections/makeup/products/clinique-by-clinique-take-the-day-off-make-up-remover-125ml-4-2oz")</f>
        <v>https://prolisok-store.com/collections/makeup/products/clinique-by-clinique-take-the-day-off-make-up-remover-125ml-4-2oz</v>
      </c>
      <c r="B2536" s="3" t="str">
        <f>HYPERLINK("https://prolisok-store.com/products/clinique-by-clinique-take-the-day-off-make-up-remover-125ml-4-2oz", "https://prolisok-store.com/products/clinique-by-clinique-take-the-day-off-make-up-remover-125ml-4-2oz")</f>
        <v>https://prolisok-store.com/products/clinique-by-clinique-take-the-day-off-make-up-remover-125ml-4-2oz</v>
      </c>
      <c r="C2536" t="s">
        <v>5997</v>
      </c>
      <c r="D2536" t="s">
        <v>6221</v>
      </c>
      <c r="E2536" s="3" t="str">
        <f>HYPERLINK("https://www.amazon.com/Clinique-Cleanser-Makeup-Remover-Lashes/dp/B07PJ94K7R/ref=sr_1_5?keywords=Clinique+take+the+day+off+make+up+remover+--125ml%2F4.2oz&amp;qid=1695259552&amp;sr=8-5", "https://www.amazon.com/Clinique-Cleanser-Makeup-Remover-Lashes/dp/B07PJ94K7R/ref=sr_1_5?keywords=Clinique+take+the+day+off+make+up+remover+--125ml%2F4.2oz&amp;qid=1695259552&amp;sr=8-5")</f>
        <v>https://www.amazon.com/Clinique-Cleanser-Makeup-Remover-Lashes/dp/B07PJ94K7R/ref=sr_1_5?keywords=Clinique+take+the+day+off+make+up+remover+--125ml%2F4.2oz&amp;qid=1695259552&amp;sr=8-5</v>
      </c>
      <c r="F2536" t="s">
        <v>6222</v>
      </c>
      <c r="G2536" t="e">
        <f ca="1">IMAGE("https://prolisok-store.com/cdn/shop/products/129645_300x.jpg?v=1688060465")</f>
        <v>#NAME?</v>
      </c>
      <c r="H2536" t="e">
        <f ca="1">IMAGE("https://m.media-amazon.com/images/I/61nXryWVVQL._AC_UL320_.jpg")</f>
        <v>#NAME?</v>
      </c>
      <c r="I2536" t="s">
        <v>6000</v>
      </c>
      <c r="J2536">
        <v>23.78</v>
      </c>
      <c r="K2536" s="2" t="s">
        <v>6223</v>
      </c>
      <c r="L2536">
        <v>4.9000000000000004</v>
      </c>
      <c r="M2536">
        <v>53</v>
      </c>
      <c r="O2536" t="s">
        <v>26</v>
      </c>
      <c r="P2536" t="s">
        <v>39</v>
      </c>
      <c r="Q2536" t="s">
        <v>6002</v>
      </c>
    </row>
    <row r="2537" spans="1:17" ht="15.75" x14ac:dyDescent="0.25">
      <c r="A2537" s="3" t="str">
        <f>HYPERLINK("https://prolisok-store.com/collections/makeup/products/sisley-phyto-sourcils-fix-thickening-gel-2-medium-dark-5ml-0-16oz", "https://prolisok-store.com/collections/makeup/products/sisley-phyto-sourcils-fix-thickening-gel-2-medium-dark-5ml-0-16oz")</f>
        <v>https://prolisok-store.com/collections/makeup/products/sisley-phyto-sourcils-fix-thickening-gel-2-medium-dark-5ml-0-16oz</v>
      </c>
      <c r="B2537" s="3" t="str">
        <f>HYPERLINK("https://prolisok-store.com/products/sisley-phyto-sourcils-fix-thickening-gel-2-medium-dark-5ml-0-16oz", "https://prolisok-store.com/products/sisley-phyto-sourcils-fix-thickening-gel-2-medium-dark-5ml-0-16oz")</f>
        <v>https://prolisok-store.com/products/sisley-phyto-sourcils-fix-thickening-gel-2-medium-dark-5ml-0-16oz</v>
      </c>
      <c r="C2537" t="s">
        <v>6224</v>
      </c>
      <c r="D2537" t="s">
        <v>6225</v>
      </c>
      <c r="E2537" s="3" t="str">
        <f>HYPERLINK("https://www.amazon.com/Sisley-Phyto-Sourcils-Thickening-Medium/dp/B075PKQFGM/ref=sr_1_1?keywords=Sisley+phyto+sourcils+fix+thickening+gel+-&amp;qid=1695259510&amp;sr=8-1", "https://www.amazon.com/Sisley-Phyto-Sourcils-Thickening-Medium/dp/B075PKQFGM/ref=sr_1_1?keywords=Sisley+phyto+sourcils+fix+thickening+gel+-&amp;qid=1695259510&amp;sr=8-1")</f>
        <v>https://www.amazon.com/Sisley-Phyto-Sourcils-Thickening-Medium/dp/B075PKQFGM/ref=sr_1_1?keywords=Sisley+phyto+sourcils+fix+thickening+gel+-&amp;qid=1695259510&amp;sr=8-1</v>
      </c>
      <c r="F2537" t="s">
        <v>6226</v>
      </c>
      <c r="G2537" t="e">
        <f ca="1">IMAGE("https://prolisok-store.com/cdn/shop/products/303989_300x.jpg?v=1690900822")</f>
        <v>#NAME?</v>
      </c>
      <c r="H2537" t="e">
        <f ca="1">IMAGE("https://m.media-amazon.com/images/I/416exY0PrDL._AC_UL320_.jpg")</f>
        <v>#NAME?</v>
      </c>
      <c r="I2537" t="s">
        <v>6227</v>
      </c>
      <c r="J2537">
        <v>52.92</v>
      </c>
      <c r="K2537" s="2" t="s">
        <v>6228</v>
      </c>
      <c r="L2537">
        <v>5</v>
      </c>
      <c r="M2537">
        <v>7</v>
      </c>
      <c r="O2537" t="s">
        <v>26</v>
      </c>
      <c r="P2537" t="s">
        <v>39</v>
      </c>
      <c r="Q2537" t="s">
        <v>6229</v>
      </c>
    </row>
    <row r="2538" spans="1:17" ht="15.75" x14ac:dyDescent="0.25">
      <c r="A2538" s="3" t="str">
        <f>HYPERLINK("https://prolisok-store.com/collections/makeup/products/mac-blush-powder-desert-rose-6g-0-21oz", "https://prolisok-store.com/collections/makeup/products/mac-blush-powder-desert-rose-6g-0-21oz")</f>
        <v>https://prolisok-store.com/collections/makeup/products/mac-blush-powder-desert-rose-6g-0-21oz</v>
      </c>
      <c r="B2538" s="3" t="str">
        <f>HYPERLINK("https://prolisok-store.com/products/mac-blush-powder-desert-rose-6g-0-21oz", "https://prolisok-store.com/products/mac-blush-powder-desert-rose-6g-0-21oz")</f>
        <v>https://prolisok-store.com/products/mac-blush-powder-desert-rose-6g-0-21oz</v>
      </c>
      <c r="C2538" t="s">
        <v>6230</v>
      </c>
      <c r="D2538" t="s">
        <v>6231</v>
      </c>
      <c r="E2538" s="3" t="str">
        <f>HYPERLINK("https://www.amazon.com/MAC-Powder-Blush-Desert-Rose/dp/B013E0Y63E/ref=sr_1_1?keywords=MAC+blush+powder+-+desert+rose+-6g%2F0.21oz&amp;qid=1695259549&amp;sr=8-1", "https://www.amazon.com/MAC-Powder-Blush-Desert-Rose/dp/B013E0Y63E/ref=sr_1_1?keywords=MAC+blush+powder+-+desert+rose+-6g%2F0.21oz&amp;qid=1695259549&amp;sr=8-1")</f>
        <v>https://www.amazon.com/MAC-Powder-Blush-Desert-Rose/dp/B013E0Y63E/ref=sr_1_1?keywords=MAC+blush+powder+-+desert+rose+-6g%2F0.21oz&amp;qid=1695259549&amp;sr=8-1</v>
      </c>
      <c r="F2538" t="s">
        <v>6232</v>
      </c>
      <c r="G2538" t="e">
        <f ca="1">IMAGE("https://prolisok-store.com/cdn/shop/products/195344_300x.jpg?v=1690393924")</f>
        <v>#NAME?</v>
      </c>
      <c r="H2538" t="e">
        <f ca="1">IMAGE("https://m.media-amazon.com/images/I/41iPiZA2tQL._AC_UL320_.jpg")</f>
        <v>#NAME?</v>
      </c>
      <c r="I2538" t="s">
        <v>6020</v>
      </c>
      <c r="J2538">
        <v>34.64</v>
      </c>
      <c r="K2538" s="2" t="s">
        <v>6233</v>
      </c>
      <c r="L2538">
        <v>4.5999999999999996</v>
      </c>
      <c r="M2538">
        <v>918</v>
      </c>
      <c r="O2538" t="s">
        <v>26</v>
      </c>
      <c r="P2538" t="s">
        <v>39</v>
      </c>
      <c r="Q2538" t="s">
        <v>6234</v>
      </c>
    </row>
    <row r="2539" spans="1:17" ht="15.75" x14ac:dyDescent="0.25">
      <c r="A2539" s="3" t="str">
        <f>HYPERLINK("https://prolisok-store.com/collections/makeup/products/clinique-by-clinique-chubby-lash-fattening-mascara-01-jumbo-jet-10ml-0-4oz", "https://prolisok-store.com/collections/makeup/products/clinique-by-clinique-chubby-lash-fattening-mascara-01-jumbo-jet-10ml-0-4oz")</f>
        <v>https://prolisok-store.com/collections/makeup/products/clinique-by-clinique-chubby-lash-fattening-mascara-01-jumbo-jet-10ml-0-4oz</v>
      </c>
      <c r="B2539"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539" t="s">
        <v>6208</v>
      </c>
      <c r="D2539" t="s">
        <v>6235</v>
      </c>
      <c r="E2539" s="3" t="str">
        <f>HYPERLINK("https://www.amazon.com/Clinique-Womens-Chubby-Fattening-Mascara/dp/B01BU5DYLA/ref=sr_1_4?keywords=Clinique+chubby+lash+fattening+mascara+-+%2301+jumbo+jet+--10ml%2F0.4oz&amp;qid=1695259544&amp;sr=8-4", "https://www.amazon.com/Clinique-Womens-Chubby-Fattening-Mascara/dp/B01BU5DYLA/ref=sr_1_4?keywords=Clinique+chubby+lash+fattening+mascara+-+%2301+jumbo+jet+--10ml%2F0.4oz&amp;qid=1695259544&amp;sr=8-4")</f>
        <v>https://www.amazon.com/Clinique-Womens-Chubby-Fattening-Mascara/dp/B01BU5DYLA/ref=sr_1_4?keywords=Clinique+chubby+lash+fattening+mascara+-+%2301+jumbo+jet+--10ml%2F0.4oz&amp;qid=1695259544&amp;sr=8-4</v>
      </c>
      <c r="F2539" t="s">
        <v>6236</v>
      </c>
      <c r="G2539" t="e">
        <f ca="1">IMAGE("https://prolisok-store.com/cdn/shop/files/B-MRKTS-1062_300x.png?v=1690307144")</f>
        <v>#NAME?</v>
      </c>
      <c r="H2539" t="e">
        <f ca="1">IMAGE("https://m.media-amazon.com/images/I/41nx-xONSaL._AC_UL320_.jpg")</f>
        <v>#NAME?</v>
      </c>
      <c r="I2539" t="s">
        <v>6000</v>
      </c>
      <c r="J2539">
        <v>23.64</v>
      </c>
      <c r="K2539" s="2" t="s">
        <v>6237</v>
      </c>
      <c r="L2539">
        <v>4.5999999999999996</v>
      </c>
      <c r="M2539">
        <v>709</v>
      </c>
      <c r="O2539" t="s">
        <v>26</v>
      </c>
      <c r="P2539" t="s">
        <v>39</v>
      </c>
      <c r="Q2539" t="s">
        <v>6212</v>
      </c>
    </row>
    <row r="2540" spans="1:17" ht="15.75" x14ac:dyDescent="0.25">
      <c r="A2540" s="3" t="str">
        <f>HYPERLINK("https://prolisok-store.com/collections/makeup/products/sisley-phyto-levres-perfect-lipliner-with-lip-brush-and-sharpener-5-burgundy-1-2g-0-04oz", "https://prolisok-store.com/collections/makeup/products/sisley-phyto-levres-perfect-lipliner-with-lip-brush-and-sharpener-5-burgundy-1-2g-0-04oz")</f>
        <v>https://prolisok-store.com/collections/makeup/products/sisley-phyto-levres-perfect-lipliner-with-lip-brush-and-sharpener-5-burgundy-1-2g-0-04oz</v>
      </c>
      <c r="B2540" s="3" t="str">
        <f>HYPERLINK("https://prolisok-store.com/products/sisley-phyto-levres-perfect-lipliner-with-lip-brush-and-sharpener-5-burgundy-1-2g-0-04oz", "https://prolisok-store.com/products/sisley-phyto-levres-perfect-lipliner-with-lip-brush-and-sharpener-5-burgundy-1-2g-0-04oz")</f>
        <v>https://prolisok-store.com/products/sisley-phyto-levres-perfect-lipliner-with-lip-brush-and-sharpener-5-burgundy-1-2g-0-04oz</v>
      </c>
      <c r="C2540" t="s">
        <v>5959</v>
      </c>
      <c r="D2540" t="s">
        <v>6238</v>
      </c>
      <c r="E2540" s="3" t="str">
        <f>HYPERLINK("https://www.amazon.com/Sisley-Perfect-Lipliner-Sharpener-Chocolat/dp/B00375W2GK/ref=sr_1_2?keywords=Sisley+phyto+levres+perfect+lipliner+with+lip+brush+and+sharpener+-+%235+burgundy+1.2g%2F0.04oz&amp;qid=1695259523&amp;sr=8-2", "https://www.amazon.com/Sisley-Perfect-Lipliner-Sharpener-Chocolat/dp/B00375W2GK/ref=sr_1_2?keywords=Sisley+phyto+levres+perfect+lipliner+with+lip+brush+and+sharpener+-+%235+burgundy+1.2g%2F0.04oz&amp;qid=1695259523&amp;sr=8-2")</f>
        <v>https://www.amazon.com/Sisley-Perfect-Lipliner-Sharpener-Chocolat/dp/B00375W2GK/ref=sr_1_2?keywords=Sisley+phyto+levres+perfect+lipliner+with+lip+brush+and+sharpener+-+%235+burgundy+1.2g%2F0.04oz&amp;qid=1695259523&amp;sr=8-2</v>
      </c>
      <c r="F2540" t="s">
        <v>6239</v>
      </c>
      <c r="G2540" t="e">
        <f ca="1">IMAGE("https://prolisok-store.com/cdn/shop/products/187944_300x.jpg?v=1690900896")</f>
        <v>#NAME?</v>
      </c>
      <c r="H2540" t="e">
        <f ca="1">IMAGE("https://m.media-amazon.com/images/I/61E0kzhZ1wL._AC_UL320_.jpg")</f>
        <v>#NAME?</v>
      </c>
      <c r="I2540" t="s">
        <v>5954</v>
      </c>
      <c r="J2540">
        <v>49.81</v>
      </c>
      <c r="K2540" s="2" t="s">
        <v>6240</v>
      </c>
      <c r="L2540">
        <v>4</v>
      </c>
      <c r="M2540">
        <v>7</v>
      </c>
      <c r="O2540" t="s">
        <v>26</v>
      </c>
      <c r="P2540" t="s">
        <v>39</v>
      </c>
      <c r="Q2540" t="s">
        <v>5960</v>
      </c>
    </row>
    <row r="2541" spans="1:17" ht="15.75" x14ac:dyDescent="0.25">
      <c r="A2541" s="3" t="str">
        <f>HYPERLINK("https://prolisok-store.com/collections/makeup/products/sisley-phyto-levres-perfect-lipliner-with-lip-brush-and-sharpener-1-nude-1-2g-0-04oz", "https://prolisok-store.com/collections/makeup/products/sisley-phyto-levres-perfect-lipliner-with-lip-brush-and-sharpener-1-nude-1-2g-0-04oz")</f>
        <v>https://prolisok-store.com/collections/makeup/products/sisley-phyto-levres-perfect-lipliner-with-lip-brush-and-sharpener-1-nude-1-2g-0-04oz</v>
      </c>
      <c r="B2541" s="3" t="str">
        <f>HYPERLINK("https://prolisok-store.com/products/sisley-phyto-levres-perfect-lipliner-with-lip-brush-and-sharpener-1-nude-1-2g-0-04oz", "https://prolisok-store.com/products/sisley-phyto-levres-perfect-lipliner-with-lip-brush-and-sharpener-1-nude-1-2g-0-04oz")</f>
        <v>https://prolisok-store.com/products/sisley-phyto-levres-perfect-lipliner-with-lip-brush-and-sharpener-1-nude-1-2g-0-04oz</v>
      </c>
      <c r="C2541" t="s">
        <v>5957</v>
      </c>
      <c r="D2541" t="s">
        <v>6238</v>
      </c>
      <c r="E2541" s="3" t="str">
        <f>HYPERLINK("https://www.amazon.com/Sisley-Perfect-Lipliner-Sharpener-Chocolat/dp/B00375W2GK/ref=sr_1_2?keywords=Sisley+phyto+levres+perfect+lipliner+with+lip+brush+and+sharpener+-+%231+nude+1.2g%2F0.04oz&amp;qid=1695259509&amp;sr=8-2", "https://www.amazon.com/Sisley-Perfect-Lipliner-Sharpener-Chocolat/dp/B00375W2GK/ref=sr_1_2?keywords=Sisley+phyto+levres+perfect+lipliner+with+lip+brush+and+sharpener+-+%231+nude+1.2g%2F0.04oz&amp;qid=1695259509&amp;sr=8-2")</f>
        <v>https://www.amazon.com/Sisley-Perfect-Lipliner-Sharpener-Chocolat/dp/B00375W2GK/ref=sr_1_2?keywords=Sisley+phyto+levres+perfect+lipliner+with+lip+brush+and+sharpener+-+%231+nude+1.2g%2F0.04oz&amp;qid=1695259509&amp;sr=8-2</v>
      </c>
      <c r="F2541" t="s">
        <v>6239</v>
      </c>
      <c r="G2541" t="e">
        <f ca="1">IMAGE("https://prolisok-store.com/cdn/shop/products/178979_300x.jpg?v=1690900912")</f>
        <v>#NAME?</v>
      </c>
      <c r="H2541" t="e">
        <f ca="1">IMAGE("https://m.media-amazon.com/images/I/61E0kzhZ1wL._AC_UL320_.jpg")</f>
        <v>#NAME?</v>
      </c>
      <c r="I2541" t="s">
        <v>5954</v>
      </c>
      <c r="J2541">
        <v>49.81</v>
      </c>
      <c r="K2541" s="2" t="s">
        <v>6240</v>
      </c>
      <c r="L2541">
        <v>4</v>
      </c>
      <c r="M2541">
        <v>7</v>
      </c>
      <c r="O2541" t="s">
        <v>26</v>
      </c>
      <c r="P2541" t="s">
        <v>39</v>
      </c>
      <c r="Q2541" t="s">
        <v>5958</v>
      </c>
    </row>
    <row r="2542" spans="1:17" ht="15.75" x14ac:dyDescent="0.25">
      <c r="A2542" s="3" t="str">
        <f>HYPERLINK("https://prolisok-store.com/collections/makeup/products/sisley-phyto-levres-perfect-lipliner-with-lip-brush-and-sharpener-10-auburn-1-2g-0-04oz", "https://prolisok-store.com/collections/makeup/products/sisley-phyto-levres-perfect-lipliner-with-lip-brush-and-sharpener-10-auburn-1-2g-0-04oz")</f>
        <v>https://prolisok-store.com/collections/makeup/products/sisley-phyto-levres-perfect-lipliner-with-lip-brush-and-sharpener-10-auburn-1-2g-0-04oz</v>
      </c>
      <c r="B2542" s="3" t="str">
        <f>HYPERLINK("https://prolisok-store.com/products/sisley-phyto-levres-perfect-lipliner-with-lip-brush-and-sharpener-10-auburn-1-2g-0-04oz", "https://prolisok-store.com/products/sisley-phyto-levres-perfect-lipliner-with-lip-brush-and-sharpener-10-auburn-1-2g-0-04oz")</f>
        <v>https://prolisok-store.com/products/sisley-phyto-levres-perfect-lipliner-with-lip-brush-and-sharpener-10-auburn-1-2g-0-04oz</v>
      </c>
      <c r="C2542" t="s">
        <v>5961</v>
      </c>
      <c r="D2542" t="s">
        <v>6238</v>
      </c>
      <c r="E2542" s="3" t="str">
        <f>HYPERLINK("https://www.amazon.com/Sisley-Perfect-Lipliner-Sharpener-Chocolat/dp/B00375W2GK/ref=sr_1_3?keywords=Sisley+phyto+levres+perfect+lipliner+with+lip+brush+and+sharpener+-+%2310+auburn+1.2g%2F0.04oz&amp;qid=1695259518&amp;sr=8-3", "https://www.amazon.com/Sisley-Perfect-Lipliner-Sharpener-Chocolat/dp/B00375W2GK/ref=sr_1_3?keywords=Sisley+phyto+levres+perfect+lipliner+with+lip+brush+and+sharpener+-+%2310+auburn+1.2g%2F0.04oz&amp;qid=1695259518&amp;sr=8-3")</f>
        <v>https://www.amazon.com/Sisley-Perfect-Lipliner-Sharpener-Chocolat/dp/B00375W2GK/ref=sr_1_3?keywords=Sisley+phyto+levres+perfect+lipliner+with+lip+brush+and+sharpener+-+%2310+auburn+1.2g%2F0.04oz&amp;qid=1695259518&amp;sr=8-3</v>
      </c>
      <c r="F2542" t="s">
        <v>6239</v>
      </c>
      <c r="G2542" t="e">
        <f ca="1">IMAGE("https://prolisok-store.com/cdn/shop/products/288210_300x.jpg?v=1690900921")</f>
        <v>#NAME?</v>
      </c>
      <c r="H2542" t="e">
        <f ca="1">IMAGE("https://m.media-amazon.com/images/I/61E0kzhZ1wL._AC_UL320_.jpg")</f>
        <v>#NAME?</v>
      </c>
      <c r="I2542" t="s">
        <v>5954</v>
      </c>
      <c r="J2542">
        <v>49.81</v>
      </c>
      <c r="K2542" s="2" t="s">
        <v>6240</v>
      </c>
      <c r="L2542">
        <v>4</v>
      </c>
      <c r="M2542">
        <v>7</v>
      </c>
      <c r="O2542" t="s">
        <v>26</v>
      </c>
      <c r="P2542" t="s">
        <v>39</v>
      </c>
      <c r="Q2542" t="s">
        <v>5962</v>
      </c>
    </row>
    <row r="2543" spans="1:17" ht="15.75" x14ac:dyDescent="0.25">
      <c r="A2543" s="3" t="str">
        <f>HYPERLINK("https://prolisok-store.com/collections/makeup/products/sisley-phyto-levres-perfect-lipliner-with-lip-brush-and-sharpener-6-chocolat-1-2g-0-04oz", "https://prolisok-store.com/collections/makeup/products/sisley-phyto-levres-perfect-lipliner-with-lip-brush-and-sharpener-6-chocolat-1-2g-0-04oz")</f>
        <v>https://prolisok-store.com/collections/makeup/products/sisley-phyto-levres-perfect-lipliner-with-lip-brush-and-sharpener-6-chocolat-1-2g-0-04oz</v>
      </c>
      <c r="B2543" s="3" t="str">
        <f>HYPERLINK("https://prolisok-store.com/products/sisley-phyto-levres-perfect-lipliner-with-lip-brush-and-sharpener-6-chocolat-1-2g-0-04oz", "https://prolisok-store.com/products/sisley-phyto-levres-perfect-lipliner-with-lip-brush-and-sharpener-6-chocolat-1-2g-0-04oz")</f>
        <v>https://prolisok-store.com/products/sisley-phyto-levres-perfect-lipliner-with-lip-brush-and-sharpener-6-chocolat-1-2g-0-04oz</v>
      </c>
      <c r="C2543" t="s">
        <v>5951</v>
      </c>
      <c r="D2543" t="s">
        <v>6238</v>
      </c>
      <c r="E2543" s="3" t="str">
        <f>HYPERLINK("https://www.amazon.com/Sisley-Perfect-Lipliner-Sharpener-Chocolat/dp/B00375W2GK/ref=sr_1_2?keywords=Sisley+phyto+levres+perfect+lipliner+with+lip+brush+and+sharpener+-+%236+chocolat+1.2g%2F0.04oz&amp;qid=1695259543&amp;sr=8-2", "https://www.amazon.com/Sisley-Perfect-Lipliner-Sharpener-Chocolat/dp/B00375W2GK/ref=sr_1_2?keywords=Sisley+phyto+levres+perfect+lipliner+with+lip+brush+and+sharpener+-+%236+chocolat+1.2g%2F0.04oz&amp;qid=1695259543&amp;sr=8-2")</f>
        <v>https://www.amazon.com/Sisley-Perfect-Lipliner-Sharpener-Chocolat/dp/B00375W2GK/ref=sr_1_2?keywords=Sisley+phyto+levres+perfect+lipliner+with+lip+brush+and+sharpener+-+%236+chocolat+1.2g%2F0.04oz&amp;qid=1695259543&amp;sr=8-2</v>
      </c>
      <c r="F2543" t="s">
        <v>6239</v>
      </c>
      <c r="G2543" t="e">
        <f ca="1">IMAGE("https://prolisok-store.com/cdn/shop/products/185462_300x.jpg?v=1690900901")</f>
        <v>#NAME?</v>
      </c>
      <c r="H2543" t="e">
        <f ca="1">IMAGE("https://m.media-amazon.com/images/I/61E0kzhZ1wL._AC_UL320_.jpg")</f>
        <v>#NAME?</v>
      </c>
      <c r="I2543" t="s">
        <v>5954</v>
      </c>
      <c r="J2543">
        <v>49.81</v>
      </c>
      <c r="K2543" s="2" t="s">
        <v>6240</v>
      </c>
      <c r="L2543">
        <v>4</v>
      </c>
      <c r="M2543">
        <v>7</v>
      </c>
      <c r="O2543" t="s">
        <v>26</v>
      </c>
      <c r="P2543" t="s">
        <v>39</v>
      </c>
      <c r="Q2543" t="s">
        <v>5956</v>
      </c>
    </row>
    <row r="2544" spans="1:17" ht="15.75" x14ac:dyDescent="0.25">
      <c r="A2544"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544" s="3" t="str">
        <f>HYPERLINK("https://prolisok-store.com/products/mac-studio-fix-24-hour-smooth-wear-concealer-nc48-6-8ml-0-23oz", "https://prolisok-store.com/products/mac-studio-fix-24-hour-smooth-wear-concealer-nc48-6-8ml-0-23oz")</f>
        <v>https://prolisok-store.com/products/mac-studio-fix-24-hour-smooth-wear-concealer-nc48-6-8ml-0-23oz</v>
      </c>
      <c r="C2544" t="s">
        <v>6091</v>
      </c>
      <c r="D2544" t="s">
        <v>6241</v>
      </c>
      <c r="E2544" s="3" t="str">
        <f>HYPERLINK("https://www.amazon.com/Studio-24-Hour-Smooth-Wear-Concealer/dp/B07QP2PD55/ref=sr_1_7?keywords=MAC+studio+fix+24-hour+smooth+wear+concealer+-+nc48+-6.8ml%2F0.23oz&amp;qid=1695259540&amp;sr=8-7", "https://www.amazon.com/Studio-24-Hour-Smooth-Wear-Concealer/dp/B07QP2PD55/ref=sr_1_7?keywords=MAC+studio+fix+24-hour+smooth+wear+concealer+-+nc48+-6.8ml%2F0.23oz&amp;qid=1695259540&amp;sr=8-7")</f>
        <v>https://www.amazon.com/Studio-24-Hour-Smooth-Wear-Concealer/dp/B07QP2PD55/ref=sr_1_7?keywords=MAC+studio+fix+24-hour+smooth+wear+concealer+-+nc48+-6.8ml%2F0.23oz&amp;qid=1695259540&amp;sr=8-7</v>
      </c>
      <c r="F2544" t="s">
        <v>6242</v>
      </c>
      <c r="G2544" t="e">
        <f ca="1">IMAGE("https://prolisok-store.com/cdn/shop/products/360310_300x.jpg?v=1690393914")</f>
        <v>#NAME?</v>
      </c>
      <c r="H2544" t="e">
        <f ca="1">IMAGE("https://m.media-amazon.com/images/I/41mHWvoJVBL._AC_UL320_.jpg")</f>
        <v>#NAME?</v>
      </c>
      <c r="I2544" t="s">
        <v>6094</v>
      </c>
      <c r="J2544">
        <v>27.14</v>
      </c>
      <c r="K2544" s="2" t="s">
        <v>6243</v>
      </c>
      <c r="L2544">
        <v>4.3</v>
      </c>
      <c r="M2544">
        <v>23</v>
      </c>
      <c r="O2544" t="s">
        <v>26</v>
      </c>
      <c r="P2544" t="s">
        <v>39</v>
      </c>
      <c r="Q2544" t="s">
        <v>6096</v>
      </c>
    </row>
    <row r="2545" spans="1:17" ht="15.75" x14ac:dyDescent="0.25">
      <c r="A2545" s="3" t="str">
        <f>HYPERLINK("https://prolisok-store.com/collections/makeup/products/sisley-phyto-sourcils-design-3-in-1-brow-architect-pencil-1-cappuccino-2x0-2g-0-007oz", "https://prolisok-store.com/collections/makeup/products/sisley-phyto-sourcils-design-3-in-1-brow-architect-pencil-1-cappuccino-2x0-2g-0-007oz")</f>
        <v>https://prolisok-store.com/collections/makeup/products/sisley-phyto-sourcils-design-3-in-1-brow-architect-pencil-1-cappuccino-2x0-2g-0-007oz</v>
      </c>
      <c r="B2545" s="3" t="str">
        <f>HYPERLINK("https://prolisok-store.com/products/sisley-phyto-sourcils-design-3-in-1-brow-architect-pencil-1-cappuccino-2x0-2g-0-007oz", "https://prolisok-store.com/products/sisley-phyto-sourcils-design-3-in-1-brow-architect-pencil-1-cappuccino-2x0-2g-0-007oz")</f>
        <v>https://prolisok-store.com/products/sisley-phyto-sourcils-design-3-in-1-brow-architect-pencil-1-cappuccino-2x0-2g-0-007oz</v>
      </c>
      <c r="C2545" t="s">
        <v>6244</v>
      </c>
      <c r="D2545" t="s">
        <v>6245</v>
      </c>
      <c r="E2545" s="3" t="str">
        <f>HYPERLINK("https://www.amazon.com/Phyto-Sourcils-Design-Architect-Pencil/dp/B088R2P2MY/ref=sr_1_4?keywords=Sisley+phyto+sourcils+design+3+in+1+brow+architect+pencil+-&amp;qid=1695259500&amp;sr=8-4", "https://www.amazon.com/Phyto-Sourcils-Design-Architect-Pencil/dp/B088R2P2MY/ref=sr_1_4?keywords=Sisley+phyto+sourcils+design+3+in+1+brow+architect+pencil+-&amp;qid=1695259500&amp;sr=8-4")</f>
        <v>https://www.amazon.com/Phyto-Sourcils-Design-Architect-Pencil/dp/B088R2P2MY/ref=sr_1_4?keywords=Sisley+phyto+sourcils+design+3+in+1+brow+architect+pencil+-&amp;qid=1695259500&amp;sr=8-4</v>
      </c>
      <c r="F2545" t="s">
        <v>6246</v>
      </c>
      <c r="G2545" t="e">
        <f ca="1">IMAGE("https://prolisok-store.com/cdn/shop/products/303984_300x.jpg?v=1690900818")</f>
        <v>#NAME?</v>
      </c>
      <c r="H2545" t="e">
        <f ca="1">IMAGE("https://m.media-amazon.com/images/I/51cA3mt2OxL._AC_UL320_.jpg")</f>
        <v>#NAME?</v>
      </c>
      <c r="I2545" t="s">
        <v>6247</v>
      </c>
      <c r="J2545">
        <v>65.900000000000006</v>
      </c>
      <c r="K2545" s="2" t="s">
        <v>6248</v>
      </c>
      <c r="L2545">
        <v>5</v>
      </c>
      <c r="M2545">
        <v>2</v>
      </c>
      <c r="O2545" t="s">
        <v>26</v>
      </c>
      <c r="P2545" t="s">
        <v>39</v>
      </c>
      <c r="Q2545" t="s">
        <v>6249</v>
      </c>
    </row>
    <row r="2546" spans="1:17" ht="15.75" x14ac:dyDescent="0.25">
      <c r="A2546" s="3" t="str">
        <f>HYPERLINK("https://prolisok-store.com/collections/makeup/products/sisley-phyto-teint-ultra-eclat-4-cinnamon-30ml-1oz", "https://prolisok-store.com/collections/makeup/products/sisley-phyto-teint-ultra-eclat-4-cinnamon-30ml-1oz")</f>
        <v>https://prolisok-store.com/collections/makeup/products/sisley-phyto-teint-ultra-eclat-4-cinnamon-30ml-1oz</v>
      </c>
      <c r="B2546" s="3" t="str">
        <f>HYPERLINK("https://prolisok-store.com/products/sisley-phyto-teint-ultra-eclat-4-cinnamon-30ml-1oz", "https://prolisok-store.com/products/sisley-phyto-teint-ultra-eclat-4-cinnamon-30ml-1oz")</f>
        <v>https://prolisok-store.com/products/sisley-phyto-teint-ultra-eclat-4-cinnamon-30ml-1oz</v>
      </c>
      <c r="C2546" t="s">
        <v>6250</v>
      </c>
      <c r="D2546" t="s">
        <v>6251</v>
      </c>
      <c r="E2546" s="3" t="str">
        <f>HYPERLINK("https://www.amazon.com/Sisley-Phyto-Teint-Lasting-Foundation-Natural/dp/B07XG1V9RY/ref=sr_1_3?keywords=Sisley+phyto+teint+ultra+eclat&amp;qid=1695259522&amp;sr=8-3", "https://www.amazon.com/Sisley-Phyto-Teint-Lasting-Foundation-Natural/dp/B07XG1V9RY/ref=sr_1_3?keywords=Sisley+phyto+teint+ultra+eclat&amp;qid=1695259522&amp;sr=8-3")</f>
        <v>https://www.amazon.com/Sisley-Phyto-Teint-Lasting-Foundation-Natural/dp/B07XG1V9RY/ref=sr_1_3?keywords=Sisley+phyto+teint+ultra+eclat&amp;qid=1695259522&amp;sr=8-3</v>
      </c>
      <c r="F2546" t="s">
        <v>6252</v>
      </c>
      <c r="G2546" t="e">
        <f ca="1">IMAGE("https://prolisok-store.com/cdn/shop/products/346278_300x.jpg?v=1690900739")</f>
        <v>#NAME?</v>
      </c>
      <c r="H2546" t="e">
        <f ca="1">IMAGE("https://m.media-amazon.com/images/I/41WL-3+Dz2L._AC_UL320_.jpg")</f>
        <v>#NAME?</v>
      </c>
      <c r="I2546" t="s">
        <v>6137</v>
      </c>
      <c r="J2546">
        <v>85.76</v>
      </c>
      <c r="K2546" s="2" t="s">
        <v>6248</v>
      </c>
      <c r="L2546">
        <v>4.8</v>
      </c>
      <c r="M2546">
        <v>10</v>
      </c>
      <c r="O2546" t="s">
        <v>26</v>
      </c>
      <c r="P2546" t="s">
        <v>39</v>
      </c>
      <c r="Q2546" t="s">
        <v>6253</v>
      </c>
    </row>
    <row r="2547" spans="1:17" ht="15.75" x14ac:dyDescent="0.25">
      <c r="A2547"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547" s="3" t="str">
        <f>HYPERLINK("https://prolisok-store.com/products/mac-studio-fix-24-hour-smooth-wear-concealer-nc48-6-8ml-0-23oz", "https://prolisok-store.com/products/mac-studio-fix-24-hour-smooth-wear-concealer-nc48-6-8ml-0-23oz")</f>
        <v>https://prolisok-store.com/products/mac-studio-fix-24-hour-smooth-wear-concealer-nc48-6-8ml-0-23oz</v>
      </c>
      <c r="C2547" t="s">
        <v>6091</v>
      </c>
      <c r="D2547" t="s">
        <v>6254</v>
      </c>
      <c r="E2547" s="3" t="str">
        <f>HYPERLINK("https://www.amazon.com/Studio-24-Hour-Smooth-Wear-Concealer/dp/B093VWRXKB/ref=sr_1_1?keywords=MAC+studio+fix+24-hour+smooth+wear+concealer+-+nc48+-6.8ml%2F0.23oz&amp;qid=1695259540&amp;sr=8-1", "https://www.amazon.com/Studio-24-Hour-Smooth-Wear-Concealer/dp/B093VWRXKB/ref=sr_1_1?keywords=MAC+studio+fix+24-hour+smooth+wear+concealer+-+nc48+-6.8ml%2F0.23oz&amp;qid=1695259540&amp;sr=8-1")</f>
        <v>https://www.amazon.com/Studio-24-Hour-Smooth-Wear-Concealer/dp/B093VWRXKB/ref=sr_1_1?keywords=MAC+studio+fix+24-hour+smooth+wear+concealer+-+nc48+-6.8ml%2F0.23oz&amp;qid=1695259540&amp;sr=8-1</v>
      </c>
      <c r="F2547" t="s">
        <v>6255</v>
      </c>
      <c r="G2547" t="e">
        <f ca="1">IMAGE("https://prolisok-store.com/cdn/shop/products/360310_300x.jpg?v=1690393914")</f>
        <v>#NAME?</v>
      </c>
      <c r="H2547" t="e">
        <f ca="1">IMAGE("https://m.media-amazon.com/images/I/61iuGkPS+iL._AC_UL320_.jpg")</f>
        <v>#NAME?</v>
      </c>
      <c r="I2547" t="s">
        <v>6094</v>
      </c>
      <c r="J2547">
        <v>26.99</v>
      </c>
      <c r="K2547" s="2" t="s">
        <v>3459</v>
      </c>
      <c r="L2547">
        <v>5</v>
      </c>
      <c r="M2547">
        <v>8</v>
      </c>
      <c r="O2547" t="s">
        <v>26</v>
      </c>
      <c r="P2547" t="s">
        <v>39</v>
      </c>
      <c r="Q2547" t="s">
        <v>6096</v>
      </c>
    </row>
    <row r="2548" spans="1:17" ht="15.75" x14ac:dyDescent="0.25">
      <c r="A2548" s="3" t="str">
        <f>HYPERLINK("https://prolisok-store.com/collections/makeup/products/sisley-phyto-teint-nude-water-infused-second-skin-foundation-4c-honey-30ml-1oz", "https://prolisok-store.com/collections/makeup/products/sisley-phyto-teint-nude-water-infused-second-skin-foundation-4c-honey-30ml-1oz")</f>
        <v>https://prolisok-store.com/collections/makeup/products/sisley-phyto-teint-nude-water-infused-second-skin-foundation-4c-honey-30ml-1oz</v>
      </c>
      <c r="B2548" s="3" t="str">
        <f>HYPERLINK("https://prolisok-store.com/products/sisley-phyto-teint-nude-water-infused-second-skin-foundation-4c-honey-30ml-1oz", "https://prolisok-store.com/products/sisley-phyto-teint-nude-water-infused-second-skin-foundation-4c-honey-30ml-1oz")</f>
        <v>https://prolisok-store.com/products/sisley-phyto-teint-nude-water-infused-second-skin-foundation-4c-honey-30ml-1oz</v>
      </c>
      <c r="C2548" t="s">
        <v>6256</v>
      </c>
      <c r="D2548" t="s">
        <v>6135</v>
      </c>
      <c r="E2548" s="3" t="str">
        <f>HYPERLINK("https://www.amazon.com/Sisley-Phyto-Infused-Second-Foundation/dp/B09MZ86F6H/ref=sr_1_1?keywords=Sisley+phyto+teint+nude+water+infused+second+skin+foundation+-&amp;qid=1695259516&amp;sr=8-1", "https://www.amazon.com/Sisley-Phyto-Infused-Second-Foundation/dp/B09MZ86F6H/ref=sr_1_1?keywords=Sisley+phyto+teint+nude+water+infused+second+skin+foundation+-&amp;qid=1695259516&amp;sr=8-1")</f>
        <v>https://www.amazon.com/Sisley-Phyto-Infused-Second-Foundation/dp/B09MZ86F6H/ref=sr_1_1?keywords=Sisley+phyto+teint+nude+water+infused+second+skin+foundation+-&amp;qid=1695259516&amp;sr=8-1</v>
      </c>
      <c r="F2548" t="s">
        <v>6136</v>
      </c>
      <c r="G2548" t="e">
        <f ca="1">IMAGE("https://prolisok-store.com/cdn/shop/products/424059_300x.jpg?v=1690900611")</f>
        <v>#NAME?</v>
      </c>
      <c r="H2548" t="e">
        <f ca="1">IMAGE("https://m.media-amazon.com/images/I/31qTHBpoNkL._AC_UL320_.jpg")</f>
        <v>#NAME?</v>
      </c>
      <c r="I2548" t="s">
        <v>6257</v>
      </c>
      <c r="J2548">
        <v>94.21</v>
      </c>
      <c r="K2548" s="2" t="s">
        <v>6258</v>
      </c>
      <c r="L2548">
        <v>4</v>
      </c>
      <c r="M2548">
        <v>1</v>
      </c>
      <c r="O2548" t="s">
        <v>26</v>
      </c>
      <c r="P2548" t="s">
        <v>39</v>
      </c>
      <c r="Q2548" t="s">
        <v>6259</v>
      </c>
    </row>
    <row r="2549" spans="1:17" ht="15.75" x14ac:dyDescent="0.25">
      <c r="A2549" s="3" t="str">
        <f>HYPERLINK("https://prolisok-store.com/collections/makeup/products/sisley-phyto-teint-nude-water-infused-second-skin-foundation-1w-cream-30ml-1oz", "https://prolisok-store.com/collections/makeup/products/sisley-phyto-teint-nude-water-infused-second-skin-foundation-1w-cream-30ml-1oz")</f>
        <v>https://prolisok-store.com/collections/makeup/products/sisley-phyto-teint-nude-water-infused-second-skin-foundation-1w-cream-30ml-1oz</v>
      </c>
      <c r="B2549" s="3" t="str">
        <f>HYPERLINK("https://prolisok-store.com/products/sisley-phyto-teint-nude-water-infused-second-skin-foundation-1w-cream-30ml-1oz", "https://prolisok-store.com/products/sisley-phyto-teint-nude-water-infused-second-skin-foundation-1w-cream-30ml-1oz")</f>
        <v>https://prolisok-store.com/products/sisley-phyto-teint-nude-water-infused-second-skin-foundation-1w-cream-30ml-1oz</v>
      </c>
      <c r="C2549" t="s">
        <v>6260</v>
      </c>
      <c r="D2549" t="s">
        <v>6135</v>
      </c>
      <c r="E2549" s="3" t="str">
        <f>HYPERLINK("https://www.amazon.com/Sisley-Phyto-Infused-Second-Foundation/dp/B09MZ86F6H/ref=sr_1_1?keywords=Sisley+phyto+teint+nude+water+infused+second+skin+foundation+-&amp;qid=1695259537&amp;sr=8-1", "https://www.amazon.com/Sisley-Phyto-Infused-Second-Foundation/dp/B09MZ86F6H/ref=sr_1_1?keywords=Sisley+phyto+teint+nude+water+infused+second+skin+foundation+-&amp;qid=1695259537&amp;sr=8-1")</f>
        <v>https://www.amazon.com/Sisley-Phyto-Infused-Second-Foundation/dp/B09MZ86F6H/ref=sr_1_1?keywords=Sisley+phyto+teint+nude+water+infused+second+skin+foundation+-&amp;qid=1695259537&amp;sr=8-1</v>
      </c>
      <c r="F2549" t="s">
        <v>6136</v>
      </c>
      <c r="G2549" t="e">
        <f ca="1">IMAGE("https://prolisok-store.com/cdn/shop/products/424057_300x.jpg?v=1690900609")</f>
        <v>#NAME?</v>
      </c>
      <c r="H2549" t="e">
        <f ca="1">IMAGE("https://m.media-amazon.com/images/I/31qTHBpoNkL._AC_UL320_.jpg")</f>
        <v>#NAME?</v>
      </c>
      <c r="I2549" t="s">
        <v>6257</v>
      </c>
      <c r="J2549">
        <v>94.21</v>
      </c>
      <c r="K2549" s="2" t="s">
        <v>6258</v>
      </c>
      <c r="L2549">
        <v>4</v>
      </c>
      <c r="M2549">
        <v>1</v>
      </c>
      <c r="O2549" t="s">
        <v>26</v>
      </c>
      <c r="P2549" t="s">
        <v>39</v>
      </c>
      <c r="Q2549" t="s">
        <v>6261</v>
      </c>
    </row>
    <row r="2550" spans="1:17" ht="15.75" x14ac:dyDescent="0.25">
      <c r="A2550" s="3" t="str">
        <f>HYPERLINK("https://prolisok-store.com/collections/makeup/products/sisley-phyto-teint-nude-water-infused-second-skin-foundation-3c-natural-30ml-1oz", "https://prolisok-store.com/collections/makeup/products/sisley-phyto-teint-nude-water-infused-second-skin-foundation-3c-natural-30ml-1oz")</f>
        <v>https://prolisok-store.com/collections/makeup/products/sisley-phyto-teint-nude-water-infused-second-skin-foundation-3c-natural-30ml-1oz</v>
      </c>
      <c r="B2550" s="3" t="str">
        <f>HYPERLINK("https://prolisok-store.com/products/sisley-phyto-teint-nude-water-infused-second-skin-foundation-3c-natural-30ml-1oz", "https://prolisok-store.com/products/sisley-phyto-teint-nude-water-infused-second-skin-foundation-3c-natural-30ml-1oz")</f>
        <v>https://prolisok-store.com/products/sisley-phyto-teint-nude-water-infused-second-skin-foundation-3c-natural-30ml-1oz</v>
      </c>
      <c r="C2550" t="s">
        <v>6262</v>
      </c>
      <c r="D2550" t="s">
        <v>6135</v>
      </c>
      <c r="E2550" s="3" t="str">
        <f>HYPERLINK("https://www.amazon.com/Sisley-Phyto-Infused-Second-Foundation/dp/B09MZ86F6H/ref=sr_1_1?keywords=Sisley+phyto+teint+nude+water+infused+second+skin+foundation+-&amp;qid=1695259511&amp;sr=8-1", "https://www.amazon.com/Sisley-Phyto-Infused-Second-Foundation/dp/B09MZ86F6H/ref=sr_1_1?keywords=Sisley+phyto+teint+nude+water+infused+second+skin+foundation+-&amp;qid=1695259511&amp;sr=8-1")</f>
        <v>https://www.amazon.com/Sisley-Phyto-Infused-Second-Foundation/dp/B09MZ86F6H/ref=sr_1_1?keywords=Sisley+phyto+teint+nude+water+infused+second+skin+foundation+-&amp;qid=1695259511&amp;sr=8-1</v>
      </c>
      <c r="F2550" t="s">
        <v>6136</v>
      </c>
      <c r="G2550" t="e">
        <f ca="1">IMAGE("https://prolisok-store.com/cdn/shop/products/424054_300x.jpg?v=1690900605")</f>
        <v>#NAME?</v>
      </c>
      <c r="H2550" t="e">
        <f ca="1">IMAGE("https://m.media-amazon.com/images/I/31qTHBpoNkL._AC_UL320_.jpg")</f>
        <v>#NAME?</v>
      </c>
      <c r="I2550" t="s">
        <v>6257</v>
      </c>
      <c r="J2550">
        <v>94.21</v>
      </c>
      <c r="K2550" s="2" t="s">
        <v>6258</v>
      </c>
      <c r="L2550">
        <v>4</v>
      </c>
      <c r="M2550">
        <v>1</v>
      </c>
      <c r="O2550" t="s">
        <v>26</v>
      </c>
      <c r="P2550" t="s">
        <v>39</v>
      </c>
      <c r="Q2550" t="s">
        <v>6263</v>
      </c>
    </row>
    <row r="2551" spans="1:17" ht="15.75" x14ac:dyDescent="0.25">
      <c r="A2551" s="3" t="str">
        <f>HYPERLINK("https://prolisok-store.com/collections/makeup/products/estee-lauder-double-wear-stay-in-place-flawless-wear-concealer-4n-medium-deep-neutral-7ml-0-24oz", "https://prolisok-store.com/collections/makeup/products/estee-lauder-double-wear-stay-in-place-flawless-wear-concealer-4n-medium-deep-neutral-7ml-0-24oz")</f>
        <v>https://prolisok-store.com/collections/makeup/products/estee-lauder-double-wear-stay-in-place-flawless-wear-concealer-4n-medium-deep-neutral-7ml-0-24oz</v>
      </c>
      <c r="B2551" s="3" t="str">
        <f>HYPERLINK("https://prolisok-store.com/products/estee-lauder-double-wear-stay-in-place-flawless-wear-concealer-4n-medium-deep-neutral-7ml-0-24oz", "https://prolisok-store.com/products/estee-lauder-double-wear-stay-in-place-flawless-wear-concealer-4n-medium-deep-neutral-7ml-0-24oz")</f>
        <v>https://prolisok-store.com/products/estee-lauder-double-wear-stay-in-place-flawless-wear-concealer-4n-medium-deep-neutral-7ml-0-24oz</v>
      </c>
      <c r="C2551" t="s">
        <v>6264</v>
      </c>
      <c r="D2551" t="s">
        <v>6265</v>
      </c>
      <c r="E2551" s="3" t="str">
        <f>HYPERLINK("https://www.amazon.com/Estee-Lauder-Flawless-Concealer-Neutral/dp/B00DZO6IJA/ref=sr_1_3?keywords=Estee+Lauder+double+wear+stay+in+place+flawless+wear+concealer+-+%23+4n+medium+deep+%28neutral%29+7ml%2F0.24oz&amp;qid=1695259509&amp;sr=8-3", "https://www.amazon.com/Estee-Lauder-Flawless-Concealer-Neutral/dp/B00DZO6IJA/ref=sr_1_3?keywords=Estee+Lauder+double+wear+stay+in+place+flawless+wear+concealer+-+%23+4n+medium+deep+%28neutral%29+7ml%2F0.24oz&amp;qid=1695259509&amp;sr=8-3")</f>
        <v>https://www.amazon.com/Estee-Lauder-Flawless-Concealer-Neutral/dp/B00DZO6IJA/ref=sr_1_3?keywords=Estee+Lauder+double+wear+stay+in+place+flawless+wear+concealer+-+%23+4n+medium+deep+%28neutral%29+7ml%2F0.24oz&amp;qid=1695259509&amp;sr=8-3</v>
      </c>
      <c r="F2551" t="s">
        <v>6266</v>
      </c>
      <c r="G2551" t="e">
        <f ca="1">IMAGE("https://prolisok-store.com/cdn/shop/products/329369_300x.jpg?v=1690900175")</f>
        <v>#NAME?</v>
      </c>
      <c r="H2551" t="e">
        <f ca="1">IMAGE("https://m.media-amazon.com/images/I/513yPHJP2wL._AC_UL320_.jpg")</f>
        <v>#NAME?</v>
      </c>
      <c r="I2551" t="s">
        <v>6267</v>
      </c>
      <c r="J2551">
        <v>32.99</v>
      </c>
      <c r="K2551" s="2" t="s">
        <v>6268</v>
      </c>
      <c r="L2551">
        <v>4.5</v>
      </c>
      <c r="M2551">
        <v>32</v>
      </c>
      <c r="O2551" t="s">
        <v>26</v>
      </c>
      <c r="P2551" t="s">
        <v>39</v>
      </c>
      <c r="Q2551" t="s">
        <v>6269</v>
      </c>
    </row>
    <row r="2552" spans="1:17" ht="15.75" x14ac:dyDescent="0.25">
      <c r="A2552" s="3" t="str">
        <f>HYPERLINK("https://prolisok-store.com/collections/makeup/products/sisley-phyto-teint-ultra-eclat-4-cinnamon-30ml-1oz", "https://prolisok-store.com/collections/makeup/products/sisley-phyto-teint-ultra-eclat-4-cinnamon-30ml-1oz")</f>
        <v>https://prolisok-store.com/collections/makeup/products/sisley-phyto-teint-ultra-eclat-4-cinnamon-30ml-1oz</v>
      </c>
      <c r="B2552" s="3" t="str">
        <f>HYPERLINK("https://prolisok-store.com/products/sisley-phyto-teint-ultra-eclat-4-cinnamon-30ml-1oz", "https://prolisok-store.com/products/sisley-phyto-teint-ultra-eclat-4-cinnamon-30ml-1oz")</f>
        <v>https://prolisok-store.com/products/sisley-phyto-teint-ultra-eclat-4-cinnamon-30ml-1oz</v>
      </c>
      <c r="C2552" t="s">
        <v>6250</v>
      </c>
      <c r="D2552" t="s">
        <v>6270</v>
      </c>
      <c r="E2552" s="3" t="str">
        <f>HYPERLINK("https://www.amazon.com/Sisley-Phyto-Teint-Ultra-Lasting-Foundation/dp/B07XG2W8ML/ref=sr_1_2?keywords=Sisley+phyto+teint+ultra+eclat&amp;qid=1695259522&amp;sr=8-2", "https://www.amazon.com/Sisley-Phyto-Teint-Ultra-Lasting-Foundation/dp/B07XG2W8ML/ref=sr_1_2?keywords=Sisley+phyto+teint+ultra+eclat&amp;qid=1695259522&amp;sr=8-2")</f>
        <v>https://www.amazon.com/Sisley-Phyto-Teint-Ultra-Lasting-Foundation/dp/B07XG2W8ML/ref=sr_1_2?keywords=Sisley+phyto+teint+ultra+eclat&amp;qid=1695259522&amp;sr=8-2</v>
      </c>
      <c r="F2552" t="s">
        <v>6271</v>
      </c>
      <c r="G2552" t="e">
        <f ca="1">IMAGE("https://prolisok-store.com/cdn/shop/products/346278_300x.jpg?v=1690900739")</f>
        <v>#NAME?</v>
      </c>
      <c r="H2552" t="e">
        <f ca="1">IMAGE("https://m.media-amazon.com/images/I/61Y+1yPUoRL._AC_UL320_.jpg")</f>
        <v>#NAME?</v>
      </c>
      <c r="I2552" t="s">
        <v>6137</v>
      </c>
      <c r="J2552">
        <v>84.48</v>
      </c>
      <c r="K2552" s="2" t="s">
        <v>6272</v>
      </c>
      <c r="L2552">
        <v>5</v>
      </c>
      <c r="M2552">
        <v>7</v>
      </c>
      <c r="O2552" t="s">
        <v>26</v>
      </c>
      <c r="P2552" t="s">
        <v>39</v>
      </c>
      <c r="Q2552" t="s">
        <v>6253</v>
      </c>
    </row>
    <row r="2553" spans="1:17" ht="15.75" x14ac:dyDescent="0.25">
      <c r="A2553"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553" s="3" t="str">
        <f>HYPERLINK("https://prolisok-store.com/products/mac-studio-fix-24-hour-smooth-wear-concealer-nc48-6-8ml-0-23oz", "https://prolisok-store.com/products/mac-studio-fix-24-hour-smooth-wear-concealer-nc48-6-8ml-0-23oz")</f>
        <v>https://prolisok-store.com/products/mac-studio-fix-24-hour-smooth-wear-concealer-nc48-6-8ml-0-23oz</v>
      </c>
      <c r="C2553" t="s">
        <v>6091</v>
      </c>
      <c r="D2553" t="s">
        <v>6273</v>
      </c>
      <c r="E2553" s="3" t="str">
        <f>HYPERLINK("https://www.amazon.com/Studio-24-Hour-Smooth-Wear-Concealer/dp/B093VVZ673/ref=sr_1_5?keywords=MAC+studio+fix+24-hour+smooth+wear+concealer+-+nc48+-6.8ml%2F0.23oz&amp;qid=1695259540&amp;sr=8-5", "https://www.amazon.com/Studio-24-Hour-Smooth-Wear-Concealer/dp/B093VVZ673/ref=sr_1_5?keywords=MAC+studio+fix+24-hour+smooth+wear+concealer+-+nc48+-6.8ml%2F0.23oz&amp;qid=1695259540&amp;sr=8-5")</f>
        <v>https://www.amazon.com/Studio-24-Hour-Smooth-Wear-Concealer/dp/B093VVZ673/ref=sr_1_5?keywords=MAC+studio+fix+24-hour+smooth+wear+concealer+-+nc48+-6.8ml%2F0.23oz&amp;qid=1695259540&amp;sr=8-5</v>
      </c>
      <c r="F2553" t="s">
        <v>6274</v>
      </c>
      <c r="G2553" t="e">
        <f ca="1">IMAGE("https://prolisok-store.com/cdn/shop/products/360310_300x.jpg?v=1690393914")</f>
        <v>#NAME?</v>
      </c>
      <c r="H2553" t="e">
        <f ca="1">IMAGE("https://m.media-amazon.com/images/I/21MLga88CHL._AC_UL320_.jpg")</f>
        <v>#NAME?</v>
      </c>
      <c r="I2553" t="s">
        <v>6094</v>
      </c>
      <c r="J2553">
        <v>26.5</v>
      </c>
      <c r="K2553" s="2" t="s">
        <v>6275</v>
      </c>
      <c r="L2553">
        <v>4.2</v>
      </c>
      <c r="M2553">
        <v>4</v>
      </c>
      <c r="O2553" t="s">
        <v>26</v>
      </c>
      <c r="P2553" t="s">
        <v>39</v>
      </c>
      <c r="Q2553" t="s">
        <v>6096</v>
      </c>
    </row>
    <row r="2554" spans="1:17" ht="15.75" x14ac:dyDescent="0.25">
      <c r="A2554" s="3" t="str">
        <f>HYPERLINK("https://prolisok-store.com/collections/makeup/products/sisley-phyto-lip-twist-26-true-red-2-5g-0-08oz", "https://prolisok-store.com/collections/makeup/products/sisley-phyto-lip-twist-26-true-red-2-5g-0-08oz")</f>
        <v>https://prolisok-store.com/collections/makeup/products/sisley-phyto-lip-twist-26-true-red-2-5g-0-08oz</v>
      </c>
      <c r="B2554" s="3" t="str">
        <f>HYPERLINK("https://prolisok-store.com/products/sisley-phyto-lip-twist-26-true-red-2-5g-0-08oz", "https://prolisok-store.com/products/sisley-phyto-lip-twist-26-true-red-2-5g-0-08oz")</f>
        <v>https://prolisok-store.com/products/sisley-phyto-lip-twist-26-true-red-2-5g-0-08oz</v>
      </c>
      <c r="C2554" t="s">
        <v>6276</v>
      </c>
      <c r="D2554" t="s">
        <v>6277</v>
      </c>
      <c r="E2554" s="3" t="str">
        <f>HYPERLINK("https://www.amazon.com/Sisley-Phyto-Lip-Twist-Lipstick/dp/B09MKJ57FJ/ref=sr_1_3?keywords=Sisley+phyto+lip+twist+-&amp;qid=1695259526&amp;sr=8-3", "https://www.amazon.com/Sisley-Phyto-Lip-Twist-Lipstick/dp/B09MKJ57FJ/ref=sr_1_3?keywords=Sisley+phyto+lip+twist+-&amp;qid=1695259526&amp;sr=8-3")</f>
        <v>https://www.amazon.com/Sisley-Phyto-Lip-Twist-Lipstick/dp/B09MKJ57FJ/ref=sr_1_3?keywords=Sisley+phyto+lip+twist+-&amp;qid=1695259526&amp;sr=8-3</v>
      </c>
      <c r="F2554" t="s">
        <v>6278</v>
      </c>
      <c r="G2554" t="e">
        <f ca="1">IMAGE("https://prolisok-store.com/cdn/shop/products/428817_300x.jpg?v=1690900628")</f>
        <v>#NAME?</v>
      </c>
      <c r="H2554" t="e">
        <f ca="1">IMAGE("https://m.media-amazon.com/images/I/61ug0M2lGVL._AC_UL320_.jpg")</f>
        <v>#NAME?</v>
      </c>
      <c r="I2554" t="s">
        <v>5954</v>
      </c>
      <c r="J2554">
        <v>48.33</v>
      </c>
      <c r="K2554" s="2" t="s">
        <v>6279</v>
      </c>
      <c r="L2554">
        <v>3</v>
      </c>
      <c r="M2554">
        <v>1</v>
      </c>
      <c r="O2554" t="s">
        <v>26</v>
      </c>
      <c r="P2554" t="s">
        <v>39</v>
      </c>
      <c r="Q2554" t="s">
        <v>6280</v>
      </c>
    </row>
    <row r="2555" spans="1:17" ht="15.75" x14ac:dyDescent="0.25">
      <c r="A2555" s="3" t="str">
        <f>HYPERLINK("https://prolisok-store.com/collections/makeup/products/sisley-phyto-cernes-eclat-eye-concealer-02-15ml-0-61oz", "https://prolisok-store.com/collections/makeup/products/sisley-phyto-cernes-eclat-eye-concealer-02-15ml-0-61oz")</f>
        <v>https://prolisok-store.com/collections/makeup/products/sisley-phyto-cernes-eclat-eye-concealer-02-15ml-0-61oz</v>
      </c>
      <c r="B2555" s="3" t="str">
        <f>HYPERLINK("https://prolisok-store.com/products/sisley-phyto-cernes-eclat-eye-concealer-02-15ml-0-61oz", "https://prolisok-store.com/products/sisley-phyto-cernes-eclat-eye-concealer-02-15ml-0-61oz")</f>
        <v>https://prolisok-store.com/products/sisley-phyto-cernes-eclat-eye-concealer-02-15ml-0-61oz</v>
      </c>
      <c r="C2555" t="s">
        <v>6120</v>
      </c>
      <c r="D2555" t="s">
        <v>6281</v>
      </c>
      <c r="E2555" s="3" t="str">
        <f>HYPERLINK("https://www.amazon.com/Sisley-Phytocernes-Concealer-Natural-0-58oz/dp/B00CEQKP1W/ref=sr_1_8?keywords=Sisley+phyto+cernes+eclat+eye+concealer+-+%23+02+15ml%2F0.61oz&amp;qid=1695259509&amp;sr=8-8", "https://www.amazon.com/Sisley-Phytocernes-Concealer-Natural-0-58oz/dp/B00CEQKP1W/ref=sr_1_8?keywords=Sisley+phyto+cernes+eclat+eye+concealer+-+%23+02+15ml%2F0.61oz&amp;qid=1695259509&amp;sr=8-8")</f>
        <v>https://www.amazon.com/Sisley-Phytocernes-Concealer-Natural-0-58oz/dp/B00CEQKP1W/ref=sr_1_8?keywords=Sisley+phyto+cernes+eclat+eye+concealer+-+%23+02+15ml%2F0.61oz&amp;qid=1695259509&amp;sr=8-8</v>
      </c>
      <c r="F2555" t="s">
        <v>6282</v>
      </c>
      <c r="G2555" t="e">
        <f ca="1">IMAGE("https://prolisok-store.com/cdn/shop/products/142851_300x.jpg?v=1690900883")</f>
        <v>#NAME?</v>
      </c>
      <c r="H2555" t="e">
        <f ca="1">IMAGE("https://m.media-amazon.com/images/I/61YMq+P6a7L._AC_UL320_.jpg")</f>
        <v>#NAME?</v>
      </c>
      <c r="I2555" t="s">
        <v>6123</v>
      </c>
      <c r="J2555">
        <v>71.849999999999994</v>
      </c>
      <c r="K2555" s="2" t="s">
        <v>6283</v>
      </c>
      <c r="L2555">
        <v>3.2</v>
      </c>
      <c r="M2555">
        <v>3</v>
      </c>
      <c r="O2555" t="s">
        <v>26</v>
      </c>
      <c r="P2555" t="s">
        <v>39</v>
      </c>
      <c r="Q2555" t="s">
        <v>6125</v>
      </c>
    </row>
    <row r="2556" spans="1:17" ht="15.75" x14ac:dyDescent="0.25">
      <c r="A2556" s="3" t="str">
        <f>HYPERLINK("https://prolisok-store.com/collections/makeup/products/estee-lauder-pure-color-envy-sculpting-lipstick-360-fierce-0-12-ounce", "https://prolisok-store.com/collections/makeup/products/estee-lauder-pure-color-envy-sculpting-lipstick-360-fierce-0-12-ounce")</f>
        <v>https://prolisok-store.com/collections/makeup/products/estee-lauder-pure-color-envy-sculpting-lipstick-360-fierce-0-12-ounce</v>
      </c>
      <c r="B2556"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2556" t="s">
        <v>4452</v>
      </c>
      <c r="D2556" t="s">
        <v>4971</v>
      </c>
      <c r="E2556" s="3" t="str">
        <f>HYPERLINK("https://www.amazon.com/Estee-Lauder-Sculpting-Lipstick-Persuasive/dp/B072178J4F/ref=sr_1_10?keywords=Estee+Lauder+Pure+Color+Envy+Sculpting+Lipstick+%23360+Fierce%2C+0.12+Ounce&amp;qid=1695259450&amp;sr=8-10", "https://www.amazon.com/Estee-Lauder-Sculpting-Lipstick-Persuasive/dp/B072178J4F/ref=sr_1_10?keywords=Estee+Lauder+Pure+Color+Envy+Sculpting+Lipstick+%23360+Fierce%2C+0.12+Ounce&amp;qid=1695259450&amp;sr=8-10")</f>
        <v>https://www.amazon.com/Estee-Lauder-Sculpting-Lipstick-Persuasive/dp/B072178J4F/ref=sr_1_10?keywords=Estee+Lauder+Pure+Color+Envy+Sculpting+Lipstick+%23360+Fierce%2C+0.12+Ounce&amp;qid=1695259450&amp;sr=8-10</v>
      </c>
      <c r="F2556" t="s">
        <v>4972</v>
      </c>
      <c r="G2556" t="e">
        <f ca="1">IMAGE("https://prolisok-store.com/cdn/shop/products/61OXcvCJbTL._SL1500_300x.jpg?v=1681307706")</f>
        <v>#NAME?</v>
      </c>
      <c r="H2556" t="e">
        <f ca="1">IMAGE("https://m.media-amazon.com/images/I/61CmcvFzmnL._AC_UL320_.jpg")</f>
        <v>#NAME?</v>
      </c>
      <c r="I2556" t="s">
        <v>3419</v>
      </c>
      <c r="J2556">
        <v>14.49</v>
      </c>
      <c r="K2556" s="2" t="s">
        <v>4973</v>
      </c>
      <c r="L2556">
        <v>3.6</v>
      </c>
      <c r="M2556">
        <v>21</v>
      </c>
      <c r="O2556" t="s">
        <v>26</v>
      </c>
      <c r="P2556" t="s">
        <v>39</v>
      </c>
      <c r="Q2556" t="s">
        <v>4456</v>
      </c>
    </row>
    <row r="2557" spans="1:17" ht="15.75" x14ac:dyDescent="0.25">
      <c r="A2557" s="3" t="str">
        <f>HYPERLINK("https://prolisok-store.com/collections/makeup/products/clinique-by-clinique-take-the-day-off-make-up-remover-125ml-4-2oz", "https://prolisok-store.com/collections/makeup/products/clinique-by-clinique-take-the-day-off-make-up-remover-125ml-4-2oz")</f>
        <v>https://prolisok-store.com/collections/makeup/products/clinique-by-clinique-take-the-day-off-make-up-remover-125ml-4-2oz</v>
      </c>
      <c r="B2557" s="3" t="str">
        <f>HYPERLINK("https://prolisok-store.com/products/clinique-by-clinique-take-the-day-off-make-up-remover-125ml-4-2oz", "https://prolisok-store.com/products/clinique-by-clinique-take-the-day-off-make-up-remover-125ml-4-2oz")</f>
        <v>https://prolisok-store.com/products/clinique-by-clinique-take-the-day-off-make-up-remover-125ml-4-2oz</v>
      </c>
      <c r="C2557" t="s">
        <v>5997</v>
      </c>
      <c r="D2557" t="s">
        <v>6284</v>
      </c>
      <c r="E2557" s="3" t="str">
        <f>HYPERLINK("https://www.amazon.com/Clinique-Take-Makeup-Remover-Ounce/dp/B000WZCA6U/ref=sr_1_4?keywords=Clinique+take+the+day+off+make+up+remover+--125ml%2F4.2oz&amp;qid=1695259552&amp;sr=8-4", "https://www.amazon.com/Clinique-Take-Makeup-Remover-Ounce/dp/B000WZCA6U/ref=sr_1_4?keywords=Clinique+take+the+day+off+make+up+remover+--125ml%2F4.2oz&amp;qid=1695259552&amp;sr=8-4")</f>
        <v>https://www.amazon.com/Clinique-Take-Makeup-Remover-Ounce/dp/B000WZCA6U/ref=sr_1_4?keywords=Clinique+take+the+day+off+make+up+remover+--125ml%2F4.2oz&amp;qid=1695259552&amp;sr=8-4</v>
      </c>
      <c r="F2557" t="s">
        <v>6285</v>
      </c>
      <c r="G2557" t="e">
        <f ca="1">IMAGE("https://prolisok-store.com/cdn/shop/products/129645_300x.jpg?v=1688060465")</f>
        <v>#NAME?</v>
      </c>
      <c r="H2557" t="e">
        <f ca="1">IMAGE("https://m.media-amazon.com/images/I/510O5BOnFBL._AC_UL320_.jpg")</f>
        <v>#NAME?</v>
      </c>
      <c r="I2557" t="s">
        <v>6000</v>
      </c>
      <c r="J2557">
        <v>22.5</v>
      </c>
      <c r="K2557" s="2" t="s">
        <v>6286</v>
      </c>
      <c r="L2557">
        <v>4.7</v>
      </c>
      <c r="M2557">
        <v>1449</v>
      </c>
      <c r="O2557" t="s">
        <v>26</v>
      </c>
      <c r="P2557" t="s">
        <v>39</v>
      </c>
      <c r="Q2557" t="s">
        <v>6002</v>
      </c>
    </row>
    <row r="2558" spans="1:17" ht="15.75" x14ac:dyDescent="0.25">
      <c r="A2558" s="3" t="str">
        <f>HYPERLINK("https://prolisok-store.com/collections/makeup/products/estee-lauder-double-wear-stay-in-place-flawless-wear-concealer-3c-medium-cool-7ml-0-24oz", "https://prolisok-store.com/collections/makeup/products/estee-lauder-double-wear-stay-in-place-flawless-wear-concealer-3c-medium-cool-7ml-0-24oz")</f>
        <v>https://prolisok-store.com/collections/makeup/products/estee-lauder-double-wear-stay-in-place-flawless-wear-concealer-3c-medium-cool-7ml-0-24oz</v>
      </c>
      <c r="B2558" s="3" t="str">
        <f>HYPERLINK("https://prolisok-store.com/products/estee-lauder-double-wear-stay-in-place-flawless-wear-concealer-3c-medium-cool-7ml-0-24oz", "https://prolisok-store.com/products/estee-lauder-double-wear-stay-in-place-flawless-wear-concealer-3c-medium-cool-7ml-0-24oz")</f>
        <v>https://prolisok-store.com/products/estee-lauder-double-wear-stay-in-place-flawless-wear-concealer-3c-medium-cool-7ml-0-24oz</v>
      </c>
      <c r="C2558" t="s">
        <v>6287</v>
      </c>
      <c r="D2558" t="s">
        <v>6288</v>
      </c>
      <c r="E2558" s="3" t="str">
        <f>HYPERLINK("https://www.amazon.com/Estee-Lauder-Double-Flawless-Concealer/dp/B005QCT3OQ/ref=sr_1_7?keywords=Estee+Lauder+double+wear+stay+in+place+flawless+wear+concealer+-&amp;qid=1695259513&amp;sr=8-7", "https://www.amazon.com/Estee-Lauder-Double-Flawless-Concealer/dp/B005QCT3OQ/ref=sr_1_7?keywords=Estee+Lauder+double+wear+stay+in+place+flawless+wear+concealer+-&amp;qid=1695259513&amp;sr=8-7")</f>
        <v>https://www.amazon.com/Estee-Lauder-Double-Flawless-Concealer/dp/B005QCT3OQ/ref=sr_1_7?keywords=Estee+Lauder+double+wear+stay+in+place+flawless+wear+concealer+-&amp;qid=1695259513&amp;sr=8-7</v>
      </c>
      <c r="F2558" t="s">
        <v>6289</v>
      </c>
      <c r="G2558" t="e">
        <f ca="1">IMAGE("https://prolisok-store.com/cdn/shop/products/310678_300x.jpg?v=1690900183")</f>
        <v>#NAME?</v>
      </c>
      <c r="H2558" t="e">
        <f ca="1">IMAGE("https://m.media-amazon.com/images/I/51KnLA9BRML._AC_UL320_.jpg")</f>
        <v>#NAME?</v>
      </c>
      <c r="I2558" t="s">
        <v>6267</v>
      </c>
      <c r="J2558">
        <v>32</v>
      </c>
      <c r="K2558" s="2" t="s">
        <v>6290</v>
      </c>
      <c r="L2558">
        <v>4.0999999999999996</v>
      </c>
      <c r="M2558">
        <v>72</v>
      </c>
      <c r="O2558" t="s">
        <v>26</v>
      </c>
      <c r="P2558" t="s">
        <v>39</v>
      </c>
      <c r="Q2558" t="s">
        <v>6291</v>
      </c>
    </row>
    <row r="2559" spans="1:17" ht="15.75" x14ac:dyDescent="0.25">
      <c r="A2559" s="3" t="str">
        <f>HYPERLINK("https://prolisok-store.com/collections/makeup/products/sisley-phyto-levres-perfect-lipliner-with-lip-brush-and-sharpener-5-burgundy-1-2g-0-04oz", "https://prolisok-store.com/collections/makeup/products/sisley-phyto-levres-perfect-lipliner-with-lip-brush-and-sharpener-5-burgundy-1-2g-0-04oz")</f>
        <v>https://prolisok-store.com/collections/makeup/products/sisley-phyto-levres-perfect-lipliner-with-lip-brush-and-sharpener-5-burgundy-1-2g-0-04oz</v>
      </c>
      <c r="B2559" s="3" t="str">
        <f>HYPERLINK("https://prolisok-store.com/products/sisley-phyto-levres-perfect-lipliner-with-lip-brush-and-sharpener-5-burgundy-1-2g-0-04oz", "https://prolisok-store.com/products/sisley-phyto-levres-perfect-lipliner-with-lip-brush-and-sharpener-5-burgundy-1-2g-0-04oz")</f>
        <v>https://prolisok-store.com/products/sisley-phyto-levres-perfect-lipliner-with-lip-brush-and-sharpener-5-burgundy-1-2g-0-04oz</v>
      </c>
      <c r="C2559" t="s">
        <v>5959</v>
      </c>
      <c r="D2559" t="s">
        <v>6292</v>
      </c>
      <c r="E2559" s="3" t="str">
        <f>HYPERLINK("https://www.amazon.com/Sisley-Phyto-Levres-Perfect-Lipliner-Sharpener/dp/B00TTLDVXY/ref=sr_1_1?keywords=Sisley+phyto+levres+perfect+lipliner+with+lip+brush+and+sharpener+-+%235+burgundy+1.2g%2F0.04oz&amp;qid=1695259523&amp;sr=8-1", "https://www.amazon.com/Sisley-Phyto-Levres-Perfect-Lipliner-Sharpener/dp/B00TTLDVXY/ref=sr_1_1?keywords=Sisley+phyto+levres+perfect+lipliner+with+lip+brush+and+sharpener+-+%235+burgundy+1.2g%2F0.04oz&amp;qid=1695259523&amp;sr=8-1")</f>
        <v>https://www.amazon.com/Sisley-Phyto-Levres-Perfect-Lipliner-Sharpener/dp/B00TTLDVXY/ref=sr_1_1?keywords=Sisley+phyto+levres+perfect+lipliner+with+lip+brush+and+sharpener+-+%235+burgundy+1.2g%2F0.04oz&amp;qid=1695259523&amp;sr=8-1</v>
      </c>
      <c r="F2559" t="s">
        <v>6293</v>
      </c>
      <c r="G2559" t="e">
        <f ca="1">IMAGE("https://prolisok-store.com/cdn/shop/products/187944_300x.jpg?v=1690900896")</f>
        <v>#NAME?</v>
      </c>
      <c r="H2559" t="e">
        <f ca="1">IMAGE("https://m.media-amazon.com/images/I/51kY5X2wTpL._AC_UL320_.jpg")</f>
        <v>#NAME?</v>
      </c>
      <c r="I2559" t="s">
        <v>5954</v>
      </c>
      <c r="J2559">
        <v>47.24</v>
      </c>
      <c r="K2559" s="2" t="s">
        <v>6294</v>
      </c>
      <c r="L2559">
        <v>5</v>
      </c>
      <c r="M2559">
        <v>2</v>
      </c>
      <c r="O2559" t="s">
        <v>26</v>
      </c>
      <c r="P2559" t="s">
        <v>39</v>
      </c>
      <c r="Q2559" t="s">
        <v>5960</v>
      </c>
    </row>
    <row r="2560" spans="1:17" ht="15.75" x14ac:dyDescent="0.25">
      <c r="A2560" s="3" t="str">
        <f>HYPERLINK("https://prolisok-store.com/collections/makeup/products/sisley-phyto-levres-perfect-lipliner-with-lip-brush-and-sharpener-1-nude-1-2g-0-04oz", "https://prolisok-store.com/collections/makeup/products/sisley-phyto-levres-perfect-lipliner-with-lip-brush-and-sharpener-1-nude-1-2g-0-04oz")</f>
        <v>https://prolisok-store.com/collections/makeup/products/sisley-phyto-levres-perfect-lipliner-with-lip-brush-and-sharpener-1-nude-1-2g-0-04oz</v>
      </c>
      <c r="B2560" s="3" t="str">
        <f>HYPERLINK("https://prolisok-store.com/products/sisley-phyto-levres-perfect-lipliner-with-lip-brush-and-sharpener-1-nude-1-2g-0-04oz", "https://prolisok-store.com/products/sisley-phyto-levres-perfect-lipliner-with-lip-brush-and-sharpener-1-nude-1-2g-0-04oz")</f>
        <v>https://prolisok-store.com/products/sisley-phyto-levres-perfect-lipliner-with-lip-brush-and-sharpener-1-nude-1-2g-0-04oz</v>
      </c>
      <c r="C2560" t="s">
        <v>5957</v>
      </c>
      <c r="D2560" t="s">
        <v>6292</v>
      </c>
      <c r="E2560" s="3" t="str">
        <f>HYPERLINK("https://www.amazon.com/Sisley-Phyto-Levres-Perfect-Lipliner-Sharpener/dp/B00TTLDVXY/ref=sr_1_1?keywords=Sisley+phyto+levres+perfect+lipliner+with+lip+brush+and+sharpener+-+%231+nude+1.2g%2F0.04oz&amp;qid=1695259509&amp;sr=8-1", "https://www.amazon.com/Sisley-Phyto-Levres-Perfect-Lipliner-Sharpener/dp/B00TTLDVXY/ref=sr_1_1?keywords=Sisley+phyto+levres+perfect+lipliner+with+lip+brush+and+sharpener+-+%231+nude+1.2g%2F0.04oz&amp;qid=1695259509&amp;sr=8-1")</f>
        <v>https://www.amazon.com/Sisley-Phyto-Levres-Perfect-Lipliner-Sharpener/dp/B00TTLDVXY/ref=sr_1_1?keywords=Sisley+phyto+levres+perfect+lipliner+with+lip+brush+and+sharpener+-+%231+nude+1.2g%2F0.04oz&amp;qid=1695259509&amp;sr=8-1</v>
      </c>
      <c r="F2560" t="s">
        <v>6293</v>
      </c>
      <c r="G2560" t="e">
        <f ca="1">IMAGE("https://prolisok-store.com/cdn/shop/products/178979_300x.jpg?v=1690900912")</f>
        <v>#NAME?</v>
      </c>
      <c r="H2560" t="e">
        <f ca="1">IMAGE("https://m.media-amazon.com/images/I/51kY5X2wTpL._AC_UL320_.jpg")</f>
        <v>#NAME?</v>
      </c>
      <c r="I2560" t="s">
        <v>5954</v>
      </c>
      <c r="J2560">
        <v>47.24</v>
      </c>
      <c r="K2560" s="2" t="s">
        <v>6294</v>
      </c>
      <c r="L2560">
        <v>5</v>
      </c>
      <c r="M2560">
        <v>2</v>
      </c>
      <c r="O2560" t="s">
        <v>26</v>
      </c>
      <c r="P2560" t="s">
        <v>39</v>
      </c>
      <c r="Q2560" t="s">
        <v>5958</v>
      </c>
    </row>
    <row r="2561" spans="1:17" ht="15.75" x14ac:dyDescent="0.25">
      <c r="A2561" s="3" t="str">
        <f>HYPERLINK("https://prolisok-store.com/collections/makeup/products/sisley-phyto-levres-perfect-lipliner-with-lip-brush-and-sharpener-10-auburn-1-2g-0-04oz", "https://prolisok-store.com/collections/makeup/products/sisley-phyto-levres-perfect-lipliner-with-lip-brush-and-sharpener-10-auburn-1-2g-0-04oz")</f>
        <v>https://prolisok-store.com/collections/makeup/products/sisley-phyto-levres-perfect-lipliner-with-lip-brush-and-sharpener-10-auburn-1-2g-0-04oz</v>
      </c>
      <c r="B2561" s="3" t="str">
        <f>HYPERLINK("https://prolisok-store.com/products/sisley-phyto-levres-perfect-lipliner-with-lip-brush-and-sharpener-10-auburn-1-2g-0-04oz", "https://prolisok-store.com/products/sisley-phyto-levres-perfect-lipliner-with-lip-brush-and-sharpener-10-auburn-1-2g-0-04oz")</f>
        <v>https://prolisok-store.com/products/sisley-phyto-levres-perfect-lipliner-with-lip-brush-and-sharpener-10-auburn-1-2g-0-04oz</v>
      </c>
      <c r="C2561" t="s">
        <v>5961</v>
      </c>
      <c r="D2561" t="s">
        <v>6292</v>
      </c>
      <c r="E2561" s="3" t="str">
        <f>HYPERLINK("https://www.amazon.com/Sisley-Phyto-Levres-Perfect-Lipliner-Sharpener/dp/B00TTLDVXY/ref=sr_1_2?keywords=Sisley+phyto+levres+perfect+lipliner+with+lip+brush+and+sharpener+-+%2310+auburn+1.2g%2F0.04oz&amp;qid=1695259518&amp;sr=8-2", "https://www.amazon.com/Sisley-Phyto-Levres-Perfect-Lipliner-Sharpener/dp/B00TTLDVXY/ref=sr_1_2?keywords=Sisley+phyto+levres+perfect+lipliner+with+lip+brush+and+sharpener+-+%2310+auburn+1.2g%2F0.04oz&amp;qid=1695259518&amp;sr=8-2")</f>
        <v>https://www.amazon.com/Sisley-Phyto-Levres-Perfect-Lipliner-Sharpener/dp/B00TTLDVXY/ref=sr_1_2?keywords=Sisley+phyto+levres+perfect+lipliner+with+lip+brush+and+sharpener+-+%2310+auburn+1.2g%2F0.04oz&amp;qid=1695259518&amp;sr=8-2</v>
      </c>
      <c r="F2561" t="s">
        <v>6293</v>
      </c>
      <c r="G2561" t="e">
        <f ca="1">IMAGE("https://prolisok-store.com/cdn/shop/products/288210_300x.jpg?v=1690900921")</f>
        <v>#NAME?</v>
      </c>
      <c r="H2561" t="e">
        <f ca="1">IMAGE("https://m.media-amazon.com/images/I/51kY5X2wTpL._AC_UL320_.jpg")</f>
        <v>#NAME?</v>
      </c>
      <c r="I2561" t="s">
        <v>5954</v>
      </c>
      <c r="J2561">
        <v>47.24</v>
      </c>
      <c r="K2561" s="2" t="s">
        <v>6294</v>
      </c>
      <c r="L2561">
        <v>5</v>
      </c>
      <c r="M2561">
        <v>2</v>
      </c>
      <c r="O2561" t="s">
        <v>26</v>
      </c>
      <c r="P2561" t="s">
        <v>39</v>
      </c>
      <c r="Q2561" t="s">
        <v>5962</v>
      </c>
    </row>
    <row r="2562" spans="1:17" ht="15.75" x14ac:dyDescent="0.25">
      <c r="A2562" s="3" t="str">
        <f>HYPERLINK("https://prolisok-store.com/collections/makeup/products/sisley-phyto-levres-perfect-lipliner-with-lip-brush-and-sharpener-6-chocolat-1-2g-0-04oz", "https://prolisok-store.com/collections/makeup/products/sisley-phyto-levres-perfect-lipliner-with-lip-brush-and-sharpener-6-chocolat-1-2g-0-04oz")</f>
        <v>https://prolisok-store.com/collections/makeup/products/sisley-phyto-levres-perfect-lipliner-with-lip-brush-and-sharpener-6-chocolat-1-2g-0-04oz</v>
      </c>
      <c r="B2562" s="3" t="str">
        <f>HYPERLINK("https://prolisok-store.com/products/sisley-phyto-levres-perfect-lipliner-with-lip-brush-and-sharpener-6-chocolat-1-2g-0-04oz", "https://prolisok-store.com/products/sisley-phyto-levres-perfect-lipliner-with-lip-brush-and-sharpener-6-chocolat-1-2g-0-04oz")</f>
        <v>https://prolisok-store.com/products/sisley-phyto-levres-perfect-lipliner-with-lip-brush-and-sharpener-6-chocolat-1-2g-0-04oz</v>
      </c>
      <c r="C2562" t="s">
        <v>5951</v>
      </c>
      <c r="D2562" t="s">
        <v>6292</v>
      </c>
      <c r="E2562" s="3" t="str">
        <f>HYPERLINK("https://www.amazon.com/Sisley-Phyto-Levres-Perfect-Lipliner-Sharpener/dp/B00TTLDVXY/ref=sr_1_3?keywords=Sisley+phyto+levres+perfect+lipliner+with+lip+brush+and+sharpener+-+%236+chocolat+1.2g%2F0.04oz&amp;qid=1695259543&amp;sr=8-3", "https://www.amazon.com/Sisley-Phyto-Levres-Perfect-Lipliner-Sharpener/dp/B00TTLDVXY/ref=sr_1_3?keywords=Sisley+phyto+levres+perfect+lipliner+with+lip+brush+and+sharpener+-+%236+chocolat+1.2g%2F0.04oz&amp;qid=1695259543&amp;sr=8-3")</f>
        <v>https://www.amazon.com/Sisley-Phyto-Levres-Perfect-Lipliner-Sharpener/dp/B00TTLDVXY/ref=sr_1_3?keywords=Sisley+phyto+levres+perfect+lipliner+with+lip+brush+and+sharpener+-+%236+chocolat+1.2g%2F0.04oz&amp;qid=1695259543&amp;sr=8-3</v>
      </c>
      <c r="F2562" t="s">
        <v>6293</v>
      </c>
      <c r="G2562" t="e">
        <f ca="1">IMAGE("https://prolisok-store.com/cdn/shop/products/185462_300x.jpg?v=1690900901")</f>
        <v>#NAME?</v>
      </c>
      <c r="H2562" t="e">
        <f ca="1">IMAGE("https://m.media-amazon.com/images/I/51kY5X2wTpL._AC_UL320_.jpg")</f>
        <v>#NAME?</v>
      </c>
      <c r="I2562" t="s">
        <v>5954</v>
      </c>
      <c r="J2562">
        <v>47.24</v>
      </c>
      <c r="K2562" s="2" t="s">
        <v>6294</v>
      </c>
      <c r="L2562">
        <v>5</v>
      </c>
      <c r="M2562">
        <v>2</v>
      </c>
      <c r="O2562" t="s">
        <v>26</v>
      </c>
      <c r="P2562" t="s">
        <v>39</v>
      </c>
      <c r="Q2562" t="s">
        <v>5956</v>
      </c>
    </row>
    <row r="2563" spans="1:17" ht="15.75" x14ac:dyDescent="0.25">
      <c r="A2563" s="3" t="str">
        <f>HYPERLINK("https://prolisok-store.com/collections/makeup/products/sisley-phyto-teint-ultra-eclat-00-swan-30ml-1oz", "https://prolisok-store.com/collections/makeup/products/sisley-phyto-teint-ultra-eclat-00-swan-30ml-1oz")</f>
        <v>https://prolisok-store.com/collections/makeup/products/sisley-phyto-teint-ultra-eclat-00-swan-30ml-1oz</v>
      </c>
      <c r="B2563" s="3" t="str">
        <f>HYPERLINK("https://prolisok-store.com/products/sisley-phyto-teint-ultra-eclat-00-swan-30ml-1oz", "https://prolisok-store.com/products/sisley-phyto-teint-ultra-eclat-00-swan-30ml-1oz")</f>
        <v>https://prolisok-store.com/products/sisley-phyto-teint-ultra-eclat-00-swan-30ml-1oz</v>
      </c>
      <c r="C2563" t="s">
        <v>6295</v>
      </c>
      <c r="D2563" t="s">
        <v>6251</v>
      </c>
      <c r="E2563" s="3" t="str">
        <f>HYPERLINK("https://www.amazon.com/Sisley-Phyto-Teint-Lasting-Foundation-Natural/dp/B07XG1V9RY/ref=sr_1_3?keywords=Sisley+phyto+teint+ultra+eclat&amp;qid=1695259500&amp;sr=8-3", "https://www.amazon.com/Sisley-Phyto-Teint-Lasting-Foundation-Natural/dp/B07XG1V9RY/ref=sr_1_3?keywords=Sisley+phyto+teint+ultra+eclat&amp;qid=1695259500&amp;sr=8-3")</f>
        <v>https://www.amazon.com/Sisley-Phyto-Teint-Lasting-Foundation-Natural/dp/B07XG1V9RY/ref=sr_1_3?keywords=Sisley+phyto+teint+ultra+eclat&amp;qid=1695259500&amp;sr=8-3</v>
      </c>
      <c r="F2563" t="s">
        <v>6252</v>
      </c>
      <c r="G2563" t="e">
        <f ca="1">IMAGE("https://prolisok-store.com/cdn/shop/products/395002_300x.jpg?v=1690900695")</f>
        <v>#NAME?</v>
      </c>
      <c r="H2563" t="e">
        <f ca="1">IMAGE("https://m.media-amazon.com/images/I/41WL-3+Dz2L._AC_UL320_.jpg")</f>
        <v>#NAME?</v>
      </c>
      <c r="I2563" t="s">
        <v>6189</v>
      </c>
      <c r="J2563">
        <v>85.76</v>
      </c>
      <c r="K2563" s="2" t="s">
        <v>6296</v>
      </c>
      <c r="L2563">
        <v>4.8</v>
      </c>
      <c r="M2563">
        <v>10</v>
      </c>
      <c r="O2563" t="s">
        <v>26</v>
      </c>
      <c r="P2563" t="s">
        <v>39</v>
      </c>
      <c r="Q2563" t="s">
        <v>6297</v>
      </c>
    </row>
    <row r="2564" spans="1:17" ht="15.75" x14ac:dyDescent="0.25">
      <c r="A2564" s="3" t="str">
        <f>HYPERLINK("https://prolisok-store.com/collections/makeup/products/mac-love-me-lipstick-shamelessly-vain-3g-0-1oz", "https://prolisok-store.com/collections/makeup/products/mac-love-me-lipstick-shamelessly-vain-3g-0-1oz")</f>
        <v>https://prolisok-store.com/collections/makeup/products/mac-love-me-lipstick-shamelessly-vain-3g-0-1oz</v>
      </c>
      <c r="B2564" s="3" t="str">
        <f>HYPERLINK("https://prolisok-store.com/products/mac-love-me-lipstick-shamelessly-vain-3g-0-1oz", "https://prolisok-store.com/products/mac-love-me-lipstick-shamelessly-vain-3g-0-1oz")</f>
        <v>https://prolisok-store.com/products/mac-love-me-lipstick-shamelessly-vain-3g-0-1oz</v>
      </c>
      <c r="C2564" t="s">
        <v>6298</v>
      </c>
      <c r="D2564" t="s">
        <v>6084</v>
      </c>
      <c r="E2564" s="3" t="str">
        <f>HYPERLINK("https://www.amazon.com/MAC-Make-Up-Artist-Cosmetics-Lipstick/dp/B0BG3L695H/ref=sr_1_6?keywords=MAC+love+me+lipstick+-+shamelessly+vain+-3g%2F0.1oz&amp;qid=1695259548&amp;sr=8-6", "https://www.amazon.com/MAC-Make-Up-Artist-Cosmetics-Lipstick/dp/B0BG3L695H/ref=sr_1_6?keywords=MAC+love+me+lipstick+-+shamelessly+vain+-3g%2F0.1oz&amp;qid=1695259548&amp;sr=8-6")</f>
        <v>https://www.amazon.com/MAC-Make-Up-Artist-Cosmetics-Lipstick/dp/B0BG3L695H/ref=sr_1_6?keywords=MAC+love+me+lipstick+-+shamelessly+vain+-3g%2F0.1oz&amp;qid=1695259548&amp;sr=8-6</v>
      </c>
      <c r="F2564" t="s">
        <v>6085</v>
      </c>
      <c r="G2564" t="e">
        <f ca="1">IMAGE("https://prolisok-store.com/cdn/shop/products/359432_300x.jpg?v=1690393887")</f>
        <v>#NAME?</v>
      </c>
      <c r="H2564" t="e">
        <f ca="1">IMAGE("https://m.media-amazon.com/images/I/41RnxAtpIFL._AC_UL320_.jpg")</f>
        <v>#NAME?</v>
      </c>
      <c r="I2564" t="s">
        <v>6049</v>
      </c>
      <c r="J2564">
        <v>24.84</v>
      </c>
      <c r="K2564" s="2" t="s">
        <v>6299</v>
      </c>
      <c r="L2564">
        <v>5</v>
      </c>
      <c r="M2564">
        <v>1</v>
      </c>
      <c r="O2564" t="s">
        <v>26</v>
      </c>
      <c r="P2564" t="s">
        <v>39</v>
      </c>
      <c r="Q2564" t="s">
        <v>6300</v>
      </c>
    </row>
    <row r="2565" spans="1:17" ht="15.75" x14ac:dyDescent="0.25">
      <c r="A2565" s="3" t="str">
        <f>HYPERLINK("https://prolisok-store.com/collections/makeup/products/sisley-phyto-lip-twist-15-nut-2-5g-0-08oz", "https://prolisok-store.com/collections/makeup/products/sisley-phyto-lip-twist-15-nut-2-5g-0-08oz")</f>
        <v>https://prolisok-store.com/collections/makeup/products/sisley-phyto-lip-twist-15-nut-2-5g-0-08oz</v>
      </c>
      <c r="B2565" s="3" t="str">
        <f>HYPERLINK("https://prolisok-store.com/products/sisley-phyto-lip-twist-15-nut-2-5g-0-08oz", "https://prolisok-store.com/products/sisley-phyto-lip-twist-15-nut-2-5g-0-08oz")</f>
        <v>https://prolisok-store.com/products/sisley-phyto-lip-twist-15-nut-2-5g-0-08oz</v>
      </c>
      <c r="C2565" t="s">
        <v>6301</v>
      </c>
      <c r="D2565" t="s">
        <v>6302</v>
      </c>
      <c r="E2565" s="3" t="str">
        <f>HYPERLINK("https://www.amazon.com/Sisley-Womens-Phyto-Lip-Twist-Lipstick/dp/B01BNMZKTE/ref=sr_1_1?keywords=Sisley+phyto+lip+twist+-+%23+15+nut+2.5g%2F0.08oz&amp;qid=1695259535&amp;sr=8-1", "https://www.amazon.com/Sisley-Womens-Phyto-Lip-Twist-Lipstick/dp/B01BNMZKTE/ref=sr_1_1?keywords=Sisley+phyto+lip+twist+-+%23+15+nut+2.5g%2F0.08oz&amp;qid=1695259535&amp;sr=8-1")</f>
        <v>https://www.amazon.com/Sisley-Womens-Phyto-Lip-Twist-Lipstick/dp/B01BNMZKTE/ref=sr_1_1?keywords=Sisley+phyto+lip+twist+-+%23+15+nut+2.5g%2F0.08oz&amp;qid=1695259535&amp;sr=8-1</v>
      </c>
      <c r="F2565" t="s">
        <v>6303</v>
      </c>
      <c r="G2565" t="e">
        <f ca="1">IMAGE("https://prolisok-store.com/cdn/shop/products/285079_300x.jpg?v=1690900941")</f>
        <v>#NAME?</v>
      </c>
      <c r="H2565" t="e">
        <f ca="1">IMAGE("https://m.media-amazon.com/images/I/519Dq-Kea1L._AC_UL320_.jpg")</f>
        <v>#NAME?</v>
      </c>
      <c r="I2565" t="s">
        <v>5954</v>
      </c>
      <c r="J2565">
        <v>46.94</v>
      </c>
      <c r="K2565" s="2" t="s">
        <v>6304</v>
      </c>
      <c r="L2565">
        <v>4.4000000000000004</v>
      </c>
      <c r="M2565">
        <v>22</v>
      </c>
      <c r="O2565" t="s">
        <v>26</v>
      </c>
      <c r="P2565" t="s">
        <v>39</v>
      </c>
      <c r="Q2565" t="s">
        <v>6305</v>
      </c>
    </row>
    <row r="2566" spans="1:17" ht="15.75" x14ac:dyDescent="0.25">
      <c r="A2566" s="3" t="str">
        <f>HYPERLINK("https://prolisok-store.com/collections/makeup/products/sisley-phyto-khol-perfect-eyeliner-with-blender-and-sharpener-deep-jungle-1-2g-0-04oz", "https://prolisok-store.com/collections/makeup/products/sisley-phyto-khol-perfect-eyeliner-with-blender-and-sharpener-deep-jungle-1-2g-0-04oz")</f>
        <v>https://prolisok-store.com/collections/makeup/products/sisley-phyto-khol-perfect-eyeliner-with-blender-and-sharpener-deep-jungle-1-2g-0-04oz</v>
      </c>
      <c r="B2566" s="3" t="str">
        <f>HYPERLINK("https://prolisok-store.com/products/sisley-phyto-khol-perfect-eyeliner-with-blender-and-sharpener-deep-jungle-1-2g-0-04oz", "https://prolisok-store.com/products/sisley-phyto-khol-perfect-eyeliner-with-blender-and-sharpener-deep-jungle-1-2g-0-04oz")</f>
        <v>https://prolisok-store.com/products/sisley-phyto-khol-perfect-eyeliner-with-blender-and-sharpener-deep-jungle-1-2g-0-04oz</v>
      </c>
      <c r="C2566" t="s">
        <v>6306</v>
      </c>
      <c r="D2566" t="s">
        <v>6307</v>
      </c>
      <c r="E2566" s="3" t="str">
        <f>HYPERLINK("https://www.amazon.com/Sisley-Perfect-Eyeliner-Blender-Sharpener/dp/B0041PUDLG/ref=sr_1_2?keywords=Sisley+phyto+khol+perfect+eyeliner+%28with+blender+and+sharpener%29+-+deep+jungle+1.2g%2F0.04oz&amp;qid=1695259533&amp;sr=8-2", "https://www.amazon.com/Sisley-Perfect-Eyeliner-Blender-Sharpener/dp/B0041PUDLG/ref=sr_1_2?keywords=Sisley+phyto+khol+perfect+eyeliner+%28with+blender+and+sharpener%29+-+deep+jungle+1.2g%2F0.04oz&amp;qid=1695259533&amp;sr=8-2")</f>
        <v>https://www.amazon.com/Sisley-Perfect-Eyeliner-Blender-Sharpener/dp/B0041PUDLG/ref=sr_1_2?keywords=Sisley+phyto+khol+perfect+eyeliner+%28with+blender+and+sharpener%29+-+deep+jungle+1.2g%2F0.04oz&amp;qid=1695259533&amp;sr=8-2</v>
      </c>
      <c r="F2566" t="s">
        <v>6308</v>
      </c>
      <c r="G2566" t="e">
        <f ca="1">IMAGE("https://prolisok-store.com/cdn/shop/products/187085_300x.jpg?v=1690900888")</f>
        <v>#NAME?</v>
      </c>
      <c r="H2566" t="e">
        <f ca="1">IMAGE("https://m.media-amazon.com/images/I/71yZhKo+8pL._AC_UL320_.jpg")</f>
        <v>#NAME?</v>
      </c>
      <c r="I2566" t="s">
        <v>6309</v>
      </c>
      <c r="J2566">
        <v>44.31</v>
      </c>
      <c r="K2566" s="2" t="s">
        <v>5611</v>
      </c>
      <c r="L2566">
        <v>4.7</v>
      </c>
      <c r="M2566">
        <v>15</v>
      </c>
      <c r="O2566" t="s">
        <v>26</v>
      </c>
      <c r="P2566" t="s">
        <v>39</v>
      </c>
      <c r="Q2566" t="s">
        <v>6310</v>
      </c>
    </row>
    <row r="2567" spans="1:17" ht="15.75" x14ac:dyDescent="0.25">
      <c r="A2567" s="3" t="str">
        <f>HYPERLINK("https://prolisok-store.com/collections/makeup/products/sisley-sisleya-le-teint-anti-aging-foundation-3r-peach-30ml-1oz", "https://prolisok-store.com/collections/makeup/products/sisley-sisleya-le-teint-anti-aging-foundation-3r-peach-30ml-1oz")</f>
        <v>https://prolisok-store.com/collections/makeup/products/sisley-sisleya-le-teint-anti-aging-foundation-3r-peach-30ml-1oz</v>
      </c>
      <c r="B2567" s="3" t="str">
        <f>HYPERLINK("https://prolisok-store.com/products/sisley-sisleya-le-teint-anti-aging-foundation-3r-peach-30ml-1oz", "https://prolisok-store.com/products/sisley-sisleya-le-teint-anti-aging-foundation-3r-peach-30ml-1oz")</f>
        <v>https://prolisok-store.com/products/sisley-sisleya-le-teint-anti-aging-foundation-3r-peach-30ml-1oz</v>
      </c>
      <c r="C2567" t="s">
        <v>6311</v>
      </c>
      <c r="D2567" t="s">
        <v>6312</v>
      </c>
      <c r="E2567" s="3" t="str">
        <f>HYPERLINK("https://www.amazon.com/Sisley-Sisleya-Teint-Aging-Foundation/dp/B01LW997L9/ref=sr_1_2?keywords=Sisley+sisleya+le+teint+anti+aging+foundation+-&amp;qid=1695259552&amp;sr=8-2", "https://www.amazon.com/Sisley-Sisleya-Teint-Aging-Foundation/dp/B01LW997L9/ref=sr_1_2?keywords=Sisley+sisleya+le+teint+anti+aging+foundation+-&amp;qid=1695259552&amp;sr=8-2")</f>
        <v>https://www.amazon.com/Sisley-Sisleya-Teint-Aging-Foundation/dp/B01LW997L9/ref=sr_1_2?keywords=Sisley+sisleya+le+teint+anti+aging+foundation+-&amp;qid=1695259552&amp;sr=8-2</v>
      </c>
      <c r="F2567" t="s">
        <v>6313</v>
      </c>
      <c r="G2567" t="e">
        <f ca="1">IMAGE("https://prolisok-store.com/cdn/shop/products/289954_300x.jpg?v=1690900930")</f>
        <v>#NAME?</v>
      </c>
      <c r="H2567" t="e">
        <f ca="1">IMAGE("https://m.media-amazon.com/images/I/61TpZolG7cL._AC_UL320_.jpg")</f>
        <v>#NAME?</v>
      </c>
      <c r="I2567" t="s">
        <v>6314</v>
      </c>
      <c r="J2567">
        <v>156.94999999999999</v>
      </c>
      <c r="K2567" s="2" t="s">
        <v>6315</v>
      </c>
      <c r="L2567">
        <v>5</v>
      </c>
      <c r="M2567">
        <v>2</v>
      </c>
      <c r="O2567" t="s">
        <v>26</v>
      </c>
      <c r="P2567" t="s">
        <v>39</v>
      </c>
      <c r="Q2567" t="s">
        <v>6316</v>
      </c>
    </row>
    <row r="2568" spans="1:17" ht="15.75" x14ac:dyDescent="0.25">
      <c r="A2568" s="3" t="str">
        <f>HYPERLINK("https://prolisok-store.com/collections/makeup/products/clinique-by-clinique-chubby-lash-fattening-mascara-01-jumbo-jet-10ml-0-4oz", "https://prolisok-store.com/collections/makeup/products/clinique-by-clinique-chubby-lash-fattening-mascara-01-jumbo-jet-10ml-0-4oz")</f>
        <v>https://prolisok-store.com/collections/makeup/products/clinique-by-clinique-chubby-lash-fattening-mascara-01-jumbo-jet-10ml-0-4oz</v>
      </c>
      <c r="B2568"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568" t="s">
        <v>6208</v>
      </c>
      <c r="D2568" t="s">
        <v>6317</v>
      </c>
      <c r="E2568" s="3" t="str">
        <f>HYPERLINK("https://www.amazon.com/Clinique-Chubby-Fattening-Mascara-Jumbo/dp/B01APOXKL6/ref=sr_1_1?keywords=Clinique+chubby+lash+fattening+mascara+-+%2301+jumbo+jet+--10ml%2F0.4oz&amp;qid=1695259544&amp;sr=8-1", "https://www.amazon.com/Clinique-Chubby-Fattening-Mascara-Jumbo/dp/B01APOXKL6/ref=sr_1_1?keywords=Clinique+chubby+lash+fattening+mascara+-+%2301+jumbo+jet+--10ml%2F0.4oz&amp;qid=1695259544&amp;sr=8-1")</f>
        <v>https://www.amazon.com/Clinique-Chubby-Fattening-Mascara-Jumbo/dp/B01APOXKL6/ref=sr_1_1?keywords=Clinique+chubby+lash+fattening+mascara+-+%2301+jumbo+jet+--10ml%2F0.4oz&amp;qid=1695259544&amp;sr=8-1</v>
      </c>
      <c r="F2568" t="s">
        <v>6318</v>
      </c>
      <c r="G2568" t="e">
        <f ca="1">IMAGE("https://prolisok-store.com/cdn/shop/files/B-MRKTS-1062_300x.png?v=1690307144")</f>
        <v>#NAME?</v>
      </c>
      <c r="H2568" t="e">
        <f ca="1">IMAGE("https://m.media-amazon.com/images/I/61pDX615SNL._AC_UL320_.jpg")</f>
        <v>#NAME?</v>
      </c>
      <c r="I2568" t="s">
        <v>6000</v>
      </c>
      <c r="J2568">
        <v>22</v>
      </c>
      <c r="K2568" s="2" t="s">
        <v>6319</v>
      </c>
      <c r="L2568">
        <v>4.5</v>
      </c>
      <c r="M2568">
        <v>54</v>
      </c>
      <c r="O2568" t="s">
        <v>26</v>
      </c>
      <c r="P2568" t="s">
        <v>39</v>
      </c>
      <c r="Q2568" t="s">
        <v>6212</v>
      </c>
    </row>
    <row r="2569" spans="1:17" ht="15.75" x14ac:dyDescent="0.25">
      <c r="A2569" s="3" t="str">
        <f>HYPERLINK("https://prolisok-store.com/collections/makeup/products/estee-lauder-double-wear-stay-in-place-makeup-spf-10-5w1-bronze-30ml-1oz", "https://prolisok-store.com/collections/makeup/products/estee-lauder-double-wear-stay-in-place-makeup-spf-10-5w1-bronze-30ml-1oz")</f>
        <v>https://prolisok-store.com/collections/makeup/products/estee-lauder-double-wear-stay-in-place-makeup-spf-10-5w1-bronze-30ml-1oz</v>
      </c>
      <c r="B2569" s="3" t="str">
        <f>HYPERLINK("https://prolisok-store.com/products/estee-lauder-double-wear-stay-in-place-makeup-spf-10-5w1-bronze-30ml-1oz", "https://prolisok-store.com/products/estee-lauder-double-wear-stay-in-place-makeup-spf-10-5w1-bronze-30ml-1oz")</f>
        <v>https://prolisok-store.com/products/estee-lauder-double-wear-stay-in-place-makeup-spf-10-5w1-bronze-30ml-1oz</v>
      </c>
      <c r="C2569" t="s">
        <v>6320</v>
      </c>
      <c r="D2569" t="s">
        <v>6321</v>
      </c>
      <c r="E2569" s="3" t="str">
        <f>HYPERLINK("https://www.amazon.com/Moisture-Double-Place-Makeup-Lauder/dp/B09DCC674C/ref=sr_1_8?keywords=Estee+Lauder+double+wear+stay+in+place+makeup+spf+10+-+5w1+bronze+30ml%2F1oz&amp;qid=1695259516&amp;sr=8-8", "https://www.amazon.com/Moisture-Double-Place-Makeup-Lauder/dp/B09DCC674C/ref=sr_1_8?keywords=Estee+Lauder+double+wear+stay+in+place+makeup+spf+10+-+5w1+bronze+30ml%2F1oz&amp;qid=1695259516&amp;sr=8-8")</f>
        <v>https://www.amazon.com/Moisture-Double-Place-Makeup-Lauder/dp/B09DCC674C/ref=sr_1_8?keywords=Estee+Lauder+double+wear+stay+in+place+makeup+spf+10+-+5w1+bronze+30ml%2F1oz&amp;qid=1695259516&amp;sr=8-8</v>
      </c>
      <c r="F2569" t="s">
        <v>6322</v>
      </c>
      <c r="G2569" t="e">
        <f ca="1">IMAGE("https://prolisok-store.com/cdn/shop/products/461989_300x.jpg?v=1690900264")</f>
        <v>#NAME?</v>
      </c>
      <c r="H2569" t="e">
        <f ca="1">IMAGE("https://m.media-amazon.com/images/I/51hf5QSROgL._AC_UL320_.jpg")</f>
        <v>#NAME?</v>
      </c>
      <c r="I2569" t="s">
        <v>6323</v>
      </c>
      <c r="J2569">
        <v>43.99</v>
      </c>
      <c r="K2569" s="2" t="s">
        <v>6324</v>
      </c>
      <c r="L2569">
        <v>5</v>
      </c>
      <c r="M2569">
        <v>2</v>
      </c>
      <c r="O2569" t="s">
        <v>26</v>
      </c>
      <c r="P2569" t="s">
        <v>39</v>
      </c>
      <c r="Q2569" t="s">
        <v>6325</v>
      </c>
    </row>
    <row r="2570" spans="1:17" ht="15.75" x14ac:dyDescent="0.25">
      <c r="A2570" s="3" t="str">
        <f>HYPERLINK("https://prolisok-store.com/collections/makeup/products/sisley-phyto-teint-ultra-eclat-00-swan-30ml-1oz", "https://prolisok-store.com/collections/makeup/products/sisley-phyto-teint-ultra-eclat-00-swan-30ml-1oz")</f>
        <v>https://prolisok-store.com/collections/makeup/products/sisley-phyto-teint-ultra-eclat-00-swan-30ml-1oz</v>
      </c>
      <c r="B2570" s="3" t="str">
        <f>HYPERLINK("https://prolisok-store.com/products/sisley-phyto-teint-ultra-eclat-00-swan-30ml-1oz", "https://prolisok-store.com/products/sisley-phyto-teint-ultra-eclat-00-swan-30ml-1oz")</f>
        <v>https://prolisok-store.com/products/sisley-phyto-teint-ultra-eclat-00-swan-30ml-1oz</v>
      </c>
      <c r="C2570" t="s">
        <v>6295</v>
      </c>
      <c r="D2570" t="s">
        <v>6270</v>
      </c>
      <c r="E2570" s="3" t="str">
        <f>HYPERLINK("https://www.amazon.com/Sisley-Phyto-Teint-Ultra-Lasting-Foundation/dp/B07XG2W8ML/ref=sr_1_2?keywords=Sisley+phyto+teint+ultra+eclat&amp;qid=1695259500&amp;sr=8-2", "https://www.amazon.com/Sisley-Phyto-Teint-Ultra-Lasting-Foundation/dp/B07XG2W8ML/ref=sr_1_2?keywords=Sisley+phyto+teint+ultra+eclat&amp;qid=1695259500&amp;sr=8-2")</f>
        <v>https://www.amazon.com/Sisley-Phyto-Teint-Ultra-Lasting-Foundation/dp/B07XG2W8ML/ref=sr_1_2?keywords=Sisley+phyto+teint+ultra+eclat&amp;qid=1695259500&amp;sr=8-2</v>
      </c>
      <c r="F2570" t="s">
        <v>6271</v>
      </c>
      <c r="G2570" t="e">
        <f ca="1">IMAGE("https://prolisok-store.com/cdn/shop/products/395002_300x.jpg?v=1690900695")</f>
        <v>#NAME?</v>
      </c>
      <c r="H2570" t="e">
        <f ca="1">IMAGE("https://m.media-amazon.com/images/I/61Y+1yPUoRL._AC_UL320_.jpg")</f>
        <v>#NAME?</v>
      </c>
      <c r="I2570" t="s">
        <v>6189</v>
      </c>
      <c r="J2570">
        <v>84.48</v>
      </c>
      <c r="K2570" s="2" t="s">
        <v>6326</v>
      </c>
      <c r="L2570">
        <v>5</v>
      </c>
      <c r="M2570">
        <v>7</v>
      </c>
      <c r="O2570" t="s">
        <v>26</v>
      </c>
      <c r="P2570" t="s">
        <v>39</v>
      </c>
      <c r="Q2570" t="s">
        <v>6297</v>
      </c>
    </row>
    <row r="2571" spans="1:17" ht="15.75" x14ac:dyDescent="0.25">
      <c r="A2571" s="3" t="str">
        <f>HYPERLINK("https://prolisok-store.com/collections/makeup/products/estee-lauder-brow-now-brow-defining-pencil-02-light-brunette-1-2g-0-04oz", "https://prolisok-store.com/collections/makeup/products/estee-lauder-brow-now-brow-defining-pencil-02-light-brunette-1-2g-0-04oz")</f>
        <v>https://prolisok-store.com/collections/makeup/products/estee-lauder-brow-now-brow-defining-pencil-02-light-brunette-1-2g-0-04oz</v>
      </c>
      <c r="B2571" s="3" t="str">
        <f>HYPERLINK("https://prolisok-store.com/products/estee-lauder-brow-now-brow-defining-pencil-02-light-brunette-1-2g-0-04oz", "https://prolisok-store.com/products/estee-lauder-brow-now-brow-defining-pencil-02-light-brunette-1-2g-0-04oz")</f>
        <v>https://prolisok-store.com/products/estee-lauder-brow-now-brow-defining-pencil-02-light-brunette-1-2g-0-04oz</v>
      </c>
      <c r="C2571" t="s">
        <v>6055</v>
      </c>
      <c r="D2571" t="s">
        <v>6327</v>
      </c>
      <c r="E2571" s="3" t="str">
        <f>HYPERLINK("https://www.amazon.com/Estee-Lauder-Brow-Defining-Pencil/dp/B015COASLO/ref=sr_1_2?keywords=Estee+Lauder+brow+now+brow+defining+pencil+-&amp;qid=1695259522&amp;sr=8-2", "https://www.amazon.com/Estee-Lauder-Brow-Defining-Pencil/dp/B015COASLO/ref=sr_1_2?keywords=Estee+Lauder+brow+now+brow+defining+pencil+-&amp;qid=1695259522&amp;sr=8-2")</f>
        <v>https://www.amazon.com/Estee-Lauder-Brow-Defining-Pencil/dp/B015COASLO/ref=sr_1_2?keywords=Estee+Lauder+brow+now+brow+defining+pencil+-&amp;qid=1695259522&amp;sr=8-2</v>
      </c>
      <c r="F2571" t="s">
        <v>6328</v>
      </c>
      <c r="G2571" t="e">
        <f ca="1">IMAGE("https://prolisok-store.com/cdn/shop/products/296947_300x.jpg?v=1690900189")</f>
        <v>#NAME?</v>
      </c>
      <c r="H2571" t="e">
        <f ca="1">IMAGE("https://m.media-amazon.com/images/I/31LphIuZtyL._AC_UL320_.jpg")</f>
        <v>#NAME?</v>
      </c>
      <c r="I2571" t="s">
        <v>6058</v>
      </c>
      <c r="J2571">
        <v>21.96</v>
      </c>
      <c r="K2571" s="2" t="s">
        <v>6329</v>
      </c>
      <c r="L2571">
        <v>4.5</v>
      </c>
      <c r="M2571">
        <v>345</v>
      </c>
      <c r="O2571" t="s">
        <v>26</v>
      </c>
      <c r="P2571" t="s">
        <v>39</v>
      </c>
      <c r="Q2571" t="s">
        <v>6060</v>
      </c>
    </row>
    <row r="2572" spans="1:17" ht="15.75" x14ac:dyDescent="0.25">
      <c r="A2572" s="3" t="str">
        <f>HYPERLINK("https://prolisok-store.com/collections/makeup/products/sisley-phyto-lip-twist-25-soft-berry-2-5g-0-08oz", "https://prolisok-store.com/collections/makeup/products/sisley-phyto-lip-twist-25-soft-berry-2-5g-0-08oz")</f>
        <v>https://prolisok-store.com/collections/makeup/products/sisley-phyto-lip-twist-25-soft-berry-2-5g-0-08oz</v>
      </c>
      <c r="B2572" s="3" t="str">
        <f>HYPERLINK("https://prolisok-store.com/products/sisley-phyto-lip-twist-25-soft-berry-2-5g-0-08oz", "https://prolisok-store.com/products/sisley-phyto-lip-twist-25-soft-berry-2-5g-0-08oz")</f>
        <v>https://prolisok-store.com/products/sisley-phyto-lip-twist-25-soft-berry-2-5g-0-08oz</v>
      </c>
      <c r="C2572" t="s">
        <v>6330</v>
      </c>
      <c r="D2572" t="s">
        <v>6331</v>
      </c>
      <c r="E2572" s="3" t="str">
        <f>HYPERLINK("https://www.amazon.com/Sisley-Phyto-Lip-Twist-Lipstick/dp/B09MKJXXVM/ref=sr_1_1?keywords=Sisley+phyto+lip+twist+-+%23+25+soft+berry+2.5g%2F0.08oz&amp;qid=1695259512&amp;sr=8-1", "https://www.amazon.com/Sisley-Phyto-Lip-Twist-Lipstick/dp/B09MKJXXVM/ref=sr_1_1?keywords=Sisley+phyto+lip+twist+-+%23+25+soft+berry+2.5g%2F0.08oz&amp;qid=1695259512&amp;sr=8-1")</f>
        <v>https://www.amazon.com/Sisley-Phyto-Lip-Twist-Lipstick/dp/B09MKJXXVM/ref=sr_1_1?keywords=Sisley+phyto+lip+twist+-+%23+25+soft+berry+2.5g%2F0.08oz&amp;qid=1695259512&amp;sr=8-1</v>
      </c>
      <c r="F2572" t="s">
        <v>6332</v>
      </c>
      <c r="G2572" t="e">
        <f ca="1">IMAGE("https://prolisok-store.com/cdn/shop/products/428819_300x.jpg?v=1690900630")</f>
        <v>#NAME?</v>
      </c>
      <c r="H2572" t="e">
        <f ca="1">IMAGE("https://m.media-amazon.com/images/I/71lNgTyNYwL._AC_UL320_.jpg")</f>
        <v>#NAME?</v>
      </c>
      <c r="I2572" t="s">
        <v>5954</v>
      </c>
      <c r="J2572">
        <v>46.07</v>
      </c>
      <c r="K2572" s="2" t="s">
        <v>6333</v>
      </c>
      <c r="L2572">
        <v>5</v>
      </c>
      <c r="M2572">
        <v>1</v>
      </c>
      <c r="O2572" t="s">
        <v>26</v>
      </c>
      <c r="P2572" t="s">
        <v>39</v>
      </c>
      <c r="Q2572" t="s">
        <v>6334</v>
      </c>
    </row>
    <row r="2573" spans="1:17" ht="15.75" x14ac:dyDescent="0.25">
      <c r="A2573" s="3" t="str">
        <f>HYPERLINK("https://prolisok-store.com/collections/makeup/products/sisley-phyto-lip-twist-5-berry-2-5g-0-08oz", "https://prolisok-store.com/collections/makeup/products/sisley-phyto-lip-twist-5-berry-2-5g-0-08oz")</f>
        <v>https://prolisok-store.com/collections/makeup/products/sisley-phyto-lip-twist-5-berry-2-5g-0-08oz</v>
      </c>
      <c r="B2573" s="3" t="str">
        <f>HYPERLINK("https://prolisok-store.com/products/sisley-phyto-lip-twist-5-berry-2-5g-0-08oz", "https://prolisok-store.com/products/sisley-phyto-lip-twist-5-berry-2-5g-0-08oz")</f>
        <v>https://prolisok-store.com/products/sisley-phyto-lip-twist-5-berry-2-5g-0-08oz</v>
      </c>
      <c r="C2573" t="s">
        <v>6335</v>
      </c>
      <c r="D2573" t="s">
        <v>6331</v>
      </c>
      <c r="E2573" s="3" t="str">
        <f>HYPERLINK("https://www.amazon.com/Sisley-Phyto-Lip-Twist-Lipstick/dp/B09MKJXXVM/ref=sr_1_1?keywords=Sisley+phyto+lip+twist+-+%23+5+berry+2.5g%2F0.08oz&amp;qid=1695259499&amp;sr=8-1", "https://www.amazon.com/Sisley-Phyto-Lip-Twist-Lipstick/dp/B09MKJXXVM/ref=sr_1_1?keywords=Sisley+phyto+lip+twist+-+%23+5+berry+2.5g%2F0.08oz&amp;qid=1695259499&amp;sr=8-1")</f>
        <v>https://www.amazon.com/Sisley-Phyto-Lip-Twist-Lipstick/dp/B09MKJXXVM/ref=sr_1_1?keywords=Sisley+phyto+lip+twist+-+%23+5+berry+2.5g%2F0.08oz&amp;qid=1695259499&amp;sr=8-1</v>
      </c>
      <c r="F2573" t="s">
        <v>6332</v>
      </c>
      <c r="G2573" t="e">
        <f ca="1">IMAGE("https://prolisok-store.com/cdn/shop/products/252712_300x.jpg?v=1690901002")</f>
        <v>#NAME?</v>
      </c>
      <c r="H2573" t="e">
        <f ca="1">IMAGE("https://m.media-amazon.com/images/I/71lNgTyNYwL._AC_UL320_.jpg")</f>
        <v>#NAME?</v>
      </c>
      <c r="I2573" t="s">
        <v>5954</v>
      </c>
      <c r="J2573">
        <v>46.07</v>
      </c>
      <c r="K2573" s="2" t="s">
        <v>6333</v>
      </c>
      <c r="L2573">
        <v>5</v>
      </c>
      <c r="M2573">
        <v>1</v>
      </c>
      <c r="O2573" t="s">
        <v>26</v>
      </c>
      <c r="P2573" t="s">
        <v>39</v>
      </c>
      <c r="Q2573" t="s">
        <v>6336</v>
      </c>
    </row>
    <row r="2574" spans="1:17" ht="15.75" x14ac:dyDescent="0.25">
      <c r="A2574" s="3" t="str">
        <f>HYPERLINK("https://prolisok-store.com/collections/makeup/products/mac-mineralize-skinfinish-natural-dark-deepest-10g-0-35oz", "https://prolisok-store.com/collections/makeup/products/mac-mineralize-skinfinish-natural-dark-deepest-10g-0-35oz")</f>
        <v>https://prolisok-store.com/collections/makeup/products/mac-mineralize-skinfinish-natural-dark-deepest-10g-0-35oz</v>
      </c>
      <c r="B2574" s="3" t="str">
        <f>HYPERLINK("https://prolisok-store.com/products/mac-mineralize-skinfinish-natural-dark-deepest-10g-0-35oz", "https://prolisok-store.com/products/mac-mineralize-skinfinish-natural-dark-deepest-10g-0-35oz")</f>
        <v>https://prolisok-store.com/products/mac-mineralize-skinfinish-natural-dark-deepest-10g-0-35oz</v>
      </c>
      <c r="C2574" t="s">
        <v>6337</v>
      </c>
      <c r="D2574" t="s">
        <v>6338</v>
      </c>
      <c r="E2574" s="3" t="str">
        <f>HYPERLINK("https://www.amazon.com/MAC-Mineralize-Skinfinish-Natural-0-35/dp/B01B8ABHK2/ref=sr_1_2?keywords=MAC+mineralize+skinfinish+natural+-+dark+deepest+-10g%2F0.35oz&amp;qid=1695259542&amp;sr=8-2", "https://www.amazon.com/MAC-Mineralize-Skinfinish-Natural-0-35/dp/B01B8ABHK2/ref=sr_1_2?keywords=MAC+mineralize+skinfinish+natural+-+dark+deepest+-10g%2F0.35oz&amp;qid=1695259542&amp;sr=8-2")</f>
        <v>https://www.amazon.com/MAC-Mineralize-Skinfinish-Natural-0-35/dp/B01B8ABHK2/ref=sr_1_2?keywords=MAC+mineralize+skinfinish+natural+-+dark+deepest+-10g%2F0.35oz&amp;qid=1695259542&amp;sr=8-2</v>
      </c>
      <c r="F2574" t="s">
        <v>6339</v>
      </c>
      <c r="G2574" t="e">
        <f ca="1">IMAGE("https://prolisok-store.com/cdn/shop/products/346915_300x.jpg?v=1690393894")</f>
        <v>#NAME?</v>
      </c>
      <c r="H2574" t="e">
        <f ca="1">IMAGE("https://m.media-amazon.com/images/I/51jGbiDB74L._AC_UL320_.jpg")</f>
        <v>#NAME?</v>
      </c>
      <c r="I2574" t="s">
        <v>4432</v>
      </c>
      <c r="J2574">
        <v>41.72</v>
      </c>
      <c r="K2574" s="2" t="s">
        <v>6340</v>
      </c>
      <c r="L2574">
        <v>4.5999999999999996</v>
      </c>
      <c r="M2574">
        <v>535</v>
      </c>
      <c r="O2574" t="s">
        <v>26</v>
      </c>
      <c r="P2574" t="s">
        <v>39</v>
      </c>
      <c r="Q2574" t="s">
        <v>6341</v>
      </c>
    </row>
    <row r="2575" spans="1:17" ht="15.75" x14ac:dyDescent="0.25">
      <c r="A2575" s="3" t="str">
        <f>HYPERLINK("https://prolisok-store.com/collections/makeup/products/clinique-by-clinique-stay-matte-powder-oil-free-no-03-stay-beige-7-6g-0-27oz", "https://prolisok-store.com/collections/makeup/products/clinique-by-clinique-stay-matte-powder-oil-free-no-03-stay-beige-7-6g-0-27oz")</f>
        <v>https://prolisok-store.com/collections/makeup/products/clinique-by-clinique-stay-matte-powder-oil-free-no-03-stay-beige-7-6g-0-27oz</v>
      </c>
      <c r="B2575" s="3" t="str">
        <f>HYPERLINK("https://prolisok-store.com/products/clinique-by-clinique-stay-matte-powder-oil-free-no-03-stay-beige-7-6g-0-27oz", "https://prolisok-store.com/products/clinique-by-clinique-stay-matte-powder-oil-free-no-03-stay-beige-7-6g-0-27oz")</f>
        <v>https://prolisok-store.com/products/clinique-by-clinique-stay-matte-powder-oil-free-no-03-stay-beige-7-6g-0-27oz</v>
      </c>
      <c r="C2575" t="s">
        <v>6158</v>
      </c>
      <c r="D2575" t="s">
        <v>6342</v>
      </c>
      <c r="E2575" s="3" t="str">
        <f>HYPERLINK("https://www.amazon.com/Clinique-Stay-Matte-Shine-Absorbing-Appearance-Phthalates/dp/B000JYNJBY/ref=sr_1_4?keywords=Clinique+stay+matte+powder+oil+free+-+no.+03+stay+beige+--7.6g%2F0.27oz&amp;qid=1695259504&amp;sr=8-4", "https://www.amazon.com/Clinique-Stay-Matte-Shine-Absorbing-Appearance-Phthalates/dp/B000JYNJBY/ref=sr_1_4?keywords=Clinique+stay+matte+powder+oil+free+-+no.+03+stay+beige+--7.6g%2F0.27oz&amp;qid=1695259504&amp;sr=8-4")</f>
        <v>https://www.amazon.com/Clinique-Stay-Matte-Shine-Absorbing-Appearance-Phthalates/dp/B000JYNJBY/ref=sr_1_4?keywords=Clinique+stay+matte+powder+oil+free+-+no.+03+stay+beige+--7.6g%2F0.27oz&amp;qid=1695259504&amp;sr=8-4</v>
      </c>
      <c r="F2575" t="s">
        <v>6343</v>
      </c>
      <c r="G2575" t="e">
        <f ca="1">IMAGE("https://prolisok-store.com/cdn/shop/products/168575_300x.jpg?v=1688060505")</f>
        <v>#NAME?</v>
      </c>
      <c r="H2575" t="e">
        <f ca="1">IMAGE("https://m.media-amazon.com/images/I/61gF6rVINTL._AC_UL320_.jpg")</f>
        <v>#NAME?</v>
      </c>
      <c r="I2575" t="s">
        <v>6111</v>
      </c>
      <c r="J2575">
        <v>34.17</v>
      </c>
      <c r="K2575" s="2" t="s">
        <v>6344</v>
      </c>
      <c r="L2575">
        <v>4.5999999999999996</v>
      </c>
      <c r="M2575">
        <v>2515</v>
      </c>
      <c r="O2575" t="s">
        <v>26</v>
      </c>
      <c r="P2575" t="s">
        <v>39</v>
      </c>
      <c r="Q2575" t="s">
        <v>6162</v>
      </c>
    </row>
    <row r="2576" spans="1:17" ht="15.75" x14ac:dyDescent="0.25">
      <c r="A2576" s="3" t="str">
        <f>HYPERLINK("https://prolisok-store.com/collections/makeup/products/mac-studio-fix-powder-plus-foundation-nc15-15g-0-52oz", "https://prolisok-store.com/collections/makeup/products/mac-studio-fix-powder-plus-foundation-nc15-15g-0-52oz")</f>
        <v>https://prolisok-store.com/collections/makeup/products/mac-studio-fix-powder-plus-foundation-nc15-15g-0-52oz</v>
      </c>
      <c r="B2576" s="3" t="str">
        <f>HYPERLINK("https://prolisok-store.com/products/mac-studio-fix-powder-plus-foundation-nc15-15g-0-52oz", "https://prolisok-store.com/products/mac-studio-fix-powder-plus-foundation-nc15-15g-0-52oz")</f>
        <v>https://prolisok-store.com/products/mac-studio-fix-powder-plus-foundation-nc15-15g-0-52oz</v>
      </c>
      <c r="C2576" t="s">
        <v>6108</v>
      </c>
      <c r="D2576" t="s">
        <v>6345</v>
      </c>
      <c r="E2576" s="3" t="str">
        <f>HYPERLINK("https://www.amazon.com/MAC-Studio-Powder-Plus-Foundation/dp/B0006LNQ4U/ref=sr_1_6?keywords=MAC+studio+fix+powder+plus+foundation+-+nc15+-15g%2F0.52oz&amp;qid=1695259539&amp;sr=8-6", "https://www.amazon.com/MAC-Studio-Powder-Plus-Foundation/dp/B0006LNQ4U/ref=sr_1_6?keywords=MAC+studio+fix+powder+plus+foundation+-+nc15+-15g%2F0.52oz&amp;qid=1695259539&amp;sr=8-6")</f>
        <v>https://www.amazon.com/MAC-Studio-Powder-Plus-Foundation/dp/B0006LNQ4U/ref=sr_1_6?keywords=MAC+studio+fix+powder+plus+foundation+-+nc15+-15g%2F0.52oz&amp;qid=1695259539&amp;sr=8-6</v>
      </c>
      <c r="F2576" t="s">
        <v>6346</v>
      </c>
      <c r="G2576" t="e">
        <f ca="1">IMAGE("https://prolisok-store.com/cdn/shop/products/347384_300x.jpg?v=1690393863")</f>
        <v>#NAME?</v>
      </c>
      <c r="H2576" t="e">
        <f ca="1">IMAGE("https://m.media-amazon.com/images/I/51Qi3mFAmUL._AC_UL320_.jpg")</f>
        <v>#NAME?</v>
      </c>
      <c r="I2576" t="s">
        <v>6111</v>
      </c>
      <c r="J2576">
        <v>33.93</v>
      </c>
      <c r="K2576" s="2" t="s">
        <v>6347</v>
      </c>
      <c r="L2576">
        <v>4.7</v>
      </c>
      <c r="M2576">
        <v>96</v>
      </c>
      <c r="O2576" t="s">
        <v>26</v>
      </c>
      <c r="P2576" t="s">
        <v>39</v>
      </c>
      <c r="Q2576" t="s">
        <v>6113</v>
      </c>
    </row>
    <row r="2577" spans="1:17" ht="15.75" x14ac:dyDescent="0.25">
      <c r="A2577"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577" s="3" t="str">
        <f>HYPERLINK("https://prolisok-store.com/products/mac-studio-fix-24-hour-smooth-wear-concealer-nc48-6-8ml-0-23oz", "https://prolisok-store.com/products/mac-studio-fix-24-hour-smooth-wear-concealer-nc48-6-8ml-0-23oz")</f>
        <v>https://prolisok-store.com/products/mac-studio-fix-24-hour-smooth-wear-concealer-nc48-6-8ml-0-23oz</v>
      </c>
      <c r="C2577" t="s">
        <v>6091</v>
      </c>
      <c r="D2577" t="s">
        <v>6348</v>
      </c>
      <c r="E2577" s="3" t="str">
        <f>HYPERLINK("https://www.amazon.com/Studio-24-Hour-Smooth-Concealer-0-23/dp/B07QL3V2HD/ref=sr_1_10?keywords=MAC+studio+fix+24-hour+smooth+wear+concealer+-+nc48+-6.8ml%2F0.23oz&amp;qid=1695259540&amp;sr=8-10", "https://www.amazon.com/Studio-24-Hour-Smooth-Concealer-0-23/dp/B07QL3V2HD/ref=sr_1_10?keywords=MAC+studio+fix+24-hour+smooth+wear+concealer+-+nc48+-6.8ml%2F0.23oz&amp;qid=1695259540&amp;sr=8-10")</f>
        <v>https://www.amazon.com/Studio-24-Hour-Smooth-Concealer-0-23/dp/B07QL3V2HD/ref=sr_1_10?keywords=MAC+studio+fix+24-hour+smooth+wear+concealer+-+nc48+-6.8ml%2F0.23oz&amp;qid=1695259540&amp;sr=8-10</v>
      </c>
      <c r="F2577" t="s">
        <v>6349</v>
      </c>
      <c r="G2577" t="e">
        <f ca="1">IMAGE("https://prolisok-store.com/cdn/shop/products/360310_300x.jpg?v=1690393914")</f>
        <v>#NAME?</v>
      </c>
      <c r="H2577" t="e">
        <f ca="1">IMAGE("https://m.media-amazon.com/images/I/61jjXhNCuGL._AC_UL320_.jpg")</f>
        <v>#NAME?</v>
      </c>
      <c r="I2577" t="s">
        <v>6094</v>
      </c>
      <c r="J2577">
        <v>24.58</v>
      </c>
      <c r="K2577" s="2" t="s">
        <v>6350</v>
      </c>
      <c r="L2577">
        <v>4</v>
      </c>
      <c r="M2577">
        <v>8</v>
      </c>
      <c r="O2577" t="s">
        <v>26</v>
      </c>
      <c r="P2577" t="s">
        <v>39</v>
      </c>
      <c r="Q2577" t="s">
        <v>6096</v>
      </c>
    </row>
    <row r="2578" spans="1:17" ht="15.75" x14ac:dyDescent="0.25">
      <c r="A2578"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578" s="3" t="str">
        <f>HYPERLINK("https://prolisok-store.com/products/mac-studio-fix-24-hour-smooth-wear-concealer-nc48-6-8ml-0-23oz", "https://prolisok-store.com/products/mac-studio-fix-24-hour-smooth-wear-concealer-nc48-6-8ml-0-23oz")</f>
        <v>https://prolisok-store.com/products/mac-studio-fix-24-hour-smooth-wear-concealer-nc48-6-8ml-0-23oz</v>
      </c>
      <c r="C2578" t="s">
        <v>6091</v>
      </c>
      <c r="D2578" t="s">
        <v>6351</v>
      </c>
      <c r="E2578" s="3" t="str">
        <f>HYPERLINK("https://www.amazon.com/Studio-24-Hour-Smooth-Wear-Concealer/dp/B07QP3SHX7/ref=sr_1_9?keywords=MAC+studio+fix+24-hour+smooth+wear+concealer+-+nc48+-6.8ml%2F0.23oz&amp;qid=1695259540&amp;sr=8-9", "https://www.amazon.com/Studio-24-Hour-Smooth-Wear-Concealer/dp/B07QP3SHX7/ref=sr_1_9?keywords=MAC+studio+fix+24-hour+smooth+wear+concealer+-+nc48+-6.8ml%2F0.23oz&amp;qid=1695259540&amp;sr=8-9")</f>
        <v>https://www.amazon.com/Studio-24-Hour-Smooth-Wear-Concealer/dp/B07QP3SHX7/ref=sr_1_9?keywords=MAC+studio+fix+24-hour+smooth+wear+concealer+-+nc48+-6.8ml%2F0.23oz&amp;qid=1695259540&amp;sr=8-9</v>
      </c>
      <c r="F2578" t="s">
        <v>6352</v>
      </c>
      <c r="G2578" t="e">
        <f ca="1">IMAGE("https://prolisok-store.com/cdn/shop/products/360310_300x.jpg?v=1690393914")</f>
        <v>#NAME?</v>
      </c>
      <c r="H2578" t="e">
        <f ca="1">IMAGE("https://m.media-amazon.com/images/I/5141l4lsVlL._AC_UL320_.jpg")</f>
        <v>#NAME?</v>
      </c>
      <c r="I2578" t="s">
        <v>6094</v>
      </c>
      <c r="J2578">
        <v>24.52</v>
      </c>
      <c r="K2578" s="2" t="s">
        <v>6353</v>
      </c>
      <c r="L2578">
        <v>4.5</v>
      </c>
      <c r="M2578">
        <v>38</v>
      </c>
      <c r="O2578" t="s">
        <v>26</v>
      </c>
      <c r="P2578" t="s">
        <v>39</v>
      </c>
      <c r="Q2578" t="s">
        <v>6096</v>
      </c>
    </row>
    <row r="2579" spans="1:17" ht="15.75" x14ac:dyDescent="0.25">
      <c r="A2579" s="3" t="str">
        <f>HYPERLINK("https://prolisok-store.com/collections/makeup/products/mac-studio-fix-soft-matte-foundation-stick-nw13-9g-0-32oz", "https://prolisok-store.com/collections/makeup/products/mac-studio-fix-soft-matte-foundation-stick-nw13-9g-0-32oz")</f>
        <v>https://prolisok-store.com/collections/makeup/products/mac-studio-fix-soft-matte-foundation-stick-nw13-9g-0-32oz</v>
      </c>
      <c r="B2579" s="3" t="str">
        <f>HYPERLINK("https://prolisok-store.com/products/mac-studio-fix-soft-matte-foundation-stick-nw13-9g-0-32oz", "https://prolisok-store.com/products/mac-studio-fix-soft-matte-foundation-stick-nw13-9g-0-32oz")</f>
        <v>https://prolisok-store.com/products/mac-studio-fix-soft-matte-foundation-stick-nw13-9g-0-32oz</v>
      </c>
      <c r="C2579" t="s">
        <v>6017</v>
      </c>
      <c r="D2579" t="s">
        <v>6354</v>
      </c>
      <c r="E2579" s="3" t="str">
        <f>HYPERLINK("https://www.amazon.com/Studio-Soft-Matte-Foundation-Stick/dp/B09RY4CNTK/ref=sr_1_3?keywords=MAC+studio+fix+soft+matte+foundation+stick+-+nw13+-9g%2F0.32oz&amp;qid=1695259544&amp;sr=8-3", "https://www.amazon.com/Studio-Soft-Matte-Foundation-Stick/dp/B09RY4CNTK/ref=sr_1_3?keywords=MAC+studio+fix+soft+matte+foundation+stick+-+nw13+-9g%2F0.32oz&amp;qid=1695259544&amp;sr=8-3")</f>
        <v>https://www.amazon.com/Studio-Soft-Matte-Foundation-Stick/dp/B09RY4CNTK/ref=sr_1_3?keywords=MAC+studio+fix+soft+matte+foundation+stick+-+nw13+-9g%2F0.32oz&amp;qid=1695259544&amp;sr=8-3</v>
      </c>
      <c r="F2579" t="s">
        <v>6355</v>
      </c>
      <c r="G2579" t="e">
        <f ca="1">IMAGE("https://prolisok-store.com/cdn/shop/products/409455_300x.jpg?v=1690393877")</f>
        <v>#NAME?</v>
      </c>
      <c r="H2579" t="e">
        <f ca="1">IMAGE("https://m.media-amazon.com/images/I/51JD8hu1D-L._AC_UL320_.jpg")</f>
        <v>#NAME?</v>
      </c>
      <c r="I2579" t="s">
        <v>6020</v>
      </c>
      <c r="J2579">
        <v>31</v>
      </c>
      <c r="K2579" s="2" t="s">
        <v>6356</v>
      </c>
      <c r="L2579">
        <v>4.9000000000000004</v>
      </c>
      <c r="M2579">
        <v>22</v>
      </c>
      <c r="O2579" t="s">
        <v>26</v>
      </c>
      <c r="P2579" t="s">
        <v>39</v>
      </c>
      <c r="Q2579" t="s">
        <v>6022</v>
      </c>
    </row>
    <row r="2580" spans="1:17" ht="15.75" x14ac:dyDescent="0.25">
      <c r="A2580" s="3" t="str">
        <f>HYPERLINK("https://prolisok-store.com/collections/makeup/products/mac-studio-fix-soft-matte-foundation-stick-nw30-9g-0-32oz", "https://prolisok-store.com/collections/makeup/products/mac-studio-fix-soft-matte-foundation-stick-nw30-9g-0-32oz")</f>
        <v>https://prolisok-store.com/collections/makeup/products/mac-studio-fix-soft-matte-foundation-stick-nw30-9g-0-32oz</v>
      </c>
      <c r="B2580" s="3" t="str">
        <f>HYPERLINK("https://prolisok-store.com/products/mac-studio-fix-soft-matte-foundation-stick-nw30-9g-0-32oz", "https://prolisok-store.com/products/mac-studio-fix-soft-matte-foundation-stick-nw30-9g-0-32oz")</f>
        <v>https://prolisok-store.com/products/mac-studio-fix-soft-matte-foundation-stick-nw30-9g-0-32oz</v>
      </c>
      <c r="C2580" t="s">
        <v>6029</v>
      </c>
      <c r="D2580" t="s">
        <v>6354</v>
      </c>
      <c r="E2580" s="3" t="str">
        <f>HYPERLINK("https://www.amazon.com/Studio-Soft-Matte-Foundation-Stick/dp/B09RY4CNTK/ref=sr_1_1?keywords=MAC+studio+fix+soft+matte+foundation+stick+-+nw30+-9g%2F0.32oz&amp;qid=1695259539&amp;sr=8-1", "https://www.amazon.com/Studio-Soft-Matte-Foundation-Stick/dp/B09RY4CNTK/ref=sr_1_1?keywords=MAC+studio+fix+soft+matte+foundation+stick+-+nw30+-9g%2F0.32oz&amp;qid=1695259539&amp;sr=8-1")</f>
        <v>https://www.amazon.com/Studio-Soft-Matte-Foundation-Stick/dp/B09RY4CNTK/ref=sr_1_1?keywords=MAC+studio+fix+soft+matte+foundation+stick+-+nw30+-9g%2F0.32oz&amp;qid=1695259539&amp;sr=8-1</v>
      </c>
      <c r="F2580" t="s">
        <v>6355</v>
      </c>
      <c r="G2580" t="e">
        <f ca="1">IMAGE("https://prolisok-store.com/cdn/shop/products/409458_300x.jpg?v=1690393883")</f>
        <v>#NAME?</v>
      </c>
      <c r="H2580" t="e">
        <f ca="1">IMAGE("https://m.media-amazon.com/images/I/51JD8hu1D-L._AC_UL320_.jpg")</f>
        <v>#NAME?</v>
      </c>
      <c r="I2580" t="s">
        <v>6020</v>
      </c>
      <c r="J2580">
        <v>31</v>
      </c>
      <c r="K2580" s="2" t="s">
        <v>6356</v>
      </c>
      <c r="L2580">
        <v>4.9000000000000004</v>
      </c>
      <c r="M2580">
        <v>22</v>
      </c>
      <c r="O2580" t="s">
        <v>26</v>
      </c>
      <c r="P2580" t="s">
        <v>39</v>
      </c>
      <c r="Q2580" t="s">
        <v>6030</v>
      </c>
    </row>
    <row r="2581" spans="1:17" ht="15.75" x14ac:dyDescent="0.25">
      <c r="A2581" s="3" t="str">
        <f>HYPERLINK("https://prolisok-store.com/collections/makeup/products/dabalash-eye-lash-enhancer", "https://prolisok-store.com/collections/makeup/products/dabalash-eye-lash-enhancer")</f>
        <v>https://prolisok-store.com/collections/makeup/products/dabalash-eye-lash-enhancer</v>
      </c>
      <c r="B2581" s="3" t="str">
        <f>HYPERLINK("https://prolisok-store.com/products/dabalash-eye-lash-enhancer", "https://prolisok-store.com/products/dabalash-eye-lash-enhancer")</f>
        <v>https://prolisok-store.com/products/dabalash-eye-lash-enhancer</v>
      </c>
      <c r="C2581" t="s">
        <v>4424</v>
      </c>
      <c r="D2581" t="s">
        <v>4984</v>
      </c>
      <c r="E2581" s="3" t="str">
        <f>HYPERLINK("https://www.amazon.com/Eyelash-Eyebrow-Enhancer-Thicker-Eyelashes/dp/B09DGS5424/ref=sr_1_7?keywords=Dabalash+Eye+Lash+Enhancer&amp;qid=1695259453&amp;sr=8-7", "https://www.amazon.com/Eyelash-Eyebrow-Enhancer-Thicker-Eyelashes/dp/B09DGS5424/ref=sr_1_7?keywords=Dabalash+Eye+Lash+Enhancer&amp;qid=1695259453&amp;sr=8-7")</f>
        <v>https://www.amazon.com/Eyelash-Eyebrow-Enhancer-Thicker-Eyelashes/dp/B09DGS5424/ref=sr_1_7?keywords=Dabalash+Eye+Lash+Enhancer&amp;qid=1695259453&amp;sr=8-7</v>
      </c>
      <c r="F2581" t="s">
        <v>4985</v>
      </c>
      <c r="G2581" t="e">
        <f ca="1">IMAGE("https://prolisok-store.com/cdn/shop/files/71dLRMnmysL._AC_SL1500_300x.jpg?v=1692864868")</f>
        <v>#NAME?</v>
      </c>
      <c r="H2581" t="e">
        <f ca="1">IMAGE("https://m.media-amazon.com/images/I/51QYMgEG-kL._AC_UL320_.jpg")</f>
        <v>#NAME?</v>
      </c>
      <c r="I2581" t="s">
        <v>3458</v>
      </c>
      <c r="J2581">
        <v>17.989999999999998</v>
      </c>
      <c r="K2581" s="2" t="s">
        <v>4986</v>
      </c>
      <c r="L2581">
        <v>4.8</v>
      </c>
      <c r="M2581">
        <v>106</v>
      </c>
      <c r="O2581" t="s">
        <v>26</v>
      </c>
      <c r="P2581" t="s">
        <v>39</v>
      </c>
      <c r="Q2581" t="s">
        <v>4428</v>
      </c>
    </row>
    <row r="2582" spans="1:17" ht="15.75" x14ac:dyDescent="0.25">
      <c r="A2582" s="3" t="str">
        <f>HYPERLINK("https://prolisok-store.com/collections/makeup/products/mac-cremesheen-lipstick-dare-you-3g-0-1oz", "https://prolisok-store.com/collections/makeup/products/mac-cremesheen-lipstick-dare-you-3g-0-1oz")</f>
        <v>https://prolisok-store.com/collections/makeup/products/mac-cremesheen-lipstick-dare-you-3g-0-1oz</v>
      </c>
      <c r="B2582" s="3" t="str">
        <f>HYPERLINK("https://prolisok-store.com/products/mac-cremesheen-lipstick-dare-you-3g-0-1oz", "https://prolisok-store.com/products/mac-cremesheen-lipstick-dare-you-3g-0-1oz")</f>
        <v>https://prolisok-store.com/products/mac-cremesheen-lipstick-dare-you-3g-0-1oz</v>
      </c>
      <c r="C2582" t="s">
        <v>6357</v>
      </c>
      <c r="D2582" t="s">
        <v>6358</v>
      </c>
      <c r="E2582" s="3" t="str">
        <f>HYPERLINK("https://www.amazon.com/MAC-Cremesheen-Lipstick-Dare-CoCo-Shop/dp/B00IUHXOLC/ref=sr_1_2?keywords=MAC+cremesheen+lipstick+-+dare+you+-3g%2F0.1oz&amp;qid=1695259544&amp;sr=8-2", "https://www.amazon.com/MAC-Cremesheen-Lipstick-Dare-CoCo-Shop/dp/B00IUHXOLC/ref=sr_1_2?keywords=MAC+cremesheen+lipstick+-+dare+you+-3g%2F0.1oz&amp;qid=1695259544&amp;sr=8-2")</f>
        <v>https://www.amazon.com/MAC-Cremesheen-Lipstick-Dare-CoCo-Shop/dp/B00IUHXOLC/ref=sr_1_2?keywords=MAC+cremesheen+lipstick+-+dare+you+-3g%2F0.1oz&amp;qid=1695259544&amp;sr=8-2</v>
      </c>
      <c r="F2582" t="s">
        <v>6359</v>
      </c>
      <c r="G2582" t="e">
        <f ca="1">IMAGE("https://prolisok-store.com/cdn/shop/products/346136_300x.jpg?v=1690393920")</f>
        <v>#NAME?</v>
      </c>
      <c r="H2582" t="e">
        <f ca="1">IMAGE("https://m.media-amazon.com/images/I/4168GiJcd8L._AC_UL320_.jpg")</f>
        <v>#NAME?</v>
      </c>
      <c r="I2582" t="s">
        <v>6360</v>
      </c>
      <c r="J2582">
        <v>22.5</v>
      </c>
      <c r="K2582" s="2" t="s">
        <v>6361</v>
      </c>
      <c r="L2582">
        <v>4.8</v>
      </c>
      <c r="M2582">
        <v>11</v>
      </c>
      <c r="O2582" t="s">
        <v>26</v>
      </c>
      <c r="P2582" t="s">
        <v>39</v>
      </c>
      <c r="Q2582" t="s">
        <v>6362</v>
      </c>
    </row>
    <row r="2583" spans="1:17" ht="15.75" x14ac:dyDescent="0.25">
      <c r="A2583" s="3" t="str">
        <f>HYPERLINK("https://prolisok-store.com/collections/makeup/products/mac-cremesheen-lipstick-dare-you-3g-0-1oz", "https://prolisok-store.com/collections/makeup/products/mac-cremesheen-lipstick-dare-you-3g-0-1oz")</f>
        <v>https://prolisok-store.com/collections/makeup/products/mac-cremesheen-lipstick-dare-you-3g-0-1oz</v>
      </c>
      <c r="B2583" s="3" t="str">
        <f>HYPERLINK("https://prolisok-store.com/products/mac-cremesheen-lipstick-dare-you-3g-0-1oz", "https://prolisok-store.com/products/mac-cremesheen-lipstick-dare-you-3g-0-1oz")</f>
        <v>https://prolisok-store.com/products/mac-cremesheen-lipstick-dare-you-3g-0-1oz</v>
      </c>
      <c r="C2583" t="s">
        <v>6357</v>
      </c>
      <c r="D2583" t="s">
        <v>6363</v>
      </c>
      <c r="E2583" s="3" t="str">
        <f>HYPERLINK("https://www.amazon.com/MAC-Lipstick-Cremesheen-Dare-You/dp/B003CJ08JO/ref=sr_1_3?keywords=MAC+cremesheen+lipstick+-+dare+you+-3g%2F0.1oz&amp;qid=1695259544&amp;sr=8-3", "https://www.amazon.com/MAC-Lipstick-Cremesheen-Dare-You/dp/B003CJ08JO/ref=sr_1_3?keywords=MAC+cremesheen+lipstick+-+dare+you+-3g%2F0.1oz&amp;qid=1695259544&amp;sr=8-3")</f>
        <v>https://www.amazon.com/MAC-Lipstick-Cremesheen-Dare-You/dp/B003CJ08JO/ref=sr_1_3?keywords=MAC+cremesheen+lipstick+-+dare+you+-3g%2F0.1oz&amp;qid=1695259544&amp;sr=8-3</v>
      </c>
      <c r="F2583" t="s">
        <v>6364</v>
      </c>
      <c r="G2583" t="e">
        <f ca="1">IMAGE("https://prolisok-store.com/cdn/shop/products/346136_300x.jpg?v=1690393920")</f>
        <v>#NAME?</v>
      </c>
      <c r="H2583" t="e">
        <f ca="1">IMAGE("https://m.media-amazon.com/images/I/51tDNioBPML._AC_UL320_.jpg")</f>
        <v>#NAME?</v>
      </c>
      <c r="I2583" t="s">
        <v>6360</v>
      </c>
      <c r="J2583">
        <v>22.5</v>
      </c>
      <c r="K2583" s="2" t="s">
        <v>6361</v>
      </c>
      <c r="L2583">
        <v>4.2</v>
      </c>
      <c r="M2583">
        <v>27</v>
      </c>
      <c r="O2583" t="s">
        <v>26</v>
      </c>
      <c r="P2583" t="s">
        <v>39</v>
      </c>
      <c r="Q2583" t="s">
        <v>6362</v>
      </c>
    </row>
    <row r="2584" spans="1:17" ht="15.75" x14ac:dyDescent="0.25">
      <c r="A2584" s="3" t="str">
        <f>HYPERLINK("https://prolisok-store.com/collections/makeup/products/clinique-by-clinique-chubby-lash-fattening-mascara-01-jumbo-jet-10ml-0-4oz", "https://prolisok-store.com/collections/makeup/products/clinique-by-clinique-chubby-lash-fattening-mascara-01-jumbo-jet-10ml-0-4oz")</f>
        <v>https://prolisok-store.com/collections/makeup/products/clinique-by-clinique-chubby-lash-fattening-mascara-01-jumbo-jet-10ml-0-4oz</v>
      </c>
      <c r="B2584"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584" t="s">
        <v>6208</v>
      </c>
      <c r="D2584" t="s">
        <v>6365</v>
      </c>
      <c r="E2584" s="3" t="str">
        <f>HYPERLINK("https://www.amazon.com/Chubby-Fattening-Mascara-Clinique-fl-oz/dp/B09Q3L12YK/ref=sr_1_2?keywords=Clinique+chubby+lash+fattening+mascara+-+%2301+jumbo+jet+--10ml%2F0.4oz&amp;qid=1695259544&amp;sr=8-2", "https://www.amazon.com/Chubby-Fattening-Mascara-Clinique-fl-oz/dp/B09Q3L12YK/ref=sr_1_2?keywords=Clinique+chubby+lash+fattening+mascara+-+%2301+jumbo+jet+--10ml%2F0.4oz&amp;qid=1695259544&amp;sr=8-2")</f>
        <v>https://www.amazon.com/Chubby-Fattening-Mascara-Clinique-fl-oz/dp/B09Q3L12YK/ref=sr_1_2?keywords=Clinique+chubby+lash+fattening+mascara+-+%2301+jumbo+jet+--10ml%2F0.4oz&amp;qid=1695259544&amp;sr=8-2</v>
      </c>
      <c r="F2584" t="s">
        <v>6366</v>
      </c>
      <c r="G2584" t="e">
        <f ca="1">IMAGE("https://prolisok-store.com/cdn/shop/files/B-MRKTS-1062_300x.png?v=1690307144")</f>
        <v>#NAME?</v>
      </c>
      <c r="H2584" t="e">
        <f ca="1">IMAGE("https://m.media-amazon.com/images/I/41pPqZNWPdL._AC_UL320_.jpg")</f>
        <v>#NAME?</v>
      </c>
      <c r="I2584" t="s">
        <v>6000</v>
      </c>
      <c r="J2584">
        <v>20.89</v>
      </c>
      <c r="K2584" s="2" t="s">
        <v>5653</v>
      </c>
      <c r="L2584">
        <v>4.3</v>
      </c>
      <c r="M2584">
        <v>7</v>
      </c>
      <c r="O2584" t="s">
        <v>26</v>
      </c>
      <c r="P2584" t="s">
        <v>39</v>
      </c>
      <c r="Q2584" t="s">
        <v>6212</v>
      </c>
    </row>
    <row r="2585" spans="1:17" ht="15.75" x14ac:dyDescent="0.25">
      <c r="A2585" s="3" t="str">
        <f>HYPERLINK("https://prolisok-store.com/collections/makeup/products/estee-lauder-double-wear-stay-in-place-flawless-wear-concealer-3c-medium-cool-7ml-0-24oz", "https://prolisok-store.com/collections/makeup/products/estee-lauder-double-wear-stay-in-place-flawless-wear-concealer-3c-medium-cool-7ml-0-24oz")</f>
        <v>https://prolisok-store.com/collections/makeup/products/estee-lauder-double-wear-stay-in-place-flawless-wear-concealer-3c-medium-cool-7ml-0-24oz</v>
      </c>
      <c r="B2585" s="3" t="str">
        <f>HYPERLINK("https://prolisok-store.com/products/estee-lauder-double-wear-stay-in-place-flawless-wear-concealer-3c-medium-cool-7ml-0-24oz", "https://prolisok-store.com/products/estee-lauder-double-wear-stay-in-place-flawless-wear-concealer-3c-medium-cool-7ml-0-24oz")</f>
        <v>https://prolisok-store.com/products/estee-lauder-double-wear-stay-in-place-flawless-wear-concealer-3c-medium-cool-7ml-0-24oz</v>
      </c>
      <c r="C2585" t="s">
        <v>6287</v>
      </c>
      <c r="D2585" t="s">
        <v>6367</v>
      </c>
      <c r="E2585" s="3" t="str">
        <f>HYPERLINK("https://www.amazon.com/Estee-Lauder-Double-Flawless-Concealer/dp/B074T9GHWS/ref=sr_1_1?keywords=Estee+Lauder+double+wear+stay+in+place+flawless+wear+concealer+-&amp;qid=1695259513&amp;sr=8-1", "https://www.amazon.com/Estee-Lauder-Double-Flawless-Concealer/dp/B074T9GHWS/ref=sr_1_1?keywords=Estee+Lauder+double+wear+stay+in+place+flawless+wear+concealer+-&amp;qid=1695259513&amp;sr=8-1")</f>
        <v>https://www.amazon.com/Estee-Lauder-Double-Flawless-Concealer/dp/B074T9GHWS/ref=sr_1_1?keywords=Estee+Lauder+double+wear+stay+in+place+flawless+wear+concealer+-&amp;qid=1695259513&amp;sr=8-1</v>
      </c>
      <c r="F2585" t="s">
        <v>6368</v>
      </c>
      <c r="G2585" t="e">
        <f ca="1">IMAGE("https://prolisok-store.com/cdn/shop/products/310678_300x.jpg?v=1690900183")</f>
        <v>#NAME?</v>
      </c>
      <c r="H2585" t="e">
        <f ca="1">IMAGE("https://m.media-amazon.com/images/I/61ZFMKgwmHS._AC_UL320_.jpg")</f>
        <v>#NAME?</v>
      </c>
      <c r="I2585" t="s">
        <v>6267</v>
      </c>
      <c r="J2585">
        <v>29.61</v>
      </c>
      <c r="K2585" s="2" t="s">
        <v>6369</v>
      </c>
      <c r="L2585">
        <v>4.7</v>
      </c>
      <c r="M2585">
        <v>910</v>
      </c>
      <c r="O2585" t="s">
        <v>26</v>
      </c>
      <c r="P2585" t="s">
        <v>39</v>
      </c>
      <c r="Q2585" t="s">
        <v>6291</v>
      </c>
    </row>
    <row r="2586" spans="1:17" ht="15.75" x14ac:dyDescent="0.25">
      <c r="A2586" s="3" t="str">
        <f>HYPERLINK("https://prolisok-store.com/collections/makeup/products/sisley-phyto-lip-twist-2-baby-2-5g-0-08oz", "https://prolisok-store.com/collections/makeup/products/sisley-phyto-lip-twist-2-baby-2-5g-0-08oz")</f>
        <v>https://prolisok-store.com/collections/makeup/products/sisley-phyto-lip-twist-2-baby-2-5g-0-08oz</v>
      </c>
      <c r="B2586" s="3" t="str">
        <f>HYPERLINK("https://prolisok-store.com/products/sisley-phyto-lip-twist-2-baby-2-5g-0-08oz", "https://prolisok-store.com/products/sisley-phyto-lip-twist-2-baby-2-5g-0-08oz")</f>
        <v>https://prolisok-store.com/products/sisley-phyto-lip-twist-2-baby-2-5g-0-08oz</v>
      </c>
      <c r="C2586" t="s">
        <v>6370</v>
      </c>
      <c r="D2586" t="s">
        <v>6371</v>
      </c>
      <c r="E2586" s="3" t="str">
        <f>HYPERLINK("https://www.amazon.com/Sisley-Phyto-Lip-Twist-Lipstick-Women/dp/B00IQ82ENE/ref=sr_1_1?keywords=Sisley+phyto+lip+twist+-+%23+2+baby+2.5g%2F0.08oz&amp;qid=1695259505&amp;sr=8-1", "https://www.amazon.com/Sisley-Phyto-Lip-Twist-Lipstick-Women/dp/B00IQ82ENE/ref=sr_1_1?keywords=Sisley+phyto+lip+twist+-+%23+2+baby+2.5g%2F0.08oz&amp;qid=1695259505&amp;sr=8-1")</f>
        <v>https://www.amazon.com/Sisley-Phyto-Lip-Twist-Lipstick-Women/dp/B00IQ82ENE/ref=sr_1_1?keywords=Sisley+phyto+lip+twist+-+%23+2+baby+2.5g%2F0.08oz&amp;qid=1695259505&amp;sr=8-1</v>
      </c>
      <c r="F2586" t="s">
        <v>6372</v>
      </c>
      <c r="G2586" t="e">
        <f ca="1">IMAGE("https://prolisok-store.com/cdn/shop/products/252709_300x.jpg?v=1690900996")</f>
        <v>#NAME?</v>
      </c>
      <c r="H2586" t="e">
        <f ca="1">IMAGE("https://m.media-amazon.com/images/I/51A88qM+4oL._AC_UL320_.jpg")</f>
        <v>#NAME?</v>
      </c>
      <c r="I2586" t="s">
        <v>5954</v>
      </c>
      <c r="J2586">
        <v>43.99</v>
      </c>
      <c r="K2586" s="2" t="s">
        <v>6373</v>
      </c>
      <c r="L2586">
        <v>4.4000000000000004</v>
      </c>
      <c r="M2586">
        <v>68</v>
      </c>
      <c r="O2586" t="s">
        <v>26</v>
      </c>
      <c r="P2586" t="s">
        <v>39</v>
      </c>
      <c r="Q2586" t="s">
        <v>6374</v>
      </c>
    </row>
    <row r="2587" spans="1:17" ht="15.75" x14ac:dyDescent="0.25">
      <c r="A2587" s="3" t="str">
        <f>HYPERLINK("https://prolisok-store.com/collections/makeup/products/sisley-phyto-teint-nude-water-infused-second-skin-foundation-3w1-warm-almond-30ml-1oz", "https://prolisok-store.com/collections/makeup/products/sisley-phyto-teint-nude-water-infused-second-skin-foundation-3w1-warm-almond-30ml-1oz")</f>
        <v>https://prolisok-store.com/collections/makeup/products/sisley-phyto-teint-nude-water-infused-second-skin-foundation-3w1-warm-almond-30ml-1oz</v>
      </c>
      <c r="B2587" s="3" t="str">
        <f>HYPERLINK("https://prolisok-store.com/products/sisley-phyto-teint-nude-water-infused-second-skin-foundation-3w1-warm-almond-30ml-1oz", "https://prolisok-store.com/products/sisley-phyto-teint-nude-water-infused-second-skin-foundation-3w1-warm-almond-30ml-1oz")</f>
        <v>https://prolisok-store.com/products/sisley-phyto-teint-nude-water-infused-second-skin-foundation-3w1-warm-almond-30ml-1oz</v>
      </c>
      <c r="C2587" t="s">
        <v>6140</v>
      </c>
      <c r="D2587" t="s">
        <v>6375</v>
      </c>
      <c r="E2587" s="3" t="str">
        <f>HYPERLINK("https://www.amazon.com/Sisley-Phyto-Infused-Second-Foundation/dp/B09MZ82V4B/ref=sr_1_5?keywords=Sisley+phyto+teint+nude+water+infused+second+skin+foundation+-&amp;qid=1695259528&amp;sr=8-5", "https://www.amazon.com/Sisley-Phyto-Infused-Second-Foundation/dp/B09MZ82V4B/ref=sr_1_5?keywords=Sisley+phyto+teint+nude+water+infused+second+skin+foundation+-&amp;qid=1695259528&amp;sr=8-5")</f>
        <v>https://www.amazon.com/Sisley-Phyto-Infused-Second-Foundation/dp/B09MZ82V4B/ref=sr_1_5?keywords=Sisley+phyto+teint+nude+water+infused+second+skin+foundation+-&amp;qid=1695259528&amp;sr=8-5</v>
      </c>
      <c r="F2587" t="s">
        <v>6376</v>
      </c>
      <c r="G2587" t="e">
        <f ca="1">IMAGE("https://prolisok-store.com/cdn/shop/products/429727_300x.jpg?v=1690900620")</f>
        <v>#NAME?</v>
      </c>
      <c r="H2587" t="e">
        <f ca="1">IMAGE("https://m.media-amazon.com/images/I/41HQbfmUXcL._AC_UL320_.jpg")</f>
        <v>#NAME?</v>
      </c>
      <c r="I2587" t="s">
        <v>6137</v>
      </c>
      <c r="J2587">
        <v>75.959999999999994</v>
      </c>
      <c r="K2587" s="2" t="s">
        <v>6377</v>
      </c>
      <c r="L2587">
        <v>5</v>
      </c>
      <c r="M2587">
        <v>1</v>
      </c>
      <c r="O2587" t="s">
        <v>26</v>
      </c>
      <c r="P2587" t="s">
        <v>39</v>
      </c>
      <c r="Q2587" t="s">
        <v>6141</v>
      </c>
    </row>
    <row r="2588" spans="1:17" ht="15.75" x14ac:dyDescent="0.25">
      <c r="A2588" s="3" t="str">
        <f>HYPERLINK("https://prolisok-store.com/collections/makeup/products/sisley-phyto-teint-nude-water-infused-second-skin-foundation-2w1-light-beige-30ml-1oz", "https://prolisok-store.com/collections/makeup/products/sisley-phyto-teint-nude-water-infused-second-skin-foundation-2w1-light-beige-30ml-1oz")</f>
        <v>https://prolisok-store.com/collections/makeup/products/sisley-phyto-teint-nude-water-infused-second-skin-foundation-2w1-light-beige-30ml-1oz</v>
      </c>
      <c r="B2588" s="3" t="str">
        <f>HYPERLINK("https://prolisok-store.com/products/sisley-phyto-teint-nude-water-infused-second-skin-foundation-2w1-light-beige-30ml-1oz", "https://prolisok-store.com/products/sisley-phyto-teint-nude-water-infused-second-skin-foundation-2w1-light-beige-30ml-1oz")</f>
        <v>https://prolisok-store.com/products/sisley-phyto-teint-nude-water-infused-second-skin-foundation-2w1-light-beige-30ml-1oz</v>
      </c>
      <c r="C2588" t="s">
        <v>6378</v>
      </c>
      <c r="D2588" t="s">
        <v>6375</v>
      </c>
      <c r="E2588" s="3" t="str">
        <f>HYPERLINK("https://www.amazon.com/Sisley-Phyto-Infused-Second-Foundation/dp/B09MZ82V4B/ref=sr_1_1?keywords=Sisley+phyto+teint+nude+water+infused+second+skin+foundation+-%23+2w1+light+beige+30ml%2F1oz&amp;qid=1695259517&amp;sr=8-1", "https://www.amazon.com/Sisley-Phyto-Infused-Second-Foundation/dp/B09MZ82V4B/ref=sr_1_1?keywords=Sisley+phyto+teint+nude+water+infused+second+skin+foundation+-%23+2w1+light+beige+30ml%2F1oz&amp;qid=1695259517&amp;sr=8-1")</f>
        <v>https://www.amazon.com/Sisley-Phyto-Infused-Second-Foundation/dp/B09MZ82V4B/ref=sr_1_1?keywords=Sisley+phyto+teint+nude+water+infused+second+skin+foundation+-%23+2w1+light+beige+30ml%2F1oz&amp;qid=1695259517&amp;sr=8-1</v>
      </c>
      <c r="F2588" t="s">
        <v>6376</v>
      </c>
      <c r="G2588" t="e">
        <f ca="1">IMAGE("https://prolisok-store.com/cdn/shop/products/429726_300x.jpg?v=1690900618")</f>
        <v>#NAME?</v>
      </c>
      <c r="H2588" t="e">
        <f ca="1">IMAGE("https://m.media-amazon.com/images/I/41HQbfmUXcL._AC_UL320_.jpg")</f>
        <v>#NAME?</v>
      </c>
      <c r="I2588" t="s">
        <v>6137</v>
      </c>
      <c r="J2588">
        <v>75.959999999999994</v>
      </c>
      <c r="K2588" s="2" t="s">
        <v>6377</v>
      </c>
      <c r="L2588">
        <v>5</v>
      </c>
      <c r="M2588">
        <v>1</v>
      </c>
      <c r="O2588" t="s">
        <v>26</v>
      </c>
      <c r="P2588" t="s">
        <v>39</v>
      </c>
      <c r="Q2588" t="s">
        <v>6379</v>
      </c>
    </row>
    <row r="2589" spans="1:17" ht="15.75" x14ac:dyDescent="0.25">
      <c r="A2589" s="3" t="str">
        <f>HYPERLINK("https://prolisok-store.com/collections/makeup/products/sisley-phyto-teint-nude-water-infused-second-skin-foundation-00c-swan-30ml-1oz", "https://prolisok-store.com/collections/makeup/products/sisley-phyto-teint-nude-water-infused-second-skin-foundation-00c-swan-30ml-1oz")</f>
        <v>https://prolisok-store.com/collections/makeup/products/sisley-phyto-teint-nude-water-infused-second-skin-foundation-00c-swan-30ml-1oz</v>
      </c>
      <c r="B2589" s="3" t="str">
        <f>HYPERLINK("https://prolisok-store.com/products/sisley-phyto-teint-nude-water-infused-second-skin-foundation-00c-swan-30ml-1oz", "https://prolisok-store.com/products/sisley-phyto-teint-nude-water-infused-second-skin-foundation-00c-swan-30ml-1oz")</f>
        <v>https://prolisok-store.com/products/sisley-phyto-teint-nude-water-infused-second-skin-foundation-00c-swan-30ml-1oz</v>
      </c>
      <c r="C2589" t="s">
        <v>6134</v>
      </c>
      <c r="D2589" t="s">
        <v>6375</v>
      </c>
      <c r="E2589" s="3" t="str">
        <f>HYPERLINK("https://www.amazon.com/Sisley-Phyto-Infused-Second-Foundation/dp/B09MZ82V4B/ref=sr_1_2?keywords=Sisley+phyto+teint+nude+water+infused+second+skin+foundation+-&amp;qid=1695259497&amp;sr=8-2", "https://www.amazon.com/Sisley-Phyto-Infused-Second-Foundation/dp/B09MZ82V4B/ref=sr_1_2?keywords=Sisley+phyto+teint+nude+water+infused+second+skin+foundation+-&amp;qid=1695259497&amp;sr=8-2")</f>
        <v>https://www.amazon.com/Sisley-Phyto-Infused-Second-Foundation/dp/B09MZ82V4B/ref=sr_1_2?keywords=Sisley+phyto+teint+nude+water+infused+second+skin+foundation+-&amp;qid=1695259497&amp;sr=8-2</v>
      </c>
      <c r="F2589" t="s">
        <v>6376</v>
      </c>
      <c r="G2589" t="e">
        <f ca="1">IMAGE("https://prolisok-store.com/cdn/shop/products/429725_300x.jpg?v=1690900617")</f>
        <v>#NAME?</v>
      </c>
      <c r="H2589" t="e">
        <f ca="1">IMAGE("https://m.media-amazon.com/images/I/41HQbfmUXcL._AC_UL320_.jpg")</f>
        <v>#NAME?</v>
      </c>
      <c r="I2589" t="s">
        <v>6137</v>
      </c>
      <c r="J2589">
        <v>75.95</v>
      </c>
      <c r="K2589" s="2" t="s">
        <v>6380</v>
      </c>
      <c r="L2589">
        <v>5</v>
      </c>
      <c r="M2589">
        <v>1</v>
      </c>
      <c r="O2589" t="s">
        <v>26</v>
      </c>
      <c r="P2589" t="s">
        <v>39</v>
      </c>
      <c r="Q2589" t="s">
        <v>6139</v>
      </c>
    </row>
    <row r="2590" spans="1:17" ht="15.75" x14ac:dyDescent="0.25">
      <c r="A2590" s="3" t="str">
        <f>HYPERLINK("https://prolisok-store.com/collections/makeup/products/sisley-phyto-teint-ultra-eclat-4-cinnamon-30ml-1oz", "https://prolisok-store.com/collections/makeup/products/sisley-phyto-teint-ultra-eclat-4-cinnamon-30ml-1oz")</f>
        <v>https://prolisok-store.com/collections/makeup/products/sisley-phyto-teint-ultra-eclat-4-cinnamon-30ml-1oz</v>
      </c>
      <c r="B2590" s="3" t="str">
        <f>HYPERLINK("https://prolisok-store.com/products/sisley-phyto-teint-ultra-eclat-4-cinnamon-30ml-1oz", "https://prolisok-store.com/products/sisley-phyto-teint-ultra-eclat-4-cinnamon-30ml-1oz")</f>
        <v>https://prolisok-store.com/products/sisley-phyto-teint-ultra-eclat-4-cinnamon-30ml-1oz</v>
      </c>
      <c r="C2590" t="s">
        <v>6250</v>
      </c>
      <c r="D2590" t="s">
        <v>6381</v>
      </c>
      <c r="E2590" s="3" t="str">
        <f>HYPERLINK("https://www.amazon.com/Sisley-Phyto-Teint-Ultra-Lasting-Foundation/dp/B07XC3GWRZ/ref=sr_1_4?keywords=Sisley+phyto+teint+ultra+eclat&amp;qid=1695259522&amp;sr=8-4", "https://www.amazon.com/Sisley-Phyto-Teint-Ultra-Lasting-Foundation/dp/B07XC3GWRZ/ref=sr_1_4?keywords=Sisley+phyto+teint+ultra+eclat&amp;qid=1695259522&amp;sr=8-4")</f>
        <v>https://www.amazon.com/Sisley-Phyto-Teint-Ultra-Lasting-Foundation/dp/B07XC3GWRZ/ref=sr_1_4?keywords=Sisley+phyto+teint+ultra+eclat&amp;qid=1695259522&amp;sr=8-4</v>
      </c>
      <c r="F2590" t="s">
        <v>6382</v>
      </c>
      <c r="G2590" t="e">
        <f ca="1">IMAGE("https://prolisok-store.com/cdn/shop/products/346278_300x.jpg?v=1690900739")</f>
        <v>#NAME?</v>
      </c>
      <c r="H2590" t="e">
        <f ca="1">IMAGE("https://m.media-amazon.com/images/I/512AlONMp6L._AC_UL320_.jpg")</f>
        <v>#NAME?</v>
      </c>
      <c r="I2590" t="s">
        <v>6137</v>
      </c>
      <c r="J2590">
        <v>75.680000000000007</v>
      </c>
      <c r="K2590" s="2" t="s">
        <v>6383</v>
      </c>
      <c r="L2590">
        <v>4.4000000000000004</v>
      </c>
      <c r="M2590">
        <v>10</v>
      </c>
      <c r="O2590" t="s">
        <v>26</v>
      </c>
      <c r="P2590" t="s">
        <v>39</v>
      </c>
      <c r="Q2590" t="s">
        <v>6253</v>
      </c>
    </row>
    <row r="2591" spans="1:17" ht="15.75" x14ac:dyDescent="0.25">
      <c r="A2591" s="3" t="str">
        <f>HYPERLINK("https://prolisok-store.com/collections/makeup/products/sisley-botanical-eye-and-lip-contour-balm-30ml-1oz", "https://prolisok-store.com/collections/makeup/products/sisley-botanical-eye-and-lip-contour-balm-30ml-1oz")</f>
        <v>https://prolisok-store.com/collections/makeup/products/sisley-botanical-eye-and-lip-contour-balm-30ml-1oz</v>
      </c>
      <c r="B2591" s="3" t="str">
        <f>HYPERLINK("https://prolisok-store.com/products/sisley-botanical-eye-and-lip-contour-balm-30ml-1oz", "https://prolisok-store.com/products/sisley-botanical-eye-and-lip-contour-balm-30ml-1oz")</f>
        <v>https://prolisok-store.com/products/sisley-botanical-eye-and-lip-contour-balm-30ml-1oz</v>
      </c>
      <c r="C2591" t="s">
        <v>6384</v>
      </c>
      <c r="D2591" t="s">
        <v>5988</v>
      </c>
      <c r="E2591" s="3" t="str">
        <f>HYPERLINK("https://www.amazon.com/Sisley-Botanical-Eye-Contour-Balm-30ml/dp/B00EOQ7PF4/ref=sr_1_1?keywords=Sisley+botanical+eye+%26+lip+contour+balm+30ml%2F1oz&amp;qid=1695259536&amp;sr=8-1", "https://www.amazon.com/Sisley-Botanical-Eye-Contour-Balm-30ml/dp/B00EOQ7PF4/ref=sr_1_1?keywords=Sisley+botanical+eye+%26+lip+contour+balm+30ml%2F1oz&amp;qid=1695259536&amp;sr=8-1")</f>
        <v>https://www.amazon.com/Sisley-Botanical-Eye-Contour-Balm-30ml/dp/B00EOQ7PF4/ref=sr_1_1?keywords=Sisley+botanical+eye+%26+lip+contour+balm+30ml%2F1oz&amp;qid=1695259536&amp;sr=8-1</v>
      </c>
      <c r="F2591" t="s">
        <v>5989</v>
      </c>
      <c r="G2591" t="e">
        <f ca="1">IMAGE("https://prolisok-store.com/cdn/shop/products/131306_300x.jpg?v=1690900858")</f>
        <v>#NAME?</v>
      </c>
      <c r="H2591" t="e">
        <f ca="1">IMAGE("https://m.media-amazon.com/images/I/5164Px9GS9L._AC_UL320_.jpg")</f>
        <v>#NAME?</v>
      </c>
      <c r="I2591" t="s">
        <v>6385</v>
      </c>
      <c r="J2591">
        <v>122.67</v>
      </c>
      <c r="K2591" s="2" t="s">
        <v>6386</v>
      </c>
      <c r="L2591">
        <v>5</v>
      </c>
      <c r="M2591">
        <v>2</v>
      </c>
      <c r="O2591" t="s">
        <v>26</v>
      </c>
      <c r="P2591" t="s">
        <v>39</v>
      </c>
      <c r="Q2591" t="s">
        <v>6387</v>
      </c>
    </row>
    <row r="2592" spans="1:17" ht="15.75" x14ac:dyDescent="0.25">
      <c r="A2592" s="3" t="str">
        <f>HYPERLINK("https://prolisok-store.com/collections/makeup/products/mac-studio-fix-soft-matte-foundation-stick-nw18-9g-0-32oz", "https://prolisok-store.com/collections/makeup/products/mac-studio-fix-soft-matte-foundation-stick-nw18-9g-0-32oz")</f>
        <v>https://prolisok-store.com/collections/makeup/products/mac-studio-fix-soft-matte-foundation-stick-nw18-9g-0-32oz</v>
      </c>
      <c r="B2592" s="3" t="str">
        <f>HYPERLINK("https://prolisok-store.com/products/mac-studio-fix-soft-matte-foundation-stick-nw18-9g-0-32oz", "https://prolisok-store.com/products/mac-studio-fix-soft-matte-foundation-stick-nw18-9g-0-32oz")</f>
        <v>https://prolisok-store.com/products/mac-studio-fix-soft-matte-foundation-stick-nw18-9g-0-32oz</v>
      </c>
      <c r="C2592" t="s">
        <v>6025</v>
      </c>
      <c r="D2592" t="s">
        <v>6388</v>
      </c>
      <c r="E2592" s="3" t="str">
        <f>HYPERLINK("https://www.amazon.com/Studio-Soft-Matte-Foundation-Stick/dp/B08WYF7WZH/ref=sr_1_1?keywords=MAC+studio+fix+soft+matte+foundation+stick+-+nw18+-9g%2F0.32oz&amp;qid=1695259543&amp;sr=8-1", "https://www.amazon.com/Studio-Soft-Matte-Foundation-Stick/dp/B08WYF7WZH/ref=sr_1_1?keywords=MAC+studio+fix+soft+matte+foundation+stick+-+nw18+-9g%2F0.32oz&amp;qid=1695259543&amp;sr=8-1")</f>
        <v>https://www.amazon.com/Studio-Soft-Matte-Foundation-Stick/dp/B08WYF7WZH/ref=sr_1_1?keywords=MAC+studio+fix+soft+matte+foundation+stick+-+nw18+-9g%2F0.32oz&amp;qid=1695259543&amp;sr=8-1</v>
      </c>
      <c r="F2592" t="s">
        <v>6389</v>
      </c>
      <c r="G2592" t="e">
        <f ca="1">IMAGE("https://prolisok-store.com/cdn/shop/products/360235_300x.jpg?v=1690393879")</f>
        <v>#NAME?</v>
      </c>
      <c r="H2592" t="e">
        <f t="shared" ref="H2592:H2598" ca="1" si="32">IMAGE("https://m.media-amazon.com/images/I/21WiREuB3RS._AC_UL320_.jpg")</f>
        <v>#NAME?</v>
      </c>
      <c r="I2592" t="s">
        <v>6020</v>
      </c>
      <c r="J2592">
        <v>29.9</v>
      </c>
      <c r="K2592" s="2" t="s">
        <v>6390</v>
      </c>
      <c r="L2592">
        <v>4.4000000000000004</v>
      </c>
      <c r="M2592">
        <v>4</v>
      </c>
      <c r="O2592" t="s">
        <v>26</v>
      </c>
      <c r="P2592" t="s">
        <v>39</v>
      </c>
      <c r="Q2592" t="s">
        <v>6026</v>
      </c>
    </row>
    <row r="2593" spans="1:17" ht="15.75" x14ac:dyDescent="0.25">
      <c r="A2593" s="3" t="str">
        <f>HYPERLINK("https://prolisok-store.com/collections/makeup/products/mac-studio-fix-soft-matte-foundation-stick-nc38-9g-0-32oz", "https://prolisok-store.com/collections/makeup/products/mac-studio-fix-soft-matte-foundation-stick-nc38-9g-0-32oz")</f>
        <v>https://prolisok-store.com/collections/makeup/products/mac-studio-fix-soft-matte-foundation-stick-nc38-9g-0-32oz</v>
      </c>
      <c r="B2593" s="3" t="str">
        <f>HYPERLINK("https://prolisok-store.com/products/mac-studio-fix-soft-matte-foundation-stick-nc38-9g-0-32oz", "https://prolisok-store.com/products/mac-studio-fix-soft-matte-foundation-stick-nc38-9g-0-32oz")</f>
        <v>https://prolisok-store.com/products/mac-studio-fix-soft-matte-foundation-stick-nc38-9g-0-32oz</v>
      </c>
      <c r="C2593" t="s">
        <v>6023</v>
      </c>
      <c r="D2593" t="s">
        <v>6388</v>
      </c>
      <c r="E2593" s="3" t="str">
        <f>HYPERLINK("https://www.amazon.com/Studio-Soft-Matte-Foundation-Stick/dp/B08WYF7WZH/ref=sr_1_10?keywords=MAC+studio+fix+soft+matte+foundation+stick+-+nc38+-9g%2F0.32oz&amp;qid=1695259545&amp;sr=8-10", "https://www.amazon.com/Studio-Soft-Matte-Foundation-Stick/dp/B08WYF7WZH/ref=sr_1_10?keywords=MAC+studio+fix+soft+matte+foundation+stick+-+nc38+-9g%2F0.32oz&amp;qid=1695259545&amp;sr=8-10")</f>
        <v>https://www.amazon.com/Studio-Soft-Matte-Foundation-Stick/dp/B08WYF7WZH/ref=sr_1_10?keywords=MAC+studio+fix+soft+matte+foundation+stick+-+nc38+-9g%2F0.32oz&amp;qid=1695259545&amp;sr=8-10</v>
      </c>
      <c r="F2593" t="s">
        <v>6389</v>
      </c>
      <c r="G2593" t="e">
        <f ca="1">IMAGE("https://prolisok-store.com/cdn/shop/products/360243_300x.jpg?v=1690393874")</f>
        <v>#NAME?</v>
      </c>
      <c r="H2593" t="e">
        <f t="shared" ca="1" si="32"/>
        <v>#NAME?</v>
      </c>
      <c r="I2593" t="s">
        <v>6020</v>
      </c>
      <c r="J2593">
        <v>29.9</v>
      </c>
      <c r="K2593" s="2" t="s">
        <v>6390</v>
      </c>
      <c r="L2593">
        <v>4.4000000000000004</v>
      </c>
      <c r="M2593">
        <v>4</v>
      </c>
      <c r="O2593" t="s">
        <v>26</v>
      </c>
      <c r="P2593" t="s">
        <v>39</v>
      </c>
      <c r="Q2593" t="s">
        <v>6024</v>
      </c>
    </row>
    <row r="2594" spans="1:17" ht="15.75" x14ac:dyDescent="0.25">
      <c r="A2594" s="3" t="str">
        <f>HYPERLINK("https://prolisok-store.com/collections/makeup/products/mac-studio-fix-soft-matte-foundation-stick-nw22-9g-0-32oz", "https://prolisok-store.com/collections/makeup/products/mac-studio-fix-soft-matte-foundation-stick-nw22-9g-0-32oz")</f>
        <v>https://prolisok-store.com/collections/makeup/products/mac-studio-fix-soft-matte-foundation-stick-nw22-9g-0-32oz</v>
      </c>
      <c r="B2594" s="3" t="str">
        <f>HYPERLINK("https://prolisok-store.com/products/mac-studio-fix-soft-matte-foundation-stick-nw22-9g-0-32oz", "https://prolisok-store.com/products/mac-studio-fix-soft-matte-foundation-stick-nw22-9g-0-32oz")</f>
        <v>https://prolisok-store.com/products/mac-studio-fix-soft-matte-foundation-stick-nw22-9g-0-32oz</v>
      </c>
      <c r="C2594" t="s">
        <v>6027</v>
      </c>
      <c r="D2594" t="s">
        <v>6388</v>
      </c>
      <c r="E2594" s="3" t="str">
        <f>HYPERLINK("https://www.amazon.com/Studio-Soft-Matte-Foundation-Stick/dp/B08WYF7WZH/ref=sr_1_9?keywords=MAC+studio+fix+soft+matte+foundation+stick+-+nw22+-9g%2F0.32oz&amp;qid=1695259534&amp;sr=8-9", "https://www.amazon.com/Studio-Soft-Matte-Foundation-Stick/dp/B08WYF7WZH/ref=sr_1_9?keywords=MAC+studio+fix+soft+matte+foundation+stick+-+nw22+-9g%2F0.32oz&amp;qid=1695259534&amp;sr=8-9")</f>
        <v>https://www.amazon.com/Studio-Soft-Matte-Foundation-Stick/dp/B08WYF7WZH/ref=sr_1_9?keywords=MAC+studio+fix+soft+matte+foundation+stick+-+nw22+-9g%2F0.32oz&amp;qid=1695259534&amp;sr=8-9</v>
      </c>
      <c r="F2594" t="s">
        <v>6389</v>
      </c>
      <c r="G2594" t="e">
        <f ca="1">IMAGE("https://prolisok-store.com/cdn/shop/products/360234_300x.jpg?v=1690393881")</f>
        <v>#NAME?</v>
      </c>
      <c r="H2594" t="e">
        <f t="shared" ca="1" si="32"/>
        <v>#NAME?</v>
      </c>
      <c r="I2594" t="s">
        <v>6020</v>
      </c>
      <c r="J2594">
        <v>29.9</v>
      </c>
      <c r="K2594" s="2" t="s">
        <v>6390</v>
      </c>
      <c r="L2594">
        <v>4.4000000000000004</v>
      </c>
      <c r="M2594">
        <v>4</v>
      </c>
      <c r="O2594" t="s">
        <v>26</v>
      </c>
      <c r="P2594" t="s">
        <v>39</v>
      </c>
      <c r="Q2594" t="s">
        <v>6028</v>
      </c>
    </row>
    <row r="2595" spans="1:17" ht="15.75" x14ac:dyDescent="0.25">
      <c r="A2595" s="3" t="str">
        <f>HYPERLINK("https://prolisok-store.com/collections/makeup/products/mac-studio-fix-soft-matte-foundation-stick-nc37-9g-0-32oz", "https://prolisok-store.com/collections/makeup/products/mac-studio-fix-soft-matte-foundation-stick-nc37-9g-0-32oz")</f>
        <v>https://prolisok-store.com/collections/makeup/products/mac-studio-fix-soft-matte-foundation-stick-nc37-9g-0-32oz</v>
      </c>
      <c r="B2595" s="3" t="str">
        <f>HYPERLINK("https://prolisok-store.com/products/mac-studio-fix-soft-matte-foundation-stick-nc37-9g-0-32oz", "https://prolisok-store.com/products/mac-studio-fix-soft-matte-foundation-stick-nc37-9g-0-32oz")</f>
        <v>https://prolisok-store.com/products/mac-studio-fix-soft-matte-foundation-stick-nc37-9g-0-32oz</v>
      </c>
      <c r="C2595" t="s">
        <v>6033</v>
      </c>
      <c r="D2595" t="s">
        <v>6388</v>
      </c>
      <c r="E2595" s="3" t="str">
        <f>HYPERLINK("https://www.amazon.com/Studio-Soft-Matte-Foundation-Stick/dp/B08WYF7WZH/ref=sr_1_10?keywords=MAC+studio+fix+soft+matte+foundation+stick+-+nc37+-9g%2F0.32oz&amp;qid=1695259534&amp;sr=8-10", "https://www.amazon.com/Studio-Soft-Matte-Foundation-Stick/dp/B08WYF7WZH/ref=sr_1_10?keywords=MAC+studio+fix+soft+matte+foundation+stick+-+nc37+-9g%2F0.32oz&amp;qid=1695259534&amp;sr=8-10")</f>
        <v>https://www.amazon.com/Studio-Soft-Matte-Foundation-Stick/dp/B08WYF7WZH/ref=sr_1_10?keywords=MAC+studio+fix+soft+matte+foundation+stick+-+nc37+-9g%2F0.32oz&amp;qid=1695259534&amp;sr=8-10</v>
      </c>
      <c r="F2595" t="s">
        <v>6389</v>
      </c>
      <c r="G2595" t="e">
        <f ca="1">IMAGE("https://prolisok-store.com/cdn/shop/products/375188_300x.jpg?v=1690393872")</f>
        <v>#NAME?</v>
      </c>
      <c r="H2595" t="e">
        <f t="shared" ca="1" si="32"/>
        <v>#NAME?</v>
      </c>
      <c r="I2595" t="s">
        <v>6020</v>
      </c>
      <c r="J2595">
        <v>29.9</v>
      </c>
      <c r="K2595" s="2" t="s">
        <v>6390</v>
      </c>
      <c r="L2595">
        <v>4.4000000000000004</v>
      </c>
      <c r="M2595">
        <v>4</v>
      </c>
      <c r="O2595" t="s">
        <v>26</v>
      </c>
      <c r="P2595" t="s">
        <v>39</v>
      </c>
      <c r="Q2595" t="s">
        <v>6034</v>
      </c>
    </row>
    <row r="2596" spans="1:17" ht="15.75" x14ac:dyDescent="0.25">
      <c r="A2596" s="3" t="str">
        <f>HYPERLINK("https://prolisok-store.com/collections/makeup/products/mac-studio-fix-soft-matte-foundation-stick-nw13-9g-0-32oz", "https://prolisok-store.com/collections/makeup/products/mac-studio-fix-soft-matte-foundation-stick-nw13-9g-0-32oz")</f>
        <v>https://prolisok-store.com/collections/makeup/products/mac-studio-fix-soft-matte-foundation-stick-nw13-9g-0-32oz</v>
      </c>
      <c r="B2596" s="3" t="str">
        <f>HYPERLINK("https://prolisok-store.com/products/mac-studio-fix-soft-matte-foundation-stick-nw13-9g-0-32oz", "https://prolisok-store.com/products/mac-studio-fix-soft-matte-foundation-stick-nw13-9g-0-32oz")</f>
        <v>https://prolisok-store.com/products/mac-studio-fix-soft-matte-foundation-stick-nw13-9g-0-32oz</v>
      </c>
      <c r="C2596" t="s">
        <v>6017</v>
      </c>
      <c r="D2596" t="s">
        <v>6388</v>
      </c>
      <c r="E2596" s="3" t="str">
        <f>HYPERLINK("https://www.amazon.com/Studio-Soft-Matte-Foundation-Stick/dp/B08WYF7WZH/ref=sr_1_8?keywords=MAC+studio+fix+soft+matte+foundation+stick+-+nw13+-9g%2F0.32oz&amp;qid=1695259544&amp;sr=8-8", "https://www.amazon.com/Studio-Soft-Matte-Foundation-Stick/dp/B08WYF7WZH/ref=sr_1_8?keywords=MAC+studio+fix+soft+matte+foundation+stick+-+nw13+-9g%2F0.32oz&amp;qid=1695259544&amp;sr=8-8")</f>
        <v>https://www.amazon.com/Studio-Soft-Matte-Foundation-Stick/dp/B08WYF7WZH/ref=sr_1_8?keywords=MAC+studio+fix+soft+matte+foundation+stick+-+nw13+-9g%2F0.32oz&amp;qid=1695259544&amp;sr=8-8</v>
      </c>
      <c r="F2596" t="s">
        <v>6389</v>
      </c>
      <c r="G2596" t="e">
        <f ca="1">IMAGE("https://prolisok-store.com/cdn/shop/products/409455_300x.jpg?v=1690393877")</f>
        <v>#NAME?</v>
      </c>
      <c r="H2596" t="e">
        <f t="shared" ca="1" si="32"/>
        <v>#NAME?</v>
      </c>
      <c r="I2596" t="s">
        <v>6020</v>
      </c>
      <c r="J2596">
        <v>29.9</v>
      </c>
      <c r="K2596" s="2" t="s">
        <v>6390</v>
      </c>
      <c r="L2596">
        <v>4.4000000000000004</v>
      </c>
      <c r="M2596">
        <v>4</v>
      </c>
      <c r="O2596" t="s">
        <v>26</v>
      </c>
      <c r="P2596" t="s">
        <v>39</v>
      </c>
      <c r="Q2596" t="s">
        <v>6022</v>
      </c>
    </row>
    <row r="2597" spans="1:17" ht="15.75" x14ac:dyDescent="0.25">
      <c r="A2597" s="3" t="str">
        <f>HYPERLINK("https://prolisok-store.com/collections/makeup/products/mac-studio-fix-soft-matte-foundation-stick-nw30-9g-0-32oz", "https://prolisok-store.com/collections/makeup/products/mac-studio-fix-soft-matte-foundation-stick-nw30-9g-0-32oz")</f>
        <v>https://prolisok-store.com/collections/makeup/products/mac-studio-fix-soft-matte-foundation-stick-nw30-9g-0-32oz</v>
      </c>
      <c r="B2597" s="3" t="str">
        <f>HYPERLINK("https://prolisok-store.com/products/mac-studio-fix-soft-matte-foundation-stick-nw30-9g-0-32oz", "https://prolisok-store.com/products/mac-studio-fix-soft-matte-foundation-stick-nw30-9g-0-32oz")</f>
        <v>https://prolisok-store.com/products/mac-studio-fix-soft-matte-foundation-stick-nw30-9g-0-32oz</v>
      </c>
      <c r="C2597" t="s">
        <v>6029</v>
      </c>
      <c r="D2597" t="s">
        <v>6388</v>
      </c>
      <c r="E2597" s="3" t="str">
        <f>HYPERLINK("https://www.amazon.com/Studio-Soft-Matte-Foundation-Stick/dp/B08WYF7WZH/ref=sr_1_7?keywords=MAC+studio+fix+soft+matte+foundation+stick+-+nw30+-9g%2F0.32oz&amp;qid=1695259539&amp;sr=8-7", "https://www.amazon.com/Studio-Soft-Matte-Foundation-Stick/dp/B08WYF7WZH/ref=sr_1_7?keywords=MAC+studio+fix+soft+matte+foundation+stick+-+nw30+-9g%2F0.32oz&amp;qid=1695259539&amp;sr=8-7")</f>
        <v>https://www.amazon.com/Studio-Soft-Matte-Foundation-Stick/dp/B08WYF7WZH/ref=sr_1_7?keywords=MAC+studio+fix+soft+matte+foundation+stick+-+nw30+-9g%2F0.32oz&amp;qid=1695259539&amp;sr=8-7</v>
      </c>
      <c r="F2597" t="s">
        <v>6389</v>
      </c>
      <c r="G2597" t="e">
        <f ca="1">IMAGE("https://prolisok-store.com/cdn/shop/products/409458_300x.jpg?v=1690393883")</f>
        <v>#NAME?</v>
      </c>
      <c r="H2597" t="e">
        <f t="shared" ca="1" si="32"/>
        <v>#NAME?</v>
      </c>
      <c r="I2597" t="s">
        <v>6020</v>
      </c>
      <c r="J2597">
        <v>29.9</v>
      </c>
      <c r="K2597" s="2" t="s">
        <v>6390</v>
      </c>
      <c r="L2597">
        <v>4.4000000000000004</v>
      </c>
      <c r="M2597">
        <v>4</v>
      </c>
      <c r="O2597" t="s">
        <v>26</v>
      </c>
      <c r="P2597" t="s">
        <v>39</v>
      </c>
      <c r="Q2597" t="s">
        <v>6030</v>
      </c>
    </row>
    <row r="2598" spans="1:17" ht="15.75" x14ac:dyDescent="0.25">
      <c r="A2598" s="3" t="str">
        <f>HYPERLINK("https://prolisok-store.com/collections/makeup/products/mac-studio-fix-soft-matte-foundation-stick-nc35-9g-0-32oz", "https://prolisok-store.com/collections/makeup/products/mac-studio-fix-soft-matte-foundation-stick-nc35-9g-0-32oz")</f>
        <v>https://prolisok-store.com/collections/makeup/products/mac-studio-fix-soft-matte-foundation-stick-nc35-9g-0-32oz</v>
      </c>
      <c r="B2598" s="3" t="str">
        <f>HYPERLINK("https://prolisok-store.com/products/mac-studio-fix-soft-matte-foundation-stick-nc35-9g-0-32oz", "https://prolisok-store.com/products/mac-studio-fix-soft-matte-foundation-stick-nc35-9g-0-32oz")</f>
        <v>https://prolisok-store.com/products/mac-studio-fix-soft-matte-foundation-stick-nc35-9g-0-32oz</v>
      </c>
      <c r="C2598" t="s">
        <v>6031</v>
      </c>
      <c r="D2598" t="s">
        <v>6388</v>
      </c>
      <c r="E2598" s="3" t="str">
        <f>HYPERLINK("https://www.amazon.com/Studio-Soft-Matte-Foundation-Stick/dp/B08WYF7WZH/ref=sr_1_8?keywords=MAC+studio+fix+soft+matte+foundation+stick+-+nc35+-9g%2F0.32oz&amp;qid=1695259534&amp;sr=8-8", "https://www.amazon.com/Studio-Soft-Matte-Foundation-Stick/dp/B08WYF7WZH/ref=sr_1_8?keywords=MAC+studio+fix+soft+matte+foundation+stick+-+nc35+-9g%2F0.32oz&amp;qid=1695259534&amp;sr=8-8")</f>
        <v>https://www.amazon.com/Studio-Soft-Matte-Foundation-Stick/dp/B08WYF7WZH/ref=sr_1_8?keywords=MAC+studio+fix+soft+matte+foundation+stick+-+nc35+-9g%2F0.32oz&amp;qid=1695259534&amp;sr=8-8</v>
      </c>
      <c r="F2598" t="s">
        <v>6389</v>
      </c>
      <c r="G2598" t="e">
        <f ca="1">IMAGE("https://prolisok-store.com/cdn/shop/products/360244_300x.jpg?v=1690393870")</f>
        <v>#NAME?</v>
      </c>
      <c r="H2598" t="e">
        <f t="shared" ca="1" si="32"/>
        <v>#NAME?</v>
      </c>
      <c r="I2598" t="s">
        <v>6020</v>
      </c>
      <c r="J2598">
        <v>29.9</v>
      </c>
      <c r="K2598" s="2" t="s">
        <v>6390</v>
      </c>
      <c r="L2598">
        <v>4.4000000000000004</v>
      </c>
      <c r="M2598">
        <v>4</v>
      </c>
      <c r="O2598" t="s">
        <v>26</v>
      </c>
      <c r="P2598" t="s">
        <v>39</v>
      </c>
      <c r="Q2598" t="s">
        <v>6032</v>
      </c>
    </row>
    <row r="2599" spans="1:17" ht="15.75" x14ac:dyDescent="0.25">
      <c r="A2599" s="3" t="str">
        <f>HYPERLINK("https://prolisok-store.com/collections/makeup/products/sisley-lorchidee-highlighter-blush-with-white-lily-coral-15g-0-52oz", "https://prolisok-store.com/collections/makeup/products/sisley-lorchidee-highlighter-blush-with-white-lily-coral-15g-0-52oz")</f>
        <v>https://prolisok-store.com/collections/makeup/products/sisley-lorchidee-highlighter-blush-with-white-lily-coral-15g-0-52oz</v>
      </c>
      <c r="B2599" s="3" t="str">
        <f>HYPERLINK("https://prolisok-store.com/products/sisley-lorchidee-highlighter-blush-with-white-lily-coral-15g-0-52oz", "https://prolisok-store.com/products/sisley-lorchidee-highlighter-blush-with-white-lily-coral-15g-0-52oz")</f>
        <v>https://prolisok-store.com/products/sisley-lorchidee-highlighter-blush-with-white-lily-coral-15g-0-52oz</v>
      </c>
      <c r="C2599" t="s">
        <v>6391</v>
      </c>
      <c r="D2599" t="s">
        <v>6392</v>
      </c>
      <c r="E2599" s="3" t="str">
        <f>HYPERLINK("https://www.amazon.com/Sisley-Womens-Lorchidee-Highlighter-Blush/dp/B00D2UYHHW/ref=sr_1_3?keywords=Sisley+lorchidee+highlighter+blush+with+white+lily+-+coral+15g%2F0.52oz&amp;qid=1695259525&amp;sr=8-3", "https://www.amazon.com/Sisley-Womens-Lorchidee-Highlighter-Blush/dp/B00D2UYHHW/ref=sr_1_3?keywords=Sisley+lorchidee+highlighter+blush+with+white+lily+-+coral+15g%2F0.52oz&amp;qid=1695259525&amp;sr=8-3")</f>
        <v>https://www.amazon.com/Sisley-Womens-Lorchidee-Highlighter-Blush/dp/B00D2UYHHW/ref=sr_1_3?keywords=Sisley+lorchidee+highlighter+blush+with+white+lily+-+coral+15g%2F0.52oz&amp;qid=1695259525&amp;sr=8-3</v>
      </c>
      <c r="F2599" t="s">
        <v>6393</v>
      </c>
      <c r="G2599" t="e">
        <f ca="1">IMAGE("https://prolisok-store.com/cdn/shop/products/346287_300x.jpg?v=1690900743")</f>
        <v>#NAME?</v>
      </c>
      <c r="H2599" t="e">
        <f ca="1">IMAGE("https://m.media-amazon.com/images/I/7133Cmy1bOL._AC_UL320_.jpg")</f>
        <v>#NAME?</v>
      </c>
      <c r="I2599" t="s">
        <v>2531</v>
      </c>
      <c r="J2599">
        <v>86.55</v>
      </c>
      <c r="K2599" s="2" t="s">
        <v>6394</v>
      </c>
      <c r="L2599">
        <v>4.4000000000000004</v>
      </c>
      <c r="M2599">
        <v>15</v>
      </c>
      <c r="O2599" t="s">
        <v>26</v>
      </c>
      <c r="P2599" t="s">
        <v>39</v>
      </c>
      <c r="Q2599" t="s">
        <v>6395</v>
      </c>
    </row>
    <row r="2600" spans="1:17" ht="15.75" x14ac:dyDescent="0.25">
      <c r="A2600" s="3" t="str">
        <f>HYPERLINK("https://prolisok-store.com/collections/makeup/products/mac-studio-fix-soft-matte-foundation-stick-nw18-9g-0-32oz", "https://prolisok-store.com/collections/makeup/products/mac-studio-fix-soft-matte-foundation-stick-nw18-9g-0-32oz")</f>
        <v>https://prolisok-store.com/collections/makeup/products/mac-studio-fix-soft-matte-foundation-stick-nw18-9g-0-32oz</v>
      </c>
      <c r="B2600" s="3" t="str">
        <f>HYPERLINK("https://prolisok-store.com/products/mac-studio-fix-soft-matte-foundation-stick-nw18-9g-0-32oz", "https://prolisok-store.com/products/mac-studio-fix-soft-matte-foundation-stick-nw18-9g-0-32oz")</f>
        <v>https://prolisok-store.com/products/mac-studio-fix-soft-matte-foundation-stick-nw18-9g-0-32oz</v>
      </c>
      <c r="C2600" t="s">
        <v>6025</v>
      </c>
      <c r="D2600" t="s">
        <v>6396</v>
      </c>
      <c r="E2600" s="3" t="str">
        <f>HYPERLINK("https://www.amazon.com/Studio-Soft-Matte-Foundation-Stick/dp/B081J4X4S6/ref=sr_1_8?keywords=MAC+studio+fix+soft+matte+foundation+stick+-+nw18+-9g%2F0.32oz&amp;qid=1695259543&amp;sr=8-8", "https://www.amazon.com/Studio-Soft-Matte-Foundation-Stick/dp/B081J4X4S6/ref=sr_1_8?keywords=MAC+studio+fix+soft+matte+foundation+stick+-+nw18+-9g%2F0.32oz&amp;qid=1695259543&amp;sr=8-8")</f>
        <v>https://www.amazon.com/Studio-Soft-Matte-Foundation-Stick/dp/B081J4X4S6/ref=sr_1_8?keywords=MAC+studio+fix+soft+matte+foundation+stick+-+nw18+-9g%2F0.32oz&amp;qid=1695259543&amp;sr=8-8</v>
      </c>
      <c r="F2600" t="s">
        <v>6397</v>
      </c>
      <c r="G2600" t="e">
        <f ca="1">IMAGE("https://prolisok-store.com/cdn/shop/products/360235_300x.jpg?v=1690393879")</f>
        <v>#NAME?</v>
      </c>
      <c r="H2600" t="e">
        <f t="shared" ref="H2600:H2606" ca="1" si="33">IMAGE("https://m.media-amazon.com/images/I/21BlDcHXNdS._AC_UL320_.jpg")</f>
        <v>#NAME?</v>
      </c>
      <c r="I2600" t="s">
        <v>6020</v>
      </c>
      <c r="J2600">
        <v>29.76</v>
      </c>
      <c r="K2600" s="2" t="s">
        <v>6398</v>
      </c>
      <c r="L2600">
        <v>5</v>
      </c>
      <c r="M2600">
        <v>4</v>
      </c>
      <c r="O2600" t="s">
        <v>26</v>
      </c>
      <c r="P2600" t="s">
        <v>39</v>
      </c>
      <c r="Q2600" t="s">
        <v>6026</v>
      </c>
    </row>
    <row r="2601" spans="1:17" ht="15.75" x14ac:dyDescent="0.25">
      <c r="A2601" s="3" t="str">
        <f>HYPERLINK("https://prolisok-store.com/collections/makeup/products/mac-studio-fix-soft-matte-foundation-stick-nw13-9g-0-32oz", "https://prolisok-store.com/collections/makeup/products/mac-studio-fix-soft-matte-foundation-stick-nw13-9g-0-32oz")</f>
        <v>https://prolisok-store.com/collections/makeup/products/mac-studio-fix-soft-matte-foundation-stick-nw13-9g-0-32oz</v>
      </c>
      <c r="B2601" s="3" t="str">
        <f>HYPERLINK("https://prolisok-store.com/products/mac-studio-fix-soft-matte-foundation-stick-nw13-9g-0-32oz", "https://prolisok-store.com/products/mac-studio-fix-soft-matte-foundation-stick-nw13-9g-0-32oz")</f>
        <v>https://prolisok-store.com/products/mac-studio-fix-soft-matte-foundation-stick-nw13-9g-0-32oz</v>
      </c>
      <c r="C2601" t="s">
        <v>6017</v>
      </c>
      <c r="D2601" t="s">
        <v>6396</v>
      </c>
      <c r="E2601" s="3" t="str">
        <f>HYPERLINK("https://www.amazon.com/Studio-Soft-Matte-Foundation-Stick/dp/B081J4X4S6/ref=sr_1_10?keywords=MAC+studio+fix+soft+matte+foundation+stick+-+nw13+-9g%2F0.32oz&amp;qid=1695259544&amp;sr=8-10", "https://www.amazon.com/Studio-Soft-Matte-Foundation-Stick/dp/B081J4X4S6/ref=sr_1_10?keywords=MAC+studio+fix+soft+matte+foundation+stick+-+nw13+-9g%2F0.32oz&amp;qid=1695259544&amp;sr=8-10")</f>
        <v>https://www.amazon.com/Studio-Soft-Matte-Foundation-Stick/dp/B081J4X4S6/ref=sr_1_10?keywords=MAC+studio+fix+soft+matte+foundation+stick+-+nw13+-9g%2F0.32oz&amp;qid=1695259544&amp;sr=8-10</v>
      </c>
      <c r="F2601" t="s">
        <v>6397</v>
      </c>
      <c r="G2601" t="e">
        <f ca="1">IMAGE("https://prolisok-store.com/cdn/shop/products/409455_300x.jpg?v=1690393877")</f>
        <v>#NAME?</v>
      </c>
      <c r="H2601" t="e">
        <f t="shared" ca="1" si="33"/>
        <v>#NAME?</v>
      </c>
      <c r="I2601" t="s">
        <v>6020</v>
      </c>
      <c r="J2601">
        <v>29.76</v>
      </c>
      <c r="K2601" s="2" t="s">
        <v>6398</v>
      </c>
      <c r="L2601">
        <v>5</v>
      </c>
      <c r="M2601">
        <v>4</v>
      </c>
      <c r="O2601" t="s">
        <v>26</v>
      </c>
      <c r="P2601" t="s">
        <v>39</v>
      </c>
      <c r="Q2601" t="s">
        <v>6022</v>
      </c>
    </row>
    <row r="2602" spans="1:17" ht="15.75" x14ac:dyDescent="0.25">
      <c r="A2602" s="3" t="str">
        <f>HYPERLINK("https://prolisok-store.com/collections/makeup/products/mac-studio-fix-soft-matte-foundation-stick-nc38-9g-0-32oz", "https://prolisok-store.com/collections/makeup/products/mac-studio-fix-soft-matte-foundation-stick-nc38-9g-0-32oz")</f>
        <v>https://prolisok-store.com/collections/makeup/products/mac-studio-fix-soft-matte-foundation-stick-nc38-9g-0-32oz</v>
      </c>
      <c r="B2602" s="3" t="str">
        <f>HYPERLINK("https://prolisok-store.com/products/mac-studio-fix-soft-matte-foundation-stick-nc38-9g-0-32oz", "https://prolisok-store.com/products/mac-studio-fix-soft-matte-foundation-stick-nc38-9g-0-32oz")</f>
        <v>https://prolisok-store.com/products/mac-studio-fix-soft-matte-foundation-stick-nc38-9g-0-32oz</v>
      </c>
      <c r="C2602" t="s">
        <v>6023</v>
      </c>
      <c r="D2602" t="s">
        <v>6396</v>
      </c>
      <c r="E2602" s="3" t="str">
        <f>HYPERLINK("https://www.amazon.com/Studio-Soft-Matte-Foundation-Stick/dp/B081J4X4S6/ref=sr_1_9?keywords=MAC+studio+fix+soft+matte+foundation+stick+-+nc38+-9g%2F0.32oz&amp;qid=1695259545&amp;sr=8-9", "https://www.amazon.com/Studio-Soft-Matte-Foundation-Stick/dp/B081J4X4S6/ref=sr_1_9?keywords=MAC+studio+fix+soft+matte+foundation+stick+-+nc38+-9g%2F0.32oz&amp;qid=1695259545&amp;sr=8-9")</f>
        <v>https://www.amazon.com/Studio-Soft-Matte-Foundation-Stick/dp/B081J4X4S6/ref=sr_1_9?keywords=MAC+studio+fix+soft+matte+foundation+stick+-+nc38+-9g%2F0.32oz&amp;qid=1695259545&amp;sr=8-9</v>
      </c>
      <c r="F2602" t="s">
        <v>6397</v>
      </c>
      <c r="G2602" t="e">
        <f ca="1">IMAGE("https://prolisok-store.com/cdn/shop/products/360243_300x.jpg?v=1690393874")</f>
        <v>#NAME?</v>
      </c>
      <c r="H2602" t="e">
        <f t="shared" ca="1" si="33"/>
        <v>#NAME?</v>
      </c>
      <c r="I2602" t="s">
        <v>6020</v>
      </c>
      <c r="J2602">
        <v>29.76</v>
      </c>
      <c r="K2602" s="2" t="s">
        <v>6398</v>
      </c>
      <c r="L2602">
        <v>5</v>
      </c>
      <c r="M2602">
        <v>4</v>
      </c>
      <c r="O2602" t="s">
        <v>26</v>
      </c>
      <c r="P2602" t="s">
        <v>39</v>
      </c>
      <c r="Q2602" t="s">
        <v>6024</v>
      </c>
    </row>
    <row r="2603" spans="1:17" ht="15.75" x14ac:dyDescent="0.25">
      <c r="A2603" s="3" t="str">
        <f>HYPERLINK("https://prolisok-store.com/collections/makeup/products/mac-studio-fix-soft-matte-foundation-stick-nw30-9g-0-32oz", "https://prolisok-store.com/collections/makeup/products/mac-studio-fix-soft-matte-foundation-stick-nw30-9g-0-32oz")</f>
        <v>https://prolisok-store.com/collections/makeup/products/mac-studio-fix-soft-matte-foundation-stick-nw30-9g-0-32oz</v>
      </c>
      <c r="B2603" s="3" t="str">
        <f>HYPERLINK("https://prolisok-store.com/products/mac-studio-fix-soft-matte-foundation-stick-nw30-9g-0-32oz", "https://prolisok-store.com/products/mac-studio-fix-soft-matte-foundation-stick-nw30-9g-0-32oz")</f>
        <v>https://prolisok-store.com/products/mac-studio-fix-soft-matte-foundation-stick-nw30-9g-0-32oz</v>
      </c>
      <c r="C2603" t="s">
        <v>6029</v>
      </c>
      <c r="D2603" t="s">
        <v>6396</v>
      </c>
      <c r="E2603" s="3" t="str">
        <f>HYPERLINK("https://www.amazon.com/Studio-Soft-Matte-Foundation-Stick/dp/B081J4X4S6/ref=sr_1_9?keywords=MAC+studio+fix+soft+matte+foundation+stick+-+nw30+-9g%2F0.32oz&amp;qid=1695259539&amp;sr=8-9", "https://www.amazon.com/Studio-Soft-Matte-Foundation-Stick/dp/B081J4X4S6/ref=sr_1_9?keywords=MAC+studio+fix+soft+matte+foundation+stick+-+nw30+-9g%2F0.32oz&amp;qid=1695259539&amp;sr=8-9")</f>
        <v>https://www.amazon.com/Studio-Soft-Matte-Foundation-Stick/dp/B081J4X4S6/ref=sr_1_9?keywords=MAC+studio+fix+soft+matte+foundation+stick+-+nw30+-9g%2F0.32oz&amp;qid=1695259539&amp;sr=8-9</v>
      </c>
      <c r="F2603" t="s">
        <v>6397</v>
      </c>
      <c r="G2603" t="e">
        <f ca="1">IMAGE("https://prolisok-store.com/cdn/shop/products/409458_300x.jpg?v=1690393883")</f>
        <v>#NAME?</v>
      </c>
      <c r="H2603" t="e">
        <f t="shared" ca="1" si="33"/>
        <v>#NAME?</v>
      </c>
      <c r="I2603" t="s">
        <v>6020</v>
      </c>
      <c r="J2603">
        <v>29.76</v>
      </c>
      <c r="K2603" s="2" t="s">
        <v>6398</v>
      </c>
      <c r="L2603">
        <v>5</v>
      </c>
      <c r="M2603">
        <v>4</v>
      </c>
      <c r="O2603" t="s">
        <v>26</v>
      </c>
      <c r="P2603" t="s">
        <v>39</v>
      </c>
      <c r="Q2603" t="s">
        <v>6030</v>
      </c>
    </row>
    <row r="2604" spans="1:17" ht="15.75" x14ac:dyDescent="0.25">
      <c r="A2604" s="3" t="str">
        <f>HYPERLINK("https://prolisok-store.com/collections/makeup/products/mac-studio-fix-soft-matte-foundation-stick-nw22-9g-0-32oz", "https://prolisok-store.com/collections/makeup/products/mac-studio-fix-soft-matte-foundation-stick-nw22-9g-0-32oz")</f>
        <v>https://prolisok-store.com/collections/makeup/products/mac-studio-fix-soft-matte-foundation-stick-nw22-9g-0-32oz</v>
      </c>
      <c r="B2604" s="3" t="str">
        <f>HYPERLINK("https://prolisok-store.com/products/mac-studio-fix-soft-matte-foundation-stick-nw22-9g-0-32oz", "https://prolisok-store.com/products/mac-studio-fix-soft-matte-foundation-stick-nw22-9g-0-32oz")</f>
        <v>https://prolisok-store.com/products/mac-studio-fix-soft-matte-foundation-stick-nw22-9g-0-32oz</v>
      </c>
      <c r="C2604" t="s">
        <v>6027</v>
      </c>
      <c r="D2604" t="s">
        <v>6396</v>
      </c>
      <c r="E2604" s="3" t="str">
        <f>HYPERLINK("https://www.amazon.com/Studio-Soft-Matte-Foundation-Stick/dp/B081J4X4S6/ref=sr_1_8?keywords=MAC+studio+fix+soft+matte+foundation+stick+-+nw22+-9g%2F0.32oz&amp;qid=1695259534&amp;sr=8-8", "https://www.amazon.com/Studio-Soft-Matte-Foundation-Stick/dp/B081J4X4S6/ref=sr_1_8?keywords=MAC+studio+fix+soft+matte+foundation+stick+-+nw22+-9g%2F0.32oz&amp;qid=1695259534&amp;sr=8-8")</f>
        <v>https://www.amazon.com/Studio-Soft-Matte-Foundation-Stick/dp/B081J4X4S6/ref=sr_1_8?keywords=MAC+studio+fix+soft+matte+foundation+stick+-+nw22+-9g%2F0.32oz&amp;qid=1695259534&amp;sr=8-8</v>
      </c>
      <c r="F2604" t="s">
        <v>6397</v>
      </c>
      <c r="G2604" t="e">
        <f ca="1">IMAGE("https://prolisok-store.com/cdn/shop/products/360234_300x.jpg?v=1690393881")</f>
        <v>#NAME?</v>
      </c>
      <c r="H2604" t="e">
        <f t="shared" ca="1" si="33"/>
        <v>#NAME?</v>
      </c>
      <c r="I2604" t="s">
        <v>6020</v>
      </c>
      <c r="J2604">
        <v>29.74</v>
      </c>
      <c r="K2604" s="2" t="s">
        <v>6399</v>
      </c>
      <c r="L2604">
        <v>5</v>
      </c>
      <c r="M2604">
        <v>4</v>
      </c>
      <c r="O2604" t="s">
        <v>26</v>
      </c>
      <c r="P2604" t="s">
        <v>39</v>
      </c>
      <c r="Q2604" t="s">
        <v>6028</v>
      </c>
    </row>
    <row r="2605" spans="1:17" ht="15.75" x14ac:dyDescent="0.25">
      <c r="A2605" s="3" t="str">
        <f>HYPERLINK("https://prolisok-store.com/collections/makeup/products/mac-studio-fix-soft-matte-foundation-stick-nc37-9g-0-32oz", "https://prolisok-store.com/collections/makeup/products/mac-studio-fix-soft-matte-foundation-stick-nc37-9g-0-32oz")</f>
        <v>https://prolisok-store.com/collections/makeup/products/mac-studio-fix-soft-matte-foundation-stick-nc37-9g-0-32oz</v>
      </c>
      <c r="B2605" s="3" t="str">
        <f>HYPERLINK("https://prolisok-store.com/products/mac-studio-fix-soft-matte-foundation-stick-nc37-9g-0-32oz", "https://prolisok-store.com/products/mac-studio-fix-soft-matte-foundation-stick-nc37-9g-0-32oz")</f>
        <v>https://prolisok-store.com/products/mac-studio-fix-soft-matte-foundation-stick-nc37-9g-0-32oz</v>
      </c>
      <c r="C2605" t="s">
        <v>6033</v>
      </c>
      <c r="D2605" t="s">
        <v>6396</v>
      </c>
      <c r="E2605" s="3" t="str">
        <f>HYPERLINK("https://www.amazon.com/Studio-Soft-Matte-Foundation-Stick/dp/B081J4X4S6/ref=sr_1_5?keywords=MAC+studio+fix+soft+matte+foundation+stick+-+nc37+-9g%2F0.32oz&amp;qid=1695259534&amp;sr=8-5", "https://www.amazon.com/Studio-Soft-Matte-Foundation-Stick/dp/B081J4X4S6/ref=sr_1_5?keywords=MAC+studio+fix+soft+matte+foundation+stick+-+nc37+-9g%2F0.32oz&amp;qid=1695259534&amp;sr=8-5")</f>
        <v>https://www.amazon.com/Studio-Soft-Matte-Foundation-Stick/dp/B081J4X4S6/ref=sr_1_5?keywords=MAC+studio+fix+soft+matte+foundation+stick+-+nc37+-9g%2F0.32oz&amp;qid=1695259534&amp;sr=8-5</v>
      </c>
      <c r="F2605" t="s">
        <v>6397</v>
      </c>
      <c r="G2605" t="e">
        <f ca="1">IMAGE("https://prolisok-store.com/cdn/shop/products/375188_300x.jpg?v=1690393872")</f>
        <v>#NAME?</v>
      </c>
      <c r="H2605" t="e">
        <f t="shared" ca="1" si="33"/>
        <v>#NAME?</v>
      </c>
      <c r="I2605" t="s">
        <v>6020</v>
      </c>
      <c r="J2605">
        <v>29.74</v>
      </c>
      <c r="K2605" s="2" t="s">
        <v>6399</v>
      </c>
      <c r="L2605">
        <v>5</v>
      </c>
      <c r="M2605">
        <v>4</v>
      </c>
      <c r="O2605" t="s">
        <v>26</v>
      </c>
      <c r="P2605" t="s">
        <v>39</v>
      </c>
      <c r="Q2605" t="s">
        <v>6034</v>
      </c>
    </row>
    <row r="2606" spans="1:17" ht="15.75" x14ac:dyDescent="0.25">
      <c r="A2606" s="3" t="str">
        <f>HYPERLINK("https://prolisok-store.com/collections/makeup/products/mac-studio-fix-soft-matte-foundation-stick-nc35-9g-0-32oz", "https://prolisok-store.com/collections/makeup/products/mac-studio-fix-soft-matte-foundation-stick-nc35-9g-0-32oz")</f>
        <v>https://prolisok-store.com/collections/makeup/products/mac-studio-fix-soft-matte-foundation-stick-nc35-9g-0-32oz</v>
      </c>
      <c r="B2606" s="3" t="str">
        <f>HYPERLINK("https://prolisok-store.com/products/mac-studio-fix-soft-matte-foundation-stick-nc35-9g-0-32oz", "https://prolisok-store.com/products/mac-studio-fix-soft-matte-foundation-stick-nc35-9g-0-32oz")</f>
        <v>https://prolisok-store.com/products/mac-studio-fix-soft-matte-foundation-stick-nc35-9g-0-32oz</v>
      </c>
      <c r="C2606" t="s">
        <v>6031</v>
      </c>
      <c r="D2606" t="s">
        <v>6396</v>
      </c>
      <c r="E2606" s="3" t="str">
        <f>HYPERLINK("https://www.amazon.com/Studio-Soft-Matte-Foundation-Stick/dp/B081J4X4S6/ref=sr_1_9?keywords=MAC+studio+fix+soft+matte+foundation+stick+-+nc35+-9g%2F0.32oz&amp;qid=1695259534&amp;sr=8-9", "https://www.amazon.com/Studio-Soft-Matte-Foundation-Stick/dp/B081J4X4S6/ref=sr_1_9?keywords=MAC+studio+fix+soft+matte+foundation+stick+-+nc35+-9g%2F0.32oz&amp;qid=1695259534&amp;sr=8-9")</f>
        <v>https://www.amazon.com/Studio-Soft-Matte-Foundation-Stick/dp/B081J4X4S6/ref=sr_1_9?keywords=MAC+studio+fix+soft+matte+foundation+stick+-+nc35+-9g%2F0.32oz&amp;qid=1695259534&amp;sr=8-9</v>
      </c>
      <c r="F2606" t="s">
        <v>6397</v>
      </c>
      <c r="G2606" t="e">
        <f ca="1">IMAGE("https://prolisok-store.com/cdn/shop/products/360244_300x.jpg?v=1690393870")</f>
        <v>#NAME?</v>
      </c>
      <c r="H2606" t="e">
        <f t="shared" ca="1" si="33"/>
        <v>#NAME?</v>
      </c>
      <c r="I2606" t="s">
        <v>6020</v>
      </c>
      <c r="J2606">
        <v>29.74</v>
      </c>
      <c r="K2606" s="2" t="s">
        <v>6399</v>
      </c>
      <c r="L2606">
        <v>5</v>
      </c>
      <c r="M2606">
        <v>4</v>
      </c>
      <c r="O2606" t="s">
        <v>26</v>
      </c>
      <c r="P2606" t="s">
        <v>39</v>
      </c>
      <c r="Q2606" t="s">
        <v>6032</v>
      </c>
    </row>
    <row r="2607" spans="1:17" ht="15.75" x14ac:dyDescent="0.25">
      <c r="A2607" s="3" t="str">
        <f>HYPERLINK("https://prolisok-store.com/collections/makeup/products/mac-cremesheen-lipstick-dare-you-3g-0-1oz", "https://prolisok-store.com/collections/makeup/products/mac-cremesheen-lipstick-dare-you-3g-0-1oz")</f>
        <v>https://prolisok-store.com/collections/makeup/products/mac-cremesheen-lipstick-dare-you-3g-0-1oz</v>
      </c>
      <c r="B2607" s="3" t="str">
        <f>HYPERLINK("https://prolisok-store.com/products/mac-cremesheen-lipstick-dare-you-3g-0-1oz", "https://prolisok-store.com/products/mac-cremesheen-lipstick-dare-you-3g-0-1oz")</f>
        <v>https://prolisok-store.com/products/mac-cremesheen-lipstick-dare-you-3g-0-1oz</v>
      </c>
      <c r="C2607" t="s">
        <v>6357</v>
      </c>
      <c r="D2607" t="s">
        <v>6400</v>
      </c>
      <c r="E2607" s="3" t="str">
        <f>HYPERLINK("https://www.amazon.com/MAC-Lipstick-Cremesheen-Dare-You/dp/B00OQ913CA/ref=sr_1_1?keywords=MAC+cremesheen+lipstick+-+dare+you+-3g%2F0.1oz&amp;qid=1695259544&amp;sr=8-1", "https://www.amazon.com/MAC-Lipstick-Cremesheen-Dare-You/dp/B00OQ913CA/ref=sr_1_1?keywords=MAC+cremesheen+lipstick+-+dare+you+-3g%2F0.1oz&amp;qid=1695259544&amp;sr=8-1")</f>
        <v>https://www.amazon.com/MAC-Lipstick-Cremesheen-Dare-You/dp/B00OQ913CA/ref=sr_1_1?keywords=MAC+cremesheen+lipstick+-+dare+you+-3g%2F0.1oz&amp;qid=1695259544&amp;sr=8-1</v>
      </c>
      <c r="F2607" t="s">
        <v>6401</v>
      </c>
      <c r="G2607" t="e">
        <f ca="1">IMAGE("https://prolisok-store.com/cdn/shop/products/346136_300x.jpg?v=1690393920")</f>
        <v>#NAME?</v>
      </c>
      <c r="H2607" t="e">
        <f ca="1">IMAGE("https://m.media-amazon.com/images/I/41WvBDp+73L._AC_UL320_.jpg")</f>
        <v>#NAME?</v>
      </c>
      <c r="I2607" t="s">
        <v>6360</v>
      </c>
      <c r="J2607">
        <v>21.9</v>
      </c>
      <c r="K2607" s="2" t="s">
        <v>6402</v>
      </c>
      <c r="L2607">
        <v>4.5</v>
      </c>
      <c r="M2607">
        <v>1115</v>
      </c>
      <c r="O2607" t="s">
        <v>26</v>
      </c>
      <c r="P2607" t="s">
        <v>39</v>
      </c>
      <c r="Q2607" t="s">
        <v>6362</v>
      </c>
    </row>
    <row r="2608" spans="1:17" ht="15.75" x14ac:dyDescent="0.25">
      <c r="A2608" s="3" t="str">
        <f>HYPERLINK("https://prolisok-store.com/collections/makeup/products/clinique-by-clinique-chubby-lash-fattening-mascara-01-jumbo-jet-10ml-0-4oz", "https://prolisok-store.com/collections/makeup/products/clinique-by-clinique-chubby-lash-fattening-mascara-01-jumbo-jet-10ml-0-4oz")</f>
        <v>https://prolisok-store.com/collections/makeup/products/clinique-by-clinique-chubby-lash-fattening-mascara-01-jumbo-jet-10ml-0-4oz</v>
      </c>
      <c r="B2608"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608" t="s">
        <v>6208</v>
      </c>
      <c r="D2608" t="s">
        <v>6403</v>
      </c>
      <c r="E2608" s="3" t="str">
        <f>HYPERLINK("https://www.amazon.com/CLINIQUE-Chubby-Fattening-Mascara-Travel-Size/dp/B01L4XUE9I/ref=sr_1_5?keywords=Clinique+chubby+lash+fattening+mascara+-+%2301+jumbo+jet+--10ml%2F0.4oz&amp;qid=1695259544&amp;sr=8-5", "https://www.amazon.com/CLINIQUE-Chubby-Fattening-Mascara-Travel-Size/dp/B01L4XUE9I/ref=sr_1_5?keywords=Clinique+chubby+lash+fattening+mascara+-+%2301+jumbo+jet+--10ml%2F0.4oz&amp;qid=1695259544&amp;sr=8-5")</f>
        <v>https://www.amazon.com/CLINIQUE-Chubby-Fattening-Mascara-Travel-Size/dp/B01L4XUE9I/ref=sr_1_5?keywords=Clinique+chubby+lash+fattening+mascara+-+%2301+jumbo+jet+--10ml%2F0.4oz&amp;qid=1695259544&amp;sr=8-5</v>
      </c>
      <c r="F2608" t="s">
        <v>6404</v>
      </c>
      <c r="G2608" t="e">
        <f ca="1">IMAGE("https://prolisok-store.com/cdn/shop/files/B-MRKTS-1062_300x.png?v=1690307144")</f>
        <v>#NAME?</v>
      </c>
      <c r="H2608" t="e">
        <f ca="1">IMAGE("https://m.media-amazon.com/images/I/71zm+9mgayL._AC_UL320_.jpg")</f>
        <v>#NAME?</v>
      </c>
      <c r="I2608" t="s">
        <v>6000</v>
      </c>
      <c r="J2608">
        <v>19.989999999999998</v>
      </c>
      <c r="K2608" s="2" t="s">
        <v>6405</v>
      </c>
      <c r="L2608">
        <v>4.3</v>
      </c>
      <c r="M2608">
        <v>124</v>
      </c>
      <c r="O2608" t="s">
        <v>26</v>
      </c>
      <c r="P2608" t="s">
        <v>39</v>
      </c>
      <c r="Q2608" t="s">
        <v>6212</v>
      </c>
    </row>
    <row r="2609" spans="1:17" ht="15.75" x14ac:dyDescent="0.25">
      <c r="A2609" s="3" t="str">
        <f>HYPERLINK("https://prolisok-store.com/collections/makeup/products/estee-lauder-double-wear-24h-waterproof-gel-eye-pencil-05-smoke-1-2g-0-04oz", "https://prolisok-store.com/collections/makeup/products/estee-lauder-double-wear-24h-waterproof-gel-eye-pencil-05-smoke-1-2g-0-04oz")</f>
        <v>https://prolisok-store.com/collections/makeup/products/estee-lauder-double-wear-24h-waterproof-gel-eye-pencil-05-smoke-1-2g-0-04oz</v>
      </c>
      <c r="B2609" s="3" t="str">
        <f>HYPERLINK("https://prolisok-store.com/products/estee-lauder-double-wear-24h-waterproof-gel-eye-pencil-05-smoke-1-2g-0-04oz", "https://prolisok-store.com/products/estee-lauder-double-wear-24h-waterproof-gel-eye-pencil-05-smoke-1-2g-0-04oz")</f>
        <v>https://prolisok-store.com/products/estee-lauder-double-wear-24h-waterproof-gel-eye-pencil-05-smoke-1-2g-0-04oz</v>
      </c>
      <c r="C2609" t="s">
        <v>6406</v>
      </c>
      <c r="D2609" t="s">
        <v>6407</v>
      </c>
      <c r="E2609" s="3" t="str">
        <f>HYPERLINK("https://www.amazon.com/Estee-Lauder-Double-Waterproof-Pencil/dp/B0B34YXD6P/ref=sr_1_3?keywords=Estee+Lauder+double+wear+24h+waterproof+gel+eye+pencil+-&amp;qid=1695259516&amp;sr=8-3", "https://www.amazon.com/Estee-Lauder-Double-Waterproof-Pencil/dp/B0B34YXD6P/ref=sr_1_3?keywords=Estee+Lauder+double+wear+24h+waterproof+gel+eye+pencil+-&amp;qid=1695259516&amp;sr=8-3")</f>
        <v>https://www.amazon.com/Estee-Lauder-Double-Waterproof-Pencil/dp/B0B34YXD6P/ref=sr_1_3?keywords=Estee+Lauder+double+wear+24h+waterproof+gel+eye+pencil+-&amp;qid=1695259516&amp;sr=8-3</v>
      </c>
      <c r="F2609" t="s">
        <v>6408</v>
      </c>
      <c r="G2609" t="e">
        <f ca="1">IMAGE("https://prolisok-store.com/cdn/shop/products/443403_300x.jpg?v=1690900249")</f>
        <v>#NAME?</v>
      </c>
      <c r="H2609" t="e">
        <f ca="1">IMAGE("https://m.media-amazon.com/images/I/61tIbegFW0L._AC_UL320_.jpg")</f>
        <v>#NAME?</v>
      </c>
      <c r="I2609" t="s">
        <v>748</v>
      </c>
      <c r="J2609">
        <v>23</v>
      </c>
      <c r="K2609" s="2" t="s">
        <v>6409</v>
      </c>
      <c r="L2609">
        <v>4</v>
      </c>
      <c r="M2609">
        <v>21</v>
      </c>
      <c r="O2609" t="s">
        <v>26</v>
      </c>
      <c r="P2609" t="s">
        <v>39</v>
      </c>
      <c r="Q2609" t="s">
        <v>6410</v>
      </c>
    </row>
    <row r="2610" spans="1:17" ht="15.75" x14ac:dyDescent="0.25">
      <c r="A2610" s="3" t="str">
        <f>HYPERLINK("https://prolisok-store.com/collections/makeup/products/mac-studio-fix-powder-plus-foundation-nc15-15g-0-52oz", "https://prolisok-store.com/collections/makeup/products/mac-studio-fix-powder-plus-foundation-nc15-15g-0-52oz")</f>
        <v>https://prolisok-store.com/collections/makeup/products/mac-studio-fix-powder-plus-foundation-nc15-15g-0-52oz</v>
      </c>
      <c r="B2610" s="3" t="str">
        <f>HYPERLINK("https://prolisok-store.com/products/mac-studio-fix-powder-plus-foundation-nc15-15g-0-52oz", "https://prolisok-store.com/products/mac-studio-fix-powder-plus-foundation-nc15-15g-0-52oz")</f>
        <v>https://prolisok-store.com/products/mac-studio-fix-powder-plus-foundation-nc15-15g-0-52oz</v>
      </c>
      <c r="C2610" t="s">
        <v>6108</v>
      </c>
      <c r="D2610" t="s">
        <v>6411</v>
      </c>
      <c r="E2610" s="3" t="str">
        <f>HYPERLINK("https://www.amazon.com/Studio-Fix-Powder-Foundation-NC42/dp/B0041PKZD2/ref=sr_1_5?keywords=MAC+studio+fix+powder+plus+foundation+-+nc15+-15g%2F0.52oz&amp;qid=1695259539&amp;sr=8-5", "https://www.amazon.com/Studio-Fix-Powder-Foundation-NC42/dp/B0041PKZD2/ref=sr_1_5?keywords=MAC+studio+fix+powder+plus+foundation+-+nc15+-15g%2F0.52oz&amp;qid=1695259539&amp;sr=8-5")</f>
        <v>https://www.amazon.com/Studio-Fix-Powder-Foundation-NC42/dp/B0041PKZD2/ref=sr_1_5?keywords=MAC+studio+fix+powder+plus+foundation+-+nc15+-15g%2F0.52oz&amp;qid=1695259539&amp;sr=8-5</v>
      </c>
      <c r="F2610" t="s">
        <v>6412</v>
      </c>
      <c r="G2610" t="e">
        <f ca="1">IMAGE("https://prolisok-store.com/cdn/shop/products/347384_300x.jpg?v=1690393863")</f>
        <v>#NAME?</v>
      </c>
      <c r="H2610" t="e">
        <f ca="1">IMAGE("https://m.media-amazon.com/images/I/51pDclA0qHL._AC_UL320_.jpg")</f>
        <v>#NAME?</v>
      </c>
      <c r="I2610" t="s">
        <v>6111</v>
      </c>
      <c r="J2610">
        <v>31.42</v>
      </c>
      <c r="K2610" s="2" t="s">
        <v>6413</v>
      </c>
      <c r="L2610">
        <v>4.5999999999999996</v>
      </c>
      <c r="M2610">
        <v>420</v>
      </c>
      <c r="O2610" t="s">
        <v>26</v>
      </c>
      <c r="P2610" t="s">
        <v>39</v>
      </c>
      <c r="Q2610" t="s">
        <v>6113</v>
      </c>
    </row>
    <row r="2611" spans="1:17" ht="15.75" x14ac:dyDescent="0.25">
      <c r="A2611" s="3" t="str">
        <f>HYPERLINK("https://prolisok-store.com/collections/makeup/products/mac-studio-fix-soft-matte-foundation-stick-nc38-9g-0-32oz", "https://prolisok-store.com/collections/makeup/products/mac-studio-fix-soft-matte-foundation-stick-nc38-9g-0-32oz")</f>
        <v>https://prolisok-store.com/collections/makeup/products/mac-studio-fix-soft-matte-foundation-stick-nc38-9g-0-32oz</v>
      </c>
      <c r="B2611" s="3" t="str">
        <f>HYPERLINK("https://prolisok-store.com/products/mac-studio-fix-soft-matte-foundation-stick-nc38-9g-0-32oz", "https://prolisok-store.com/products/mac-studio-fix-soft-matte-foundation-stick-nc38-9g-0-32oz")</f>
        <v>https://prolisok-store.com/products/mac-studio-fix-soft-matte-foundation-stick-nc38-9g-0-32oz</v>
      </c>
      <c r="C2611" t="s">
        <v>6023</v>
      </c>
      <c r="D2611" t="s">
        <v>6414</v>
      </c>
      <c r="E2611" s="3" t="str">
        <f>HYPERLINK("https://www.amazon.com/Studio-Soft-Matte-Foundation-Stick/dp/B093VXZ1B2/ref=sr_1_7?keywords=MAC+studio+fix+soft+matte+foundation+stick+-+nc38+-9g%2F0.32oz&amp;qid=1695259545&amp;sr=8-7", "https://www.amazon.com/Studio-Soft-Matte-Foundation-Stick/dp/B093VXZ1B2/ref=sr_1_7?keywords=MAC+studio+fix+soft+matte+foundation+stick+-+nc38+-9g%2F0.32oz&amp;qid=1695259545&amp;sr=8-7")</f>
        <v>https://www.amazon.com/Studio-Soft-Matte-Foundation-Stick/dp/B093VXZ1B2/ref=sr_1_7?keywords=MAC+studio+fix+soft+matte+foundation+stick+-+nc38+-9g%2F0.32oz&amp;qid=1695259545&amp;sr=8-7</v>
      </c>
      <c r="F2611" t="s">
        <v>6415</v>
      </c>
      <c r="G2611" t="e">
        <f ca="1">IMAGE("https://prolisok-store.com/cdn/shop/products/360243_300x.jpg?v=1690393874")</f>
        <v>#NAME?</v>
      </c>
      <c r="H2611" t="e">
        <f t="shared" ref="H2611:H2617" ca="1" si="34">IMAGE("https://m.media-amazon.com/images/I/21XweJYSmDS._AC_UL320_.jpg")</f>
        <v>#NAME?</v>
      </c>
      <c r="I2611" t="s">
        <v>6020</v>
      </c>
      <c r="J2611">
        <v>28.99</v>
      </c>
      <c r="K2611" s="2" t="s">
        <v>6416</v>
      </c>
      <c r="L2611">
        <v>4.7</v>
      </c>
      <c r="M2611">
        <v>7</v>
      </c>
      <c r="O2611" t="s">
        <v>26</v>
      </c>
      <c r="P2611" t="s">
        <v>39</v>
      </c>
      <c r="Q2611" t="s">
        <v>6024</v>
      </c>
    </row>
    <row r="2612" spans="1:17" ht="15.75" x14ac:dyDescent="0.25">
      <c r="A2612" s="3" t="str">
        <f>HYPERLINK("https://prolisok-store.com/collections/makeup/products/mac-studio-fix-soft-matte-foundation-stick-nw13-9g-0-32oz", "https://prolisok-store.com/collections/makeup/products/mac-studio-fix-soft-matte-foundation-stick-nw13-9g-0-32oz")</f>
        <v>https://prolisok-store.com/collections/makeup/products/mac-studio-fix-soft-matte-foundation-stick-nw13-9g-0-32oz</v>
      </c>
      <c r="B2612" s="3" t="str">
        <f>HYPERLINK("https://prolisok-store.com/products/mac-studio-fix-soft-matte-foundation-stick-nw13-9g-0-32oz", "https://prolisok-store.com/products/mac-studio-fix-soft-matte-foundation-stick-nw13-9g-0-32oz")</f>
        <v>https://prolisok-store.com/products/mac-studio-fix-soft-matte-foundation-stick-nw13-9g-0-32oz</v>
      </c>
      <c r="C2612" t="s">
        <v>6017</v>
      </c>
      <c r="D2612" t="s">
        <v>6414</v>
      </c>
      <c r="E2612" s="3" t="str">
        <f>HYPERLINK("https://www.amazon.com/Studio-Soft-Matte-Foundation-Stick/dp/B093VXZ1B2/ref=sr_1_1?keywords=MAC+studio+fix+soft+matte+foundation+stick+-+nw13+-9g%2F0.32oz&amp;qid=1695259544&amp;sr=8-1", "https://www.amazon.com/Studio-Soft-Matte-Foundation-Stick/dp/B093VXZ1B2/ref=sr_1_1?keywords=MAC+studio+fix+soft+matte+foundation+stick+-+nw13+-9g%2F0.32oz&amp;qid=1695259544&amp;sr=8-1")</f>
        <v>https://www.amazon.com/Studio-Soft-Matte-Foundation-Stick/dp/B093VXZ1B2/ref=sr_1_1?keywords=MAC+studio+fix+soft+matte+foundation+stick+-+nw13+-9g%2F0.32oz&amp;qid=1695259544&amp;sr=8-1</v>
      </c>
      <c r="F2612" t="s">
        <v>6415</v>
      </c>
      <c r="G2612" t="e">
        <f ca="1">IMAGE("https://prolisok-store.com/cdn/shop/products/409455_300x.jpg?v=1690393877")</f>
        <v>#NAME?</v>
      </c>
      <c r="H2612" t="e">
        <f t="shared" ca="1" si="34"/>
        <v>#NAME?</v>
      </c>
      <c r="I2612" t="s">
        <v>6020</v>
      </c>
      <c r="J2612">
        <v>28.99</v>
      </c>
      <c r="K2612" s="2" t="s">
        <v>6416</v>
      </c>
      <c r="L2612">
        <v>4.7</v>
      </c>
      <c r="M2612">
        <v>7</v>
      </c>
      <c r="O2612" t="s">
        <v>26</v>
      </c>
      <c r="P2612" t="s">
        <v>39</v>
      </c>
      <c r="Q2612" t="s">
        <v>6022</v>
      </c>
    </row>
    <row r="2613" spans="1:17" ht="15.75" x14ac:dyDescent="0.25">
      <c r="A2613" s="3" t="str">
        <f>HYPERLINK("https://prolisok-store.com/collections/makeup/products/mac-studio-fix-soft-matte-foundation-stick-nw22-9g-0-32oz", "https://prolisok-store.com/collections/makeup/products/mac-studio-fix-soft-matte-foundation-stick-nw22-9g-0-32oz")</f>
        <v>https://prolisok-store.com/collections/makeup/products/mac-studio-fix-soft-matte-foundation-stick-nw22-9g-0-32oz</v>
      </c>
      <c r="B2613" s="3" t="str">
        <f>HYPERLINK("https://prolisok-store.com/products/mac-studio-fix-soft-matte-foundation-stick-nw22-9g-0-32oz", "https://prolisok-store.com/products/mac-studio-fix-soft-matte-foundation-stick-nw22-9g-0-32oz")</f>
        <v>https://prolisok-store.com/products/mac-studio-fix-soft-matte-foundation-stick-nw22-9g-0-32oz</v>
      </c>
      <c r="C2613" t="s">
        <v>6027</v>
      </c>
      <c r="D2613" t="s">
        <v>6414</v>
      </c>
      <c r="E2613" s="3" t="str">
        <f>HYPERLINK("https://www.amazon.com/Studio-Soft-Matte-Foundation-Stick/dp/B093VXZ1B2/ref=sr_1_6?keywords=MAC+studio+fix+soft+matte+foundation+stick+-+nw22+-9g%2F0.32oz&amp;qid=1695259534&amp;sr=8-6", "https://www.amazon.com/Studio-Soft-Matte-Foundation-Stick/dp/B093VXZ1B2/ref=sr_1_6?keywords=MAC+studio+fix+soft+matte+foundation+stick+-+nw22+-9g%2F0.32oz&amp;qid=1695259534&amp;sr=8-6")</f>
        <v>https://www.amazon.com/Studio-Soft-Matte-Foundation-Stick/dp/B093VXZ1B2/ref=sr_1_6?keywords=MAC+studio+fix+soft+matte+foundation+stick+-+nw22+-9g%2F0.32oz&amp;qid=1695259534&amp;sr=8-6</v>
      </c>
      <c r="F2613" t="s">
        <v>6415</v>
      </c>
      <c r="G2613" t="e">
        <f ca="1">IMAGE("https://prolisok-store.com/cdn/shop/products/360234_300x.jpg?v=1690393881")</f>
        <v>#NAME?</v>
      </c>
      <c r="H2613" t="e">
        <f t="shared" ca="1" si="34"/>
        <v>#NAME?</v>
      </c>
      <c r="I2613" t="s">
        <v>6020</v>
      </c>
      <c r="J2613">
        <v>28.99</v>
      </c>
      <c r="K2613" s="2" t="s">
        <v>6416</v>
      </c>
      <c r="L2613">
        <v>4.7</v>
      </c>
      <c r="M2613">
        <v>7</v>
      </c>
      <c r="O2613" t="s">
        <v>26</v>
      </c>
      <c r="P2613" t="s">
        <v>39</v>
      </c>
      <c r="Q2613" t="s">
        <v>6028</v>
      </c>
    </row>
    <row r="2614" spans="1:17" ht="15.75" x14ac:dyDescent="0.25">
      <c r="A2614" s="3" t="str">
        <f>HYPERLINK("https://prolisok-store.com/collections/makeup/products/mac-studio-fix-soft-matte-foundation-stick-nc35-9g-0-32oz", "https://prolisok-store.com/collections/makeup/products/mac-studio-fix-soft-matte-foundation-stick-nc35-9g-0-32oz")</f>
        <v>https://prolisok-store.com/collections/makeup/products/mac-studio-fix-soft-matte-foundation-stick-nc35-9g-0-32oz</v>
      </c>
      <c r="B2614" s="3" t="str">
        <f>HYPERLINK("https://prolisok-store.com/products/mac-studio-fix-soft-matte-foundation-stick-nc35-9g-0-32oz", "https://prolisok-store.com/products/mac-studio-fix-soft-matte-foundation-stick-nc35-9g-0-32oz")</f>
        <v>https://prolisok-store.com/products/mac-studio-fix-soft-matte-foundation-stick-nc35-9g-0-32oz</v>
      </c>
      <c r="C2614" t="s">
        <v>6031</v>
      </c>
      <c r="D2614" t="s">
        <v>6414</v>
      </c>
      <c r="E2614" s="3" t="str">
        <f>HYPERLINK("https://www.amazon.com/Studio-Soft-Matte-Foundation-Stick/dp/B093VXZ1B2/ref=sr_1_5?keywords=MAC+studio+fix+soft+matte+foundation+stick+-+nc35+-9g%2F0.32oz&amp;qid=1695259534&amp;sr=8-5", "https://www.amazon.com/Studio-Soft-Matte-Foundation-Stick/dp/B093VXZ1B2/ref=sr_1_5?keywords=MAC+studio+fix+soft+matte+foundation+stick+-+nc35+-9g%2F0.32oz&amp;qid=1695259534&amp;sr=8-5")</f>
        <v>https://www.amazon.com/Studio-Soft-Matte-Foundation-Stick/dp/B093VXZ1B2/ref=sr_1_5?keywords=MAC+studio+fix+soft+matte+foundation+stick+-+nc35+-9g%2F0.32oz&amp;qid=1695259534&amp;sr=8-5</v>
      </c>
      <c r="F2614" t="s">
        <v>6415</v>
      </c>
      <c r="G2614" t="e">
        <f ca="1">IMAGE("https://prolisok-store.com/cdn/shop/products/360244_300x.jpg?v=1690393870")</f>
        <v>#NAME?</v>
      </c>
      <c r="H2614" t="e">
        <f t="shared" ca="1" si="34"/>
        <v>#NAME?</v>
      </c>
      <c r="I2614" t="s">
        <v>6020</v>
      </c>
      <c r="J2614">
        <v>28.99</v>
      </c>
      <c r="K2614" s="2" t="s">
        <v>6416</v>
      </c>
      <c r="L2614">
        <v>4.7</v>
      </c>
      <c r="M2614">
        <v>7</v>
      </c>
      <c r="O2614" t="s">
        <v>26</v>
      </c>
      <c r="P2614" t="s">
        <v>39</v>
      </c>
      <c r="Q2614" t="s">
        <v>6032</v>
      </c>
    </row>
    <row r="2615" spans="1:17" ht="15.75" x14ac:dyDescent="0.25">
      <c r="A2615" s="3" t="str">
        <f>HYPERLINK("https://prolisok-store.com/collections/makeup/products/mac-studio-fix-soft-matte-foundation-stick-nc37-9g-0-32oz", "https://prolisok-store.com/collections/makeup/products/mac-studio-fix-soft-matte-foundation-stick-nc37-9g-0-32oz")</f>
        <v>https://prolisok-store.com/collections/makeup/products/mac-studio-fix-soft-matte-foundation-stick-nc37-9g-0-32oz</v>
      </c>
      <c r="B2615" s="3" t="str">
        <f>HYPERLINK("https://prolisok-store.com/products/mac-studio-fix-soft-matte-foundation-stick-nc37-9g-0-32oz", "https://prolisok-store.com/products/mac-studio-fix-soft-matte-foundation-stick-nc37-9g-0-32oz")</f>
        <v>https://prolisok-store.com/products/mac-studio-fix-soft-matte-foundation-stick-nc37-9g-0-32oz</v>
      </c>
      <c r="C2615" t="s">
        <v>6033</v>
      </c>
      <c r="D2615" t="s">
        <v>6414</v>
      </c>
      <c r="E2615" s="3" t="str">
        <f>HYPERLINK("https://www.amazon.com/Studio-Soft-Matte-Foundation-Stick/dp/B093VXZ1B2/ref=sr_1_6?keywords=MAC+studio+fix+soft+matte+foundation+stick+-+nc37+-9g%2F0.32oz&amp;qid=1695259534&amp;sr=8-6", "https://www.amazon.com/Studio-Soft-Matte-Foundation-Stick/dp/B093VXZ1B2/ref=sr_1_6?keywords=MAC+studio+fix+soft+matte+foundation+stick+-+nc37+-9g%2F0.32oz&amp;qid=1695259534&amp;sr=8-6")</f>
        <v>https://www.amazon.com/Studio-Soft-Matte-Foundation-Stick/dp/B093VXZ1B2/ref=sr_1_6?keywords=MAC+studio+fix+soft+matte+foundation+stick+-+nc37+-9g%2F0.32oz&amp;qid=1695259534&amp;sr=8-6</v>
      </c>
      <c r="F2615" t="s">
        <v>6415</v>
      </c>
      <c r="G2615" t="e">
        <f ca="1">IMAGE("https://prolisok-store.com/cdn/shop/products/375188_300x.jpg?v=1690393872")</f>
        <v>#NAME?</v>
      </c>
      <c r="H2615" t="e">
        <f t="shared" ca="1" si="34"/>
        <v>#NAME?</v>
      </c>
      <c r="I2615" t="s">
        <v>6020</v>
      </c>
      <c r="J2615">
        <v>28.99</v>
      </c>
      <c r="K2615" s="2" t="s">
        <v>6416</v>
      </c>
      <c r="L2615">
        <v>4.7</v>
      </c>
      <c r="M2615">
        <v>7</v>
      </c>
      <c r="O2615" t="s">
        <v>26</v>
      </c>
      <c r="P2615" t="s">
        <v>39</v>
      </c>
      <c r="Q2615" t="s">
        <v>6034</v>
      </c>
    </row>
    <row r="2616" spans="1:17" ht="15.75" x14ac:dyDescent="0.25">
      <c r="A2616" s="3" t="str">
        <f>HYPERLINK("https://prolisok-store.com/collections/makeup/products/mac-studio-fix-soft-matte-foundation-stick-nw30-9g-0-32oz", "https://prolisok-store.com/collections/makeup/products/mac-studio-fix-soft-matte-foundation-stick-nw30-9g-0-32oz")</f>
        <v>https://prolisok-store.com/collections/makeup/products/mac-studio-fix-soft-matte-foundation-stick-nw30-9g-0-32oz</v>
      </c>
      <c r="B2616" s="3" t="str">
        <f>HYPERLINK("https://prolisok-store.com/products/mac-studio-fix-soft-matte-foundation-stick-nw30-9g-0-32oz", "https://prolisok-store.com/products/mac-studio-fix-soft-matte-foundation-stick-nw30-9g-0-32oz")</f>
        <v>https://prolisok-store.com/products/mac-studio-fix-soft-matte-foundation-stick-nw30-9g-0-32oz</v>
      </c>
      <c r="C2616" t="s">
        <v>6029</v>
      </c>
      <c r="D2616" t="s">
        <v>6414</v>
      </c>
      <c r="E2616" s="3" t="str">
        <f>HYPERLINK("https://www.amazon.com/Studio-Soft-Matte-Foundation-Stick/dp/B093VXZ1B2/ref=sr_1_5?keywords=MAC+studio+fix+soft+matte+foundation+stick+-+nw30+-9g%2F0.32oz&amp;qid=1695259539&amp;sr=8-5", "https://www.amazon.com/Studio-Soft-Matte-Foundation-Stick/dp/B093VXZ1B2/ref=sr_1_5?keywords=MAC+studio+fix+soft+matte+foundation+stick+-+nw30+-9g%2F0.32oz&amp;qid=1695259539&amp;sr=8-5")</f>
        <v>https://www.amazon.com/Studio-Soft-Matte-Foundation-Stick/dp/B093VXZ1B2/ref=sr_1_5?keywords=MAC+studio+fix+soft+matte+foundation+stick+-+nw30+-9g%2F0.32oz&amp;qid=1695259539&amp;sr=8-5</v>
      </c>
      <c r="F2616" t="s">
        <v>6415</v>
      </c>
      <c r="G2616" t="e">
        <f ca="1">IMAGE("https://prolisok-store.com/cdn/shop/products/409458_300x.jpg?v=1690393883")</f>
        <v>#NAME?</v>
      </c>
      <c r="H2616" t="e">
        <f t="shared" ca="1" si="34"/>
        <v>#NAME?</v>
      </c>
      <c r="I2616" t="s">
        <v>6020</v>
      </c>
      <c r="J2616">
        <v>28.99</v>
      </c>
      <c r="K2616" s="2" t="s">
        <v>6416</v>
      </c>
      <c r="L2616">
        <v>4.7</v>
      </c>
      <c r="M2616">
        <v>7</v>
      </c>
      <c r="O2616" t="s">
        <v>26</v>
      </c>
      <c r="P2616" t="s">
        <v>39</v>
      </c>
      <c r="Q2616" t="s">
        <v>6030</v>
      </c>
    </row>
    <row r="2617" spans="1:17" ht="15.75" x14ac:dyDescent="0.25">
      <c r="A2617" s="3" t="str">
        <f>HYPERLINK("https://prolisok-store.com/collections/makeup/products/mac-studio-fix-soft-matte-foundation-stick-nw18-9g-0-32oz", "https://prolisok-store.com/collections/makeup/products/mac-studio-fix-soft-matte-foundation-stick-nw18-9g-0-32oz")</f>
        <v>https://prolisok-store.com/collections/makeup/products/mac-studio-fix-soft-matte-foundation-stick-nw18-9g-0-32oz</v>
      </c>
      <c r="B2617" s="3" t="str">
        <f>HYPERLINK("https://prolisok-store.com/products/mac-studio-fix-soft-matte-foundation-stick-nw18-9g-0-32oz", "https://prolisok-store.com/products/mac-studio-fix-soft-matte-foundation-stick-nw18-9g-0-32oz")</f>
        <v>https://prolisok-store.com/products/mac-studio-fix-soft-matte-foundation-stick-nw18-9g-0-32oz</v>
      </c>
      <c r="C2617" t="s">
        <v>6025</v>
      </c>
      <c r="D2617" t="s">
        <v>6414</v>
      </c>
      <c r="E2617" s="3" t="str">
        <f>HYPERLINK("https://www.amazon.com/Studio-Soft-Matte-Foundation-Stick/dp/B093VXZ1B2/ref=sr_1_5?keywords=MAC+studio+fix+soft+matte+foundation+stick+-+nw18+-9g%2F0.32oz&amp;qid=1695259543&amp;sr=8-5", "https://www.amazon.com/Studio-Soft-Matte-Foundation-Stick/dp/B093VXZ1B2/ref=sr_1_5?keywords=MAC+studio+fix+soft+matte+foundation+stick+-+nw18+-9g%2F0.32oz&amp;qid=1695259543&amp;sr=8-5")</f>
        <v>https://www.amazon.com/Studio-Soft-Matte-Foundation-Stick/dp/B093VXZ1B2/ref=sr_1_5?keywords=MAC+studio+fix+soft+matte+foundation+stick+-+nw18+-9g%2F0.32oz&amp;qid=1695259543&amp;sr=8-5</v>
      </c>
      <c r="F2617" t="s">
        <v>6415</v>
      </c>
      <c r="G2617" t="e">
        <f ca="1">IMAGE("https://prolisok-store.com/cdn/shop/products/360235_300x.jpg?v=1690393879")</f>
        <v>#NAME?</v>
      </c>
      <c r="H2617" t="e">
        <f t="shared" ca="1" si="34"/>
        <v>#NAME?</v>
      </c>
      <c r="I2617" t="s">
        <v>6020</v>
      </c>
      <c r="J2617">
        <v>28.99</v>
      </c>
      <c r="K2617" s="2" t="s">
        <v>6416</v>
      </c>
      <c r="L2617">
        <v>4.7</v>
      </c>
      <c r="M2617">
        <v>7</v>
      </c>
      <c r="O2617" t="s">
        <v>26</v>
      </c>
      <c r="P2617" t="s">
        <v>39</v>
      </c>
      <c r="Q2617" t="s">
        <v>6026</v>
      </c>
    </row>
    <row r="2618" spans="1:17" ht="15.75" x14ac:dyDescent="0.25">
      <c r="A2618" s="3" t="str">
        <f>HYPERLINK("https://prolisok-store.com/collections/makeup/products/mac-lipstick-mocha-satin-3g-0-1oz", "https://prolisok-store.com/collections/makeup/products/mac-lipstick-mocha-satin-3g-0-1oz")</f>
        <v>https://prolisok-store.com/collections/makeup/products/mac-lipstick-mocha-satin-3g-0-1oz</v>
      </c>
      <c r="B2618" s="3" t="str">
        <f>HYPERLINK("https://prolisok-store.com/products/mac-lipstick-mocha-satin-3g-0-1oz", "https://prolisok-store.com/products/mac-lipstick-mocha-satin-3g-0-1oz")</f>
        <v>https://prolisok-store.com/products/mac-lipstick-mocha-satin-3g-0-1oz</v>
      </c>
      <c r="C2618" t="s">
        <v>6417</v>
      </c>
      <c r="D2618" t="s">
        <v>6418</v>
      </c>
      <c r="E2618" s="3" t="str">
        <f>HYPERLINK("https://www.amazon.com/Mac-Satin-Lipstick-MOCHA-0-1/dp/B00908K760/ref=sr_1_1?keywords=MAC+lipstick+-+mocha+%28satin%29+-3g%2F0.1oz&amp;qid=1695259545&amp;sr=8-1", "https://www.amazon.com/Mac-Satin-Lipstick-MOCHA-0-1/dp/B00908K760/ref=sr_1_1?keywords=MAC+lipstick+-+mocha+%28satin%29+-3g%2F0.1oz&amp;qid=1695259545&amp;sr=8-1")</f>
        <v>https://www.amazon.com/Mac-Satin-Lipstick-MOCHA-0-1/dp/B00908K760/ref=sr_1_1?keywords=MAC+lipstick+-+mocha+%28satin%29+-3g%2F0.1oz&amp;qid=1695259545&amp;sr=8-1</v>
      </c>
      <c r="F2618" t="s">
        <v>6419</v>
      </c>
      <c r="G2618" t="e">
        <f ca="1">IMAGE("https://prolisok-store.com/cdn/shop/products/346053_300x.jpg?v=1690393859")</f>
        <v>#NAME?</v>
      </c>
      <c r="H2618" t="e">
        <f ca="1">IMAGE("https://m.media-amazon.com/images/I/516GwBPZd7L._AC_UL320_.jpg")</f>
        <v>#NAME?</v>
      </c>
      <c r="I2618" t="s">
        <v>6094</v>
      </c>
      <c r="J2618">
        <v>22.78</v>
      </c>
      <c r="K2618" s="2" t="s">
        <v>6420</v>
      </c>
      <c r="L2618">
        <v>4.3</v>
      </c>
      <c r="M2618">
        <v>16</v>
      </c>
      <c r="O2618" t="s">
        <v>26</v>
      </c>
      <c r="P2618" t="s">
        <v>39</v>
      </c>
      <c r="Q2618" t="s">
        <v>6421</v>
      </c>
    </row>
    <row r="2619" spans="1:17" ht="15.75" x14ac:dyDescent="0.25">
      <c r="A2619" s="3" t="str">
        <f>HYPERLINK("https://prolisok-store.com/collections/makeup/products/sisley-phyto-teint-nude-water-infused-second-skin-foundation-00n-pearl-30ml-1oz", "https://prolisok-store.com/collections/makeup/products/sisley-phyto-teint-nude-water-infused-second-skin-foundation-00n-pearl-30ml-1oz")</f>
        <v>https://prolisok-store.com/collections/makeup/products/sisley-phyto-teint-nude-water-infused-second-skin-foundation-00n-pearl-30ml-1oz</v>
      </c>
      <c r="B2619" s="3" t="str">
        <f>HYPERLINK("https://prolisok-store.com/products/sisley-phyto-teint-nude-water-infused-second-skin-foundation-00n-pearl-30ml-1oz", "https://prolisok-store.com/products/sisley-phyto-teint-nude-water-infused-second-skin-foundation-00n-pearl-30ml-1oz")</f>
        <v>https://prolisok-store.com/products/sisley-phyto-teint-nude-water-infused-second-skin-foundation-00n-pearl-30ml-1oz</v>
      </c>
      <c r="C2619" t="s">
        <v>6188</v>
      </c>
      <c r="D2619" t="s">
        <v>6375</v>
      </c>
      <c r="E2619" s="3" t="str">
        <f>HYPERLINK("https://www.amazon.com/Sisley-Phyto-Infused-Second-Foundation/dp/B09MZ82V4B/ref=sr_1_2?keywords=Sisley+phyto+teint+nude+water+infused+second+skin+foundation+-&amp;qid=1695259499&amp;sr=8-2", "https://www.amazon.com/Sisley-Phyto-Infused-Second-Foundation/dp/B09MZ82V4B/ref=sr_1_2?keywords=Sisley+phyto+teint+nude+water+infused+second+skin+foundation+-&amp;qid=1695259499&amp;sr=8-2")</f>
        <v>https://www.amazon.com/Sisley-Phyto-Infused-Second-Foundation/dp/B09MZ82V4B/ref=sr_1_2?keywords=Sisley+phyto+teint+nude+water+infused+second+skin+foundation+-&amp;qid=1695259499&amp;sr=8-2</v>
      </c>
      <c r="F2619" t="s">
        <v>6376</v>
      </c>
      <c r="G2619" t="e">
        <f ca="1">IMAGE("https://prolisok-store.com/cdn/shop/products/424056_300x.jpg?v=1690900607")</f>
        <v>#NAME?</v>
      </c>
      <c r="H2619" t="e">
        <f ca="1">IMAGE("https://m.media-amazon.com/images/I/41HQbfmUXcL._AC_UL320_.jpg")</f>
        <v>#NAME?</v>
      </c>
      <c r="I2619" t="s">
        <v>6189</v>
      </c>
      <c r="J2619">
        <v>75.959999999999994</v>
      </c>
      <c r="K2619" s="2" t="s">
        <v>6420</v>
      </c>
      <c r="L2619">
        <v>5</v>
      </c>
      <c r="M2619">
        <v>1</v>
      </c>
      <c r="O2619" t="s">
        <v>26</v>
      </c>
      <c r="P2619" t="s">
        <v>39</v>
      </c>
      <c r="Q2619" t="s">
        <v>6191</v>
      </c>
    </row>
    <row r="2620" spans="1:17" ht="15.75" x14ac:dyDescent="0.25">
      <c r="A2620" s="3" t="str">
        <f>HYPERLINK("https://prolisok-store.com/collections/makeup/products/sisley-eye-contour-mask-30ml-1oz", "https://prolisok-store.com/collections/makeup/products/sisley-eye-contour-mask-30ml-1oz")</f>
        <v>https://prolisok-store.com/collections/makeup/products/sisley-eye-contour-mask-30ml-1oz</v>
      </c>
      <c r="B2620" s="3" t="str">
        <f>HYPERLINK("https://prolisok-store.com/products/sisley-eye-contour-mask-30ml-1oz", "https://prolisok-store.com/products/sisley-eye-contour-mask-30ml-1oz")</f>
        <v>https://prolisok-store.com/products/sisley-eye-contour-mask-30ml-1oz</v>
      </c>
      <c r="C2620" t="s">
        <v>6422</v>
      </c>
      <c r="D2620" t="s">
        <v>6423</v>
      </c>
      <c r="E2620" s="3" t="str">
        <f>HYPERLINK("https://www.amazon.com/Sisley-Eye-Contour-Mask-30ml/dp/B00WMZ91WE/ref=sr_1_4?keywords=Sisley+eye+contour+mask+30ml%2F1oz&amp;qid=1695259531&amp;sr=8-4", "https://www.amazon.com/Sisley-Eye-Contour-Mask-30ml/dp/B00WMZ91WE/ref=sr_1_4?keywords=Sisley+eye+contour+mask+30ml%2F1oz&amp;qid=1695259531&amp;sr=8-4")</f>
        <v>https://www.amazon.com/Sisley-Eye-Contour-Mask-30ml/dp/B00WMZ91WE/ref=sr_1_4?keywords=Sisley+eye+contour+mask+30ml%2F1oz&amp;qid=1695259531&amp;sr=8-4</v>
      </c>
      <c r="F2620" t="s">
        <v>6424</v>
      </c>
      <c r="G2620" t="e">
        <f ca="1">IMAGE("https://prolisok-store.com/cdn/shop/products/157475_300x.jpg?v=1690900915")</f>
        <v>#NAME?</v>
      </c>
      <c r="H2620" t="e">
        <f ca="1">IMAGE("https://m.media-amazon.com/images/I/61mdCYo+2nL._AC_UL320_.jpg")</f>
        <v>#NAME?</v>
      </c>
      <c r="I2620" t="s">
        <v>6425</v>
      </c>
      <c r="J2620">
        <v>123.74</v>
      </c>
      <c r="K2620" s="2" t="s">
        <v>6426</v>
      </c>
      <c r="L2620">
        <v>5</v>
      </c>
      <c r="M2620">
        <v>1</v>
      </c>
      <c r="O2620" t="s">
        <v>26</v>
      </c>
      <c r="P2620" t="s">
        <v>39</v>
      </c>
      <c r="Q2620" t="s">
        <v>6427</v>
      </c>
    </row>
    <row r="2621" spans="1:17" ht="15.75" x14ac:dyDescent="0.25">
      <c r="A2621" s="3" t="str">
        <f>HYPERLINK("https://prolisok-store.com/collections/makeup/products/sisley-phyto-teint-ultra-eclat-00-swan-30ml-1oz", "https://prolisok-store.com/collections/makeup/products/sisley-phyto-teint-ultra-eclat-00-swan-30ml-1oz")</f>
        <v>https://prolisok-store.com/collections/makeup/products/sisley-phyto-teint-ultra-eclat-00-swan-30ml-1oz</v>
      </c>
      <c r="B2621" s="3" t="str">
        <f>HYPERLINK("https://prolisok-store.com/products/sisley-phyto-teint-ultra-eclat-00-swan-30ml-1oz", "https://prolisok-store.com/products/sisley-phyto-teint-ultra-eclat-00-swan-30ml-1oz")</f>
        <v>https://prolisok-store.com/products/sisley-phyto-teint-ultra-eclat-00-swan-30ml-1oz</v>
      </c>
      <c r="C2621" t="s">
        <v>6295</v>
      </c>
      <c r="D2621" t="s">
        <v>6381</v>
      </c>
      <c r="E2621" s="3" t="str">
        <f>HYPERLINK("https://www.amazon.com/Sisley-Phyto-Teint-Ultra-Lasting-Foundation/dp/B07XC3GWRZ/ref=sr_1_4?keywords=Sisley+phyto+teint+ultra+eclat&amp;qid=1695259500&amp;sr=8-4", "https://www.amazon.com/Sisley-Phyto-Teint-Ultra-Lasting-Foundation/dp/B07XC3GWRZ/ref=sr_1_4?keywords=Sisley+phyto+teint+ultra+eclat&amp;qid=1695259500&amp;sr=8-4")</f>
        <v>https://www.amazon.com/Sisley-Phyto-Teint-Ultra-Lasting-Foundation/dp/B07XC3GWRZ/ref=sr_1_4?keywords=Sisley+phyto+teint+ultra+eclat&amp;qid=1695259500&amp;sr=8-4</v>
      </c>
      <c r="F2621" t="s">
        <v>6382</v>
      </c>
      <c r="G2621" t="e">
        <f ca="1">IMAGE("https://prolisok-store.com/cdn/shop/products/395002_300x.jpg?v=1690900695")</f>
        <v>#NAME?</v>
      </c>
      <c r="H2621" t="e">
        <f ca="1">IMAGE("https://m.media-amazon.com/images/I/512AlONMp6L._AC_UL320_.jpg")</f>
        <v>#NAME?</v>
      </c>
      <c r="I2621" t="s">
        <v>6189</v>
      </c>
      <c r="J2621">
        <v>75.680000000000007</v>
      </c>
      <c r="K2621" s="2" t="s">
        <v>6428</v>
      </c>
      <c r="L2621">
        <v>4.4000000000000004</v>
      </c>
      <c r="M2621">
        <v>10</v>
      </c>
      <c r="O2621" t="s">
        <v>26</v>
      </c>
      <c r="P2621" t="s">
        <v>39</v>
      </c>
      <c r="Q2621" t="s">
        <v>6297</v>
      </c>
    </row>
    <row r="2622" spans="1:17" ht="15.75" x14ac:dyDescent="0.25">
      <c r="A2622" s="3" t="str">
        <f>HYPERLINK("https://prolisok-store.com/collections/makeup/products/estee-lauder-double-wear-stay-in-place-makeup-spf-10-5w1-bronze-30ml-1oz", "https://prolisok-store.com/collections/makeup/products/estee-lauder-double-wear-stay-in-place-makeup-spf-10-5w1-bronze-30ml-1oz")</f>
        <v>https://prolisok-store.com/collections/makeup/products/estee-lauder-double-wear-stay-in-place-makeup-spf-10-5w1-bronze-30ml-1oz</v>
      </c>
      <c r="B2622" s="3" t="str">
        <f>HYPERLINK("https://prolisok-store.com/products/estee-lauder-double-wear-stay-in-place-makeup-spf-10-5w1-bronze-30ml-1oz", "https://prolisok-store.com/products/estee-lauder-double-wear-stay-in-place-makeup-spf-10-5w1-bronze-30ml-1oz")</f>
        <v>https://prolisok-store.com/products/estee-lauder-double-wear-stay-in-place-makeup-spf-10-5w1-bronze-30ml-1oz</v>
      </c>
      <c r="C2622" t="s">
        <v>6320</v>
      </c>
      <c r="D2622" t="s">
        <v>6429</v>
      </c>
      <c r="E2622" s="3" t="str">
        <f>HYPERLINK("https://www.amazon.com/Estee-Lauder-Flawless-Foundation-Waterproof/dp/B001JZ1XK6/ref=sr_1_6?keywords=Estee+Lauder+double+wear+stay+in+place+makeup+spf+10+-+5w1+bronze+30ml%2F1oz&amp;qid=1695259516&amp;sr=8-6", "https://www.amazon.com/Estee-Lauder-Flawless-Foundation-Waterproof/dp/B001JZ1XK6/ref=sr_1_6?keywords=Estee+Lauder+double+wear+stay+in+place+makeup+spf+10+-+5w1+bronze+30ml%2F1oz&amp;qid=1695259516&amp;sr=8-6")</f>
        <v>https://www.amazon.com/Estee-Lauder-Flawless-Foundation-Waterproof/dp/B001JZ1XK6/ref=sr_1_6?keywords=Estee+Lauder+double+wear+stay+in+place+makeup+spf+10+-+5w1+bronze+30ml%2F1oz&amp;qid=1695259516&amp;sr=8-6</v>
      </c>
      <c r="F2622" t="s">
        <v>6430</v>
      </c>
      <c r="G2622" t="e">
        <f ca="1">IMAGE("https://prolisok-store.com/cdn/shop/products/461989_300x.jpg?v=1690900264")</f>
        <v>#NAME?</v>
      </c>
      <c r="H2622" t="e">
        <f ca="1">IMAGE("https://m.media-amazon.com/images/I/51Dsd-RDPgL._AC_UL320_.jpg")</f>
        <v>#NAME?</v>
      </c>
      <c r="I2622" t="s">
        <v>6323</v>
      </c>
      <c r="J2622">
        <v>39.200000000000003</v>
      </c>
      <c r="K2622" s="2" t="s">
        <v>6431</v>
      </c>
      <c r="L2622">
        <v>4.8</v>
      </c>
      <c r="M2622">
        <v>772</v>
      </c>
      <c r="O2622" t="s">
        <v>26</v>
      </c>
      <c r="P2622" t="s">
        <v>39</v>
      </c>
      <c r="Q2622" t="s">
        <v>6325</v>
      </c>
    </row>
    <row r="2623" spans="1:17" ht="15.75" x14ac:dyDescent="0.25">
      <c r="A2623" s="3" t="str">
        <f>HYPERLINK("https://prolisok-store.com/collections/makeup/products/clinique-by-clinique-high-impact-waterproof-mascara-01-black-8ml-0-28oz", "https://prolisok-store.com/collections/makeup/products/clinique-by-clinique-high-impact-waterproof-mascara-01-black-8ml-0-28oz")</f>
        <v>https://prolisok-store.com/collections/makeup/products/clinique-by-clinique-high-impact-waterproof-mascara-01-black-8ml-0-28oz</v>
      </c>
      <c r="B2623" s="3" t="str">
        <f>HYPERLINK("https://prolisok-store.com/products/clinique-by-clinique-high-impact-waterproof-mascara-01-black-8ml-0-28oz", "https://prolisok-store.com/products/clinique-by-clinique-high-impact-waterproof-mascara-01-black-8ml-0-28oz")</f>
        <v>https://prolisok-store.com/products/clinique-by-clinique-high-impact-waterproof-mascara-01-black-8ml-0-28oz</v>
      </c>
      <c r="C2623" t="s">
        <v>6432</v>
      </c>
      <c r="D2623" t="s">
        <v>6433</v>
      </c>
      <c r="E2623" s="3" t="str">
        <f>HYPERLINK("https://www.amazon.com/Clinique-High-Impact-Waterproof-Mascara/dp/B00CTIR99Q/ref=sr_1_2?keywords=Clinique+High+Impact+Waterproof+Mascara&amp;qid=1695259545&amp;sr=8-2", "https://www.amazon.com/Clinique-High-Impact-Waterproof-Mascara/dp/B00CTIR99Q/ref=sr_1_2?keywords=Clinique+High+Impact+Waterproof+Mascara&amp;qid=1695259545&amp;sr=8-2")</f>
        <v>https://www.amazon.com/Clinique-High-Impact-Waterproof-Mascara/dp/B00CTIR99Q/ref=sr_1_2?keywords=Clinique+High+Impact+Waterproof+Mascara&amp;qid=1695259545&amp;sr=8-2</v>
      </c>
      <c r="F2623" t="s">
        <v>6434</v>
      </c>
      <c r="G2623" t="e">
        <f ca="1">IMAGE("https://prolisok-store.com/cdn/shop/products/237303_300x.jpg?v=1688060515")</f>
        <v>#NAME?</v>
      </c>
      <c r="H2623" t="e">
        <f ca="1">IMAGE("https://m.media-amazon.com/images/I/51aYpKMGjSL._AC_UL320_.jpg")</f>
        <v>#NAME?</v>
      </c>
      <c r="I2623" t="s">
        <v>6049</v>
      </c>
      <c r="J2623">
        <v>21.8</v>
      </c>
      <c r="K2623" s="2" t="s">
        <v>6435</v>
      </c>
      <c r="L2623">
        <v>4.5</v>
      </c>
      <c r="M2623">
        <v>2269</v>
      </c>
      <c r="O2623" t="s">
        <v>26</v>
      </c>
      <c r="P2623" t="s">
        <v>39</v>
      </c>
      <c r="Q2623" t="s">
        <v>6436</v>
      </c>
    </row>
    <row r="2624" spans="1:17" ht="15.75" x14ac:dyDescent="0.25">
      <c r="A2624" s="3" t="str">
        <f>HYPERLINK("https://prolisok-store.com/collections/makeup/products/mac-powder-kiss-lipstick-a-little-tamed-3g-0-1oz", "https://prolisok-store.com/collections/makeup/products/mac-powder-kiss-lipstick-a-little-tamed-3g-0-1oz")</f>
        <v>https://prolisok-store.com/collections/makeup/products/mac-powder-kiss-lipstick-a-little-tamed-3g-0-1oz</v>
      </c>
      <c r="B2624" s="3" t="str">
        <f>HYPERLINK("https://prolisok-store.com/products/mac-powder-kiss-lipstick-a-little-tamed-3g-0-1oz", "https://prolisok-store.com/products/mac-powder-kiss-lipstick-a-little-tamed-3g-0-1oz")</f>
        <v>https://prolisok-store.com/products/mac-powder-kiss-lipstick-a-little-tamed-3g-0-1oz</v>
      </c>
      <c r="C2624" t="s">
        <v>6437</v>
      </c>
      <c r="D2624" t="s">
        <v>6438</v>
      </c>
      <c r="E2624" s="3" t="str">
        <f>HYPERLINK("https://www.amazon.com/MAC-Powder-Lipstick-Little-Tamed/dp/B07HLW4JVK/ref=sr_1_1?keywords=MAC+powder+kiss+lipstick+-+a+little+tamed+-3g%2F0.1oz&amp;qid=1695259553&amp;sr=8-1", "https://www.amazon.com/MAC-Powder-Lipstick-Little-Tamed/dp/B07HLW4JVK/ref=sr_1_1?keywords=MAC+powder+kiss+lipstick+-+a+little+tamed+-3g%2F0.1oz&amp;qid=1695259553&amp;sr=8-1")</f>
        <v>https://www.amazon.com/MAC-Powder-Lipstick-Little-Tamed/dp/B07HLW4JVK/ref=sr_1_1?keywords=MAC+powder+kiss+lipstick+-+a+little+tamed+-3g%2F0.1oz&amp;qid=1695259553&amp;sr=8-1</v>
      </c>
      <c r="F2624" t="s">
        <v>6439</v>
      </c>
      <c r="G2624" t="e">
        <f ca="1">IMAGE("https://prolisok-store.com/cdn/shop/products/348136_300x.jpg?v=1690393896")</f>
        <v>#NAME?</v>
      </c>
      <c r="H2624" t="e">
        <f ca="1">IMAGE("https://m.media-amazon.com/images/I/61zATc6BlDL._AC_UL320_.jpg")</f>
        <v>#NAME?</v>
      </c>
      <c r="I2624" t="s">
        <v>6360</v>
      </c>
      <c r="J2624">
        <v>21</v>
      </c>
      <c r="K2624" s="2" t="s">
        <v>6440</v>
      </c>
      <c r="L2624">
        <v>4.2</v>
      </c>
      <c r="M2624">
        <v>176</v>
      </c>
      <c r="O2624" t="s">
        <v>26</v>
      </c>
      <c r="P2624" t="s">
        <v>39</v>
      </c>
      <c r="Q2624" t="s">
        <v>6441</v>
      </c>
    </row>
    <row r="2625" spans="1:17" ht="15.75" x14ac:dyDescent="0.25">
      <c r="A2625" s="3" t="str">
        <f>HYPERLINK("https://prolisok-store.com/collections/makeup/products/estee-lauder-double-wear-stay-in-place-flawless-wear-concealer-3c-medium-cool-7ml-0-24oz", "https://prolisok-store.com/collections/makeup/products/estee-lauder-double-wear-stay-in-place-flawless-wear-concealer-3c-medium-cool-7ml-0-24oz")</f>
        <v>https://prolisok-store.com/collections/makeup/products/estee-lauder-double-wear-stay-in-place-flawless-wear-concealer-3c-medium-cool-7ml-0-24oz</v>
      </c>
      <c r="B2625" s="3" t="str">
        <f>HYPERLINK("https://prolisok-store.com/products/estee-lauder-double-wear-stay-in-place-flawless-wear-concealer-3c-medium-cool-7ml-0-24oz", "https://prolisok-store.com/products/estee-lauder-double-wear-stay-in-place-flawless-wear-concealer-3c-medium-cool-7ml-0-24oz")</f>
        <v>https://prolisok-store.com/products/estee-lauder-double-wear-stay-in-place-flawless-wear-concealer-3c-medium-cool-7ml-0-24oz</v>
      </c>
      <c r="C2625" t="s">
        <v>6287</v>
      </c>
      <c r="D2625" t="s">
        <v>6442</v>
      </c>
      <c r="E2625" s="3" t="str">
        <f>HYPERLINK("https://www.amazon.com/Estee-Lauder-Double-Flawless-Concealer/dp/B07W68ZCQM/ref=sr_1_4?keywords=Estee+Lauder+double+wear+stay+in+place+flawless+wear+concealer+-&amp;qid=1695259513&amp;sr=8-4", "https://www.amazon.com/Estee-Lauder-Double-Flawless-Concealer/dp/B07W68ZCQM/ref=sr_1_4?keywords=Estee+Lauder+double+wear+stay+in+place+flawless+wear+concealer+-&amp;qid=1695259513&amp;sr=8-4")</f>
        <v>https://www.amazon.com/Estee-Lauder-Double-Flawless-Concealer/dp/B07W68ZCQM/ref=sr_1_4?keywords=Estee+Lauder+double+wear+stay+in+place+flawless+wear+concealer+-&amp;qid=1695259513&amp;sr=8-4</v>
      </c>
      <c r="F2625" t="s">
        <v>6443</v>
      </c>
      <c r="G2625" t="e">
        <f ca="1">IMAGE("https://prolisok-store.com/cdn/shop/products/310678_300x.jpg?v=1690900183")</f>
        <v>#NAME?</v>
      </c>
      <c r="H2625" t="e">
        <f ca="1">IMAGE("https://m.media-amazon.com/images/I/51IYHGlHbXL._AC_UL320_.jpg")</f>
        <v>#NAME?</v>
      </c>
      <c r="I2625" t="s">
        <v>6267</v>
      </c>
      <c r="J2625">
        <v>27.71</v>
      </c>
      <c r="K2625" s="2" t="s">
        <v>6444</v>
      </c>
      <c r="L2625">
        <v>4.0999999999999996</v>
      </c>
      <c r="M2625">
        <v>22</v>
      </c>
      <c r="O2625" t="s">
        <v>26</v>
      </c>
      <c r="P2625" t="s">
        <v>39</v>
      </c>
      <c r="Q2625" t="s">
        <v>6291</v>
      </c>
    </row>
    <row r="2626" spans="1:17" ht="15.75" x14ac:dyDescent="0.25">
      <c r="A2626" s="3" t="str">
        <f>HYPERLINK("https://prolisok-store.com/collections/makeup/products/estee-lauder-double-wear-stay-in-place-flawless-wear-concealer-4n-medium-deep-neutral-7ml-0-24oz", "https://prolisok-store.com/collections/makeup/products/estee-lauder-double-wear-stay-in-place-flawless-wear-concealer-4n-medium-deep-neutral-7ml-0-24oz")</f>
        <v>https://prolisok-store.com/collections/makeup/products/estee-lauder-double-wear-stay-in-place-flawless-wear-concealer-4n-medium-deep-neutral-7ml-0-24oz</v>
      </c>
      <c r="B2626" s="3" t="str">
        <f>HYPERLINK("https://prolisok-store.com/products/estee-lauder-double-wear-stay-in-place-flawless-wear-concealer-4n-medium-deep-neutral-7ml-0-24oz", "https://prolisok-store.com/products/estee-lauder-double-wear-stay-in-place-flawless-wear-concealer-4n-medium-deep-neutral-7ml-0-24oz")</f>
        <v>https://prolisok-store.com/products/estee-lauder-double-wear-stay-in-place-flawless-wear-concealer-4n-medium-deep-neutral-7ml-0-24oz</v>
      </c>
      <c r="C2626" t="s">
        <v>6264</v>
      </c>
      <c r="D2626" t="s">
        <v>6442</v>
      </c>
      <c r="E2626" s="3" t="str">
        <f>HYPERLINK("https://www.amazon.com/Estee-Lauder-Double-Flawless-Concealer/dp/B07W68ZCQM/ref=sr_1_2?keywords=Estee+Lauder+double+wear+stay+in+place+flawless+wear+concealer+-+%23+4n+medium+deep+%28neutral%29+7ml%2F0.24oz&amp;qid=1695259509&amp;sr=8-2", "https://www.amazon.com/Estee-Lauder-Double-Flawless-Concealer/dp/B07W68ZCQM/ref=sr_1_2?keywords=Estee+Lauder+double+wear+stay+in+place+flawless+wear+concealer+-+%23+4n+medium+deep+%28neutral%29+7ml%2F0.24oz&amp;qid=1695259509&amp;sr=8-2")</f>
        <v>https://www.amazon.com/Estee-Lauder-Double-Flawless-Concealer/dp/B07W68ZCQM/ref=sr_1_2?keywords=Estee+Lauder+double+wear+stay+in+place+flawless+wear+concealer+-+%23+4n+medium+deep+%28neutral%29+7ml%2F0.24oz&amp;qid=1695259509&amp;sr=8-2</v>
      </c>
      <c r="F2626" t="s">
        <v>6443</v>
      </c>
      <c r="G2626" t="e">
        <f ca="1">IMAGE("https://prolisok-store.com/cdn/shop/products/329369_300x.jpg?v=1690900175")</f>
        <v>#NAME?</v>
      </c>
      <c r="H2626" t="e">
        <f ca="1">IMAGE("https://m.media-amazon.com/images/I/51IYHGlHbXL._AC_UL320_.jpg")</f>
        <v>#NAME?</v>
      </c>
      <c r="I2626" t="s">
        <v>6267</v>
      </c>
      <c r="J2626">
        <v>27.71</v>
      </c>
      <c r="K2626" s="2" t="s">
        <v>6444</v>
      </c>
      <c r="L2626">
        <v>4.0999999999999996</v>
      </c>
      <c r="M2626">
        <v>22</v>
      </c>
      <c r="O2626" t="s">
        <v>26</v>
      </c>
      <c r="P2626" t="s">
        <v>39</v>
      </c>
      <c r="Q2626" t="s">
        <v>6269</v>
      </c>
    </row>
    <row r="2627" spans="1:17" ht="15.75" x14ac:dyDescent="0.25">
      <c r="A2627"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627" s="3" t="str">
        <f>HYPERLINK("https://prolisok-store.com/products/mac-studio-fix-24-hour-smooth-wear-concealer-nc48-6-8ml-0-23oz", "https://prolisok-store.com/products/mac-studio-fix-24-hour-smooth-wear-concealer-nc48-6-8ml-0-23oz")</f>
        <v>https://prolisok-store.com/products/mac-studio-fix-24-hour-smooth-wear-concealer-nc48-6-8ml-0-23oz</v>
      </c>
      <c r="C2627" t="s">
        <v>6091</v>
      </c>
      <c r="D2627" t="s">
        <v>6445</v>
      </c>
      <c r="E2627" s="3" t="str">
        <f>HYPERLINK("https://www.amazon.com/Studio-24-Hour-Smooth-Wear-Concealer/dp/B07QP366P8/ref=sr_1_3?keywords=MAC+studio+fix+24-hour+smooth+wear+concealer+-+nc48+-6.8ml%2F0.23oz&amp;qid=1695259540&amp;sr=8-3", "https://www.amazon.com/Studio-24-Hour-Smooth-Wear-Concealer/dp/B07QP366P8/ref=sr_1_3?keywords=MAC+studio+fix+24-hour+smooth+wear+concealer+-+nc48+-6.8ml%2F0.23oz&amp;qid=1695259540&amp;sr=8-3")</f>
        <v>https://www.amazon.com/Studio-24-Hour-Smooth-Wear-Concealer/dp/B07QP366P8/ref=sr_1_3?keywords=MAC+studio+fix+24-hour+smooth+wear+concealer+-+nc48+-6.8ml%2F0.23oz&amp;qid=1695259540&amp;sr=8-3</v>
      </c>
      <c r="F2627" t="s">
        <v>6446</v>
      </c>
      <c r="G2627" t="e">
        <f ca="1">IMAGE("https://prolisok-store.com/cdn/shop/products/360310_300x.jpg?v=1690393914")</f>
        <v>#NAME?</v>
      </c>
      <c r="H2627" t="e">
        <f ca="1">IMAGE("https://m.media-amazon.com/images/I/31LhXiObfqL._AC_UL320_.jpg")</f>
        <v>#NAME?</v>
      </c>
      <c r="I2627" t="s">
        <v>6094</v>
      </c>
      <c r="J2627">
        <v>22.32</v>
      </c>
      <c r="K2627" s="2" t="s">
        <v>6447</v>
      </c>
      <c r="L2627">
        <v>5</v>
      </c>
      <c r="M2627">
        <v>7</v>
      </c>
      <c r="O2627" t="s">
        <v>26</v>
      </c>
      <c r="P2627" t="s">
        <v>39</v>
      </c>
      <c r="Q2627" t="s">
        <v>6096</v>
      </c>
    </row>
    <row r="2628" spans="1:17" ht="15.75" x14ac:dyDescent="0.25">
      <c r="A2628" s="3" t="str">
        <f>HYPERLINK("https://prolisok-store.com/collections/makeup/products/sisley-phyto-sourcils-perfect-eyebrow-pencil-with-brush-and-sharpener-no-01-blond-0-55g-0-019oz", "https://prolisok-store.com/collections/makeup/products/sisley-phyto-sourcils-perfect-eyebrow-pencil-with-brush-and-sharpener-no-01-blond-0-55g-0-019oz")</f>
        <v>https://prolisok-store.com/collections/makeup/products/sisley-phyto-sourcils-perfect-eyebrow-pencil-with-brush-and-sharpener-no-01-blond-0-55g-0-019oz</v>
      </c>
      <c r="B2628" s="3" t="str">
        <f>HYPERLINK("https://prolisok-store.com/products/sisley-phyto-sourcils-perfect-eyebrow-pencil-with-brush-and-sharpener-no-01-blond-0-55g-0-019oz", "https://prolisok-store.com/products/sisley-phyto-sourcils-perfect-eyebrow-pencil-with-brush-and-sharpener-no-01-blond-0-55g-0-019oz")</f>
        <v>https://prolisok-store.com/products/sisley-phyto-sourcils-perfect-eyebrow-pencil-with-brush-and-sharpener-no-01-blond-0-55g-0-019oz</v>
      </c>
      <c r="C2628" t="s">
        <v>6448</v>
      </c>
      <c r="D2628" t="s">
        <v>6449</v>
      </c>
      <c r="E2628" s="3" t="str">
        <f>HYPERLINK("https://www.amazon.com/Sisley-Sourcils-Perfect-Eyebrow-Sharpener/dp/B00C4QVV3I/ref=sr_1_2?keywords=Sisley+phyto+sourcils+perfect+eyebrow+pencil+%28with+brush+%26+sharpener%29+-+no.+01+blond+0.55g%2F0.019oz&amp;qid=1695259518&amp;sr=8-2", "https://www.amazon.com/Sisley-Sourcils-Perfect-Eyebrow-Sharpener/dp/B00C4QVV3I/ref=sr_1_2?keywords=Sisley+phyto+sourcils+perfect+eyebrow+pencil+%28with+brush+%26+sharpener%29+-+no.+01+blond+0.55g%2F0.019oz&amp;qid=1695259518&amp;sr=8-2")</f>
        <v>https://www.amazon.com/Sisley-Sourcils-Perfect-Eyebrow-Sharpener/dp/B00C4QVV3I/ref=sr_1_2?keywords=Sisley+phyto+sourcils+perfect+eyebrow+pencil+%28with+brush+%26+sharpener%29+-+no.+01+blond+0.55g%2F0.019oz&amp;qid=1695259518&amp;sr=8-2</v>
      </c>
      <c r="F2628" t="s">
        <v>6450</v>
      </c>
      <c r="G2628" t="e">
        <f ca="1">IMAGE("https://prolisok-store.com/cdn/shop/products/171288_300x.jpg?v=1690900908")</f>
        <v>#NAME?</v>
      </c>
      <c r="H2628" t="e">
        <f ca="1">IMAGE("https://m.media-amazon.com/images/I/213zquwyWxL._AC_UL320_.jpg")</f>
        <v>#NAME?</v>
      </c>
      <c r="I2628" t="s">
        <v>6451</v>
      </c>
      <c r="J2628">
        <v>49.06</v>
      </c>
      <c r="K2628" s="2" t="s">
        <v>6452</v>
      </c>
      <c r="L2628">
        <v>5</v>
      </c>
      <c r="M2628">
        <v>2</v>
      </c>
      <c r="O2628" t="s">
        <v>26</v>
      </c>
      <c r="P2628" t="s">
        <v>39</v>
      </c>
      <c r="Q2628" t="s">
        <v>6453</v>
      </c>
    </row>
    <row r="2629" spans="1:17" ht="15.75" x14ac:dyDescent="0.25">
      <c r="A2629" s="3" t="str">
        <f>HYPERLINK("https://prolisok-store.com/collections/makeup/products/sisley-phyto-sourcils-perfect-eyebrow-pencil-with-brush-and-sharpener-no-03-brun-0-55g-0-019oz", "https://prolisok-store.com/collections/makeup/products/sisley-phyto-sourcils-perfect-eyebrow-pencil-with-brush-and-sharpener-no-03-brun-0-55g-0-019oz")</f>
        <v>https://prolisok-store.com/collections/makeup/products/sisley-phyto-sourcils-perfect-eyebrow-pencil-with-brush-and-sharpener-no-03-brun-0-55g-0-019oz</v>
      </c>
      <c r="B2629" s="3" t="str">
        <f>HYPERLINK("https://prolisok-store.com/products/sisley-phyto-sourcils-perfect-eyebrow-pencil-with-brush-and-sharpener-no-03-brun-0-55g-0-019oz", "https://prolisok-store.com/products/sisley-phyto-sourcils-perfect-eyebrow-pencil-with-brush-and-sharpener-no-03-brun-0-55g-0-019oz")</f>
        <v>https://prolisok-store.com/products/sisley-phyto-sourcils-perfect-eyebrow-pencil-with-brush-and-sharpener-no-03-brun-0-55g-0-019oz</v>
      </c>
      <c r="C2629" t="s">
        <v>6454</v>
      </c>
      <c r="D2629" t="s">
        <v>6449</v>
      </c>
      <c r="E2629" s="3" t="str">
        <f>HYPERLINK("https://www.amazon.com/Sisley-Sourcils-Perfect-Eyebrow-Sharpener/dp/B00C4QVV3I/ref=sr_1_6?keywords=Sisley+phyto+sourcils+perfect+eyebrow+pencil+%28with+brush&amp;qid=1695259523&amp;sr=8-6", "https://www.amazon.com/Sisley-Sourcils-Perfect-Eyebrow-Sharpener/dp/B00C4QVV3I/ref=sr_1_6?keywords=Sisley+phyto+sourcils+perfect+eyebrow+pencil+%28with+brush&amp;qid=1695259523&amp;sr=8-6")</f>
        <v>https://www.amazon.com/Sisley-Sourcils-Perfect-Eyebrow-Sharpener/dp/B00C4QVV3I/ref=sr_1_6?keywords=Sisley+phyto+sourcils+perfect+eyebrow+pencil+%28with+brush&amp;qid=1695259523&amp;sr=8-6</v>
      </c>
      <c r="F2629" t="s">
        <v>6450</v>
      </c>
      <c r="G2629" t="e">
        <f ca="1">IMAGE("https://prolisok-store.com/cdn/shop/products/171289_300x.jpg?v=1690900910")</f>
        <v>#NAME?</v>
      </c>
      <c r="H2629" t="e">
        <f ca="1">IMAGE("https://m.media-amazon.com/images/I/213zquwyWxL._AC_UL320_.jpg")</f>
        <v>#NAME?</v>
      </c>
      <c r="I2629" t="s">
        <v>6451</v>
      </c>
      <c r="J2629">
        <v>49.06</v>
      </c>
      <c r="K2629" s="2" t="s">
        <v>6452</v>
      </c>
      <c r="L2629">
        <v>5</v>
      </c>
      <c r="M2629">
        <v>2</v>
      </c>
      <c r="O2629" t="s">
        <v>26</v>
      </c>
      <c r="P2629" t="s">
        <v>39</v>
      </c>
      <c r="Q2629" t="s">
        <v>6455</v>
      </c>
    </row>
    <row r="2630" spans="1:17" ht="15.75" x14ac:dyDescent="0.25">
      <c r="A2630" s="3" t="str">
        <f>HYPERLINK("https://prolisok-store.com/collections/makeup/products/sisley-phyto-cernes-eclat-eye-concealer-03-15ml-0-61oz", "https://prolisok-store.com/collections/makeup/products/sisley-phyto-cernes-eclat-eye-concealer-03-15ml-0-61oz")</f>
        <v>https://prolisok-store.com/collections/makeup/products/sisley-phyto-cernes-eclat-eye-concealer-03-15ml-0-61oz</v>
      </c>
      <c r="B2630" s="3" t="str">
        <f>HYPERLINK("https://prolisok-store.com/products/sisley-phyto-cernes-eclat-eye-concealer-03-15ml-0-61oz", "https://prolisok-store.com/products/sisley-phyto-cernes-eclat-eye-concealer-03-15ml-0-61oz")</f>
        <v>https://prolisok-store.com/products/sisley-phyto-cernes-eclat-eye-concealer-03-15ml-0-61oz</v>
      </c>
      <c r="C2630" t="s">
        <v>6456</v>
      </c>
      <c r="D2630" t="s">
        <v>6457</v>
      </c>
      <c r="E2630" s="3" t="str">
        <f>HYPERLINK("https://www.amazon.com/Sisley-Phyto-Cernes-Eclat-Concealer/dp/B07DN21NBV/ref=sr_1_1?keywords=Sisley+phyto+cernes+eclat+eye+concealer+-+%23+03+15ml%2F0.61oz&amp;qid=1695259509&amp;sr=8-1", "https://www.amazon.com/Sisley-Phyto-Cernes-Eclat-Concealer/dp/B07DN21NBV/ref=sr_1_1?keywords=Sisley+phyto+cernes+eclat+eye+concealer+-+%23+03+15ml%2F0.61oz&amp;qid=1695259509&amp;sr=8-1")</f>
        <v>https://www.amazon.com/Sisley-Phyto-Cernes-Eclat-Concealer/dp/B07DN21NBV/ref=sr_1_1?keywords=Sisley+phyto+cernes+eclat+eye+concealer+-+%23+03+15ml%2F0.61oz&amp;qid=1695259509&amp;sr=8-1</v>
      </c>
      <c r="F2630" t="s">
        <v>6458</v>
      </c>
      <c r="G2630" t="e">
        <f ca="1">IMAGE("https://prolisok-store.com/cdn/shop/products/250169_300x.jpg?v=1690901009")</f>
        <v>#NAME?</v>
      </c>
      <c r="H2630" t="e">
        <f ca="1">IMAGE("https://m.media-amazon.com/images/I/51geEy6ZXwL._AC_UL320_.jpg")</f>
        <v>#NAME?</v>
      </c>
      <c r="I2630" t="s">
        <v>6459</v>
      </c>
      <c r="J2630">
        <v>87.52</v>
      </c>
      <c r="K2630" s="2" t="s">
        <v>6460</v>
      </c>
      <c r="L2630">
        <v>4</v>
      </c>
      <c r="M2630">
        <v>35</v>
      </c>
      <c r="O2630" t="s">
        <v>26</v>
      </c>
      <c r="P2630" t="s">
        <v>39</v>
      </c>
      <c r="Q2630" t="s">
        <v>6461</v>
      </c>
    </row>
    <row r="2631" spans="1:17" ht="15.75" x14ac:dyDescent="0.25">
      <c r="A2631" s="3" t="str">
        <f>HYPERLINK("https://prolisok-store.com/collections/makeup/products/sisley-phyto-sourcils-design-3-in-1-brow-architect-pencil-1-cappuccino-2x0-2g-0-007oz", "https://prolisok-store.com/collections/makeup/products/sisley-phyto-sourcils-design-3-in-1-brow-architect-pencil-1-cappuccino-2x0-2g-0-007oz")</f>
        <v>https://prolisok-store.com/collections/makeup/products/sisley-phyto-sourcils-design-3-in-1-brow-architect-pencil-1-cappuccino-2x0-2g-0-007oz</v>
      </c>
      <c r="B2631" s="3" t="str">
        <f>HYPERLINK("https://prolisok-store.com/products/sisley-phyto-sourcils-design-3-in-1-brow-architect-pencil-1-cappuccino-2x0-2g-0-007oz", "https://prolisok-store.com/products/sisley-phyto-sourcils-design-3-in-1-brow-architect-pencil-1-cappuccino-2x0-2g-0-007oz")</f>
        <v>https://prolisok-store.com/products/sisley-phyto-sourcils-design-3-in-1-brow-architect-pencil-1-cappuccino-2x0-2g-0-007oz</v>
      </c>
      <c r="C2631" t="s">
        <v>6244</v>
      </c>
      <c r="D2631" t="s">
        <v>6462</v>
      </c>
      <c r="E2631" s="3" t="str">
        <f>HYPERLINK("https://www.amazon.com/Sisley-Sourcils-Design-Architect-Pencil/dp/B075PJJYSV/ref=sr_1_3?keywords=Sisley+phyto+sourcils+design+3+in+1+brow+architect+pencil+-&amp;qid=1695259500&amp;sr=8-3", "https://www.amazon.com/Sisley-Sourcils-Design-Architect-Pencil/dp/B075PJJYSV/ref=sr_1_3?keywords=Sisley+phyto+sourcils+design+3+in+1+brow+architect+pencil+-&amp;qid=1695259500&amp;sr=8-3")</f>
        <v>https://www.amazon.com/Sisley-Sourcils-Design-Architect-Pencil/dp/B075PJJYSV/ref=sr_1_3?keywords=Sisley+phyto+sourcils+design+3+in+1+brow+architect+pencil+-&amp;qid=1695259500&amp;sr=8-3</v>
      </c>
      <c r="F2631" t="s">
        <v>6463</v>
      </c>
      <c r="G2631" t="e">
        <f ca="1">IMAGE("https://prolisok-store.com/cdn/shop/products/303984_300x.jpg?v=1690900818")</f>
        <v>#NAME?</v>
      </c>
      <c r="H2631" t="e">
        <f ca="1">IMAGE("https://m.media-amazon.com/images/I/51r+M-GDfwL._AC_UL320_.jpg")</f>
        <v>#NAME?</v>
      </c>
      <c r="I2631" t="s">
        <v>6247</v>
      </c>
      <c r="J2631">
        <v>54.12</v>
      </c>
      <c r="K2631" s="2" t="s">
        <v>6464</v>
      </c>
      <c r="L2631">
        <v>5</v>
      </c>
      <c r="M2631">
        <v>3</v>
      </c>
      <c r="O2631" t="s">
        <v>26</v>
      </c>
      <c r="P2631" t="s">
        <v>39</v>
      </c>
      <c r="Q2631" t="s">
        <v>6249</v>
      </c>
    </row>
    <row r="2632" spans="1:17" ht="15.75" x14ac:dyDescent="0.25">
      <c r="A2632" s="3" t="str">
        <f>HYPERLINK("https://prolisok-store.com/collections/makeup/products/mac-powder-kiss-lipstick-mandarin-o-3g-0-1oz", "https://prolisok-store.com/collections/makeup/products/mac-powder-kiss-lipstick-mandarin-o-3g-0-1oz")</f>
        <v>https://prolisok-store.com/collections/makeup/products/mac-powder-kiss-lipstick-mandarin-o-3g-0-1oz</v>
      </c>
      <c r="B2632" s="3" t="str">
        <f>HYPERLINK("https://prolisok-store.com/products/mac-powder-kiss-lipstick-mandarin-o-3g-0-1oz", "https://prolisok-store.com/products/mac-powder-kiss-lipstick-mandarin-o-3g-0-1oz")</f>
        <v>https://prolisok-store.com/products/mac-powder-kiss-lipstick-mandarin-o-3g-0-1oz</v>
      </c>
      <c r="C2632" t="s">
        <v>6465</v>
      </c>
      <c r="D2632" t="s">
        <v>6466</v>
      </c>
      <c r="E2632" s="3" t="str">
        <f>HYPERLINK("https://www.amazon.com/MAC-Powder-Kiss-Lipstick-Mandarin/dp/B07JFLL7QQ/ref=sr_1_1?keywords=MAC+powder+kiss+lipstick+-+mandarin+o+-3g%2F0.1oz&amp;qid=1695259549&amp;sr=8-1", "https://www.amazon.com/MAC-Powder-Kiss-Lipstick-Mandarin/dp/B07JFLL7QQ/ref=sr_1_1?keywords=MAC+powder+kiss+lipstick+-+mandarin+o+-3g%2F0.1oz&amp;qid=1695259549&amp;sr=8-1")</f>
        <v>https://www.amazon.com/MAC-Powder-Kiss-Lipstick-Mandarin/dp/B07JFLL7QQ/ref=sr_1_1?keywords=MAC+powder+kiss+lipstick+-+mandarin+o+-3g%2F0.1oz&amp;qid=1695259549&amp;sr=8-1</v>
      </c>
      <c r="F2632" t="s">
        <v>6467</v>
      </c>
      <c r="G2632" t="e">
        <f ca="1">IMAGE("https://prolisok-store.com/cdn/shop/products/348144_300x.jpg?v=1690393901")</f>
        <v>#NAME?</v>
      </c>
      <c r="H2632" t="e">
        <f ca="1">IMAGE("https://m.media-amazon.com/images/I/31Ed0guDvYL._AC_UL320_.jpg")</f>
        <v>#NAME?</v>
      </c>
      <c r="I2632" t="s">
        <v>6360</v>
      </c>
      <c r="J2632">
        <v>20.74</v>
      </c>
      <c r="K2632" s="2" t="s">
        <v>6468</v>
      </c>
      <c r="L2632">
        <v>3.8</v>
      </c>
      <c r="M2632">
        <v>8</v>
      </c>
      <c r="O2632" t="s">
        <v>26</v>
      </c>
      <c r="P2632" t="s">
        <v>39</v>
      </c>
      <c r="Q2632" t="s">
        <v>6469</v>
      </c>
    </row>
    <row r="2633" spans="1:17" ht="15.75" x14ac:dyDescent="0.25">
      <c r="A2633" s="3" t="str">
        <f>HYPERLINK("https://prolisok-store.com/collections/makeup/products/sisley-phyto-lip-twist-1-nude-2-5g-0-08oz", "https://prolisok-store.com/collections/makeup/products/sisley-phyto-lip-twist-1-nude-2-5g-0-08oz")</f>
        <v>https://prolisok-store.com/collections/makeup/products/sisley-phyto-lip-twist-1-nude-2-5g-0-08oz</v>
      </c>
      <c r="B2633" s="3" t="str">
        <f>HYPERLINK("https://prolisok-store.com/products/sisley-phyto-lip-twist-1-nude-2-5g-0-08oz", "https://prolisok-store.com/products/sisley-phyto-lip-twist-1-nude-2-5g-0-08oz")</f>
        <v>https://prolisok-store.com/products/sisley-phyto-lip-twist-1-nude-2-5g-0-08oz</v>
      </c>
      <c r="C2633" t="s">
        <v>6470</v>
      </c>
      <c r="D2633" t="s">
        <v>6471</v>
      </c>
      <c r="E2633" s="3" t="str">
        <f>HYPERLINK("https://www.amazon.com/Sisley-Phyto-Lip-Twist-Lipstick-Women/dp/B00IQ82E02/ref=sr_1_2?keywords=Sisley+phyto+lip+twist+-+%23+1+nude+2.5g%2F0.08oz&amp;qid=1695259526&amp;sr=8-2", "https://www.amazon.com/Sisley-Phyto-Lip-Twist-Lipstick-Women/dp/B00IQ82E02/ref=sr_1_2?keywords=Sisley+phyto+lip+twist+-+%23+1+nude+2.5g%2F0.08oz&amp;qid=1695259526&amp;sr=8-2")</f>
        <v>https://www.amazon.com/Sisley-Phyto-Lip-Twist-Lipstick-Women/dp/B00IQ82E02/ref=sr_1_2?keywords=Sisley+phyto+lip+twist+-+%23+1+nude+2.5g%2F0.08oz&amp;qid=1695259526&amp;sr=8-2</v>
      </c>
      <c r="F2633" t="s">
        <v>6472</v>
      </c>
      <c r="G2633" t="e">
        <f ca="1">IMAGE("https://prolisok-store.com/cdn/shop/products/252708_300x.jpg?v=1690900994")</f>
        <v>#NAME?</v>
      </c>
      <c r="H2633" t="e">
        <f ca="1">IMAGE("https://m.media-amazon.com/images/I/41b1pDY0mfL._AC_UL320_.jpg")</f>
        <v>#NAME?</v>
      </c>
      <c r="I2633" t="s">
        <v>5954</v>
      </c>
      <c r="J2633">
        <v>40.6</v>
      </c>
      <c r="K2633" s="2" t="s">
        <v>6473</v>
      </c>
      <c r="L2633">
        <v>4.4000000000000004</v>
      </c>
      <c r="M2633">
        <v>68</v>
      </c>
      <c r="O2633" t="s">
        <v>26</v>
      </c>
      <c r="P2633" t="s">
        <v>39</v>
      </c>
      <c r="Q2633" t="s">
        <v>6474</v>
      </c>
    </row>
    <row r="2634" spans="1:17" ht="15.75" x14ac:dyDescent="0.25">
      <c r="A2634" s="3" t="str">
        <f>HYPERLINK("https://prolisok-store.com/collections/makeup/products/mac-studio-fix-soft-matte-foundation-stick-nc38-9g-0-32oz", "https://prolisok-store.com/collections/makeup/products/mac-studio-fix-soft-matte-foundation-stick-nc38-9g-0-32oz")</f>
        <v>https://prolisok-store.com/collections/makeup/products/mac-studio-fix-soft-matte-foundation-stick-nc38-9g-0-32oz</v>
      </c>
      <c r="B2634" s="3" t="str">
        <f>HYPERLINK("https://prolisok-store.com/products/mac-studio-fix-soft-matte-foundation-stick-nc38-9g-0-32oz", "https://prolisok-store.com/products/mac-studio-fix-soft-matte-foundation-stick-nc38-9g-0-32oz")</f>
        <v>https://prolisok-store.com/products/mac-studio-fix-soft-matte-foundation-stick-nc38-9g-0-32oz</v>
      </c>
      <c r="C2634" t="s">
        <v>6023</v>
      </c>
      <c r="D2634" t="s">
        <v>6475</v>
      </c>
      <c r="E2634" s="3" t="str">
        <f>HYPERLINK("https://www.amazon.com/Studio-soft-matte-foundation-stick/dp/B0953XTSDB/ref=sr_1_1?keywords=MAC+studio+fix+soft+matte+foundation+stick+-+nc38+-9g%2F0.32oz&amp;qid=1695259545&amp;sr=8-1", "https://www.amazon.com/Studio-soft-matte-foundation-stick/dp/B0953XTSDB/ref=sr_1_1?keywords=MAC+studio+fix+soft+matte+foundation+stick+-+nc38+-9g%2F0.32oz&amp;qid=1695259545&amp;sr=8-1")</f>
        <v>https://www.amazon.com/Studio-soft-matte-foundation-stick/dp/B0953XTSDB/ref=sr_1_1?keywords=MAC+studio+fix+soft+matte+foundation+stick+-+nc38+-9g%2F0.32oz&amp;qid=1695259545&amp;sr=8-1</v>
      </c>
      <c r="F2634" t="s">
        <v>6476</v>
      </c>
      <c r="G2634" t="e">
        <f ca="1">IMAGE("https://prolisok-store.com/cdn/shop/products/360243_300x.jpg?v=1690393874")</f>
        <v>#NAME?</v>
      </c>
      <c r="H2634" t="e">
        <f ca="1">IMAGE("https://m.media-amazon.com/images/I/2195dlHIKGS._AC_UL320_.jpg")</f>
        <v>#NAME?</v>
      </c>
      <c r="I2634" t="s">
        <v>6020</v>
      </c>
      <c r="J2634">
        <v>28</v>
      </c>
      <c r="K2634" s="2" t="s">
        <v>6477</v>
      </c>
      <c r="L2634">
        <v>5</v>
      </c>
      <c r="M2634">
        <v>5</v>
      </c>
      <c r="O2634" t="s">
        <v>26</v>
      </c>
      <c r="P2634" t="s">
        <v>39</v>
      </c>
      <c r="Q2634" t="s">
        <v>6024</v>
      </c>
    </row>
    <row r="2635" spans="1:17" ht="15.75" x14ac:dyDescent="0.25">
      <c r="A2635" s="3" t="str">
        <f>HYPERLINK("https://prolisok-store.com/collections/makeup/products/estee-lauder-double-wear-stay-in-place-makeup-spf-10-5w1-bronze-30ml-1oz", "https://prolisok-store.com/collections/makeup/products/estee-lauder-double-wear-stay-in-place-makeup-spf-10-5w1-bronze-30ml-1oz")</f>
        <v>https://prolisok-store.com/collections/makeup/products/estee-lauder-double-wear-stay-in-place-makeup-spf-10-5w1-bronze-30ml-1oz</v>
      </c>
      <c r="B2635" s="3" t="str">
        <f>HYPERLINK("https://prolisok-store.com/products/estee-lauder-double-wear-stay-in-place-makeup-spf-10-5w1-bronze-30ml-1oz", "https://prolisok-store.com/products/estee-lauder-double-wear-stay-in-place-makeup-spf-10-5w1-bronze-30ml-1oz")</f>
        <v>https://prolisok-store.com/products/estee-lauder-double-wear-stay-in-place-makeup-spf-10-5w1-bronze-30ml-1oz</v>
      </c>
      <c r="C2635" t="s">
        <v>6320</v>
      </c>
      <c r="D2635" t="s">
        <v>6478</v>
      </c>
      <c r="E2635" s="3" t="str">
        <f>HYPERLINK("https://www.amazon.com/Estee-Lauder-Double-Makeup-10-2c1/dp/B07GVP3SS4/ref=sr_1_4?keywords=Estee+Lauder+double+wear+stay+in+place+makeup+spf+10+-+5w1+bronze+30ml%2F1oz&amp;qid=1695259516&amp;sr=8-4", "https://www.amazon.com/Estee-Lauder-Double-Makeup-10-2c1/dp/B07GVP3SS4/ref=sr_1_4?keywords=Estee+Lauder+double+wear+stay+in+place+makeup+spf+10+-+5w1+bronze+30ml%2F1oz&amp;qid=1695259516&amp;sr=8-4")</f>
        <v>https://www.amazon.com/Estee-Lauder-Double-Makeup-10-2c1/dp/B07GVP3SS4/ref=sr_1_4?keywords=Estee+Lauder+double+wear+stay+in+place+makeup+spf+10+-+5w1+bronze+30ml%2F1oz&amp;qid=1695259516&amp;sr=8-4</v>
      </c>
      <c r="F2635" t="s">
        <v>6479</v>
      </c>
      <c r="G2635" t="e">
        <f ca="1">IMAGE("https://prolisok-store.com/cdn/shop/products/461989_300x.jpg?v=1690900264")</f>
        <v>#NAME?</v>
      </c>
      <c r="H2635" t="e">
        <f ca="1">IMAGE("https://m.media-amazon.com/images/I/51UIClSczxL._AC_UL320_.jpg")</f>
        <v>#NAME?</v>
      </c>
      <c r="I2635" t="s">
        <v>6323</v>
      </c>
      <c r="J2635">
        <v>38.21</v>
      </c>
      <c r="K2635" s="2" t="s">
        <v>6480</v>
      </c>
      <c r="L2635">
        <v>4.5999999999999996</v>
      </c>
      <c r="M2635">
        <v>1193</v>
      </c>
      <c r="O2635" t="s">
        <v>26</v>
      </c>
      <c r="P2635" t="s">
        <v>39</v>
      </c>
      <c r="Q2635" t="s">
        <v>6325</v>
      </c>
    </row>
    <row r="2636" spans="1:17" ht="15.75" x14ac:dyDescent="0.25">
      <c r="A2636" s="3" t="str">
        <f>HYPERLINK("https://prolisok-store.com/collections/makeup/products/sisley-so-intense-mascara-2-deep-brown-7-5ml-0-27oz", "https://prolisok-store.com/collections/makeup/products/sisley-so-intense-mascara-2-deep-brown-7-5ml-0-27oz")</f>
        <v>https://prolisok-store.com/collections/makeup/products/sisley-so-intense-mascara-2-deep-brown-7-5ml-0-27oz</v>
      </c>
      <c r="B2636" s="3" t="str">
        <f>HYPERLINK("https://prolisok-store.com/products/sisley-so-intense-mascara-2-deep-brown-7-5ml-0-27oz", "https://prolisok-store.com/products/sisley-so-intense-mascara-2-deep-brown-7-5ml-0-27oz")</f>
        <v>https://prolisok-store.com/products/sisley-so-intense-mascara-2-deep-brown-7-5ml-0-27oz</v>
      </c>
      <c r="C2636" t="s">
        <v>6481</v>
      </c>
      <c r="D2636" t="s">
        <v>6482</v>
      </c>
      <c r="E2636" s="3" t="str">
        <f>HYPERLINK("https://www.amazon.com/Sisley-So-Intense-Mascara-Authentic/dp/B07JRBRRBW/ref=sr_1_2?keywords=Sisley+so+intense+mascara+-&amp;qid=1695259493&amp;sr=8-2", "https://www.amazon.com/Sisley-So-Intense-Mascara-Authentic/dp/B07JRBRRBW/ref=sr_1_2?keywords=Sisley+so+intense+mascara+-&amp;qid=1695259493&amp;sr=8-2")</f>
        <v>https://www.amazon.com/Sisley-So-Intense-Mascara-Authentic/dp/B07JRBRRBW/ref=sr_1_2?keywords=Sisley+so+intense+mascara+-&amp;qid=1695259493&amp;sr=8-2</v>
      </c>
      <c r="F2636" t="s">
        <v>6483</v>
      </c>
      <c r="G2636" t="e">
        <f ca="1">IMAGE("https://prolisok-store.com/cdn/shop/products/242263_300x.jpg?v=1690901018")</f>
        <v>#NAME?</v>
      </c>
      <c r="H2636" t="e">
        <f ca="1">IMAGE("https://m.media-amazon.com/images/I/613SvpEalFL._AC_UL320_.jpg")</f>
        <v>#NAME?</v>
      </c>
      <c r="I2636" t="s">
        <v>6484</v>
      </c>
      <c r="J2636">
        <v>57.24</v>
      </c>
      <c r="K2636" s="2" t="s">
        <v>6485</v>
      </c>
      <c r="L2636">
        <v>4</v>
      </c>
      <c r="M2636">
        <v>1</v>
      </c>
      <c r="O2636" t="s">
        <v>26</v>
      </c>
      <c r="P2636" t="s">
        <v>39</v>
      </c>
      <c r="Q2636" t="s">
        <v>6486</v>
      </c>
    </row>
    <row r="2637" spans="1:17" ht="15.75" x14ac:dyDescent="0.25">
      <c r="A2637" s="3" t="str">
        <f>HYPERLINK("https://prolisok-store.com/collections/makeup/products/sisley-so-volume-mascara-1-deep-black-8ml-0-27oz", "https://prolisok-store.com/collections/makeup/products/sisley-so-volume-mascara-1-deep-black-8ml-0-27oz")</f>
        <v>https://prolisok-store.com/collections/makeup/products/sisley-so-volume-mascara-1-deep-black-8ml-0-27oz</v>
      </c>
      <c r="B2637" s="3" t="str">
        <f>HYPERLINK("https://prolisok-store.com/products/sisley-so-volume-mascara-1-deep-black-8ml-0-27oz", "https://prolisok-store.com/products/sisley-so-volume-mascara-1-deep-black-8ml-0-27oz")</f>
        <v>https://prolisok-store.com/products/sisley-so-volume-mascara-1-deep-black-8ml-0-27oz</v>
      </c>
      <c r="C2637" t="s">
        <v>6487</v>
      </c>
      <c r="D2637" t="s">
        <v>6482</v>
      </c>
      <c r="E2637" s="3" t="str">
        <f>HYPERLINK("https://www.amazon.com/Sisley-So-Intense-Mascara-Authentic/dp/B07JRBRRBW/ref=sr_1_5?keywords=Sisley+so+volume+mascara+-&amp;qid=1695259490&amp;sr=8-5", "https://www.amazon.com/Sisley-So-Intense-Mascara-Authentic/dp/B07JRBRRBW/ref=sr_1_5?keywords=Sisley+so+volume+mascara+-&amp;qid=1695259490&amp;sr=8-5")</f>
        <v>https://www.amazon.com/Sisley-So-Intense-Mascara-Authentic/dp/B07JRBRRBW/ref=sr_1_5?keywords=Sisley+so+volume+mascara+-&amp;qid=1695259490&amp;sr=8-5</v>
      </c>
      <c r="F2637" t="s">
        <v>6483</v>
      </c>
      <c r="G2637" t="e">
        <f ca="1">IMAGE("https://prolisok-store.com/cdn/shop/products/334077_300x.jpg?v=1690900735")</f>
        <v>#NAME?</v>
      </c>
      <c r="H2637" t="e">
        <f ca="1">IMAGE("https://m.media-amazon.com/images/I/613SvpEalFL._AC_UL320_.jpg")</f>
        <v>#NAME?</v>
      </c>
      <c r="I2637" t="s">
        <v>6484</v>
      </c>
      <c r="J2637">
        <v>57.24</v>
      </c>
      <c r="K2637" s="2" t="s">
        <v>6485</v>
      </c>
      <c r="L2637">
        <v>4</v>
      </c>
      <c r="M2637">
        <v>1</v>
      </c>
      <c r="O2637" t="s">
        <v>26</v>
      </c>
      <c r="P2637" t="s">
        <v>39</v>
      </c>
      <c r="Q2637" t="s">
        <v>6488</v>
      </c>
    </row>
    <row r="2638" spans="1:17" ht="15.75" x14ac:dyDescent="0.25">
      <c r="A2638" s="3" t="str">
        <f>HYPERLINK("https://prolisok-store.com/collections/makeup/products/sisley-so-intense-mascara-1-deep-black-7ml-0-27oz", "https://prolisok-store.com/collections/makeup/products/sisley-so-intense-mascara-1-deep-black-7ml-0-27oz")</f>
        <v>https://prolisok-store.com/collections/makeup/products/sisley-so-intense-mascara-1-deep-black-7ml-0-27oz</v>
      </c>
      <c r="B2638" s="3" t="str">
        <f>HYPERLINK("https://prolisok-store.com/products/sisley-so-intense-mascara-1-deep-black-7ml-0-27oz", "https://prolisok-store.com/products/sisley-so-intense-mascara-1-deep-black-7ml-0-27oz")</f>
        <v>https://prolisok-store.com/products/sisley-so-intense-mascara-1-deep-black-7ml-0-27oz</v>
      </c>
      <c r="C2638" t="s">
        <v>6489</v>
      </c>
      <c r="D2638" t="s">
        <v>6482</v>
      </c>
      <c r="E2638" s="3" t="str">
        <f>HYPERLINK("https://www.amazon.com/Sisley-So-Intense-Mascara-Authentic/dp/B07JRBRRBW/ref=sr_1_2?keywords=Sisley+so+intense+mascara+-&amp;qid=1695259505&amp;sr=8-2", "https://www.amazon.com/Sisley-So-Intense-Mascara-Authentic/dp/B07JRBRRBW/ref=sr_1_2?keywords=Sisley+so+intense+mascara+-&amp;qid=1695259505&amp;sr=8-2")</f>
        <v>https://www.amazon.com/Sisley-So-Intense-Mascara-Authentic/dp/B07JRBRRBW/ref=sr_1_2?keywords=Sisley+so+intense+mascara+-&amp;qid=1695259505&amp;sr=8-2</v>
      </c>
      <c r="F2638" t="s">
        <v>6483</v>
      </c>
      <c r="G2638" t="e">
        <f ca="1">IMAGE("https://prolisok-store.com/cdn/shop/products/242262_300x.jpg?v=1690901017")</f>
        <v>#NAME?</v>
      </c>
      <c r="H2638" t="e">
        <f ca="1">IMAGE("https://m.media-amazon.com/images/I/613SvpEalFL._AC_UL320_.jpg")</f>
        <v>#NAME?</v>
      </c>
      <c r="I2638" t="s">
        <v>6484</v>
      </c>
      <c r="J2638">
        <v>57.24</v>
      </c>
      <c r="K2638" s="2" t="s">
        <v>6485</v>
      </c>
      <c r="L2638">
        <v>4</v>
      </c>
      <c r="M2638">
        <v>1</v>
      </c>
      <c r="O2638" t="s">
        <v>26</v>
      </c>
      <c r="P2638" t="s">
        <v>39</v>
      </c>
      <c r="Q2638" t="s">
        <v>6490</v>
      </c>
    </row>
    <row r="2639" spans="1:17" ht="15.75" x14ac:dyDescent="0.25">
      <c r="A2639" s="3" t="str">
        <f>HYPERLINK("https://prolisok-store.com/collections/makeup/products/clinique-by-clinique-even-better-refresh-hydrating-and-repairing-makeup-cn-40-cream-chamois-30ml-1oz", "https://prolisok-store.com/collections/makeup/products/clinique-by-clinique-even-better-refresh-hydrating-and-repairing-makeup-cn-40-cream-chamois-30ml-1oz")</f>
        <v>https://prolisok-store.com/collections/makeup/products/clinique-by-clinique-even-better-refresh-hydrating-and-repairing-makeup-cn-40-cream-chamois-30ml-1oz</v>
      </c>
      <c r="B2639" s="3" t="str">
        <f>HYPERLINK("https://prolisok-store.com/products/clinique-by-clinique-even-better-refresh-hydrating-and-repairing-makeup-cn-40-cream-chamois-30ml-1oz", "https://prolisok-store.com/products/clinique-by-clinique-even-better-refresh-hydrating-and-repairing-makeup-cn-40-cream-chamois-30ml-1oz")</f>
        <v>https://prolisok-store.com/products/clinique-by-clinique-even-better-refresh-hydrating-and-repairing-makeup-cn-40-cream-chamois-30ml-1oz</v>
      </c>
      <c r="C2639" t="s">
        <v>6491</v>
      </c>
      <c r="D2639" t="s">
        <v>6492</v>
      </c>
      <c r="E2639" s="3" t="str">
        <f>HYPERLINK("https://www.amazon.com/Clinique-Refresh-Hydrating-Repairing-Makeup/dp/B07PWJ5RDQ/ref=sr_1_3?keywords=Clinique+Even+Better+Refresh&amp;qid=1695259548&amp;sr=8-3", "https://www.amazon.com/Clinique-Refresh-Hydrating-Repairing-Makeup/dp/B07PWJ5RDQ/ref=sr_1_3?keywords=Clinique+Even+Better+Refresh&amp;qid=1695259548&amp;sr=8-3")</f>
        <v>https://www.amazon.com/Clinique-Refresh-Hydrating-Repairing-Makeup/dp/B07PWJ5RDQ/ref=sr_1_3?keywords=Clinique+Even+Better+Refresh&amp;qid=1695259548&amp;sr=8-3</v>
      </c>
      <c r="F2639" t="s">
        <v>6493</v>
      </c>
      <c r="G2639" t="e">
        <f ca="1">IMAGE("https://prolisok-store.com/cdn/shop/products/395985_300x.jpg?v=1688060517")</f>
        <v>#NAME?</v>
      </c>
      <c r="H2639" t="e">
        <f ca="1">IMAGE("https://m.media-amazon.com/images/I/61glMyizc1L._AC_UL320_.jpg")</f>
        <v>#NAME?</v>
      </c>
      <c r="I2639" t="s">
        <v>6494</v>
      </c>
      <c r="J2639">
        <v>33</v>
      </c>
      <c r="K2639" s="2" t="s">
        <v>6495</v>
      </c>
      <c r="L2639">
        <v>4.7</v>
      </c>
      <c r="M2639">
        <v>84</v>
      </c>
      <c r="O2639" t="s">
        <v>26</v>
      </c>
      <c r="P2639" t="s">
        <v>39</v>
      </c>
      <c r="Q2639" t="s">
        <v>6496</v>
      </c>
    </row>
    <row r="2640" spans="1:17" ht="15.75" x14ac:dyDescent="0.25">
      <c r="A2640" s="3" t="str">
        <f>HYPERLINK("https://prolisok-store.com/collections/makeup/products/sisley-phyto-levres-perfect-lipliner-rose-the-1-2g-0-04oz", "https://prolisok-store.com/collections/makeup/products/sisley-phyto-levres-perfect-lipliner-rose-the-1-2g-0-04oz")</f>
        <v>https://prolisok-store.com/collections/makeup/products/sisley-phyto-levres-perfect-lipliner-rose-the-1-2g-0-04oz</v>
      </c>
      <c r="B2640" s="3" t="str">
        <f>HYPERLINK("https://prolisok-store.com/products/sisley-phyto-levres-perfect-lipliner-rose-the-1-2g-0-04oz", "https://prolisok-store.com/products/sisley-phyto-levres-perfect-lipliner-rose-the-1-2g-0-04oz")</f>
        <v>https://prolisok-store.com/products/sisley-phyto-levres-perfect-lipliner-rose-the-1-2g-0-04oz</v>
      </c>
      <c r="C2640" t="s">
        <v>6153</v>
      </c>
      <c r="D2640" t="s">
        <v>6497</v>
      </c>
      <c r="E2640" s="3" t="str">
        <f>HYPERLINK("https://www.amazon.com/Sisley-phyto-levres-perfect-lipliner/dp/B00VK11RF0/ref=sr_1_2?keywords=Sisley+phyto+levres+perfect+lipliner+-+%23+rose+the+1.2g%2F0.04oz&amp;qid=1695259492&amp;sr=8-2", "https://www.amazon.com/Sisley-phyto-levres-perfect-lipliner/dp/B00VK11RF0/ref=sr_1_2?keywords=Sisley+phyto+levres+perfect+lipliner+-+%23+rose+the+1.2g%2F0.04oz&amp;qid=1695259492&amp;sr=8-2")</f>
        <v>https://www.amazon.com/Sisley-phyto-levres-perfect-lipliner/dp/B00VK11RF0/ref=sr_1_2?keywords=Sisley+phyto+levres+perfect+lipliner+-+%23+rose+the+1.2g%2F0.04oz&amp;qid=1695259492&amp;sr=8-2</v>
      </c>
      <c r="F2640" t="s">
        <v>6498</v>
      </c>
      <c r="G2640" t="e">
        <f ca="1">IMAGE("https://prolisok-store.com/cdn/shop/products/279052_300x.jpg?v=1690900965")</f>
        <v>#NAME?</v>
      </c>
      <c r="H2640" t="e">
        <f ca="1">IMAGE("https://m.media-amazon.com/images/I/31--al3boYL._AC_UL320_.jpg")</f>
        <v>#NAME?</v>
      </c>
      <c r="I2640" t="s">
        <v>6150</v>
      </c>
      <c r="J2640">
        <v>46.04</v>
      </c>
      <c r="K2640" s="2" t="s">
        <v>6499</v>
      </c>
      <c r="L2640">
        <v>4.5</v>
      </c>
      <c r="M2640">
        <v>3</v>
      </c>
      <c r="O2640" t="s">
        <v>26</v>
      </c>
      <c r="P2640" t="s">
        <v>39</v>
      </c>
      <c r="Q2640" t="s">
        <v>6154</v>
      </c>
    </row>
    <row r="2641" spans="1:17" ht="15.75" x14ac:dyDescent="0.25">
      <c r="A2641" s="3" t="str">
        <f>HYPERLINK("https://prolisok-store.com/collections/makeup/products/sisley-phyto-levres-perfect-lipliner-ruby-1-2g-0-04oz", "https://prolisok-store.com/collections/makeup/products/sisley-phyto-levres-perfect-lipliner-ruby-1-2g-0-04oz")</f>
        <v>https://prolisok-store.com/collections/makeup/products/sisley-phyto-levres-perfect-lipliner-ruby-1-2g-0-04oz</v>
      </c>
      <c r="B2641" s="3" t="str">
        <f>HYPERLINK("https://prolisok-store.com/products/sisley-phyto-levres-perfect-lipliner-ruby-1-2g-0-04oz", "https://prolisok-store.com/products/sisley-phyto-levres-perfect-lipliner-ruby-1-2g-0-04oz")</f>
        <v>https://prolisok-store.com/products/sisley-phyto-levres-perfect-lipliner-ruby-1-2g-0-04oz</v>
      </c>
      <c r="C2641" t="s">
        <v>6147</v>
      </c>
      <c r="D2641" t="s">
        <v>6497</v>
      </c>
      <c r="E2641" s="3" t="str">
        <f>HYPERLINK("https://www.amazon.com/Sisley-phyto-levres-perfect-lipliner/dp/B00VK11RF0/ref=sr_1_7?keywords=Sisley+phyto+levres+perfect+lipliner+-&amp;qid=1695259528&amp;sr=8-7", "https://www.amazon.com/Sisley-phyto-levres-perfect-lipliner/dp/B00VK11RF0/ref=sr_1_7?keywords=Sisley+phyto+levres+perfect+lipliner+-&amp;qid=1695259528&amp;sr=8-7")</f>
        <v>https://www.amazon.com/Sisley-phyto-levres-perfect-lipliner/dp/B00VK11RF0/ref=sr_1_7?keywords=Sisley+phyto+levres+perfect+lipliner+-&amp;qid=1695259528&amp;sr=8-7</v>
      </c>
      <c r="F2641" t="s">
        <v>6498</v>
      </c>
      <c r="G2641" t="e">
        <f ca="1">IMAGE("https://prolisok-store.com/cdn/shop/products/267948_300x.jpg?v=1690900958")</f>
        <v>#NAME?</v>
      </c>
      <c r="H2641" t="e">
        <f ca="1">IMAGE("https://m.media-amazon.com/images/I/31--al3boYL._AC_UL320_.jpg")</f>
        <v>#NAME?</v>
      </c>
      <c r="I2641" t="s">
        <v>6150</v>
      </c>
      <c r="J2641">
        <v>46.04</v>
      </c>
      <c r="K2641" s="2" t="s">
        <v>6499</v>
      </c>
      <c r="L2641">
        <v>4.5</v>
      </c>
      <c r="M2641">
        <v>3</v>
      </c>
      <c r="O2641" t="s">
        <v>26</v>
      </c>
      <c r="P2641" t="s">
        <v>39</v>
      </c>
      <c r="Q2641" t="s">
        <v>6152</v>
      </c>
    </row>
    <row r="2642" spans="1:17" ht="15.75" x14ac:dyDescent="0.25">
      <c r="A2642" s="3" t="str">
        <f>HYPERLINK("https://prolisok-store.com/collections/makeup/products/sisley-phyto-teint-nude-water-infused-second-skin-foundation-3c-natural-30ml-1oz", "https://prolisok-store.com/collections/makeup/products/sisley-phyto-teint-nude-water-infused-second-skin-foundation-3c-natural-30ml-1oz")</f>
        <v>https://prolisok-store.com/collections/makeup/products/sisley-phyto-teint-nude-water-infused-second-skin-foundation-3c-natural-30ml-1oz</v>
      </c>
      <c r="B2642" s="3" t="str">
        <f>HYPERLINK("https://prolisok-store.com/products/sisley-phyto-teint-nude-water-infused-second-skin-foundation-3c-natural-30ml-1oz", "https://prolisok-store.com/products/sisley-phyto-teint-nude-water-infused-second-skin-foundation-3c-natural-30ml-1oz")</f>
        <v>https://prolisok-store.com/products/sisley-phyto-teint-nude-water-infused-second-skin-foundation-3c-natural-30ml-1oz</v>
      </c>
      <c r="C2642" t="s">
        <v>6262</v>
      </c>
      <c r="D2642" t="s">
        <v>6375</v>
      </c>
      <c r="E2642" s="3" t="str">
        <f>HYPERLINK("https://www.amazon.com/Sisley-Phyto-Infused-Second-Foundation/dp/B09MZ82V4B/ref=sr_1_2?keywords=Sisley+phyto+teint+nude+water+infused+second+skin+foundation+-&amp;qid=1695259511&amp;sr=8-2", "https://www.amazon.com/Sisley-Phyto-Infused-Second-Foundation/dp/B09MZ82V4B/ref=sr_1_2?keywords=Sisley+phyto+teint+nude+water+infused+second+skin+foundation+-&amp;qid=1695259511&amp;sr=8-2")</f>
        <v>https://www.amazon.com/Sisley-Phyto-Infused-Second-Foundation/dp/B09MZ82V4B/ref=sr_1_2?keywords=Sisley+phyto+teint+nude+water+infused+second+skin+foundation+-&amp;qid=1695259511&amp;sr=8-2</v>
      </c>
      <c r="F2642" t="s">
        <v>6376</v>
      </c>
      <c r="G2642" t="e">
        <f ca="1">IMAGE("https://prolisok-store.com/cdn/shop/products/424054_300x.jpg?v=1690900605")</f>
        <v>#NAME?</v>
      </c>
      <c r="H2642" t="e">
        <f ca="1">IMAGE("https://m.media-amazon.com/images/I/41HQbfmUXcL._AC_UL320_.jpg")</f>
        <v>#NAME?</v>
      </c>
      <c r="I2642" t="s">
        <v>6257</v>
      </c>
      <c r="J2642">
        <v>75.959999999999994</v>
      </c>
      <c r="K2642" s="2" t="s">
        <v>6500</v>
      </c>
      <c r="L2642">
        <v>5</v>
      </c>
      <c r="M2642">
        <v>1</v>
      </c>
      <c r="O2642" t="s">
        <v>26</v>
      </c>
      <c r="P2642" t="s">
        <v>39</v>
      </c>
      <c r="Q2642" t="s">
        <v>6263</v>
      </c>
    </row>
    <row r="2643" spans="1:17" ht="15.75" x14ac:dyDescent="0.25">
      <c r="A2643" s="3" t="str">
        <f>HYPERLINK("https://prolisok-store.com/collections/makeup/products/sisley-phyto-teint-nude-water-infused-second-skin-foundation-1w-cream-30ml-1oz", "https://prolisok-store.com/collections/makeup/products/sisley-phyto-teint-nude-water-infused-second-skin-foundation-1w-cream-30ml-1oz")</f>
        <v>https://prolisok-store.com/collections/makeup/products/sisley-phyto-teint-nude-water-infused-second-skin-foundation-1w-cream-30ml-1oz</v>
      </c>
      <c r="B2643" s="3" t="str">
        <f>HYPERLINK("https://prolisok-store.com/products/sisley-phyto-teint-nude-water-infused-second-skin-foundation-1w-cream-30ml-1oz", "https://prolisok-store.com/products/sisley-phyto-teint-nude-water-infused-second-skin-foundation-1w-cream-30ml-1oz")</f>
        <v>https://prolisok-store.com/products/sisley-phyto-teint-nude-water-infused-second-skin-foundation-1w-cream-30ml-1oz</v>
      </c>
      <c r="C2643" t="s">
        <v>6260</v>
      </c>
      <c r="D2643" t="s">
        <v>6375</v>
      </c>
      <c r="E2643" s="3" t="str">
        <f>HYPERLINK("https://www.amazon.com/Sisley-Phyto-Infused-Second-Foundation/dp/B09MZ82V4B/ref=sr_1_2?keywords=Sisley+phyto+teint+nude+water+infused+second+skin+foundation+-&amp;qid=1695259537&amp;sr=8-2", "https://www.amazon.com/Sisley-Phyto-Infused-Second-Foundation/dp/B09MZ82V4B/ref=sr_1_2?keywords=Sisley+phyto+teint+nude+water+infused+second+skin+foundation+-&amp;qid=1695259537&amp;sr=8-2")</f>
        <v>https://www.amazon.com/Sisley-Phyto-Infused-Second-Foundation/dp/B09MZ82V4B/ref=sr_1_2?keywords=Sisley+phyto+teint+nude+water+infused+second+skin+foundation+-&amp;qid=1695259537&amp;sr=8-2</v>
      </c>
      <c r="F2643" t="s">
        <v>6376</v>
      </c>
      <c r="G2643" t="e">
        <f ca="1">IMAGE("https://prolisok-store.com/cdn/shop/products/424057_300x.jpg?v=1690900609")</f>
        <v>#NAME?</v>
      </c>
      <c r="H2643" t="e">
        <f ca="1">IMAGE("https://m.media-amazon.com/images/I/41HQbfmUXcL._AC_UL320_.jpg")</f>
        <v>#NAME?</v>
      </c>
      <c r="I2643" t="s">
        <v>6257</v>
      </c>
      <c r="J2643">
        <v>75.959999999999994</v>
      </c>
      <c r="K2643" s="2" t="s">
        <v>6500</v>
      </c>
      <c r="L2643">
        <v>5</v>
      </c>
      <c r="M2643">
        <v>1</v>
      </c>
      <c r="O2643" t="s">
        <v>26</v>
      </c>
      <c r="P2643" t="s">
        <v>39</v>
      </c>
      <c r="Q2643" t="s">
        <v>6261</v>
      </c>
    </row>
    <row r="2644" spans="1:17" ht="15.75" x14ac:dyDescent="0.25">
      <c r="A2644" s="3" t="str">
        <f>HYPERLINK("https://prolisok-store.com/collections/makeup/products/sisley-phyto-teint-nude-water-infused-second-skin-foundation-4c-honey-30ml-1oz", "https://prolisok-store.com/collections/makeup/products/sisley-phyto-teint-nude-water-infused-second-skin-foundation-4c-honey-30ml-1oz")</f>
        <v>https://prolisok-store.com/collections/makeup/products/sisley-phyto-teint-nude-water-infused-second-skin-foundation-4c-honey-30ml-1oz</v>
      </c>
      <c r="B2644" s="3" t="str">
        <f>HYPERLINK("https://prolisok-store.com/products/sisley-phyto-teint-nude-water-infused-second-skin-foundation-4c-honey-30ml-1oz", "https://prolisok-store.com/products/sisley-phyto-teint-nude-water-infused-second-skin-foundation-4c-honey-30ml-1oz")</f>
        <v>https://prolisok-store.com/products/sisley-phyto-teint-nude-water-infused-second-skin-foundation-4c-honey-30ml-1oz</v>
      </c>
      <c r="C2644" t="s">
        <v>6256</v>
      </c>
      <c r="D2644" t="s">
        <v>6375</v>
      </c>
      <c r="E2644" s="3" t="str">
        <f>HYPERLINK("https://www.amazon.com/Sisley-Phyto-Infused-Second-Foundation/dp/B09MZ82V4B/ref=sr_1_2?keywords=Sisley+phyto+teint+nude+water+infused+second+skin+foundation+-&amp;qid=1695259516&amp;sr=8-2", "https://www.amazon.com/Sisley-Phyto-Infused-Second-Foundation/dp/B09MZ82V4B/ref=sr_1_2?keywords=Sisley+phyto+teint+nude+water+infused+second+skin+foundation+-&amp;qid=1695259516&amp;sr=8-2")</f>
        <v>https://www.amazon.com/Sisley-Phyto-Infused-Second-Foundation/dp/B09MZ82V4B/ref=sr_1_2?keywords=Sisley+phyto+teint+nude+water+infused+second+skin+foundation+-&amp;qid=1695259516&amp;sr=8-2</v>
      </c>
      <c r="F2644" t="s">
        <v>6376</v>
      </c>
      <c r="G2644" t="e">
        <f ca="1">IMAGE("https://prolisok-store.com/cdn/shop/products/424059_300x.jpg?v=1690900611")</f>
        <v>#NAME?</v>
      </c>
      <c r="H2644" t="e">
        <f ca="1">IMAGE("https://m.media-amazon.com/images/I/41HQbfmUXcL._AC_UL320_.jpg")</f>
        <v>#NAME?</v>
      </c>
      <c r="I2644" t="s">
        <v>6257</v>
      </c>
      <c r="J2644">
        <v>75.95</v>
      </c>
      <c r="K2644" s="2" t="s">
        <v>6501</v>
      </c>
      <c r="L2644">
        <v>5</v>
      </c>
      <c r="M2644">
        <v>1</v>
      </c>
      <c r="O2644" t="s">
        <v>26</v>
      </c>
      <c r="P2644" t="s">
        <v>39</v>
      </c>
      <c r="Q2644" t="s">
        <v>6259</v>
      </c>
    </row>
    <row r="2645" spans="1:17" ht="15.75" x14ac:dyDescent="0.25">
      <c r="A2645" s="3" t="str">
        <f>HYPERLINK("https://prolisok-store.com/collections/makeup/products/sisley-lorchidee-highlighter-blush-with-white-lily-peach-15g-0-52oz", "https://prolisok-store.com/collections/makeup/products/sisley-lorchidee-highlighter-blush-with-white-lily-peach-15g-0-52oz")</f>
        <v>https://prolisok-store.com/collections/makeup/products/sisley-lorchidee-highlighter-blush-with-white-lily-peach-15g-0-52oz</v>
      </c>
      <c r="B2645" s="3" t="str">
        <f>HYPERLINK("https://prolisok-store.com/products/sisley-lorchidee-highlighter-blush-with-white-lily-peach-15g-0-52oz", "https://prolisok-store.com/products/sisley-lorchidee-highlighter-blush-with-white-lily-peach-15g-0-52oz")</f>
        <v>https://prolisok-store.com/products/sisley-lorchidee-highlighter-blush-with-white-lily-peach-15g-0-52oz</v>
      </c>
      <c r="C2645" t="s">
        <v>6502</v>
      </c>
      <c r="D2645" t="s">
        <v>6392</v>
      </c>
      <c r="E2645" s="3" t="str">
        <f>HYPERLINK("https://www.amazon.com/Sisley-Womens-Lorchidee-Highlighter-Blush/dp/B00D2UYHHW/ref=sr_1_3?keywords=Sisley+l%27orchidee+highlighter+blush+with+white+lily+peach+15g%2F0.52oz&amp;qid=1695259525&amp;sr=8-3", "https://www.amazon.com/Sisley-Womens-Lorchidee-Highlighter-Blush/dp/B00D2UYHHW/ref=sr_1_3?keywords=Sisley+l%27orchidee+highlighter+blush+with+white+lily+peach+15g%2F0.52oz&amp;qid=1695259525&amp;sr=8-3")</f>
        <v>https://www.amazon.com/Sisley-Womens-Lorchidee-Highlighter-Blush/dp/B00D2UYHHW/ref=sr_1_3?keywords=Sisley+l%27orchidee+highlighter+blush+with+white+lily+peach+15g%2F0.52oz&amp;qid=1695259525&amp;sr=8-3</v>
      </c>
      <c r="F2645" t="s">
        <v>6393</v>
      </c>
      <c r="G2645" t="e">
        <f ca="1">IMAGE("https://prolisok-store.com/cdn/shop/products/225965_300x.jpg?v=1690900983")</f>
        <v>#NAME?</v>
      </c>
      <c r="H2645" t="e">
        <f ca="1">IMAGE("https://m.media-amazon.com/images/I/7133Cmy1bOL._AC_UL320_.jpg")</f>
        <v>#NAME?</v>
      </c>
      <c r="I2645" t="s">
        <v>6503</v>
      </c>
      <c r="J2645">
        <v>86.55</v>
      </c>
      <c r="K2645" s="2" t="s">
        <v>6504</v>
      </c>
      <c r="L2645">
        <v>4.4000000000000004</v>
      </c>
      <c r="M2645">
        <v>15</v>
      </c>
      <c r="O2645" t="s">
        <v>26</v>
      </c>
      <c r="P2645" t="s">
        <v>39</v>
      </c>
      <c r="Q2645" t="s">
        <v>6505</v>
      </c>
    </row>
    <row r="2646" spans="1:17" ht="15.75" x14ac:dyDescent="0.25">
      <c r="A2646" s="3" t="str">
        <f>HYPERLINK("https://prolisok-store.com/collections/makeup/products/estee-lauder-bronze-goddess-powder-bronzer-02-medium-21g-0-74oz", "https://prolisok-store.com/collections/makeup/products/estee-lauder-bronze-goddess-powder-bronzer-02-medium-21g-0-74oz")</f>
        <v>https://prolisok-store.com/collections/makeup/products/estee-lauder-bronze-goddess-powder-bronzer-02-medium-21g-0-74oz</v>
      </c>
      <c r="B2646" s="3" t="str">
        <f>HYPERLINK("https://prolisok-store.com/products/estee-lauder-bronze-goddess-powder-bronzer-02-medium-21g-0-74oz", "https://prolisok-store.com/products/estee-lauder-bronze-goddess-powder-bronzer-02-medium-21g-0-74oz")</f>
        <v>https://prolisok-store.com/products/estee-lauder-bronze-goddess-powder-bronzer-02-medium-21g-0-74oz</v>
      </c>
      <c r="C2646" t="s">
        <v>6506</v>
      </c>
      <c r="D2646" t="s">
        <v>6507</v>
      </c>
      <c r="E2646" s="3" t="str">
        <f>HYPERLINK("https://www.amazon.com/GODDESS-bronzer-02-medium-Estee-Lauder/dp/B00IIO9W5O/ref=sr_1_7?keywords=Estee+Lauder+bronze+goddess+powder+bronzer+-&amp;qid=1695259521&amp;sr=8-7", "https://www.amazon.com/GODDESS-bronzer-02-medium-Estee-Lauder/dp/B00IIO9W5O/ref=sr_1_7?keywords=Estee+Lauder+bronze+goddess+powder+bronzer+-&amp;qid=1695259521&amp;sr=8-7")</f>
        <v>https://www.amazon.com/GODDESS-bronzer-02-medium-Estee-Lauder/dp/B00IIO9W5O/ref=sr_1_7?keywords=Estee+Lauder+bronze+goddess+powder+bronzer+-&amp;qid=1695259521&amp;sr=8-7</v>
      </c>
      <c r="F2646" t="s">
        <v>6508</v>
      </c>
      <c r="G2646" t="e">
        <f ca="1">IMAGE("https://prolisok-store.com/cdn/shop/products/243012_300x.jpg?v=1690900207")</f>
        <v>#NAME?</v>
      </c>
      <c r="H2646" t="e">
        <f ca="1">IMAGE("https://m.media-amazon.com/images/I/71EwcEMaCmL._AC_UL320_.jpg")</f>
        <v>#NAME?</v>
      </c>
      <c r="I2646" t="s">
        <v>6509</v>
      </c>
      <c r="J2646">
        <v>43.58</v>
      </c>
      <c r="K2646" s="2" t="s">
        <v>6510</v>
      </c>
      <c r="L2646">
        <v>4.5999999999999996</v>
      </c>
      <c r="M2646">
        <v>5</v>
      </c>
      <c r="O2646" t="s">
        <v>26</v>
      </c>
      <c r="P2646" t="s">
        <v>39</v>
      </c>
      <c r="Q2646" t="s">
        <v>6511</v>
      </c>
    </row>
    <row r="2647" spans="1:17" ht="15.75" x14ac:dyDescent="0.25">
      <c r="A2647" s="3" t="str">
        <f>HYPERLINK("https://prolisok-store.com/collections/makeup/products/mac-studio-fix-powder-plus-foundation-nc15-15g-0-52oz", "https://prolisok-store.com/collections/makeup/products/mac-studio-fix-powder-plus-foundation-nc15-15g-0-52oz")</f>
        <v>https://prolisok-store.com/collections/makeup/products/mac-studio-fix-powder-plus-foundation-nc15-15g-0-52oz</v>
      </c>
      <c r="B2647" s="3" t="str">
        <f>HYPERLINK("https://prolisok-store.com/products/mac-studio-fix-powder-plus-foundation-nc15-15g-0-52oz", "https://prolisok-store.com/products/mac-studio-fix-powder-plus-foundation-nc15-15g-0-52oz")</f>
        <v>https://prolisok-store.com/products/mac-studio-fix-powder-plus-foundation-nc15-15g-0-52oz</v>
      </c>
      <c r="C2647" t="s">
        <v>6108</v>
      </c>
      <c r="D2647" t="s">
        <v>6512</v>
      </c>
      <c r="E2647" s="3" t="str">
        <f>HYPERLINK("https://www.amazon.com/Studio-Powder-Plus-Foundation-0-52/dp/B071X5Z88H/ref=sr_1_3?keywords=MAC+studio+fix+powder+plus+foundation+-+nc15+-15g%2F0.52oz&amp;qid=1695259539&amp;sr=8-3", "https://www.amazon.com/Studio-Powder-Plus-Foundation-0-52/dp/B071X5Z88H/ref=sr_1_3?keywords=MAC+studio+fix+powder+plus+foundation+-+nc15+-15g%2F0.52oz&amp;qid=1695259539&amp;sr=8-3")</f>
        <v>https://www.amazon.com/Studio-Powder-Plus-Foundation-0-52/dp/B071X5Z88H/ref=sr_1_3?keywords=MAC+studio+fix+powder+plus+foundation+-+nc15+-15g%2F0.52oz&amp;qid=1695259539&amp;sr=8-3</v>
      </c>
      <c r="F2647" t="s">
        <v>6513</v>
      </c>
      <c r="G2647" t="e">
        <f ca="1">IMAGE("https://prolisok-store.com/cdn/shop/products/347384_300x.jpg?v=1690393863")</f>
        <v>#NAME?</v>
      </c>
      <c r="H2647" t="e">
        <f ca="1">IMAGE("https://m.media-amazon.com/images/I/51q-owJ-krL._AC_UL320_.jpg")</f>
        <v>#NAME?</v>
      </c>
      <c r="I2647" t="s">
        <v>6111</v>
      </c>
      <c r="J2647">
        <v>29.25</v>
      </c>
      <c r="K2647" s="2" t="s">
        <v>6514</v>
      </c>
      <c r="L2647">
        <v>4.7</v>
      </c>
      <c r="M2647">
        <v>1755</v>
      </c>
      <c r="O2647" t="s">
        <v>26</v>
      </c>
      <c r="P2647" t="s">
        <v>39</v>
      </c>
      <c r="Q2647" t="s">
        <v>6113</v>
      </c>
    </row>
    <row r="2648" spans="1:17" ht="15.75" x14ac:dyDescent="0.25">
      <c r="A2648" s="3" t="str">
        <f>HYPERLINK("https://prolisok-store.com/collections/makeup/products/estee-lauder-double-wear-stay-in-place-flawless-wear-concealer-1c-light-cool-7ml-0-24oz", "https://prolisok-store.com/collections/makeup/products/estee-lauder-double-wear-stay-in-place-flawless-wear-concealer-1c-light-cool-7ml-0-24oz")</f>
        <v>https://prolisok-store.com/collections/makeup/products/estee-lauder-double-wear-stay-in-place-flawless-wear-concealer-1c-light-cool-7ml-0-24oz</v>
      </c>
      <c r="B2648" s="3" t="str">
        <f>HYPERLINK("https://prolisok-store.com/products/estee-lauder-double-wear-stay-in-place-flawless-wear-concealer-1c-light-cool-7ml-0-24oz", "https://prolisok-store.com/products/estee-lauder-double-wear-stay-in-place-flawless-wear-concealer-1c-light-cool-7ml-0-24oz")</f>
        <v>https://prolisok-store.com/products/estee-lauder-double-wear-stay-in-place-flawless-wear-concealer-1c-light-cool-7ml-0-24oz</v>
      </c>
      <c r="C2648" t="s">
        <v>6515</v>
      </c>
      <c r="D2648" t="s">
        <v>6442</v>
      </c>
      <c r="E2648" s="3" t="str">
        <f>HYPERLINK("https://www.amazon.com/Estee-Lauder-Double-Flawless-Concealer/dp/B07W68ZCQM/ref=sr_1_2?keywords=Estee+Lauder+double+wear+stay+in+place+flawless+wear+concealer+-+%23+1c+light+%28cool%29+7ml%2F0.24oz&amp;qid=1695259520&amp;sr=8-2", "https://www.amazon.com/Estee-Lauder-Double-Flawless-Concealer/dp/B07W68ZCQM/ref=sr_1_2?keywords=Estee+Lauder+double+wear+stay+in+place+flawless+wear+concealer+-+%23+1c+light+%28cool%29+7ml%2F0.24oz&amp;qid=1695259520&amp;sr=8-2")</f>
        <v>https://www.amazon.com/Estee-Lauder-Double-Flawless-Concealer/dp/B07W68ZCQM/ref=sr_1_2?keywords=Estee+Lauder+double+wear+stay+in+place+flawless+wear+concealer+-+%23+1c+light+%28cool%29+7ml%2F0.24oz&amp;qid=1695259520&amp;sr=8-2</v>
      </c>
      <c r="F2648" t="s">
        <v>6443</v>
      </c>
      <c r="G2648" t="e">
        <f ca="1">IMAGE("https://prolisok-store.com/cdn/shop/products/310676_300x.jpg?v=1690900181")</f>
        <v>#NAME?</v>
      </c>
      <c r="H2648" t="e">
        <f ca="1">IMAGE("https://m.media-amazon.com/images/I/51IYHGlHbXL._AC_UL320_.jpg")</f>
        <v>#NAME?</v>
      </c>
      <c r="I2648" t="s">
        <v>6516</v>
      </c>
      <c r="J2648">
        <v>27.71</v>
      </c>
      <c r="K2648" s="2" t="s">
        <v>6517</v>
      </c>
      <c r="L2648">
        <v>4.0999999999999996</v>
      </c>
      <c r="M2648">
        <v>22</v>
      </c>
      <c r="O2648" t="s">
        <v>26</v>
      </c>
      <c r="P2648" t="s">
        <v>39</v>
      </c>
      <c r="Q2648" t="s">
        <v>6518</v>
      </c>
    </row>
    <row r="2649" spans="1:17" ht="15.75" x14ac:dyDescent="0.25">
      <c r="A2649" s="3" t="str">
        <f>HYPERLINK("https://prolisok-store.com/collections/makeup/products/sisley-phyto-sourcils-design-3-in-1-brow-architect-pencil-1-cappuccino-2x0-2g-0-007oz", "https://prolisok-store.com/collections/makeup/products/sisley-phyto-sourcils-design-3-in-1-brow-architect-pencil-1-cappuccino-2x0-2g-0-007oz")</f>
        <v>https://prolisok-store.com/collections/makeup/products/sisley-phyto-sourcils-design-3-in-1-brow-architect-pencil-1-cappuccino-2x0-2g-0-007oz</v>
      </c>
      <c r="B2649" s="3" t="str">
        <f>HYPERLINK("https://prolisok-store.com/products/sisley-phyto-sourcils-design-3-in-1-brow-architect-pencil-1-cappuccino-2x0-2g-0-007oz", "https://prolisok-store.com/products/sisley-phyto-sourcils-design-3-in-1-brow-architect-pencil-1-cappuccino-2x0-2g-0-007oz")</f>
        <v>https://prolisok-store.com/products/sisley-phyto-sourcils-design-3-in-1-brow-architect-pencil-1-cappuccino-2x0-2g-0-007oz</v>
      </c>
      <c r="C2649" t="s">
        <v>6244</v>
      </c>
      <c r="D2649" t="s">
        <v>6519</v>
      </c>
      <c r="E2649" s="3" t="str">
        <f>HYPERLINK("https://www.amazon.com/Sisley-Sourcils-Design-Architect-Pencil/dp/B075PL35XB/ref=sr_1_2?keywords=Sisley+phyto+sourcils+design+3+in+1+brow+architect+pencil+-&amp;qid=1695259500&amp;sr=8-2", "https://www.amazon.com/Sisley-Sourcils-Design-Architect-Pencil/dp/B075PL35XB/ref=sr_1_2?keywords=Sisley+phyto+sourcils+design+3+in+1+brow+architect+pencil+-&amp;qid=1695259500&amp;sr=8-2")</f>
        <v>https://www.amazon.com/Sisley-Sourcils-Design-Architect-Pencil/dp/B075PL35XB/ref=sr_1_2?keywords=Sisley+phyto+sourcils+design+3+in+1+brow+architect+pencil+-&amp;qid=1695259500&amp;sr=8-2</v>
      </c>
      <c r="F2649" t="s">
        <v>6520</v>
      </c>
      <c r="G2649" t="e">
        <f ca="1">IMAGE("https://prolisok-store.com/cdn/shop/products/303984_300x.jpg?v=1690900818")</f>
        <v>#NAME?</v>
      </c>
      <c r="H2649" t="e">
        <f ca="1">IMAGE("https://m.media-amazon.com/images/I/51ThB7Bt7HL._AC_UL320_.jpg")</f>
        <v>#NAME?</v>
      </c>
      <c r="I2649" t="s">
        <v>6247</v>
      </c>
      <c r="J2649">
        <v>51.05</v>
      </c>
      <c r="K2649" s="2" t="s">
        <v>6521</v>
      </c>
      <c r="L2649">
        <v>3.5</v>
      </c>
      <c r="M2649">
        <v>4</v>
      </c>
      <c r="O2649" t="s">
        <v>26</v>
      </c>
      <c r="P2649" t="s">
        <v>39</v>
      </c>
      <c r="Q2649" t="s">
        <v>6249</v>
      </c>
    </row>
    <row r="2650" spans="1:17" ht="15.75" x14ac:dyDescent="0.25">
      <c r="A2650" s="3" t="str">
        <f>HYPERLINK("https://prolisok-store.com/collections/makeup/products/sisley-phyto-cernes-eclat-eye-concealer-01-15ml-0-61oz", "https://prolisok-store.com/collections/makeup/products/sisley-phyto-cernes-eclat-eye-concealer-01-15ml-0-61oz")</f>
        <v>https://prolisok-store.com/collections/makeup/products/sisley-phyto-cernes-eclat-eye-concealer-01-15ml-0-61oz</v>
      </c>
      <c r="B2650" s="3" t="str">
        <f>HYPERLINK("https://prolisok-store.com/products/sisley-phyto-cernes-eclat-eye-concealer-01-15ml-0-61oz", "https://prolisok-store.com/products/sisley-phyto-cernes-eclat-eye-concealer-01-15ml-0-61oz")</f>
        <v>https://prolisok-store.com/products/sisley-phyto-cernes-eclat-eye-concealer-01-15ml-0-61oz</v>
      </c>
      <c r="C2650" t="s">
        <v>6522</v>
      </c>
      <c r="D2650" t="s">
        <v>6121</v>
      </c>
      <c r="E2650" s="3" t="str">
        <f>HYPERLINK("https://www.amazon.com/Sisley-Phyto-Cernes-Eclat-Concealer/dp/B00KCJDAJW/ref=sr_1_2?keywords=Sisley+phyto+cernes+eclat+eye+concealer+-+%23+01+15ml%2F0.61oz&amp;qid=1695259488&amp;sr=8-2", "https://www.amazon.com/Sisley-Phyto-Cernes-Eclat-Concealer/dp/B00KCJDAJW/ref=sr_1_2?keywords=Sisley+phyto+cernes+eclat+eye+concealer+-+%23+01+15ml%2F0.61oz&amp;qid=1695259488&amp;sr=8-2")</f>
        <v>https://www.amazon.com/Sisley-Phyto-Cernes-Eclat-Concealer/dp/B00KCJDAJW/ref=sr_1_2?keywords=Sisley+phyto+cernes+eclat+eye+concealer+-+%23+01+15ml%2F0.61oz&amp;qid=1695259488&amp;sr=8-2</v>
      </c>
      <c r="F2650" t="s">
        <v>6122</v>
      </c>
      <c r="G2650" t="e">
        <f ca="1">IMAGE("https://prolisok-store.com/cdn/shop/products/142850_300x.jpg?v=1690900881")</f>
        <v>#NAME?</v>
      </c>
      <c r="H2650" t="e">
        <f ca="1">IMAGE("https://m.media-amazon.com/images/I/61YMq+P6a7L._AC_UL320_.jpg")</f>
        <v>#NAME?</v>
      </c>
      <c r="I2650" t="s">
        <v>6459</v>
      </c>
      <c r="J2650">
        <v>82.5</v>
      </c>
      <c r="K2650" s="2" t="s">
        <v>6523</v>
      </c>
      <c r="L2650">
        <v>5</v>
      </c>
      <c r="M2650">
        <v>2</v>
      </c>
      <c r="O2650" t="s">
        <v>26</v>
      </c>
      <c r="P2650" t="s">
        <v>39</v>
      </c>
      <c r="Q2650" t="s">
        <v>6524</v>
      </c>
    </row>
    <row r="2651" spans="1:17" ht="15.75" x14ac:dyDescent="0.25">
      <c r="A2651" s="3" t="str">
        <f>HYPERLINK("https://prolisok-store.com/collections/makeup/products/sisley-phyto-cernes-eclat-eye-concealer-03-15ml-0-61oz", "https://prolisok-store.com/collections/makeup/products/sisley-phyto-cernes-eclat-eye-concealer-03-15ml-0-61oz")</f>
        <v>https://prolisok-store.com/collections/makeup/products/sisley-phyto-cernes-eclat-eye-concealer-03-15ml-0-61oz</v>
      </c>
      <c r="B2651" s="3" t="str">
        <f>HYPERLINK("https://prolisok-store.com/products/sisley-phyto-cernes-eclat-eye-concealer-03-15ml-0-61oz", "https://prolisok-store.com/products/sisley-phyto-cernes-eclat-eye-concealer-03-15ml-0-61oz")</f>
        <v>https://prolisok-store.com/products/sisley-phyto-cernes-eclat-eye-concealer-03-15ml-0-61oz</v>
      </c>
      <c r="C2651" t="s">
        <v>6456</v>
      </c>
      <c r="D2651" t="s">
        <v>6121</v>
      </c>
      <c r="E2651" s="3" t="str">
        <f>HYPERLINK("https://www.amazon.com/Sisley-Phyto-Cernes-Eclat-Concealer/dp/B00KCJDAJW/ref=sr_1_3?keywords=Sisley+phyto+cernes+eclat+eye+concealer+-+%23+03+15ml%2F0.61oz&amp;qid=1695259509&amp;sr=8-3", "https://www.amazon.com/Sisley-Phyto-Cernes-Eclat-Concealer/dp/B00KCJDAJW/ref=sr_1_3?keywords=Sisley+phyto+cernes+eclat+eye+concealer+-+%23+03+15ml%2F0.61oz&amp;qid=1695259509&amp;sr=8-3")</f>
        <v>https://www.amazon.com/Sisley-Phyto-Cernes-Eclat-Concealer/dp/B00KCJDAJW/ref=sr_1_3?keywords=Sisley+phyto+cernes+eclat+eye+concealer+-+%23+03+15ml%2F0.61oz&amp;qid=1695259509&amp;sr=8-3</v>
      </c>
      <c r="F2651" t="s">
        <v>6122</v>
      </c>
      <c r="G2651" t="e">
        <f ca="1">IMAGE("https://prolisok-store.com/cdn/shop/products/250169_300x.jpg?v=1690901009")</f>
        <v>#NAME?</v>
      </c>
      <c r="H2651" t="e">
        <f ca="1">IMAGE("https://m.media-amazon.com/images/I/61YMq+P6a7L._AC_UL320_.jpg")</f>
        <v>#NAME?</v>
      </c>
      <c r="I2651" t="s">
        <v>6459</v>
      </c>
      <c r="J2651">
        <v>82.5</v>
      </c>
      <c r="K2651" s="2" t="s">
        <v>6523</v>
      </c>
      <c r="L2651">
        <v>5</v>
      </c>
      <c r="M2651">
        <v>2</v>
      </c>
      <c r="O2651" t="s">
        <v>26</v>
      </c>
      <c r="P2651" t="s">
        <v>39</v>
      </c>
      <c r="Q2651" t="s">
        <v>6461</v>
      </c>
    </row>
    <row r="2652" spans="1:17" ht="15.75" x14ac:dyDescent="0.25">
      <c r="A2652" s="3" t="str">
        <f>HYPERLINK("https://prolisok-store.com/collections/makeup/products/clinique-by-clinique-chubby-stick-intense-moisturizing-lip-colour-balm-no-1-caramel-3g-0-1oz", "https://prolisok-store.com/collections/makeup/products/clinique-by-clinique-chubby-stick-intense-moisturizing-lip-colour-balm-no-1-caramel-3g-0-1oz")</f>
        <v>https://prolisok-store.com/collections/makeup/products/clinique-by-clinique-chubby-stick-intense-moisturizing-lip-colour-balm-no-1-caramel-3g-0-1oz</v>
      </c>
      <c r="B2652" s="3" t="str">
        <f>HYPERLINK("https://prolisok-store.com/products/clinique-by-clinique-chubby-stick-intense-moisturizing-lip-colour-balm-no-1-caramel-3g-0-1oz", "https://prolisok-store.com/products/clinique-by-clinique-chubby-stick-intense-moisturizing-lip-colour-balm-no-1-caramel-3g-0-1oz")</f>
        <v>https://prolisok-store.com/products/clinique-by-clinique-chubby-stick-intense-moisturizing-lip-colour-balm-no-1-caramel-3g-0-1oz</v>
      </c>
      <c r="C2652" t="s">
        <v>6525</v>
      </c>
      <c r="D2652" t="s">
        <v>6526</v>
      </c>
      <c r="E2652" s="3" t="str">
        <f>HYPERLINK("https://www.amazon.com/Clinique-Intense-Moisturizing-Curviest-Caramel/dp/B00AATN2II/ref=sr_1_1?keywords=Clinique+Chubby+Stick+Intense+Moisturizing+Lip+Colour+Balm+%2301+Curviest+Caramel+--3g%2F0.10oz&amp;qid=1695259559&amp;sr=8-1", "https://www.amazon.com/Clinique-Intense-Moisturizing-Curviest-Caramel/dp/B00AATN2II/ref=sr_1_1?keywords=Clinique+Chubby+Stick+Intense+Moisturizing+Lip+Colour+Balm+%2301+Curviest+Caramel+--3g%2F0.10oz&amp;qid=1695259559&amp;sr=8-1")</f>
        <v>https://www.amazon.com/Clinique-Intense-Moisturizing-Curviest-Caramel/dp/B00AATN2II/ref=sr_1_1?keywords=Clinique+Chubby+Stick+Intense+Moisturizing+Lip+Colour+Balm+%2301+Curviest+Caramel+--3g%2F0.10oz&amp;qid=1695259559&amp;sr=8-1</v>
      </c>
      <c r="F2652" t="s">
        <v>6527</v>
      </c>
      <c r="G2652" t="e">
        <f ca="1">IMAGE("https://prolisok-store.com/cdn/shop/products/239831_300x.jpg?v=1688060510")</f>
        <v>#NAME?</v>
      </c>
      <c r="H2652" t="e">
        <f ca="1">IMAGE("https://m.media-amazon.com/images/I/41VVSF5O8iL._AC_UL320_.jpg")</f>
        <v>#NAME?</v>
      </c>
      <c r="I2652" t="s">
        <v>6086</v>
      </c>
      <c r="J2652">
        <v>16.07</v>
      </c>
      <c r="K2652" s="2" t="s">
        <v>5725</v>
      </c>
      <c r="L2652">
        <v>4.5999999999999996</v>
      </c>
      <c r="M2652">
        <v>1044</v>
      </c>
      <c r="O2652" t="s">
        <v>26</v>
      </c>
      <c r="P2652" t="s">
        <v>39</v>
      </c>
      <c r="Q2652" t="s">
        <v>6528</v>
      </c>
    </row>
    <row r="2653" spans="1:17" ht="15.75" x14ac:dyDescent="0.25">
      <c r="A2653" s="3" t="str">
        <f>HYPERLINK("https://prolisok-store.com/collections/makeup/products/sisley-phyto-lip-twist-7-coral-2-5g-0-08oz", "https://prolisok-store.com/collections/makeup/products/sisley-phyto-lip-twist-7-coral-2-5g-0-08oz")</f>
        <v>https://prolisok-store.com/collections/makeup/products/sisley-phyto-lip-twist-7-coral-2-5g-0-08oz</v>
      </c>
      <c r="B2653" s="3" t="str">
        <f>HYPERLINK("https://prolisok-store.com/products/sisley-phyto-lip-twist-7-coral-2-5g-0-08oz", "https://prolisok-store.com/products/sisley-phyto-lip-twist-7-coral-2-5g-0-08oz")</f>
        <v>https://prolisok-store.com/products/sisley-phyto-lip-twist-7-coral-2-5g-0-08oz</v>
      </c>
      <c r="C2653" t="s">
        <v>6529</v>
      </c>
      <c r="D2653" t="s">
        <v>6530</v>
      </c>
      <c r="E2653" s="3" t="str">
        <f>HYPERLINK("https://www.amazon.com/Sisley-Phyto-Lip-Twist-Coral-Lipstick/dp/B00TGS2FTG/ref=sr_1_3?keywords=Sisley+phyto+lip+twist+-&amp;qid=1695259522&amp;sr=8-3", "https://www.amazon.com/Sisley-Phyto-Lip-Twist-Coral-Lipstick/dp/B00TGS2FTG/ref=sr_1_3?keywords=Sisley+phyto+lip+twist+-&amp;qid=1695259522&amp;sr=8-3")</f>
        <v>https://www.amazon.com/Sisley-Phyto-Lip-Twist-Coral-Lipstick/dp/B00TGS2FTG/ref=sr_1_3?keywords=Sisley+phyto+lip+twist+-&amp;qid=1695259522&amp;sr=8-3</v>
      </c>
      <c r="F2653" t="s">
        <v>6531</v>
      </c>
      <c r="G2653" t="e">
        <f ca="1">IMAGE("https://prolisok-store.com/cdn/shop/products/268463_300x.jpg?v=1690900960")</f>
        <v>#NAME?</v>
      </c>
      <c r="H2653" t="e">
        <f ca="1">IMAGE("https://m.media-amazon.com/images/I/519Dq-Kea1L._AC_UL320_.jpg")</f>
        <v>#NAME?</v>
      </c>
      <c r="I2653" t="s">
        <v>5954</v>
      </c>
      <c r="J2653">
        <v>38.36</v>
      </c>
      <c r="K2653" s="2" t="s">
        <v>6532</v>
      </c>
      <c r="L2653">
        <v>5</v>
      </c>
      <c r="M2653">
        <v>6</v>
      </c>
      <c r="O2653" t="s">
        <v>26</v>
      </c>
      <c r="P2653" t="s">
        <v>39</v>
      </c>
      <c r="Q2653" t="s">
        <v>6533</v>
      </c>
    </row>
    <row r="2654" spans="1:17" ht="15.75" x14ac:dyDescent="0.25">
      <c r="A2654" s="3" t="str">
        <f>HYPERLINK("https://prolisok-store.com/collections/makeup/products/estee-lauder-double-wear-stay-in-place-flawless-wear-concealer-1c-light-cool-7ml-0-24oz", "https://prolisok-store.com/collections/makeup/products/estee-lauder-double-wear-stay-in-place-flawless-wear-concealer-1c-light-cool-7ml-0-24oz")</f>
        <v>https://prolisok-store.com/collections/makeup/products/estee-lauder-double-wear-stay-in-place-flawless-wear-concealer-1c-light-cool-7ml-0-24oz</v>
      </c>
      <c r="B2654" s="3" t="str">
        <f>HYPERLINK("https://prolisok-store.com/products/estee-lauder-double-wear-stay-in-place-flawless-wear-concealer-1c-light-cool-7ml-0-24oz", "https://prolisok-store.com/products/estee-lauder-double-wear-stay-in-place-flawless-wear-concealer-1c-light-cool-7ml-0-24oz")</f>
        <v>https://prolisok-store.com/products/estee-lauder-double-wear-stay-in-place-flawless-wear-concealer-1c-light-cool-7ml-0-24oz</v>
      </c>
      <c r="C2654" t="s">
        <v>6515</v>
      </c>
      <c r="D2654" t="s">
        <v>6534</v>
      </c>
      <c r="E2654" s="3" t="str">
        <f>HYPERLINK("https://www.amazon.com/Estee-Lauder-Double-Flawless-Concealer/dp/B00AUNLIWG/ref=sr_1_4?keywords=Estee+Lauder+double+wear+stay+in+place+flawless+wear+concealer+-+%23+1c+light+%28cool%29+7ml%2F0.24oz&amp;qid=1695259520&amp;sr=8-4", "https://www.amazon.com/Estee-Lauder-Double-Flawless-Concealer/dp/B00AUNLIWG/ref=sr_1_4?keywords=Estee+Lauder+double+wear+stay+in+place+flawless+wear+concealer+-+%23+1c+light+%28cool%29+7ml%2F0.24oz&amp;qid=1695259520&amp;sr=8-4")</f>
        <v>https://www.amazon.com/Estee-Lauder-Double-Flawless-Concealer/dp/B00AUNLIWG/ref=sr_1_4?keywords=Estee+Lauder+double+wear+stay+in+place+flawless+wear+concealer+-+%23+1c+light+%28cool%29+7ml%2F0.24oz&amp;qid=1695259520&amp;sr=8-4</v>
      </c>
      <c r="F2654" t="s">
        <v>6535</v>
      </c>
      <c r="G2654" t="e">
        <f ca="1">IMAGE("https://prolisok-store.com/cdn/shop/products/310676_300x.jpg?v=1690900181")</f>
        <v>#NAME?</v>
      </c>
      <c r="H2654" t="e">
        <f ca="1">IMAGE("https://m.media-amazon.com/images/I/41+2pTcsf6L._AC_UL320_.jpg")</f>
        <v>#NAME?</v>
      </c>
      <c r="I2654" t="s">
        <v>6516</v>
      </c>
      <c r="J2654">
        <v>27.16</v>
      </c>
      <c r="K2654" s="2" t="s">
        <v>6536</v>
      </c>
      <c r="L2654">
        <v>4.5999999999999996</v>
      </c>
      <c r="M2654">
        <v>263</v>
      </c>
      <c r="O2654" t="s">
        <v>26</v>
      </c>
      <c r="P2654" t="s">
        <v>39</v>
      </c>
      <c r="Q2654" t="s">
        <v>6518</v>
      </c>
    </row>
    <row r="2655" spans="1:17" ht="15.75" x14ac:dyDescent="0.25">
      <c r="A2655" s="3" t="str">
        <f>HYPERLINK("https://prolisok-store.com/collections/makeup/products/clinique-by-clinique-take-the-day-off-make-up-remover-125ml-4-2oz", "https://prolisok-store.com/collections/makeup/products/clinique-by-clinique-take-the-day-off-make-up-remover-125ml-4-2oz")</f>
        <v>https://prolisok-store.com/collections/makeup/products/clinique-by-clinique-take-the-day-off-make-up-remover-125ml-4-2oz</v>
      </c>
      <c r="B2655" s="3" t="str">
        <f>HYPERLINK("https://prolisok-store.com/products/clinique-by-clinique-take-the-day-off-make-up-remover-125ml-4-2oz", "https://prolisok-store.com/products/clinique-by-clinique-take-the-day-off-make-up-remover-125ml-4-2oz")</f>
        <v>https://prolisok-store.com/products/clinique-by-clinique-take-the-day-off-make-up-remover-125ml-4-2oz</v>
      </c>
      <c r="C2655" t="s">
        <v>5997</v>
      </c>
      <c r="D2655" t="s">
        <v>6537</v>
      </c>
      <c r="E2655" s="3" t="str">
        <f>HYPERLINK("https://www.amazon.com/Clinique-Makeup-Remover-Lashes-Total/dp/B00XH96EEC/ref=sr_1_9?keywords=Clinique+take+the+day+off+make+up+remover+--125ml%2F4.2oz&amp;qid=1695259552&amp;sr=8-9", "https://www.amazon.com/Clinique-Makeup-Remover-Lashes-Total/dp/B00XH96EEC/ref=sr_1_9?keywords=Clinique+take+the+day+off+make+up+remover+--125ml%2F4.2oz&amp;qid=1695259552&amp;sr=8-9")</f>
        <v>https://www.amazon.com/Clinique-Makeup-Remover-Lashes-Total/dp/B00XH96EEC/ref=sr_1_9?keywords=Clinique+take+the+day+off+make+up+remover+--125ml%2F4.2oz&amp;qid=1695259552&amp;sr=8-9</v>
      </c>
      <c r="F2655" t="s">
        <v>6538</v>
      </c>
      <c r="G2655" t="e">
        <f ca="1">IMAGE("https://prolisok-store.com/cdn/shop/products/129645_300x.jpg?v=1688060465")</f>
        <v>#NAME?</v>
      </c>
      <c r="H2655" t="e">
        <f ca="1">IMAGE("https://m.media-amazon.com/images/I/61JvH-jm1rL._AC_UL320_.jpg")</f>
        <v>#NAME?</v>
      </c>
      <c r="I2655" t="s">
        <v>6000</v>
      </c>
      <c r="J2655">
        <v>17.989999999999998</v>
      </c>
      <c r="K2655" s="2" t="s">
        <v>6539</v>
      </c>
      <c r="L2655">
        <v>4.7</v>
      </c>
      <c r="M2655">
        <v>102</v>
      </c>
      <c r="O2655" t="s">
        <v>26</v>
      </c>
      <c r="P2655" t="s">
        <v>39</v>
      </c>
      <c r="Q2655" t="s">
        <v>6002</v>
      </c>
    </row>
    <row r="2656" spans="1:17" ht="15.75" x14ac:dyDescent="0.25">
      <c r="A2656" s="3" t="str">
        <f>HYPERLINK("https://prolisok-store.com/collections/makeup/products/mac-powder-kiss-lipstick-shocking-revelation-3g-0-1oz", "https://prolisok-store.com/collections/makeup/products/mac-powder-kiss-lipstick-shocking-revelation-3g-0-1oz")</f>
        <v>https://prolisok-store.com/collections/makeup/products/mac-powder-kiss-lipstick-shocking-revelation-3g-0-1oz</v>
      </c>
      <c r="B2656" s="3" t="str">
        <f>HYPERLINK("https://prolisok-store.com/products/mac-powder-kiss-lipstick-shocking-revelation-3g-0-1oz", "https://prolisok-store.com/products/mac-powder-kiss-lipstick-shocking-revelation-3g-0-1oz")</f>
        <v>https://prolisok-store.com/products/mac-powder-kiss-lipstick-shocking-revelation-3g-0-1oz</v>
      </c>
      <c r="C2656" t="s">
        <v>6540</v>
      </c>
      <c r="D2656" t="s">
        <v>6541</v>
      </c>
      <c r="E2656" s="3" t="str">
        <f>HYPERLINK("https://www.amazon.com/Powder-Kiss-Lipstick-Shocking-Revelation/dp/B07QGVM9Z6/ref=sr_1_1?keywords=MAC+powder+kiss+lipstick+-+shocking+revelation+-3g%2F0.1oz&amp;qid=1695259536&amp;sr=8-1", "https://www.amazon.com/Powder-Kiss-Lipstick-Shocking-Revelation/dp/B07QGVM9Z6/ref=sr_1_1?keywords=MAC+powder+kiss+lipstick+-+shocking+revelation+-3g%2F0.1oz&amp;qid=1695259536&amp;sr=8-1")</f>
        <v>https://www.amazon.com/Powder-Kiss-Lipstick-Shocking-Revelation/dp/B07QGVM9Z6/ref=sr_1_1?keywords=MAC+powder+kiss+lipstick+-+shocking+revelation+-3g%2F0.1oz&amp;qid=1695259536&amp;sr=8-1</v>
      </c>
      <c r="F2656" t="s">
        <v>6542</v>
      </c>
      <c r="G2656" t="e">
        <f ca="1">IMAGE("https://prolisok-store.com/cdn/shop/products/348148_300x.jpg?v=1690393903")</f>
        <v>#NAME?</v>
      </c>
      <c r="H2656" t="e">
        <f ca="1">IMAGE("https://m.media-amazon.com/images/I/31O6FPRNBJL._AC_UL320_.jpg")</f>
        <v>#NAME?</v>
      </c>
      <c r="I2656" t="s">
        <v>6360</v>
      </c>
      <c r="J2656">
        <v>19.32</v>
      </c>
      <c r="K2656" s="2" t="s">
        <v>6543</v>
      </c>
      <c r="L2656">
        <v>3</v>
      </c>
      <c r="M2656">
        <v>4</v>
      </c>
      <c r="O2656" t="s">
        <v>26</v>
      </c>
      <c r="P2656" t="s">
        <v>39</v>
      </c>
      <c r="Q2656" t="s">
        <v>6544</v>
      </c>
    </row>
    <row r="2657" spans="1:17" ht="15.75" x14ac:dyDescent="0.25">
      <c r="A2657" s="3" t="str">
        <f>HYPERLINK("https://prolisok-store.com/collections/makeup/products/clinique-by-clinique-high-impact-waterproof-mascara-01-black-8ml-0-28oz", "https://prolisok-store.com/collections/makeup/products/clinique-by-clinique-high-impact-waterproof-mascara-01-black-8ml-0-28oz")</f>
        <v>https://prolisok-store.com/collections/makeup/products/clinique-by-clinique-high-impact-waterproof-mascara-01-black-8ml-0-28oz</v>
      </c>
      <c r="B2657" s="3" t="str">
        <f>HYPERLINK("https://prolisok-store.com/products/clinique-by-clinique-high-impact-waterproof-mascara-01-black-8ml-0-28oz", "https://prolisok-store.com/products/clinique-by-clinique-high-impact-waterproof-mascara-01-black-8ml-0-28oz")</f>
        <v>https://prolisok-store.com/products/clinique-by-clinique-high-impact-waterproof-mascara-01-black-8ml-0-28oz</v>
      </c>
      <c r="C2657" t="s">
        <v>6432</v>
      </c>
      <c r="D2657" t="s">
        <v>6545</v>
      </c>
      <c r="E2657" s="3" t="str">
        <f>HYPERLINK("https://www.amazon.com/Impact-Waterproof-Mascara-clinique-Black/dp/B0CBWT78F6/ref=sr_1_3?keywords=Clinique+High+Impact+Waterproof+Mascara&amp;qid=1695259545&amp;sr=8-3", "https://www.amazon.com/Impact-Waterproof-Mascara-clinique-Black/dp/B0CBWT78F6/ref=sr_1_3?keywords=Clinique+High+Impact+Waterproof+Mascara&amp;qid=1695259545&amp;sr=8-3")</f>
        <v>https://www.amazon.com/Impact-Waterproof-Mascara-clinique-Black/dp/B0CBWT78F6/ref=sr_1_3?keywords=Clinique+High+Impact+Waterproof+Mascara&amp;qid=1695259545&amp;sr=8-3</v>
      </c>
      <c r="F2657" t="s">
        <v>6546</v>
      </c>
      <c r="G2657" t="e">
        <f ca="1">IMAGE("https://prolisok-store.com/cdn/shop/products/237303_300x.jpg?v=1688060515")</f>
        <v>#NAME?</v>
      </c>
      <c r="H2657" t="e">
        <f ca="1">IMAGE("https://m.media-amazon.com/images/I/51199AknY4L._AC_UL320_.jpg")</f>
        <v>#NAME?</v>
      </c>
      <c r="I2657" t="s">
        <v>6049</v>
      </c>
      <c r="J2657">
        <v>19.97</v>
      </c>
      <c r="K2657" s="2" t="s">
        <v>6547</v>
      </c>
      <c r="L2657">
        <v>5</v>
      </c>
      <c r="M2657">
        <v>1</v>
      </c>
      <c r="O2657" t="s">
        <v>26</v>
      </c>
      <c r="P2657" t="s">
        <v>39</v>
      </c>
      <c r="Q2657" t="s">
        <v>6436</v>
      </c>
    </row>
    <row r="2658" spans="1:17" ht="15.75" x14ac:dyDescent="0.25">
      <c r="A2658" s="3" t="str">
        <f>HYPERLINK("https://prolisok-store.com/collections/makeup/products/estee-lauder-sumptuous-extreme-waterproof-lash-multiplying-volume-mascara-01-extreme-black-8ml-0-27oz", "https://prolisok-store.com/collections/makeup/products/estee-lauder-sumptuous-extreme-waterproof-lash-multiplying-volume-mascara-01-extreme-black-8ml-0-27oz")</f>
        <v>https://prolisok-store.com/collections/makeup/products/estee-lauder-sumptuous-extreme-waterproof-lash-multiplying-volume-mascara-01-extreme-black-8ml-0-27oz</v>
      </c>
      <c r="B2658" s="3" t="str">
        <f>HYPERLINK("https://prolisok-store.com/products/estee-lauder-sumptuous-extreme-waterproof-lash-multiplying-volume-mascara-01-extreme-black-8ml-0-27oz", "https://prolisok-store.com/products/estee-lauder-sumptuous-extreme-waterproof-lash-multiplying-volume-mascara-01-extreme-black-8ml-0-27oz")</f>
        <v>https://prolisok-store.com/products/estee-lauder-sumptuous-extreme-waterproof-lash-multiplying-volume-mascara-01-extreme-black-8ml-0-27oz</v>
      </c>
      <c r="C2658" t="s">
        <v>6548</v>
      </c>
      <c r="D2658" t="s">
        <v>6549</v>
      </c>
      <c r="E2658" s="3" t="str">
        <f>HYPERLINK("https://www.amazon.com/Estee-Lauder-Sumptuous-Waterproof-Multiplying/dp/B00BMR8T8K/ref=sr_1_1?keywords=Estee+Lauder+sumptuous+extreme+waterproof+lash+multiplying+volume+mascara+-&amp;qid=1695259529&amp;sr=8-1", "https://www.amazon.com/Estee-Lauder-Sumptuous-Waterproof-Multiplying/dp/B00BMR8T8K/ref=sr_1_1?keywords=Estee+Lauder+sumptuous+extreme+waterproof+lash+multiplying+volume+mascara+-&amp;qid=1695259529&amp;sr=8-1")</f>
        <v>https://www.amazon.com/Estee-Lauder-Sumptuous-Waterproof-Multiplying/dp/B00BMR8T8K/ref=sr_1_1?keywords=Estee+Lauder+sumptuous+extreme+waterproof+lash+multiplying+volume+mascara+-&amp;qid=1695259529&amp;sr=8-1</v>
      </c>
      <c r="F2658" t="s">
        <v>6550</v>
      </c>
      <c r="G2658" t="e">
        <f ca="1">IMAGE("https://prolisok-store.com/cdn/shop/products/245536_300x.jpg?v=1690900203")</f>
        <v>#NAME?</v>
      </c>
      <c r="H2658" t="e">
        <f ca="1">IMAGE("https://m.media-amazon.com/images/I/619mNEAlRsL._AC_UL320_.jpg")</f>
        <v>#NAME?</v>
      </c>
      <c r="I2658" t="s">
        <v>6020</v>
      </c>
      <c r="J2658">
        <v>25.99</v>
      </c>
      <c r="K2658" s="2" t="s">
        <v>6551</v>
      </c>
      <c r="L2658">
        <v>4.5</v>
      </c>
      <c r="M2658">
        <v>530</v>
      </c>
      <c r="O2658" t="s">
        <v>26</v>
      </c>
      <c r="P2658" t="s">
        <v>39</v>
      </c>
      <c r="Q2658" t="s">
        <v>6552</v>
      </c>
    </row>
    <row r="2659" spans="1:17" ht="15.75" x14ac:dyDescent="0.25">
      <c r="A2659" s="3" t="str">
        <f>HYPERLINK("https://prolisok-store.com/collections/makeup/products/estee-lauder-pure-color-envy-sculpting-lipstick-360-fierce-0-12-ounce", "https://prolisok-store.com/collections/makeup/products/estee-lauder-pure-color-envy-sculpting-lipstick-360-fierce-0-12-ounce")</f>
        <v>https://prolisok-store.com/collections/makeup/products/estee-lauder-pure-color-envy-sculpting-lipstick-360-fierce-0-12-ounce</v>
      </c>
      <c r="B2659" s="3" t="str">
        <f>HYPERLINK("https://prolisok-store.com/products/estee-lauder-pure-color-envy-sculpting-lipstick-360-fierce-0-12-ounce", "https://prolisok-store.com/products/estee-lauder-pure-color-envy-sculpting-lipstick-360-fierce-0-12-ounce")</f>
        <v>https://prolisok-store.com/products/estee-lauder-pure-color-envy-sculpting-lipstick-360-fierce-0-12-ounce</v>
      </c>
      <c r="C2659" t="s">
        <v>4452</v>
      </c>
      <c r="D2659" t="s">
        <v>6553</v>
      </c>
      <c r="E2659" s="3" t="str">
        <f>HYPERLINK("https://www.amazon.com/Estee-Lauder-Hi-Lustre-Sculpting-Lipstick/dp/B082GLP2X7/ref=sr_1_7?keywords=Estee+Lauder+Pure+Color+Envy+Sculpting+Lipstick+%23360+Fierce%2C+0.12+Ounce&amp;qid=1695259450&amp;sr=8-7", "https://www.amazon.com/Estee-Lauder-Hi-Lustre-Sculpting-Lipstick/dp/B082GLP2X7/ref=sr_1_7?keywords=Estee+Lauder+Pure+Color+Envy+Sculpting+Lipstick+%23360+Fierce%2C+0.12+Ounce&amp;qid=1695259450&amp;sr=8-7")</f>
        <v>https://www.amazon.com/Estee-Lauder-Hi-Lustre-Sculpting-Lipstick/dp/B082GLP2X7/ref=sr_1_7?keywords=Estee+Lauder+Pure+Color+Envy+Sculpting+Lipstick+%23360+Fierce%2C+0.12+Ounce&amp;qid=1695259450&amp;sr=8-7</v>
      </c>
      <c r="F2659" t="s">
        <v>6554</v>
      </c>
      <c r="G2659" t="e">
        <f ca="1">IMAGE("https://prolisok-store.com/cdn/shop/products/61OXcvCJbTL._SL1500_300x.jpg?v=1681307706")</f>
        <v>#NAME?</v>
      </c>
      <c r="H2659" t="e">
        <f ca="1">IMAGE("https://m.media-amazon.com/images/I/617t+h84VzL._AC_UL320_.jpg")</f>
        <v>#NAME?</v>
      </c>
      <c r="I2659" t="s">
        <v>3419</v>
      </c>
      <c r="J2659">
        <v>11.38</v>
      </c>
      <c r="K2659" s="2" t="s">
        <v>6555</v>
      </c>
      <c r="L2659">
        <v>3.9</v>
      </c>
      <c r="M2659">
        <v>19</v>
      </c>
      <c r="O2659" t="s">
        <v>26</v>
      </c>
      <c r="P2659" t="s">
        <v>39</v>
      </c>
      <c r="Q2659" t="s">
        <v>4456</v>
      </c>
    </row>
    <row r="2660" spans="1:17" ht="15.75" x14ac:dyDescent="0.25">
      <c r="A2660" s="3" t="str">
        <f>HYPERLINK("https://prolisok-store.com/collections/makeup/products/mac-eye-kohl-powersurge-1-36g-0-048oz", "https://prolisok-store.com/collections/makeup/products/mac-eye-kohl-powersurge-1-36g-0-048oz")</f>
        <v>https://prolisok-store.com/collections/makeup/products/mac-eye-kohl-powersurge-1-36g-0-048oz</v>
      </c>
      <c r="B2660" s="3" t="str">
        <f>HYPERLINK("https://prolisok-store.com/products/mac-eye-kohl-powersurge-1-36g-0-048oz", "https://prolisok-store.com/products/mac-eye-kohl-powersurge-1-36g-0-048oz")</f>
        <v>https://prolisok-store.com/products/mac-eye-kohl-powersurge-1-36g-0-048oz</v>
      </c>
      <c r="C2660" t="s">
        <v>6041</v>
      </c>
      <c r="D2660" t="s">
        <v>6556</v>
      </c>
      <c r="E2660" s="3" t="str">
        <f>HYPERLINK("https://www.amazon.com/Liner-Pencil-Powersurge-M-C/dp/B01LMNO3QU/ref=sr_1_2?keywords=MAC+eye+kohl+-+powersurge+-1.36g%2F0.048oz&amp;qid=1695259547&amp;sr=8-2", "https://www.amazon.com/Liner-Pencil-Powersurge-M-C/dp/B01LMNO3QU/ref=sr_1_2?keywords=MAC+eye+kohl+-+powersurge+-1.36g%2F0.048oz&amp;qid=1695259547&amp;sr=8-2")</f>
        <v>https://www.amazon.com/Liner-Pencil-Powersurge-M-C/dp/B01LMNO3QU/ref=sr_1_2?keywords=MAC+eye+kohl+-+powersurge+-1.36g%2F0.048oz&amp;qid=1695259547&amp;sr=8-2</v>
      </c>
      <c r="F2660" t="s">
        <v>6557</v>
      </c>
      <c r="G2660" t="e">
        <f ca="1">IMAGE("https://prolisok-store.com/cdn/shop/products/393857_300x.jpg?v=1690393931")</f>
        <v>#NAME?</v>
      </c>
      <c r="H2660" t="e">
        <f ca="1">IMAGE("https://m.media-amazon.com/images/I/31C7uAHfkVL._AC_UL320_.jpg")</f>
        <v>#NAME?</v>
      </c>
      <c r="I2660" t="s">
        <v>5348</v>
      </c>
      <c r="J2660">
        <v>16.329999999999998</v>
      </c>
      <c r="K2660" s="2" t="s">
        <v>6558</v>
      </c>
      <c r="L2660">
        <v>4.0999999999999996</v>
      </c>
      <c r="M2660">
        <v>15</v>
      </c>
      <c r="O2660" t="s">
        <v>26</v>
      </c>
      <c r="P2660" t="s">
        <v>39</v>
      </c>
      <c r="Q2660" t="s">
        <v>6045</v>
      </c>
    </row>
    <row r="2661" spans="1:17" ht="15.75" x14ac:dyDescent="0.25">
      <c r="A2661" s="3" t="str">
        <f>HYPERLINK("https://prolisok-store.com/collections/makeup/products/estee-lauder-double-wear-pump", "https://prolisok-store.com/collections/makeup/products/estee-lauder-double-wear-pump")</f>
        <v>https://prolisok-store.com/collections/makeup/products/estee-lauder-double-wear-pump</v>
      </c>
      <c r="B2661" s="3" t="str">
        <f>HYPERLINK("https://prolisok-store.com/products/estee-lauder-double-wear-pump", "https://prolisok-store.com/products/estee-lauder-double-wear-pump")</f>
        <v>https://prolisok-store.com/products/estee-lauder-double-wear-pump</v>
      </c>
      <c r="C2661" t="s">
        <v>6559</v>
      </c>
      <c r="D2661" t="s">
        <v>6560</v>
      </c>
      <c r="E2661" s="3" t="str">
        <f>HYPERLINK("https://www.amazon.com/Glodorm-Foundation-Lauder-Double-Upgrade/dp/B07RXK8PH9/ref=sr_1_10?keywords=Estee+Lauder+double+wear+pump&amp;qid=1695259530&amp;sr=8-10", "https://www.amazon.com/Glodorm-Foundation-Lauder-Double-Upgrade/dp/B07RXK8PH9/ref=sr_1_10?keywords=Estee+Lauder+double+wear+pump&amp;qid=1695259530&amp;sr=8-10")</f>
        <v>https://www.amazon.com/Glodorm-Foundation-Lauder-Double-Upgrade/dp/B07RXK8PH9/ref=sr_1_10?keywords=Estee+Lauder+double+wear+pump&amp;qid=1695259530&amp;sr=8-10</v>
      </c>
      <c r="F2661" t="s">
        <v>6561</v>
      </c>
      <c r="G2661" t="e">
        <f ca="1">IMAGE("https://prolisok-store.com/cdn/shop/products/328572_300x.jpg?v=1690900179")</f>
        <v>#NAME?</v>
      </c>
      <c r="H2661" t="e">
        <f ca="1">IMAGE("https://m.media-amazon.com/images/I/41lR3g36NcL._AC_UL320_.jpg")</f>
        <v>#NAME?</v>
      </c>
      <c r="I2661" t="s">
        <v>6562</v>
      </c>
      <c r="J2661">
        <v>7.45</v>
      </c>
      <c r="K2661" s="2" t="s">
        <v>6563</v>
      </c>
      <c r="L2661">
        <v>4.7</v>
      </c>
      <c r="M2661">
        <v>207</v>
      </c>
      <c r="O2661" t="s">
        <v>26</v>
      </c>
      <c r="P2661" t="s">
        <v>39</v>
      </c>
      <c r="Q2661" t="s">
        <v>6564</v>
      </c>
    </row>
    <row r="2662" spans="1:17" ht="15.75" x14ac:dyDescent="0.25">
      <c r="A2662" s="3" t="str">
        <f>HYPERLINK("https://prolisok-store.com/collections/makeup/products/mac-studio-fix-24-hour-smooth-wear-concealer-nc48-6-8ml-0-23oz", "https://prolisok-store.com/collections/makeup/products/mac-studio-fix-24-hour-smooth-wear-concealer-nc48-6-8ml-0-23oz")</f>
        <v>https://prolisok-store.com/collections/makeup/products/mac-studio-fix-24-hour-smooth-wear-concealer-nc48-6-8ml-0-23oz</v>
      </c>
      <c r="B2662" s="3" t="str">
        <f>HYPERLINK("https://prolisok-store.com/products/mac-studio-fix-24-hour-smooth-wear-concealer-nc48-6-8ml-0-23oz", "https://prolisok-store.com/products/mac-studio-fix-24-hour-smooth-wear-concealer-nc48-6-8ml-0-23oz")</f>
        <v>https://prolisok-store.com/products/mac-studio-fix-24-hour-smooth-wear-concealer-nc48-6-8ml-0-23oz</v>
      </c>
      <c r="C2662" t="s">
        <v>6091</v>
      </c>
      <c r="D2662" t="s">
        <v>6565</v>
      </c>
      <c r="E2662" s="3" t="str">
        <f>HYPERLINK("https://www.amazon.com/Studio-24-Hour-Smooth-Wear-Concealer/dp/B07QN1J4D2/ref=sr_1_2?keywords=MAC+studio+fix+24-hour+smooth+wear+concealer+-+nc48+-6.8ml%2F0.23oz&amp;qid=1695259540&amp;sr=8-2", "https://www.amazon.com/Studio-24-Hour-Smooth-Wear-Concealer/dp/B07QN1J4D2/ref=sr_1_2?keywords=MAC+studio+fix+24-hour+smooth+wear+concealer+-+nc48+-6.8ml%2F0.23oz&amp;qid=1695259540&amp;sr=8-2")</f>
        <v>https://www.amazon.com/Studio-24-Hour-Smooth-Wear-Concealer/dp/B07QN1J4D2/ref=sr_1_2?keywords=MAC+studio+fix+24-hour+smooth+wear+concealer+-+nc48+-6.8ml%2F0.23oz&amp;qid=1695259540&amp;sr=8-2</v>
      </c>
      <c r="F2662" t="s">
        <v>6566</v>
      </c>
      <c r="G2662" t="e">
        <f ca="1">IMAGE("https://prolisok-store.com/cdn/shop/products/360310_300x.jpg?v=1690393914")</f>
        <v>#NAME?</v>
      </c>
      <c r="H2662" t="e">
        <f ca="1">IMAGE("https://m.media-amazon.com/images/I/51fIt75CuDL._AC_UL320_.jpg")</f>
        <v>#NAME?</v>
      </c>
      <c r="I2662" t="s">
        <v>6094</v>
      </c>
      <c r="J2662">
        <v>20.190000000000001</v>
      </c>
      <c r="K2662" s="2" t="s">
        <v>6567</v>
      </c>
      <c r="L2662">
        <v>4.4000000000000004</v>
      </c>
      <c r="M2662">
        <v>38</v>
      </c>
      <c r="O2662" t="s">
        <v>26</v>
      </c>
      <c r="P2662" t="s">
        <v>39</v>
      </c>
      <c r="Q2662" t="s">
        <v>6096</v>
      </c>
    </row>
    <row r="2663" spans="1:17" ht="15.75" x14ac:dyDescent="0.25">
      <c r="A2663" s="3" t="str">
        <f>HYPERLINK("https://prolisok-store.com/collections/makeup/products/estee-lauder-double-wear-stay-in-place-makeup-spf-10-5w1-bronze-30ml-1oz", "https://prolisok-store.com/collections/makeup/products/estee-lauder-double-wear-stay-in-place-makeup-spf-10-5w1-bronze-30ml-1oz")</f>
        <v>https://prolisok-store.com/collections/makeup/products/estee-lauder-double-wear-stay-in-place-makeup-spf-10-5w1-bronze-30ml-1oz</v>
      </c>
      <c r="B2663" s="3" t="str">
        <f>HYPERLINK("https://prolisok-store.com/products/estee-lauder-double-wear-stay-in-place-makeup-spf-10-5w1-bronze-30ml-1oz", "https://prolisok-store.com/products/estee-lauder-double-wear-stay-in-place-makeup-spf-10-5w1-bronze-30ml-1oz")</f>
        <v>https://prolisok-store.com/products/estee-lauder-double-wear-stay-in-place-makeup-spf-10-5w1-bronze-30ml-1oz</v>
      </c>
      <c r="C2663" t="s">
        <v>6320</v>
      </c>
      <c r="D2663" t="s">
        <v>6568</v>
      </c>
      <c r="E2663" s="3" t="str">
        <f>HYPERLINK("https://www.amazon.com/Estee-Lauder-Double-Place-Makeup/dp/B00B71MWXO/ref=sr_1_1?keywords=Estee+Lauder+double+wear+stay+in+place+makeup+spf+10+-+5w1+bronze+30ml%2F1oz&amp;qid=1695259516&amp;sr=8-1", "https://www.amazon.com/Estee-Lauder-Double-Place-Makeup/dp/B00B71MWXO/ref=sr_1_1?keywords=Estee+Lauder+double+wear+stay+in+place+makeup+spf+10+-+5w1+bronze+30ml%2F1oz&amp;qid=1695259516&amp;sr=8-1")</f>
        <v>https://www.amazon.com/Estee-Lauder-Double-Place-Makeup/dp/B00B71MWXO/ref=sr_1_1?keywords=Estee+Lauder+double+wear+stay+in+place+makeup+spf+10+-+5w1+bronze+30ml%2F1oz&amp;qid=1695259516&amp;sr=8-1</v>
      </c>
      <c r="F2663" t="s">
        <v>6569</v>
      </c>
      <c r="G2663" t="e">
        <f ca="1">IMAGE("https://prolisok-store.com/cdn/shop/products/461989_300x.jpg?v=1690900264")</f>
        <v>#NAME?</v>
      </c>
      <c r="H2663" t="e">
        <f ca="1">IMAGE("https://m.media-amazon.com/images/I/51-9EFAFyWL._AC_UL320_.jpg")</f>
        <v>#NAME?</v>
      </c>
      <c r="I2663" t="s">
        <v>6323</v>
      </c>
      <c r="J2663">
        <v>34.99</v>
      </c>
      <c r="K2663" s="2" t="s">
        <v>6570</v>
      </c>
      <c r="L2663">
        <v>4.5999999999999996</v>
      </c>
      <c r="M2663">
        <v>6072</v>
      </c>
      <c r="O2663" t="s">
        <v>26</v>
      </c>
      <c r="P2663" t="s">
        <v>39</v>
      </c>
      <c r="Q2663" t="s">
        <v>6325</v>
      </c>
    </row>
    <row r="2664" spans="1:17" ht="15.75" x14ac:dyDescent="0.25">
      <c r="A2664" s="3" t="str">
        <f>HYPERLINK("https://prolisok-store.com/collections/makeup/products/estee-lauder-bronze-goddess-powder-bronzer-02-medium-21g-0-74oz", "https://prolisok-store.com/collections/makeup/products/estee-lauder-bronze-goddess-powder-bronzer-02-medium-21g-0-74oz")</f>
        <v>https://prolisok-store.com/collections/makeup/products/estee-lauder-bronze-goddess-powder-bronzer-02-medium-21g-0-74oz</v>
      </c>
      <c r="B2664" s="3" t="str">
        <f>HYPERLINK("https://prolisok-store.com/products/estee-lauder-bronze-goddess-powder-bronzer-02-medium-21g-0-74oz", "https://prolisok-store.com/products/estee-lauder-bronze-goddess-powder-bronzer-02-medium-21g-0-74oz")</f>
        <v>https://prolisok-store.com/products/estee-lauder-bronze-goddess-powder-bronzer-02-medium-21g-0-74oz</v>
      </c>
      <c r="C2664" t="s">
        <v>6506</v>
      </c>
      <c r="D2664" t="s">
        <v>6571</v>
      </c>
      <c r="E2664" s="3" t="str">
        <f>HYPERLINK("https://www.amazon.com/Estee-Lauder-Bronze-Goddess-Bronzer/dp/B00I6E7XHU/ref=sr_1_3?keywords=Estee+Lauder+bronze+goddess+powder+bronzer+-&amp;qid=1695259521&amp;sr=8-3", "https://www.amazon.com/Estee-Lauder-Bronze-Goddess-Bronzer/dp/B00I6E7XHU/ref=sr_1_3?keywords=Estee+Lauder+bronze+goddess+powder+bronzer+-&amp;qid=1695259521&amp;sr=8-3")</f>
        <v>https://www.amazon.com/Estee-Lauder-Bronze-Goddess-Bronzer/dp/B00I6E7XHU/ref=sr_1_3?keywords=Estee+Lauder+bronze+goddess+powder+bronzer+-&amp;qid=1695259521&amp;sr=8-3</v>
      </c>
      <c r="F2664" t="s">
        <v>6572</v>
      </c>
      <c r="G2664" t="e">
        <f ca="1">IMAGE("https://prolisok-store.com/cdn/shop/products/243012_300x.jpg?v=1690900207")</f>
        <v>#NAME?</v>
      </c>
      <c r="H2664" t="e">
        <f ca="1">IMAGE("https://m.media-amazon.com/images/I/71EwcEMaCmL._AC_UL320_.jpg")</f>
        <v>#NAME?</v>
      </c>
      <c r="I2664" t="s">
        <v>6509</v>
      </c>
      <c r="J2664">
        <v>40.89</v>
      </c>
      <c r="K2664" s="2" t="s">
        <v>6573</v>
      </c>
      <c r="L2664">
        <v>4.7</v>
      </c>
      <c r="M2664">
        <v>374</v>
      </c>
      <c r="O2664" t="s">
        <v>26</v>
      </c>
      <c r="P2664" t="s">
        <v>39</v>
      </c>
      <c r="Q2664" t="s">
        <v>6511</v>
      </c>
    </row>
    <row r="2665" spans="1:17" ht="15.75" x14ac:dyDescent="0.25">
      <c r="A2665" s="3" t="str">
        <f>HYPERLINK("https://prolisok-store.com/collections/makeup/products/estee-lauder-double-wear-stay-in-place-makeup-spf-10-no-3n2-wheat-30ml-1oz", "https://prolisok-store.com/collections/makeup/products/estee-lauder-double-wear-stay-in-place-makeup-spf-10-no-3n2-wheat-30ml-1oz")</f>
        <v>https://prolisok-store.com/collections/makeup/products/estee-lauder-double-wear-stay-in-place-makeup-spf-10-no-3n2-wheat-30ml-1oz</v>
      </c>
      <c r="B2665" s="3" t="str">
        <f>HYPERLINK("https://prolisok-store.com/products/estee-lauder-double-wear-stay-in-place-makeup-spf-10-no-3n2-wheat-30ml-1oz", "https://prolisok-store.com/products/estee-lauder-double-wear-stay-in-place-makeup-spf-10-no-3n2-wheat-30ml-1oz")</f>
        <v>https://prolisok-store.com/products/estee-lauder-double-wear-stay-in-place-makeup-spf-10-no-3n2-wheat-30ml-1oz</v>
      </c>
      <c r="C2665" t="s">
        <v>6198</v>
      </c>
      <c r="D2665" t="s">
        <v>6574</v>
      </c>
      <c r="E2665" s="3" t="str">
        <f>HYPERLINK("https://www.amazon.com/Estee-Lauder-Double-Place-Makeup/dp/B0009TNBWG/ref=sr_1_1?keywords=Estee+Lauder+double+wear+stay+in+place+makeup+spf+10+-+no.+3n2+wheat+30ml%2F1oz&amp;qid=1695259525&amp;sr=8-1", "https://www.amazon.com/Estee-Lauder-Double-Place-Makeup/dp/B0009TNBWG/ref=sr_1_1?keywords=Estee+Lauder+double+wear+stay+in+place+makeup+spf+10+-+no.+3n2+wheat+30ml%2F1oz&amp;qid=1695259525&amp;sr=8-1")</f>
        <v>https://www.amazon.com/Estee-Lauder-Double-Place-Makeup/dp/B0009TNBWG/ref=sr_1_1?keywords=Estee+Lauder+double+wear+stay+in+place+makeup+spf+10+-+no.+3n2+wheat+30ml%2F1oz&amp;qid=1695259525&amp;sr=8-1</v>
      </c>
      <c r="F2665" t="s">
        <v>6575</v>
      </c>
      <c r="G2665" t="e">
        <f ca="1">IMAGE("https://prolisok-store.com/cdn/shop/products/462865_300x.jpg?v=1690900266")</f>
        <v>#NAME?</v>
      </c>
      <c r="H2665" t="e">
        <f ca="1">IMAGE("https://m.media-amazon.com/images/I/51SjHK+2HCL._AC_UL320_.jpg")</f>
        <v>#NAME?</v>
      </c>
      <c r="I2665" t="s">
        <v>4432</v>
      </c>
      <c r="J2665">
        <v>33</v>
      </c>
      <c r="K2665" s="2" t="s">
        <v>6576</v>
      </c>
      <c r="L2665">
        <v>4.7</v>
      </c>
      <c r="M2665">
        <v>220</v>
      </c>
      <c r="O2665" t="s">
        <v>26</v>
      </c>
      <c r="P2665" t="s">
        <v>39</v>
      </c>
      <c r="Q2665" t="s">
        <v>6202</v>
      </c>
    </row>
    <row r="2666" spans="1:17" ht="15.75" x14ac:dyDescent="0.25">
      <c r="A2666" s="3" t="str">
        <f>HYPERLINK("https://prolisok-store.com/collections/makeup/products/sisley-so-intense-mascara-1-deep-black-7ml-0-27oz", "https://prolisok-store.com/collections/makeup/products/sisley-so-intense-mascara-1-deep-black-7ml-0-27oz")</f>
        <v>https://prolisok-store.com/collections/makeup/products/sisley-so-intense-mascara-1-deep-black-7ml-0-27oz</v>
      </c>
      <c r="B2666" s="3" t="str">
        <f>HYPERLINK("https://prolisok-store.com/products/sisley-so-intense-mascara-1-deep-black-7ml-0-27oz", "https://prolisok-store.com/products/sisley-so-intense-mascara-1-deep-black-7ml-0-27oz")</f>
        <v>https://prolisok-store.com/products/sisley-so-intense-mascara-1-deep-black-7ml-0-27oz</v>
      </c>
      <c r="C2666" t="s">
        <v>6489</v>
      </c>
      <c r="D2666" t="s">
        <v>6577</v>
      </c>
      <c r="E2666" s="3" t="str">
        <f>HYPERLINK("https://www.amazon.com/Sisley-Intense-Mascara-Brown-0-27Oz/dp/B00D8GYJ2I/ref=sr_1_3?keywords=Sisley+so+intense+mascara+-&amp;qid=1695259505&amp;sr=8-3", "https://www.amazon.com/Sisley-Intense-Mascara-Brown-0-27Oz/dp/B00D8GYJ2I/ref=sr_1_3?keywords=Sisley+so+intense+mascara+-&amp;qid=1695259505&amp;sr=8-3")</f>
        <v>https://www.amazon.com/Sisley-Intense-Mascara-Brown-0-27Oz/dp/B00D8GYJ2I/ref=sr_1_3?keywords=Sisley+so+intense+mascara+-&amp;qid=1695259505&amp;sr=8-3</v>
      </c>
      <c r="F2666" t="s">
        <v>6578</v>
      </c>
      <c r="G2666" t="e">
        <f ca="1">IMAGE("https://prolisok-store.com/cdn/shop/products/242262_300x.jpg?v=1690901017")</f>
        <v>#NAME?</v>
      </c>
      <c r="H2666" t="e">
        <f ca="1">IMAGE("https://m.media-amazon.com/images/I/713ZuBIK1jL._AC_UL320_.jpg")</f>
        <v>#NAME?</v>
      </c>
      <c r="I2666" t="s">
        <v>6484</v>
      </c>
      <c r="J2666">
        <v>51.23</v>
      </c>
      <c r="K2666" s="2" t="s">
        <v>6579</v>
      </c>
      <c r="L2666">
        <v>1</v>
      </c>
      <c r="M2666">
        <v>1</v>
      </c>
      <c r="O2666" t="s">
        <v>26</v>
      </c>
      <c r="P2666" t="s">
        <v>39</v>
      </c>
      <c r="Q2666" t="s">
        <v>6490</v>
      </c>
    </row>
    <row r="2667" spans="1:17" ht="15.75" x14ac:dyDescent="0.25">
      <c r="A2667" s="3" t="str">
        <f>HYPERLINK("https://prolisok-store.com/collections/makeup/products/sisley-so-intense-mascara-2-deep-brown-7-5ml-0-27oz", "https://prolisok-store.com/collections/makeup/products/sisley-so-intense-mascara-2-deep-brown-7-5ml-0-27oz")</f>
        <v>https://prolisok-store.com/collections/makeup/products/sisley-so-intense-mascara-2-deep-brown-7-5ml-0-27oz</v>
      </c>
      <c r="B2667" s="3" t="str">
        <f>HYPERLINK("https://prolisok-store.com/products/sisley-so-intense-mascara-2-deep-brown-7-5ml-0-27oz", "https://prolisok-store.com/products/sisley-so-intense-mascara-2-deep-brown-7-5ml-0-27oz")</f>
        <v>https://prolisok-store.com/products/sisley-so-intense-mascara-2-deep-brown-7-5ml-0-27oz</v>
      </c>
      <c r="C2667" t="s">
        <v>6481</v>
      </c>
      <c r="D2667" t="s">
        <v>6577</v>
      </c>
      <c r="E2667" s="3" t="str">
        <f>HYPERLINK("https://www.amazon.com/Sisley-Intense-Mascara-Brown-0-27Oz/dp/B00D8GYJ2I/ref=sr_1_4?keywords=Sisley+so+intense+mascara+-&amp;qid=1695259493&amp;sr=8-4", "https://www.amazon.com/Sisley-Intense-Mascara-Brown-0-27Oz/dp/B00D8GYJ2I/ref=sr_1_4?keywords=Sisley+so+intense+mascara+-&amp;qid=1695259493&amp;sr=8-4")</f>
        <v>https://www.amazon.com/Sisley-Intense-Mascara-Brown-0-27Oz/dp/B00D8GYJ2I/ref=sr_1_4?keywords=Sisley+so+intense+mascara+-&amp;qid=1695259493&amp;sr=8-4</v>
      </c>
      <c r="F2667" t="s">
        <v>6578</v>
      </c>
      <c r="G2667" t="e">
        <f ca="1">IMAGE("https://prolisok-store.com/cdn/shop/products/242263_300x.jpg?v=1690901018")</f>
        <v>#NAME?</v>
      </c>
      <c r="H2667" t="e">
        <f ca="1">IMAGE("https://m.media-amazon.com/images/I/713ZuBIK1jL._AC_UL320_.jpg")</f>
        <v>#NAME?</v>
      </c>
      <c r="I2667" t="s">
        <v>6484</v>
      </c>
      <c r="J2667">
        <v>51.23</v>
      </c>
      <c r="K2667" s="2" t="s">
        <v>6579</v>
      </c>
      <c r="L2667">
        <v>1</v>
      </c>
      <c r="M2667">
        <v>1</v>
      </c>
      <c r="O2667" t="s">
        <v>26</v>
      </c>
      <c r="P2667" t="s">
        <v>39</v>
      </c>
      <c r="Q2667" t="s">
        <v>6486</v>
      </c>
    </row>
    <row r="2668" spans="1:17" ht="15.75" x14ac:dyDescent="0.25">
      <c r="A2668" s="3" t="str">
        <f>HYPERLINK("https://prolisok-store.com/collections/makeup/products/clinique-by-clinique-take-the-day-off-make-up-remover-125ml-4-2oz", "https://prolisok-store.com/collections/makeup/products/clinique-by-clinique-take-the-day-off-make-up-remover-125ml-4-2oz")</f>
        <v>https://prolisok-store.com/collections/makeup/products/clinique-by-clinique-take-the-day-off-make-up-remover-125ml-4-2oz</v>
      </c>
      <c r="B2668" s="3" t="str">
        <f>HYPERLINK("https://prolisok-store.com/products/clinique-by-clinique-take-the-day-off-make-up-remover-125ml-4-2oz", "https://prolisok-store.com/products/clinique-by-clinique-take-the-day-off-make-up-remover-125ml-4-2oz")</f>
        <v>https://prolisok-store.com/products/clinique-by-clinique-take-the-day-off-make-up-remover-125ml-4-2oz</v>
      </c>
      <c r="C2668" t="s">
        <v>5997</v>
      </c>
      <c r="D2668" t="s">
        <v>6580</v>
      </c>
      <c r="E2668" s="3" t="str">
        <f>HYPERLINK("https://www.amazon.com/Clinique-Makeup-Remover-1-7oz-Totals/dp/B00SKDPUTU/ref=sr_1_2?keywords=Clinique+take+the+day+off+make+up+remover+--125ml%2F4.2oz&amp;qid=1695259552&amp;sr=8-2", "https://www.amazon.com/Clinique-Makeup-Remover-1-7oz-Totals/dp/B00SKDPUTU/ref=sr_1_2?keywords=Clinique+take+the+day+off+make+up+remover+--125ml%2F4.2oz&amp;qid=1695259552&amp;sr=8-2")</f>
        <v>https://www.amazon.com/Clinique-Makeup-Remover-1-7oz-Totals/dp/B00SKDPUTU/ref=sr_1_2?keywords=Clinique+take+the+day+off+make+up+remover+--125ml%2F4.2oz&amp;qid=1695259552&amp;sr=8-2</v>
      </c>
      <c r="F2668" t="s">
        <v>6581</v>
      </c>
      <c r="G2668" t="e">
        <f ca="1">IMAGE("https://prolisok-store.com/cdn/shop/products/129645_300x.jpg?v=1688060465")</f>
        <v>#NAME?</v>
      </c>
      <c r="H2668" t="e">
        <f ca="1">IMAGE("https://m.media-amazon.com/images/I/71nHkJIgJVL._AC_UL320_.jpg")</f>
        <v>#NAME?</v>
      </c>
      <c r="I2668" t="s">
        <v>6000</v>
      </c>
      <c r="J2668">
        <v>16.989999999999998</v>
      </c>
      <c r="K2668" s="2" t="s">
        <v>6582</v>
      </c>
      <c r="L2668">
        <v>4.7</v>
      </c>
      <c r="M2668">
        <v>795</v>
      </c>
      <c r="O2668" t="s">
        <v>26</v>
      </c>
      <c r="P2668" t="s">
        <v>39</v>
      </c>
      <c r="Q2668" t="s">
        <v>6002</v>
      </c>
    </row>
    <row r="2669" spans="1:17" ht="15.75" x14ac:dyDescent="0.25">
      <c r="A2669" s="3" t="str">
        <f>HYPERLINK("https://prolisok-store.com/collections/makeup/products/estee-lauder-double-wear-stay-in-place-flawless-wear-concealer-1c-light-cool-7ml-0-24oz", "https://prolisok-store.com/collections/makeup/products/estee-lauder-double-wear-stay-in-place-flawless-wear-concealer-1c-light-cool-7ml-0-24oz")</f>
        <v>https://prolisok-store.com/collections/makeup/products/estee-lauder-double-wear-stay-in-place-flawless-wear-concealer-1c-light-cool-7ml-0-24oz</v>
      </c>
      <c r="B2669" s="3" t="str">
        <f>HYPERLINK("https://prolisok-store.com/products/estee-lauder-double-wear-stay-in-place-flawless-wear-concealer-1c-light-cool-7ml-0-24oz", "https://prolisok-store.com/products/estee-lauder-double-wear-stay-in-place-flawless-wear-concealer-1c-light-cool-7ml-0-24oz")</f>
        <v>https://prolisok-store.com/products/estee-lauder-double-wear-stay-in-place-flawless-wear-concealer-1c-light-cool-7ml-0-24oz</v>
      </c>
      <c r="C2669" t="s">
        <v>6515</v>
      </c>
      <c r="D2669" t="s">
        <v>6583</v>
      </c>
      <c r="E2669" s="3" t="str">
        <f>HYPERLINK("https://www.amazon.com/Estee-Lauder-Double-Flawless-Concealer/dp/B00H2Q5GV8/ref=sr_1_5?keywords=Estee+Lauder+double+wear+stay+in+place+flawless+wear+concealer+-+%23+1c+light+%28cool%29+7ml%2F0.24oz&amp;qid=1695259520&amp;sr=8-5", "https://www.amazon.com/Estee-Lauder-Double-Flawless-Concealer/dp/B00H2Q5GV8/ref=sr_1_5?keywords=Estee+Lauder+double+wear+stay+in+place+flawless+wear+concealer+-+%23+1c+light+%28cool%29+7ml%2F0.24oz&amp;qid=1695259520&amp;sr=8-5")</f>
        <v>https://www.amazon.com/Estee-Lauder-Double-Flawless-Concealer/dp/B00H2Q5GV8/ref=sr_1_5?keywords=Estee+Lauder+double+wear+stay+in+place+flawless+wear+concealer+-+%23+1c+light+%28cool%29+7ml%2F0.24oz&amp;qid=1695259520&amp;sr=8-5</v>
      </c>
      <c r="F2669" t="s">
        <v>6584</v>
      </c>
      <c r="G2669" t="e">
        <f ca="1">IMAGE("https://prolisok-store.com/cdn/shop/products/310676_300x.jpg?v=1690900181")</f>
        <v>#NAME?</v>
      </c>
      <c r="H2669" t="e">
        <f ca="1">IMAGE("https://m.media-amazon.com/images/I/51iDtqEJA0L._AC_UL320_.jpg")</f>
        <v>#NAME?</v>
      </c>
      <c r="I2669" t="s">
        <v>6516</v>
      </c>
      <c r="J2669">
        <v>25.44</v>
      </c>
      <c r="K2669" s="2" t="s">
        <v>6585</v>
      </c>
      <c r="L2669">
        <v>4.7</v>
      </c>
      <c r="M2669">
        <v>109</v>
      </c>
      <c r="O2669" t="s">
        <v>26</v>
      </c>
      <c r="P2669" t="s">
        <v>39</v>
      </c>
      <c r="Q2669" t="s">
        <v>6518</v>
      </c>
    </row>
    <row r="2670" spans="1:17" ht="15.75" x14ac:dyDescent="0.25">
      <c r="A2670" s="3" t="str">
        <f>HYPERLINK("https://prolisok-store.com/collections/makeup/products/estee-lauder-double-wear-stay-in-place-makeup-spf-10-5w1-bronze-30ml-1oz", "https://prolisok-store.com/collections/makeup/products/estee-lauder-double-wear-stay-in-place-makeup-spf-10-5w1-bronze-30ml-1oz")</f>
        <v>https://prolisok-store.com/collections/makeup/products/estee-lauder-double-wear-stay-in-place-makeup-spf-10-5w1-bronze-30ml-1oz</v>
      </c>
      <c r="B2670" s="3" t="str">
        <f>HYPERLINK("https://prolisok-store.com/products/estee-lauder-double-wear-stay-in-place-makeup-spf-10-5w1-bronze-30ml-1oz", "https://prolisok-store.com/products/estee-lauder-double-wear-stay-in-place-makeup-spf-10-5w1-bronze-30ml-1oz")</f>
        <v>https://prolisok-store.com/products/estee-lauder-double-wear-stay-in-place-makeup-spf-10-5w1-bronze-30ml-1oz</v>
      </c>
      <c r="C2670" t="s">
        <v>6320</v>
      </c>
      <c r="D2670" t="s">
        <v>6586</v>
      </c>
      <c r="E2670" s="3" t="str">
        <f>HYPERLINK("https://www.amazon.com/Estee-Lauder-Double-Place-Makeup/dp/B009KKOZ5W/ref=sr_1_3?keywords=Estee+Lauder+double+wear+stay+in+place+makeup+spf+10+-+5w1+bronze+30ml%2F1oz&amp;qid=1695259516&amp;sr=8-3", "https://www.amazon.com/Estee-Lauder-Double-Place-Makeup/dp/B009KKOZ5W/ref=sr_1_3?keywords=Estee+Lauder+double+wear+stay+in+place+makeup+spf+10+-+5w1+bronze+30ml%2F1oz&amp;qid=1695259516&amp;sr=8-3")</f>
        <v>https://www.amazon.com/Estee-Lauder-Double-Place-Makeup/dp/B009KKOZ5W/ref=sr_1_3?keywords=Estee+Lauder+double+wear+stay+in+place+makeup+spf+10+-+5w1+bronze+30ml%2F1oz&amp;qid=1695259516&amp;sr=8-3</v>
      </c>
      <c r="F2670" t="s">
        <v>6587</v>
      </c>
      <c r="G2670" t="e">
        <f ca="1">IMAGE("https://prolisok-store.com/cdn/shop/products/461989_300x.jpg?v=1690900264")</f>
        <v>#NAME?</v>
      </c>
      <c r="H2670" t="e">
        <f ca="1">IMAGE("https://m.media-amazon.com/images/I/51nYO37DizL._AC_UL320_.jpg")</f>
        <v>#NAME?</v>
      </c>
      <c r="I2670" t="s">
        <v>6323</v>
      </c>
      <c r="J2670">
        <v>33.840000000000003</v>
      </c>
      <c r="K2670" s="2" t="s">
        <v>6588</v>
      </c>
      <c r="L2670">
        <v>4.5</v>
      </c>
      <c r="M2670">
        <v>864</v>
      </c>
      <c r="O2670" t="s">
        <v>26</v>
      </c>
      <c r="P2670" t="s">
        <v>39</v>
      </c>
      <c r="Q2670" t="s">
        <v>6325</v>
      </c>
    </row>
    <row r="2671" spans="1:17" ht="15.75" x14ac:dyDescent="0.25">
      <c r="A2671" s="3" t="str">
        <f>HYPERLINK("https://prolisok-store.com/collections/makeup/products/clarins-blush-brush", "https://prolisok-store.com/collections/makeup/products/clarins-blush-brush")</f>
        <v>https://prolisok-store.com/collections/makeup/products/clarins-blush-brush</v>
      </c>
      <c r="B2671" s="3" t="str">
        <f>HYPERLINK("https://prolisok-store.com/products/clarins-blush-brush", "https://prolisok-store.com/products/clarins-blush-brush")</f>
        <v>https://prolisok-store.com/products/clarins-blush-brush</v>
      </c>
      <c r="C2671" t="s">
        <v>6589</v>
      </c>
      <c r="D2671" t="s">
        <v>6590</v>
      </c>
      <c r="E2671" s="3" t="str">
        <f>HYPERLINK("https://www.amazon.com/Clarins-Highlight-Ultra-Soft-Synthetic-Sustainably/dp/B07CQX1NMW/ref=sr_1_1?keywords=Clarins+blush+brush&amp;qid=1695259463&amp;sr=8-1", "https://www.amazon.com/Clarins-Highlight-Ultra-Soft-Synthetic-Sustainably/dp/B07CQX1NMW/ref=sr_1_1?keywords=Clarins+blush+brush&amp;qid=1695259463&amp;sr=8-1")</f>
        <v>https://www.amazon.com/Clarins-Highlight-Ultra-Soft-Synthetic-Sustainably/dp/B07CQX1NMW/ref=sr_1_1?keywords=Clarins+blush+brush&amp;qid=1695259463&amp;sr=8-1</v>
      </c>
      <c r="F2671" t="s">
        <v>6591</v>
      </c>
      <c r="G2671" t="e">
        <f ca="1">IMAGE("https://prolisok-store.com/cdn/shop/products/197017_300x.jpg?v=1693407039")</f>
        <v>#NAME?</v>
      </c>
      <c r="H2671" t="e">
        <f ca="1">IMAGE("https://m.media-amazon.com/images/I/61V22u-Ik1L._AC_UL320_.jpg")</f>
        <v>#NAME?</v>
      </c>
      <c r="I2671" t="s">
        <v>6592</v>
      </c>
      <c r="J2671">
        <v>31</v>
      </c>
      <c r="K2671" s="2" t="s">
        <v>6593</v>
      </c>
      <c r="L2671">
        <v>4.5</v>
      </c>
      <c r="M2671">
        <v>4</v>
      </c>
      <c r="O2671" t="s">
        <v>26</v>
      </c>
      <c r="P2671" t="s">
        <v>39</v>
      </c>
      <c r="Q2671" t="s">
        <v>6594</v>
      </c>
    </row>
    <row r="2672" spans="1:17" ht="15.75" x14ac:dyDescent="0.25">
      <c r="A2672" s="3" t="str">
        <f>HYPERLINK("https://prolisok-store.com/collections/makeup/products/sisley-phyto-teint-ultra-eclat-4-cinnamon-30ml-1oz", "https://prolisok-store.com/collections/makeup/products/sisley-phyto-teint-ultra-eclat-4-cinnamon-30ml-1oz")</f>
        <v>https://prolisok-store.com/collections/makeup/products/sisley-phyto-teint-ultra-eclat-4-cinnamon-30ml-1oz</v>
      </c>
      <c r="B2672" s="3" t="str">
        <f>HYPERLINK("https://prolisok-store.com/products/sisley-phyto-teint-ultra-eclat-4-cinnamon-30ml-1oz", "https://prolisok-store.com/products/sisley-phyto-teint-ultra-eclat-4-cinnamon-30ml-1oz")</f>
        <v>https://prolisok-store.com/products/sisley-phyto-teint-ultra-eclat-4-cinnamon-30ml-1oz</v>
      </c>
      <c r="C2672" t="s">
        <v>6250</v>
      </c>
      <c r="D2672" t="s">
        <v>6595</v>
      </c>
      <c r="E2672" s="3" t="str">
        <f>HYPERLINK("https://www.amazon.com/Sisley-Phyto-Teint-Ultra-Lasting-Foundation/dp/B07XC3F67C/ref=sr_1_1?keywords=Sisley+phyto+teint+ultra+eclat&amp;qid=1695259522&amp;sr=8-1", "https://www.amazon.com/Sisley-Phyto-Teint-Ultra-Lasting-Foundation/dp/B07XC3F67C/ref=sr_1_1?keywords=Sisley+phyto+teint+ultra+eclat&amp;qid=1695259522&amp;sr=8-1")</f>
        <v>https://www.amazon.com/Sisley-Phyto-Teint-Ultra-Lasting-Foundation/dp/B07XC3F67C/ref=sr_1_1?keywords=Sisley+phyto+teint+ultra+eclat&amp;qid=1695259522&amp;sr=8-1</v>
      </c>
      <c r="F2672" t="s">
        <v>6596</v>
      </c>
      <c r="G2672" t="e">
        <f ca="1">IMAGE("https://prolisok-store.com/cdn/shop/products/346278_300x.jpg?v=1690900739")</f>
        <v>#NAME?</v>
      </c>
      <c r="H2672" t="e">
        <f ca="1">IMAGE("https://m.media-amazon.com/images/I/41+MtjTqAFL._AC_UL320_.jpg")</f>
        <v>#NAME?</v>
      </c>
      <c r="I2672" t="s">
        <v>6137</v>
      </c>
      <c r="J2672">
        <v>61.17</v>
      </c>
      <c r="K2672" s="2" t="s">
        <v>6597</v>
      </c>
      <c r="L2672">
        <v>4.3</v>
      </c>
      <c r="M2672">
        <v>58</v>
      </c>
      <c r="O2672" t="s">
        <v>26</v>
      </c>
      <c r="P2672" t="s">
        <v>39</v>
      </c>
      <c r="Q2672" t="s">
        <v>6253</v>
      </c>
    </row>
    <row r="2673" spans="1:17" ht="15.75" x14ac:dyDescent="0.25">
      <c r="A2673" s="3" t="str">
        <f>HYPERLINK("https://prolisok-store.com/collections/makeup/products/estee-lauder-double-wear-stay-in-place-flawless-wear-concealer-1c-light-cool-7ml-0-24oz", "https://prolisok-store.com/collections/makeup/products/estee-lauder-double-wear-stay-in-place-flawless-wear-concealer-1c-light-cool-7ml-0-24oz")</f>
        <v>https://prolisok-store.com/collections/makeup/products/estee-lauder-double-wear-stay-in-place-flawless-wear-concealer-1c-light-cool-7ml-0-24oz</v>
      </c>
      <c r="B2673" s="3" t="str">
        <f>HYPERLINK("https://prolisok-store.com/products/estee-lauder-double-wear-stay-in-place-flawless-wear-concealer-1c-light-cool-7ml-0-24oz", "https://prolisok-store.com/products/estee-lauder-double-wear-stay-in-place-flawless-wear-concealer-1c-light-cool-7ml-0-24oz")</f>
        <v>https://prolisok-store.com/products/estee-lauder-double-wear-stay-in-place-flawless-wear-concealer-1c-light-cool-7ml-0-24oz</v>
      </c>
      <c r="C2673" t="s">
        <v>6515</v>
      </c>
      <c r="D2673" t="s">
        <v>6598</v>
      </c>
      <c r="E2673" s="3" t="str">
        <f>HYPERLINK("https://www.amazon.com/Estee-Lauder-Double-Flawless-Concealer/dp/B00GSGZP50/ref=sr_1_1?keywords=Estee+Lauder+double+wear+stay+in+place+flawless+wear+concealer+-+%23+1c+light+%28cool%29+7ml%2F0.24oz&amp;qid=1695259520&amp;sr=8-1", "https://www.amazon.com/Estee-Lauder-Double-Flawless-Concealer/dp/B00GSGZP50/ref=sr_1_1?keywords=Estee+Lauder+double+wear+stay+in+place+flawless+wear+concealer+-+%23+1c+light+%28cool%29+7ml%2F0.24oz&amp;qid=1695259520&amp;sr=8-1")</f>
        <v>https://www.amazon.com/Estee-Lauder-Double-Flawless-Concealer/dp/B00GSGZP50/ref=sr_1_1?keywords=Estee+Lauder+double+wear+stay+in+place+flawless+wear+concealer+-+%23+1c+light+%28cool%29+7ml%2F0.24oz&amp;qid=1695259520&amp;sr=8-1</v>
      </c>
      <c r="F2673" t="s">
        <v>6599</v>
      </c>
      <c r="G2673" t="e">
        <f ca="1">IMAGE("https://prolisok-store.com/cdn/shop/products/310676_300x.jpg?v=1690900181")</f>
        <v>#NAME?</v>
      </c>
      <c r="H2673" t="e">
        <f ca="1">IMAGE("https://m.media-amazon.com/images/I/51WyU4TkgCL._AC_UL320_.jpg")</f>
        <v>#NAME?</v>
      </c>
      <c r="I2673" t="s">
        <v>6516</v>
      </c>
      <c r="J2673">
        <v>25</v>
      </c>
      <c r="K2673" s="2" t="s">
        <v>6600</v>
      </c>
      <c r="L2673">
        <v>4.7</v>
      </c>
      <c r="M2673">
        <v>910</v>
      </c>
      <c r="O2673" t="s">
        <v>26</v>
      </c>
      <c r="P2673" t="s">
        <v>39</v>
      </c>
      <c r="Q2673" t="s">
        <v>6518</v>
      </c>
    </row>
    <row r="2674" spans="1:17" ht="15.75" x14ac:dyDescent="0.25">
      <c r="A2674" s="3" t="str">
        <f>HYPERLINK("https://prolisok-store.com/collections/makeup/products/estee-lauder-double-wear-stay-in-place-makeup-spf-10-no-98-spiced-sand-4n2-30ml-1oz", "https://prolisok-store.com/collections/makeup/products/estee-lauder-double-wear-stay-in-place-makeup-spf-10-no-98-spiced-sand-4n2-30ml-1oz")</f>
        <v>https://prolisok-store.com/collections/makeup/products/estee-lauder-double-wear-stay-in-place-makeup-spf-10-no-98-spiced-sand-4n2-30ml-1oz</v>
      </c>
      <c r="B2674" s="3" t="str">
        <f>HYPERLINK("https://prolisok-store.com/products/estee-lauder-double-wear-stay-in-place-makeup-spf-10-no-98-spiced-sand-4n2-30ml-1oz", "https://prolisok-store.com/products/estee-lauder-double-wear-stay-in-place-makeup-spf-10-no-98-spiced-sand-4n2-30ml-1oz")</f>
        <v>https://prolisok-store.com/products/estee-lauder-double-wear-stay-in-place-makeup-spf-10-no-98-spiced-sand-4n2-30ml-1oz</v>
      </c>
      <c r="C2674" t="s">
        <v>6601</v>
      </c>
      <c r="D2674" t="s">
        <v>6586</v>
      </c>
      <c r="E2674" s="3" t="str">
        <f>HYPERLINK("https://www.amazon.com/Estee-Lauder-Double-Place-Makeup/dp/B009KKOZ5W/ref=sr_1_1?keywords=Estee+Lauder+double+wear+stay+in+place+makeup+spf+10+-+no.+98+spiced+sand+%284n2%29+30ml%2F1oz&amp;qid=1695259499&amp;sr=8-1", "https://www.amazon.com/Estee-Lauder-Double-Place-Makeup/dp/B009KKOZ5W/ref=sr_1_1?keywords=Estee+Lauder+double+wear+stay+in+place+makeup+spf+10+-+no.+98+spiced+sand+%284n2%29+30ml%2F1oz&amp;qid=1695259499&amp;sr=8-1")</f>
        <v>https://www.amazon.com/Estee-Lauder-Double-Place-Makeup/dp/B009KKOZ5W/ref=sr_1_1?keywords=Estee+Lauder+double+wear+stay+in+place+makeup+spf+10+-+no.+98+spiced+sand+%284n2%29+30ml%2F1oz&amp;qid=1695259499&amp;sr=8-1</v>
      </c>
      <c r="F2674" t="s">
        <v>6587</v>
      </c>
      <c r="G2674" t="e">
        <f ca="1">IMAGE("https://prolisok-store.com/cdn/shop/products/236503_300x.jpg?v=1690900201")</f>
        <v>#NAME?</v>
      </c>
      <c r="H2674" t="e">
        <f ca="1">IMAGE("https://m.media-amazon.com/images/I/51nYO37DizL._AC_UL320_.jpg")</f>
        <v>#NAME?</v>
      </c>
      <c r="I2674" t="s">
        <v>6602</v>
      </c>
      <c r="J2674">
        <v>33.840000000000003</v>
      </c>
      <c r="K2674" s="2" t="s">
        <v>6603</v>
      </c>
      <c r="L2674">
        <v>4.5</v>
      </c>
      <c r="M2674">
        <v>864</v>
      </c>
      <c r="O2674" t="s">
        <v>26</v>
      </c>
      <c r="P2674" t="s">
        <v>39</v>
      </c>
      <c r="Q2674" t="s">
        <v>6604</v>
      </c>
    </row>
    <row r="2675" spans="1:17" ht="15.75" x14ac:dyDescent="0.25">
      <c r="A2675" s="3" t="str">
        <f>HYPERLINK("https://prolisok-store.com/collections/makeup/products/estee-lauder-double-wear-pump", "https://prolisok-store.com/collections/makeup/products/estee-lauder-double-wear-pump")</f>
        <v>https://prolisok-store.com/collections/makeup/products/estee-lauder-double-wear-pump</v>
      </c>
      <c r="B2675" s="3" t="str">
        <f>HYPERLINK("https://prolisok-store.com/products/estee-lauder-double-wear-pump", "https://prolisok-store.com/products/estee-lauder-double-wear-pump")</f>
        <v>https://prolisok-store.com/products/estee-lauder-double-wear-pump</v>
      </c>
      <c r="C2675" t="s">
        <v>6559</v>
      </c>
      <c r="D2675" t="s">
        <v>6605</v>
      </c>
      <c r="E2675" s="3"/>
      <c r="F2675" t="s">
        <v>6606</v>
      </c>
      <c r="G2675" t="e">
        <f ca="1">IMAGE("https://prolisok-store.com/cdn/shop/products/328572_300x.jpg?v=1690900179")</f>
        <v>#NAME?</v>
      </c>
      <c r="H2675" t="e">
        <f ca="1">IMAGE("https://m.media-amazon.com/images/I/61xGk9vpyoL._AC_UL320_.jpg")</f>
        <v>#NAME?</v>
      </c>
      <c r="I2675" t="s">
        <v>6562</v>
      </c>
      <c r="J2675">
        <v>6.99</v>
      </c>
      <c r="K2675" s="2" t="s">
        <v>6607</v>
      </c>
      <c r="L2675">
        <v>4.5</v>
      </c>
      <c r="M2675">
        <v>1024</v>
      </c>
      <c r="O2675" t="s">
        <v>26</v>
      </c>
      <c r="P2675" t="s">
        <v>39</v>
      </c>
      <c r="Q2675" t="s">
        <v>6564</v>
      </c>
    </row>
    <row r="2676" spans="1:17" ht="15.75" x14ac:dyDescent="0.25">
      <c r="A2676" s="3" t="str">
        <f>HYPERLINK("https://prolisok-store.com/collections/makeup/products/estee-lauder-double-wear-pump", "https://prolisok-store.com/collections/makeup/products/estee-lauder-double-wear-pump")</f>
        <v>https://prolisok-store.com/collections/makeup/products/estee-lauder-double-wear-pump</v>
      </c>
      <c r="B2676" s="3" t="str">
        <f>HYPERLINK("https://prolisok-store.com/products/estee-lauder-double-wear-pump", "https://prolisok-store.com/products/estee-lauder-double-wear-pump")</f>
        <v>https://prolisok-store.com/products/estee-lauder-double-wear-pump</v>
      </c>
      <c r="C2676" t="s">
        <v>6559</v>
      </c>
      <c r="D2676" t="s">
        <v>6608</v>
      </c>
      <c r="E2676" s="3" t="str">
        <f>HYPERLINK("https://www.amazon.com/2Pack-Foundation-Lauder-Double-Upgrade/dp/B092M7RK6V/ref=sr_1_9?keywords=Estee+Lauder+double+wear+pump&amp;qid=1695259530&amp;sr=8-9", "https://www.amazon.com/2Pack-Foundation-Lauder-Double-Upgrade/dp/B092M7RK6V/ref=sr_1_9?keywords=Estee+Lauder+double+wear+pump&amp;qid=1695259530&amp;sr=8-9")</f>
        <v>https://www.amazon.com/2Pack-Foundation-Lauder-Double-Upgrade/dp/B092M7RK6V/ref=sr_1_9?keywords=Estee+Lauder+double+wear+pump&amp;qid=1695259530&amp;sr=8-9</v>
      </c>
      <c r="F2676" t="s">
        <v>6609</v>
      </c>
      <c r="G2676" t="e">
        <f ca="1">IMAGE("https://prolisok-store.com/cdn/shop/products/328572_300x.jpg?v=1690900179")</f>
        <v>#NAME?</v>
      </c>
      <c r="H2676" t="e">
        <f ca="1">IMAGE("https://m.media-amazon.com/images/I/41lHCmO-YWL._AC_UL320_.jpg")</f>
        <v>#NAME?</v>
      </c>
      <c r="I2676" t="s">
        <v>6562</v>
      </c>
      <c r="J2676">
        <v>6.95</v>
      </c>
      <c r="K2676" s="2" t="s">
        <v>6610</v>
      </c>
      <c r="L2676">
        <v>4.5</v>
      </c>
      <c r="M2676">
        <v>194</v>
      </c>
      <c r="O2676" t="s">
        <v>26</v>
      </c>
      <c r="P2676" t="s">
        <v>39</v>
      </c>
      <c r="Q2676" t="s">
        <v>6564</v>
      </c>
    </row>
    <row r="2677" spans="1:17" ht="15.75" x14ac:dyDescent="0.25">
      <c r="A2677" s="3" t="str">
        <f>HYPERLINK("https://prolisok-store.com/collections/makeup/products/sisley-so-volume-mascara-1-deep-black-8ml-0-27oz", "https://prolisok-store.com/collections/makeup/products/sisley-so-volume-mascara-1-deep-black-8ml-0-27oz")</f>
        <v>https://prolisok-store.com/collections/makeup/products/sisley-so-volume-mascara-1-deep-black-8ml-0-27oz</v>
      </c>
      <c r="B2677" s="3" t="str">
        <f>HYPERLINK("https://prolisok-store.com/products/sisley-so-volume-mascara-1-deep-black-8ml-0-27oz", "https://prolisok-store.com/products/sisley-so-volume-mascara-1-deep-black-8ml-0-27oz")</f>
        <v>https://prolisok-store.com/products/sisley-so-volume-mascara-1-deep-black-8ml-0-27oz</v>
      </c>
      <c r="C2677" t="s">
        <v>6487</v>
      </c>
      <c r="D2677" t="s">
        <v>6611</v>
      </c>
      <c r="E2677" s="3" t="str">
        <f>HYPERLINK("https://www.amazon.com/Sisley-So-Mascara-Black-Women/dp/B07P6RKRGF/ref=sr_1_1?keywords=Sisley+so+volume+mascara+-&amp;qid=1695259490&amp;sr=8-1", "https://www.amazon.com/Sisley-So-Mascara-Black-Women/dp/B07P6RKRGF/ref=sr_1_1?keywords=Sisley+so+volume+mascara+-&amp;qid=1695259490&amp;sr=8-1")</f>
        <v>https://www.amazon.com/Sisley-So-Mascara-Black-Women/dp/B07P6RKRGF/ref=sr_1_1?keywords=Sisley+so+volume+mascara+-&amp;qid=1695259490&amp;sr=8-1</v>
      </c>
      <c r="F2677" t="s">
        <v>6612</v>
      </c>
      <c r="G2677" t="e">
        <f ca="1">IMAGE("https://prolisok-store.com/cdn/shop/products/334077_300x.jpg?v=1690900735")</f>
        <v>#NAME?</v>
      </c>
      <c r="H2677" t="e">
        <f ca="1">IMAGE("https://m.media-amazon.com/images/I/61YfLgWQ5aL._AC_UL320_.jpg")</f>
        <v>#NAME?</v>
      </c>
      <c r="I2677" t="s">
        <v>6484</v>
      </c>
      <c r="J2677">
        <v>49.19</v>
      </c>
      <c r="K2677" s="2" t="s">
        <v>6613</v>
      </c>
      <c r="L2677">
        <v>3.8</v>
      </c>
      <c r="M2677">
        <v>9</v>
      </c>
      <c r="O2677" t="s">
        <v>26</v>
      </c>
      <c r="P2677" t="s">
        <v>39</v>
      </c>
      <c r="Q2677" t="s">
        <v>6488</v>
      </c>
    </row>
    <row r="2678" spans="1:17" ht="15.75" x14ac:dyDescent="0.25">
      <c r="A2678" s="3" t="str">
        <f>HYPERLINK("https://prolisok-store.com/collections/makeup/products/mac-cremesheen-lipstick-on-hold-3g-0-1oz", "https://prolisok-store.com/collections/makeup/products/mac-cremesheen-lipstick-on-hold-3g-0-1oz")</f>
        <v>https://prolisok-store.com/collections/makeup/products/mac-cremesheen-lipstick-on-hold-3g-0-1oz</v>
      </c>
      <c r="B2678" s="3" t="str">
        <f>HYPERLINK("https://prolisok-store.com/products/mac-cremesheen-lipstick-on-hold-3g-0-1oz", "https://prolisok-store.com/products/mac-cremesheen-lipstick-on-hold-3g-0-1oz")</f>
        <v>https://prolisok-store.com/products/mac-cremesheen-lipstick-on-hold-3g-0-1oz</v>
      </c>
      <c r="C2678" t="s">
        <v>6614</v>
      </c>
      <c r="D2678" t="s">
        <v>6615</v>
      </c>
      <c r="E2678" s="3" t="str">
        <f>HYPERLINK("https://www.amazon.com/Mac-Cremesheen-Lipstick-ON-HOLD/dp/B07S29C761/ref=sr_1_1?keywords=MAC+cremesheen+lipstick+-+on+hold+-3g%2F0.1oz&amp;qid=1695259544&amp;sr=8-1", "https://www.amazon.com/Mac-Cremesheen-Lipstick-ON-HOLD/dp/B07S29C761/ref=sr_1_1?keywords=MAC+cremesheen+lipstick+-+on+hold+-3g%2F0.1oz&amp;qid=1695259544&amp;sr=8-1")</f>
        <v>https://www.amazon.com/Mac-Cremesheen-Lipstick-ON-HOLD/dp/B07S29C761/ref=sr_1_1?keywords=MAC+cremesheen+lipstick+-+on+hold+-3g%2F0.1oz&amp;qid=1695259544&amp;sr=8-1</v>
      </c>
      <c r="F2678" t="s">
        <v>6616</v>
      </c>
      <c r="G2678" t="e">
        <f ca="1">IMAGE("https://prolisok-store.com/cdn/shop/products/346146_300x.jpg?v=1690393922")</f>
        <v>#NAME?</v>
      </c>
      <c r="H2678" t="e">
        <f ca="1">IMAGE("https://m.media-amazon.com/images/I/21K8C8sFQVL._AC_UL320_.jpg")</f>
        <v>#NAME?</v>
      </c>
      <c r="I2678" t="s">
        <v>6617</v>
      </c>
      <c r="J2678">
        <v>19.5</v>
      </c>
      <c r="K2678" s="2" t="s">
        <v>6618</v>
      </c>
      <c r="L2678">
        <v>5</v>
      </c>
      <c r="M2678">
        <v>4</v>
      </c>
      <c r="O2678" t="s">
        <v>26</v>
      </c>
      <c r="P2678" t="s">
        <v>39</v>
      </c>
      <c r="Q2678" t="s">
        <v>6619</v>
      </c>
    </row>
    <row r="2679" spans="1:17" ht="15.75" x14ac:dyDescent="0.25">
      <c r="A2679" s="3" t="str">
        <f>HYPERLINK("https://prolisok-store.com/collections/makeup/products/sisley-eye-contour-mask-30ml-1oz", "https://prolisok-store.com/collections/makeup/products/sisley-eye-contour-mask-30ml-1oz")</f>
        <v>https://prolisok-store.com/collections/makeup/products/sisley-eye-contour-mask-30ml-1oz</v>
      </c>
      <c r="B2679" s="3" t="str">
        <f>HYPERLINK("https://prolisok-store.com/products/sisley-eye-contour-mask-30ml-1oz", "https://prolisok-store.com/products/sisley-eye-contour-mask-30ml-1oz")</f>
        <v>https://prolisok-store.com/products/sisley-eye-contour-mask-30ml-1oz</v>
      </c>
      <c r="C2679" t="s">
        <v>6422</v>
      </c>
      <c r="D2679" t="s">
        <v>6620</v>
      </c>
      <c r="E2679" s="3" t="str">
        <f>HYPERLINK("https://www.amazon.com/Eye-Contour-Mask-30ml-1oz/dp/B003KRQSEW/ref=sr_1_2?keywords=Sisley+eye+contour+mask+30ml%2F1oz&amp;qid=1695259531&amp;sr=8-2", "https://www.amazon.com/Eye-Contour-Mask-30ml-1oz/dp/B003KRQSEW/ref=sr_1_2?keywords=Sisley+eye+contour+mask+30ml%2F1oz&amp;qid=1695259531&amp;sr=8-2")</f>
        <v>https://www.amazon.com/Eye-Contour-Mask-30ml-1oz/dp/B003KRQSEW/ref=sr_1_2?keywords=Sisley+eye+contour+mask+30ml%2F1oz&amp;qid=1695259531&amp;sr=8-2</v>
      </c>
      <c r="F2679" t="s">
        <v>6621</v>
      </c>
      <c r="G2679" t="e">
        <f ca="1">IMAGE("https://prolisok-store.com/cdn/shop/products/157475_300x.jpg?v=1690900915")</f>
        <v>#NAME?</v>
      </c>
      <c r="H2679" t="e">
        <f ca="1">IMAGE("https://m.media-amazon.com/images/I/31gnYHORtOL._AC_UL320_.jpg")</f>
        <v>#NAME?</v>
      </c>
      <c r="I2679" t="s">
        <v>6425</v>
      </c>
      <c r="J2679">
        <v>102.56</v>
      </c>
      <c r="K2679" s="2" t="s">
        <v>6622</v>
      </c>
      <c r="L2679">
        <v>4.7</v>
      </c>
      <c r="M2679">
        <v>7</v>
      </c>
      <c r="O2679" t="s">
        <v>26</v>
      </c>
      <c r="P2679" t="s">
        <v>39</v>
      </c>
      <c r="Q2679" t="s">
        <v>6427</v>
      </c>
    </row>
    <row r="2680" spans="1:17" ht="15.75" x14ac:dyDescent="0.25">
      <c r="A2680" s="3" t="str">
        <f>HYPERLINK("https://prolisok-store.com/collections/makeup/products/estee-lauder-double-wear-stay-in-place-flawless-wear-concealer-3c-medium-cool-7ml-0-24oz", "https://prolisok-store.com/collections/makeup/products/estee-lauder-double-wear-stay-in-place-flawless-wear-concealer-3c-medium-cool-7ml-0-24oz")</f>
        <v>https://prolisok-store.com/collections/makeup/products/estee-lauder-double-wear-stay-in-place-flawless-wear-concealer-3c-medium-cool-7ml-0-24oz</v>
      </c>
      <c r="B2680" s="3" t="str">
        <f>HYPERLINK("https://prolisok-store.com/products/estee-lauder-double-wear-stay-in-place-flawless-wear-concealer-3c-medium-cool-7ml-0-24oz", "https://prolisok-store.com/products/estee-lauder-double-wear-stay-in-place-flawless-wear-concealer-3c-medium-cool-7ml-0-24oz")</f>
        <v>https://prolisok-store.com/products/estee-lauder-double-wear-stay-in-place-flawless-wear-concealer-3c-medium-cool-7ml-0-24oz</v>
      </c>
      <c r="C2680" t="s">
        <v>6287</v>
      </c>
      <c r="D2680" t="s">
        <v>6623</v>
      </c>
      <c r="E2680" s="3" t="str">
        <f>HYPERLINK("https://www.amazon.com/Estee-Lauder-Double-Flawless-Concealer/dp/B009JESQ8G/ref=sr_1_3?keywords=Estee+Lauder+double+wear+stay+in+place+flawless+wear+concealer+-&amp;qid=1695259513&amp;sr=8-3", "https://www.amazon.com/Estee-Lauder-Double-Flawless-Concealer/dp/B009JESQ8G/ref=sr_1_3?keywords=Estee+Lauder+double+wear+stay+in+place+flawless+wear+concealer+-&amp;qid=1695259513&amp;sr=8-3")</f>
        <v>https://www.amazon.com/Estee-Lauder-Double-Flawless-Concealer/dp/B009JESQ8G/ref=sr_1_3?keywords=Estee+Lauder+double+wear+stay+in+place+flawless+wear+concealer+-&amp;qid=1695259513&amp;sr=8-3</v>
      </c>
      <c r="F2680" t="s">
        <v>6624</v>
      </c>
      <c r="G2680" t="e">
        <f ca="1">IMAGE("https://prolisok-store.com/cdn/shop/products/310678_300x.jpg?v=1690900183")</f>
        <v>#NAME?</v>
      </c>
      <c r="H2680" t="e">
        <f ca="1">IMAGE("https://m.media-amazon.com/images/I/61mqItdPhfL._AC_UL320_.jpg")</f>
        <v>#NAME?</v>
      </c>
      <c r="I2680" t="s">
        <v>6267</v>
      </c>
      <c r="J2680">
        <v>23.25</v>
      </c>
      <c r="K2680" s="2" t="s">
        <v>6625</v>
      </c>
      <c r="L2680">
        <v>4.5999999999999996</v>
      </c>
      <c r="M2680">
        <v>1193</v>
      </c>
      <c r="O2680" t="s">
        <v>26</v>
      </c>
      <c r="P2680" t="s">
        <v>39</v>
      </c>
      <c r="Q2680" t="s">
        <v>6291</v>
      </c>
    </row>
    <row r="2681" spans="1:17" ht="15.75" x14ac:dyDescent="0.25">
      <c r="A2681" s="3" t="str">
        <f>HYPERLINK("https://prolisok-store.com/collections/makeup/products/mac-blush-powder-desert-rose-6g-0-21oz", "https://prolisok-store.com/collections/makeup/products/mac-blush-powder-desert-rose-6g-0-21oz")</f>
        <v>https://prolisok-store.com/collections/makeup/products/mac-blush-powder-desert-rose-6g-0-21oz</v>
      </c>
      <c r="B2681" s="3" t="str">
        <f>HYPERLINK("https://prolisok-store.com/products/mac-blush-powder-desert-rose-6g-0-21oz", "https://prolisok-store.com/products/mac-blush-powder-desert-rose-6g-0-21oz")</f>
        <v>https://prolisok-store.com/products/mac-blush-powder-desert-rose-6g-0-21oz</v>
      </c>
      <c r="C2681" t="s">
        <v>6230</v>
      </c>
      <c r="D2681" t="s">
        <v>6626</v>
      </c>
      <c r="E2681" s="3" t="str">
        <f>HYPERLINK("https://www.amazon.com/MAC-Blush-Powder-Raizin-0-21oz/dp/B00B3PF3ZS/ref=sr_1_2?keywords=MAC+blush+powder+-+desert+rose+-6g%2F0.21oz&amp;qid=1695259549&amp;sr=8-2", "https://www.amazon.com/MAC-Blush-Powder-Raizin-0-21oz/dp/B00B3PF3ZS/ref=sr_1_2?keywords=MAC+blush+powder+-+desert+rose+-6g%2F0.21oz&amp;qid=1695259549&amp;sr=8-2")</f>
        <v>https://www.amazon.com/MAC-Blush-Powder-Raizin-0-21oz/dp/B00B3PF3ZS/ref=sr_1_2?keywords=MAC+blush+powder+-+desert+rose+-6g%2F0.21oz&amp;qid=1695259549&amp;sr=8-2</v>
      </c>
      <c r="F2681" t="s">
        <v>6627</v>
      </c>
      <c r="G2681" t="e">
        <f ca="1">IMAGE("https://prolisok-store.com/cdn/shop/products/195344_300x.jpg?v=1690393924")</f>
        <v>#NAME?</v>
      </c>
      <c r="H2681" t="e">
        <f ca="1">IMAGE("https://m.media-amazon.com/images/I/512i3DTCaML._AC_UL320_.jpg")</f>
        <v>#NAME?</v>
      </c>
      <c r="I2681" t="s">
        <v>6020</v>
      </c>
      <c r="J2681">
        <v>23.87</v>
      </c>
      <c r="K2681" s="2" t="s">
        <v>6628</v>
      </c>
      <c r="L2681">
        <v>4.5999999999999996</v>
      </c>
      <c r="M2681">
        <v>44</v>
      </c>
      <c r="O2681" t="s">
        <v>26</v>
      </c>
      <c r="P2681" t="s">
        <v>39</v>
      </c>
      <c r="Q2681" t="s">
        <v>6234</v>
      </c>
    </row>
    <row r="2682" spans="1:17" ht="15.75" x14ac:dyDescent="0.25">
      <c r="A2682" s="3" t="str">
        <f>HYPERLINK("https://prolisok-store.com/collections/makeup/products/sisley-gentle-make-up-remover-face-and-eyes-300ml-10-1oz", "https://prolisok-store.com/collections/makeup/products/sisley-gentle-make-up-remover-face-and-eyes-300ml-10-1oz")</f>
        <v>https://prolisok-store.com/collections/makeup/products/sisley-gentle-make-up-remover-face-and-eyes-300ml-10-1oz</v>
      </c>
      <c r="B2682" s="3" t="str">
        <f>HYPERLINK("https://prolisok-store.com/products/sisley-gentle-make-up-remover-face-and-eyes-300ml-10-1oz", "https://prolisok-store.com/products/sisley-gentle-make-up-remover-face-and-eyes-300ml-10-1oz")</f>
        <v>https://prolisok-store.com/products/sisley-gentle-make-up-remover-face-and-eyes-300ml-10-1oz</v>
      </c>
      <c r="C2682" t="s">
        <v>6629</v>
      </c>
      <c r="D2682" t="s">
        <v>6630</v>
      </c>
      <c r="E2682" s="3" t="str">
        <f>HYPERLINK("https://www.amazon.com/Sisley-Womens-Efficace-Make-Up-Remover/dp/B00AJWU90K/ref=sr_1_2?keywords=Sisley+gentle+make-up+remover+face+and+eyes+300ml%2F10.1oz&amp;qid=1695259512&amp;sr=8-2", "https://www.amazon.com/Sisley-Womens-Efficace-Make-Up-Remover/dp/B00AJWU90K/ref=sr_1_2?keywords=Sisley+gentle+make-up+remover+face+and+eyes+300ml%2F10.1oz&amp;qid=1695259512&amp;sr=8-2")</f>
        <v>https://www.amazon.com/Sisley-Womens-Efficace-Make-Up-Remover/dp/B00AJWU90K/ref=sr_1_2?keywords=Sisley+gentle+make-up+remover+face+and+eyes+300ml%2F10.1oz&amp;qid=1695259512&amp;sr=8-2</v>
      </c>
      <c r="F2682" t="s">
        <v>6631</v>
      </c>
      <c r="G2682" t="e">
        <f ca="1">IMAGE("https://prolisok-store.com/cdn/shop/products/233671_300x.jpg?v=1690900989")</f>
        <v>#NAME?</v>
      </c>
      <c r="H2682" t="e">
        <f ca="1">IMAGE("https://m.media-amazon.com/images/I/51uJKEG7I3L._AC_UL320_.jpg")</f>
        <v>#NAME?</v>
      </c>
      <c r="I2682" t="s">
        <v>2527</v>
      </c>
      <c r="J2682">
        <v>87.75</v>
      </c>
      <c r="K2682" s="2" t="s">
        <v>6632</v>
      </c>
      <c r="L2682">
        <v>4.4000000000000004</v>
      </c>
      <c r="M2682">
        <v>51</v>
      </c>
      <c r="O2682" t="s">
        <v>26</v>
      </c>
      <c r="P2682" t="s">
        <v>39</v>
      </c>
      <c r="Q2682" t="s">
        <v>6633</v>
      </c>
    </row>
    <row r="2683" spans="1:17" ht="15.75" x14ac:dyDescent="0.25">
      <c r="A2683" s="3" t="str">
        <f>HYPERLINK("https://prolisok-store.com/collections/makeup/products/sisley-phyto-poudre-compacte-matifying-and-beautifying-pressed-powder-1-rosy-12g-0-42oz", "https://prolisok-store.com/collections/makeup/products/sisley-phyto-poudre-compacte-matifying-and-beautifying-pressed-powder-1-rosy-12g-0-42oz")</f>
        <v>https://prolisok-store.com/collections/makeup/products/sisley-phyto-poudre-compacte-matifying-and-beautifying-pressed-powder-1-rosy-12g-0-42oz</v>
      </c>
      <c r="B2683" s="3" t="str">
        <f>HYPERLINK("https://prolisok-store.com/products/sisley-phyto-poudre-compacte-matifying-and-beautifying-pressed-powder-1-rosy-12g-0-42oz", "https://prolisok-store.com/products/sisley-phyto-poudre-compacte-matifying-and-beautifying-pressed-powder-1-rosy-12g-0-42oz")</f>
        <v>https://prolisok-store.com/products/sisley-phyto-poudre-compacte-matifying-and-beautifying-pressed-powder-1-rosy-12g-0-42oz</v>
      </c>
      <c r="C2683" t="s">
        <v>6634</v>
      </c>
      <c r="D2683" t="s">
        <v>6635</v>
      </c>
      <c r="E2683" s="3" t="str">
        <f>HYPERLINK("https://www.amazon.com/SISLEY-Compacte-Matifying-Beautifying-Pressed/dp/B088R2NS8H/ref=sr_1_1?keywords=Sisley+phyto+poudre+compacte+matifying+and+beautifying+pressed+powder+-&amp;qid=1695259508&amp;sr=8-1", "https://www.amazon.com/SISLEY-Compacte-Matifying-Beautifying-Pressed/dp/B088R2NS8H/ref=sr_1_1?keywords=Sisley+phyto+poudre+compacte+matifying+and+beautifying+pressed+powder+-&amp;qid=1695259508&amp;sr=8-1")</f>
        <v>https://www.amazon.com/SISLEY-Compacte-Matifying-Beautifying-Pressed/dp/B088R2NS8H/ref=sr_1_1?keywords=Sisley+phyto+poudre+compacte+matifying+and+beautifying+pressed+powder+-&amp;qid=1695259508&amp;sr=8-1</v>
      </c>
      <c r="F2683" t="s">
        <v>6636</v>
      </c>
      <c r="G2683" t="e">
        <f ca="1">IMAGE("https://prolisok-store.com/cdn/shop/products/365382_300x.jpg?v=1690900712")</f>
        <v>#NAME?</v>
      </c>
      <c r="H2683" t="e">
        <f ca="1">IMAGE("https://m.media-amazon.com/images/I/61d4F+7Vt2L._AC_UL320_.jpg")</f>
        <v>#NAME?</v>
      </c>
      <c r="I2683" t="s">
        <v>6503</v>
      </c>
      <c r="J2683">
        <v>74.95</v>
      </c>
      <c r="K2683" s="2" t="s">
        <v>6637</v>
      </c>
      <c r="L2683">
        <v>5</v>
      </c>
      <c r="M2683">
        <v>3</v>
      </c>
      <c r="O2683" t="s">
        <v>26</v>
      </c>
      <c r="P2683" t="s">
        <v>39</v>
      </c>
      <c r="Q2683" t="s">
        <v>6638</v>
      </c>
    </row>
    <row r="2684" spans="1:17" ht="15.75" x14ac:dyDescent="0.25">
      <c r="A2684" s="3" t="str">
        <f>HYPERLINK("https://prolisok-store.com/collections/makeup/products/sisley-phyto-poudre-compacte-matifying-and-beautifying-pressed-powder-3-sandy-12g-0-42oz", "https://prolisok-store.com/collections/makeup/products/sisley-phyto-poudre-compacte-matifying-and-beautifying-pressed-powder-3-sandy-12g-0-42oz")</f>
        <v>https://prolisok-store.com/collections/makeup/products/sisley-phyto-poudre-compacte-matifying-and-beautifying-pressed-powder-3-sandy-12g-0-42oz</v>
      </c>
      <c r="B2684" s="3" t="str">
        <f>HYPERLINK("https://prolisok-store.com/products/sisley-phyto-poudre-compacte-matifying-and-beautifying-pressed-powder-3-sandy-12g-0-42oz", "https://prolisok-store.com/products/sisley-phyto-poudre-compacte-matifying-and-beautifying-pressed-powder-3-sandy-12g-0-42oz")</f>
        <v>https://prolisok-store.com/products/sisley-phyto-poudre-compacte-matifying-and-beautifying-pressed-powder-3-sandy-12g-0-42oz</v>
      </c>
      <c r="C2684" t="s">
        <v>6639</v>
      </c>
      <c r="D2684" t="s">
        <v>6635</v>
      </c>
      <c r="E2684" s="3" t="str">
        <f>HYPERLINK("https://www.amazon.com/SISLEY-Compacte-Matifying-Beautifying-Pressed/dp/B088R2NS8H/ref=sr_1_1?keywords=Sisley+phyto+poudre+compacte+matifying+and+beautifying+pressed+powder+-&amp;qid=1695259519&amp;sr=8-1", "https://www.amazon.com/SISLEY-Compacte-Matifying-Beautifying-Pressed/dp/B088R2NS8H/ref=sr_1_1?keywords=Sisley+phyto+poudre+compacte+matifying+and+beautifying+pressed+powder+-&amp;qid=1695259519&amp;sr=8-1")</f>
        <v>https://www.amazon.com/SISLEY-Compacte-Matifying-Beautifying-Pressed/dp/B088R2NS8H/ref=sr_1_1?keywords=Sisley+phyto+poudre+compacte+matifying+and+beautifying+pressed+powder+-&amp;qid=1695259519&amp;sr=8-1</v>
      </c>
      <c r="F2684" t="s">
        <v>6636</v>
      </c>
      <c r="G2684" t="e">
        <f ca="1">IMAGE("https://prolisok-store.com/cdn/shop/products/365384_300x.jpg?v=1690900714")</f>
        <v>#NAME?</v>
      </c>
      <c r="H2684" t="e">
        <f ca="1">IMAGE("https://m.media-amazon.com/images/I/61d4F+7Vt2L._AC_UL320_.jpg")</f>
        <v>#NAME?</v>
      </c>
      <c r="I2684" t="s">
        <v>6503</v>
      </c>
      <c r="J2684">
        <v>74.95</v>
      </c>
      <c r="K2684" s="2" t="s">
        <v>6637</v>
      </c>
      <c r="L2684">
        <v>5</v>
      </c>
      <c r="M2684">
        <v>3</v>
      </c>
      <c r="O2684" t="s">
        <v>26</v>
      </c>
      <c r="P2684" t="s">
        <v>39</v>
      </c>
      <c r="Q2684" t="s">
        <v>6640</v>
      </c>
    </row>
    <row r="2685" spans="1:17" ht="15.75" x14ac:dyDescent="0.25">
      <c r="A2685" s="3" t="str">
        <f>HYPERLINK("https://prolisok-store.com/collections/makeup/products/mac-studio-fix-powder-plus-foundation-nc15-15g-0-52oz", "https://prolisok-store.com/collections/makeup/products/mac-studio-fix-powder-plus-foundation-nc15-15g-0-52oz")</f>
        <v>https://prolisok-store.com/collections/makeup/products/mac-studio-fix-powder-plus-foundation-nc15-15g-0-52oz</v>
      </c>
      <c r="B2685" s="3" t="str">
        <f>HYPERLINK("https://prolisok-store.com/products/mac-studio-fix-powder-plus-foundation-nc15-15g-0-52oz", "https://prolisok-store.com/products/mac-studio-fix-powder-plus-foundation-nc15-15g-0-52oz")</f>
        <v>https://prolisok-store.com/products/mac-studio-fix-powder-plus-foundation-nc15-15g-0-52oz</v>
      </c>
      <c r="C2685" t="s">
        <v>6108</v>
      </c>
      <c r="D2685" t="s">
        <v>6641</v>
      </c>
      <c r="E2685" s="3" t="str">
        <f>HYPERLINK("https://www.amazon.com/Studio-Powder-Plus-Foundation-MAC/dp/B00EKUG4S8/ref=sr_1_7?keywords=MAC+studio+fix+powder+plus+foundation+-+nc15+-15g%2F0.52oz&amp;qid=1695259539&amp;sr=8-7", "https://www.amazon.com/Studio-Powder-Plus-Foundation-MAC/dp/B00EKUG4S8/ref=sr_1_7?keywords=MAC+studio+fix+powder+plus+foundation+-+nc15+-15g%2F0.52oz&amp;qid=1695259539&amp;sr=8-7")</f>
        <v>https://www.amazon.com/Studio-Powder-Plus-Foundation-MAC/dp/B00EKUG4S8/ref=sr_1_7?keywords=MAC+studio+fix+powder+plus+foundation+-+nc15+-15g%2F0.52oz&amp;qid=1695259539&amp;sr=8-7</v>
      </c>
      <c r="F2685" t="s">
        <v>6642</v>
      </c>
      <c r="G2685" t="e">
        <f ca="1">IMAGE("https://prolisok-store.com/cdn/shop/products/347384_300x.jpg?v=1690393863")</f>
        <v>#NAME?</v>
      </c>
      <c r="H2685" t="e">
        <f ca="1">IMAGE("https://m.media-amazon.com/images/I/618FKdN2iTL._AC_UL320_.jpg")</f>
        <v>#NAME?</v>
      </c>
      <c r="I2685" t="s">
        <v>6111</v>
      </c>
      <c r="J2685">
        <v>25.5</v>
      </c>
      <c r="K2685" s="2" t="s">
        <v>6643</v>
      </c>
      <c r="L2685">
        <v>4.8</v>
      </c>
      <c r="M2685">
        <v>30</v>
      </c>
      <c r="O2685" t="s">
        <v>26</v>
      </c>
      <c r="P2685" t="s">
        <v>39</v>
      </c>
      <c r="Q2685" t="s">
        <v>6113</v>
      </c>
    </row>
    <row r="2686" spans="1:17" ht="15.75" x14ac:dyDescent="0.25">
      <c r="A2686" s="3" t="str">
        <f>HYPERLINK("https://prolisok-store.com/collections/makeup/products/sisley-lorchidee-highlighter-blush-with-white-lily-coral-15g-0-52oz", "https://prolisok-store.com/collections/makeup/products/sisley-lorchidee-highlighter-blush-with-white-lily-coral-15g-0-52oz")</f>
        <v>https://prolisok-store.com/collections/makeup/products/sisley-lorchidee-highlighter-blush-with-white-lily-coral-15g-0-52oz</v>
      </c>
      <c r="B2686" s="3" t="str">
        <f>HYPERLINK("https://prolisok-store.com/products/sisley-lorchidee-highlighter-blush-with-white-lily-coral-15g-0-52oz", "https://prolisok-store.com/products/sisley-lorchidee-highlighter-blush-with-white-lily-coral-15g-0-52oz")</f>
        <v>https://prolisok-store.com/products/sisley-lorchidee-highlighter-blush-with-white-lily-coral-15g-0-52oz</v>
      </c>
      <c r="C2686" t="s">
        <v>6391</v>
      </c>
      <c r="D2686" t="s">
        <v>6644</v>
      </c>
      <c r="E2686" s="3" t="str">
        <f>HYPERLINK("https://www.amazon.com/Sisley-Lorchidee-Highlighter-Blush-White/dp/B00BNY5K7U/ref=sr_1_1?keywords=Sisley+lorchidee+highlighter+blush+with+white+lily+-+coral+15g%2F0.52oz&amp;qid=1695259525&amp;sr=8-1", "https://www.amazon.com/Sisley-Lorchidee-Highlighter-Blush-White/dp/B00BNY5K7U/ref=sr_1_1?keywords=Sisley+lorchidee+highlighter+blush+with+white+lily+-+coral+15g%2F0.52oz&amp;qid=1695259525&amp;sr=8-1")</f>
        <v>https://www.amazon.com/Sisley-Lorchidee-Highlighter-Blush-White/dp/B00BNY5K7U/ref=sr_1_1?keywords=Sisley+lorchidee+highlighter+blush+with+white+lily+-+coral+15g%2F0.52oz&amp;qid=1695259525&amp;sr=8-1</v>
      </c>
      <c r="F2686" t="s">
        <v>6645</v>
      </c>
      <c r="G2686" t="e">
        <f ca="1">IMAGE("https://prolisok-store.com/cdn/shop/products/346287_300x.jpg?v=1690900743")</f>
        <v>#NAME?</v>
      </c>
      <c r="H2686" t="e">
        <f ca="1">IMAGE("https://m.media-amazon.com/images/I/71WxLCO9wXL._AC_UL320_.jpg")</f>
        <v>#NAME?</v>
      </c>
      <c r="I2686" t="s">
        <v>2531</v>
      </c>
      <c r="J2686">
        <v>68.42</v>
      </c>
      <c r="K2686" s="2" t="s">
        <v>6646</v>
      </c>
      <c r="L2686">
        <v>4.5</v>
      </c>
      <c r="M2686">
        <v>28</v>
      </c>
      <c r="O2686" t="s">
        <v>26</v>
      </c>
      <c r="P2686" t="s">
        <v>39</v>
      </c>
      <c r="Q2686" t="s">
        <v>6395</v>
      </c>
    </row>
    <row r="2687" spans="1:17" ht="15.75" x14ac:dyDescent="0.25">
      <c r="A2687" s="3" t="str">
        <f>HYPERLINK("https://prolisok-store.com/collections/makeup/products/estee-lauder-brow-now-stay-in-place-brow-gel-clear-1-7ml-0-05oz", "https://prolisok-store.com/collections/makeup/products/estee-lauder-brow-now-stay-in-place-brow-gel-clear-1-7ml-0-05oz")</f>
        <v>https://prolisok-store.com/collections/makeup/products/estee-lauder-brow-now-stay-in-place-brow-gel-clear-1-7ml-0-05oz</v>
      </c>
      <c r="B2687" s="3" t="str">
        <f>HYPERLINK("https://prolisok-store.com/products/estee-lauder-brow-now-stay-in-place-brow-gel-clear-1-7ml-0-05oz", "https://prolisok-store.com/products/estee-lauder-brow-now-stay-in-place-brow-gel-clear-1-7ml-0-05oz")</f>
        <v>https://prolisok-store.com/products/estee-lauder-brow-now-stay-in-place-brow-gel-clear-1-7ml-0-05oz</v>
      </c>
      <c r="C2687" t="s">
        <v>6076</v>
      </c>
      <c r="D2687" t="s">
        <v>6647</v>
      </c>
      <c r="E2687" s="3" t="str">
        <f>HYPERLINK("https://www.amazon.com/Estee-Lauder-Stay-Place-Clear/dp/B01EH1DJGO/ref=sr_1_1?keywords=Estee+Lauder+brow+now+stay+in+place+brow+gel+-&amp;qid=1695259508&amp;sr=8-1", "https://www.amazon.com/Estee-Lauder-Stay-Place-Clear/dp/B01EH1DJGO/ref=sr_1_1?keywords=Estee+Lauder+brow+now+stay+in+place+brow+gel+-&amp;qid=1695259508&amp;sr=8-1")</f>
        <v>https://www.amazon.com/Estee-Lauder-Stay-Place-Clear/dp/B01EH1DJGO/ref=sr_1_1?keywords=Estee+Lauder+brow+now+stay+in+place+brow+gel+-&amp;qid=1695259508&amp;sr=8-1</v>
      </c>
      <c r="F2687" t="s">
        <v>6648</v>
      </c>
      <c r="G2687" t="e">
        <f ca="1">IMAGE("https://prolisok-store.com/cdn/shop/products/296986_300x.jpg?v=1690900193")</f>
        <v>#NAME?</v>
      </c>
      <c r="H2687" t="e">
        <f ca="1">IMAGE("https://m.media-amazon.com/images/I/61Hs5M-yEGL._AC_UL320_.jpg")</f>
        <v>#NAME?</v>
      </c>
      <c r="I2687" t="s">
        <v>6077</v>
      </c>
      <c r="J2687">
        <v>16.59</v>
      </c>
      <c r="K2687" s="2" t="s">
        <v>6649</v>
      </c>
      <c r="L2687">
        <v>4.3</v>
      </c>
      <c r="M2687">
        <v>59</v>
      </c>
      <c r="O2687" t="s">
        <v>26</v>
      </c>
      <c r="P2687" t="s">
        <v>39</v>
      </c>
      <c r="Q2687" t="s">
        <v>6079</v>
      </c>
    </row>
    <row r="2688" spans="1:17" ht="15.75" x14ac:dyDescent="0.25">
      <c r="A2688" s="3" t="str">
        <f>HYPERLINK("https://prolisok-store.com/collections/makeup/products/sisley-phyto-teint-ultra-eclat-00-swan-30ml-1oz", "https://prolisok-store.com/collections/makeup/products/sisley-phyto-teint-ultra-eclat-00-swan-30ml-1oz")</f>
        <v>https://prolisok-store.com/collections/makeup/products/sisley-phyto-teint-ultra-eclat-00-swan-30ml-1oz</v>
      </c>
      <c r="B2688" s="3" t="str">
        <f>HYPERLINK("https://prolisok-store.com/products/sisley-phyto-teint-ultra-eclat-00-swan-30ml-1oz", "https://prolisok-store.com/products/sisley-phyto-teint-ultra-eclat-00-swan-30ml-1oz")</f>
        <v>https://prolisok-store.com/products/sisley-phyto-teint-ultra-eclat-00-swan-30ml-1oz</v>
      </c>
      <c r="C2688" t="s">
        <v>6295</v>
      </c>
      <c r="D2688" t="s">
        <v>6595</v>
      </c>
      <c r="E2688" s="3" t="str">
        <f>HYPERLINK("https://www.amazon.com/Sisley-Phyto-Teint-Ultra-Lasting-Foundation/dp/B07XC3F67C/ref=sr_1_1?keywords=Sisley+phyto+teint+ultra+eclat&amp;qid=1695259500&amp;sr=8-1", "https://www.amazon.com/Sisley-Phyto-Teint-Ultra-Lasting-Foundation/dp/B07XC3F67C/ref=sr_1_1?keywords=Sisley+phyto+teint+ultra+eclat&amp;qid=1695259500&amp;sr=8-1")</f>
        <v>https://www.amazon.com/Sisley-Phyto-Teint-Ultra-Lasting-Foundation/dp/B07XC3F67C/ref=sr_1_1?keywords=Sisley+phyto+teint+ultra+eclat&amp;qid=1695259500&amp;sr=8-1</v>
      </c>
      <c r="F2688" t="s">
        <v>6596</v>
      </c>
      <c r="G2688" t="e">
        <f ca="1">IMAGE("https://prolisok-store.com/cdn/shop/products/395002_300x.jpg?v=1690900695")</f>
        <v>#NAME?</v>
      </c>
      <c r="H2688" t="e">
        <f ca="1">IMAGE("https://m.media-amazon.com/images/I/41+MtjTqAFL._AC_UL320_.jpg")</f>
        <v>#NAME?</v>
      </c>
      <c r="I2688" t="s">
        <v>6189</v>
      </c>
      <c r="J2688">
        <v>61.17</v>
      </c>
      <c r="K2688" s="2" t="s">
        <v>6650</v>
      </c>
      <c r="L2688">
        <v>4.3</v>
      </c>
      <c r="M2688">
        <v>58</v>
      </c>
      <c r="O2688" t="s">
        <v>26</v>
      </c>
      <c r="P2688" t="s">
        <v>39</v>
      </c>
      <c r="Q2688" t="s">
        <v>6297</v>
      </c>
    </row>
    <row r="2689" spans="1:17" ht="15.75" x14ac:dyDescent="0.25">
      <c r="A2689" s="3" t="str">
        <f>HYPERLINK("https://prolisok-store.com/collections/makeup/products/sisley-phyto-cernes-eclat-eye-concealer-01-15ml-0-61oz", "https://prolisok-store.com/collections/makeup/products/sisley-phyto-cernes-eclat-eye-concealer-01-15ml-0-61oz")</f>
        <v>https://prolisok-store.com/collections/makeup/products/sisley-phyto-cernes-eclat-eye-concealer-01-15ml-0-61oz</v>
      </c>
      <c r="B2689" s="3" t="str">
        <f>HYPERLINK("https://prolisok-store.com/products/sisley-phyto-cernes-eclat-eye-concealer-01-15ml-0-61oz", "https://prolisok-store.com/products/sisley-phyto-cernes-eclat-eye-concealer-01-15ml-0-61oz")</f>
        <v>https://prolisok-store.com/products/sisley-phyto-cernes-eclat-eye-concealer-01-15ml-0-61oz</v>
      </c>
      <c r="C2689" t="s">
        <v>6522</v>
      </c>
      <c r="D2689" t="s">
        <v>6281</v>
      </c>
      <c r="E2689" s="3" t="str">
        <f>HYPERLINK("https://www.amazon.com/Sisley-Phytocernes-Concealer-Natural-0-58oz/dp/B00CEQKP1W/ref=sr_1_7?keywords=Sisley+phyto+cernes+eclat+eye+concealer+-+%23+01+15ml%2F0.61oz&amp;qid=1695259488&amp;sr=8-7", "https://www.amazon.com/Sisley-Phytocernes-Concealer-Natural-0-58oz/dp/B00CEQKP1W/ref=sr_1_7?keywords=Sisley+phyto+cernes+eclat+eye+concealer+-+%23+01+15ml%2F0.61oz&amp;qid=1695259488&amp;sr=8-7")</f>
        <v>https://www.amazon.com/Sisley-Phytocernes-Concealer-Natural-0-58oz/dp/B00CEQKP1W/ref=sr_1_7?keywords=Sisley+phyto+cernes+eclat+eye+concealer+-+%23+01+15ml%2F0.61oz&amp;qid=1695259488&amp;sr=8-7</v>
      </c>
      <c r="F2689" t="s">
        <v>6282</v>
      </c>
      <c r="G2689" t="e">
        <f ca="1">IMAGE("https://prolisok-store.com/cdn/shop/products/142850_300x.jpg?v=1690900881")</f>
        <v>#NAME?</v>
      </c>
      <c r="H2689" t="e">
        <f ca="1">IMAGE("https://m.media-amazon.com/images/I/61YMq+P6a7L._AC_UL320_.jpg")</f>
        <v>#NAME?</v>
      </c>
      <c r="I2689" t="s">
        <v>6459</v>
      </c>
      <c r="J2689">
        <v>71.849999999999994</v>
      </c>
      <c r="K2689" s="2" t="s">
        <v>6651</v>
      </c>
      <c r="L2689">
        <v>3.2</v>
      </c>
      <c r="M2689">
        <v>3</v>
      </c>
      <c r="O2689" t="s">
        <v>26</v>
      </c>
      <c r="P2689" t="s">
        <v>39</v>
      </c>
      <c r="Q2689" t="s">
        <v>6524</v>
      </c>
    </row>
    <row r="2690" spans="1:17" ht="15.75" x14ac:dyDescent="0.25">
      <c r="A2690" s="3" t="str">
        <f>HYPERLINK("https://prolisok-store.com/collections/makeup/products/sisley-phyto-cernes-eclat-eye-concealer-03-15ml-0-61oz", "https://prolisok-store.com/collections/makeup/products/sisley-phyto-cernes-eclat-eye-concealer-03-15ml-0-61oz")</f>
        <v>https://prolisok-store.com/collections/makeup/products/sisley-phyto-cernes-eclat-eye-concealer-03-15ml-0-61oz</v>
      </c>
      <c r="B2690" s="3" t="str">
        <f>HYPERLINK("https://prolisok-store.com/products/sisley-phyto-cernes-eclat-eye-concealer-03-15ml-0-61oz", "https://prolisok-store.com/products/sisley-phyto-cernes-eclat-eye-concealer-03-15ml-0-61oz")</f>
        <v>https://prolisok-store.com/products/sisley-phyto-cernes-eclat-eye-concealer-03-15ml-0-61oz</v>
      </c>
      <c r="C2690" t="s">
        <v>6456</v>
      </c>
      <c r="D2690" t="s">
        <v>6281</v>
      </c>
      <c r="E2690" s="3" t="str">
        <f>HYPERLINK("https://www.amazon.com/Sisley-Phytocernes-Concealer-Natural-0-58oz/dp/B00CEQKP1W/ref=sr_1_6?keywords=Sisley+phyto+cernes+eclat+eye+concealer+-+%23+03+15ml%2F0.61oz&amp;qid=1695259509&amp;sr=8-6", "https://www.amazon.com/Sisley-Phytocernes-Concealer-Natural-0-58oz/dp/B00CEQKP1W/ref=sr_1_6?keywords=Sisley+phyto+cernes+eclat+eye+concealer+-+%23+03+15ml%2F0.61oz&amp;qid=1695259509&amp;sr=8-6")</f>
        <v>https://www.amazon.com/Sisley-Phytocernes-Concealer-Natural-0-58oz/dp/B00CEQKP1W/ref=sr_1_6?keywords=Sisley+phyto+cernes+eclat+eye+concealer+-+%23+03+15ml%2F0.61oz&amp;qid=1695259509&amp;sr=8-6</v>
      </c>
      <c r="F2690" t="s">
        <v>6282</v>
      </c>
      <c r="G2690" t="e">
        <f ca="1">IMAGE("https://prolisok-store.com/cdn/shop/products/250169_300x.jpg?v=1690901009")</f>
        <v>#NAME?</v>
      </c>
      <c r="H2690" t="e">
        <f ca="1">IMAGE("https://m.media-amazon.com/images/I/61YMq+P6a7L._AC_UL320_.jpg")</f>
        <v>#NAME?</v>
      </c>
      <c r="I2690" t="s">
        <v>6459</v>
      </c>
      <c r="J2690">
        <v>71.849999999999994</v>
      </c>
      <c r="K2690" s="2" t="s">
        <v>6651</v>
      </c>
      <c r="L2690">
        <v>3.2</v>
      </c>
      <c r="M2690">
        <v>3</v>
      </c>
      <c r="O2690" t="s">
        <v>26</v>
      </c>
      <c r="P2690" t="s">
        <v>39</v>
      </c>
      <c r="Q2690" t="s">
        <v>6461</v>
      </c>
    </row>
    <row r="2691" spans="1:17" ht="15.75" x14ac:dyDescent="0.25">
      <c r="A2691" s="3" t="str">
        <f>HYPERLINK("https://prolisok-store.com/collections/makeup/products/sisley-phyto-khol-star-waterproof-2-sparkling-grey-0-3g-0-01oz", "https://prolisok-store.com/collections/makeup/products/sisley-phyto-khol-star-waterproof-2-sparkling-grey-0-3g-0-01oz")</f>
        <v>https://prolisok-store.com/collections/makeup/products/sisley-phyto-khol-star-waterproof-2-sparkling-grey-0-3g-0-01oz</v>
      </c>
      <c r="B2691" s="3" t="str">
        <f>HYPERLINK("https://prolisok-store.com/products/sisley-phyto-khol-star-waterproof-2-sparkling-grey-0-3g-0-01oz", "https://prolisok-store.com/products/sisley-phyto-khol-star-waterproof-2-sparkling-grey-0-3g-0-01oz")</f>
        <v>https://prolisok-store.com/products/sisley-phyto-khol-star-waterproof-2-sparkling-grey-0-3g-0-01oz</v>
      </c>
      <c r="C2691" t="s">
        <v>6652</v>
      </c>
      <c r="D2691" t="s">
        <v>6653</v>
      </c>
      <c r="E2691" s="3" t="str">
        <f>HYPERLINK("https://www.amazon.com/Sisley-Phyto-Khol-Star-Waterproof/dp/B079LGVH62/ref=sr_1_1?keywords=Sisley+phyto+khol+star+waterproof+-+%23+2+sparkling+grey+0.3g%2F0.01oz&amp;qid=1695259517&amp;sr=8-1", "https://www.amazon.com/Sisley-Phyto-Khol-Star-Waterproof/dp/B079LGVH62/ref=sr_1_1?keywords=Sisley+phyto+khol+star+waterproof+-+%23+2+sparkling+grey+0.3g%2F0.01oz&amp;qid=1695259517&amp;sr=8-1")</f>
        <v>https://www.amazon.com/Sisley-Phyto-Khol-Star-Waterproof/dp/B079LGVH62/ref=sr_1_1?keywords=Sisley+phyto+khol+star+waterproof+-+%23+2+sparkling+grey+0.3g%2F0.01oz&amp;qid=1695259517&amp;sr=8-1</v>
      </c>
      <c r="F2691" t="s">
        <v>6654</v>
      </c>
      <c r="G2691" t="e">
        <f ca="1">IMAGE("https://prolisok-store.com/cdn/shop/products/307679_300x.jpg?v=1690900831")</f>
        <v>#NAME?</v>
      </c>
      <c r="H2691" t="e">
        <f ca="1">IMAGE("https://m.media-amazon.com/images/I/51R3w7V8XrL._AC_UL320_.jpg")</f>
        <v>#NAME?</v>
      </c>
      <c r="I2691" t="s">
        <v>6655</v>
      </c>
      <c r="J2691">
        <v>37.54</v>
      </c>
      <c r="K2691" s="2" t="s">
        <v>6656</v>
      </c>
      <c r="L2691">
        <v>4.5999999999999996</v>
      </c>
      <c r="M2691">
        <v>116</v>
      </c>
      <c r="O2691" t="s">
        <v>26</v>
      </c>
      <c r="P2691" t="s">
        <v>39</v>
      </c>
      <c r="Q2691" t="s">
        <v>6657</v>
      </c>
    </row>
    <row r="2692" spans="1:17" ht="15.75" x14ac:dyDescent="0.25">
      <c r="A2692" s="3" t="str">
        <f>HYPERLINK("https://prolisok-store.com/collections/makeup/products/estee-lauder-double-wear-stay-in-place-flawless-wear-concealer-1c-light-cool-7ml-0-24oz", "https://prolisok-store.com/collections/makeup/products/estee-lauder-double-wear-stay-in-place-flawless-wear-concealer-1c-light-cool-7ml-0-24oz")</f>
        <v>https://prolisok-store.com/collections/makeup/products/estee-lauder-double-wear-stay-in-place-flawless-wear-concealer-1c-light-cool-7ml-0-24oz</v>
      </c>
      <c r="B2692" s="3" t="str">
        <f>HYPERLINK("https://prolisok-store.com/products/estee-lauder-double-wear-stay-in-place-flawless-wear-concealer-1c-light-cool-7ml-0-24oz", "https://prolisok-store.com/products/estee-lauder-double-wear-stay-in-place-flawless-wear-concealer-1c-light-cool-7ml-0-24oz")</f>
        <v>https://prolisok-store.com/products/estee-lauder-double-wear-stay-in-place-flawless-wear-concealer-1c-light-cool-7ml-0-24oz</v>
      </c>
      <c r="C2692" t="s">
        <v>6515</v>
      </c>
      <c r="D2692" t="s">
        <v>6623</v>
      </c>
      <c r="E2692" s="3" t="str">
        <f>HYPERLINK("https://www.amazon.com/Estee-Lauder-Double-Flawless-Concealer/dp/B009JESQ8G/ref=sr_1_3?keywords=Estee+Lauder+double+wear+stay+in+place+flawless+wear+concealer+-+%23+1c+light+%28cool%29+7ml%2F0.24oz&amp;qid=1695259520&amp;sr=8-3", "https://www.amazon.com/Estee-Lauder-Double-Flawless-Concealer/dp/B009JESQ8G/ref=sr_1_3?keywords=Estee+Lauder+double+wear+stay+in+place+flawless+wear+concealer+-+%23+1c+light+%28cool%29+7ml%2F0.24oz&amp;qid=1695259520&amp;sr=8-3")</f>
        <v>https://www.amazon.com/Estee-Lauder-Double-Flawless-Concealer/dp/B009JESQ8G/ref=sr_1_3?keywords=Estee+Lauder+double+wear+stay+in+place+flawless+wear+concealer+-+%23+1c+light+%28cool%29+7ml%2F0.24oz&amp;qid=1695259520&amp;sr=8-3</v>
      </c>
      <c r="F2692" t="s">
        <v>6624</v>
      </c>
      <c r="G2692" t="e">
        <f ca="1">IMAGE("https://prolisok-store.com/cdn/shop/products/310676_300x.jpg?v=1690900181")</f>
        <v>#NAME?</v>
      </c>
      <c r="H2692" t="e">
        <f ca="1">IMAGE("https://m.media-amazon.com/images/I/61mqItdPhfL._AC_UL320_.jpg")</f>
        <v>#NAME?</v>
      </c>
      <c r="I2692" t="s">
        <v>6516</v>
      </c>
      <c r="J2692">
        <v>23.25</v>
      </c>
      <c r="K2692" s="2" t="s">
        <v>6658</v>
      </c>
      <c r="L2692">
        <v>4.5999999999999996</v>
      </c>
      <c r="M2692">
        <v>1193</v>
      </c>
      <c r="O2692" t="s">
        <v>26</v>
      </c>
      <c r="P2692" t="s">
        <v>39</v>
      </c>
      <c r="Q2692" t="s">
        <v>6518</v>
      </c>
    </row>
    <row r="2693" spans="1:17" ht="15.75" x14ac:dyDescent="0.25">
      <c r="A2693" s="3" t="str">
        <f>HYPERLINK("https://prolisok-store.com/collections/makeup/products/sisley-phyto-sourcils-design-3-in-1-brow-architect-pencil-1-cappuccino-2x0-2g-0-007oz", "https://prolisok-store.com/collections/makeup/products/sisley-phyto-sourcils-design-3-in-1-brow-architect-pencil-1-cappuccino-2x0-2g-0-007oz")</f>
        <v>https://prolisok-store.com/collections/makeup/products/sisley-phyto-sourcils-design-3-in-1-brow-architect-pencil-1-cappuccino-2x0-2g-0-007oz</v>
      </c>
      <c r="B2693" s="3" t="str">
        <f>HYPERLINK("https://prolisok-store.com/products/sisley-phyto-sourcils-design-3-in-1-brow-architect-pencil-1-cappuccino-2x0-2g-0-007oz", "https://prolisok-store.com/products/sisley-phyto-sourcils-design-3-in-1-brow-architect-pencil-1-cappuccino-2x0-2g-0-007oz")</f>
        <v>https://prolisok-store.com/products/sisley-phyto-sourcils-design-3-in-1-brow-architect-pencil-1-cappuccino-2x0-2g-0-007oz</v>
      </c>
      <c r="C2693" t="s">
        <v>6244</v>
      </c>
      <c r="D2693" t="s">
        <v>6659</v>
      </c>
      <c r="E2693" s="3" t="str">
        <f>HYPERLINK("https://www.amazon.com/Sisley-Sourcils-Design-Architect-Pencil/dp/B075PKRX85/ref=sr_1_1?keywords=Sisley+phyto+sourcils+design+3+in+1+brow+architect+pencil+-&amp;qid=1695259500&amp;sr=8-1", "https://www.amazon.com/Sisley-Sourcils-Design-Architect-Pencil/dp/B075PKRX85/ref=sr_1_1?keywords=Sisley+phyto+sourcils+design+3+in+1+brow+architect+pencil+-&amp;qid=1695259500&amp;sr=8-1")</f>
        <v>https://www.amazon.com/Sisley-Sourcils-Design-Architect-Pencil/dp/B075PKRX85/ref=sr_1_1?keywords=Sisley+phyto+sourcils+design+3+in+1+brow+architect+pencil+-&amp;qid=1695259500&amp;sr=8-1</v>
      </c>
      <c r="F2693" t="s">
        <v>6660</v>
      </c>
      <c r="G2693" t="e">
        <f ca="1">IMAGE("https://prolisok-store.com/cdn/shop/products/303984_300x.jpg?v=1690900818")</f>
        <v>#NAME?</v>
      </c>
      <c r="H2693" t="e">
        <f ca="1">IMAGE("https://m.media-amazon.com/images/I/51FgpsTtCVL._AC_UL320_.jpg")</f>
        <v>#NAME?</v>
      </c>
      <c r="I2693" t="s">
        <v>6247</v>
      </c>
      <c r="J2693">
        <v>43.45</v>
      </c>
      <c r="K2693" s="2" t="s">
        <v>6661</v>
      </c>
      <c r="L2693">
        <v>5</v>
      </c>
      <c r="M2693">
        <v>1</v>
      </c>
      <c r="O2693" t="s">
        <v>26</v>
      </c>
      <c r="P2693" t="s">
        <v>39</v>
      </c>
      <c r="Q2693" t="s">
        <v>6249</v>
      </c>
    </row>
    <row r="2694" spans="1:17" ht="15.75" x14ac:dyDescent="0.25">
      <c r="A2694" s="3" t="str">
        <f>HYPERLINK("https://prolisok-store.com/collections/makeup/products/mac-studio-fix-soft-matte-foundation-stick-nc38-9g-0-32oz", "https://prolisok-store.com/collections/makeup/products/mac-studio-fix-soft-matte-foundation-stick-nc38-9g-0-32oz")</f>
        <v>https://prolisok-store.com/collections/makeup/products/mac-studio-fix-soft-matte-foundation-stick-nc38-9g-0-32oz</v>
      </c>
      <c r="B2694" s="3" t="str">
        <f>HYPERLINK("https://prolisok-store.com/products/mac-studio-fix-soft-matte-foundation-stick-nc38-9g-0-32oz", "https://prolisok-store.com/products/mac-studio-fix-soft-matte-foundation-stick-nc38-9g-0-32oz")</f>
        <v>https://prolisok-store.com/products/mac-studio-fix-soft-matte-foundation-stick-nc38-9g-0-32oz</v>
      </c>
      <c r="C2694" t="s">
        <v>6023</v>
      </c>
      <c r="D2694" t="s">
        <v>6662</v>
      </c>
      <c r="E2694" s="3" t="str">
        <f>HYPERLINK("https://www.amazon.com/Studio-Soft-Matte-Foundation-Stick/dp/B093VXV5MY/ref=sr_1_2?keywords=MAC+studio+fix+soft+matte+foundation+stick+-+nc38+-9g%2F0.32oz&amp;qid=1695259545&amp;sr=8-2", "https://www.amazon.com/Studio-Soft-Matte-Foundation-Stick/dp/B093VXV5MY/ref=sr_1_2?keywords=MAC+studio+fix+soft+matte+foundation+stick+-+nc38+-9g%2F0.32oz&amp;qid=1695259545&amp;sr=8-2")</f>
        <v>https://www.amazon.com/Studio-Soft-Matte-Foundation-Stick/dp/B093VXV5MY/ref=sr_1_2?keywords=MAC+studio+fix+soft+matte+foundation+stick+-+nc38+-9g%2F0.32oz&amp;qid=1695259545&amp;sr=8-2</v>
      </c>
      <c r="F2694" t="s">
        <v>6663</v>
      </c>
      <c r="G2694" t="e">
        <f ca="1">IMAGE("https://prolisok-store.com/cdn/shop/products/360243_300x.jpg?v=1690393874")</f>
        <v>#NAME?</v>
      </c>
      <c r="H2694" t="e">
        <f ca="1">IMAGE("https://m.media-amazon.com/images/I/21YJkJOGovS._AC_UL320_.jpg")</f>
        <v>#NAME?</v>
      </c>
      <c r="I2694" t="s">
        <v>6020</v>
      </c>
      <c r="J2694">
        <v>22</v>
      </c>
      <c r="K2694" s="2" t="s">
        <v>2600</v>
      </c>
      <c r="L2694">
        <v>5</v>
      </c>
      <c r="M2694">
        <v>1</v>
      </c>
      <c r="O2694" t="s">
        <v>26</v>
      </c>
      <c r="P2694" t="s">
        <v>39</v>
      </c>
      <c r="Q2694" t="s">
        <v>6024</v>
      </c>
    </row>
    <row r="2695" spans="1:17" ht="15.75" x14ac:dyDescent="0.25">
      <c r="A2695" s="3" t="str">
        <f>HYPERLINK("https://prolisok-store.com/collections/makeup/products/mac-studio-fix-soft-matte-foundation-stick-nc37-9g-0-32oz", "https://prolisok-store.com/collections/makeup/products/mac-studio-fix-soft-matte-foundation-stick-nc37-9g-0-32oz")</f>
        <v>https://prolisok-store.com/collections/makeup/products/mac-studio-fix-soft-matte-foundation-stick-nc37-9g-0-32oz</v>
      </c>
      <c r="B2695" s="3" t="str">
        <f>HYPERLINK("https://prolisok-store.com/products/mac-studio-fix-soft-matte-foundation-stick-nc37-9g-0-32oz", "https://prolisok-store.com/products/mac-studio-fix-soft-matte-foundation-stick-nc37-9g-0-32oz")</f>
        <v>https://prolisok-store.com/products/mac-studio-fix-soft-matte-foundation-stick-nc37-9g-0-32oz</v>
      </c>
      <c r="C2695" t="s">
        <v>6033</v>
      </c>
      <c r="D2695" t="s">
        <v>6662</v>
      </c>
      <c r="E2695" s="3" t="str">
        <f>HYPERLINK("https://www.amazon.com/Studio-Soft-Matte-Foundation-Stick/dp/B093VXV5MY/ref=sr_1_9?keywords=MAC+studio+fix+soft+matte+foundation+stick+-+nc37+-9g%2F0.32oz&amp;qid=1695259534&amp;sr=8-9", "https://www.amazon.com/Studio-Soft-Matte-Foundation-Stick/dp/B093VXV5MY/ref=sr_1_9?keywords=MAC+studio+fix+soft+matte+foundation+stick+-+nc37+-9g%2F0.32oz&amp;qid=1695259534&amp;sr=8-9")</f>
        <v>https://www.amazon.com/Studio-Soft-Matte-Foundation-Stick/dp/B093VXV5MY/ref=sr_1_9?keywords=MAC+studio+fix+soft+matte+foundation+stick+-+nc37+-9g%2F0.32oz&amp;qid=1695259534&amp;sr=8-9</v>
      </c>
      <c r="F2695" t="s">
        <v>6663</v>
      </c>
      <c r="G2695" t="e">
        <f ca="1">IMAGE("https://prolisok-store.com/cdn/shop/products/375188_300x.jpg?v=1690393872")</f>
        <v>#NAME?</v>
      </c>
      <c r="H2695" t="e">
        <f ca="1">IMAGE("https://m.media-amazon.com/images/I/21YJkJOGovS._AC_UL320_.jpg")</f>
        <v>#NAME?</v>
      </c>
      <c r="I2695" t="s">
        <v>6020</v>
      </c>
      <c r="J2695">
        <v>22</v>
      </c>
      <c r="K2695" s="2" t="s">
        <v>2600</v>
      </c>
      <c r="L2695">
        <v>5</v>
      </c>
      <c r="M2695">
        <v>1</v>
      </c>
      <c r="O2695" t="s">
        <v>26</v>
      </c>
      <c r="P2695" t="s">
        <v>39</v>
      </c>
      <c r="Q2695" t="s">
        <v>6034</v>
      </c>
    </row>
    <row r="2696" spans="1:17" ht="15.75" x14ac:dyDescent="0.25">
      <c r="A2696" s="3" t="str">
        <f>HYPERLINK("https://prolisok-store.com/collections/makeup/products/mac-studio-fix-soft-matte-foundation-stick-nc35-9g-0-32oz", "https://prolisok-store.com/collections/makeup/products/mac-studio-fix-soft-matte-foundation-stick-nc35-9g-0-32oz")</f>
        <v>https://prolisok-store.com/collections/makeup/products/mac-studio-fix-soft-matte-foundation-stick-nc35-9g-0-32oz</v>
      </c>
      <c r="B2696" s="3" t="str">
        <f>HYPERLINK("https://prolisok-store.com/products/mac-studio-fix-soft-matte-foundation-stick-nc35-9g-0-32oz", "https://prolisok-store.com/products/mac-studio-fix-soft-matte-foundation-stick-nc35-9g-0-32oz")</f>
        <v>https://prolisok-store.com/products/mac-studio-fix-soft-matte-foundation-stick-nc35-9g-0-32oz</v>
      </c>
      <c r="C2696" t="s">
        <v>6031</v>
      </c>
      <c r="D2696" t="s">
        <v>6662</v>
      </c>
      <c r="E2696" s="3" t="str">
        <f>HYPERLINK("https://www.amazon.com/Studio-Soft-Matte-Foundation-Stick/dp/B093VXV5MY/ref=sr_1_10?keywords=MAC+studio+fix+soft+matte+foundation+stick+-+nc35+-9g%2F0.32oz&amp;qid=1695259534&amp;sr=8-10", "https://www.amazon.com/Studio-Soft-Matte-Foundation-Stick/dp/B093VXV5MY/ref=sr_1_10?keywords=MAC+studio+fix+soft+matte+foundation+stick+-+nc35+-9g%2F0.32oz&amp;qid=1695259534&amp;sr=8-10")</f>
        <v>https://www.amazon.com/Studio-Soft-Matte-Foundation-Stick/dp/B093VXV5MY/ref=sr_1_10?keywords=MAC+studio+fix+soft+matte+foundation+stick+-+nc35+-9g%2F0.32oz&amp;qid=1695259534&amp;sr=8-10</v>
      </c>
      <c r="F2696" t="s">
        <v>6663</v>
      </c>
      <c r="G2696" t="e">
        <f ca="1">IMAGE("https://prolisok-store.com/cdn/shop/products/360244_300x.jpg?v=1690393870")</f>
        <v>#NAME?</v>
      </c>
      <c r="H2696" t="e">
        <f ca="1">IMAGE("https://m.media-amazon.com/images/I/21YJkJOGovS._AC_UL320_.jpg")</f>
        <v>#NAME?</v>
      </c>
      <c r="I2696" t="s">
        <v>6020</v>
      </c>
      <c r="J2696">
        <v>22</v>
      </c>
      <c r="K2696" s="2" t="s">
        <v>2600</v>
      </c>
      <c r="L2696">
        <v>5</v>
      </c>
      <c r="M2696">
        <v>1</v>
      </c>
      <c r="O2696" t="s">
        <v>26</v>
      </c>
      <c r="P2696" t="s">
        <v>39</v>
      </c>
      <c r="Q2696" t="s">
        <v>6032</v>
      </c>
    </row>
    <row r="2697" spans="1:17" ht="15.75" x14ac:dyDescent="0.25">
      <c r="A2697" s="3" t="str">
        <f>HYPERLINK("https://prolisok-store.com/collections/makeup/products/sisley-phyto-khol-star-waterproof-1-sparkling-black-0-3g-0-01oz", "https://prolisok-store.com/collections/makeup/products/sisley-phyto-khol-star-waterproof-1-sparkling-black-0-3g-0-01oz")</f>
        <v>https://prolisok-store.com/collections/makeup/products/sisley-phyto-khol-star-waterproof-1-sparkling-black-0-3g-0-01oz</v>
      </c>
      <c r="B2697" s="3" t="str">
        <f>HYPERLINK("https://prolisok-store.com/products/sisley-phyto-khol-star-waterproof-1-sparkling-black-0-3g-0-01oz", "https://prolisok-store.com/products/sisley-phyto-khol-star-waterproof-1-sparkling-black-0-3g-0-01oz")</f>
        <v>https://prolisok-store.com/products/sisley-phyto-khol-star-waterproof-1-sparkling-black-0-3g-0-01oz</v>
      </c>
      <c r="C2697" t="s">
        <v>6664</v>
      </c>
      <c r="D2697" t="s">
        <v>6665</v>
      </c>
      <c r="E2697" s="3" t="str">
        <f>HYPERLINK("https://www.amazon.com/Sisley-Phyto-Khol-Star-Waterproof/dp/B079LGL12N/ref=sr_1_1?keywords=Sisley+phyto+khol+star+waterproof+-&amp;qid=1695259497&amp;sr=8-1", "https://www.amazon.com/Sisley-Phyto-Khol-Star-Waterproof/dp/B079LGL12N/ref=sr_1_1?keywords=Sisley+phyto+khol+star+waterproof+-&amp;qid=1695259497&amp;sr=8-1")</f>
        <v>https://www.amazon.com/Sisley-Phyto-Khol-Star-Waterproof/dp/B079LGL12N/ref=sr_1_1?keywords=Sisley+phyto+khol+star+waterproof+-&amp;qid=1695259497&amp;sr=8-1</v>
      </c>
      <c r="F2697" t="s">
        <v>6666</v>
      </c>
      <c r="G2697" t="e">
        <f ca="1">IMAGE("https://prolisok-store.com/cdn/shop/products/307678_300x.jpg?v=1690900829")</f>
        <v>#NAME?</v>
      </c>
      <c r="H2697" t="e">
        <f ca="1">IMAGE("https://m.media-amazon.com/images/I/51cpzXTAxxL._AC_UL320_.jpg")</f>
        <v>#NAME?</v>
      </c>
      <c r="I2697" t="s">
        <v>6655</v>
      </c>
      <c r="J2697">
        <v>35.9</v>
      </c>
      <c r="K2697" s="2" t="s">
        <v>6667</v>
      </c>
      <c r="L2697">
        <v>4.5999999999999996</v>
      </c>
      <c r="M2697">
        <v>116</v>
      </c>
      <c r="O2697" t="s">
        <v>26</v>
      </c>
      <c r="P2697" t="s">
        <v>39</v>
      </c>
      <c r="Q2697" t="s">
        <v>6668</v>
      </c>
    </row>
    <row r="2698" spans="1:17" ht="15.75" x14ac:dyDescent="0.25">
      <c r="A2698" s="3" t="str">
        <f>HYPERLINK("https://prolisok-store.com/collections/makeup/products/sisley-lorchidee-highlighter-blush-with-white-lily-peach-15g-0-52oz", "https://prolisok-store.com/collections/makeup/products/sisley-lorchidee-highlighter-blush-with-white-lily-peach-15g-0-52oz")</f>
        <v>https://prolisok-store.com/collections/makeup/products/sisley-lorchidee-highlighter-blush-with-white-lily-peach-15g-0-52oz</v>
      </c>
      <c r="B2698" s="3" t="str">
        <f>HYPERLINK("https://prolisok-store.com/products/sisley-lorchidee-highlighter-blush-with-white-lily-peach-15g-0-52oz", "https://prolisok-store.com/products/sisley-lorchidee-highlighter-blush-with-white-lily-peach-15g-0-52oz")</f>
        <v>https://prolisok-store.com/products/sisley-lorchidee-highlighter-blush-with-white-lily-peach-15g-0-52oz</v>
      </c>
      <c r="C2698" t="s">
        <v>6502</v>
      </c>
      <c r="D2698" t="s">
        <v>6644</v>
      </c>
      <c r="E2698" s="3" t="str">
        <f>HYPERLINK("https://www.amazon.com/Sisley-Lorchidee-Highlighter-Blush-White/dp/B00BNY5K7U/ref=sr_1_1?keywords=Sisley+l%27orchidee+highlighter+blush+with+white+lily+peach+15g%2F0.52oz&amp;qid=1695259525&amp;sr=8-1", "https://www.amazon.com/Sisley-Lorchidee-Highlighter-Blush-White/dp/B00BNY5K7U/ref=sr_1_1?keywords=Sisley+l%27orchidee+highlighter+blush+with+white+lily+peach+15g%2F0.52oz&amp;qid=1695259525&amp;sr=8-1")</f>
        <v>https://www.amazon.com/Sisley-Lorchidee-Highlighter-Blush-White/dp/B00BNY5K7U/ref=sr_1_1?keywords=Sisley+l%27orchidee+highlighter+blush+with+white+lily+peach+15g%2F0.52oz&amp;qid=1695259525&amp;sr=8-1</v>
      </c>
      <c r="F2698" t="s">
        <v>6645</v>
      </c>
      <c r="G2698" t="e">
        <f ca="1">IMAGE("https://prolisok-store.com/cdn/shop/products/225965_300x.jpg?v=1690900983")</f>
        <v>#NAME?</v>
      </c>
      <c r="H2698" t="e">
        <f ca="1">IMAGE("https://m.media-amazon.com/images/I/71WxLCO9wXL._AC_UL320_.jpg")</f>
        <v>#NAME?</v>
      </c>
      <c r="I2698" t="s">
        <v>6503</v>
      </c>
      <c r="J2698">
        <v>68.42</v>
      </c>
      <c r="K2698" s="2" t="s">
        <v>6669</v>
      </c>
      <c r="L2698">
        <v>4.5</v>
      </c>
      <c r="M2698">
        <v>28</v>
      </c>
      <c r="O2698" t="s">
        <v>26</v>
      </c>
      <c r="P2698" t="s">
        <v>39</v>
      </c>
      <c r="Q2698" t="s">
        <v>6505</v>
      </c>
    </row>
    <row r="2699" spans="1:17" ht="15.75" x14ac:dyDescent="0.25">
      <c r="A2699" s="3" t="str">
        <f>HYPERLINK("https://prolisok-store.com/collections/makeup/products/sisley-phyto-khol-star-waterproof-6-mystic-purple-0-3g-0-01oz", "https://prolisok-store.com/collections/makeup/products/sisley-phyto-khol-star-waterproof-6-mystic-purple-0-3g-0-01oz")</f>
        <v>https://prolisok-store.com/collections/makeup/products/sisley-phyto-khol-star-waterproof-6-mystic-purple-0-3g-0-01oz</v>
      </c>
      <c r="B2699" s="3" t="str">
        <f>HYPERLINK("https://prolisok-store.com/products/sisley-phyto-khol-star-waterproof-6-mystic-purple-0-3g-0-01oz", "https://prolisok-store.com/products/sisley-phyto-khol-star-waterproof-6-mystic-purple-0-3g-0-01oz")</f>
        <v>https://prolisok-store.com/products/sisley-phyto-khol-star-waterproof-6-mystic-purple-0-3g-0-01oz</v>
      </c>
      <c r="C2699" t="s">
        <v>6670</v>
      </c>
      <c r="D2699" t="s">
        <v>6671</v>
      </c>
      <c r="E2699" s="3" t="str">
        <f>HYPERLINK("https://www.amazon.com/Sisley-Phyto-Khol-Star-Waterproof/dp/B079LCVRWX/ref=sr_1_1?keywords=Sisley+phyto+khol+star+waterproof+-+%23+6+mystic+purple+0.3g%2F0.01oz&amp;qid=1695259537&amp;sr=8-1", "https://www.amazon.com/Sisley-Phyto-Khol-Star-Waterproof/dp/B079LCVRWX/ref=sr_1_1?keywords=Sisley+phyto+khol+star+waterproof+-+%23+6+mystic+purple+0.3g%2F0.01oz&amp;qid=1695259537&amp;sr=8-1")</f>
        <v>https://www.amazon.com/Sisley-Phyto-Khol-Star-Waterproof/dp/B079LCVRWX/ref=sr_1_1?keywords=Sisley+phyto+khol+star+waterproof+-+%23+6+mystic+purple+0.3g%2F0.01oz&amp;qid=1695259537&amp;sr=8-1</v>
      </c>
      <c r="F2699" t="s">
        <v>6672</v>
      </c>
      <c r="G2699" t="e">
        <f ca="1">IMAGE("https://prolisok-store.com/cdn/shop/products/307683_300x.jpg?v=1690900838")</f>
        <v>#NAME?</v>
      </c>
      <c r="H2699" t="e">
        <f ca="1">IMAGE("https://m.media-amazon.com/images/I/51nAJj-ZLDL._AC_UL320_.jpg")</f>
        <v>#NAME?</v>
      </c>
      <c r="I2699" t="s">
        <v>6655</v>
      </c>
      <c r="J2699">
        <v>35.04</v>
      </c>
      <c r="K2699" s="2" t="s">
        <v>6673</v>
      </c>
      <c r="L2699">
        <v>4.5999999999999996</v>
      </c>
      <c r="M2699">
        <v>116</v>
      </c>
      <c r="O2699" t="s">
        <v>26</v>
      </c>
      <c r="P2699" t="s">
        <v>39</v>
      </c>
      <c r="Q2699" t="s">
        <v>6674</v>
      </c>
    </row>
    <row r="2700" spans="1:17" ht="15.75" x14ac:dyDescent="0.25">
      <c r="A2700" s="3" t="str">
        <f>HYPERLINK("https://prolisok-store.com/collections/makeup/products/estee-lauder-pure-color-envy-matte-sculpting-lipstick-559-demand-3-5g-0-12oz", "https://prolisok-store.com/collections/makeup/products/estee-lauder-pure-color-envy-matte-sculpting-lipstick-559-demand-3-5g-0-12oz")</f>
        <v>https://prolisok-store.com/collections/makeup/products/estee-lauder-pure-color-envy-matte-sculpting-lipstick-559-demand-3-5g-0-12oz</v>
      </c>
      <c r="B2700" s="3" t="str">
        <f>HYPERLINK("https://prolisok-store.com/products/estee-lauder-pure-color-envy-matte-sculpting-lipstick-559-demand-3-5g-0-12oz", "https://prolisok-store.com/products/estee-lauder-pure-color-envy-matte-sculpting-lipstick-559-demand-3-5g-0-12oz")</f>
        <v>https://prolisok-store.com/products/estee-lauder-pure-color-envy-matte-sculpting-lipstick-559-demand-3-5g-0-12oz</v>
      </c>
      <c r="C2700" t="s">
        <v>6675</v>
      </c>
      <c r="D2700" t="s">
        <v>6676</v>
      </c>
      <c r="E2700" s="3" t="str">
        <f>HYPERLINK("https://www.amazon.com/Sculpting-Lipstick-Estee-Lauder-Decisive/dp/B015R9MLUU/ref=sr_1_7?keywords=Estee+Lauder+pure+color+envy+matte+sculpting+lipstick+-&amp;qid=1695259530&amp;sr=8-7", "https://www.amazon.com/Sculpting-Lipstick-Estee-Lauder-Decisive/dp/B015R9MLUU/ref=sr_1_7?keywords=Estee+Lauder+pure+color+envy+matte+sculpting+lipstick+-&amp;qid=1695259530&amp;sr=8-7")</f>
        <v>https://www.amazon.com/Sculpting-Lipstick-Estee-Lauder-Decisive/dp/B015R9MLUU/ref=sr_1_7?keywords=Estee+Lauder+pure+color+envy+matte+sculpting+lipstick+-&amp;qid=1695259530&amp;sr=8-7</v>
      </c>
      <c r="F2700" t="s">
        <v>6677</v>
      </c>
      <c r="G2700" t="e">
        <f ca="1">IMAGE("https://prolisok-store.com/cdn/shop/products/396330_300x.jpg?v=1690900228")</f>
        <v>#NAME?</v>
      </c>
      <c r="H2700" t="e">
        <f ca="1">IMAGE("https://m.media-amazon.com/images/I/515aJD0wDvS._AC_UL320_.jpg")</f>
        <v>#NAME?</v>
      </c>
      <c r="I2700" t="s">
        <v>6678</v>
      </c>
      <c r="J2700">
        <v>24.83</v>
      </c>
      <c r="K2700" s="2" t="s">
        <v>6679</v>
      </c>
      <c r="L2700">
        <v>4.5999999999999996</v>
      </c>
      <c r="M2700">
        <v>16</v>
      </c>
      <c r="O2700" t="s">
        <v>26</v>
      </c>
      <c r="P2700" t="s">
        <v>39</v>
      </c>
      <c r="Q2700" t="s">
        <v>6680</v>
      </c>
    </row>
    <row r="2701" spans="1:17" ht="15.75" x14ac:dyDescent="0.25">
      <c r="A2701" s="3" t="str">
        <f>HYPERLINK("https://prolisok-store.com/collections/makeup/products/sisley-phyto-khol-star-waterproof-8-mystic-green-0-3g-0-01oz", "https://prolisok-store.com/collections/makeup/products/sisley-phyto-khol-star-waterproof-8-mystic-green-0-3g-0-01oz")</f>
        <v>https://prolisok-store.com/collections/makeup/products/sisley-phyto-khol-star-waterproof-8-mystic-green-0-3g-0-01oz</v>
      </c>
      <c r="B2701" s="3" t="str">
        <f>HYPERLINK("https://prolisok-store.com/products/sisley-phyto-khol-star-waterproof-8-mystic-green-0-3g-0-01oz", "https://prolisok-store.com/products/sisley-phyto-khol-star-waterproof-8-mystic-green-0-3g-0-01oz")</f>
        <v>https://prolisok-store.com/products/sisley-phyto-khol-star-waterproof-8-mystic-green-0-3g-0-01oz</v>
      </c>
      <c r="C2701" t="s">
        <v>6681</v>
      </c>
      <c r="D2701" t="s">
        <v>6682</v>
      </c>
      <c r="E2701" s="3" t="str">
        <f>HYPERLINK("https://www.amazon.com/Sisley-Phyto-Khol-Star-Waterproof/dp/B079LG543S/ref=sr_1_2?keywords=Sisley+phyto+khol+star+waterproof+-+%23+8+mystic+green+0.3g%2F0.01oz&amp;qid=1695259536&amp;sr=8-2", "https://www.amazon.com/Sisley-Phyto-Khol-Star-Waterproof/dp/B079LG543S/ref=sr_1_2?keywords=Sisley+phyto+khol+star+waterproof+-+%23+8+mystic+green+0.3g%2F0.01oz&amp;qid=1695259536&amp;sr=8-2")</f>
        <v>https://www.amazon.com/Sisley-Phyto-Khol-Star-Waterproof/dp/B079LG543S/ref=sr_1_2?keywords=Sisley+phyto+khol+star+waterproof+-+%23+8+mystic+green+0.3g%2F0.01oz&amp;qid=1695259536&amp;sr=8-2</v>
      </c>
      <c r="F2701" t="s">
        <v>6683</v>
      </c>
      <c r="G2701" t="e">
        <f ca="1">IMAGE("https://prolisok-store.com/cdn/shop/products/307685_300x.jpg?v=1690900843")</f>
        <v>#NAME?</v>
      </c>
      <c r="H2701" t="e">
        <f ca="1">IMAGE("https://m.media-amazon.com/images/I/51Osu1VLmLL._AC_UL320_.jpg")</f>
        <v>#NAME?</v>
      </c>
      <c r="I2701" t="s">
        <v>6655</v>
      </c>
      <c r="J2701">
        <v>34.01</v>
      </c>
      <c r="K2701" s="2" t="s">
        <v>6684</v>
      </c>
      <c r="L2701">
        <v>4.5999999999999996</v>
      </c>
      <c r="M2701">
        <v>116</v>
      </c>
      <c r="O2701" t="s">
        <v>26</v>
      </c>
      <c r="P2701" t="s">
        <v>39</v>
      </c>
      <c r="Q2701" t="s">
        <v>6685</v>
      </c>
    </row>
    <row r="2702" spans="1:17" ht="15.75" x14ac:dyDescent="0.25">
      <c r="A2702" s="3" t="str">
        <f>HYPERLINK("https://prolisok-store.com/collections/makeup/products/sisley-sisleya-le-teint-anti-aging-foundation-2r-organza-30ml-1oz", "https://prolisok-store.com/collections/makeup/products/sisley-sisleya-le-teint-anti-aging-foundation-2r-organza-30ml-1oz")</f>
        <v>https://prolisok-store.com/collections/makeup/products/sisley-sisleya-le-teint-anti-aging-foundation-2r-organza-30ml-1oz</v>
      </c>
      <c r="B2702" s="3" t="str">
        <f>HYPERLINK("https://prolisok-store.com/products/sisley-sisleya-le-teint-anti-aging-foundation-2r-organza-30ml-1oz", "https://prolisok-store.com/products/sisley-sisleya-le-teint-anti-aging-foundation-2r-organza-30ml-1oz")</f>
        <v>https://prolisok-store.com/products/sisley-sisleya-le-teint-anti-aging-foundation-2r-organza-30ml-1oz</v>
      </c>
      <c r="C2702" t="s">
        <v>6686</v>
      </c>
      <c r="D2702" t="s">
        <v>6687</v>
      </c>
      <c r="E2702" s="3" t="str">
        <f>HYPERLINK("https://www.amazon.com/Sisley-Sisleya-Teint-Foundation-Organza/dp/B01LVZ4N1J/ref=sr_1_1?keywords=Sisley+sisleya+le+teint+anti+aging+foundation+-&amp;qid=1695259500&amp;sr=8-1", "https://www.amazon.com/Sisley-Sisleya-Teint-Foundation-Organza/dp/B01LVZ4N1J/ref=sr_1_1?keywords=Sisley+sisleya+le+teint+anti+aging+foundation+-&amp;qid=1695259500&amp;sr=8-1")</f>
        <v>https://www.amazon.com/Sisley-Sisleya-Teint-Foundation-Organza/dp/B01LVZ4N1J/ref=sr_1_1?keywords=Sisley+sisleya+le+teint+anti+aging+foundation+-&amp;qid=1695259500&amp;sr=8-1</v>
      </c>
      <c r="F2702" t="s">
        <v>6688</v>
      </c>
      <c r="G2702" t="e">
        <f ca="1">IMAGE("https://prolisok-store.com/cdn/shop/products/289952_300x.jpg?v=1690900928")</f>
        <v>#NAME?</v>
      </c>
      <c r="H2702" t="e">
        <f ca="1">IMAGE("https://m.media-amazon.com/images/I/51ELcvjK6ML._AC_UL320_.jpg")</f>
        <v>#NAME?</v>
      </c>
      <c r="I2702" t="s">
        <v>6689</v>
      </c>
      <c r="J2702">
        <v>112.06</v>
      </c>
      <c r="K2702" s="2" t="s">
        <v>6690</v>
      </c>
      <c r="L2702">
        <v>5</v>
      </c>
      <c r="M2702">
        <v>17</v>
      </c>
      <c r="O2702" t="s">
        <v>26</v>
      </c>
      <c r="P2702" t="s">
        <v>39</v>
      </c>
      <c r="Q2702" t="s">
        <v>6691</v>
      </c>
    </row>
    <row r="2703" spans="1:17" ht="15.75" x14ac:dyDescent="0.25">
      <c r="A2703" s="3" t="str">
        <f>HYPERLINK("https://prolisok-store.com/collections/makeup/products/clinique-by-clinique-high-impact-zero-gravity-mascara-01-black-8ml-0-27oz", "https://prolisok-store.com/collections/makeup/products/clinique-by-clinique-high-impact-zero-gravity-mascara-01-black-8ml-0-27oz")</f>
        <v>https://prolisok-store.com/collections/makeup/products/clinique-by-clinique-high-impact-zero-gravity-mascara-01-black-8ml-0-27oz</v>
      </c>
      <c r="B2703" s="3" t="str">
        <f>HYPERLINK("https://prolisok-store.com/products/clinique-by-clinique-high-impact-zero-gravity-mascara-01-black-8ml-0-27oz", "https://prolisok-store.com/products/clinique-by-clinique-high-impact-zero-gravity-mascara-01-black-8ml-0-27oz")</f>
        <v>https://prolisok-store.com/products/clinique-by-clinique-high-impact-zero-gravity-mascara-01-black-8ml-0-27oz</v>
      </c>
      <c r="C2703" t="s">
        <v>6692</v>
      </c>
      <c r="D2703" t="s">
        <v>6433</v>
      </c>
      <c r="E2703" s="3" t="str">
        <f>HYPERLINK("https://www.amazon.com/Clinique-High-Impact-Waterproof-Mascara/dp/B00CTIR99Q/ref=sr_1_9?keywords=Clinique+high+impact+zero+gravity+mascara+-+%23+01+black+--8ml%2F0.27oz&amp;qid=1695259548&amp;sr=8-9", "https://www.amazon.com/Clinique-High-Impact-Waterproof-Mascara/dp/B00CTIR99Q/ref=sr_1_9?keywords=Clinique+high+impact+zero+gravity+mascara+-+%23+01+black+--8ml%2F0.27oz&amp;qid=1695259548&amp;sr=8-9")</f>
        <v>https://www.amazon.com/Clinique-High-Impact-Waterproof-Mascara/dp/B00CTIR99Q/ref=sr_1_9?keywords=Clinique+high+impact+zero+gravity+mascara+-+%23+01+black+--8ml%2F0.27oz&amp;qid=1695259548&amp;sr=8-9</v>
      </c>
      <c r="F2703" t="s">
        <v>6434</v>
      </c>
      <c r="G2703" t="e">
        <f ca="1">IMAGE("https://prolisok-store.com/cdn/shop/products/440344_300x.jpg?v=1688060528")</f>
        <v>#NAME?</v>
      </c>
      <c r="H2703" t="e">
        <f ca="1">IMAGE("https://m.media-amazon.com/images/I/51aYpKMGjSL._AC_UL320_.jpg")</f>
        <v>#NAME?</v>
      </c>
      <c r="I2703" t="s">
        <v>6693</v>
      </c>
      <c r="J2703">
        <v>18</v>
      </c>
      <c r="K2703" s="2" t="s">
        <v>6694</v>
      </c>
      <c r="L2703">
        <v>4.5</v>
      </c>
      <c r="M2703">
        <v>2269</v>
      </c>
      <c r="O2703" t="s">
        <v>26</v>
      </c>
      <c r="P2703" t="s">
        <v>39</v>
      </c>
      <c r="Q2703" t="s">
        <v>6695</v>
      </c>
    </row>
    <row r="2704" spans="1:17" ht="15.75" x14ac:dyDescent="0.25">
      <c r="A2704" s="3" t="str">
        <f>HYPERLINK("https://prolisok-store.com/collections/makeup/products/estee-lauder-double-wear-pump", "https://prolisok-store.com/collections/makeup/products/estee-lauder-double-wear-pump")</f>
        <v>https://prolisok-store.com/collections/makeup/products/estee-lauder-double-wear-pump</v>
      </c>
      <c r="B2704" s="3" t="str">
        <f>HYPERLINK("https://prolisok-store.com/products/estee-lauder-double-wear-pump", "https://prolisok-store.com/products/estee-lauder-double-wear-pump")</f>
        <v>https://prolisok-store.com/products/estee-lauder-double-wear-pump</v>
      </c>
      <c r="C2704" t="s">
        <v>6559</v>
      </c>
      <c r="D2704" t="s">
        <v>6696</v>
      </c>
      <c r="E2704" s="3"/>
      <c r="F2704" t="s">
        <v>6697</v>
      </c>
      <c r="G2704" t="e">
        <f ca="1">IMAGE("https://prolisok-store.com/cdn/shop/products/328572_300x.jpg?v=1690900179")</f>
        <v>#NAME?</v>
      </c>
      <c r="H2704" t="e">
        <f ca="1">IMAGE("https://m.media-amazon.com/images/I/41lHCmO-YWL._AC_UL320_.jpg")</f>
        <v>#NAME?</v>
      </c>
      <c r="I2704" t="s">
        <v>6562</v>
      </c>
      <c r="J2704">
        <v>5.99</v>
      </c>
      <c r="K2704" s="2" t="s">
        <v>6698</v>
      </c>
      <c r="L2704">
        <v>4.7</v>
      </c>
      <c r="M2704">
        <v>114</v>
      </c>
      <c r="O2704" t="s">
        <v>26</v>
      </c>
      <c r="P2704" t="s">
        <v>39</v>
      </c>
      <c r="Q2704" t="s">
        <v>6564</v>
      </c>
    </row>
    <row r="2705" spans="1:17" ht="15.75" x14ac:dyDescent="0.25">
      <c r="A2705" s="3" t="str">
        <f>HYPERLINK("https://prolisok-store.com/collections/makeup/products/estee-lauder-double-wear-pump", "https://prolisok-store.com/collections/makeup/products/estee-lauder-double-wear-pump")</f>
        <v>https://prolisok-store.com/collections/makeup/products/estee-lauder-double-wear-pump</v>
      </c>
      <c r="B2705" s="3" t="str">
        <f>HYPERLINK("https://prolisok-store.com/products/estee-lauder-double-wear-pump", "https://prolisok-store.com/products/estee-lauder-double-wear-pump")</f>
        <v>https://prolisok-store.com/products/estee-lauder-double-wear-pump</v>
      </c>
      <c r="C2705" t="s">
        <v>6559</v>
      </c>
      <c r="D2705" t="s">
        <v>6696</v>
      </c>
      <c r="E2705" s="3" t="str">
        <f>HYPERLINK("https://www.amazon.com/OBHRRY-Foundation-Compatible-Lauder-Upgrade/dp/B0B8JVSQ7K/ref=sr_1_8?keywords=Estee+Lauder+double+wear+pump&amp;qid=1695259530&amp;sr=8-8", "https://www.amazon.com/OBHRRY-Foundation-Compatible-Lauder-Upgrade/dp/B0B8JVSQ7K/ref=sr_1_8?keywords=Estee+Lauder+double+wear+pump&amp;qid=1695259530&amp;sr=8-8")</f>
        <v>https://www.amazon.com/OBHRRY-Foundation-Compatible-Lauder-Upgrade/dp/B0B8JVSQ7K/ref=sr_1_8?keywords=Estee+Lauder+double+wear+pump&amp;qid=1695259530&amp;sr=8-8</v>
      </c>
      <c r="F2705" t="s">
        <v>6697</v>
      </c>
      <c r="G2705" t="e">
        <f ca="1">IMAGE("https://prolisok-store.com/cdn/shop/products/328572_300x.jpg?v=1690900179")</f>
        <v>#NAME?</v>
      </c>
      <c r="H2705" t="e">
        <f ca="1">IMAGE("https://m.media-amazon.com/images/I/41lHCmO-YWL._AC_UL320_.jpg")</f>
        <v>#NAME?</v>
      </c>
      <c r="I2705" t="s">
        <v>6562</v>
      </c>
      <c r="J2705">
        <v>5.99</v>
      </c>
      <c r="K2705" s="2" t="s">
        <v>6698</v>
      </c>
      <c r="L2705">
        <v>4.7</v>
      </c>
      <c r="M2705">
        <v>114</v>
      </c>
      <c r="O2705" t="s">
        <v>26</v>
      </c>
      <c r="P2705" t="s">
        <v>39</v>
      </c>
      <c r="Q2705" t="s">
        <v>6564</v>
      </c>
    </row>
    <row r="2706" spans="1:17" ht="15.75" x14ac:dyDescent="0.25">
      <c r="A2706" s="3" t="str">
        <f>HYPERLINK("https://prolisok-store.com/collections/makeup/products/estee-lauder-double-wear-pump", "https://prolisok-store.com/collections/makeup/products/estee-lauder-double-wear-pump")</f>
        <v>https://prolisok-store.com/collections/makeup/products/estee-lauder-double-wear-pump</v>
      </c>
      <c r="B2706" s="3" t="str">
        <f>HYPERLINK("https://prolisok-store.com/products/estee-lauder-double-wear-pump", "https://prolisok-store.com/products/estee-lauder-double-wear-pump")</f>
        <v>https://prolisok-store.com/products/estee-lauder-double-wear-pump</v>
      </c>
      <c r="C2706" t="s">
        <v>6559</v>
      </c>
      <c r="D2706" t="s">
        <v>6699</v>
      </c>
      <c r="E2706" s="3"/>
      <c r="F2706" t="s">
        <v>6700</v>
      </c>
      <c r="G2706" t="e">
        <f ca="1">IMAGE("https://prolisok-store.com/cdn/shop/products/328572_300x.jpg?v=1690900179")</f>
        <v>#NAME?</v>
      </c>
      <c r="H2706" t="e">
        <f ca="1">IMAGE("https://m.media-amazon.com/images/I/512Ide30F5L._AC_UL320_.jpg")</f>
        <v>#NAME?</v>
      </c>
      <c r="I2706" t="s">
        <v>6562</v>
      </c>
      <c r="J2706">
        <v>5.98</v>
      </c>
      <c r="K2706" s="2" t="s">
        <v>6701</v>
      </c>
      <c r="L2706">
        <v>4.5999999999999996</v>
      </c>
      <c r="M2706">
        <v>51</v>
      </c>
      <c r="O2706" t="s">
        <v>26</v>
      </c>
      <c r="P2706" t="s">
        <v>39</v>
      </c>
      <c r="Q2706" t="s">
        <v>6564</v>
      </c>
    </row>
    <row r="2707" spans="1:17" ht="15.75" x14ac:dyDescent="0.25">
      <c r="A2707" s="3" t="str">
        <f>HYPERLINK("https://prolisok-store.com/collections/makeup/products/estee-lauder-double-wear-pump", "https://prolisok-store.com/collections/makeup/products/estee-lauder-double-wear-pump")</f>
        <v>https://prolisok-store.com/collections/makeup/products/estee-lauder-double-wear-pump</v>
      </c>
      <c r="B2707" s="3" t="str">
        <f>HYPERLINK("https://prolisok-store.com/products/estee-lauder-double-wear-pump", "https://prolisok-store.com/products/estee-lauder-double-wear-pump")</f>
        <v>https://prolisok-store.com/products/estee-lauder-double-wear-pump</v>
      </c>
      <c r="C2707" t="s">
        <v>6559</v>
      </c>
      <c r="D2707" t="s">
        <v>6699</v>
      </c>
      <c r="E2707" s="3" t="str">
        <f>HYPERLINK("https://www.amazon.com/2Pack-Foundation-Double-Vacuum-Dedicated/dp/B09KTC9KFL/ref=sr_1_6?keywords=Estee+Lauder+double+wear+pump&amp;qid=1695259530&amp;sr=8-6", "https://www.amazon.com/2Pack-Foundation-Double-Vacuum-Dedicated/dp/B09KTC9KFL/ref=sr_1_6?keywords=Estee+Lauder+double+wear+pump&amp;qid=1695259530&amp;sr=8-6")</f>
        <v>https://www.amazon.com/2Pack-Foundation-Double-Vacuum-Dedicated/dp/B09KTC9KFL/ref=sr_1_6?keywords=Estee+Lauder+double+wear+pump&amp;qid=1695259530&amp;sr=8-6</v>
      </c>
      <c r="F2707" t="s">
        <v>6700</v>
      </c>
      <c r="G2707" t="e">
        <f ca="1">IMAGE("https://prolisok-store.com/cdn/shop/products/328572_300x.jpg?v=1690900179")</f>
        <v>#NAME?</v>
      </c>
      <c r="H2707" t="e">
        <f ca="1">IMAGE("https://m.media-amazon.com/images/I/512Ide30F5L._AC_UL320_.jpg")</f>
        <v>#NAME?</v>
      </c>
      <c r="I2707" t="s">
        <v>6562</v>
      </c>
      <c r="J2707">
        <v>5.98</v>
      </c>
      <c r="K2707" s="2" t="s">
        <v>6701</v>
      </c>
      <c r="L2707">
        <v>4.5999999999999996</v>
      </c>
      <c r="M2707">
        <v>51</v>
      </c>
      <c r="O2707" t="s">
        <v>26</v>
      </c>
      <c r="P2707" t="s">
        <v>39</v>
      </c>
      <c r="Q2707" t="s">
        <v>6564</v>
      </c>
    </row>
    <row r="2708" spans="1:17" ht="15.75" x14ac:dyDescent="0.25">
      <c r="A2708" s="3" t="str">
        <f>HYPERLINK("https://prolisok-store.com/collections/makeup/products/estee-lauder-double-wear-pump", "https://prolisok-store.com/collections/makeup/products/estee-lauder-double-wear-pump")</f>
        <v>https://prolisok-store.com/collections/makeup/products/estee-lauder-double-wear-pump</v>
      </c>
      <c r="B2708" s="3" t="str">
        <f>HYPERLINK("https://prolisok-store.com/products/estee-lauder-double-wear-pump", "https://prolisok-store.com/products/estee-lauder-double-wear-pump")</f>
        <v>https://prolisok-store.com/products/estee-lauder-double-wear-pump</v>
      </c>
      <c r="C2708" t="s">
        <v>6559</v>
      </c>
      <c r="D2708" t="s">
        <v>6702</v>
      </c>
      <c r="E2708" s="3" t="str">
        <f>HYPERLINK("https://www.amazon.com/Bluecell-Replacement-Foundation-Lauder-Double/dp/B07NRWCLM5/ref=sr_1_7?keywords=Estee+Lauder+double+wear+pump&amp;qid=1695259530&amp;sr=8-7", "https://www.amazon.com/Bluecell-Replacement-Foundation-Lauder-Double/dp/B07NRWCLM5/ref=sr_1_7?keywords=Estee+Lauder+double+wear+pump&amp;qid=1695259530&amp;sr=8-7")</f>
        <v>https://www.amazon.com/Bluecell-Replacement-Foundation-Lauder-Double/dp/B07NRWCLM5/ref=sr_1_7?keywords=Estee+Lauder+double+wear+pump&amp;qid=1695259530&amp;sr=8-7</v>
      </c>
      <c r="F2708" t="s">
        <v>6703</v>
      </c>
      <c r="G2708" t="e">
        <f ca="1">IMAGE("https://prolisok-store.com/cdn/shop/products/328572_300x.jpg?v=1690900179")</f>
        <v>#NAME?</v>
      </c>
      <c r="H2708" t="e">
        <f ca="1">IMAGE("https://m.media-amazon.com/images/I/61BB4ytPw-L._AC_UL320_.jpg")</f>
        <v>#NAME?</v>
      </c>
      <c r="I2708" t="s">
        <v>6562</v>
      </c>
      <c r="J2708">
        <v>5.89</v>
      </c>
      <c r="K2708" s="2" t="s">
        <v>6704</v>
      </c>
      <c r="L2708">
        <v>4.5</v>
      </c>
      <c r="M2708">
        <v>814</v>
      </c>
      <c r="O2708" t="s">
        <v>26</v>
      </c>
      <c r="P2708" t="s">
        <v>39</v>
      </c>
      <c r="Q2708" t="s">
        <v>6564</v>
      </c>
    </row>
    <row r="2709" spans="1:17" ht="15.75" x14ac:dyDescent="0.25">
      <c r="A2709" s="3" t="str">
        <f>HYPERLINK("https://prolisok-store.com/collections/makeup/products/estee-lauder-double-wear-stay-in-place-flawless-wear-concealer-3c-medium-cool-7ml-0-24oz", "https://prolisok-store.com/collections/makeup/products/estee-lauder-double-wear-stay-in-place-flawless-wear-concealer-3c-medium-cool-7ml-0-24oz")</f>
        <v>https://prolisok-store.com/collections/makeup/products/estee-lauder-double-wear-stay-in-place-flawless-wear-concealer-3c-medium-cool-7ml-0-24oz</v>
      </c>
      <c r="B2709" s="3" t="str">
        <f>HYPERLINK("https://prolisok-store.com/products/estee-lauder-double-wear-stay-in-place-flawless-wear-concealer-3c-medium-cool-7ml-0-24oz", "https://prolisok-store.com/products/estee-lauder-double-wear-stay-in-place-flawless-wear-concealer-3c-medium-cool-7ml-0-24oz")</f>
        <v>https://prolisok-store.com/products/estee-lauder-double-wear-stay-in-place-flawless-wear-concealer-3c-medium-cool-7ml-0-24oz</v>
      </c>
      <c r="C2709" t="s">
        <v>6287</v>
      </c>
      <c r="D2709" t="s">
        <v>6705</v>
      </c>
      <c r="E2709" s="3" t="str">
        <f>HYPERLINK("https://www.amazon.com/Estee-Lauder-Concealer-Stay-place/dp/B009JEUKOE/ref=sr_1_6?keywords=Estee+Lauder+double+wear+stay+in+place+flawless+wear+concealer+-&amp;qid=1695259513&amp;sr=8-6", "https://www.amazon.com/Estee-Lauder-Concealer-Stay-place/dp/B009JEUKOE/ref=sr_1_6?keywords=Estee+Lauder+double+wear+stay+in+place+flawless+wear+concealer+-&amp;qid=1695259513&amp;sr=8-6")</f>
        <v>https://www.amazon.com/Estee-Lauder-Concealer-Stay-place/dp/B009JEUKOE/ref=sr_1_6?keywords=Estee+Lauder+double+wear+stay+in+place+flawless+wear+concealer+-&amp;qid=1695259513&amp;sr=8-6</v>
      </c>
      <c r="F2709" t="s">
        <v>6706</v>
      </c>
      <c r="G2709" t="e">
        <f ca="1">IMAGE("https://prolisok-store.com/cdn/shop/products/310678_300x.jpg?v=1690900183")</f>
        <v>#NAME?</v>
      </c>
      <c r="H2709" t="e">
        <f ca="1">IMAGE("https://m.media-amazon.com/images/I/41RA7Sf6A5L._AC_UL320_.jpg")</f>
        <v>#NAME?</v>
      </c>
      <c r="I2709" t="s">
        <v>6267</v>
      </c>
      <c r="J2709">
        <v>19.75</v>
      </c>
      <c r="K2709" s="2" t="s">
        <v>6707</v>
      </c>
      <c r="L2709">
        <v>4.4000000000000004</v>
      </c>
      <c r="M2709">
        <v>44</v>
      </c>
      <c r="O2709" t="s">
        <v>26</v>
      </c>
      <c r="P2709" t="s">
        <v>39</v>
      </c>
      <c r="Q2709" t="s">
        <v>6291</v>
      </c>
    </row>
    <row r="2710" spans="1:17" ht="15.75" x14ac:dyDescent="0.25">
      <c r="A2710" s="3" t="str">
        <f>HYPERLINK("https://prolisok-store.com/collections/makeup/products/estee-lauder-double-wear-stay-in-place-flawless-wear-concealer-4n-medium-deep-neutral-7ml-0-24oz", "https://prolisok-store.com/collections/makeup/products/estee-lauder-double-wear-stay-in-place-flawless-wear-concealer-4n-medium-deep-neutral-7ml-0-24oz")</f>
        <v>https://prolisok-store.com/collections/makeup/products/estee-lauder-double-wear-stay-in-place-flawless-wear-concealer-4n-medium-deep-neutral-7ml-0-24oz</v>
      </c>
      <c r="B2710" s="3" t="str">
        <f>HYPERLINK("https://prolisok-store.com/products/estee-lauder-double-wear-stay-in-place-flawless-wear-concealer-4n-medium-deep-neutral-7ml-0-24oz", "https://prolisok-store.com/products/estee-lauder-double-wear-stay-in-place-flawless-wear-concealer-4n-medium-deep-neutral-7ml-0-24oz")</f>
        <v>https://prolisok-store.com/products/estee-lauder-double-wear-stay-in-place-flawless-wear-concealer-4n-medium-deep-neutral-7ml-0-24oz</v>
      </c>
      <c r="C2710" t="s">
        <v>6264</v>
      </c>
      <c r="D2710" t="s">
        <v>6705</v>
      </c>
      <c r="E2710" s="3" t="str">
        <f>HYPERLINK("https://www.amazon.com/Estee-Lauder-Concealer-Stay-place/dp/B009JEUKOE/ref=sr_1_1?keywords=Estee+Lauder+double+wear+stay+in+place+flawless+wear+concealer+-+%23+4n+medium+deep+%28neutral%29+7ml%2F0.24oz&amp;qid=1695259509&amp;sr=8-1", "https://www.amazon.com/Estee-Lauder-Concealer-Stay-place/dp/B009JEUKOE/ref=sr_1_1?keywords=Estee+Lauder+double+wear+stay+in+place+flawless+wear+concealer+-+%23+4n+medium+deep+%28neutral%29+7ml%2F0.24oz&amp;qid=1695259509&amp;sr=8-1")</f>
        <v>https://www.amazon.com/Estee-Lauder-Concealer-Stay-place/dp/B009JEUKOE/ref=sr_1_1?keywords=Estee+Lauder+double+wear+stay+in+place+flawless+wear+concealer+-+%23+4n+medium+deep+%28neutral%29+7ml%2F0.24oz&amp;qid=1695259509&amp;sr=8-1</v>
      </c>
      <c r="F2710" t="s">
        <v>6706</v>
      </c>
      <c r="G2710" t="e">
        <f ca="1">IMAGE("https://prolisok-store.com/cdn/shop/products/329369_300x.jpg?v=1690900175")</f>
        <v>#NAME?</v>
      </c>
      <c r="H2710" t="e">
        <f ca="1">IMAGE("https://m.media-amazon.com/images/I/41RA7Sf6A5L._AC_UL320_.jpg")</f>
        <v>#NAME?</v>
      </c>
      <c r="I2710" t="s">
        <v>6267</v>
      </c>
      <c r="J2710">
        <v>19.75</v>
      </c>
      <c r="K2710" s="2" t="s">
        <v>6707</v>
      </c>
      <c r="L2710">
        <v>4.4000000000000004</v>
      </c>
      <c r="M2710">
        <v>44</v>
      </c>
      <c r="O2710" t="s">
        <v>26</v>
      </c>
      <c r="P2710" t="s">
        <v>39</v>
      </c>
      <c r="Q2710" t="s">
        <v>6269</v>
      </c>
    </row>
    <row r="2711" spans="1:17" ht="15.75" x14ac:dyDescent="0.25">
      <c r="A2711" s="3" t="str">
        <f>HYPERLINK("https://prolisok-store.com/collections/makeup/products/sisley-phyto-touche-illusion-dete-sun-glow-bronzing-gel-powder-11g-0-38oz", "https://prolisok-store.com/collections/makeup/products/sisley-phyto-touche-illusion-dete-sun-glow-bronzing-gel-powder-11g-0-38oz")</f>
        <v>https://prolisok-store.com/collections/makeup/products/sisley-phyto-touche-illusion-dete-sun-glow-bronzing-gel-powder-11g-0-38oz</v>
      </c>
      <c r="B2711" s="3" t="str">
        <f>HYPERLINK("https://prolisok-store.com/products/sisley-phyto-touche-illusion-dete-sun-glow-bronzing-gel-powder-11g-0-38oz", "https://prolisok-store.com/products/sisley-phyto-touche-illusion-dete-sun-glow-bronzing-gel-powder-11g-0-38oz")</f>
        <v>https://prolisok-store.com/products/sisley-phyto-touche-illusion-dete-sun-glow-bronzing-gel-powder-11g-0-38oz</v>
      </c>
      <c r="C2711" t="s">
        <v>6708</v>
      </c>
      <c r="D2711" t="s">
        <v>6709</v>
      </c>
      <c r="E2711" s="3" t="str">
        <f>HYPERLINK("https://www.amazon.com/Sisley-Womens-Phyto-Touche-Illusion-Bronzing/dp/B00IQ82DBW/ref=sr_1_1?keywords=Sisley+phyto+touche+illusion+dete+sun+glow+bronzing+gel+powder+11g%2F0.38oz&amp;qid=1695259494&amp;sr=8-1", "https://www.amazon.com/Sisley-Womens-Phyto-Touche-Illusion-Bronzing/dp/B00IQ82DBW/ref=sr_1_1?keywords=Sisley+phyto+touche+illusion+dete+sun+glow+bronzing+gel+powder+11g%2F0.38oz&amp;qid=1695259494&amp;sr=8-1")</f>
        <v>https://www.amazon.com/Sisley-Womens-Phyto-Touche-Illusion-Bronzing/dp/B00IQ82DBW/ref=sr_1_1?keywords=Sisley+phyto+touche+illusion+dete+sun+glow+bronzing+gel+powder+11g%2F0.38oz&amp;qid=1695259494&amp;sr=8-1</v>
      </c>
      <c r="F2711" t="s">
        <v>6710</v>
      </c>
      <c r="G2711" t="e">
        <f ca="1">IMAGE("https://prolisok-store.com/cdn/shop/products/252714_300x.jpg?v=1690901006")</f>
        <v>#NAME?</v>
      </c>
      <c r="H2711" t="e">
        <f ca="1">IMAGE("https://m.media-amazon.com/images/I/517BFJP7EWL._AC_UL320_.jpg")</f>
        <v>#NAME?</v>
      </c>
      <c r="I2711" t="s">
        <v>6711</v>
      </c>
      <c r="J2711">
        <v>68.650000000000006</v>
      </c>
      <c r="K2711" s="2" t="s">
        <v>6712</v>
      </c>
      <c r="L2711">
        <v>4.4000000000000004</v>
      </c>
      <c r="M2711">
        <v>12</v>
      </c>
      <c r="O2711" t="s">
        <v>26</v>
      </c>
      <c r="P2711" t="s">
        <v>39</v>
      </c>
      <c r="Q2711" t="s">
        <v>6713</v>
      </c>
    </row>
    <row r="2712" spans="1:17" ht="15.75" x14ac:dyDescent="0.25">
      <c r="A2712" s="3" t="str">
        <f>HYPERLINK("https://prolisok-store.com/collections/makeup/products/sisley-phyto-teint-ultra-eclat-4-cinnamon-30ml-1oz", "https://prolisok-store.com/collections/makeup/products/sisley-phyto-teint-ultra-eclat-4-cinnamon-30ml-1oz")</f>
        <v>https://prolisok-store.com/collections/makeup/products/sisley-phyto-teint-ultra-eclat-4-cinnamon-30ml-1oz</v>
      </c>
      <c r="B2712" s="3" t="str">
        <f>HYPERLINK("https://prolisok-store.com/products/sisley-phyto-teint-ultra-eclat-4-cinnamon-30ml-1oz", "https://prolisok-store.com/products/sisley-phyto-teint-ultra-eclat-4-cinnamon-30ml-1oz")</f>
        <v>https://prolisok-store.com/products/sisley-phyto-teint-ultra-eclat-4-cinnamon-30ml-1oz</v>
      </c>
      <c r="C2712" t="s">
        <v>6250</v>
      </c>
      <c r="D2712" t="s">
        <v>6714</v>
      </c>
      <c r="E2712" s="3" t="str">
        <f>HYPERLINK("https://www.amazon.com/Phyto-Teint-Eclat-Ultra-cinnamon-30-Ml/dp/B07XB3GXPQ/ref=sr_1_9?keywords=Sisley+phyto+teint+ultra+eclat&amp;qid=1695259522&amp;sr=8-9", "https://www.amazon.com/Phyto-Teint-Eclat-Ultra-cinnamon-30-Ml/dp/B07XB3GXPQ/ref=sr_1_9?keywords=Sisley+phyto+teint+ultra+eclat&amp;qid=1695259522&amp;sr=8-9")</f>
        <v>https://www.amazon.com/Phyto-Teint-Eclat-Ultra-cinnamon-30-Ml/dp/B07XB3GXPQ/ref=sr_1_9?keywords=Sisley+phyto+teint+ultra+eclat&amp;qid=1695259522&amp;sr=8-9</v>
      </c>
      <c r="F2712" t="s">
        <v>6715</v>
      </c>
      <c r="G2712" t="e">
        <f ca="1">IMAGE("https://prolisok-store.com/cdn/shop/products/346278_300x.jpg?v=1690900739")</f>
        <v>#NAME?</v>
      </c>
      <c r="H2712" t="e">
        <f ca="1">IMAGE("https://m.media-amazon.com/images/I/61M4wDrWDhL._AC_UL320_.jpg")</f>
        <v>#NAME?</v>
      </c>
      <c r="I2712" t="s">
        <v>6137</v>
      </c>
      <c r="J2712">
        <v>49.99</v>
      </c>
      <c r="K2712" s="2" t="s">
        <v>6716</v>
      </c>
      <c r="L2712">
        <v>4.7</v>
      </c>
      <c r="M2712">
        <v>3</v>
      </c>
      <c r="O2712" t="s">
        <v>26</v>
      </c>
      <c r="P2712" t="s">
        <v>39</v>
      </c>
      <c r="Q2712" t="s">
        <v>6253</v>
      </c>
    </row>
    <row r="2713" spans="1:17" ht="15.75" x14ac:dyDescent="0.25">
      <c r="A2713" s="3" t="str">
        <f>HYPERLINK("https://prolisok-store.com/collections/makeup/products/mac-studio-fix-soft-matte-foundation-stick-nc37-9g-0-32oz", "https://prolisok-store.com/collections/makeup/products/mac-studio-fix-soft-matte-foundation-stick-nc37-9g-0-32oz")</f>
        <v>https://prolisok-store.com/collections/makeup/products/mac-studio-fix-soft-matte-foundation-stick-nc37-9g-0-32oz</v>
      </c>
      <c r="B2713" s="3" t="str">
        <f>HYPERLINK("https://prolisok-store.com/products/mac-studio-fix-soft-matte-foundation-stick-nc37-9g-0-32oz", "https://prolisok-store.com/products/mac-studio-fix-soft-matte-foundation-stick-nc37-9g-0-32oz")</f>
        <v>https://prolisok-store.com/products/mac-studio-fix-soft-matte-foundation-stick-nc37-9g-0-32oz</v>
      </c>
      <c r="C2713" t="s">
        <v>6033</v>
      </c>
      <c r="D2713" t="s">
        <v>6717</v>
      </c>
      <c r="E2713" s="3" t="str">
        <f>HYPERLINK("https://www.amazon.com/Studio-Soft-Matte-Foundation-Stick/dp/B07XLF4NXW/ref=sr_1_1?keywords=MAC+studio+fix+soft+matte+foundation+stick+-+nc37+-9g%2F0.32oz&amp;qid=1695259534&amp;sr=8-1", "https://www.amazon.com/Studio-Soft-Matte-Foundation-Stick/dp/B07XLF4NXW/ref=sr_1_1?keywords=MAC+studio+fix+soft+matte+foundation+stick+-+nc37+-9g%2F0.32oz&amp;qid=1695259534&amp;sr=8-1")</f>
        <v>https://www.amazon.com/Studio-Soft-Matte-Foundation-Stick/dp/B07XLF4NXW/ref=sr_1_1?keywords=MAC+studio+fix+soft+matte+foundation+stick+-+nc37+-9g%2F0.32oz&amp;qid=1695259534&amp;sr=8-1</v>
      </c>
      <c r="F2713" t="s">
        <v>6718</v>
      </c>
      <c r="G2713" t="e">
        <f ca="1">IMAGE("https://prolisok-store.com/cdn/shop/products/375188_300x.jpg?v=1690393872")</f>
        <v>#NAME?</v>
      </c>
      <c r="H2713" t="e">
        <f t="shared" ref="H2713:H2719" ca="1" si="35">IMAGE("https://m.media-amazon.com/images/I/61GGg5nbvpL._AC_UL320_.jpg")</f>
        <v>#NAME?</v>
      </c>
      <c r="I2713" t="s">
        <v>6020</v>
      </c>
      <c r="J2713">
        <v>19.989999999999998</v>
      </c>
      <c r="K2713" s="2" t="s">
        <v>6716</v>
      </c>
      <c r="L2713">
        <v>4.0999999999999996</v>
      </c>
      <c r="M2713">
        <v>22</v>
      </c>
      <c r="O2713" t="s">
        <v>26</v>
      </c>
      <c r="P2713" t="s">
        <v>39</v>
      </c>
      <c r="Q2713" t="s">
        <v>6034</v>
      </c>
    </row>
    <row r="2714" spans="1:17" ht="15.75" x14ac:dyDescent="0.25">
      <c r="A2714" s="3" t="str">
        <f>HYPERLINK("https://prolisok-store.com/collections/makeup/products/mac-studio-fix-soft-matte-foundation-stick-nw30-9g-0-32oz", "https://prolisok-store.com/collections/makeup/products/mac-studio-fix-soft-matte-foundation-stick-nw30-9g-0-32oz")</f>
        <v>https://prolisok-store.com/collections/makeup/products/mac-studio-fix-soft-matte-foundation-stick-nw30-9g-0-32oz</v>
      </c>
      <c r="B2714" s="3" t="str">
        <f>HYPERLINK("https://prolisok-store.com/products/mac-studio-fix-soft-matte-foundation-stick-nw30-9g-0-32oz", "https://prolisok-store.com/products/mac-studio-fix-soft-matte-foundation-stick-nw30-9g-0-32oz")</f>
        <v>https://prolisok-store.com/products/mac-studio-fix-soft-matte-foundation-stick-nw30-9g-0-32oz</v>
      </c>
      <c r="C2714" t="s">
        <v>6029</v>
      </c>
      <c r="D2714" t="s">
        <v>6717</v>
      </c>
      <c r="E2714" s="3" t="str">
        <f>HYPERLINK("https://www.amazon.com/Studio-Soft-Matte-Foundation-Stick/dp/B07XLF4NXW/ref=sr_1_6?keywords=MAC+studio+fix+soft+matte+foundation+stick+-+nw30+-9g%2F0.32oz&amp;qid=1695259539&amp;sr=8-6", "https://www.amazon.com/Studio-Soft-Matte-Foundation-Stick/dp/B07XLF4NXW/ref=sr_1_6?keywords=MAC+studio+fix+soft+matte+foundation+stick+-+nw30+-9g%2F0.32oz&amp;qid=1695259539&amp;sr=8-6")</f>
        <v>https://www.amazon.com/Studio-Soft-Matte-Foundation-Stick/dp/B07XLF4NXW/ref=sr_1_6?keywords=MAC+studio+fix+soft+matte+foundation+stick+-+nw30+-9g%2F0.32oz&amp;qid=1695259539&amp;sr=8-6</v>
      </c>
      <c r="F2714" t="s">
        <v>6718</v>
      </c>
      <c r="G2714" t="e">
        <f ca="1">IMAGE("https://prolisok-store.com/cdn/shop/products/409458_300x.jpg?v=1690393883")</f>
        <v>#NAME?</v>
      </c>
      <c r="H2714" t="e">
        <f t="shared" ca="1" si="35"/>
        <v>#NAME?</v>
      </c>
      <c r="I2714" t="s">
        <v>6020</v>
      </c>
      <c r="J2714">
        <v>19.989999999999998</v>
      </c>
      <c r="K2714" s="2" t="s">
        <v>6716</v>
      </c>
      <c r="L2714">
        <v>4.0999999999999996</v>
      </c>
      <c r="M2714">
        <v>22</v>
      </c>
      <c r="O2714" t="s">
        <v>26</v>
      </c>
      <c r="P2714" t="s">
        <v>39</v>
      </c>
      <c r="Q2714" t="s">
        <v>6030</v>
      </c>
    </row>
    <row r="2715" spans="1:17" ht="15.75" x14ac:dyDescent="0.25">
      <c r="A2715" s="3" t="str">
        <f>HYPERLINK("https://prolisok-store.com/collections/makeup/products/mac-studio-fix-soft-matte-foundation-stick-nw22-9g-0-32oz", "https://prolisok-store.com/collections/makeup/products/mac-studio-fix-soft-matte-foundation-stick-nw22-9g-0-32oz")</f>
        <v>https://prolisok-store.com/collections/makeup/products/mac-studio-fix-soft-matte-foundation-stick-nw22-9g-0-32oz</v>
      </c>
      <c r="B2715" s="3" t="str">
        <f>HYPERLINK("https://prolisok-store.com/products/mac-studio-fix-soft-matte-foundation-stick-nw22-9g-0-32oz", "https://prolisok-store.com/products/mac-studio-fix-soft-matte-foundation-stick-nw22-9g-0-32oz")</f>
        <v>https://prolisok-store.com/products/mac-studio-fix-soft-matte-foundation-stick-nw22-9g-0-32oz</v>
      </c>
      <c r="C2715" t="s">
        <v>6027</v>
      </c>
      <c r="D2715" t="s">
        <v>6717</v>
      </c>
      <c r="E2715" s="3" t="str">
        <f>HYPERLINK("https://www.amazon.com/Studio-Soft-Matte-Foundation-Stick/dp/B07XLF4NXW/ref=sr_1_5?keywords=MAC+studio+fix+soft+matte+foundation+stick+-+nw22+-9g%2F0.32oz&amp;qid=1695259534&amp;sr=8-5", "https://www.amazon.com/Studio-Soft-Matte-Foundation-Stick/dp/B07XLF4NXW/ref=sr_1_5?keywords=MAC+studio+fix+soft+matte+foundation+stick+-+nw22+-9g%2F0.32oz&amp;qid=1695259534&amp;sr=8-5")</f>
        <v>https://www.amazon.com/Studio-Soft-Matte-Foundation-Stick/dp/B07XLF4NXW/ref=sr_1_5?keywords=MAC+studio+fix+soft+matte+foundation+stick+-+nw22+-9g%2F0.32oz&amp;qid=1695259534&amp;sr=8-5</v>
      </c>
      <c r="F2715" t="s">
        <v>6718</v>
      </c>
      <c r="G2715" t="e">
        <f ca="1">IMAGE("https://prolisok-store.com/cdn/shop/products/360234_300x.jpg?v=1690393881")</f>
        <v>#NAME?</v>
      </c>
      <c r="H2715" t="e">
        <f t="shared" ca="1" si="35"/>
        <v>#NAME?</v>
      </c>
      <c r="I2715" t="s">
        <v>6020</v>
      </c>
      <c r="J2715">
        <v>19.989999999999998</v>
      </c>
      <c r="K2715" s="2" t="s">
        <v>6716</v>
      </c>
      <c r="L2715">
        <v>4.0999999999999996</v>
      </c>
      <c r="M2715">
        <v>22</v>
      </c>
      <c r="O2715" t="s">
        <v>26</v>
      </c>
      <c r="P2715" t="s">
        <v>39</v>
      </c>
      <c r="Q2715" t="s">
        <v>6028</v>
      </c>
    </row>
    <row r="2716" spans="1:17" ht="15.75" x14ac:dyDescent="0.25">
      <c r="A2716" s="3" t="str">
        <f>HYPERLINK("https://prolisok-store.com/collections/makeup/products/mac-studio-fix-soft-matte-foundation-stick-nw18-9g-0-32oz", "https://prolisok-store.com/collections/makeup/products/mac-studio-fix-soft-matte-foundation-stick-nw18-9g-0-32oz")</f>
        <v>https://prolisok-store.com/collections/makeup/products/mac-studio-fix-soft-matte-foundation-stick-nw18-9g-0-32oz</v>
      </c>
      <c r="B2716" s="3" t="str">
        <f>HYPERLINK("https://prolisok-store.com/products/mac-studio-fix-soft-matte-foundation-stick-nw18-9g-0-32oz", "https://prolisok-store.com/products/mac-studio-fix-soft-matte-foundation-stick-nw18-9g-0-32oz")</f>
        <v>https://prolisok-store.com/products/mac-studio-fix-soft-matte-foundation-stick-nw18-9g-0-32oz</v>
      </c>
      <c r="C2716" t="s">
        <v>6025</v>
      </c>
      <c r="D2716" t="s">
        <v>6717</v>
      </c>
      <c r="E2716" s="3" t="str">
        <f>HYPERLINK("https://www.amazon.com/Studio-Soft-Matte-Foundation-Stick/dp/B07XLF4NXW/ref=sr_1_4?keywords=MAC+studio+fix+soft+matte+foundation+stick+-+nw18+-9g%2F0.32oz&amp;qid=1695259543&amp;sr=8-4", "https://www.amazon.com/Studio-Soft-Matte-Foundation-Stick/dp/B07XLF4NXW/ref=sr_1_4?keywords=MAC+studio+fix+soft+matte+foundation+stick+-+nw18+-9g%2F0.32oz&amp;qid=1695259543&amp;sr=8-4")</f>
        <v>https://www.amazon.com/Studio-Soft-Matte-Foundation-Stick/dp/B07XLF4NXW/ref=sr_1_4?keywords=MAC+studio+fix+soft+matte+foundation+stick+-+nw18+-9g%2F0.32oz&amp;qid=1695259543&amp;sr=8-4</v>
      </c>
      <c r="F2716" t="s">
        <v>6718</v>
      </c>
      <c r="G2716" t="e">
        <f ca="1">IMAGE("https://prolisok-store.com/cdn/shop/products/360235_300x.jpg?v=1690393879")</f>
        <v>#NAME?</v>
      </c>
      <c r="H2716" t="e">
        <f t="shared" ca="1" si="35"/>
        <v>#NAME?</v>
      </c>
      <c r="I2716" t="s">
        <v>6020</v>
      </c>
      <c r="J2716">
        <v>19.989999999999998</v>
      </c>
      <c r="K2716" s="2" t="s">
        <v>6716</v>
      </c>
      <c r="L2716">
        <v>4.0999999999999996</v>
      </c>
      <c r="M2716">
        <v>22</v>
      </c>
      <c r="O2716" t="s">
        <v>26</v>
      </c>
      <c r="P2716" t="s">
        <v>39</v>
      </c>
      <c r="Q2716" t="s">
        <v>6026</v>
      </c>
    </row>
    <row r="2717" spans="1:17" ht="15.75" x14ac:dyDescent="0.25">
      <c r="A2717" s="3" t="str">
        <f>HYPERLINK("https://prolisok-store.com/collections/makeup/products/mac-studio-fix-soft-matte-foundation-stick-nc35-9g-0-32oz", "https://prolisok-store.com/collections/makeup/products/mac-studio-fix-soft-matte-foundation-stick-nc35-9g-0-32oz")</f>
        <v>https://prolisok-store.com/collections/makeup/products/mac-studio-fix-soft-matte-foundation-stick-nc35-9g-0-32oz</v>
      </c>
      <c r="B2717" s="3" t="str">
        <f>HYPERLINK("https://prolisok-store.com/products/mac-studio-fix-soft-matte-foundation-stick-nc35-9g-0-32oz", "https://prolisok-store.com/products/mac-studio-fix-soft-matte-foundation-stick-nc35-9g-0-32oz")</f>
        <v>https://prolisok-store.com/products/mac-studio-fix-soft-matte-foundation-stick-nc35-9g-0-32oz</v>
      </c>
      <c r="C2717" t="s">
        <v>6031</v>
      </c>
      <c r="D2717" t="s">
        <v>6717</v>
      </c>
      <c r="E2717" s="3" t="str">
        <f>HYPERLINK("https://www.amazon.com/Studio-Soft-Matte-Foundation-Stick/dp/B07XLF4NXW/ref=sr_1_3?keywords=MAC+studio+fix+soft+matte+foundation+stick+-+nc35+-9g%2F0.32oz&amp;qid=1695259534&amp;sr=8-3", "https://www.amazon.com/Studio-Soft-Matte-Foundation-Stick/dp/B07XLF4NXW/ref=sr_1_3?keywords=MAC+studio+fix+soft+matte+foundation+stick+-+nc35+-9g%2F0.32oz&amp;qid=1695259534&amp;sr=8-3")</f>
        <v>https://www.amazon.com/Studio-Soft-Matte-Foundation-Stick/dp/B07XLF4NXW/ref=sr_1_3?keywords=MAC+studio+fix+soft+matte+foundation+stick+-+nc35+-9g%2F0.32oz&amp;qid=1695259534&amp;sr=8-3</v>
      </c>
      <c r="F2717" t="s">
        <v>6718</v>
      </c>
      <c r="G2717" t="e">
        <f ca="1">IMAGE("https://prolisok-store.com/cdn/shop/products/360244_300x.jpg?v=1690393870")</f>
        <v>#NAME?</v>
      </c>
      <c r="H2717" t="e">
        <f t="shared" ca="1" si="35"/>
        <v>#NAME?</v>
      </c>
      <c r="I2717" t="s">
        <v>6020</v>
      </c>
      <c r="J2717">
        <v>19.989999999999998</v>
      </c>
      <c r="K2717" s="2" t="s">
        <v>6716</v>
      </c>
      <c r="L2717">
        <v>4.0999999999999996</v>
      </c>
      <c r="M2717">
        <v>22</v>
      </c>
      <c r="O2717" t="s">
        <v>26</v>
      </c>
      <c r="P2717" t="s">
        <v>39</v>
      </c>
      <c r="Q2717" t="s">
        <v>6032</v>
      </c>
    </row>
    <row r="2718" spans="1:17" ht="15.75" x14ac:dyDescent="0.25">
      <c r="A2718" s="3" t="str">
        <f>HYPERLINK("https://prolisok-store.com/collections/makeup/products/mac-studio-fix-soft-matte-foundation-stick-nw13-9g-0-32oz", "https://prolisok-store.com/collections/makeup/products/mac-studio-fix-soft-matte-foundation-stick-nw13-9g-0-32oz")</f>
        <v>https://prolisok-store.com/collections/makeup/products/mac-studio-fix-soft-matte-foundation-stick-nw13-9g-0-32oz</v>
      </c>
      <c r="B2718" s="3" t="str">
        <f>HYPERLINK("https://prolisok-store.com/products/mac-studio-fix-soft-matte-foundation-stick-nw13-9g-0-32oz", "https://prolisok-store.com/products/mac-studio-fix-soft-matte-foundation-stick-nw13-9g-0-32oz")</f>
        <v>https://prolisok-store.com/products/mac-studio-fix-soft-matte-foundation-stick-nw13-9g-0-32oz</v>
      </c>
      <c r="C2718" t="s">
        <v>6017</v>
      </c>
      <c r="D2718" t="s">
        <v>6717</v>
      </c>
      <c r="E2718" s="3" t="str">
        <f>HYPERLINK("https://www.amazon.com/Studio-Soft-Matte-Foundation-Stick/dp/B07XLF4NXW/ref=sr_1_5?keywords=MAC+studio+fix+soft+matte+foundation+stick+-+nw13+-9g%2F0.32oz&amp;qid=1695259544&amp;sr=8-5", "https://www.amazon.com/Studio-Soft-Matte-Foundation-Stick/dp/B07XLF4NXW/ref=sr_1_5?keywords=MAC+studio+fix+soft+matte+foundation+stick+-+nw13+-9g%2F0.32oz&amp;qid=1695259544&amp;sr=8-5")</f>
        <v>https://www.amazon.com/Studio-Soft-Matte-Foundation-Stick/dp/B07XLF4NXW/ref=sr_1_5?keywords=MAC+studio+fix+soft+matte+foundation+stick+-+nw13+-9g%2F0.32oz&amp;qid=1695259544&amp;sr=8-5</v>
      </c>
      <c r="F2718" t="s">
        <v>6718</v>
      </c>
      <c r="G2718" t="e">
        <f ca="1">IMAGE("https://prolisok-store.com/cdn/shop/products/409455_300x.jpg?v=1690393877")</f>
        <v>#NAME?</v>
      </c>
      <c r="H2718" t="e">
        <f t="shared" ca="1" si="35"/>
        <v>#NAME?</v>
      </c>
      <c r="I2718" t="s">
        <v>6020</v>
      </c>
      <c r="J2718">
        <v>19.989999999999998</v>
      </c>
      <c r="K2718" s="2" t="s">
        <v>6716</v>
      </c>
      <c r="L2718">
        <v>4.0999999999999996</v>
      </c>
      <c r="M2718">
        <v>22</v>
      </c>
      <c r="O2718" t="s">
        <v>26</v>
      </c>
      <c r="P2718" t="s">
        <v>39</v>
      </c>
      <c r="Q2718" t="s">
        <v>6022</v>
      </c>
    </row>
    <row r="2719" spans="1:17" ht="15.75" x14ac:dyDescent="0.25">
      <c r="A2719" s="3" t="str">
        <f>HYPERLINK("https://prolisok-store.com/collections/makeup/products/mac-studio-fix-soft-matte-foundation-stick-nc38-9g-0-32oz", "https://prolisok-store.com/collections/makeup/products/mac-studio-fix-soft-matte-foundation-stick-nc38-9g-0-32oz")</f>
        <v>https://prolisok-store.com/collections/makeup/products/mac-studio-fix-soft-matte-foundation-stick-nc38-9g-0-32oz</v>
      </c>
      <c r="B2719" s="3" t="str">
        <f>HYPERLINK("https://prolisok-store.com/products/mac-studio-fix-soft-matte-foundation-stick-nc38-9g-0-32oz", "https://prolisok-store.com/products/mac-studio-fix-soft-matte-foundation-stick-nc38-9g-0-32oz")</f>
        <v>https://prolisok-store.com/products/mac-studio-fix-soft-matte-foundation-stick-nc38-9g-0-32oz</v>
      </c>
      <c r="C2719" t="s">
        <v>6023</v>
      </c>
      <c r="D2719" t="s">
        <v>6717</v>
      </c>
      <c r="E2719" s="3" t="str">
        <f>HYPERLINK("https://www.amazon.com/Studio-Soft-Matte-Foundation-Stick/dp/B07XLF4NXW/ref=sr_1_3?keywords=MAC+studio+fix+soft+matte+foundation+stick+-+nc38+-9g%2F0.32oz&amp;qid=1695259545&amp;sr=8-3", "https://www.amazon.com/Studio-Soft-Matte-Foundation-Stick/dp/B07XLF4NXW/ref=sr_1_3?keywords=MAC+studio+fix+soft+matte+foundation+stick+-+nc38+-9g%2F0.32oz&amp;qid=1695259545&amp;sr=8-3")</f>
        <v>https://www.amazon.com/Studio-Soft-Matte-Foundation-Stick/dp/B07XLF4NXW/ref=sr_1_3?keywords=MAC+studio+fix+soft+matte+foundation+stick+-+nc38+-9g%2F0.32oz&amp;qid=1695259545&amp;sr=8-3</v>
      </c>
      <c r="F2719" t="s">
        <v>6718</v>
      </c>
      <c r="G2719" t="e">
        <f ca="1">IMAGE("https://prolisok-store.com/cdn/shop/products/360243_300x.jpg?v=1690393874")</f>
        <v>#NAME?</v>
      </c>
      <c r="H2719" t="e">
        <f t="shared" ca="1" si="35"/>
        <v>#NAME?</v>
      </c>
      <c r="I2719" t="s">
        <v>6020</v>
      </c>
      <c r="J2719">
        <v>19.989999999999998</v>
      </c>
      <c r="K2719" s="2" t="s">
        <v>6716</v>
      </c>
      <c r="L2719">
        <v>4.0999999999999996</v>
      </c>
      <c r="M2719">
        <v>22</v>
      </c>
      <c r="O2719" t="s">
        <v>26</v>
      </c>
      <c r="P2719" t="s">
        <v>39</v>
      </c>
      <c r="Q2719" t="s">
        <v>6024</v>
      </c>
    </row>
    <row r="2720" spans="1:17" ht="15.75" x14ac:dyDescent="0.25">
      <c r="A2720" s="3" t="str">
        <f>HYPERLINK("https://prolisok-store.com/collections/makeup/products/mac-love-me-lipstick-nine-lives-3g-0-1oz", "https://prolisok-store.com/collections/makeup/products/mac-love-me-lipstick-nine-lives-3g-0-1oz")</f>
        <v>https://prolisok-store.com/collections/makeup/products/mac-love-me-lipstick-nine-lives-3g-0-1oz</v>
      </c>
      <c r="B2720" s="3" t="str">
        <f>HYPERLINK("https://prolisok-store.com/products/mac-love-me-lipstick-nine-lives-3g-0-1oz", "https://prolisok-store.com/products/mac-love-me-lipstick-nine-lives-3g-0-1oz")</f>
        <v>https://prolisok-store.com/products/mac-love-me-lipstick-nine-lives-3g-0-1oz</v>
      </c>
      <c r="C2720" t="s">
        <v>6083</v>
      </c>
      <c r="D2720" t="s">
        <v>6719</v>
      </c>
      <c r="E2720" s="3" t="str">
        <f>HYPERLINK("https://www.amazon.com/MAC-Make-Up-Artist-Cosmetics-Lipstick/dp/B0BKR5RHM6/ref=sr_1_4?keywords=MAC+love+me+lipstick+-+nine+lives-3g%2F0.1oz&amp;qid=1695259538&amp;sr=8-4", "https://www.amazon.com/MAC-Make-Up-Artist-Cosmetics-Lipstick/dp/B0BKR5RHM6/ref=sr_1_4?keywords=MAC+love+me+lipstick+-+nine+lives-3g%2F0.1oz&amp;qid=1695259538&amp;sr=8-4")</f>
        <v>https://www.amazon.com/MAC-Make-Up-Artist-Cosmetics-Lipstick/dp/B0BKR5RHM6/ref=sr_1_4?keywords=MAC+love+me+lipstick+-+nine+lives-3g%2F0.1oz&amp;qid=1695259538&amp;sr=8-4</v>
      </c>
      <c r="F2720" t="s">
        <v>6720</v>
      </c>
      <c r="G2720" t="e">
        <f ca="1">IMAGE("https://prolisok-store.com/cdn/shop/products/351917_300x.jpg?v=1690393944")</f>
        <v>#NAME?</v>
      </c>
      <c r="H2720" t="e">
        <f ca="1">IMAGE("https://m.media-amazon.com/images/I/41E2432Mx-L._AC_UL320_.jpg")</f>
        <v>#NAME?</v>
      </c>
      <c r="I2720" t="s">
        <v>6086</v>
      </c>
      <c r="J2720">
        <v>11.99</v>
      </c>
      <c r="K2720" s="2" t="s">
        <v>6721</v>
      </c>
      <c r="L2720">
        <v>5</v>
      </c>
      <c r="M2720">
        <v>1</v>
      </c>
      <c r="O2720" t="s">
        <v>26</v>
      </c>
      <c r="P2720" t="s">
        <v>39</v>
      </c>
      <c r="Q2720" t="s">
        <v>6088</v>
      </c>
    </row>
    <row r="2721" spans="1:17" ht="15.75" x14ac:dyDescent="0.25">
      <c r="A2721" s="3" t="str">
        <f>HYPERLINK("https://prolisok-store.com/collections/makeup/products/mac-love-me-lipstick-youre-so-vain-3g-0-1oz", "https://prolisok-store.com/collections/makeup/products/mac-love-me-lipstick-youre-so-vain-3g-0-1oz")</f>
        <v>https://prolisok-store.com/collections/makeup/products/mac-love-me-lipstick-youre-so-vain-3g-0-1oz</v>
      </c>
      <c r="B2721" s="3" t="str">
        <f>HYPERLINK("https://prolisok-store.com/products/mac-love-me-lipstick-youre-so-vain-3g-0-1oz", "https://prolisok-store.com/products/mac-love-me-lipstick-youre-so-vain-3g-0-1oz")</f>
        <v>https://prolisok-store.com/products/mac-love-me-lipstick-youre-so-vain-3g-0-1oz</v>
      </c>
      <c r="C2721" t="s">
        <v>6089</v>
      </c>
      <c r="D2721" t="s">
        <v>6719</v>
      </c>
      <c r="E2721" s="3" t="str">
        <f>HYPERLINK("https://www.amazon.com/MAC-Make-Up-Artist-Cosmetics-Lipstick/dp/B0BKR5RHM6/ref=sr_1_2?keywords=MAC+love+me+lipstick+-+youre+so+vain-3g%2F0.1oz&amp;qid=1695259489&amp;sr=8-2", "https://www.amazon.com/MAC-Make-Up-Artist-Cosmetics-Lipstick/dp/B0BKR5RHM6/ref=sr_1_2?keywords=MAC+love+me+lipstick+-+youre+so+vain-3g%2F0.1oz&amp;qid=1695259489&amp;sr=8-2")</f>
        <v>https://www.amazon.com/MAC-Make-Up-Artist-Cosmetics-Lipstick/dp/B0BKR5RHM6/ref=sr_1_2?keywords=MAC+love+me+lipstick+-+youre+so+vain-3g%2F0.1oz&amp;qid=1695259489&amp;sr=8-2</v>
      </c>
      <c r="F2721" t="s">
        <v>6720</v>
      </c>
      <c r="G2721" t="e">
        <f ca="1">IMAGE("https://prolisok-store.com/cdn/shop/products/351920_300x.jpg?v=1690393948")</f>
        <v>#NAME?</v>
      </c>
      <c r="H2721" t="e">
        <f ca="1">IMAGE("https://m.media-amazon.com/images/I/41E2432Mx-L._AC_UL320_.jpg")</f>
        <v>#NAME?</v>
      </c>
      <c r="I2721" t="s">
        <v>6086</v>
      </c>
      <c r="J2721">
        <v>11.99</v>
      </c>
      <c r="K2721" s="2" t="s">
        <v>6721</v>
      </c>
      <c r="L2721">
        <v>5</v>
      </c>
      <c r="M2721">
        <v>1</v>
      </c>
      <c r="O2721" t="s">
        <v>26</v>
      </c>
      <c r="P2721" t="s">
        <v>39</v>
      </c>
      <c r="Q2721" t="s">
        <v>6090</v>
      </c>
    </row>
    <row r="2722" spans="1:17" ht="15.75" x14ac:dyDescent="0.25">
      <c r="A2722" s="3" t="str">
        <f>HYPERLINK("https://prolisok-store.com/collections/makeup/products/mac-studio-fix-powder-plus-foundation-nc15-15g-0-52oz", "https://prolisok-store.com/collections/makeup/products/mac-studio-fix-powder-plus-foundation-nc15-15g-0-52oz")</f>
        <v>https://prolisok-store.com/collections/makeup/products/mac-studio-fix-powder-plus-foundation-nc15-15g-0-52oz</v>
      </c>
      <c r="B2722" s="3" t="str">
        <f>HYPERLINK("https://prolisok-store.com/products/mac-studio-fix-powder-plus-foundation-nc15-15g-0-52oz", "https://prolisok-store.com/products/mac-studio-fix-powder-plus-foundation-nc15-15g-0-52oz")</f>
        <v>https://prolisok-store.com/products/mac-studio-fix-powder-plus-foundation-nc15-15g-0-52oz</v>
      </c>
      <c r="C2722" t="s">
        <v>6108</v>
      </c>
      <c r="D2722" t="s">
        <v>6722</v>
      </c>
      <c r="E2722" s="3" t="str">
        <f>HYPERLINK("https://www.amazon.com/Studio-Powder-Plus-Foundation-NW15/dp/B007O0WLI8/ref=sr_1_4?keywords=MAC+studio+fix+powder+plus+foundation+-+nc15+-15g%2F0.52oz&amp;qid=1695259539&amp;sr=8-4", "https://www.amazon.com/Studio-Powder-Plus-Foundation-NW15/dp/B007O0WLI8/ref=sr_1_4?keywords=MAC+studio+fix+powder+plus+foundation+-+nc15+-15g%2F0.52oz&amp;qid=1695259539&amp;sr=8-4")</f>
        <v>https://www.amazon.com/Studio-Powder-Plus-Foundation-NW15/dp/B007O0WLI8/ref=sr_1_4?keywords=MAC+studio+fix+powder+plus+foundation+-+nc15+-15g%2F0.52oz&amp;qid=1695259539&amp;sr=8-4</v>
      </c>
      <c r="F2722" t="s">
        <v>6723</v>
      </c>
      <c r="G2722" t="e">
        <f ca="1">IMAGE("https://prolisok-store.com/cdn/shop/products/347384_300x.jpg?v=1690393863")</f>
        <v>#NAME?</v>
      </c>
      <c r="H2722" t="e">
        <f ca="1">IMAGE("https://m.media-amazon.com/images/I/71HuTWt+nmL._AC_UL320_.jpg")</f>
        <v>#NAME?</v>
      </c>
      <c r="I2722" t="s">
        <v>6111</v>
      </c>
      <c r="J2722">
        <v>20.96</v>
      </c>
      <c r="K2722" s="2" t="s">
        <v>6724</v>
      </c>
      <c r="L2722">
        <v>4.5999999999999996</v>
      </c>
      <c r="M2722">
        <v>3522</v>
      </c>
      <c r="O2722" t="s">
        <v>26</v>
      </c>
      <c r="P2722" t="s">
        <v>39</v>
      </c>
      <c r="Q2722" t="s">
        <v>6113</v>
      </c>
    </row>
    <row r="2723" spans="1:17" ht="15.75" x14ac:dyDescent="0.25">
      <c r="A2723" s="3" t="str">
        <f>HYPERLINK("https://prolisok-store.com/collections/makeup/products/estee-lauder-sumptuous-extreme-waterproof-lash-multiplying-volume-mascara-01-extreme-black-8ml-0-27oz", "https://prolisok-store.com/collections/makeup/products/estee-lauder-sumptuous-extreme-waterproof-lash-multiplying-volume-mascara-01-extreme-black-8ml-0-27oz")</f>
        <v>https://prolisok-store.com/collections/makeup/products/estee-lauder-sumptuous-extreme-waterproof-lash-multiplying-volume-mascara-01-extreme-black-8ml-0-27oz</v>
      </c>
      <c r="B2723" s="3" t="str">
        <f>HYPERLINK("https://prolisok-store.com/products/estee-lauder-sumptuous-extreme-waterproof-lash-multiplying-volume-mascara-01-extreme-black-8ml-0-27oz", "https://prolisok-store.com/products/estee-lauder-sumptuous-extreme-waterproof-lash-multiplying-volume-mascara-01-extreme-black-8ml-0-27oz")</f>
        <v>https://prolisok-store.com/products/estee-lauder-sumptuous-extreme-waterproof-lash-multiplying-volume-mascara-01-extreme-black-8ml-0-27oz</v>
      </c>
      <c r="C2723" t="s">
        <v>6548</v>
      </c>
      <c r="D2723" t="s">
        <v>6725</v>
      </c>
      <c r="E2723" s="3" t="str">
        <f>HYPERLINK("https://www.amazon.com/Sumptuous-Extreme-Multiplying-Mascara-Unboxed/dp/B09DD3XD5N/ref=sr_1_5?keywords=Estee+Lauder+sumptuous+extreme+waterproof+lash+multiplying+volume+mascara+-&amp;qid=1695259529&amp;sr=8-5", "https://www.amazon.com/Sumptuous-Extreme-Multiplying-Mascara-Unboxed/dp/B09DD3XD5N/ref=sr_1_5?keywords=Estee+Lauder+sumptuous+extreme+waterproof+lash+multiplying+volume+mascara+-&amp;qid=1695259529&amp;sr=8-5")</f>
        <v>https://www.amazon.com/Sumptuous-Extreme-Multiplying-Mascara-Unboxed/dp/B09DD3XD5N/ref=sr_1_5?keywords=Estee+Lauder+sumptuous+extreme+waterproof+lash+multiplying+volume+mascara+-&amp;qid=1695259529&amp;sr=8-5</v>
      </c>
      <c r="F2723" t="s">
        <v>6726</v>
      </c>
      <c r="G2723" t="e">
        <f ca="1">IMAGE("https://prolisok-store.com/cdn/shop/products/245536_300x.jpg?v=1690900203")</f>
        <v>#NAME?</v>
      </c>
      <c r="H2723" t="e">
        <f ca="1">IMAGE("https://m.media-amazon.com/images/I/81PgMm-S8BL._AC_UL320_.jpg")</f>
        <v>#NAME?</v>
      </c>
      <c r="I2723" t="s">
        <v>6020</v>
      </c>
      <c r="J2723">
        <v>19.37</v>
      </c>
      <c r="K2723" s="2" t="s">
        <v>6727</v>
      </c>
      <c r="L2723">
        <v>4.0999999999999996</v>
      </c>
      <c r="M2723">
        <v>25</v>
      </c>
      <c r="O2723" t="s">
        <v>26</v>
      </c>
      <c r="P2723" t="s">
        <v>39</v>
      </c>
      <c r="Q2723" t="s">
        <v>6552</v>
      </c>
    </row>
    <row r="2724" spans="1:17" ht="15.75" x14ac:dyDescent="0.25">
      <c r="A2724" s="3" t="str">
        <f>HYPERLINK("https://prolisok-store.com/collections/makeup/products/mac-powder-kiss-lipstick-shocking-revelation-3g-0-1oz", "https://prolisok-store.com/collections/makeup/products/mac-powder-kiss-lipstick-shocking-revelation-3g-0-1oz")</f>
        <v>https://prolisok-store.com/collections/makeup/products/mac-powder-kiss-lipstick-shocking-revelation-3g-0-1oz</v>
      </c>
      <c r="B2724" s="3" t="str">
        <f>HYPERLINK("https://prolisok-store.com/products/mac-powder-kiss-lipstick-shocking-revelation-3g-0-1oz", "https://prolisok-store.com/products/mac-powder-kiss-lipstick-shocking-revelation-3g-0-1oz")</f>
        <v>https://prolisok-store.com/products/mac-powder-kiss-lipstick-shocking-revelation-3g-0-1oz</v>
      </c>
      <c r="C2724" t="s">
        <v>6540</v>
      </c>
      <c r="D2724" t="s">
        <v>6728</v>
      </c>
      <c r="E2724" s="3" t="str">
        <f>HYPERLINK("https://www.amazon.com/MAC-Powder-Lipstick-Shocking-Revelation/dp/B08SVQ6PY4/ref=sr_1_2?keywords=MAC+powder+kiss+lipstick+-+shocking+revelation+-3g%2F0.1oz&amp;qid=1695259536&amp;sr=8-2", "https://www.amazon.com/MAC-Powder-Lipstick-Shocking-Revelation/dp/B08SVQ6PY4/ref=sr_1_2?keywords=MAC+powder+kiss+lipstick+-+shocking+revelation+-3g%2F0.1oz&amp;qid=1695259536&amp;sr=8-2")</f>
        <v>https://www.amazon.com/MAC-Powder-Lipstick-Shocking-Revelation/dp/B08SVQ6PY4/ref=sr_1_2?keywords=MAC+powder+kiss+lipstick+-+shocking+revelation+-3g%2F0.1oz&amp;qid=1695259536&amp;sr=8-2</v>
      </c>
      <c r="F2724" t="s">
        <v>6729</v>
      </c>
      <c r="G2724" t="e">
        <f ca="1">IMAGE("https://prolisok-store.com/cdn/shop/products/348148_300x.jpg?v=1690393903")</f>
        <v>#NAME?</v>
      </c>
      <c r="H2724" t="e">
        <f ca="1">IMAGE("https://m.media-amazon.com/images/I/61dbWMRSYRL._AC_UL320_.jpg")</f>
        <v>#NAME?</v>
      </c>
      <c r="I2724" t="s">
        <v>6360</v>
      </c>
      <c r="J2724">
        <v>13.98</v>
      </c>
      <c r="K2724" s="2" t="s">
        <v>6730</v>
      </c>
      <c r="L2724">
        <v>3.1</v>
      </c>
      <c r="M2724">
        <v>3</v>
      </c>
      <c r="O2724" t="s">
        <v>26</v>
      </c>
      <c r="P2724" t="s">
        <v>39</v>
      </c>
      <c r="Q2724" t="s">
        <v>6544</v>
      </c>
    </row>
    <row r="2725" spans="1:17" ht="15.75" x14ac:dyDescent="0.25">
      <c r="A2725" s="3" t="str">
        <f>HYPERLINK("https://prolisok-store.com/collections/makeup/products/sisley-phyto-cernes-eclat-eye-concealer-01-15ml-0-61oz", "https://prolisok-store.com/collections/makeup/products/sisley-phyto-cernes-eclat-eye-concealer-01-15ml-0-61oz")</f>
        <v>https://prolisok-store.com/collections/makeup/products/sisley-phyto-cernes-eclat-eye-concealer-01-15ml-0-61oz</v>
      </c>
      <c r="B2725" s="3" t="str">
        <f>HYPERLINK("https://prolisok-store.com/products/sisley-phyto-cernes-eclat-eye-concealer-01-15ml-0-61oz", "https://prolisok-store.com/products/sisley-phyto-cernes-eclat-eye-concealer-01-15ml-0-61oz")</f>
        <v>https://prolisok-store.com/products/sisley-phyto-cernes-eclat-eye-concealer-01-15ml-0-61oz</v>
      </c>
      <c r="C2725" t="s">
        <v>6522</v>
      </c>
      <c r="D2725" t="s">
        <v>6731</v>
      </c>
      <c r="E2725" s="3" t="str">
        <f>HYPERLINK("https://www.amazon.com/Sisley-Phyto-Cernes-Eclat-Concealer/dp/B009QZ5RRG/ref=sr_1_5?keywords=Sisley+phyto+cernes+eclat+eye+concealer+-+%23+01+15ml%2F0.61oz&amp;qid=1695259488&amp;sr=8-5", "https://www.amazon.com/Sisley-Phyto-Cernes-Eclat-Concealer/dp/B009QZ5RRG/ref=sr_1_5?keywords=Sisley+phyto+cernes+eclat+eye+concealer+-+%23+01+15ml%2F0.61oz&amp;qid=1695259488&amp;sr=8-5")</f>
        <v>https://www.amazon.com/Sisley-Phyto-Cernes-Eclat-Concealer/dp/B009QZ5RRG/ref=sr_1_5?keywords=Sisley+phyto+cernes+eclat+eye+concealer+-+%23+01+15ml%2F0.61oz&amp;qid=1695259488&amp;sr=8-5</v>
      </c>
      <c r="F2725" t="s">
        <v>6732</v>
      </c>
      <c r="G2725" t="e">
        <f ca="1">IMAGE("https://prolisok-store.com/cdn/shop/products/142850_300x.jpg?v=1690900881")</f>
        <v>#NAME?</v>
      </c>
      <c r="H2725" t="e">
        <f ca="1">IMAGE("https://m.media-amazon.com/images/I/41x+ktzfP-L._AC_UL320_.jpg")</f>
        <v>#NAME?</v>
      </c>
      <c r="I2725" t="s">
        <v>6459</v>
      </c>
      <c r="J2725">
        <v>56.88</v>
      </c>
      <c r="K2725" s="2" t="s">
        <v>6733</v>
      </c>
      <c r="L2725">
        <v>4.3</v>
      </c>
      <c r="M2725">
        <v>55</v>
      </c>
      <c r="O2725" t="s">
        <v>26</v>
      </c>
      <c r="P2725" t="s">
        <v>39</v>
      </c>
      <c r="Q2725" t="s">
        <v>6524</v>
      </c>
    </row>
    <row r="2726" spans="1:17" ht="15.75" x14ac:dyDescent="0.25">
      <c r="A2726" s="3" t="str">
        <f>HYPERLINK("https://prolisok-store.com/collections/makeup/products/sisley-botanical-eye-and-lip-contour-balm-30ml-1oz", "https://prolisok-store.com/collections/makeup/products/sisley-botanical-eye-and-lip-contour-balm-30ml-1oz")</f>
        <v>https://prolisok-store.com/collections/makeup/products/sisley-botanical-eye-and-lip-contour-balm-30ml-1oz</v>
      </c>
      <c r="B2726" s="3" t="str">
        <f>HYPERLINK("https://prolisok-store.com/products/sisley-botanical-eye-and-lip-contour-balm-30ml-1oz", "https://prolisok-store.com/products/sisley-botanical-eye-and-lip-contour-balm-30ml-1oz")</f>
        <v>https://prolisok-store.com/products/sisley-botanical-eye-and-lip-contour-balm-30ml-1oz</v>
      </c>
      <c r="C2726" t="s">
        <v>6384</v>
      </c>
      <c r="D2726" t="s">
        <v>6052</v>
      </c>
      <c r="E2726" s="3" t="str">
        <f>HYPERLINK("https://www.amazon.com/Sisley-Botanical-Contour-Balm-1-Ounce/dp/B002AMUGMI/ref=sr_1_2?keywords=Sisley+botanical+eye+%26+lip+contour+balm+30ml%2F1oz&amp;qid=1695259536&amp;sr=8-2", "https://www.amazon.com/Sisley-Botanical-Contour-Balm-1-Ounce/dp/B002AMUGMI/ref=sr_1_2?keywords=Sisley+botanical+eye+%26+lip+contour+balm+30ml%2F1oz&amp;qid=1695259536&amp;sr=8-2")</f>
        <v>https://www.amazon.com/Sisley-Botanical-Contour-Balm-1-Ounce/dp/B002AMUGMI/ref=sr_1_2?keywords=Sisley+botanical+eye+%26+lip+contour+balm+30ml%2F1oz&amp;qid=1695259536&amp;sr=8-2</v>
      </c>
      <c r="F2726" t="s">
        <v>6053</v>
      </c>
      <c r="G2726" t="e">
        <f ca="1">IMAGE("https://prolisok-store.com/cdn/shop/products/131306_300x.jpg?v=1690900858")</f>
        <v>#NAME?</v>
      </c>
      <c r="H2726" t="e">
        <f ca="1">IMAGE("https://m.media-amazon.com/images/I/61-13pdy7dL._AC_UL320_.jpg")</f>
        <v>#NAME?</v>
      </c>
      <c r="I2726" t="s">
        <v>6385</v>
      </c>
      <c r="J2726">
        <v>72.989999999999995</v>
      </c>
      <c r="K2726" s="2" t="s">
        <v>6734</v>
      </c>
      <c r="L2726">
        <v>4.3</v>
      </c>
      <c r="M2726">
        <v>144</v>
      </c>
      <c r="O2726" t="s">
        <v>26</v>
      </c>
      <c r="P2726" t="s">
        <v>39</v>
      </c>
      <c r="Q2726" t="s">
        <v>6387</v>
      </c>
    </row>
    <row r="2727" spans="1:17" ht="15.75" x14ac:dyDescent="0.25">
      <c r="A2727" s="3" t="str">
        <f>HYPERLINK("https://prolisok-store.com/collections/makeup/products/sisley-eye-contour-mask-30ml-1oz", "https://prolisok-store.com/collections/makeup/products/sisley-eye-contour-mask-30ml-1oz")</f>
        <v>https://prolisok-store.com/collections/makeup/products/sisley-eye-contour-mask-30ml-1oz</v>
      </c>
      <c r="B2727" s="3" t="str">
        <f>HYPERLINK("https://prolisok-store.com/products/sisley-eye-contour-mask-30ml-1oz", "https://prolisok-store.com/products/sisley-eye-contour-mask-30ml-1oz")</f>
        <v>https://prolisok-store.com/products/sisley-eye-contour-mask-30ml-1oz</v>
      </c>
      <c r="C2727" t="s">
        <v>6422</v>
      </c>
      <c r="D2727" t="s">
        <v>6735</v>
      </c>
      <c r="E2727" s="3" t="str">
        <f>HYPERLINK("https://www.amazon.com/Sisley-10093-Eye-Contour-Mask/dp/B00AHIQYXM/ref=sr_1_1?keywords=Sisley+eye+contour+mask+30ml%2F1oz&amp;qid=1695259531&amp;sr=8-1", "https://www.amazon.com/Sisley-10093-Eye-Contour-Mask/dp/B00AHIQYXM/ref=sr_1_1?keywords=Sisley+eye+contour+mask+30ml%2F1oz&amp;qid=1695259531&amp;sr=8-1")</f>
        <v>https://www.amazon.com/Sisley-10093-Eye-Contour-Mask/dp/B00AHIQYXM/ref=sr_1_1?keywords=Sisley+eye+contour+mask+30ml%2F1oz&amp;qid=1695259531&amp;sr=8-1</v>
      </c>
      <c r="F2727" t="s">
        <v>6736</v>
      </c>
      <c r="G2727" t="e">
        <f ca="1">IMAGE("https://prolisok-store.com/cdn/shop/products/157475_300x.jpg?v=1690900915")</f>
        <v>#NAME?</v>
      </c>
      <c r="H2727" t="e">
        <f ca="1">IMAGE("https://m.media-amazon.com/images/I/51CUXvcA2TL._AC_UL320_.jpg")</f>
        <v>#NAME?</v>
      </c>
      <c r="I2727" t="s">
        <v>6425</v>
      </c>
      <c r="J2727">
        <v>75</v>
      </c>
      <c r="K2727" s="2" t="s">
        <v>6737</v>
      </c>
      <c r="L2727">
        <v>4.7</v>
      </c>
      <c r="M2727">
        <v>22</v>
      </c>
      <c r="O2727" t="s">
        <v>26</v>
      </c>
      <c r="P2727" t="s">
        <v>39</v>
      </c>
      <c r="Q2727" t="s">
        <v>6427</v>
      </c>
    </row>
    <row r="2728" spans="1:17" ht="15.75" x14ac:dyDescent="0.25">
      <c r="A2728" s="3" t="str">
        <f>HYPERLINK("https://prolisok-store.com/collections/makeup/products/mac-love-me-lipstick-shamelessly-vain-3g-0-1oz", "https://prolisok-store.com/collections/makeup/products/mac-love-me-lipstick-shamelessly-vain-3g-0-1oz")</f>
        <v>https://prolisok-store.com/collections/makeup/products/mac-love-me-lipstick-shamelessly-vain-3g-0-1oz</v>
      </c>
      <c r="B2728" s="3" t="str">
        <f>HYPERLINK("https://prolisok-store.com/products/mac-love-me-lipstick-shamelessly-vain-3g-0-1oz", "https://prolisok-store.com/products/mac-love-me-lipstick-shamelessly-vain-3g-0-1oz")</f>
        <v>https://prolisok-store.com/products/mac-love-me-lipstick-shamelessly-vain-3g-0-1oz</v>
      </c>
      <c r="C2728" t="s">
        <v>6298</v>
      </c>
      <c r="D2728" t="s">
        <v>6719</v>
      </c>
      <c r="E2728" s="3" t="str">
        <f>HYPERLINK("https://www.amazon.com/MAC-Make-Up-Artist-Cosmetics-Lipstick/dp/B0BKR5RHM6/ref=sr_1_2?keywords=MAC+love+me+lipstick+-+shamelessly+vain+-3g%2F0.1oz&amp;qid=1695259548&amp;sr=8-2", "https://www.amazon.com/MAC-Make-Up-Artist-Cosmetics-Lipstick/dp/B0BKR5RHM6/ref=sr_1_2?keywords=MAC+love+me+lipstick+-+shamelessly+vain+-3g%2F0.1oz&amp;qid=1695259548&amp;sr=8-2")</f>
        <v>https://www.amazon.com/MAC-Make-Up-Artist-Cosmetics-Lipstick/dp/B0BKR5RHM6/ref=sr_1_2?keywords=MAC+love+me+lipstick+-+shamelessly+vain+-3g%2F0.1oz&amp;qid=1695259548&amp;sr=8-2</v>
      </c>
      <c r="F2728" t="s">
        <v>6720</v>
      </c>
      <c r="G2728" t="e">
        <f ca="1">IMAGE("https://prolisok-store.com/cdn/shop/products/359432_300x.jpg?v=1690393887")</f>
        <v>#NAME?</v>
      </c>
      <c r="H2728" t="e">
        <f ca="1">IMAGE("https://m.media-amazon.com/images/I/41E2432Mx-L._AC_UL320_.jpg")</f>
        <v>#NAME?</v>
      </c>
      <c r="I2728" t="s">
        <v>6049</v>
      </c>
      <c r="J2728">
        <v>11.99</v>
      </c>
      <c r="K2728" s="2" t="s">
        <v>6738</v>
      </c>
      <c r="L2728">
        <v>5</v>
      </c>
      <c r="M2728">
        <v>1</v>
      </c>
      <c r="O2728" t="s">
        <v>26</v>
      </c>
      <c r="P2728" t="s">
        <v>39</v>
      </c>
      <c r="Q2728" t="s">
        <v>6300</v>
      </c>
    </row>
    <row r="2729" spans="1:17" ht="15.75" x14ac:dyDescent="0.25">
      <c r="A2729" s="3" t="str">
        <f>HYPERLINK("https://prolisok-store.com/collections/makeup/products/estee-lauder-pure-color-envy-matte-sculpting-lipstick-559-demand-3-5g-0-12oz", "https://prolisok-store.com/collections/makeup/products/estee-lauder-pure-color-envy-matte-sculpting-lipstick-559-demand-3-5g-0-12oz")</f>
        <v>https://prolisok-store.com/collections/makeup/products/estee-lauder-pure-color-envy-matte-sculpting-lipstick-559-demand-3-5g-0-12oz</v>
      </c>
      <c r="B2729" s="3" t="str">
        <f>HYPERLINK("https://prolisok-store.com/products/estee-lauder-pure-color-envy-matte-sculpting-lipstick-559-demand-3-5g-0-12oz", "https://prolisok-store.com/products/estee-lauder-pure-color-envy-matte-sculpting-lipstick-559-demand-3-5g-0-12oz")</f>
        <v>https://prolisok-store.com/products/estee-lauder-pure-color-envy-matte-sculpting-lipstick-559-demand-3-5g-0-12oz</v>
      </c>
      <c r="C2729" t="s">
        <v>6675</v>
      </c>
      <c r="D2729" t="s">
        <v>4931</v>
      </c>
      <c r="E2729" s="3" t="str">
        <f>HYPERLINK("https://www.amazon.com/Estee-Lauder-Color-Sculpting-Lipstick/dp/B00JG7Y5T0/ref=sr_1_5?keywords=Estee+Lauder+pure+color+envy+matte+sculpting+lipstick+-&amp;qid=1695259530&amp;sr=8-5", "https://www.amazon.com/Estee-Lauder-Color-Sculpting-Lipstick/dp/B00JG7Y5T0/ref=sr_1_5?keywords=Estee+Lauder+pure+color+envy+matte+sculpting+lipstick+-&amp;qid=1695259530&amp;sr=8-5")</f>
        <v>https://www.amazon.com/Estee-Lauder-Color-Sculpting-Lipstick/dp/B00JG7Y5T0/ref=sr_1_5?keywords=Estee+Lauder+pure+color+envy+matte+sculpting+lipstick+-&amp;qid=1695259530&amp;sr=8-5</v>
      </c>
      <c r="F2729" t="s">
        <v>4932</v>
      </c>
      <c r="G2729" t="e">
        <f ca="1">IMAGE("https://prolisok-store.com/cdn/shop/products/396330_300x.jpg?v=1690900228")</f>
        <v>#NAME?</v>
      </c>
      <c r="H2729" t="e">
        <f ca="1">IMAGE("https://m.media-amazon.com/images/I/61I8ZcnxxaL._AC_UL320_.jpg")</f>
        <v>#NAME?</v>
      </c>
      <c r="I2729" t="s">
        <v>6678</v>
      </c>
      <c r="J2729">
        <v>17.920000000000002</v>
      </c>
      <c r="K2729" s="2" t="s">
        <v>6739</v>
      </c>
      <c r="L2729">
        <v>4.4000000000000004</v>
      </c>
      <c r="M2729">
        <v>3037</v>
      </c>
      <c r="O2729" t="s">
        <v>26</v>
      </c>
      <c r="P2729" t="s">
        <v>39</v>
      </c>
      <c r="Q2729" t="s">
        <v>6680</v>
      </c>
    </row>
    <row r="2730" spans="1:17" ht="15.75" x14ac:dyDescent="0.25">
      <c r="A2730" s="3" t="str">
        <f>HYPERLINK("https://prolisok-store.com/collections/makeup/products/clinique-by-clinique-take-the-day-off-make-up-remover-125ml-4-2oz", "https://prolisok-store.com/collections/makeup/products/clinique-by-clinique-take-the-day-off-make-up-remover-125ml-4-2oz")</f>
        <v>https://prolisok-store.com/collections/makeup/products/clinique-by-clinique-take-the-day-off-make-up-remover-125ml-4-2oz</v>
      </c>
      <c r="B2730" s="3" t="str">
        <f>HYPERLINK("https://prolisok-store.com/products/clinique-by-clinique-take-the-day-off-make-up-remover-125ml-4-2oz", "https://prolisok-store.com/products/clinique-by-clinique-take-the-day-off-make-up-remover-125ml-4-2oz")</f>
        <v>https://prolisok-store.com/products/clinique-by-clinique-take-the-day-off-make-up-remover-125ml-4-2oz</v>
      </c>
      <c r="C2730" t="s">
        <v>5997</v>
      </c>
      <c r="D2730" t="s">
        <v>6740</v>
      </c>
      <c r="E2730" s="3" t="str">
        <f>HYPERLINK("https://www.amazon.com/Clinique-Take-Makeup-Remover-Lashes/dp/B0037ONFIK/ref=sr_1_6?keywords=Clinique+take+the+day+off+make+up+remover+--125ml%2F4.2oz&amp;qid=1695259552&amp;sr=8-6", "https://www.amazon.com/Clinique-Take-Makeup-Remover-Lashes/dp/B0037ONFIK/ref=sr_1_6?keywords=Clinique+take+the+day+off+make+up+remover+--125ml%2F4.2oz&amp;qid=1695259552&amp;sr=8-6")</f>
        <v>https://www.amazon.com/Clinique-Take-Makeup-Remover-Lashes/dp/B0037ONFIK/ref=sr_1_6?keywords=Clinique+take+the+day+off+make+up+remover+--125ml%2F4.2oz&amp;qid=1695259552&amp;sr=8-6</v>
      </c>
      <c r="F2730" t="s">
        <v>6741</v>
      </c>
      <c r="G2730" t="e">
        <f ca="1">IMAGE("https://prolisok-store.com/cdn/shop/products/129645_300x.jpg?v=1688060465")</f>
        <v>#NAME?</v>
      </c>
      <c r="H2730" t="e">
        <f ca="1">IMAGE("https://m.media-amazon.com/images/I/51yU44s5w7L._AC_UL320_.jpg")</f>
        <v>#NAME?</v>
      </c>
      <c r="I2730" t="s">
        <v>6000</v>
      </c>
      <c r="J2730">
        <v>9.99</v>
      </c>
      <c r="K2730" s="2" t="s">
        <v>6742</v>
      </c>
      <c r="L2730">
        <v>4.5999999999999996</v>
      </c>
      <c r="M2730">
        <v>59</v>
      </c>
      <c r="O2730" t="s">
        <v>26</v>
      </c>
      <c r="P2730" t="s">
        <v>39</v>
      </c>
      <c r="Q2730" t="s">
        <v>6002</v>
      </c>
    </row>
    <row r="2731" spans="1:17" ht="15.75" x14ac:dyDescent="0.25">
      <c r="A2731" s="3" t="str">
        <f>HYPERLINK("https://prolisok-store.com/collections/makeup/products/mac-eye-kohl-powersurge-1-36g-0-048oz", "https://prolisok-store.com/collections/makeup/products/mac-eye-kohl-powersurge-1-36g-0-048oz")</f>
        <v>https://prolisok-store.com/collections/makeup/products/mac-eye-kohl-powersurge-1-36g-0-048oz</v>
      </c>
      <c r="B2731" s="3" t="str">
        <f>HYPERLINK("https://prolisok-store.com/products/mac-eye-kohl-powersurge-1-36g-0-048oz", "https://prolisok-store.com/products/mac-eye-kohl-powersurge-1-36g-0-048oz")</f>
        <v>https://prolisok-store.com/products/mac-eye-kohl-powersurge-1-36g-0-048oz</v>
      </c>
      <c r="C2731" t="s">
        <v>6041</v>
      </c>
      <c r="D2731" t="s">
        <v>6743</v>
      </c>
      <c r="E2731" s="3" t="str">
        <f>HYPERLINK("https://www.amazon.com/MAC-Eye-Kohl-Fascinating-0-048oz/dp/B00D0NOCQ2/ref=sr_1_4?keywords=MAC+eye+kohl+-+powersurge+-1.36g%2F0.048oz&amp;qid=1695259547&amp;sr=8-4", "https://www.amazon.com/MAC-Eye-Kohl-Fascinating-0-048oz/dp/B00D0NOCQ2/ref=sr_1_4?keywords=MAC+eye+kohl+-+powersurge+-1.36g%2F0.048oz&amp;qid=1695259547&amp;sr=8-4")</f>
        <v>https://www.amazon.com/MAC-Eye-Kohl-Fascinating-0-048oz/dp/B00D0NOCQ2/ref=sr_1_4?keywords=MAC+eye+kohl+-+powersurge+-1.36g%2F0.048oz&amp;qid=1695259547&amp;sr=8-4</v>
      </c>
      <c r="F2731" t="s">
        <v>6744</v>
      </c>
      <c r="G2731" t="e">
        <f ca="1">IMAGE("https://prolisok-store.com/cdn/shop/products/393857_300x.jpg?v=1690393931")</f>
        <v>#NAME?</v>
      </c>
      <c r="H2731" t="e">
        <f ca="1">IMAGE("https://m.media-amazon.com/images/I/21gGD7ogvWL._AC_UL320_.jpg")</f>
        <v>#NAME?</v>
      </c>
      <c r="I2731" t="s">
        <v>5348</v>
      </c>
      <c r="J2731">
        <v>8.99</v>
      </c>
      <c r="K2731" s="2" t="s">
        <v>6745</v>
      </c>
      <c r="L2731">
        <v>4.4000000000000004</v>
      </c>
      <c r="M2731">
        <v>34</v>
      </c>
      <c r="O2731" t="s">
        <v>26</v>
      </c>
      <c r="P2731" t="s">
        <v>39</v>
      </c>
      <c r="Q2731" t="s">
        <v>6045</v>
      </c>
    </row>
    <row r="2732" spans="1:17" ht="15.75" x14ac:dyDescent="0.25">
      <c r="A2732" s="3" t="str">
        <f>HYPERLINK("https://prolisok-store.com/collections/makeup/products/estee-lauder-double-wear-pump", "https://prolisok-store.com/collections/makeup/products/estee-lauder-double-wear-pump")</f>
        <v>https://prolisok-store.com/collections/makeup/products/estee-lauder-double-wear-pump</v>
      </c>
      <c r="B2732" s="3" t="str">
        <f>HYPERLINK("https://prolisok-store.com/products/estee-lauder-double-wear-pump", "https://prolisok-store.com/products/estee-lauder-double-wear-pump")</f>
        <v>https://prolisok-store.com/products/estee-lauder-double-wear-pump</v>
      </c>
      <c r="C2732" t="s">
        <v>6559</v>
      </c>
      <c r="D2732" t="s">
        <v>6746</v>
      </c>
      <c r="E2732" s="3" t="str">
        <f>HYPERLINK("https://www.amazon.com/Chris-W-2Pack-Foundation-Lauder-Double/dp/B07BSS5LTW/ref=sr_1_5?keywords=Estee+Lauder+double+wear+pump&amp;qid=1695259530&amp;sr=8-5", "https://www.amazon.com/Chris-W-2Pack-Foundation-Lauder-Double/dp/B07BSS5LTW/ref=sr_1_5?keywords=Estee+Lauder+double+wear+pump&amp;qid=1695259530&amp;sr=8-5")</f>
        <v>https://www.amazon.com/Chris-W-2Pack-Foundation-Lauder-Double/dp/B07BSS5LTW/ref=sr_1_5?keywords=Estee+Lauder+double+wear+pump&amp;qid=1695259530&amp;sr=8-5</v>
      </c>
      <c r="F2732" t="s">
        <v>6747</v>
      </c>
      <c r="G2732" t="e">
        <f ca="1">IMAGE("https://prolisok-store.com/cdn/shop/products/328572_300x.jpg?v=1690900179")</f>
        <v>#NAME?</v>
      </c>
      <c r="H2732" t="e">
        <f ca="1">IMAGE("https://m.media-amazon.com/images/I/51HMqtAF-gL._AC_UL320_.jpg")</f>
        <v>#NAME?</v>
      </c>
      <c r="I2732" t="s">
        <v>6562</v>
      </c>
      <c r="J2732">
        <v>3.69</v>
      </c>
      <c r="K2732" s="2" t="s">
        <v>6748</v>
      </c>
      <c r="L2732">
        <v>4.7</v>
      </c>
      <c r="M2732">
        <v>2423</v>
      </c>
      <c r="O2732" t="s">
        <v>26</v>
      </c>
      <c r="P2732" t="s">
        <v>39</v>
      </c>
      <c r="Q2732" t="s">
        <v>6564</v>
      </c>
    </row>
    <row r="2733" spans="1:17" ht="15.75" x14ac:dyDescent="0.25">
      <c r="A2733" s="3" t="str">
        <f>HYPERLINK("https://prolisok-store.com/collections/makeup/products/estee-lauder-sumptuous-extreme-waterproof-lash-multiplying-volume-mascara-01-extreme-black-8ml-0-27oz", "https://prolisok-store.com/collections/makeup/products/estee-lauder-sumptuous-extreme-waterproof-lash-multiplying-volume-mascara-01-extreme-black-8ml-0-27oz")</f>
        <v>https://prolisok-store.com/collections/makeup/products/estee-lauder-sumptuous-extreme-waterproof-lash-multiplying-volume-mascara-01-extreme-black-8ml-0-27oz</v>
      </c>
      <c r="B2733" s="3" t="str">
        <f>HYPERLINK("https://prolisok-store.com/products/estee-lauder-sumptuous-extreme-waterproof-lash-multiplying-volume-mascara-01-extreme-black-8ml-0-27oz", "https://prolisok-store.com/products/estee-lauder-sumptuous-extreme-waterproof-lash-multiplying-volume-mascara-01-extreme-black-8ml-0-27oz")</f>
        <v>https://prolisok-store.com/products/estee-lauder-sumptuous-extreme-waterproof-lash-multiplying-volume-mascara-01-extreme-black-8ml-0-27oz</v>
      </c>
      <c r="C2733" t="s">
        <v>6548</v>
      </c>
      <c r="D2733" t="s">
        <v>6749</v>
      </c>
      <c r="E2733" s="3" t="str">
        <f>HYPERLINK("https://www.amazon.com/Lauder-Sumptuous-Extreme-Multiplying-Mascara/dp/B008QRBQES/ref=sr_1_4?keywords=Estee+Lauder+sumptuous+extreme+waterproof+lash+multiplying+volume+mascara+-&amp;qid=1695259529&amp;sr=8-4", "https://www.amazon.com/Lauder-Sumptuous-Extreme-Multiplying-Mascara/dp/B008QRBQES/ref=sr_1_4?keywords=Estee+Lauder+sumptuous+extreme+waterproof+lash+multiplying+volume+mascara+-&amp;qid=1695259529&amp;sr=8-4")</f>
        <v>https://www.amazon.com/Lauder-Sumptuous-Extreme-Multiplying-Mascara/dp/B008QRBQES/ref=sr_1_4?keywords=Estee+Lauder+sumptuous+extreme+waterproof+lash+multiplying+volume+mascara+-&amp;qid=1695259529&amp;sr=8-4</v>
      </c>
      <c r="F2733" t="s">
        <v>6750</v>
      </c>
      <c r="G2733" t="e">
        <f ca="1">IMAGE("https://prolisok-store.com/cdn/shop/products/245536_300x.jpg?v=1690900203")</f>
        <v>#NAME?</v>
      </c>
      <c r="H2733" t="e">
        <f ca="1">IMAGE("https://m.media-amazon.com/images/I/01Lx5qf+O3L._AC_UL320_.jpg")</f>
        <v>#NAME?</v>
      </c>
      <c r="I2733" t="s">
        <v>6020</v>
      </c>
      <c r="J2733">
        <v>7.65</v>
      </c>
      <c r="K2733" s="2" t="s">
        <v>6751</v>
      </c>
      <c r="L2733">
        <v>4.3</v>
      </c>
      <c r="M2733">
        <v>52</v>
      </c>
      <c r="O2733" t="s">
        <v>26</v>
      </c>
      <c r="P2733" t="s">
        <v>39</v>
      </c>
      <c r="Q2733" t="s">
        <v>6552</v>
      </c>
    </row>
    <row r="2734" spans="1:17" ht="15.75" x14ac:dyDescent="0.25">
      <c r="A2734" s="3" t="str">
        <f>HYPERLINK("https://prolisok-store.com/collections/makeup/products/estee-lauder-bronze-goddess-powder-bronzer-02-medium-21g-0-74oz", "https://prolisok-store.com/collections/makeup/products/estee-lauder-bronze-goddess-powder-bronzer-02-medium-21g-0-74oz")</f>
        <v>https://prolisok-store.com/collections/makeup/products/estee-lauder-bronze-goddess-powder-bronzer-02-medium-21g-0-74oz</v>
      </c>
      <c r="B2734" s="3" t="str">
        <f>HYPERLINK("https://prolisok-store.com/products/estee-lauder-bronze-goddess-powder-bronzer-02-medium-21g-0-74oz", "https://prolisok-store.com/products/estee-lauder-bronze-goddess-powder-bronzer-02-medium-21g-0-74oz")</f>
        <v>https://prolisok-store.com/products/estee-lauder-bronze-goddess-powder-bronzer-02-medium-21g-0-74oz</v>
      </c>
      <c r="C2734" t="s">
        <v>6506</v>
      </c>
      <c r="D2734" t="s">
        <v>6752</v>
      </c>
      <c r="E2734" s="3" t="str">
        <f>HYPERLINK("https://www.amazon.com/Estee-Lauder-Bronze-Goddess-Bronzer/dp/B07L391SB9/ref=sr_1_4?keywords=Estee+Lauder+bronze+goddess+powder+bronzer+-&amp;qid=1695259521&amp;sr=8-4", "https://www.amazon.com/Estee-Lauder-Bronze-Goddess-Bronzer/dp/B07L391SB9/ref=sr_1_4?keywords=Estee+Lauder+bronze+goddess+powder+bronzer+-&amp;qid=1695259521&amp;sr=8-4")</f>
        <v>https://www.amazon.com/Estee-Lauder-Bronze-Goddess-Bronzer/dp/B07L391SB9/ref=sr_1_4?keywords=Estee+Lauder+bronze+goddess+powder+bronzer+-&amp;qid=1695259521&amp;sr=8-4</v>
      </c>
      <c r="F2734" t="s">
        <v>6753</v>
      </c>
      <c r="G2734" t="e">
        <f ca="1">IMAGE("https://prolisok-store.com/cdn/shop/products/243012_300x.jpg?v=1690900207")</f>
        <v>#NAME?</v>
      </c>
      <c r="H2734" t="e">
        <f ca="1">IMAGE("https://m.media-amazon.com/images/I/21XDKpYtR8L._AC_UL320_.jpg")</f>
        <v>#NAME?</v>
      </c>
      <c r="I2734" t="s">
        <v>6509</v>
      </c>
      <c r="J2734">
        <v>9.9</v>
      </c>
      <c r="K2734" s="2" t="s">
        <v>3779</v>
      </c>
      <c r="L2734">
        <v>4</v>
      </c>
      <c r="M2734">
        <v>19</v>
      </c>
      <c r="O2734" t="s">
        <v>26</v>
      </c>
      <c r="P2734" t="s">
        <v>39</v>
      </c>
      <c r="Q2734" t="s">
        <v>6511</v>
      </c>
    </row>
    <row r="2735" spans="1:17" ht="15.75" x14ac:dyDescent="0.25">
      <c r="A2735" s="3" t="str">
        <f>HYPERLINK("https://prolisok-store.com/collections/skin-care/products/sisley-white-ginger-contouring-oil-for-legs-sample-8ml-0-27oz", "https://prolisok-store.com/collections/skin-care/products/sisley-white-ginger-contouring-oil-for-legs-sample-8ml-0-27oz")</f>
        <v>https://prolisok-store.com/collections/skin-care/products/sisley-white-ginger-contouring-oil-for-legs-sample-8ml-0-27oz</v>
      </c>
      <c r="B2735" s="3" t="str">
        <f>HYPERLINK("https://prolisok-store.com/products/sisley-white-ginger-contouring-oil-for-legs-sample-8ml-0-27oz", "https://prolisok-store.com/products/sisley-white-ginger-contouring-oil-for-legs-sample-8ml-0-27oz")</f>
        <v>https://prolisok-store.com/products/sisley-white-ginger-contouring-oil-for-legs-sample-8ml-0-27oz</v>
      </c>
      <c r="C2735" t="s">
        <v>6754</v>
      </c>
      <c r="D2735" t="s">
        <v>6755</v>
      </c>
      <c r="E2735" s="3" t="str">
        <f>HYPERLINK("https://www.amazon.com/Sisley-white-ginger-contouring-Ounce/dp/B06WRPJ3NH/ref=sr_1_1?keywords=Sisley+white+ginger+contouring+oil+for+legs+sample+8ml%2F0.27oz&amp;qid=1695259685&amp;sr=8-1", "https://www.amazon.com/Sisley-white-ginger-contouring-Ounce/dp/B06WRPJ3NH/ref=sr_1_1?keywords=Sisley+white+ginger+contouring+oil+for+legs+sample+8ml%2F0.27oz&amp;qid=1695259685&amp;sr=8-1")</f>
        <v>https://www.amazon.com/Sisley-white-ginger-contouring-Ounce/dp/B06WRPJ3NH/ref=sr_1_1?keywords=Sisley+white+ginger+contouring+oil+for+legs+sample+8ml%2F0.27oz&amp;qid=1695259685&amp;sr=8-1</v>
      </c>
      <c r="F2735" t="s">
        <v>6756</v>
      </c>
      <c r="G2735" t="e">
        <f ca="1">IMAGE("https://prolisok-store.com/cdn/shop/products/428854_300x.jpg?v=1690900634")</f>
        <v>#NAME?</v>
      </c>
      <c r="H2735" t="e">
        <f ca="1">IMAGE("https://m.media-amazon.com/images/I/41EYAofQ8zL._AC_UL320_.jpg")</f>
        <v>#NAME?</v>
      </c>
      <c r="I2735" t="s">
        <v>6757</v>
      </c>
      <c r="J2735">
        <v>198.9</v>
      </c>
      <c r="K2735" s="2" t="s">
        <v>6758</v>
      </c>
      <c r="L2735">
        <v>4.3</v>
      </c>
      <c r="M2735">
        <v>26</v>
      </c>
      <c r="O2735" t="s">
        <v>26</v>
      </c>
      <c r="P2735" t="s">
        <v>39</v>
      </c>
      <c r="Q2735" t="s">
        <v>6759</v>
      </c>
    </row>
    <row r="2736" spans="1:17" ht="15.75" x14ac:dyDescent="0.25">
      <c r="A2736" s="3" t="str">
        <f>HYPERLINK("https://prolisok-store.com/collections/skin-care/products/obagi-professional-c-serum-10-vitamin-c-facial-serum-with-concentrated-10-l-ascorbic-acid-for-normal-to-oily-skin-1-0-fl-oz", "https://prolisok-store.com/collections/skin-care/products/obagi-professional-c-serum-10-vitamin-c-facial-serum-with-concentrated-10-l-ascorbic-acid-for-normal-to-oily-skin-1-0-fl-oz")</f>
        <v>https://prolisok-store.com/collections/skin-care/products/obagi-professional-c-serum-10-vitamin-c-facial-serum-with-concentrated-10-l-ascorbic-acid-for-normal-to-oily-skin-1-0-fl-oz</v>
      </c>
      <c r="B2736" s="3" t="str">
        <f>HYPERLINK("https://prolisok-store.com/products/obagi-professional-c-serum-10-vitamin-c-facial-serum-with-concentrated-10-l-ascorbic-acid-for-normal-to-oily-skin-1-0-fl-oz", "https://prolisok-store.com/products/obagi-professional-c-serum-10-vitamin-c-facial-serum-with-concentrated-10-l-ascorbic-acid-for-normal-to-oily-skin-1-0-fl-oz")</f>
        <v>https://prolisok-store.com/products/obagi-professional-c-serum-10-vitamin-c-facial-serum-with-concentrated-10-l-ascorbic-acid-for-normal-to-oily-skin-1-0-fl-oz</v>
      </c>
      <c r="C2736" t="s">
        <v>4343</v>
      </c>
      <c r="D2736" t="s">
        <v>4344</v>
      </c>
      <c r="E2736" s="3"/>
      <c r="F2736" t="s">
        <v>4345</v>
      </c>
      <c r="G2736" t="e">
        <f ca="1">IMAGE("https://prolisok-store.com/cdn/shop/files/51jz8tQragS._SL1500_300x.jpg?v=1682417093")</f>
        <v>#NAME?</v>
      </c>
      <c r="H2736" t="e">
        <f ca="1">IMAGE("https://m.media-amazon.com/images/I/71izUUhUshL._AC_UL320_.jpg")</f>
        <v>#NAME?</v>
      </c>
      <c r="I2736" t="s">
        <v>4346</v>
      </c>
      <c r="J2736">
        <v>241.4</v>
      </c>
      <c r="K2736" s="2" t="s">
        <v>4347</v>
      </c>
      <c r="L2736">
        <v>3.7</v>
      </c>
      <c r="M2736">
        <v>29</v>
      </c>
      <c r="O2736" t="s">
        <v>26</v>
      </c>
      <c r="P2736" t="s">
        <v>39</v>
      </c>
      <c r="Q2736" t="s">
        <v>4348</v>
      </c>
    </row>
    <row r="2737" spans="1:17" ht="15.75" x14ac:dyDescent="0.25">
      <c r="A2737" s="3" t="str">
        <f>HYPERLINK("https://prolisok-store.com/collections/skin-care/products/obagi-professional-c-serum-20-vitamin-c-facial-serum-with-concentrated-20-l-ascorbic-acid-for-normal-to-oily-skin-1-0-fl-oz", "https://prolisok-store.com/collections/skin-care/products/obagi-professional-c-serum-20-vitamin-c-facial-serum-with-concentrated-20-l-ascorbic-acid-for-normal-to-oily-skin-1-0-fl-oz")</f>
        <v>https://prolisok-store.com/collections/skin-care/products/obagi-professional-c-serum-20-vitamin-c-facial-serum-with-concentrated-20-l-ascorbic-acid-for-normal-to-oily-skin-1-0-fl-oz</v>
      </c>
      <c r="B2737" s="3" t="str">
        <f>HYPERLINK("https://prolisok-store.com/products/obagi-professional-c-serum-20-vitamin-c-facial-serum-with-concentrated-20-l-ascorbic-acid-for-normal-to-oily-skin-1-0-fl-oz", "https://prolisok-store.com/products/obagi-professional-c-serum-20-vitamin-c-facial-serum-with-concentrated-20-l-ascorbic-acid-for-normal-to-oily-skin-1-0-fl-oz")</f>
        <v>https://prolisok-store.com/products/obagi-professional-c-serum-20-vitamin-c-facial-serum-with-concentrated-20-l-ascorbic-acid-for-normal-to-oily-skin-1-0-fl-oz</v>
      </c>
      <c r="C2737" t="s">
        <v>4354</v>
      </c>
      <c r="D2737" t="s">
        <v>4344</v>
      </c>
      <c r="E2737" s="3"/>
      <c r="F2737" t="s">
        <v>4345</v>
      </c>
      <c r="G2737" t="e">
        <f ca="1">IMAGE("https://prolisok-store.com/cdn/shop/files/71nOSCHqa9L._SL1500_300x.jpg?v=1682416466")</f>
        <v>#NAME?</v>
      </c>
      <c r="H2737" t="e">
        <f ca="1">IMAGE("https://m.media-amazon.com/images/I/71izUUhUshL._AC_UL320_.jpg")</f>
        <v>#NAME?</v>
      </c>
      <c r="I2737" t="s">
        <v>4355</v>
      </c>
      <c r="J2737">
        <v>241.4</v>
      </c>
      <c r="K2737" s="2" t="s">
        <v>4356</v>
      </c>
      <c r="L2737">
        <v>3.7</v>
      </c>
      <c r="M2737">
        <v>29</v>
      </c>
      <c r="O2737" t="s">
        <v>26</v>
      </c>
      <c r="P2737" t="s">
        <v>39</v>
      </c>
      <c r="Q2737" t="s">
        <v>4357</v>
      </c>
    </row>
    <row r="2738" spans="1:17" ht="15.75" x14ac:dyDescent="0.25">
      <c r="A2738" s="3" t="str">
        <f>HYPERLINK("https://prolisok-store.com/collections/skin-care/products/elixir-superieur-enrich-wrinkle-cream-l-22g", "https://prolisok-store.com/collections/skin-care/products/elixir-superieur-enrich-wrinkle-cream-l-22g")</f>
        <v>https://prolisok-store.com/collections/skin-care/products/elixir-superieur-enrich-wrinkle-cream-l-22g</v>
      </c>
      <c r="B2738" s="3" t="str">
        <f>HYPERLINK("https://prolisok-store.com/products/elixir-superieur-enrich-wrinkle-cream-l-22g", "https://prolisok-store.com/products/elixir-superieur-enrich-wrinkle-cream-l-22g")</f>
        <v>https://prolisok-store.com/products/elixir-superieur-enrich-wrinkle-cream-l-22g</v>
      </c>
      <c r="C2738" t="s">
        <v>4374</v>
      </c>
      <c r="D2738" t="s">
        <v>4375</v>
      </c>
      <c r="E2738" s="3" t="str">
        <f>HYPERLINK("https://www.amazon.com/Japan-Health-Beauty-Shiseido-Superieur/dp/B016VYIAYQ/ref=sr_1_2?keywords=ELIXIR+SUPERIEUR+Enriched+Wrinkle+Cream+L+22g&amp;qid=1695259670&amp;sr=8-2", "https://www.amazon.com/Japan-Health-Beauty-Shiseido-Superieur/dp/B016VYIAYQ/ref=sr_1_2?keywords=ELIXIR+SUPERIEUR+Enriched+Wrinkle+Cream+L+22g&amp;qid=1695259670&amp;sr=8-2")</f>
        <v>https://www.amazon.com/Japan-Health-Beauty-Shiseido-Superieur/dp/B016VYIAYQ/ref=sr_1_2?keywords=ELIXIR+SUPERIEUR+Enriched+Wrinkle+Cream+L+22g&amp;qid=1695259670&amp;sr=8-2</v>
      </c>
      <c r="F2738" t="s">
        <v>4376</v>
      </c>
      <c r="G2738" t="e">
        <f ca="1">IMAGE("https://prolisok-store.com/cdn/shop/files/61mKag_0VYL._SL1500_300x.jpg?v=1692865233")</f>
        <v>#NAME?</v>
      </c>
      <c r="H2738" t="e">
        <f ca="1">IMAGE("https://m.media-amazon.com/images/I/71b6HQpuekL._AC_UL320_.jpg")</f>
        <v>#NAME?</v>
      </c>
      <c r="I2738" t="s">
        <v>3476</v>
      </c>
      <c r="J2738">
        <v>154.99</v>
      </c>
      <c r="K2738" s="2" t="s">
        <v>4377</v>
      </c>
      <c r="L2738">
        <v>4.2</v>
      </c>
      <c r="M2738">
        <v>46</v>
      </c>
      <c r="O2738" t="s">
        <v>26</v>
      </c>
      <c r="P2738" t="s">
        <v>39</v>
      </c>
      <c r="Q2738" t="s">
        <v>4378</v>
      </c>
    </row>
    <row r="2739" spans="1:17" ht="15.75" x14ac:dyDescent="0.25">
      <c r="A2739" s="3" t="str">
        <f>HYPERLINK("https://prolisok-store.com/collections/skin-care/products/obagi-professional-c-serum-20-vitamin-c-facial-serum-with-concentrated-20-l-ascorbic-acid-for-normal-to-oily-skin-1-0-fl-oz", "https://prolisok-store.com/collections/skin-care/products/obagi-professional-c-serum-20-vitamin-c-facial-serum-with-concentrated-20-l-ascorbic-acid-for-normal-to-oily-skin-1-0-fl-oz")</f>
        <v>https://prolisok-store.com/collections/skin-care/products/obagi-professional-c-serum-20-vitamin-c-facial-serum-with-concentrated-20-l-ascorbic-acid-for-normal-to-oily-skin-1-0-fl-oz</v>
      </c>
      <c r="B2739" s="3" t="str">
        <f>HYPERLINK("https://prolisok-store.com/products/obagi-professional-c-serum-20-vitamin-c-facial-serum-with-concentrated-20-l-ascorbic-acid-for-normal-to-oily-skin-1-0-fl-oz", "https://prolisok-store.com/products/obagi-professional-c-serum-20-vitamin-c-facial-serum-with-concentrated-20-l-ascorbic-acid-for-normal-to-oily-skin-1-0-fl-oz")</f>
        <v>https://prolisok-store.com/products/obagi-professional-c-serum-20-vitamin-c-facial-serum-with-concentrated-20-l-ascorbic-acid-for-normal-to-oily-skin-1-0-fl-oz</v>
      </c>
      <c r="C2739" t="s">
        <v>4354</v>
      </c>
      <c r="D2739" t="s">
        <v>4379</v>
      </c>
      <c r="E2739" s="3"/>
      <c r="F2739" t="s">
        <v>4380</v>
      </c>
      <c r="G2739" t="e">
        <f ca="1">IMAGE("https://prolisok-store.com/cdn/shop/files/71nOSCHqa9L._SL1500_300x.jpg?v=1682416466")</f>
        <v>#NAME?</v>
      </c>
      <c r="H2739" t="e">
        <f ca="1">IMAGE("https://m.media-amazon.com/images/I/41nB-hlYvGL._AC_UL320_.jpg")</f>
        <v>#NAME?</v>
      </c>
      <c r="I2739" t="s">
        <v>4355</v>
      </c>
      <c r="J2739">
        <v>230</v>
      </c>
      <c r="K2739" s="2" t="s">
        <v>4381</v>
      </c>
      <c r="L2739">
        <v>4.5999999999999996</v>
      </c>
      <c r="M2739">
        <v>601</v>
      </c>
      <c r="O2739" t="s">
        <v>26</v>
      </c>
      <c r="P2739" t="s">
        <v>39</v>
      </c>
      <c r="Q2739" t="s">
        <v>4357</v>
      </c>
    </row>
    <row r="2740" spans="1:17" ht="15.75" x14ac:dyDescent="0.25">
      <c r="A2740" s="3" t="str">
        <f>HYPERLINK("https://prolisok-store.com/collections/skin-care/products/drunk-elephant-lala-retro-whipped-cream-50-milliliters", "https://prolisok-store.com/collections/skin-care/products/drunk-elephant-lala-retro-whipped-cream-50-milliliters")</f>
        <v>https://prolisok-store.com/collections/skin-care/products/drunk-elephant-lala-retro-whipped-cream-50-milliliters</v>
      </c>
      <c r="B2740" s="3" t="str">
        <f>HYPERLINK("https://prolisok-store.com/products/drunk-elephant-lala-retro-whipped-cream-50-milliliters", "https://prolisok-store.com/products/drunk-elephant-lala-retro-whipped-cream-50-milliliters")</f>
        <v>https://prolisok-store.com/products/drunk-elephant-lala-retro-whipped-cream-50-milliliters</v>
      </c>
      <c r="C2740" t="s">
        <v>4388</v>
      </c>
      <c r="D2740" t="s">
        <v>4389</v>
      </c>
      <c r="E2740" s="3" t="str">
        <f>HYPERLINK("https://www.amazon.com/Drunk-Elephant-Renewal-Babyfacial-Moisturizer/dp/B07CH6Y844/ref=sr_1_3?keywords=Drunk+Elephant+Lala+Retro+Whipped+Cream+50+Milliliters&amp;qid=1695259593&amp;sr=8-3", "https://www.amazon.com/Drunk-Elephant-Renewal-Babyfacial-Moisturizer/dp/B07CH6Y844/ref=sr_1_3?keywords=Drunk+Elephant+Lala+Retro+Whipped+Cream+50+Milliliters&amp;qid=1695259593&amp;sr=8-3")</f>
        <v>https://www.amazon.com/Drunk-Elephant-Renewal-Babyfacial-Moisturizer/dp/B07CH6Y844/ref=sr_1_3?keywords=Drunk+Elephant+Lala+Retro+Whipped+Cream+50+Milliliters&amp;qid=1695259593&amp;sr=8-3</v>
      </c>
      <c r="F2740" t="s">
        <v>4390</v>
      </c>
      <c r="G2740" t="e">
        <f ca="1">IMAGE("https://prolisok-store.com/cdn/shop/files/51ybUrn6ZWL._SL1500_300x.jpg?v=1686223860")</f>
        <v>#NAME?</v>
      </c>
      <c r="H2740" t="e">
        <f ca="1">IMAGE("https://m.media-amazon.com/images/I/51F8VPkHiXL._AC_UL320_.jpg")</f>
        <v>#NAME?</v>
      </c>
      <c r="I2740" t="s">
        <v>3566</v>
      </c>
      <c r="J2740">
        <v>129.99</v>
      </c>
      <c r="K2740" s="2" t="s">
        <v>4391</v>
      </c>
      <c r="L2740">
        <v>4.5</v>
      </c>
      <c r="M2740">
        <v>97</v>
      </c>
      <c r="O2740" t="s">
        <v>26</v>
      </c>
      <c r="P2740" t="s">
        <v>2472</v>
      </c>
      <c r="Q2740" t="s">
        <v>4392</v>
      </c>
    </row>
    <row r="2741" spans="1:17" ht="15.75" x14ac:dyDescent="0.25">
      <c r="A2741" s="3" t="str">
        <f>HYPERLINK("https://prolisok-store.com/collections/skin-care/products/zo-skin-health-daily-power-defense", "https://prolisok-store.com/collections/skin-care/products/zo-skin-health-daily-power-defense")</f>
        <v>https://prolisok-store.com/collections/skin-care/products/zo-skin-health-daily-power-defense</v>
      </c>
      <c r="B2741" s="3" t="str">
        <f>HYPERLINK("https://prolisok-store.com/products/zo-skin-health-daily-power-defense", "https://prolisok-store.com/products/zo-skin-health-daily-power-defense")</f>
        <v>https://prolisok-store.com/products/zo-skin-health-daily-power-defense</v>
      </c>
      <c r="C2741" t="s">
        <v>4393</v>
      </c>
      <c r="D2741" t="s">
        <v>4394</v>
      </c>
      <c r="E2741" s="3" t="str">
        <f>HYPERLINK("https://www.amazon.com/ZO-SKIN-HEALTH-Daily-Defense/dp/B0C3WFQFCD/ref=sr_1_1?keywords=ZO+Skin+Health+Daily+Power+Defense&amp;qid=1695259592&amp;sr=8-1", "https://www.amazon.com/ZO-SKIN-HEALTH-Daily-Defense/dp/B0C3WFQFCD/ref=sr_1_1?keywords=ZO+Skin+Health+Daily+Power+Defense&amp;qid=1695259592&amp;sr=8-1")</f>
        <v>https://www.amazon.com/ZO-SKIN-HEALTH-Daily-Defense/dp/B0C3WFQFCD/ref=sr_1_1?keywords=ZO+Skin+Health+Daily+Power+Defense&amp;qid=1695259592&amp;sr=8-1</v>
      </c>
      <c r="F2741" t="s">
        <v>4395</v>
      </c>
      <c r="G2741" t="e">
        <f ca="1">IMAGE("https://prolisok-store.com/cdn/shop/files/dpd.mob.pdp.gbl_300x.png?v=1682669514")</f>
        <v>#NAME?</v>
      </c>
      <c r="H2741" t="e">
        <f ca="1">IMAGE("https://m.media-amazon.com/images/I/51rIjPg9UYL._AC_UL320_.jpg")</f>
        <v>#NAME?</v>
      </c>
      <c r="I2741" t="s">
        <v>3404</v>
      </c>
      <c r="J2741">
        <v>110.48</v>
      </c>
      <c r="K2741" s="2" t="s">
        <v>4396</v>
      </c>
      <c r="L2741">
        <v>4.4000000000000004</v>
      </c>
      <c r="M2741">
        <v>33</v>
      </c>
      <c r="O2741" t="s">
        <v>26</v>
      </c>
      <c r="P2741" t="s">
        <v>39</v>
      </c>
      <c r="Q2741" t="s">
        <v>4397</v>
      </c>
    </row>
    <row r="2742" spans="1:17" ht="15.75" x14ac:dyDescent="0.25">
      <c r="A2742" s="3" t="str">
        <f>HYPERLINK("https://prolisok-store.com/collections/skin-care/products/lextase-nina-ricci-body-lotion-3-4-oz", "https://prolisok-store.com/collections/skin-care/products/lextase-nina-ricci-body-lotion-3-4-oz")</f>
        <v>https://prolisok-store.com/collections/skin-care/products/lextase-nina-ricci-body-lotion-3-4-oz</v>
      </c>
      <c r="B2742" s="3" t="str">
        <f>HYPERLINK("https://prolisok-store.com/products/lextase-nina-ricci-body-lotion-3-4-oz", "https://prolisok-store.com/products/lextase-nina-ricci-body-lotion-3-4-oz")</f>
        <v>https://prolisok-store.com/products/lextase-nina-ricci-body-lotion-3-4-oz</v>
      </c>
      <c r="C2742" t="s">
        <v>6760</v>
      </c>
      <c r="D2742" t="s">
        <v>6761</v>
      </c>
      <c r="E2742" s="3" t="str">
        <f>HYPERLINK("https://www.amazon.com/Nina-Ricci-Temps-Toilette-Women/dp/B091WZVG17/ref=sr_1_4?keywords=L%27extase+nina+ricci+body+lotion+3.4+oz&amp;qid=1695259659&amp;sr=8-4", "https://www.amazon.com/Nina-Ricci-Temps-Toilette-Women/dp/B091WZVG17/ref=sr_1_4?keywords=L%27extase+nina+ricci+body+lotion+3.4+oz&amp;qid=1695259659&amp;sr=8-4")</f>
        <v>https://www.amazon.com/Nina-Ricci-Temps-Toilette-Women/dp/B091WZVG17/ref=sr_1_4?keywords=L%27extase+nina+ricci+body+lotion+3.4+oz&amp;qid=1695259659&amp;sr=8-4</v>
      </c>
      <c r="F2742" t="s">
        <v>6762</v>
      </c>
      <c r="G2742" t="e">
        <f ca="1">IMAGE("https://prolisok-store.com/cdn/shop/products/422181_300x.jpg?v=1693407494")</f>
        <v>#NAME?</v>
      </c>
      <c r="H2742" t="e">
        <f ca="1">IMAGE("https://m.media-amazon.com/images/I/51OKH3lFv7L._AC_UL320_.jpg")</f>
        <v>#NAME?</v>
      </c>
      <c r="I2742" t="s">
        <v>6094</v>
      </c>
      <c r="J2742">
        <v>94.99</v>
      </c>
      <c r="K2742" s="2" t="s">
        <v>6763</v>
      </c>
      <c r="L2742">
        <v>5</v>
      </c>
      <c r="M2742">
        <v>3</v>
      </c>
      <c r="O2742" t="s">
        <v>26</v>
      </c>
      <c r="P2742" t="s">
        <v>39</v>
      </c>
      <c r="Q2742" t="s">
        <v>6764</v>
      </c>
    </row>
    <row r="2743" spans="1:17" ht="15.75" x14ac:dyDescent="0.25">
      <c r="A2743" s="3" t="str">
        <f>HYPERLINK("https://prolisok-store.com/collections/skin-care/products/lextase-nina-ricci-body-lotion-3-4-oz", "https://prolisok-store.com/collections/skin-care/products/lextase-nina-ricci-body-lotion-3-4-oz")</f>
        <v>https://prolisok-store.com/collections/skin-care/products/lextase-nina-ricci-body-lotion-3-4-oz</v>
      </c>
      <c r="B2743" s="3" t="str">
        <f>HYPERLINK("https://prolisok-store.com/products/lextase-nina-ricci-body-lotion-3-4-oz", "https://prolisok-store.com/products/lextase-nina-ricci-body-lotion-3-4-oz")</f>
        <v>https://prolisok-store.com/products/lextase-nina-ricci-body-lotion-3-4-oz</v>
      </c>
      <c r="C2743" t="s">
        <v>6760</v>
      </c>
      <c r="D2743" t="s">
        <v>6765</v>
      </c>
      <c r="E2743" s="3" t="str">
        <f>HYPERLINK("https://www.amazon.com/ROUGE-RICCI-OZ-EDT-OZ-CREAMY-LOTION/dp/B09J1NNXTN/ref=sr_1_10?keywords=L%27extase+nina+ricci+body+lotion+3.4+oz&amp;qid=1695259659&amp;sr=8-10", "https://www.amazon.com/ROUGE-RICCI-OZ-EDT-OZ-CREAMY-LOTION/dp/B09J1NNXTN/ref=sr_1_10?keywords=L%27extase+nina+ricci+body+lotion+3.4+oz&amp;qid=1695259659&amp;sr=8-10")</f>
        <v>https://www.amazon.com/ROUGE-RICCI-OZ-EDT-OZ-CREAMY-LOTION/dp/B09J1NNXTN/ref=sr_1_10?keywords=L%27extase+nina+ricci+body+lotion+3.4+oz&amp;qid=1695259659&amp;sr=8-10</v>
      </c>
      <c r="F2743" t="s">
        <v>6766</v>
      </c>
      <c r="G2743" t="e">
        <f ca="1">IMAGE("https://prolisok-store.com/cdn/shop/products/422181_300x.jpg?v=1693407494")</f>
        <v>#NAME?</v>
      </c>
      <c r="H2743" t="e">
        <f ca="1">IMAGE("https://m.media-amazon.com/images/I/21PMjmrnk6L._AC_UL320_.jpg")</f>
        <v>#NAME?</v>
      </c>
      <c r="I2743" t="s">
        <v>6094</v>
      </c>
      <c r="J2743">
        <v>89.59</v>
      </c>
      <c r="K2743" s="2" t="s">
        <v>6767</v>
      </c>
      <c r="L2743">
        <v>5</v>
      </c>
      <c r="M2743">
        <v>2</v>
      </c>
      <c r="O2743" t="s">
        <v>26</v>
      </c>
      <c r="P2743" t="s">
        <v>39</v>
      </c>
      <c r="Q2743" t="s">
        <v>6764</v>
      </c>
    </row>
    <row r="2744" spans="1:17" ht="15.75" x14ac:dyDescent="0.25">
      <c r="A2744" s="3" t="str">
        <f>HYPERLINK("https://prolisok-store.com/collections/skin-care/products/white-tea-wild-rose-by-elizabeth-arden-body-cream-13-5-oz", "https://prolisok-store.com/collections/skin-care/products/white-tea-wild-rose-by-elizabeth-arden-body-cream-13-5-oz")</f>
        <v>https://prolisok-store.com/collections/skin-care/products/white-tea-wild-rose-by-elizabeth-arden-body-cream-13-5-oz</v>
      </c>
      <c r="B2744" s="3" t="str">
        <f>HYPERLINK("https://prolisok-store.com/products/white-tea-wild-rose-by-elizabeth-arden-body-cream-13-5-oz", "https://prolisok-store.com/products/white-tea-wild-rose-by-elizabeth-arden-body-cream-13-5-oz")</f>
        <v>https://prolisok-store.com/products/white-tea-wild-rose-by-elizabeth-arden-body-cream-13-5-oz</v>
      </c>
      <c r="C2744" t="s">
        <v>6768</v>
      </c>
      <c r="D2744" t="s">
        <v>6769</v>
      </c>
      <c r="E2744" s="3" t="str">
        <f>HYPERLINK("https://www.amazon.com/Elizabeth-Arden-White-Toilette-Perfume/dp/B07ND5W2PF/ref=sr_1_5?keywords=White+tea+wild+rose+by+elizabeth+arden+body+cream+13.5+oz&amp;qid=1695259655&amp;sr=8-5", "https://www.amazon.com/Elizabeth-Arden-White-Toilette-Perfume/dp/B07ND5W2PF/ref=sr_1_5?keywords=White+tea+wild+rose+by+elizabeth+arden+body+cream+13.5+oz&amp;qid=1695259655&amp;sr=8-5")</f>
        <v>https://www.amazon.com/Elizabeth-Arden-White-Toilette-Perfume/dp/B07ND5W2PF/ref=sr_1_5?keywords=White+tea+wild+rose+by+elizabeth+arden+body+cream+13.5+oz&amp;qid=1695259655&amp;sr=8-5</v>
      </c>
      <c r="F2744" t="s">
        <v>6770</v>
      </c>
      <c r="G2744" t="e">
        <f ca="1">IMAGE("https://prolisok-store.com/cdn/shop/products/406391_300x.jpg?v=1693407441")</f>
        <v>#NAME?</v>
      </c>
      <c r="H2744" t="e">
        <f ca="1">IMAGE("https://m.media-amazon.com/images/I/31yC5V3W5pL._AC_UL320_.jpg")</f>
        <v>#NAME?</v>
      </c>
      <c r="I2744" t="s">
        <v>6011</v>
      </c>
      <c r="J2744">
        <v>68</v>
      </c>
      <c r="K2744" s="2" t="s">
        <v>6771</v>
      </c>
      <c r="L2744">
        <v>4.4000000000000004</v>
      </c>
      <c r="M2744">
        <v>341</v>
      </c>
      <c r="O2744" t="s">
        <v>26</v>
      </c>
      <c r="P2744" t="s">
        <v>39</v>
      </c>
      <c r="Q2744" t="s">
        <v>6772</v>
      </c>
    </row>
    <row r="2745" spans="1:17" ht="15.75" x14ac:dyDescent="0.25">
      <c r="A2745" s="3" t="str">
        <f>HYPERLINK("https://prolisok-store.com/collections/skin-care/products/obagi-professional-c-serum-10-vitamin-c-facial-serum-with-concentrated-10-l-ascorbic-acid-for-normal-to-oily-skin-1-0-fl-oz", "https://prolisok-store.com/collections/skin-care/products/obagi-professional-c-serum-10-vitamin-c-facial-serum-with-concentrated-10-l-ascorbic-acid-for-normal-to-oily-skin-1-0-fl-oz")</f>
        <v>https://prolisok-store.com/collections/skin-care/products/obagi-professional-c-serum-10-vitamin-c-facial-serum-with-concentrated-10-l-ascorbic-acid-for-normal-to-oily-skin-1-0-fl-oz</v>
      </c>
      <c r="B2745" s="3" t="str">
        <f>HYPERLINK("https://prolisok-store.com/products/obagi-professional-c-serum-10-vitamin-c-facial-serum-with-concentrated-10-l-ascorbic-acid-for-normal-to-oily-skin-1-0-fl-oz", "https://prolisok-store.com/products/obagi-professional-c-serum-10-vitamin-c-facial-serum-with-concentrated-10-l-ascorbic-acid-for-normal-to-oily-skin-1-0-fl-oz")</f>
        <v>https://prolisok-store.com/products/obagi-professional-c-serum-10-vitamin-c-facial-serum-with-concentrated-10-l-ascorbic-acid-for-normal-to-oily-skin-1-0-fl-oz</v>
      </c>
      <c r="C2745" t="s">
        <v>4343</v>
      </c>
      <c r="D2745" t="s">
        <v>4354</v>
      </c>
      <c r="E2745" s="3" t="str">
        <f>HYPERLINK("https://www.amazon.com/Obagi-Professional-C-Serum-Fl-Oz/dp/B00F6XZZMY/ref=sr_1_2?keywords=Obagi+Professional+C+Serum+10%25%2C+Vitamin+C+Facial+Serum+with+Concentrated+10%25+L+Ascorbic+Acid+for+Normal+to+Oily+Skin%2C+1.0+Fl+Oz.&amp;qid=1695259604&amp;rdc=1&amp;sr=8-2", "https://www.amazon.com/Obagi-Professional-C-Serum-Fl-Oz/dp/B00F6XZZMY/ref=sr_1_2?keywords=Obagi+Professional+C+Serum+10%25%2C+Vitamin+C+Facial+Serum+with+Concentrated+10%25+L+Ascorbic+Acid+for+Normal+to+Oily+Skin%2C+1.0+Fl+Oz.&amp;qid=1695259604&amp;rdc=1&amp;sr=8-2")</f>
        <v>https://www.amazon.com/Obagi-Professional-C-Serum-Fl-Oz/dp/B00F6XZZMY/ref=sr_1_2?keywords=Obagi+Professional+C+Serum+10%25%2C+Vitamin+C+Facial+Serum+with+Concentrated+10%25+L+Ascorbic+Acid+for+Normal+to+Oily+Skin%2C+1.0+Fl+Oz.&amp;qid=1695259604&amp;rdc=1&amp;sr=8-2</v>
      </c>
      <c r="F2745" t="s">
        <v>4483</v>
      </c>
      <c r="G2745" t="e">
        <f ca="1">IMAGE("https://prolisok-store.com/cdn/shop/files/51jz8tQragS._SL1500_300x.jpg?v=1682417093")</f>
        <v>#NAME?</v>
      </c>
      <c r="H2745" t="e">
        <f ca="1">IMAGE("https://m.media-amazon.com/images/I/513F4gFv5NL._AC_UL320_.jpg")</f>
        <v>#NAME?</v>
      </c>
      <c r="I2745" t="s">
        <v>4346</v>
      </c>
      <c r="J2745">
        <v>142</v>
      </c>
      <c r="K2745" s="2" t="s">
        <v>4484</v>
      </c>
      <c r="L2745">
        <v>4.5999999999999996</v>
      </c>
      <c r="M2745">
        <v>1513</v>
      </c>
      <c r="O2745" t="s">
        <v>26</v>
      </c>
      <c r="P2745" t="s">
        <v>39</v>
      </c>
      <c r="Q2745" t="s">
        <v>4348</v>
      </c>
    </row>
    <row r="2746" spans="1:17" ht="15.75" x14ac:dyDescent="0.25">
      <c r="A2746" s="3" t="str">
        <f>HYPERLINK("https://prolisok-store.com/collections/skin-care/products/elizabeth-arden-eight-hour-cream-intensive-moisturizing-hand-treatment-30ml-1oz", "https://prolisok-store.com/collections/skin-care/products/elizabeth-arden-eight-hour-cream-intensive-moisturizing-hand-treatment-30ml-1oz")</f>
        <v>https://prolisok-store.com/collections/skin-care/products/elizabeth-arden-eight-hour-cream-intensive-moisturizing-hand-treatment-30ml-1oz</v>
      </c>
      <c r="B2746" s="3" t="str">
        <f>HYPERLINK("https://prolisok-store.com/products/elizabeth-arden-eight-hour-cream-intensive-moisturizing-hand-treatment-30ml-1oz", "https://prolisok-store.com/products/elizabeth-arden-eight-hour-cream-intensive-moisturizing-hand-treatment-30ml-1oz")</f>
        <v>https://prolisok-store.com/products/elizabeth-arden-eight-hour-cream-intensive-moisturizing-hand-treatment-30ml-1oz</v>
      </c>
      <c r="C2746" t="s">
        <v>6773</v>
      </c>
      <c r="D2746" t="s">
        <v>6774</v>
      </c>
      <c r="E2746" s="3" t="str">
        <f>HYPERLINK("https://www.amazon.com/Elizabeth-Arden-Intensive-Moisturizing-Treatment/dp/B0BC1QC9XF/ref=sr_1_2?keywords=Elizabeth+Arden+eight+hour+cream+intensive+moisturizing+hand+treatment+30ml%2F1oz&amp;qid=1695259636&amp;sr=8-2", "https://www.amazon.com/Elizabeth-Arden-Intensive-Moisturizing-Treatment/dp/B0BC1QC9XF/ref=sr_1_2?keywords=Elizabeth+Arden+eight+hour+cream+intensive+moisturizing+hand+treatment+30ml%2F1oz&amp;qid=1695259636&amp;sr=8-2")</f>
        <v>https://www.amazon.com/Elizabeth-Arden-Intensive-Moisturizing-Treatment/dp/B0BC1QC9XF/ref=sr_1_2?keywords=Elizabeth+Arden+eight+hour+cream+intensive+moisturizing+hand+treatment+30ml%2F1oz&amp;qid=1695259636&amp;sr=8-2</v>
      </c>
      <c r="F2746" t="s">
        <v>6775</v>
      </c>
      <c r="G2746" t="e">
        <f ca="1">IMAGE("https://prolisok-store.com/cdn/shop/products/233058_300x.jpg?v=1693407136")</f>
        <v>#NAME?</v>
      </c>
      <c r="H2746" t="e">
        <f ca="1">IMAGE("https://m.media-amazon.com/images/I/61J+wyEAo-L._AC_UL320_.jpg")</f>
        <v>#NAME?</v>
      </c>
      <c r="I2746" t="s">
        <v>5295</v>
      </c>
      <c r="J2746">
        <v>36</v>
      </c>
      <c r="K2746" s="2" t="s">
        <v>6776</v>
      </c>
      <c r="L2746">
        <v>4.3</v>
      </c>
      <c r="M2746">
        <v>1183</v>
      </c>
      <c r="O2746" t="s">
        <v>26</v>
      </c>
      <c r="P2746" t="s">
        <v>39</v>
      </c>
      <c r="Q2746" t="s">
        <v>6777</v>
      </c>
    </row>
    <row r="2747" spans="1:17" ht="15.75" x14ac:dyDescent="0.25">
      <c r="A2747" s="3" t="str">
        <f>HYPERLINK("https://prolisok-store.com/collections/skin-care/products/drunk-elephant-lala-retro-whipped-cream-50-milliliters", "https://prolisok-store.com/collections/skin-care/products/drunk-elephant-lala-retro-whipped-cream-50-milliliters")</f>
        <v>https://prolisok-store.com/collections/skin-care/products/drunk-elephant-lala-retro-whipped-cream-50-milliliters</v>
      </c>
      <c r="B2747" s="3" t="str">
        <f>HYPERLINK("https://prolisok-store.com/products/drunk-elephant-lala-retro-whipped-cream-50-milliliters", "https://prolisok-store.com/products/drunk-elephant-lala-retro-whipped-cream-50-milliliters")</f>
        <v>https://prolisok-store.com/products/drunk-elephant-lala-retro-whipped-cream-50-milliliters</v>
      </c>
      <c r="C2747" t="s">
        <v>4388</v>
      </c>
      <c r="D2747" t="s">
        <v>4520</v>
      </c>
      <c r="E2747" s="3" t="str">
        <f>HYPERLINK("https://www.amazon.com/Drunk-Elephant-Moisturizer-Cleanser-Whipped/dp/B07CH346S8/ref=sr_1_4?keywords=Drunk+Elephant+Lala+Retro+Whipped+Cream+50+Milliliters&amp;qid=1695259593&amp;sr=8-4", "https://www.amazon.com/Drunk-Elephant-Moisturizer-Cleanser-Whipped/dp/B07CH346S8/ref=sr_1_4?keywords=Drunk+Elephant+Lala+Retro+Whipped+Cream+50+Milliliters&amp;qid=1695259593&amp;sr=8-4")</f>
        <v>https://www.amazon.com/Drunk-Elephant-Moisturizer-Cleanser-Whipped/dp/B07CH346S8/ref=sr_1_4?keywords=Drunk+Elephant+Lala+Retro+Whipped+Cream+50+Milliliters&amp;qid=1695259593&amp;sr=8-4</v>
      </c>
      <c r="F2747" t="s">
        <v>4521</v>
      </c>
      <c r="G2747" t="e">
        <f ca="1">IMAGE("https://prolisok-store.com/cdn/shop/files/51ybUrn6ZWL._SL1500_300x.jpg?v=1686223860")</f>
        <v>#NAME?</v>
      </c>
      <c r="H2747" t="e">
        <f ca="1">IMAGE("https://m.media-amazon.com/images/I/71kkfZpaOjL._AC_UL320_.jpg")</f>
        <v>#NAME?</v>
      </c>
      <c r="I2747" t="s">
        <v>3566</v>
      </c>
      <c r="J2747">
        <v>92</v>
      </c>
      <c r="K2747" s="2" t="s">
        <v>4522</v>
      </c>
      <c r="L2747">
        <v>4.3</v>
      </c>
      <c r="M2747">
        <v>31</v>
      </c>
      <c r="O2747" t="s">
        <v>26</v>
      </c>
      <c r="P2747" t="s">
        <v>2472</v>
      </c>
      <c r="Q2747" t="s">
        <v>4392</v>
      </c>
    </row>
    <row r="2748" spans="1:17" ht="15.75" x14ac:dyDescent="0.25">
      <c r="A2748" s="3" t="str">
        <f>HYPERLINK("https://prolisok-store.com/collections/skin-care/products/green-tea-by-elizabeth-arden-body-lotion-6-8-oz", "https://prolisok-store.com/collections/skin-care/products/green-tea-by-elizabeth-arden-body-lotion-6-8-oz")</f>
        <v>https://prolisok-store.com/collections/skin-care/products/green-tea-by-elizabeth-arden-body-lotion-6-8-oz</v>
      </c>
      <c r="B2748" s="3" t="str">
        <f>HYPERLINK("https://prolisok-store.com/products/green-tea-by-elizabeth-arden-body-lotion-6-8-oz", "https://prolisok-store.com/products/green-tea-by-elizabeth-arden-body-lotion-6-8-oz")</f>
        <v>https://prolisok-store.com/products/green-tea-by-elizabeth-arden-body-lotion-6-8-oz</v>
      </c>
      <c r="C2748" t="s">
        <v>6778</v>
      </c>
      <c r="D2748" t="s">
        <v>4222</v>
      </c>
      <c r="E2748" s="3" t="str">
        <f>HYPERLINK("https://www.amazon.com/Elizabeth-Arden-White-Indulgence-Cream/dp/B01N4LCTIY/ref=sr_1_4?keywords=Green+tea+by+elizabeth+arden+body+lotion+6.8+oz&amp;qid=1695259649&amp;sr=8-4", "https://www.amazon.com/Elizabeth-Arden-White-Indulgence-Cream/dp/B01N4LCTIY/ref=sr_1_4?keywords=Green+tea+by+elizabeth+arden+body+lotion+6.8+oz&amp;qid=1695259649&amp;sr=8-4")</f>
        <v>https://www.amazon.com/Elizabeth-Arden-White-Indulgence-Cream/dp/B01N4LCTIY/ref=sr_1_4?keywords=Green+tea+by+elizabeth+arden+body+lotion+6.8+oz&amp;qid=1695259649&amp;sr=8-4</v>
      </c>
      <c r="F2748" t="s">
        <v>4223</v>
      </c>
      <c r="G2748" t="e">
        <f ca="1">IMAGE("https://prolisok-store.com/cdn/shop/products/115439_300x.jpg?v=1693407288")</f>
        <v>#NAME?</v>
      </c>
      <c r="H2748" t="e">
        <f ca="1">IMAGE("https://m.media-amazon.com/images/I/41H9bJt20fL._AC_UL320_.jpg")</f>
        <v>#NAME?</v>
      </c>
      <c r="I2748" t="s">
        <v>5295</v>
      </c>
      <c r="J2748">
        <v>34</v>
      </c>
      <c r="K2748" s="2" t="s">
        <v>6779</v>
      </c>
      <c r="L2748">
        <v>4.5</v>
      </c>
      <c r="M2748">
        <v>2164</v>
      </c>
      <c r="O2748" t="s">
        <v>26</v>
      </c>
      <c r="P2748" t="s">
        <v>39</v>
      </c>
      <c r="Q2748" t="s">
        <v>6780</v>
      </c>
    </row>
    <row r="2749" spans="1:17" ht="15.75" x14ac:dyDescent="0.25">
      <c r="A2749" s="3" t="str">
        <f>HYPERLINK("https://prolisok-store.com/collections/skin-care/products/estee-lauder-advanced-night-repair-synchronized-multi-recovery-complex-unisex-1-7-oz", "https://prolisok-store.com/collections/skin-care/products/estee-lauder-advanced-night-repair-synchronized-multi-recovery-complex-unisex-1-7-oz")</f>
        <v>https://prolisok-store.com/collections/skin-care/products/estee-lauder-advanced-night-repair-synchronized-multi-recovery-complex-unisex-1-7-oz</v>
      </c>
      <c r="B2749"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2749" t="s">
        <v>4547</v>
      </c>
      <c r="D2749" t="s">
        <v>4552</v>
      </c>
      <c r="E2749" s="3" t="str">
        <f>HYPERLINK("https://www.amazon.com/Lauder-Advanced-Synchronized-Multi-Recovery-Complex/dp/B08HRNFY49/ref=sr_1_4?keywords=Estee+Lauder+Advanced+Night+Repair+Synchronized+Multi-Recovery+Complex%2C+Unisex%2C+1.7+Oz&amp;qid=1695259592&amp;sr=8-4", "https://www.amazon.com/Lauder-Advanced-Synchronized-Multi-Recovery-Complex/dp/B08HRNFY49/ref=sr_1_4?keywords=Estee+Lauder+Advanced+Night+Repair+Synchronized+Multi-Recovery+Complex%2C+Unisex%2C+1.7+Oz&amp;qid=1695259592&amp;sr=8-4")</f>
        <v>https://www.amazon.com/Lauder-Advanced-Synchronized-Multi-Recovery-Complex/dp/B08HRNFY49/ref=sr_1_4?keywords=Estee+Lauder+Advanced+Night+Repair+Synchronized+Multi-Recovery+Complex%2C+Unisex%2C+1.7+Oz&amp;qid=1695259592&amp;sr=8-4</v>
      </c>
      <c r="F2749" t="s">
        <v>4553</v>
      </c>
      <c r="G2749" t="e">
        <f ca="1">IMAGE("https://prolisok-store.com/cdn/shop/files/511qVnU1eNL._SL1000_300x.jpg?v=1687507525")</f>
        <v>#NAME?</v>
      </c>
      <c r="H2749" t="e">
        <f ca="1">IMAGE("https://m.media-amazon.com/images/I/611NuVh5ikL._AC_UL320_.jpg")</f>
        <v>#NAME?</v>
      </c>
      <c r="I2749" t="s">
        <v>3476</v>
      </c>
      <c r="J2749">
        <v>99.95</v>
      </c>
      <c r="K2749" s="2" t="s">
        <v>4550</v>
      </c>
      <c r="L2749">
        <v>4.3</v>
      </c>
      <c r="M2749">
        <v>62</v>
      </c>
      <c r="O2749" t="s">
        <v>26</v>
      </c>
      <c r="P2749" t="s">
        <v>39</v>
      </c>
      <c r="Q2749" t="s">
        <v>4551</v>
      </c>
    </row>
    <row r="2750" spans="1:17" ht="15.75" x14ac:dyDescent="0.25">
      <c r="A2750" s="3" t="str">
        <f>HYPERLINK("https://prolisok-store.com/collections/skin-care/products/estee-lauder-advanced-night-repair-synchronized-multi-recovery-complex-unisex-1-7-oz", "https://prolisok-store.com/collections/skin-care/products/estee-lauder-advanced-night-repair-synchronized-multi-recovery-complex-unisex-1-7-oz")</f>
        <v>https://prolisok-store.com/collections/skin-care/products/estee-lauder-advanced-night-repair-synchronized-multi-recovery-complex-unisex-1-7-oz</v>
      </c>
      <c r="B2750"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2750" t="s">
        <v>4547</v>
      </c>
      <c r="D2750" t="s">
        <v>4548</v>
      </c>
      <c r="E2750" s="3" t="str">
        <f>HYPERLINK("https://www.amazon.com/Estee-Lauder-Advanced-Synchronized-Multi-Recovery/dp/B093FGRR8F/ref=sr_1_3?keywords=Estee+Lauder+Advanced+Night+Repair+Synchronized+Multi-Recovery+Complex%2C+Unisex%2C+1.7+Oz&amp;qid=1695259592&amp;sr=8-3", "https://www.amazon.com/Estee-Lauder-Advanced-Synchronized-Multi-Recovery/dp/B093FGRR8F/ref=sr_1_3?keywords=Estee+Lauder+Advanced+Night+Repair+Synchronized+Multi-Recovery+Complex%2C+Unisex%2C+1.7+Oz&amp;qid=1695259592&amp;sr=8-3")</f>
        <v>https://www.amazon.com/Estee-Lauder-Advanced-Synchronized-Multi-Recovery/dp/B093FGRR8F/ref=sr_1_3?keywords=Estee+Lauder+Advanced+Night+Repair+Synchronized+Multi-Recovery+Complex%2C+Unisex%2C+1.7+Oz&amp;qid=1695259592&amp;sr=8-3</v>
      </c>
      <c r="F2750" t="s">
        <v>4549</v>
      </c>
      <c r="G2750" t="e">
        <f ca="1">IMAGE("https://prolisok-store.com/cdn/shop/files/511qVnU1eNL._SL1000_300x.jpg?v=1687507525")</f>
        <v>#NAME?</v>
      </c>
      <c r="H2750" t="e">
        <f ca="1">IMAGE("https://m.media-amazon.com/images/I/61G0S4CUiUL._AC_UL320_.jpg")</f>
        <v>#NAME?</v>
      </c>
      <c r="I2750" t="s">
        <v>3476</v>
      </c>
      <c r="J2750">
        <v>99.95</v>
      </c>
      <c r="K2750" s="2" t="s">
        <v>4550</v>
      </c>
      <c r="L2750">
        <v>3.5</v>
      </c>
      <c r="M2750">
        <v>12</v>
      </c>
      <c r="O2750" t="s">
        <v>26</v>
      </c>
      <c r="P2750" t="s">
        <v>39</v>
      </c>
      <c r="Q2750" t="s">
        <v>4551</v>
      </c>
    </row>
    <row r="2751" spans="1:17" ht="15.75" x14ac:dyDescent="0.25">
      <c r="A2751" s="3" t="str">
        <f>HYPERLINK("https://prolisok-store.com/collections/skin-care/products/obagi-professional-c-serum-20-vitamin-c-facial-serum-with-concentrated-20-l-ascorbic-acid-for-normal-to-oily-skin-1-0-fl-oz", "https://prolisok-store.com/collections/skin-care/products/obagi-professional-c-serum-20-vitamin-c-facial-serum-with-concentrated-20-l-ascorbic-acid-for-normal-to-oily-skin-1-0-fl-oz")</f>
        <v>https://prolisok-store.com/collections/skin-care/products/obagi-professional-c-serum-20-vitamin-c-facial-serum-with-concentrated-20-l-ascorbic-acid-for-normal-to-oily-skin-1-0-fl-oz</v>
      </c>
      <c r="B2751" s="3" t="str">
        <f>HYPERLINK("https://prolisok-store.com/products/obagi-professional-c-serum-20-vitamin-c-facial-serum-with-concentrated-20-l-ascorbic-acid-for-normal-to-oily-skin-1-0-fl-oz", "https://prolisok-store.com/products/obagi-professional-c-serum-20-vitamin-c-facial-serum-with-concentrated-20-l-ascorbic-acid-for-normal-to-oily-skin-1-0-fl-oz")</f>
        <v>https://prolisok-store.com/products/obagi-professional-c-serum-20-vitamin-c-facial-serum-with-concentrated-20-l-ascorbic-acid-for-normal-to-oily-skin-1-0-fl-oz</v>
      </c>
      <c r="C2751" t="s">
        <v>4354</v>
      </c>
      <c r="D2751" t="s">
        <v>4354</v>
      </c>
      <c r="E2751" s="3" t="str">
        <f>HYPERLINK("https://www.amazon.com/Obagi-Professional-C-Serum-Fl-Oz/dp/B00F6XZZMY/ref=sr_1_1?keywords=Obagi+Professional+C+Serum+20%25%2C+Vitamin+C+Facial+Serum+with+Concentrated+20%25+L+Ascorbic+Acid+for+Normal+to+Oily+Skin%2C+1.0+Fl+Oz&amp;qid=1695259592&amp;rdc=1&amp;sr=8-1", "https://www.amazon.com/Obagi-Professional-C-Serum-Fl-Oz/dp/B00F6XZZMY/ref=sr_1_1?keywords=Obagi+Professional+C+Serum+20%25%2C+Vitamin+C+Facial+Serum+with+Concentrated+20%25+L+Ascorbic+Acid+for+Normal+to+Oily+Skin%2C+1.0+Fl+Oz&amp;qid=1695259592&amp;rdc=1&amp;sr=8-1")</f>
        <v>https://www.amazon.com/Obagi-Professional-C-Serum-Fl-Oz/dp/B00F6XZZMY/ref=sr_1_1?keywords=Obagi+Professional+C+Serum+20%25%2C+Vitamin+C+Facial+Serum+with+Concentrated+20%25+L+Ascorbic+Acid+for+Normal+to+Oily+Skin%2C+1.0+Fl+Oz&amp;qid=1695259592&amp;rdc=1&amp;sr=8-1</v>
      </c>
      <c r="F2751" t="s">
        <v>4483</v>
      </c>
      <c r="G2751" t="e">
        <f ca="1">IMAGE("https://prolisok-store.com/cdn/shop/files/71nOSCHqa9L._SL1500_300x.jpg?v=1682416466")</f>
        <v>#NAME?</v>
      </c>
      <c r="H2751" t="e">
        <f ca="1">IMAGE("https://m.media-amazon.com/images/I/513F4gFv5NL._AC_UL320_.jpg")</f>
        <v>#NAME?</v>
      </c>
      <c r="I2751" t="s">
        <v>4355</v>
      </c>
      <c r="J2751">
        <v>142</v>
      </c>
      <c r="K2751" s="2" t="s">
        <v>4573</v>
      </c>
      <c r="L2751">
        <v>4.5999999999999996</v>
      </c>
      <c r="M2751">
        <v>1513</v>
      </c>
      <c r="O2751" t="s">
        <v>26</v>
      </c>
      <c r="P2751" t="s">
        <v>39</v>
      </c>
      <c r="Q2751" t="s">
        <v>4357</v>
      </c>
    </row>
    <row r="2752" spans="1:17" ht="15.75" x14ac:dyDescent="0.25">
      <c r="A2752" s="3" t="str">
        <f>HYPERLINK("https://prolisok-store.com/collections/skin-care/products/clarins-extra-firming-neck-and-decollete-cream", "https://prolisok-store.com/collections/skin-care/products/clarins-extra-firming-neck-and-decollete-cream")</f>
        <v>https://prolisok-store.com/collections/skin-care/products/clarins-extra-firming-neck-and-decollete-cream</v>
      </c>
      <c r="B2752" s="3" t="str">
        <f>HYPERLINK("https://prolisok-store.com/products/clarins-extra-firming-neck-and-decollete-cream", "https://prolisok-store.com/products/clarins-extra-firming-neck-and-decollete-cream")</f>
        <v>https://prolisok-store.com/products/clarins-extra-firming-neck-and-decollete-cream</v>
      </c>
      <c r="C2752" t="s">
        <v>4574</v>
      </c>
      <c r="D2752" t="s">
        <v>4575</v>
      </c>
      <c r="E2752" s="3" t="str">
        <f>HYPERLINK("https://www.amazon.com/Clarins-Super-Restorative-D%C3%A9colett%C3%A9-Concentrate/dp/B01BG0SS4M/ref=sr_1_2?keywords=Clarins+Extra-Firming+Neck+and+D%C3%A9collet%C3%A9+Cream&amp;qid=1695259631&amp;sr=8-2", "https://www.amazon.com/Clarins-Super-Restorative-D%C3%A9colett%C3%A9-Concentrate/dp/B01BG0SS4M/ref=sr_1_2?keywords=Clarins+Extra-Firming+Neck+and+D%C3%A9collet%C3%A9+Cream&amp;qid=1695259631&amp;sr=8-2")</f>
        <v>https://www.amazon.com/Clarins-Super-Restorative-D%C3%A9colett%C3%A9-Concentrate/dp/B01BG0SS4M/ref=sr_1_2?keywords=Clarins+Extra-Firming+Neck+and+D%C3%A9collet%C3%A9+Cream&amp;qid=1695259631&amp;sr=8-2</v>
      </c>
      <c r="F2752" t="s">
        <v>4576</v>
      </c>
      <c r="G2752" t="e">
        <f ca="1">IMAGE("https://prolisok-store.com/cdn/shop/files/6188DnkFSjL._SL1500_300x.jpg?v=1682417456")</f>
        <v>#NAME?</v>
      </c>
      <c r="H2752" t="e">
        <f ca="1">IMAGE("https://m.media-amazon.com/images/I/51Jpj2StusL._AC_UL320_.jpg")</f>
        <v>#NAME?</v>
      </c>
      <c r="I2752" t="s">
        <v>4346</v>
      </c>
      <c r="J2752">
        <v>118</v>
      </c>
      <c r="K2752" s="2" t="s">
        <v>4577</v>
      </c>
      <c r="L2752">
        <v>4.5999999999999996</v>
      </c>
      <c r="M2752">
        <v>1219</v>
      </c>
      <c r="O2752" t="s">
        <v>26</v>
      </c>
      <c r="P2752" t="s">
        <v>39</v>
      </c>
      <c r="Q2752" t="s">
        <v>4578</v>
      </c>
    </row>
    <row r="2753" spans="1:17" ht="15.75" x14ac:dyDescent="0.25">
      <c r="A2753" s="3" t="str">
        <f>HYPERLINK("https://prolisok-store.com/collections/skin-care/products/zo-skin-health-wrinkle-texture-repair-0-5-retinol-1-7-oz-50ml-formerly-called-zo-medical-retamax%E2%84%A2-active-vitamin-a-micro-emulsion-0-5-retinol", "https://prolisok-store.com/collections/skin-care/products/zo-skin-health-wrinkle-texture-repair-0-5-retinol-1-7-oz-50ml-formerly-called-zo-medical-retamax%E2%84%A2-active-vitamin-a-micro-emulsion-0-5-retinol")</f>
        <v>https://prolisok-store.com/collections/skin-care/products/zo-skin-health-wrinkle-texture-repair-0-5-retinol-1-7-oz-50ml-formerly-called-zo-medical-retamax%E2%84%A2-active-vitamin-a-micro-emulsion-0-5-retinol</v>
      </c>
      <c r="B2753" s="3" t="str">
        <f>HYPERLINK("https://prolisok-store.com/products/zo-skin-health-wrinkle-texture-repair-0-5-retinol-1-7-oz-50ml-formerly-called-zo-medical-retamax%e2%84%a2-active-vitamin-a-micro-emulsion-0-5-retinol", "https://prolisok-store.com/products/zo-skin-health-wrinkle-texture-repair-0-5-retinol-1-7-oz-50ml-formerly-called-zo-medical-retamax%e2%84%a2-active-vitamin-a-micro-emulsion-0-5-retinol")</f>
        <v>https://prolisok-store.com/products/zo-skin-health-wrinkle-texture-repair-0-5-retinol-1-7-oz-50ml-formerly-called-zo-medical-retamax%e2%84%a2-active-vitamin-a-micro-emulsion-0-5-retinol</v>
      </c>
      <c r="C2753" t="s">
        <v>4582</v>
      </c>
      <c r="D2753" t="s">
        <v>4583</v>
      </c>
      <c r="E2753" s="3" t="str">
        <f>HYPERLINK("https://www.amazon.com/WRINKLE-Retinol-formerly-RetamaxTM-Emulsion/dp/B0BS9R7RRK/ref=sr_1_3?keywords=ZO+Skin+Health+Wrinkle+Texture+Repair&amp;qid=1695259593&amp;sr=8-3", "https://www.amazon.com/WRINKLE-Retinol-formerly-RetamaxTM-Emulsion/dp/B0BS9R7RRK/ref=sr_1_3?keywords=ZO+Skin+Health+Wrinkle+Texture+Repair&amp;qid=1695259593&amp;sr=8-3")</f>
        <v>https://www.amazon.com/WRINKLE-Retinol-formerly-RetamaxTM-Emulsion/dp/B0BS9R7RRK/ref=sr_1_3?keywords=ZO+Skin+Health+Wrinkle+Texture+Repair&amp;qid=1695259593&amp;sr=8-3</v>
      </c>
      <c r="F2753" t="s">
        <v>4584</v>
      </c>
      <c r="G2753" t="e">
        <f ca="1">IMAGE("https://prolisok-store.com/cdn/shop/products/41Sp6bw4ThL_300x.jpg?v=1674059188")</f>
        <v>#NAME?</v>
      </c>
      <c r="H2753" t="e">
        <f ca="1">IMAGE("https://m.media-amazon.com/images/I/61WW2JYSScL._AC_UL320_.jpg")</f>
        <v>#NAME?</v>
      </c>
      <c r="I2753" t="s">
        <v>3404</v>
      </c>
      <c r="J2753">
        <v>70</v>
      </c>
      <c r="K2753" s="2" t="s">
        <v>4585</v>
      </c>
      <c r="L2753">
        <v>2</v>
      </c>
      <c r="M2753">
        <v>1</v>
      </c>
      <c r="O2753" t="s">
        <v>26</v>
      </c>
      <c r="P2753" t="s">
        <v>39</v>
      </c>
      <c r="Q2753" t="s">
        <v>4586</v>
      </c>
    </row>
    <row r="2754" spans="1:17" ht="15.75" x14ac:dyDescent="0.25">
      <c r="A2754" s="3" t="str">
        <f>HYPERLINK("https://prolisok-store.com/collections/skin-care/products/obagi-professional-c-serum-10-vitamin-c-facial-serum-with-concentrated-10-l-ascorbic-acid-for-normal-to-oily-skin-1-0-fl-oz", "https://prolisok-store.com/collections/skin-care/products/obagi-professional-c-serum-10-vitamin-c-facial-serum-with-concentrated-10-l-ascorbic-acid-for-normal-to-oily-skin-1-0-fl-oz")</f>
        <v>https://prolisok-store.com/collections/skin-care/products/obagi-professional-c-serum-10-vitamin-c-facial-serum-with-concentrated-10-l-ascorbic-acid-for-normal-to-oily-skin-1-0-fl-oz</v>
      </c>
      <c r="B2754" s="3" t="str">
        <f>HYPERLINK("https://prolisok-store.com/products/obagi-professional-c-serum-10-vitamin-c-facial-serum-with-concentrated-10-l-ascorbic-acid-for-normal-to-oily-skin-1-0-fl-oz", "https://prolisok-store.com/products/obagi-professional-c-serum-10-vitamin-c-facial-serum-with-concentrated-10-l-ascorbic-acid-for-normal-to-oily-skin-1-0-fl-oz")</f>
        <v>https://prolisok-store.com/products/obagi-professional-c-serum-10-vitamin-c-facial-serum-with-concentrated-10-l-ascorbic-acid-for-normal-to-oily-skin-1-0-fl-oz</v>
      </c>
      <c r="C2754" t="s">
        <v>4343</v>
      </c>
      <c r="D2754" t="s">
        <v>4379</v>
      </c>
      <c r="E2754" s="3" t="str">
        <f>HYPERLINK("https://www.amazon.com/Obagi-Professional-C-Serum-Fl-Oz/dp/B00F6XZVHS/ref=sr_1_4?keywords=Obagi+Professional+C+Serum+10%25%2C+Vitamin+C+Facial+Serum+with+Concentrated+10%25+L+Ascorbic+Acid+for+Normal+to+Oily+Skin%2C+1.0+Fl+Oz.&amp;qid=1695259604&amp;sr=8-4", "https://www.amazon.com/Obagi-Professional-C-Serum-Fl-Oz/dp/B00F6XZVHS/ref=sr_1_4?keywords=Obagi+Professional+C+Serum+10%25%2C+Vitamin+C+Facial+Serum+with+Concentrated+10%25+L+Ascorbic+Acid+for+Normal+to+Oily+Skin%2C+1.0+Fl+Oz.&amp;qid=1695259604&amp;sr=8-4")</f>
        <v>https://www.amazon.com/Obagi-Professional-C-Serum-Fl-Oz/dp/B00F6XZVHS/ref=sr_1_4?keywords=Obagi+Professional+C+Serum+10%25%2C+Vitamin+C+Facial+Serum+with+Concentrated+10%25+L+Ascorbic+Acid+for+Normal+to+Oily+Skin%2C+1.0+Fl+Oz.&amp;qid=1695259604&amp;sr=8-4</v>
      </c>
      <c r="F2754" t="s">
        <v>4590</v>
      </c>
      <c r="G2754" t="e">
        <f ca="1">IMAGE("https://prolisok-store.com/cdn/shop/files/51jz8tQragS._SL1500_300x.jpg?v=1682417093")</f>
        <v>#NAME?</v>
      </c>
      <c r="H2754" t="e">
        <f ca="1">IMAGE("https://m.media-amazon.com/images/I/61ZLgPkkTfL._AC_UL320_.jpg")</f>
        <v>#NAME?</v>
      </c>
      <c r="I2754" t="s">
        <v>4346</v>
      </c>
      <c r="J2754">
        <v>115</v>
      </c>
      <c r="K2754" s="2" t="s">
        <v>4591</v>
      </c>
      <c r="L2754">
        <v>4.5999999999999996</v>
      </c>
      <c r="M2754">
        <v>601</v>
      </c>
      <c r="O2754" t="s">
        <v>26</v>
      </c>
      <c r="P2754" t="s">
        <v>39</v>
      </c>
      <c r="Q2754" t="s">
        <v>4348</v>
      </c>
    </row>
    <row r="2755" spans="1:17" ht="15.75" x14ac:dyDescent="0.25">
      <c r="A2755" s="3" t="str">
        <f>HYPERLINK("https://prolisok-store.com/collections/skin-care/products/la-mer-the-moisturizing-soft-lotion", "https://prolisok-store.com/collections/skin-care/products/la-mer-the-moisturizing-soft-lotion")</f>
        <v>https://prolisok-store.com/collections/skin-care/products/la-mer-the-moisturizing-soft-lotion</v>
      </c>
      <c r="B2755" s="3" t="str">
        <f>HYPERLINK("https://prolisok-store.com/products/la-mer-the-moisturizing-soft-lotion", "https://prolisok-store.com/products/la-mer-the-moisturizing-soft-lotion")</f>
        <v>https://prolisok-store.com/products/la-mer-the-moisturizing-soft-lotion</v>
      </c>
      <c r="C2755" t="s">
        <v>4503</v>
      </c>
      <c r="D2755" t="s">
        <v>4592</v>
      </c>
      <c r="E2755" s="3" t="str">
        <f>HYPERLINK("https://www.amazon.com/Mer-Moisturizing-Matte-Lotion-1-7oz/dp/B071K9Q21H/ref=sr_1_3?keywords=La+Mer+The+Moisturizing+Soft+Lotion&amp;qid=1695259606&amp;sr=8-3", "https://www.amazon.com/Mer-Moisturizing-Matte-Lotion-1-7oz/dp/B071K9Q21H/ref=sr_1_3?keywords=La+Mer+The+Moisturizing+Soft+Lotion&amp;qid=1695259606&amp;sr=8-3")</f>
        <v>https://www.amazon.com/Mer-Moisturizing-Matte-Lotion-1-7oz/dp/B071K9Q21H/ref=sr_1_3?keywords=La+Mer+The+Moisturizing+Soft+Lotion&amp;qid=1695259606&amp;sr=8-3</v>
      </c>
      <c r="F2755" t="s">
        <v>4593</v>
      </c>
      <c r="G2755" t="e">
        <f ca="1">IMAGE("https://prolisok-store.com/cdn/shop/products/61uLYCnMy9L._SL1500_300x.jpg?v=1667997816")</f>
        <v>#NAME?</v>
      </c>
      <c r="H2755" t="e">
        <f ca="1">IMAGE("https://m.media-amazon.com/images/I/51nCt5bhYbL._AC_UL320_.jpg")</f>
        <v>#NAME?</v>
      </c>
      <c r="I2755" t="s">
        <v>4506</v>
      </c>
      <c r="J2755">
        <v>159.36000000000001</v>
      </c>
      <c r="K2755" s="2" t="s">
        <v>4594</v>
      </c>
      <c r="L2755">
        <v>3.9</v>
      </c>
      <c r="M2755">
        <v>19</v>
      </c>
      <c r="O2755" t="s">
        <v>26</v>
      </c>
      <c r="P2755" t="s">
        <v>39</v>
      </c>
      <c r="Q2755" t="s">
        <v>4508</v>
      </c>
    </row>
    <row r="2756" spans="1:17" ht="15.75" x14ac:dyDescent="0.25">
      <c r="A2756" s="3" t="str">
        <f>HYPERLINK("https://prolisok-store.com/collections/skin-care/products/la-mer-the-cleansing-foam-oz-4-2-ounce", "https://prolisok-store.com/collections/skin-care/products/la-mer-the-cleansing-foam-oz-4-2-ounce")</f>
        <v>https://prolisok-store.com/collections/skin-care/products/la-mer-the-cleansing-foam-oz-4-2-ounce</v>
      </c>
      <c r="B2756" s="3" t="str">
        <f>HYPERLINK("https://prolisok-store.com/products/la-mer-the-cleansing-foam-oz-4-2-ounce", "https://prolisok-store.com/products/la-mer-the-cleansing-foam-oz-4-2-ounce")</f>
        <v>https://prolisok-store.com/products/la-mer-the-cleansing-foam-oz-4-2-ounce</v>
      </c>
      <c r="C2756" t="s">
        <v>4620</v>
      </c>
      <c r="D2756" t="s">
        <v>4621</v>
      </c>
      <c r="E2756" s="3" t="str">
        <f>HYPERLINK("https://www.amazon.com/The-Cleansing-Foam-1-oz/dp/B078WLQJVQ/ref=sr_1_2?keywords=La+Mer+The+Cleansing+Foam%2C+Oz+4.2+Ounce&amp;qid=1695259592&amp;sr=8-2", "https://www.amazon.com/The-Cleansing-Foam-1-oz/dp/B078WLQJVQ/ref=sr_1_2?keywords=La+Mer+The+Cleansing+Foam%2C+Oz+4.2+Ounce&amp;qid=1695259592&amp;sr=8-2")</f>
        <v>https://www.amazon.com/The-Cleansing-Foam-1-oz/dp/B078WLQJVQ/ref=sr_1_2?keywords=La+Mer+The+Cleansing+Foam%2C+Oz+4.2+Ounce&amp;qid=1695259592&amp;sr=8-2</v>
      </c>
      <c r="F2756" t="s">
        <v>4622</v>
      </c>
      <c r="G2756" t="e">
        <f ca="1">IMAGE("https://prolisok-store.com/cdn/shop/products/61jRwk3Ar7L._SL1500_300x.jpg?v=1673868613")</f>
        <v>#NAME?</v>
      </c>
      <c r="H2756" t="e">
        <f ca="1">IMAGE("https://m.media-amazon.com/images/I/61jRwk3Ar7L._AC_UL320_.jpg")</f>
        <v>#NAME?</v>
      </c>
      <c r="I2756" t="s">
        <v>3587</v>
      </c>
      <c r="J2756">
        <v>105</v>
      </c>
      <c r="K2756" s="2" t="s">
        <v>4623</v>
      </c>
      <c r="L2756">
        <v>4.5999999999999996</v>
      </c>
      <c r="M2756">
        <v>3</v>
      </c>
      <c r="O2756" t="s">
        <v>26</v>
      </c>
      <c r="P2756" t="s">
        <v>39</v>
      </c>
      <c r="Q2756" t="s">
        <v>4624</v>
      </c>
    </row>
    <row r="2757" spans="1:17" ht="15.75" x14ac:dyDescent="0.25">
      <c r="A2757" s="3" t="str">
        <f>HYPERLINK("https://prolisok-store.com/collections/skin-care/products/zo-skin-health-wrinkle-texture-repair-0-5-retinol-1-7-oz-50ml-formerly-called-zo-medical-retamax%E2%84%A2-active-vitamin-a-micro-emulsion-0-5-retinol", "https://prolisok-store.com/collections/skin-care/products/zo-skin-health-wrinkle-texture-repair-0-5-retinol-1-7-oz-50ml-formerly-called-zo-medical-retamax%E2%84%A2-active-vitamin-a-micro-emulsion-0-5-retinol")</f>
        <v>https://prolisok-store.com/collections/skin-care/products/zo-skin-health-wrinkle-texture-repair-0-5-retinol-1-7-oz-50ml-formerly-called-zo-medical-retamax%E2%84%A2-active-vitamin-a-micro-emulsion-0-5-retinol</v>
      </c>
      <c r="B2757" s="3" t="str">
        <f>HYPERLINK("https://prolisok-store.com/products/zo-skin-health-wrinkle-texture-repair-0-5-retinol-1-7-oz-50ml-formerly-called-zo-medical-retamax%e2%84%a2-active-vitamin-a-micro-emulsion-0-5-retinol", "https://prolisok-store.com/products/zo-skin-health-wrinkle-texture-repair-0-5-retinol-1-7-oz-50ml-formerly-called-zo-medical-retamax%e2%84%a2-active-vitamin-a-micro-emulsion-0-5-retinol")</f>
        <v>https://prolisok-store.com/products/zo-skin-health-wrinkle-texture-repair-0-5-retinol-1-7-oz-50ml-formerly-called-zo-medical-retamax%e2%84%a2-active-vitamin-a-micro-emulsion-0-5-retinol</v>
      </c>
      <c r="C2757" t="s">
        <v>4582</v>
      </c>
      <c r="D2757" t="s">
        <v>4631</v>
      </c>
      <c r="E2757" s="3" t="str">
        <f>HYPERLINK("https://www.amazon.com/ZO-SKIN-HEALTH-WRINKLE-TEXTURE/dp/B08R282JKQ/ref=sr_1_1?keywords=ZO+Skin+Health+Wrinkle+Texture+Repair&amp;qid=1695259593&amp;sr=8-1", "https://www.amazon.com/ZO-SKIN-HEALTH-WRINKLE-TEXTURE/dp/B08R282JKQ/ref=sr_1_1?keywords=ZO+Skin+Health+Wrinkle+Texture+Repair&amp;qid=1695259593&amp;sr=8-1")</f>
        <v>https://www.amazon.com/ZO-SKIN-HEALTH-WRINKLE-TEXTURE/dp/B08R282JKQ/ref=sr_1_1?keywords=ZO+Skin+Health+Wrinkle+Texture+Repair&amp;qid=1695259593&amp;sr=8-1</v>
      </c>
      <c r="F2757" t="s">
        <v>4632</v>
      </c>
      <c r="G2757" t="e">
        <f ca="1">IMAGE("https://prolisok-store.com/cdn/shop/products/41Sp6bw4ThL_300x.jpg?v=1674059188")</f>
        <v>#NAME?</v>
      </c>
      <c r="H2757" t="e">
        <f ca="1">IMAGE("https://m.media-amazon.com/images/I/51b5qqh70OL._AC_UL320_.jpg")</f>
        <v>#NAME?</v>
      </c>
      <c r="I2757" t="s">
        <v>3404</v>
      </c>
      <c r="J2757">
        <v>64.989999999999995</v>
      </c>
      <c r="K2757" s="2" t="s">
        <v>4633</v>
      </c>
      <c r="L2757">
        <v>4.0999999999999996</v>
      </c>
      <c r="M2757">
        <v>51</v>
      </c>
      <c r="O2757" t="s">
        <v>26</v>
      </c>
      <c r="P2757" t="s">
        <v>39</v>
      </c>
      <c r="Q2757" t="s">
        <v>4586</v>
      </c>
    </row>
    <row r="2758" spans="1:17" ht="15.75" x14ac:dyDescent="0.25">
      <c r="A2758" s="3" t="str">
        <f>HYPERLINK("https://prolisok-store.com/collections/skin-care/products/obagi-professional-c-serum-10-vitamin-c-facial-serum-with-concentrated-10-l-ascorbic-acid-for-normal-to-oily-skin-1-0-fl-oz", "https://prolisok-store.com/collections/skin-care/products/obagi-professional-c-serum-10-vitamin-c-facial-serum-with-concentrated-10-l-ascorbic-acid-for-normal-to-oily-skin-1-0-fl-oz")</f>
        <v>https://prolisok-store.com/collections/skin-care/products/obagi-professional-c-serum-10-vitamin-c-facial-serum-with-concentrated-10-l-ascorbic-acid-for-normal-to-oily-skin-1-0-fl-oz</v>
      </c>
      <c r="B2758" s="3" t="str">
        <f>HYPERLINK("https://prolisok-store.com/products/obagi-professional-c-serum-10-vitamin-c-facial-serum-with-concentrated-10-l-ascorbic-acid-for-normal-to-oily-skin-1-0-fl-oz", "https://prolisok-store.com/products/obagi-professional-c-serum-10-vitamin-c-facial-serum-with-concentrated-10-l-ascorbic-acid-for-normal-to-oily-skin-1-0-fl-oz")</f>
        <v>https://prolisok-store.com/products/obagi-professional-c-serum-10-vitamin-c-facial-serum-with-concentrated-10-l-ascorbic-acid-for-normal-to-oily-skin-1-0-fl-oz</v>
      </c>
      <c r="C2758" t="s">
        <v>4343</v>
      </c>
      <c r="D2758" t="s">
        <v>4343</v>
      </c>
      <c r="E2758" s="3" t="str">
        <f>HYPERLINK("https://www.amazon.com/Obagi-Professional-C-Serum-Fl-Oz/dp/B00F6XZVXC/ref=sr_1_3?keywords=Obagi+Professional+C+Serum+10%25%2C+Vitamin+C+Facial+Serum+with+Concentrated+10%25+L+Ascorbic+Acid+for+Normal+to+Oily+Skin%2C+1.0+Fl+Oz.&amp;qid=1695259604&amp;rdc=1&amp;sr=8-3", "https://www.amazon.com/Obagi-Professional-C-Serum-Fl-Oz/dp/B00F6XZVXC/ref=sr_1_3?keywords=Obagi+Professional+C+Serum+10%25%2C+Vitamin+C+Facial+Serum+with+Concentrated+10%25+L+Ascorbic+Acid+for+Normal+to+Oily+Skin%2C+1.0+Fl+Oz.&amp;qid=1695259604&amp;rdc=1&amp;sr=8-3")</f>
        <v>https://www.amazon.com/Obagi-Professional-C-Serum-Fl-Oz/dp/B00F6XZVXC/ref=sr_1_3?keywords=Obagi+Professional+C+Serum+10%25%2C+Vitamin+C+Facial+Serum+with+Concentrated+10%25+L+Ascorbic+Acid+for+Normal+to+Oily+Skin%2C+1.0+Fl+Oz.&amp;qid=1695259604&amp;rdc=1&amp;sr=8-3</v>
      </c>
      <c r="F2758" t="s">
        <v>4666</v>
      </c>
      <c r="G2758" t="e">
        <f ca="1">IMAGE("https://prolisok-store.com/cdn/shop/files/51jz8tQragS._SL1500_300x.jpg?v=1682417093")</f>
        <v>#NAME?</v>
      </c>
      <c r="H2758" t="e">
        <f ca="1">IMAGE("https://m.media-amazon.com/images/I/51jz8tQragS._AC_UL320_.jpg")</f>
        <v>#NAME?</v>
      </c>
      <c r="I2758" t="s">
        <v>4346</v>
      </c>
      <c r="J2758">
        <v>100</v>
      </c>
      <c r="K2758" s="2" t="s">
        <v>4665</v>
      </c>
      <c r="L2758">
        <v>4.5999999999999996</v>
      </c>
      <c r="M2758">
        <v>454</v>
      </c>
      <c r="O2758" t="s">
        <v>26</v>
      </c>
      <c r="P2758" t="s">
        <v>39</v>
      </c>
      <c r="Q2758" t="s">
        <v>4348</v>
      </c>
    </row>
    <row r="2759" spans="1:17" ht="15.75" x14ac:dyDescent="0.25">
      <c r="A2759" s="3" t="str">
        <f>HYPERLINK("https://prolisok-store.com/collections/skin-care/products/zo-skin-health-daily-power-defense", "https://prolisok-store.com/collections/skin-care/products/zo-skin-health-daily-power-defense")</f>
        <v>https://prolisok-store.com/collections/skin-care/products/zo-skin-health-daily-power-defense</v>
      </c>
      <c r="B2759" s="3" t="str">
        <f>HYPERLINK("https://prolisok-store.com/products/zo-skin-health-daily-power-defense", "https://prolisok-store.com/products/zo-skin-health-daily-power-defense")</f>
        <v>https://prolisok-store.com/products/zo-skin-health-daily-power-defense</v>
      </c>
      <c r="C2759" t="s">
        <v>4393</v>
      </c>
      <c r="D2759" t="s">
        <v>4667</v>
      </c>
      <c r="E2759" s="3" t="str">
        <f>HYPERLINK("https://www.amazon.com/ZO-Health-Daily-Defense-Softgel/dp/B07QF1B66M/ref=sr_1_2?keywords=ZO+Skin+Health+Daily+Power+Defense&amp;qid=1695259592&amp;sr=8-2", "https://www.amazon.com/ZO-Health-Daily-Defense-Softgel/dp/B07QF1B66M/ref=sr_1_2?keywords=ZO+Skin+Health+Daily+Power+Defense&amp;qid=1695259592&amp;sr=8-2")</f>
        <v>https://www.amazon.com/ZO-Health-Daily-Defense-Softgel/dp/B07QF1B66M/ref=sr_1_2?keywords=ZO+Skin+Health+Daily+Power+Defense&amp;qid=1695259592&amp;sr=8-2</v>
      </c>
      <c r="F2759" t="s">
        <v>4668</v>
      </c>
      <c r="G2759" t="e">
        <f ca="1">IMAGE("https://prolisok-store.com/cdn/shop/files/dpd.mob.pdp.gbl_300x.png?v=1682669514")</f>
        <v>#NAME?</v>
      </c>
      <c r="H2759" t="e">
        <f ca="1">IMAGE("https://m.media-amazon.com/images/I/61qSFJrh1bL._AC_UL320_.jpg")</f>
        <v>#NAME?</v>
      </c>
      <c r="I2759" t="s">
        <v>3404</v>
      </c>
      <c r="J2759">
        <v>59.99</v>
      </c>
      <c r="K2759" s="2" t="s">
        <v>4669</v>
      </c>
      <c r="L2759">
        <v>4.5999999999999996</v>
      </c>
      <c r="M2759">
        <v>821</v>
      </c>
      <c r="O2759" t="s">
        <v>26</v>
      </c>
      <c r="P2759" t="s">
        <v>39</v>
      </c>
      <c r="Q2759" t="s">
        <v>4397</v>
      </c>
    </row>
    <row r="2760" spans="1:17" ht="15.75" x14ac:dyDescent="0.25">
      <c r="A2760" s="3" t="str">
        <f>HYPERLINK("https://prolisok-store.com/collections/skin-care/products/elizabeth-arden-capsules-serum", "https://prolisok-store.com/collections/skin-care/products/elizabeth-arden-capsules-serum")</f>
        <v>https://prolisok-store.com/collections/skin-care/products/elizabeth-arden-capsules-serum</v>
      </c>
      <c r="B2760" s="3" t="str">
        <f>HYPERLINK("https://prolisok-store.com/products/elizabeth-arden-capsules-serum", "https://prolisok-store.com/products/elizabeth-arden-capsules-serum")</f>
        <v>https://prolisok-store.com/products/elizabeth-arden-capsules-serum</v>
      </c>
      <c r="C2760" t="s">
        <v>4670</v>
      </c>
      <c r="D2760" t="s">
        <v>4674</v>
      </c>
      <c r="E2760" s="3" t="str">
        <f>HYPERLINK("https://www.amazon.com/Elizabeth-Arden-Retinol-Ceramide-Capsules/dp/B07TN8WFZJ/ref=sr_1_4?keywords=Elizabeth+Arden+Capsules+Serum&amp;qid=1695259597&amp;sr=8-4", "https://www.amazon.com/Elizabeth-Arden-Retinol-Ceramide-Capsules/dp/B07TN8WFZJ/ref=sr_1_4?keywords=Elizabeth+Arden+Capsules+Serum&amp;qid=1695259597&amp;sr=8-4")</f>
        <v>https://www.amazon.com/Elizabeth-Arden-Retinol-Ceramide-Capsules/dp/B07TN8WFZJ/ref=sr_1_4?keywords=Elizabeth+Arden+Capsules+Serum&amp;qid=1695259597&amp;sr=8-4</v>
      </c>
      <c r="F2760" t="s">
        <v>4675</v>
      </c>
      <c r="G2760" t="e">
        <f ca="1">IMAGE("https://prolisok-store.com/cdn/shop/files/71roxz2sB-L._SL1500_300x.jpg?v=1683266294")</f>
        <v>#NAME?</v>
      </c>
      <c r="H2760" t="e">
        <f ca="1">IMAGE("https://m.media-amazon.com/images/I/71-zjzKULCL._AC_UL320_.jpg")</f>
        <v>#NAME?</v>
      </c>
      <c r="I2760" t="s">
        <v>4355</v>
      </c>
      <c r="J2760">
        <v>120</v>
      </c>
      <c r="K2760" s="2" t="s">
        <v>4669</v>
      </c>
      <c r="L2760">
        <v>4.5</v>
      </c>
      <c r="M2760">
        <v>440</v>
      </c>
      <c r="O2760" t="s">
        <v>26</v>
      </c>
      <c r="P2760" t="s">
        <v>39</v>
      </c>
      <c r="Q2760" t="s">
        <v>4673</v>
      </c>
    </row>
    <row r="2761" spans="1:17" ht="15.75" x14ac:dyDescent="0.25">
      <c r="A2761" s="3" t="str">
        <f>HYPERLINK("https://prolisok-store.com/collections/skin-care/products/elizabeth-arden-capsules-serum", "https://prolisok-store.com/collections/skin-care/products/elizabeth-arden-capsules-serum")</f>
        <v>https://prolisok-store.com/collections/skin-care/products/elizabeth-arden-capsules-serum</v>
      </c>
      <c r="B2761" s="3" t="str">
        <f>HYPERLINK("https://prolisok-store.com/products/elizabeth-arden-capsules-serum", "https://prolisok-store.com/products/elizabeth-arden-capsules-serum")</f>
        <v>https://prolisok-store.com/products/elizabeth-arden-capsules-serum</v>
      </c>
      <c r="C2761" t="s">
        <v>4670</v>
      </c>
      <c r="D2761" t="s">
        <v>4671</v>
      </c>
      <c r="E2761" s="3" t="str">
        <f>HYPERLINK("https://www.amazon.com/Elizabeth-Arden-Advanced-Ceramide-Restoring/dp/B01N5HLNB8/ref=sr_1_1?keywords=Elizabeth+Arden+Capsules+Serum&amp;qid=1695259597&amp;sr=8-1", "https://www.amazon.com/Elizabeth-Arden-Advanced-Ceramide-Restoring/dp/B01N5HLNB8/ref=sr_1_1?keywords=Elizabeth+Arden+Capsules+Serum&amp;qid=1695259597&amp;sr=8-1")</f>
        <v>https://www.amazon.com/Elizabeth-Arden-Advanced-Ceramide-Restoring/dp/B01N5HLNB8/ref=sr_1_1?keywords=Elizabeth+Arden+Capsules+Serum&amp;qid=1695259597&amp;sr=8-1</v>
      </c>
      <c r="F2761" t="s">
        <v>4672</v>
      </c>
      <c r="G2761" t="e">
        <f ca="1">IMAGE("https://prolisok-store.com/cdn/shop/files/71roxz2sB-L._SL1500_300x.jpg?v=1683266294")</f>
        <v>#NAME?</v>
      </c>
      <c r="H2761" t="e">
        <f ca="1">IMAGE("https://m.media-amazon.com/images/I/71PpHwZRRuL._AC_UL320_.jpg")</f>
        <v>#NAME?</v>
      </c>
      <c r="I2761" t="s">
        <v>4355</v>
      </c>
      <c r="J2761">
        <v>120</v>
      </c>
      <c r="K2761" s="2" t="s">
        <v>4669</v>
      </c>
      <c r="L2761">
        <v>4.7</v>
      </c>
      <c r="M2761">
        <v>2049</v>
      </c>
      <c r="O2761" t="s">
        <v>26</v>
      </c>
      <c r="P2761" t="s">
        <v>39</v>
      </c>
      <c r="Q2761" t="s">
        <v>4673</v>
      </c>
    </row>
    <row r="2762" spans="1:17" ht="15.75" x14ac:dyDescent="0.25">
      <c r="A2762" s="3" t="str">
        <f>HYPERLINK("https://prolisok-store.com/collections/skin-care/products/clarins-extra-firming-neck-and-decollete-cream", "https://prolisok-store.com/collections/skin-care/products/clarins-extra-firming-neck-and-decollete-cream")</f>
        <v>https://prolisok-store.com/collections/skin-care/products/clarins-extra-firming-neck-and-decollete-cream</v>
      </c>
      <c r="B2762" s="3" t="str">
        <f>HYPERLINK("https://prolisok-store.com/products/clarins-extra-firming-neck-and-decollete-cream", "https://prolisok-store.com/products/clarins-extra-firming-neck-and-decollete-cream")</f>
        <v>https://prolisok-store.com/products/clarins-extra-firming-neck-and-decollete-cream</v>
      </c>
      <c r="C2762" t="s">
        <v>4574</v>
      </c>
      <c r="D2762" t="s">
        <v>4689</v>
      </c>
      <c r="E2762" s="3" t="str">
        <f>HYPERLINK("https://www.amazon.com/Clarins-Extra-Firming-Award-Winning-Anti-Aging-Moisturizer/dp/B084MDRPPJ/ref=sr_1_1?keywords=Clarins+Extra-Firming+Neck+and+D%C3%A9collet%C3%A9+Cream&amp;qid=1695259631&amp;sr=8-1", "https://www.amazon.com/Clarins-Extra-Firming-Award-Winning-Anti-Aging-Moisturizer/dp/B084MDRPPJ/ref=sr_1_1?keywords=Clarins+Extra-Firming+Neck+and+D%C3%A9collet%C3%A9+Cream&amp;qid=1695259631&amp;sr=8-1")</f>
        <v>https://www.amazon.com/Clarins-Extra-Firming-Award-Winning-Anti-Aging-Moisturizer/dp/B084MDRPPJ/ref=sr_1_1?keywords=Clarins+Extra-Firming+Neck+and+D%C3%A9collet%C3%A9+Cream&amp;qid=1695259631&amp;sr=8-1</v>
      </c>
      <c r="F2762" t="s">
        <v>4690</v>
      </c>
      <c r="G2762" t="e">
        <f ca="1">IMAGE("https://prolisok-store.com/cdn/shop/files/6188DnkFSjL._SL1500_300x.jpg?v=1682417456")</f>
        <v>#NAME?</v>
      </c>
      <c r="H2762" t="e">
        <f ca="1">IMAGE("https://m.media-amazon.com/images/I/6188DnkFSjL._AC_UL320_.jpg")</f>
        <v>#NAME?</v>
      </c>
      <c r="I2762" t="s">
        <v>4346</v>
      </c>
      <c r="J2762">
        <v>98</v>
      </c>
      <c r="K2762" s="2" t="s">
        <v>4691</v>
      </c>
      <c r="L2762">
        <v>4.3</v>
      </c>
      <c r="M2762">
        <v>168</v>
      </c>
      <c r="O2762" t="s">
        <v>26</v>
      </c>
      <c r="P2762" t="s">
        <v>39</v>
      </c>
      <c r="Q2762" t="s">
        <v>4578</v>
      </c>
    </row>
    <row r="2763" spans="1:17" ht="15.75" x14ac:dyDescent="0.25">
      <c r="A2763" s="3" t="str">
        <f>HYPERLINK("https://prolisok-store.com/collections/skin-care/products/facial-treatment-mask-10-pc", "https://prolisok-store.com/collections/skin-care/products/facial-treatment-mask-10-pc")</f>
        <v>https://prolisok-store.com/collections/skin-care/products/facial-treatment-mask-10-pc</v>
      </c>
      <c r="B2763" s="3" t="str">
        <f>HYPERLINK("https://prolisok-store.com/products/facial-treatment-mask-10-pc", "https://prolisok-store.com/products/facial-treatment-mask-10-pc")</f>
        <v>https://prolisok-store.com/products/facial-treatment-mask-10-pc</v>
      </c>
      <c r="C2763" t="s">
        <v>4705</v>
      </c>
      <c r="D2763" t="s">
        <v>4706</v>
      </c>
      <c r="E2763" s="3" t="str">
        <f>HYPERLINK("https://www.amazon.com/SK-II-Facial-Treatment-Mask-Sheets/dp/B099W3S5FM/ref=sr_1_8?keywords=SK-II+Facial+Treatment+Mask%2F10+pc.&amp;qid=1695259593&amp;sr=8-8", "https://www.amazon.com/SK-II-Facial-Treatment-Mask-Sheets/dp/B099W3S5FM/ref=sr_1_8?keywords=SK-II+Facial+Treatment+Mask%2F10+pc.&amp;qid=1695259593&amp;sr=8-8")</f>
        <v>https://www.amazon.com/SK-II-Facial-Treatment-Mask-Sheets/dp/B099W3S5FM/ref=sr_1_8?keywords=SK-II+Facial+Treatment+Mask%2F10+pc.&amp;qid=1695259593&amp;sr=8-8</v>
      </c>
      <c r="F2763" t="s">
        <v>4707</v>
      </c>
      <c r="G2763" t="e">
        <f ca="1">IMAGE("https://prolisok-store.com/cdn/shop/products/41oxreg7WTL_300x.jpg?v=1673964595")</f>
        <v>#NAME?</v>
      </c>
      <c r="H2763" t="e">
        <f ca="1">IMAGE("https://m.media-amazon.com/images/I/41C3++K4sNL._AC_UL320_.jpg")</f>
        <v>#NAME?</v>
      </c>
      <c r="I2763" t="s">
        <v>4346</v>
      </c>
      <c r="J2763">
        <v>96.5</v>
      </c>
      <c r="K2763" s="2" t="s">
        <v>4708</v>
      </c>
      <c r="L2763">
        <v>2.9</v>
      </c>
      <c r="M2763">
        <v>2</v>
      </c>
      <c r="O2763" t="s">
        <v>26</v>
      </c>
      <c r="P2763" t="s">
        <v>4709</v>
      </c>
      <c r="Q2763" t="s">
        <v>4710</v>
      </c>
    </row>
    <row r="2764" spans="1:17" ht="15.75" x14ac:dyDescent="0.25">
      <c r="A2764" s="3" t="str">
        <f>HYPERLINK("https://prolisok-store.com/collections/skin-care/products/clarins-double-serum", "https://prolisok-store.com/collections/skin-care/products/clarins-double-serum")</f>
        <v>https://prolisok-store.com/collections/skin-care/products/clarins-double-serum</v>
      </c>
      <c r="B2764" s="3" t="str">
        <f>HYPERLINK("https://prolisok-store.com/products/clarins-double-serum", "https://prolisok-store.com/products/clarins-double-serum")</f>
        <v>https://prolisok-store.com/products/clarins-double-serum</v>
      </c>
      <c r="C2764" t="s">
        <v>4711</v>
      </c>
      <c r="D2764" t="s">
        <v>4712</v>
      </c>
      <c r="E2764" s="3" t="str">
        <f>HYPERLINK("https://www.amazon.com/Clarins-Award-Winning-Anti-Aging-Ingredients-Ethnicities/dp/B07CRK4J3S/ref=sr_1_1?keywords=Clarins+Double+Serum&amp;qid=1695259593&amp;sr=8-1", "https://www.amazon.com/Clarins-Award-Winning-Anti-Aging-Ingredients-Ethnicities/dp/B07CRK4J3S/ref=sr_1_1?keywords=Clarins+Double+Serum&amp;qid=1695259593&amp;sr=8-1")</f>
        <v>https://www.amazon.com/Clarins-Award-Winning-Anti-Aging-Ingredients-Ethnicities/dp/B07CRK4J3S/ref=sr_1_1?keywords=Clarins+Double+Serum&amp;qid=1695259593&amp;sr=8-1</v>
      </c>
      <c r="F2764" t="s">
        <v>4713</v>
      </c>
      <c r="G2764" t="e">
        <f ca="1">IMAGE("https://prolisok-store.com/cdn/shop/products/717T_LvJhvL._SL1500_300x.jpg?v=1681306763")</f>
        <v>#NAME?</v>
      </c>
      <c r="H2764" t="e">
        <f ca="1">IMAGE("https://m.media-amazon.com/images/I/717T+LvJhvL._AC_UL320_.jpg")</f>
        <v>#NAME?</v>
      </c>
      <c r="I2764" t="s">
        <v>4506</v>
      </c>
      <c r="J2764">
        <v>134</v>
      </c>
      <c r="K2764" s="2" t="s">
        <v>4714</v>
      </c>
      <c r="L2764">
        <v>4.5999999999999996</v>
      </c>
      <c r="M2764">
        <v>1831</v>
      </c>
      <c r="O2764" t="s">
        <v>26</v>
      </c>
      <c r="P2764" t="s">
        <v>4715</v>
      </c>
      <c r="Q2764" t="s">
        <v>4716</v>
      </c>
    </row>
    <row r="2765" spans="1:17" ht="15.75" x14ac:dyDescent="0.25">
      <c r="A2765" s="3" t="str">
        <f>HYPERLINK("https://prolisok-store.com/collections/skin-care/products/clarins-double-serum", "https://prolisok-store.com/collections/skin-care/products/clarins-double-serum")</f>
        <v>https://prolisok-store.com/collections/skin-care/products/clarins-double-serum</v>
      </c>
      <c r="B2765" s="3" t="str">
        <f>HYPERLINK("https://prolisok-store.com/products/clarins-double-serum", "https://prolisok-store.com/products/clarins-double-serum")</f>
        <v>https://prolisok-store.com/products/clarins-double-serum</v>
      </c>
      <c r="C2765" t="s">
        <v>4711</v>
      </c>
      <c r="D2765" t="s">
        <v>4717</v>
      </c>
      <c r="E2765" s="3" t="str">
        <f>HYPERLINK("https://www.amazon.com/Clarins-Smoothes-Radiance-Ingredients-Turmeric/dp/B0BRR1ML5C/ref=sr_1_3?keywords=Clarins+Double+Serum&amp;qid=1695259593&amp;sr=8-3", "https://www.amazon.com/Clarins-Smoothes-Radiance-Ingredients-Turmeric/dp/B0BRR1ML5C/ref=sr_1_3?keywords=Clarins+Double+Serum&amp;qid=1695259593&amp;sr=8-3")</f>
        <v>https://www.amazon.com/Clarins-Smoothes-Radiance-Ingredients-Turmeric/dp/B0BRR1ML5C/ref=sr_1_3?keywords=Clarins+Double+Serum&amp;qid=1695259593&amp;sr=8-3</v>
      </c>
      <c r="F2765" t="s">
        <v>4718</v>
      </c>
      <c r="G2765" t="e">
        <f ca="1">IMAGE("https://prolisok-store.com/cdn/shop/products/717T_LvJhvL._SL1500_300x.jpg?v=1681306763")</f>
        <v>#NAME?</v>
      </c>
      <c r="H2765" t="e">
        <f ca="1">IMAGE("https://m.media-amazon.com/images/I/51i5jqShicL._AC_UL320_.jpg")</f>
        <v>#NAME?</v>
      </c>
      <c r="I2765" t="s">
        <v>4506</v>
      </c>
      <c r="J2765">
        <v>134</v>
      </c>
      <c r="K2765" s="2" t="s">
        <v>4714</v>
      </c>
      <c r="L2765">
        <v>4.5</v>
      </c>
      <c r="M2765">
        <v>43</v>
      </c>
      <c r="O2765" t="s">
        <v>26</v>
      </c>
      <c r="P2765" t="s">
        <v>4715</v>
      </c>
      <c r="Q2765" t="s">
        <v>4716</v>
      </c>
    </row>
    <row r="2766" spans="1:17" ht="15.75" x14ac:dyDescent="0.25">
      <c r="A2766" s="3" t="str">
        <f>HYPERLINK("https://prolisok-store.com/collections/skin-care/products/estee-lauder-perfectly-clean-multi-action-foam-cleanser-purifying-mask-150ml-5oz", "https://prolisok-store.com/collections/skin-care/products/estee-lauder-perfectly-clean-multi-action-foam-cleanser-purifying-mask-150ml-5oz")</f>
        <v>https://prolisok-store.com/collections/skin-care/products/estee-lauder-perfectly-clean-multi-action-foam-cleanser-purifying-mask-150ml-5oz</v>
      </c>
      <c r="B2766" s="3" t="str">
        <f>HYPERLINK("https://prolisok-store.com/products/estee-lauder-perfectly-clean-multi-action-foam-cleanser-purifying-mask-150ml-5oz", "https://prolisok-store.com/products/estee-lauder-perfectly-clean-multi-action-foam-cleanser-purifying-mask-150ml-5oz")</f>
        <v>https://prolisok-store.com/products/estee-lauder-perfectly-clean-multi-action-foam-cleanser-purifying-mask-150ml-5oz</v>
      </c>
      <c r="C2766" t="s">
        <v>6781</v>
      </c>
      <c r="D2766" t="s">
        <v>6782</v>
      </c>
      <c r="E2766" s="3" t="str">
        <f>HYPERLINK("https://www.amazon.com/Perfectly-Clean-Multi-Action-Cleanser-Purifying/dp/B075FYW5LB/ref=sr_1_4?keywords=Estee+Lauder+perfectly+clean+multi-action+foam+cleanser%2F+purifying+mask+150ml%2F5oz&amp;qid=1695259685&amp;sr=8-4", "https://www.amazon.com/Perfectly-Clean-Multi-Action-Cleanser-Purifying/dp/B075FYW5LB/ref=sr_1_4?keywords=Estee+Lauder+perfectly+clean+multi-action+foam+cleanser%2F+purifying+mask+150ml%2F5oz&amp;qid=1695259685&amp;sr=8-4")</f>
        <v>https://www.amazon.com/Perfectly-Clean-Multi-Action-Cleanser-Purifying/dp/B075FYW5LB/ref=sr_1_4?keywords=Estee+Lauder+perfectly+clean+multi-action+foam+cleanser%2F+purifying+mask+150ml%2F5oz&amp;qid=1695259685&amp;sr=8-4</v>
      </c>
      <c r="F2766" t="s">
        <v>6783</v>
      </c>
      <c r="G2766" t="e">
        <f ca="1">IMAGE("https://prolisok-store.com/cdn/shop/products/242828_300x.jpg?v=1690900205")</f>
        <v>#NAME?</v>
      </c>
      <c r="H2766" t="e">
        <f ca="1">IMAGE("https://m.media-amazon.com/images/I/41alHhO22HL._AC_UL320_.jpg")</f>
        <v>#NAME?</v>
      </c>
      <c r="I2766" t="s">
        <v>6784</v>
      </c>
      <c r="J2766">
        <v>59.99</v>
      </c>
      <c r="K2766" s="2" t="s">
        <v>6785</v>
      </c>
      <c r="L2766">
        <v>4.4000000000000004</v>
      </c>
      <c r="M2766">
        <v>7</v>
      </c>
      <c r="O2766" t="s">
        <v>26</v>
      </c>
      <c r="P2766" t="s">
        <v>39</v>
      </c>
      <c r="Q2766" t="s">
        <v>6786</v>
      </c>
    </row>
    <row r="2767" spans="1:17" ht="15.75" x14ac:dyDescent="0.25">
      <c r="A2767" s="3" t="str">
        <f>HYPERLINK("https://prolisok-store.com/collections/skin-care/products/la-mer-the-lifting-contour-serum-1-ounce", "https://prolisok-store.com/collections/skin-care/products/la-mer-the-lifting-contour-serum-1-ounce")</f>
        <v>https://prolisok-store.com/collections/skin-care/products/la-mer-the-lifting-contour-serum-1-ounce</v>
      </c>
      <c r="B2767" s="3" t="str">
        <f>HYPERLINK("https://prolisok-store.com/products/la-mer-the-lifting-contour-serum-1-ounce", "https://prolisok-store.com/products/la-mer-the-lifting-contour-serum-1-ounce")</f>
        <v>https://prolisok-store.com/products/la-mer-the-lifting-contour-serum-1-ounce</v>
      </c>
      <c r="C2767" t="s">
        <v>4722</v>
      </c>
      <c r="D2767" t="s">
        <v>4722</v>
      </c>
      <c r="E2767" s="3" t="str">
        <f>HYPERLINK("https://www.amazon.com/Mer-Lifting-Contour-Serum-Ounce/dp/B00HKGBS1M/ref=sr_1_1?keywords=La+Mer+The+Lifting+Contour+Serum+-+1+Ounce&amp;qid=1695259600&amp;sr=8-1", "https://www.amazon.com/Mer-Lifting-Contour-Serum-Ounce/dp/B00HKGBS1M/ref=sr_1_1?keywords=La+Mer+The+Lifting+Contour+Serum+-+1+Ounce&amp;qid=1695259600&amp;sr=8-1")</f>
        <v>https://www.amazon.com/Mer-Lifting-Contour-Serum-Ounce/dp/B00HKGBS1M/ref=sr_1_1?keywords=La+Mer+The+Lifting+Contour+Serum+-+1+Ounce&amp;qid=1695259600&amp;sr=8-1</v>
      </c>
      <c r="F2767" t="s">
        <v>4723</v>
      </c>
      <c r="G2767" t="e">
        <f ca="1">IMAGE("https://prolisok-store.com/cdn/shop/products/717bDV5rGCL._SL1500_300x.jpg?v=1668000446")</f>
        <v>#NAME?</v>
      </c>
      <c r="H2767" t="e">
        <f ca="1">IMAGE("https://m.media-amazon.com/images/I/717bDV5rGCL._AC_UL320_.jpg")</f>
        <v>#NAME?</v>
      </c>
      <c r="I2767" t="s">
        <v>4724</v>
      </c>
      <c r="J2767">
        <v>245.99</v>
      </c>
      <c r="K2767" s="2" t="s">
        <v>4725</v>
      </c>
      <c r="L2767">
        <v>4.2</v>
      </c>
      <c r="M2767">
        <v>44</v>
      </c>
      <c r="O2767" t="s">
        <v>26</v>
      </c>
      <c r="P2767" t="s">
        <v>39</v>
      </c>
      <c r="Q2767" t="s">
        <v>4726</v>
      </c>
    </row>
    <row r="2768" spans="1:17" ht="15.75" x14ac:dyDescent="0.25">
      <c r="A2768" s="3" t="str">
        <f>HYPERLINK("https://prolisok-store.com/collections/skin-care/products/la-mer-brume-de-the-mist-100ml-3-4oz", "https://prolisok-store.com/collections/skin-care/products/la-mer-brume-de-the-mist-100ml-3-4oz")</f>
        <v>https://prolisok-store.com/collections/skin-care/products/la-mer-brume-de-the-mist-100ml-3-4oz</v>
      </c>
      <c r="B2768" s="3" t="str">
        <f>HYPERLINK("https://prolisok-store.com/products/la-mer-brume-de-the-mist-100ml-3-4oz", "https://prolisok-store.com/products/la-mer-brume-de-the-mist-100ml-3-4oz")</f>
        <v>https://prolisok-store.com/products/la-mer-brume-de-the-mist-100ml-3-4oz</v>
      </c>
      <c r="C2768" t="s">
        <v>4701</v>
      </c>
      <c r="D2768" t="s">
        <v>6787</v>
      </c>
      <c r="E2768" s="3" t="str">
        <f>HYPERLINK("https://www.amazon.com/Mer-Brume-Mist-100ml-3-4oz/dp/B00NM6S7ZE/ref=sr_1_1?keywords=La+Mer+Brume+De+The+Mist+100ml%2F3.4oz&amp;qid=1695259607&amp;sr=8-1", "https://www.amazon.com/Mer-Brume-Mist-100ml-3-4oz/dp/B00NM6S7ZE/ref=sr_1_1?keywords=La+Mer+Brume+De+The+Mist+100ml%2F3.4oz&amp;qid=1695259607&amp;sr=8-1")</f>
        <v>https://www.amazon.com/Mer-Brume-Mist-100ml-3-4oz/dp/B00NM6S7ZE/ref=sr_1_1?keywords=La+Mer+Brume+De+The+Mist+100ml%2F3.4oz&amp;qid=1695259607&amp;sr=8-1</v>
      </c>
      <c r="F2768" t="s">
        <v>6788</v>
      </c>
      <c r="G2768" t="e">
        <f ca="1">IMAGE("https://prolisok-store.com/cdn/shop/products/712TGv3btkL._SL1500_300x.jpg?v=1673880914")</f>
        <v>#NAME?</v>
      </c>
      <c r="H2768" t="e">
        <f ca="1">IMAGE("https://m.media-amazon.com/images/I/51LoIimQnDL._AC_UL320_.jpg")</f>
        <v>#NAME?</v>
      </c>
      <c r="I2768" t="s">
        <v>3476</v>
      </c>
      <c r="J2768">
        <v>71.41</v>
      </c>
      <c r="K2768" s="2" t="s">
        <v>6789</v>
      </c>
      <c r="L2768">
        <v>4.5</v>
      </c>
      <c r="M2768">
        <v>62</v>
      </c>
      <c r="O2768" t="s">
        <v>26</v>
      </c>
      <c r="P2768" t="s">
        <v>39</v>
      </c>
      <c r="Q2768" t="s">
        <v>4704</v>
      </c>
    </row>
    <row r="2769" spans="1:17" ht="15.75" x14ac:dyDescent="0.25">
      <c r="A2769" s="3" t="str">
        <f>HYPERLINK("https://prolisok-store.com/collections/skin-care/products/facial-treatment-mask-10-pc", "https://prolisok-store.com/collections/skin-care/products/facial-treatment-mask-10-pc")</f>
        <v>https://prolisok-store.com/collections/skin-care/products/facial-treatment-mask-10-pc</v>
      </c>
      <c r="B2769" s="3" t="str">
        <f>HYPERLINK("https://prolisok-store.com/products/facial-treatment-mask-10-pc", "https://prolisok-store.com/products/facial-treatment-mask-10-pc")</f>
        <v>https://prolisok-store.com/products/facial-treatment-mask-10-pc</v>
      </c>
      <c r="C2769" t="s">
        <v>4705</v>
      </c>
      <c r="D2769" t="s">
        <v>4764</v>
      </c>
      <c r="E2769" s="3" t="str">
        <f>HYPERLINK("https://www.amazon.com/SK-II-FACIAL-TREATMENT-MASK-SHEET/dp/B01M6YV69X/ref=sr_1_3?keywords=SK-II+Facial+Treatment+Mask%2F10+pc.&amp;qid=1695259593&amp;sr=8-3", "https://www.amazon.com/SK-II-FACIAL-TREATMENT-MASK-SHEET/dp/B01M6YV69X/ref=sr_1_3?keywords=SK-II+Facial+Treatment+Mask%2F10+pc.&amp;qid=1695259593&amp;sr=8-3")</f>
        <v>https://www.amazon.com/SK-II-FACIAL-TREATMENT-MASK-SHEET/dp/B01M6YV69X/ref=sr_1_3?keywords=SK-II+Facial+Treatment+Mask%2F10+pc.&amp;qid=1695259593&amp;sr=8-3</v>
      </c>
      <c r="F2769" t="s">
        <v>4765</v>
      </c>
      <c r="G2769" t="e">
        <f ca="1">IMAGE("https://prolisok-store.com/cdn/shop/products/41oxreg7WTL_300x.jpg?v=1673964595")</f>
        <v>#NAME?</v>
      </c>
      <c r="H2769" t="e">
        <f ca="1">IMAGE("https://m.media-amazon.com/images/I/61L4A4vc9aL._AC_UL320_.jpg")</f>
        <v>#NAME?</v>
      </c>
      <c r="I2769" t="s">
        <v>4346</v>
      </c>
      <c r="J2769">
        <v>88</v>
      </c>
      <c r="K2769" s="2" t="s">
        <v>4766</v>
      </c>
      <c r="L2769">
        <v>4.0999999999999996</v>
      </c>
      <c r="M2769">
        <v>79</v>
      </c>
      <c r="O2769" t="s">
        <v>26</v>
      </c>
      <c r="P2769" t="s">
        <v>4709</v>
      </c>
      <c r="Q2769" t="s">
        <v>4710</v>
      </c>
    </row>
    <row r="2770" spans="1:17" ht="15.75" x14ac:dyDescent="0.25">
      <c r="A2770" s="3" t="str">
        <f>HYPERLINK("https://prolisok-store.com/collections/skin-care/products/elixir-superieur-enrich-wrinkle-cream-l-22g", "https://prolisok-store.com/collections/skin-care/products/elixir-superieur-enrich-wrinkle-cream-l-22g")</f>
        <v>https://prolisok-store.com/collections/skin-care/products/elixir-superieur-enrich-wrinkle-cream-l-22g</v>
      </c>
      <c r="B2770" s="3" t="str">
        <f>HYPERLINK("https://prolisok-store.com/products/elixir-superieur-enrich-wrinkle-cream-l-22g", "https://prolisok-store.com/products/elixir-superieur-enrich-wrinkle-cream-l-22g")</f>
        <v>https://prolisok-store.com/products/elixir-superieur-enrich-wrinkle-cream-l-22g</v>
      </c>
      <c r="C2770" t="s">
        <v>4374</v>
      </c>
      <c r="D2770" t="s">
        <v>4776</v>
      </c>
      <c r="E2770" s="3" t="str">
        <f>HYPERLINK("https://www.amazon.com/ELIXIR-SUPERIEUR-Superieur-Enriched-Wrinkle/dp/B07CPWRYKB/ref=sr_1_1?keywords=ELIXIR+SUPERIEUR+Enriched+Wrinkle+Cream+L+22g&amp;qid=1695259670&amp;sr=8-1", "https://www.amazon.com/ELIXIR-SUPERIEUR-Superieur-Enriched-Wrinkle/dp/B07CPWRYKB/ref=sr_1_1?keywords=ELIXIR+SUPERIEUR+Enriched+Wrinkle+Cream+L+22g&amp;qid=1695259670&amp;sr=8-1")</f>
        <v>https://www.amazon.com/ELIXIR-SUPERIEUR-Superieur-Enriched-Wrinkle/dp/B07CPWRYKB/ref=sr_1_1?keywords=ELIXIR+SUPERIEUR+Enriched+Wrinkle+Cream+L+22g&amp;qid=1695259670&amp;sr=8-1</v>
      </c>
      <c r="F2770" t="s">
        <v>4777</v>
      </c>
      <c r="G2770" t="e">
        <f ca="1">IMAGE("https://prolisok-store.com/cdn/shop/files/61mKag_0VYL._SL1500_300x.jpg?v=1692865233")</f>
        <v>#NAME?</v>
      </c>
      <c r="H2770" t="e">
        <f ca="1">IMAGE("https://m.media-amazon.com/images/I/61mKag+0VYL._AC_UL320_.jpg")</f>
        <v>#NAME?</v>
      </c>
      <c r="I2770" t="s">
        <v>3476</v>
      </c>
      <c r="J2770">
        <v>69.989999999999995</v>
      </c>
      <c r="K2770" s="2" t="s">
        <v>4778</v>
      </c>
      <c r="L2770">
        <v>4.2</v>
      </c>
      <c r="M2770">
        <v>444</v>
      </c>
      <c r="O2770" t="s">
        <v>26</v>
      </c>
      <c r="P2770" t="s">
        <v>39</v>
      </c>
      <c r="Q2770" t="s">
        <v>4378</v>
      </c>
    </row>
    <row r="2771" spans="1:17" ht="15.75" x14ac:dyDescent="0.25">
      <c r="A2771" s="3" t="str">
        <f>HYPERLINK("https://prolisok-store.com/collections/skin-care/products/clarins-re-move-micellar-cleansing-water-200ml-6-8oz", "https://prolisok-store.com/collections/skin-care/products/clarins-re-move-micellar-cleansing-water-200ml-6-8oz")</f>
        <v>https://prolisok-store.com/collections/skin-care/products/clarins-re-move-micellar-cleansing-water-200ml-6-8oz</v>
      </c>
      <c r="B2771" s="3" t="str">
        <f>HYPERLINK("https://prolisok-store.com/products/clarins-re-move-micellar-cleansing-water-200ml-6-8oz", "https://prolisok-store.com/products/clarins-re-move-micellar-cleansing-water-200ml-6-8oz")</f>
        <v>https://prolisok-store.com/products/clarins-re-move-micellar-cleansing-water-200ml-6-8oz</v>
      </c>
      <c r="C2771" t="s">
        <v>6790</v>
      </c>
      <c r="D2771" t="s">
        <v>6791</v>
      </c>
      <c r="E2771" s="3" t="str">
        <f>HYPERLINK("https://www.amazon.com/Clarins-Micellar-Cleansing-Water-200ml/dp/B08B847XJS/ref=sr_1_1?keywords=Clarins+remove+micellar+cleansing+water+200ml%2F6.8oz&amp;qid=1695259668&amp;sr=8-1", "https://www.amazon.com/Clarins-Micellar-Cleansing-Water-200ml/dp/B08B847XJS/ref=sr_1_1?keywords=Clarins+remove+micellar+cleansing+water+200ml%2F6.8oz&amp;qid=1695259668&amp;sr=8-1")</f>
        <v>https://www.amazon.com/Clarins-Micellar-Cleansing-Water-200ml/dp/B08B847XJS/ref=sr_1_1?keywords=Clarins+remove+micellar+cleansing+water+200ml%2F6.8oz&amp;qid=1695259668&amp;sr=8-1</v>
      </c>
      <c r="F2771" t="s">
        <v>6792</v>
      </c>
      <c r="G2771" t="e">
        <f ca="1">IMAGE("https://prolisok-store.com/cdn/shop/products/378038_300x.jpg?v=1693406758")</f>
        <v>#NAME?</v>
      </c>
      <c r="H2771" t="e">
        <f ca="1">IMAGE("https://m.media-amazon.com/images/I/61M7tP3YDZL._AC_UL320_.jpg")</f>
        <v>#NAME?</v>
      </c>
      <c r="I2771" t="s">
        <v>6793</v>
      </c>
      <c r="J2771">
        <v>33</v>
      </c>
      <c r="K2771" s="2" t="s">
        <v>6794</v>
      </c>
      <c r="L2771">
        <v>4.5999999999999996</v>
      </c>
      <c r="M2771">
        <v>65</v>
      </c>
      <c r="O2771" t="s">
        <v>26</v>
      </c>
      <c r="P2771" t="s">
        <v>39</v>
      </c>
      <c r="Q2771" t="s">
        <v>6795</v>
      </c>
    </row>
    <row r="2772" spans="1:17" ht="15.75" x14ac:dyDescent="0.25">
      <c r="A2772" s="3" t="str">
        <f>HYPERLINK("https://prolisok-store.com/collections/skin-care/products/soir-de-lune-by-sisley-body-cream-5-oz", "https://prolisok-store.com/collections/skin-care/products/soir-de-lune-by-sisley-body-cream-5-oz")</f>
        <v>https://prolisok-store.com/collections/skin-care/products/soir-de-lune-by-sisley-body-cream-5-oz</v>
      </c>
      <c r="B2772" s="3" t="str">
        <f>HYPERLINK("https://prolisok-store.com/products/soir-de-lune-by-sisley-body-cream-5-oz", "https://prolisok-store.com/products/soir-de-lune-by-sisley-body-cream-5-oz")</f>
        <v>https://prolisok-store.com/products/soir-de-lune-by-sisley-body-cream-5-oz</v>
      </c>
      <c r="C2772" t="s">
        <v>6796</v>
      </c>
      <c r="D2772" t="s">
        <v>6797</v>
      </c>
      <c r="E2772" s="3" t="str">
        <f>HYPERLINK("https://www.amazon.com/Sisley-Soir-Lune-Coffret-Lotion/dp/B016DHKAYY/ref=sr_1_9?keywords=Soir+de+lune+by+sisley+body+cream+5+oz&amp;qid=1695259689&amp;sr=8-9", "https://www.amazon.com/Sisley-Soir-Lune-Coffret-Lotion/dp/B016DHKAYY/ref=sr_1_9?keywords=Soir+de+lune+by+sisley+body+cream+5+oz&amp;qid=1695259689&amp;sr=8-9")</f>
        <v>https://www.amazon.com/Sisley-Soir-Lune-Coffret-Lotion/dp/B016DHKAYY/ref=sr_1_9?keywords=Soir+de+lune+by+sisley+body+cream+5+oz&amp;qid=1695259689&amp;sr=8-9</v>
      </c>
      <c r="F2772" t="s">
        <v>6798</v>
      </c>
      <c r="G2772" t="e">
        <f ca="1">IMAGE("https://prolisok-store.com/cdn/shop/products/203574_300x.jpg?v=1690901025")</f>
        <v>#NAME?</v>
      </c>
      <c r="H2772" t="e">
        <f ca="1">IMAGE("https://m.media-amazon.com/images/I/51Dii6kIF4L._AC_UL320_.jpg")</f>
        <v>#NAME?</v>
      </c>
      <c r="I2772" t="s">
        <v>6799</v>
      </c>
      <c r="J2772">
        <v>200.64</v>
      </c>
      <c r="K2772" s="2" t="s">
        <v>6800</v>
      </c>
      <c r="L2772">
        <v>2</v>
      </c>
      <c r="M2772">
        <v>1</v>
      </c>
      <c r="O2772" t="s">
        <v>26</v>
      </c>
      <c r="P2772" t="s">
        <v>39</v>
      </c>
      <c r="Q2772" t="s">
        <v>6801</v>
      </c>
    </row>
    <row r="2773" spans="1:17" ht="15.75" x14ac:dyDescent="0.25">
      <c r="A2773" s="3" t="str">
        <f>HYPERLINK("https://prolisok-store.com/collections/skin-care/products/elizabeth-arden-eight-hour-cream-lip-protectant-13ml-0-43oz", "https://prolisok-store.com/collections/skin-care/products/elizabeth-arden-eight-hour-cream-lip-protectant-13ml-0-43oz")</f>
        <v>https://prolisok-store.com/collections/skin-care/products/elizabeth-arden-eight-hour-cream-lip-protectant-13ml-0-43oz</v>
      </c>
      <c r="B2773" s="3" t="str">
        <f>HYPERLINK("https://prolisok-store.com/products/elizabeth-arden-eight-hour-cream-lip-protectant-13ml-0-43oz", "https://prolisok-store.com/products/elizabeth-arden-eight-hour-cream-lip-protectant-13ml-0-43oz")</f>
        <v>https://prolisok-store.com/products/elizabeth-arden-eight-hour-cream-lip-protectant-13ml-0-43oz</v>
      </c>
      <c r="C2773" t="s">
        <v>6802</v>
      </c>
      <c r="D2773" t="s">
        <v>6065</v>
      </c>
      <c r="E2773" s="3" t="str">
        <f>HYPERLINK("https://www.amazon.com/Elizabeth-Arden-Eight-Protectant-Sunscreen/dp/B00375L8R4/ref=sr_1_2?keywords=Elizabeth+Arden+eight+hour+cream+lip+protectant+13ml%2F0.43oz&amp;qid=1695259641&amp;sr=8-2", "https://www.amazon.com/Elizabeth-Arden-Eight-Protectant-Sunscreen/dp/B00375L8R4/ref=sr_1_2?keywords=Elizabeth+Arden+eight+hour+cream+lip+protectant+13ml%2F0.43oz&amp;qid=1695259641&amp;sr=8-2")</f>
        <v>https://www.amazon.com/Elizabeth-Arden-Eight-Protectant-Sunscreen/dp/B00375L8R4/ref=sr_1_2?keywords=Elizabeth+Arden+eight+hour+cream+lip+protectant+13ml%2F0.43oz&amp;qid=1695259641&amp;sr=8-2</v>
      </c>
      <c r="F2773" t="s">
        <v>6066</v>
      </c>
      <c r="G2773" t="e">
        <f ca="1">IMAGE("https://prolisok-store.com/cdn/shop/products/253579_300x.jpg?v=1693407140")</f>
        <v>#NAME?</v>
      </c>
      <c r="H2773" t="e">
        <f ca="1">IMAGE("https://m.media-amazon.com/images/I/61O-2zI9cgL._AC_UL320_.jpg")</f>
        <v>#NAME?</v>
      </c>
      <c r="I2773" t="s">
        <v>5321</v>
      </c>
      <c r="J2773">
        <v>25</v>
      </c>
      <c r="K2773" s="2" t="s">
        <v>6803</v>
      </c>
      <c r="L2773">
        <v>4.4000000000000004</v>
      </c>
      <c r="M2773">
        <v>4316</v>
      </c>
      <c r="O2773" t="s">
        <v>26</v>
      </c>
      <c r="P2773" t="s">
        <v>39</v>
      </c>
      <c r="Q2773" t="s">
        <v>6804</v>
      </c>
    </row>
    <row r="2774" spans="1:17" ht="15.75" x14ac:dyDescent="0.25">
      <c r="A2774" s="3" t="str">
        <f>HYPERLINK("https://prolisok-store.com/collections/skin-care/products/elizabeth-arden-capsules-serum", "https://prolisok-store.com/collections/skin-care/products/elizabeth-arden-capsules-serum")</f>
        <v>https://prolisok-store.com/collections/skin-care/products/elizabeth-arden-capsules-serum</v>
      </c>
      <c r="B2774" s="3" t="str">
        <f>HYPERLINK("https://prolisok-store.com/products/elizabeth-arden-capsules-serum", "https://prolisok-store.com/products/elizabeth-arden-capsules-serum")</f>
        <v>https://prolisok-store.com/products/elizabeth-arden-capsules-serum</v>
      </c>
      <c r="C2774" t="s">
        <v>4670</v>
      </c>
      <c r="D2774" t="s">
        <v>4795</v>
      </c>
      <c r="E2774" s="3" t="str">
        <f>HYPERLINK("https://www.amazon.com/Elizabeth-Arden-Ceramide-Capsules-Skincare/dp/B09BP4ZQMX/ref=sr_1_8?keywords=Elizabeth+Arden+Capsules+Serum&amp;qid=1695259597&amp;sr=8-8", "https://www.amazon.com/Elizabeth-Arden-Ceramide-Capsules-Skincare/dp/B09BP4ZQMX/ref=sr_1_8?keywords=Elizabeth+Arden+Capsules+Serum&amp;qid=1695259597&amp;sr=8-8")</f>
        <v>https://www.amazon.com/Elizabeth-Arden-Ceramide-Capsules-Skincare/dp/B09BP4ZQMX/ref=sr_1_8?keywords=Elizabeth+Arden+Capsules+Serum&amp;qid=1695259597&amp;sr=8-8</v>
      </c>
      <c r="F2774" t="s">
        <v>4796</v>
      </c>
      <c r="G2774" t="e">
        <f ca="1">IMAGE("https://prolisok-store.com/cdn/shop/files/71roxz2sB-L._SL1500_300x.jpg?v=1683266294")</f>
        <v>#NAME?</v>
      </c>
      <c r="H2774" t="e">
        <f ca="1">IMAGE("https://m.media-amazon.com/images/I/61mIX4sU8HL._AC_UL320_.jpg")</f>
        <v>#NAME?</v>
      </c>
      <c r="I2774" t="s">
        <v>4355</v>
      </c>
      <c r="J2774">
        <v>104</v>
      </c>
      <c r="K2774" s="2" t="s">
        <v>4797</v>
      </c>
      <c r="L2774">
        <v>4.7</v>
      </c>
      <c r="M2774">
        <v>21</v>
      </c>
      <c r="O2774" t="s">
        <v>26</v>
      </c>
      <c r="P2774" t="s">
        <v>39</v>
      </c>
      <c r="Q2774" t="s">
        <v>4673</v>
      </c>
    </row>
    <row r="2775" spans="1:17" ht="15.75" x14ac:dyDescent="0.25">
      <c r="A2775" s="3" t="str">
        <f>HYPERLINK("https://prolisok-store.com/collections/skin-care/products/la-mer-the-moisturizing-soft-lotion", "https://prolisok-store.com/collections/skin-care/products/la-mer-the-moisturizing-soft-lotion")</f>
        <v>https://prolisok-store.com/collections/skin-care/products/la-mer-the-moisturizing-soft-lotion</v>
      </c>
      <c r="B2775" s="3" t="str">
        <f>HYPERLINK("https://prolisok-store.com/products/la-mer-the-moisturizing-soft-lotion", "https://prolisok-store.com/products/la-mer-the-moisturizing-soft-lotion")</f>
        <v>https://prolisok-store.com/products/la-mer-the-moisturizing-soft-lotion</v>
      </c>
      <c r="C2775" t="s">
        <v>4503</v>
      </c>
      <c r="D2775" t="s">
        <v>4503</v>
      </c>
      <c r="E2775" s="3" t="str">
        <f>HYPERLINK("https://www.amazon.com/Mer-Moisturizing-Soft-Lotion/dp/B01HTZJWNY/ref=sr_1_2?keywords=La+Mer+The+Moisturizing+Soft+Lotion&amp;qid=1695259606&amp;sr=8-2", "https://www.amazon.com/Mer-Moisturizing-Soft-Lotion/dp/B01HTZJWNY/ref=sr_1_2?keywords=La+Mer+The+Moisturizing+Soft+Lotion&amp;qid=1695259606&amp;sr=8-2")</f>
        <v>https://www.amazon.com/Mer-Moisturizing-Soft-Lotion/dp/B01HTZJWNY/ref=sr_1_2?keywords=La+Mer+The+Moisturizing+Soft+Lotion&amp;qid=1695259606&amp;sr=8-2</v>
      </c>
      <c r="F2775" t="s">
        <v>4806</v>
      </c>
      <c r="G2775" t="e">
        <f ca="1">IMAGE("https://prolisok-store.com/cdn/shop/products/61uLYCnMy9L._SL1500_300x.jpg?v=1667997816")</f>
        <v>#NAME?</v>
      </c>
      <c r="H2775" t="e">
        <f ca="1">IMAGE("https://m.media-amazon.com/images/I/519r-aIFaHL._AC_UL320_.jpg")</f>
        <v>#NAME?</v>
      </c>
      <c r="I2775" t="s">
        <v>4506</v>
      </c>
      <c r="J2775">
        <v>120</v>
      </c>
      <c r="K2775" s="2" t="s">
        <v>4807</v>
      </c>
      <c r="L2775">
        <v>3.8</v>
      </c>
      <c r="M2775">
        <v>45</v>
      </c>
      <c r="O2775" t="s">
        <v>26</v>
      </c>
      <c r="P2775" t="s">
        <v>39</v>
      </c>
      <c r="Q2775" t="s">
        <v>4508</v>
      </c>
    </row>
    <row r="2776" spans="1:17" ht="15.75" x14ac:dyDescent="0.25">
      <c r="A2776" s="3" t="str">
        <f>HYPERLINK("https://prolisok-store.com/collections/skin-care/products/obagi-professional-c-serum-20-vitamin-c-facial-serum-with-concentrated-20-l-ascorbic-acid-for-normal-to-oily-skin-1-0-fl-oz", "https://prolisok-store.com/collections/skin-care/products/obagi-professional-c-serum-20-vitamin-c-facial-serum-with-concentrated-20-l-ascorbic-acid-for-normal-to-oily-skin-1-0-fl-oz")</f>
        <v>https://prolisok-store.com/collections/skin-care/products/obagi-professional-c-serum-20-vitamin-c-facial-serum-with-concentrated-20-l-ascorbic-acid-for-normal-to-oily-skin-1-0-fl-oz</v>
      </c>
      <c r="B2776" s="3" t="str">
        <f>HYPERLINK("https://prolisok-store.com/products/obagi-professional-c-serum-20-vitamin-c-facial-serum-with-concentrated-20-l-ascorbic-acid-for-normal-to-oily-skin-1-0-fl-oz", "https://prolisok-store.com/products/obagi-professional-c-serum-20-vitamin-c-facial-serum-with-concentrated-20-l-ascorbic-acid-for-normal-to-oily-skin-1-0-fl-oz")</f>
        <v>https://prolisok-store.com/products/obagi-professional-c-serum-20-vitamin-c-facial-serum-with-concentrated-20-l-ascorbic-acid-for-normal-to-oily-skin-1-0-fl-oz</v>
      </c>
      <c r="C2776" t="s">
        <v>4354</v>
      </c>
      <c r="D2776" t="s">
        <v>4343</v>
      </c>
      <c r="E2776" s="3" t="str">
        <f>HYPERLINK("https://www.amazon.com/Obagi-Professional-C-Serum-Fl-Oz/dp/B00F6XZVXC/ref=sr_1_4?keywords=Obagi+Professional+C+Serum+20%25%2C+Vitamin+C+Facial+Serum+with+Concentrated+20%25+L+Ascorbic+Acid+for+Normal+to+Oily+Skin%2C+1.0+Fl+Oz&amp;qid=1695259592&amp;rdc=1&amp;sr=8-4", "https://www.amazon.com/Obagi-Professional-C-Serum-Fl-Oz/dp/B00F6XZVXC/ref=sr_1_4?keywords=Obagi+Professional+C+Serum+20%25%2C+Vitamin+C+Facial+Serum+with+Concentrated+20%25+L+Ascorbic+Acid+for+Normal+to+Oily+Skin%2C+1.0+Fl+Oz&amp;qid=1695259592&amp;rdc=1&amp;sr=8-4")</f>
        <v>https://www.amazon.com/Obagi-Professional-C-Serum-Fl-Oz/dp/B00F6XZVXC/ref=sr_1_4?keywords=Obagi+Professional+C+Serum+20%25%2C+Vitamin+C+Facial+Serum+with+Concentrated+20%25+L+Ascorbic+Acid+for+Normal+to+Oily+Skin%2C+1.0+Fl+Oz&amp;qid=1695259592&amp;rdc=1&amp;sr=8-4</v>
      </c>
      <c r="F2776" t="s">
        <v>4666</v>
      </c>
      <c r="G2776" t="e">
        <f ca="1">IMAGE("https://prolisok-store.com/cdn/shop/files/71nOSCHqa9L._SL1500_300x.jpg?v=1682416466")</f>
        <v>#NAME?</v>
      </c>
      <c r="H2776" t="e">
        <f ca="1">IMAGE("https://m.media-amazon.com/images/I/51jz8tQragS._AC_UL320_.jpg")</f>
        <v>#NAME?</v>
      </c>
      <c r="I2776" t="s">
        <v>4355</v>
      </c>
      <c r="J2776">
        <v>100</v>
      </c>
      <c r="K2776" s="2" t="s">
        <v>4817</v>
      </c>
      <c r="L2776">
        <v>4.5999999999999996</v>
      </c>
      <c r="M2776">
        <v>454</v>
      </c>
      <c r="O2776" t="s">
        <v>26</v>
      </c>
      <c r="P2776" t="s">
        <v>39</v>
      </c>
      <c r="Q2776" t="s">
        <v>4357</v>
      </c>
    </row>
    <row r="2777" spans="1:17" ht="15.75" x14ac:dyDescent="0.25">
      <c r="A2777" s="3" t="str">
        <f>HYPERLINK("https://prolisok-store.com/collections/skin-care/products/elizabeth-arden-superstart-skin-renewal-booster-30ml-1oz", "https://prolisok-store.com/collections/skin-care/products/elizabeth-arden-superstart-skin-renewal-booster-30ml-1oz")</f>
        <v>https://prolisok-store.com/collections/skin-care/products/elizabeth-arden-superstart-skin-renewal-booster-30ml-1oz</v>
      </c>
      <c r="B2777" s="3" t="str">
        <f>HYPERLINK("https://prolisok-store.com/products/elizabeth-arden-superstart-skin-renewal-booster-30ml-1oz", "https://prolisok-store.com/products/elizabeth-arden-superstart-skin-renewal-booster-30ml-1oz")</f>
        <v>https://prolisok-store.com/products/elizabeth-arden-superstart-skin-renewal-booster-30ml-1oz</v>
      </c>
      <c r="C2777" t="s">
        <v>6805</v>
      </c>
      <c r="D2777" t="s">
        <v>6806</v>
      </c>
      <c r="E2777" s="3" t="str">
        <f>HYPERLINK("https://www.amazon.com/Elizabeth-Arden-SUPERSTART-Renewal-Booster/dp/B01IBQHY6M/ref=sr_1_1?keywords=Elizabeth+Arden+superstart+skin+renewal+booster+30ml%2F1oz&amp;qid=1695259626&amp;sr=8-1", "https://www.amazon.com/Elizabeth-Arden-SUPERSTART-Renewal-Booster/dp/B01IBQHY6M/ref=sr_1_1?keywords=Elizabeth+Arden+superstart+skin+renewal+booster+30ml%2F1oz&amp;qid=1695259626&amp;sr=8-1")</f>
        <v>https://www.amazon.com/Elizabeth-Arden-SUPERSTART-Renewal-Booster/dp/B01IBQHY6M/ref=sr_1_1?keywords=Elizabeth+Arden+superstart+skin+renewal+booster+30ml%2F1oz&amp;qid=1695259626&amp;sr=8-1</v>
      </c>
      <c r="F2777" t="s">
        <v>6807</v>
      </c>
      <c r="G2777" t="e">
        <f ca="1">IMAGE("https://prolisok-store.com/cdn/shop/products/288039_300x.jpg?v=1693407194")</f>
        <v>#NAME?</v>
      </c>
      <c r="H2777" t="e">
        <f ca="1">IMAGE("https://m.media-amazon.com/images/I/811nyYCW9gL._AC_UL320_.jpg")</f>
        <v>#NAME?</v>
      </c>
      <c r="I2777" t="s">
        <v>5598</v>
      </c>
      <c r="J2777">
        <v>105</v>
      </c>
      <c r="K2777" s="2" t="s">
        <v>6808</v>
      </c>
      <c r="L2777">
        <v>4.5</v>
      </c>
      <c r="M2777">
        <v>620</v>
      </c>
      <c r="O2777" t="s">
        <v>26</v>
      </c>
      <c r="P2777" t="s">
        <v>39</v>
      </c>
      <c r="Q2777" t="s">
        <v>6809</v>
      </c>
    </row>
    <row r="2778" spans="1:17" ht="15.75" x14ac:dyDescent="0.25">
      <c r="A2778" s="3" t="str">
        <f>HYPERLINK("https://prolisok-store.com/collections/skin-care/products/facial-treatment-mask-10-pc", "https://prolisok-store.com/collections/skin-care/products/facial-treatment-mask-10-pc")</f>
        <v>https://prolisok-store.com/collections/skin-care/products/facial-treatment-mask-10-pc</v>
      </c>
      <c r="B2778" s="3" t="str">
        <f>HYPERLINK("https://prolisok-store.com/products/facial-treatment-mask-10-pc", "https://prolisok-store.com/products/facial-treatment-mask-10-pc")</f>
        <v>https://prolisok-store.com/products/facial-treatment-mask-10-pc</v>
      </c>
      <c r="C2778" t="s">
        <v>4705</v>
      </c>
      <c r="D2778" t="s">
        <v>4830</v>
      </c>
      <c r="E2778" s="3" t="str">
        <f>HYPERLINK("https://www.amazon.com/SK-II-Facial-Treatment-Mask-ct/dp/B00JDVP18S/ref=sr_1_1?keywords=SK-II+Facial+Treatment+Mask%2F10+pc.&amp;qid=1695259593&amp;sr=8-1", "https://www.amazon.com/SK-II-Facial-Treatment-Mask-ct/dp/B00JDVP18S/ref=sr_1_1?keywords=SK-II+Facial+Treatment+Mask%2F10+pc.&amp;qid=1695259593&amp;sr=8-1")</f>
        <v>https://www.amazon.com/SK-II-Facial-Treatment-Mask-ct/dp/B00JDVP18S/ref=sr_1_1?keywords=SK-II+Facial+Treatment+Mask%2F10+pc.&amp;qid=1695259593&amp;sr=8-1</v>
      </c>
      <c r="F2778" t="s">
        <v>4831</v>
      </c>
      <c r="G2778" t="e">
        <f ca="1">IMAGE("https://prolisok-store.com/cdn/shop/products/41oxreg7WTL_300x.jpg?v=1673964595")</f>
        <v>#NAME?</v>
      </c>
      <c r="H2778" t="e">
        <f ca="1">IMAGE("https://m.media-amazon.com/images/I/71AZ1Z6LIVL._AC_UL320_.jpg")</f>
        <v>#NAME?</v>
      </c>
      <c r="I2778" t="s">
        <v>4346</v>
      </c>
      <c r="J2778">
        <v>79.39</v>
      </c>
      <c r="K2778" s="2" t="s">
        <v>4832</v>
      </c>
      <c r="L2778">
        <v>4</v>
      </c>
      <c r="M2778">
        <v>277</v>
      </c>
      <c r="O2778" t="s">
        <v>26</v>
      </c>
      <c r="P2778" t="s">
        <v>4709</v>
      </c>
      <c r="Q2778" t="s">
        <v>4710</v>
      </c>
    </row>
    <row r="2779" spans="1:17" ht="15.75" x14ac:dyDescent="0.25">
      <c r="A2779" s="3" t="str">
        <f>HYPERLINK("https://prolisok-store.com/collections/skin-care/products/elizabeth-arden-capsules-serum", "https://prolisok-store.com/collections/skin-care/products/elizabeth-arden-capsules-serum")</f>
        <v>https://prolisok-store.com/collections/skin-care/products/elizabeth-arden-capsules-serum</v>
      </c>
      <c r="B2779" s="3" t="str">
        <f>HYPERLINK("https://prolisok-store.com/products/elizabeth-arden-capsules-serum", "https://prolisok-store.com/products/elizabeth-arden-capsules-serum")</f>
        <v>https://prolisok-store.com/products/elizabeth-arden-capsules-serum</v>
      </c>
      <c r="C2779" t="s">
        <v>4670</v>
      </c>
      <c r="D2779" t="s">
        <v>4833</v>
      </c>
      <c r="E2779" s="3" t="str">
        <f>HYPERLINK("https://www.amazon.com/Elizabeth-Arden-Ceramide-Capsules-Moisturizer/dp/B07TRW8BC8/ref=sr_1_6?keywords=Elizabeth+Arden+Capsules+Serum&amp;qid=1695259597&amp;sr=8-6", "https://www.amazon.com/Elizabeth-Arden-Ceramide-Capsules-Moisturizer/dp/B07TRW8BC8/ref=sr_1_6?keywords=Elizabeth+Arden+Capsules+Serum&amp;qid=1695259597&amp;sr=8-6")</f>
        <v>https://www.amazon.com/Elizabeth-Arden-Ceramide-Capsules-Moisturizer/dp/B07TRW8BC8/ref=sr_1_6?keywords=Elizabeth+Arden+Capsules+Serum&amp;qid=1695259597&amp;sr=8-6</v>
      </c>
      <c r="F2779" t="s">
        <v>4834</v>
      </c>
      <c r="G2779" t="e">
        <f ca="1">IMAGE("https://prolisok-store.com/cdn/shop/files/71roxz2sB-L._SL1500_300x.jpg?v=1683266294")</f>
        <v>#NAME?</v>
      </c>
      <c r="H2779" t="e">
        <f ca="1">IMAGE("https://m.media-amazon.com/images/I/81Eg3w-HUBL._AC_UL320_.jpg")</f>
        <v>#NAME?</v>
      </c>
      <c r="I2779" t="s">
        <v>4355</v>
      </c>
      <c r="J2779">
        <v>95</v>
      </c>
      <c r="K2779" s="2" t="s">
        <v>4835</v>
      </c>
      <c r="L2779">
        <v>4.4000000000000004</v>
      </c>
      <c r="M2779">
        <v>1059</v>
      </c>
      <c r="O2779" t="s">
        <v>26</v>
      </c>
      <c r="P2779" t="s">
        <v>39</v>
      </c>
      <c r="Q2779" t="s">
        <v>4673</v>
      </c>
    </row>
    <row r="2780" spans="1:17" ht="15.75" x14ac:dyDescent="0.25">
      <c r="A2780" s="3" t="str">
        <f>HYPERLINK("https://prolisok-store.com/collections/skin-care/products/elizabeth-arden-capsules-serum", "https://prolisok-store.com/collections/skin-care/products/elizabeth-arden-capsules-serum")</f>
        <v>https://prolisok-store.com/collections/skin-care/products/elizabeth-arden-capsules-serum</v>
      </c>
      <c r="B2780" s="3" t="str">
        <f>HYPERLINK("https://prolisok-store.com/products/elizabeth-arden-capsules-serum", "https://prolisok-store.com/products/elizabeth-arden-capsules-serum")</f>
        <v>https://prolisok-store.com/products/elizabeth-arden-capsules-serum</v>
      </c>
      <c r="C2780" t="s">
        <v>4670</v>
      </c>
      <c r="D2780" t="s">
        <v>4836</v>
      </c>
      <c r="E2780" s="3" t="str">
        <f>HYPERLINK("https://www.amazon.com/Elizabeth-Arden-Retinol-Ceramide-Capsules/dp/B07FCS2HHB/ref=sr_1_2?keywords=Elizabeth+Arden+Capsules+Serum&amp;qid=1695259597&amp;sr=8-2", "https://www.amazon.com/Elizabeth-Arden-Retinol-Ceramide-Capsules/dp/B07FCS2HHB/ref=sr_1_2?keywords=Elizabeth+Arden+Capsules+Serum&amp;qid=1695259597&amp;sr=8-2")</f>
        <v>https://www.amazon.com/Elizabeth-Arden-Retinol-Ceramide-Capsules/dp/B07FCS2HHB/ref=sr_1_2?keywords=Elizabeth+Arden+Capsules+Serum&amp;qid=1695259597&amp;sr=8-2</v>
      </c>
      <c r="F2780" t="s">
        <v>4837</v>
      </c>
      <c r="G2780" t="e">
        <f ca="1">IMAGE("https://prolisok-store.com/cdn/shop/files/71roxz2sB-L._SL1500_300x.jpg?v=1683266294")</f>
        <v>#NAME?</v>
      </c>
      <c r="H2780" t="e">
        <f ca="1">IMAGE("https://m.media-amazon.com/images/I/71xChLNn9WL._AC_UL320_.jpg")</f>
        <v>#NAME?</v>
      </c>
      <c r="I2780" t="s">
        <v>4355</v>
      </c>
      <c r="J2780">
        <v>95</v>
      </c>
      <c r="K2780" s="2" t="s">
        <v>4835</v>
      </c>
      <c r="L2780">
        <v>4.5999999999999996</v>
      </c>
      <c r="M2780">
        <v>1014</v>
      </c>
      <c r="O2780" t="s">
        <v>26</v>
      </c>
      <c r="P2780" t="s">
        <v>39</v>
      </c>
      <c r="Q2780" t="s">
        <v>4673</v>
      </c>
    </row>
    <row r="2781" spans="1:17" ht="15.75" x14ac:dyDescent="0.25">
      <c r="A2781" s="3" t="str">
        <f>HYPERLINK("https://prolisok-store.com/collections/skin-care/products/estee-lauder-advanced-night-repair-synchronized-multi-recovery-complex-unisex-1-7-oz", "https://prolisok-store.com/collections/skin-care/products/estee-lauder-advanced-night-repair-synchronized-multi-recovery-complex-unisex-1-7-oz")</f>
        <v>https://prolisok-store.com/collections/skin-care/products/estee-lauder-advanced-night-repair-synchronized-multi-recovery-complex-unisex-1-7-oz</v>
      </c>
      <c r="B2781"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2781" t="s">
        <v>4547</v>
      </c>
      <c r="D2781" t="s">
        <v>4838</v>
      </c>
      <c r="E2781" s="3" t="str">
        <f>HYPERLINK("https://www.amazon.com/Synchronized-Multi-Recovery-Multiple-protection-Advanced/dp/B0BPHKJFWJ/ref=sr_1_6?keywords=Estee+Lauder+Advanced+Night+Repair+Synchronized+Multi-Recovery+Complex%2C+Unisex%2C+1.7+Oz&amp;qid=1695259592&amp;sr=8-6", "https://www.amazon.com/Synchronized-Multi-Recovery-Multiple-protection-Advanced/dp/B0BPHKJFWJ/ref=sr_1_6?keywords=Estee+Lauder+Advanced+Night+Repair+Synchronized+Multi-Recovery+Complex%2C+Unisex%2C+1.7+Oz&amp;qid=1695259592&amp;sr=8-6")</f>
        <v>https://www.amazon.com/Synchronized-Multi-Recovery-Multiple-protection-Advanced/dp/B0BPHKJFWJ/ref=sr_1_6?keywords=Estee+Lauder+Advanced+Night+Repair+Synchronized+Multi-Recovery+Complex%2C+Unisex%2C+1.7+Oz&amp;qid=1695259592&amp;sr=8-6</v>
      </c>
      <c r="F2781" t="s">
        <v>4839</v>
      </c>
      <c r="G2781" t="e">
        <f ca="1">IMAGE("https://prolisok-store.com/cdn/shop/files/511qVnU1eNL._SL1000_300x.jpg?v=1687507525")</f>
        <v>#NAME?</v>
      </c>
      <c r="H2781" t="e">
        <f ca="1">IMAGE("https://m.media-amazon.com/images/I/51DmsQM3kEL._AC_UL320_.jpg")</f>
        <v>#NAME?</v>
      </c>
      <c r="I2781" t="s">
        <v>3476</v>
      </c>
      <c r="J2781">
        <v>63.2</v>
      </c>
      <c r="K2781" s="2" t="s">
        <v>4840</v>
      </c>
      <c r="L2781">
        <v>5</v>
      </c>
      <c r="M2781">
        <v>1</v>
      </c>
      <c r="O2781" t="s">
        <v>26</v>
      </c>
      <c r="P2781" t="s">
        <v>39</v>
      </c>
      <c r="Q2781" t="s">
        <v>4551</v>
      </c>
    </row>
    <row r="2782" spans="1:17" ht="15.75" x14ac:dyDescent="0.25">
      <c r="A2782" s="3" t="str">
        <f>HYPERLINK("https://prolisok-store.com/collections/skin-care/products/facial-treatment-mask-10-pc", "https://prolisok-store.com/collections/skin-care/products/facial-treatment-mask-10-pc")</f>
        <v>https://prolisok-store.com/collections/skin-care/products/facial-treatment-mask-10-pc</v>
      </c>
      <c r="B2782" s="3" t="str">
        <f>HYPERLINK("https://prolisok-store.com/products/facial-treatment-mask-10-pc", "https://prolisok-store.com/products/facial-treatment-mask-10-pc")</f>
        <v>https://prolisok-store.com/products/facial-treatment-mask-10-pc</v>
      </c>
      <c r="C2782" t="s">
        <v>4705</v>
      </c>
      <c r="D2782" t="s">
        <v>4844</v>
      </c>
      <c r="E2782" s="3" t="str">
        <f>HYPERLINK("https://www.amazon.com/SK-II-Facial-Treatment-Mask-ct/dp/B000ZFTAOM/ref=sr_1_2?keywords=SK-II+Facial+Treatment+Mask%2F10+pc.&amp;qid=1695259593&amp;sr=8-2", "https://www.amazon.com/SK-II-Facial-Treatment-Mask-ct/dp/B000ZFTAOM/ref=sr_1_2?keywords=SK-II+Facial+Treatment+Mask%2F10+pc.&amp;qid=1695259593&amp;sr=8-2")</f>
        <v>https://www.amazon.com/SK-II-Facial-Treatment-Mask-ct/dp/B000ZFTAOM/ref=sr_1_2?keywords=SK-II+Facial+Treatment+Mask%2F10+pc.&amp;qid=1695259593&amp;sr=8-2</v>
      </c>
      <c r="F2782" t="s">
        <v>4845</v>
      </c>
      <c r="G2782" t="e">
        <f ca="1">IMAGE("https://prolisok-store.com/cdn/shop/products/41oxreg7WTL_300x.jpg?v=1673964595")</f>
        <v>#NAME?</v>
      </c>
      <c r="H2782" t="e">
        <f ca="1">IMAGE("https://m.media-amazon.com/images/I/81txcENgVvL._AC_UL320_.jpg")</f>
        <v>#NAME?</v>
      </c>
      <c r="I2782" t="s">
        <v>4346</v>
      </c>
      <c r="J2782">
        <v>78.98</v>
      </c>
      <c r="K2782" s="2" t="s">
        <v>6810</v>
      </c>
      <c r="L2782">
        <v>4.4000000000000004</v>
      </c>
      <c r="M2782">
        <v>69</v>
      </c>
      <c r="O2782" t="s">
        <v>26</v>
      </c>
      <c r="P2782" t="s">
        <v>4709</v>
      </c>
      <c r="Q2782" t="s">
        <v>4710</v>
      </c>
    </row>
    <row r="2783" spans="1:17" ht="15.75" x14ac:dyDescent="0.25">
      <c r="A2783" s="3" t="str">
        <f>HYPERLINK("https://prolisok-store.com/collections/skin-care/products/estee-lauder-perfectionist-cp-r-wrinkle-lifting-firming-serum-50ml-1-7-ounce-all-skin-types", "https://prolisok-store.com/collections/skin-care/products/estee-lauder-perfectionist-cp-r-wrinkle-lifting-firming-serum-50ml-1-7-ounce-all-skin-types")</f>
        <v>https://prolisok-store.com/collections/skin-care/products/estee-lauder-perfectionist-cp-r-wrinkle-lifting-firming-serum-50ml-1-7-ounce-all-skin-types</v>
      </c>
      <c r="B2783" s="3" t="str">
        <f>HYPERLINK("https://prolisok-store.com/products/estee-lauder-perfectionist-cp-r-wrinkle-lifting-firming-serum-50ml-1-7-ounce-all-skin-types", "https://prolisok-store.com/products/estee-lauder-perfectionist-cp-r-wrinkle-lifting-firming-serum-50ml-1-7-ounce-all-skin-types")</f>
        <v>https://prolisok-store.com/products/estee-lauder-perfectionist-cp-r-wrinkle-lifting-firming-serum-50ml-1-7-ounce-all-skin-types</v>
      </c>
      <c r="C2783" t="s">
        <v>4863</v>
      </c>
      <c r="D2783" t="s">
        <v>4863</v>
      </c>
      <c r="E2783" s="3" t="str">
        <f>HYPERLINK("https://www.amazon.com/Estee-Lauder-Perfectionist-Wrinkle-Lifting/dp/B00BNAOW3C/ref=sr_1_1?keywords=Estee+Lauder+Perfectionist+CP+R+Wrinkle+Lifting%2FFirming+Serum%2C+50ml%2F1.7+Ounce+%28All+Skin+Types%29&amp;qid=1695259592&amp;sr=8-1", "https://www.amazon.com/Estee-Lauder-Perfectionist-Wrinkle-Lifting/dp/B00BNAOW3C/ref=sr_1_1?keywords=Estee+Lauder+Perfectionist+CP+R+Wrinkle+Lifting%2FFirming+Serum%2C+50ml%2F1.7+Ounce+%28All+Skin+Types%29&amp;qid=1695259592&amp;sr=8-1")</f>
        <v>https://www.amazon.com/Estee-Lauder-Perfectionist-Wrinkle-Lifting/dp/B00BNAOW3C/ref=sr_1_1?keywords=Estee+Lauder+Perfectionist+CP+R+Wrinkle+Lifting%2FFirming+Serum%2C+50ml%2F1.7+Ounce+%28All+Skin+Types%29&amp;qid=1695259592&amp;sr=8-1</v>
      </c>
      <c r="F2783" t="s">
        <v>4864</v>
      </c>
      <c r="G2783" t="e">
        <f ca="1">IMAGE("https://prolisok-store.com/cdn/shop/products/51PL7znhunL._SL1081_300x.jpg?v=1681308260")</f>
        <v>#NAME?</v>
      </c>
      <c r="H2783" t="e">
        <f ca="1">IMAGE("https://m.media-amazon.com/images/I/51PL7znhunL._AC_UL320_.jpg")</f>
        <v>#NAME?</v>
      </c>
      <c r="I2783" t="s">
        <v>4346</v>
      </c>
      <c r="J2783">
        <v>76.38</v>
      </c>
      <c r="K2783" s="2" t="s">
        <v>4865</v>
      </c>
      <c r="L2783">
        <v>4.5</v>
      </c>
      <c r="M2783">
        <v>641</v>
      </c>
      <c r="O2783" t="s">
        <v>26</v>
      </c>
      <c r="P2783" t="s">
        <v>4866</v>
      </c>
      <c r="Q2783" t="s">
        <v>4867</v>
      </c>
    </row>
    <row r="2784" spans="1:17" ht="15.75" x14ac:dyDescent="0.25">
      <c r="A2784" s="3" t="str">
        <f>HYPERLINK("https://prolisok-store.com/collections/skin-care/products/white-tea-vanilla-orchid-by-elizabeth-arden-body-cream-13-5-oz", "https://prolisok-store.com/collections/skin-care/products/white-tea-vanilla-orchid-by-elizabeth-arden-body-cream-13-5-oz")</f>
        <v>https://prolisok-store.com/collections/skin-care/products/white-tea-vanilla-orchid-by-elizabeth-arden-body-cream-13-5-oz</v>
      </c>
      <c r="B2784" s="3" t="str">
        <f>HYPERLINK("https://prolisok-store.com/products/white-tea-vanilla-orchid-by-elizabeth-arden-body-cream-13-5-oz", "https://prolisok-store.com/products/white-tea-vanilla-orchid-by-elizabeth-arden-body-cream-13-5-oz")</f>
        <v>https://prolisok-store.com/products/white-tea-vanilla-orchid-by-elizabeth-arden-body-cream-13-5-oz</v>
      </c>
      <c r="C2784" t="s">
        <v>6811</v>
      </c>
      <c r="D2784" t="s">
        <v>4222</v>
      </c>
      <c r="E2784" s="3" t="str">
        <f>HYPERLINK("https://www.amazon.com/Elizabeth-Arden-White-Indulgence-Cream/dp/B01N4LCTIY/ref=sr_1_1?keywords=White+tea+vanilla+orchid+by+elizabeth+arden+body+cream+13.5+oz&amp;qid=1695259665&amp;sr=8-1", "https://www.amazon.com/Elizabeth-Arden-White-Indulgence-Cream/dp/B01N4LCTIY/ref=sr_1_1?keywords=White+tea+vanilla+orchid+by+elizabeth+arden+body+cream+13.5+oz&amp;qid=1695259665&amp;sr=8-1")</f>
        <v>https://www.amazon.com/Elizabeth-Arden-White-Indulgence-Cream/dp/B01N4LCTIY/ref=sr_1_1?keywords=White+tea+vanilla+orchid+by+elizabeth+arden+body+cream+13.5+oz&amp;qid=1695259665&amp;sr=8-1</v>
      </c>
      <c r="F2784" t="s">
        <v>4223</v>
      </c>
      <c r="G2784" t="e">
        <f ca="1">IMAGE("https://prolisok-store.com/cdn/shop/products/393377_300x.jpg?v=1693407419")</f>
        <v>#NAME?</v>
      </c>
      <c r="H2784" t="e">
        <f ca="1">IMAGE("https://m.media-amazon.com/images/I/41H9bJt20fL._AC_UL320_.jpg")</f>
        <v>#NAME?</v>
      </c>
      <c r="I2784" t="s">
        <v>6011</v>
      </c>
      <c r="J2784">
        <v>34</v>
      </c>
      <c r="K2784" s="2" t="s">
        <v>6812</v>
      </c>
      <c r="L2784">
        <v>4.5</v>
      </c>
      <c r="M2784">
        <v>2164</v>
      </c>
      <c r="O2784" t="s">
        <v>26</v>
      </c>
      <c r="P2784" t="s">
        <v>39</v>
      </c>
      <c r="Q2784" t="s">
        <v>6813</v>
      </c>
    </row>
    <row r="2785" spans="1:17" ht="15.75" x14ac:dyDescent="0.25">
      <c r="A2785" s="3" t="str">
        <f>HYPERLINK("https://prolisok-store.com/collections/skin-care/products/white-tea-vanilla-orchid-by-elizabeth-arden-body-cream-13-5-oz", "https://prolisok-store.com/collections/skin-care/products/white-tea-vanilla-orchid-by-elizabeth-arden-body-cream-13-5-oz")</f>
        <v>https://prolisok-store.com/collections/skin-care/products/white-tea-vanilla-orchid-by-elizabeth-arden-body-cream-13-5-oz</v>
      </c>
      <c r="B2785" s="3" t="str">
        <f>HYPERLINK("https://prolisok-store.com/products/white-tea-vanilla-orchid-by-elizabeth-arden-body-cream-13-5-oz", "https://prolisok-store.com/products/white-tea-vanilla-orchid-by-elizabeth-arden-body-cream-13-5-oz")</f>
        <v>https://prolisok-store.com/products/white-tea-vanilla-orchid-by-elizabeth-arden-body-cream-13-5-oz</v>
      </c>
      <c r="C2785" t="s">
        <v>6811</v>
      </c>
      <c r="D2785" t="s">
        <v>6814</v>
      </c>
      <c r="E2785" s="3" t="str">
        <f>HYPERLINK("https://www.amazon.com/Elizabeth-Arden-Ginger-Moisturizing-Hydrating/dp/B08VY8XS3R/ref=sr_1_2?keywords=White+tea+vanilla+orchid+by+elizabeth+arden+body+cream+13.5+oz&amp;qid=1695259665&amp;sr=8-2", "https://www.amazon.com/Elizabeth-Arden-Ginger-Moisturizing-Hydrating/dp/B08VY8XS3R/ref=sr_1_2?keywords=White+tea+vanilla+orchid+by+elizabeth+arden+body+cream+13.5+oz&amp;qid=1695259665&amp;sr=8-2")</f>
        <v>https://www.amazon.com/Elizabeth-Arden-Ginger-Moisturizing-Hydrating/dp/B08VY8XS3R/ref=sr_1_2?keywords=White+tea+vanilla+orchid+by+elizabeth+arden+body+cream+13.5+oz&amp;qid=1695259665&amp;sr=8-2</v>
      </c>
      <c r="F2785" t="s">
        <v>6815</v>
      </c>
      <c r="G2785" t="e">
        <f ca="1">IMAGE("https://prolisok-store.com/cdn/shop/products/393377_300x.jpg?v=1693407419")</f>
        <v>#NAME?</v>
      </c>
      <c r="H2785" t="e">
        <f ca="1">IMAGE("https://m.media-amazon.com/images/I/71N+6MczbjL._AC_UL320_.jpg")</f>
        <v>#NAME?</v>
      </c>
      <c r="I2785" t="s">
        <v>6011</v>
      </c>
      <c r="J2785">
        <v>34</v>
      </c>
      <c r="K2785" s="2" t="s">
        <v>6812</v>
      </c>
      <c r="L2785">
        <v>4.4000000000000004</v>
      </c>
      <c r="M2785">
        <v>39</v>
      </c>
      <c r="O2785" t="s">
        <v>26</v>
      </c>
      <c r="P2785" t="s">
        <v>39</v>
      </c>
      <c r="Q2785" t="s">
        <v>6813</v>
      </c>
    </row>
    <row r="2786" spans="1:17" ht="15.75" x14ac:dyDescent="0.25">
      <c r="A2786" s="3" t="str">
        <f>HYPERLINK("https://prolisok-store.com/collections/skin-care/products/white-tea-wild-rose-by-elizabeth-arden-body-cream-13-5-oz", "https://prolisok-store.com/collections/skin-care/products/white-tea-wild-rose-by-elizabeth-arden-body-cream-13-5-oz")</f>
        <v>https://prolisok-store.com/collections/skin-care/products/white-tea-wild-rose-by-elizabeth-arden-body-cream-13-5-oz</v>
      </c>
      <c r="B2786" s="3" t="str">
        <f>HYPERLINK("https://prolisok-store.com/products/white-tea-wild-rose-by-elizabeth-arden-body-cream-13-5-oz", "https://prolisok-store.com/products/white-tea-wild-rose-by-elizabeth-arden-body-cream-13-5-oz")</f>
        <v>https://prolisok-store.com/products/white-tea-wild-rose-by-elizabeth-arden-body-cream-13-5-oz</v>
      </c>
      <c r="C2786" t="s">
        <v>6768</v>
      </c>
      <c r="D2786" t="s">
        <v>6814</v>
      </c>
      <c r="E2786" s="3" t="str">
        <f>HYPERLINK("https://www.amazon.com/Elizabeth-Arden-Ginger-Moisturizing-Hydrating/dp/B08VY8XS3R/ref=sr_1_2?keywords=White+tea+wild+rose+by+elizabeth+arden+body+cream+13.5+oz&amp;qid=1695259655&amp;sr=8-2", "https://www.amazon.com/Elizabeth-Arden-Ginger-Moisturizing-Hydrating/dp/B08VY8XS3R/ref=sr_1_2?keywords=White+tea+wild+rose+by+elizabeth+arden+body+cream+13.5+oz&amp;qid=1695259655&amp;sr=8-2")</f>
        <v>https://www.amazon.com/Elizabeth-Arden-Ginger-Moisturizing-Hydrating/dp/B08VY8XS3R/ref=sr_1_2?keywords=White+tea+wild+rose+by+elizabeth+arden+body+cream+13.5+oz&amp;qid=1695259655&amp;sr=8-2</v>
      </c>
      <c r="F2786" t="s">
        <v>6815</v>
      </c>
      <c r="G2786" t="e">
        <f ca="1">IMAGE("https://prolisok-store.com/cdn/shop/products/406391_300x.jpg?v=1693407441")</f>
        <v>#NAME?</v>
      </c>
      <c r="H2786" t="e">
        <f ca="1">IMAGE("https://m.media-amazon.com/images/I/71N+6MczbjL._AC_UL320_.jpg")</f>
        <v>#NAME?</v>
      </c>
      <c r="I2786" t="s">
        <v>6011</v>
      </c>
      <c r="J2786">
        <v>34</v>
      </c>
      <c r="K2786" s="2" t="s">
        <v>6812</v>
      </c>
      <c r="L2786">
        <v>4.4000000000000004</v>
      </c>
      <c r="M2786">
        <v>39</v>
      </c>
      <c r="O2786" t="s">
        <v>26</v>
      </c>
      <c r="P2786" t="s">
        <v>39</v>
      </c>
      <c r="Q2786" t="s">
        <v>6772</v>
      </c>
    </row>
    <row r="2787" spans="1:17" ht="15.75" x14ac:dyDescent="0.25">
      <c r="A2787" s="3" t="str">
        <f>HYPERLINK("https://prolisok-store.com/collections/skin-care/products/white-tea-wild-rose-by-elizabeth-arden-body-cream-13-5-oz", "https://prolisok-store.com/collections/skin-care/products/white-tea-wild-rose-by-elizabeth-arden-body-cream-13-5-oz")</f>
        <v>https://prolisok-store.com/collections/skin-care/products/white-tea-wild-rose-by-elizabeth-arden-body-cream-13-5-oz</v>
      </c>
      <c r="B2787" s="3" t="str">
        <f>HYPERLINK("https://prolisok-store.com/products/white-tea-wild-rose-by-elizabeth-arden-body-cream-13-5-oz", "https://prolisok-store.com/products/white-tea-wild-rose-by-elizabeth-arden-body-cream-13-5-oz")</f>
        <v>https://prolisok-store.com/products/white-tea-wild-rose-by-elizabeth-arden-body-cream-13-5-oz</v>
      </c>
      <c r="C2787" t="s">
        <v>6768</v>
      </c>
      <c r="D2787" t="s">
        <v>4222</v>
      </c>
      <c r="E2787" s="3" t="str">
        <f>HYPERLINK("https://www.amazon.com/Elizabeth-Arden-White-Indulgence-Cream/dp/B01N4LCTIY/ref=sr_1_1?keywords=White+tea+wild+rose+by+elizabeth+arden+body+cream+13.5+oz&amp;qid=1695259655&amp;sr=8-1", "https://www.amazon.com/Elizabeth-Arden-White-Indulgence-Cream/dp/B01N4LCTIY/ref=sr_1_1?keywords=White+tea+wild+rose+by+elizabeth+arden+body+cream+13.5+oz&amp;qid=1695259655&amp;sr=8-1")</f>
        <v>https://www.amazon.com/Elizabeth-Arden-White-Indulgence-Cream/dp/B01N4LCTIY/ref=sr_1_1?keywords=White+tea+wild+rose+by+elizabeth+arden+body+cream+13.5+oz&amp;qid=1695259655&amp;sr=8-1</v>
      </c>
      <c r="F2787" t="s">
        <v>4223</v>
      </c>
      <c r="G2787" t="e">
        <f ca="1">IMAGE("https://prolisok-store.com/cdn/shop/products/406391_300x.jpg?v=1693407441")</f>
        <v>#NAME?</v>
      </c>
      <c r="H2787" t="e">
        <f ca="1">IMAGE("https://m.media-amazon.com/images/I/41H9bJt20fL._AC_UL320_.jpg")</f>
        <v>#NAME?</v>
      </c>
      <c r="I2787" t="s">
        <v>6011</v>
      </c>
      <c r="J2787">
        <v>34</v>
      </c>
      <c r="K2787" s="2" t="s">
        <v>6812</v>
      </c>
      <c r="L2787">
        <v>4.5</v>
      </c>
      <c r="M2787">
        <v>2164</v>
      </c>
      <c r="O2787" t="s">
        <v>26</v>
      </c>
      <c r="P2787" t="s">
        <v>39</v>
      </c>
      <c r="Q2787" t="s">
        <v>6772</v>
      </c>
    </row>
    <row r="2788" spans="1:17" ht="15.75" x14ac:dyDescent="0.25">
      <c r="A2788" s="3" t="str">
        <f>HYPERLINK("https://prolisok-store.com/collections/skin-care/products/sisley-neck-cream-the-enriched-formula-women-1-6-ounce", "https://prolisok-store.com/collections/skin-care/products/sisley-neck-cream-the-enriched-formula-women-1-6-ounce")</f>
        <v>https://prolisok-store.com/collections/skin-care/products/sisley-neck-cream-the-enriched-formula-women-1-6-ounce</v>
      </c>
      <c r="B2788" s="3" t="str">
        <f>HYPERLINK("https://prolisok-store.com/products/sisley-neck-cream-the-enriched-formula-women-1-6-ounce", "https://prolisok-store.com/products/sisley-neck-cream-the-enriched-formula-women-1-6-ounce")</f>
        <v>https://prolisok-store.com/products/sisley-neck-cream-the-enriched-formula-women-1-6-ounce</v>
      </c>
      <c r="C2788" t="s">
        <v>4879</v>
      </c>
      <c r="D2788" t="s">
        <v>4880</v>
      </c>
      <c r="E2788" s="3" t="str">
        <f>HYPERLINK("https://www.amazon.com/Sisley-Cream-Enriched-Formula-Women/dp/B01JG5T2A8/ref=sr_1_1?keywords=SISLEY+Neck+Cream+The+Enriched+Formula+Women%2C+1.6+Ounce&amp;qid=1695259637&amp;sr=8-1", "https://www.amazon.com/Sisley-Cream-Enriched-Formula-Women/dp/B01JG5T2A8/ref=sr_1_1?keywords=SISLEY+Neck+Cream+The+Enriched+Formula+Women%2C+1.6+Ounce&amp;qid=1695259637&amp;sr=8-1")</f>
        <v>https://www.amazon.com/Sisley-Cream-Enriched-Formula-Women/dp/B01JG5T2A8/ref=sr_1_1?keywords=SISLEY+Neck+Cream+The+Enriched+Formula+Women%2C+1.6+Ounce&amp;qid=1695259637&amp;sr=8-1</v>
      </c>
      <c r="F2788" t="s">
        <v>4881</v>
      </c>
      <c r="G2788" t="e">
        <f ca="1">IMAGE("https://prolisok-store.com/cdn/shop/files/61sQYmzQtwL._SL1500_300x.jpg?v=1693380649")</f>
        <v>#NAME?</v>
      </c>
      <c r="H2788" t="e">
        <f ca="1">IMAGE("https://m.media-amazon.com/images/I/61sQYmzQtwL._AC_UL320_.jpg")</f>
        <v>#NAME?</v>
      </c>
      <c r="I2788" t="s">
        <v>4506</v>
      </c>
      <c r="J2788">
        <v>104.99</v>
      </c>
      <c r="K2788" s="2" t="s">
        <v>6816</v>
      </c>
      <c r="L2788">
        <v>4.4000000000000004</v>
      </c>
      <c r="M2788">
        <v>266</v>
      </c>
      <c r="O2788" t="s">
        <v>26</v>
      </c>
      <c r="P2788" t="s">
        <v>39</v>
      </c>
      <c r="Q2788" t="s">
        <v>4883</v>
      </c>
    </row>
    <row r="2789" spans="1:17" ht="15.75" x14ac:dyDescent="0.25">
      <c r="A2789" s="3" t="str">
        <f>HYPERLINK("https://prolisok-store.com/collections/skin-care/products/elizabeth-arden-advanced-ceramide-lift-and-firm-night-cream-50ml-1-7oz", "https://prolisok-store.com/collections/skin-care/products/elizabeth-arden-advanced-ceramide-lift-and-firm-night-cream-50ml-1-7oz")</f>
        <v>https://prolisok-store.com/collections/skin-care/products/elizabeth-arden-advanced-ceramide-lift-and-firm-night-cream-50ml-1-7oz</v>
      </c>
      <c r="B2789" s="3" t="str">
        <f>HYPERLINK("https://prolisok-store.com/products/elizabeth-arden-advanced-ceramide-lift-and-firm-night-cream-50ml-1-7oz", "https://prolisok-store.com/products/elizabeth-arden-advanced-ceramide-lift-and-firm-night-cream-50ml-1-7oz")</f>
        <v>https://prolisok-store.com/products/elizabeth-arden-advanced-ceramide-lift-and-firm-night-cream-50ml-1-7oz</v>
      </c>
      <c r="C2789" t="s">
        <v>6817</v>
      </c>
      <c r="D2789" t="s">
        <v>6818</v>
      </c>
      <c r="E2789" s="3" t="str">
        <f>HYPERLINK("https://www.amazon.com/Elizabeth-Arden-Ceramide-Lift-Firm/dp/B09QH4X24H/ref=sr_1_2?keywords=Elizabeth+Arden+advanced+ceramide+lift+and+firm+night+cream+50ml%2F1.7oz&amp;qid=1695259670&amp;sr=8-2", "https://www.amazon.com/Elizabeth-Arden-Ceramide-Lift-Firm/dp/B09QH4X24H/ref=sr_1_2?keywords=Elizabeth+Arden+advanced+ceramide+lift+and+firm+night+cream+50ml%2F1.7oz&amp;qid=1695259670&amp;sr=8-2")</f>
        <v>https://www.amazon.com/Elizabeth-Arden-Ceramide-Lift-Firm/dp/B09QH4X24H/ref=sr_1_2?keywords=Elizabeth+Arden+advanced+ceramide+lift+and+firm+night+cream+50ml%2F1.7oz&amp;qid=1695259670&amp;sr=8-2</v>
      </c>
      <c r="F2789" t="s">
        <v>6819</v>
      </c>
      <c r="G2789" t="e">
        <f ca="1">IMAGE("https://prolisok-store.com/cdn/shop/products/436547_300x.jpg?v=1693407249")</f>
        <v>#NAME?</v>
      </c>
      <c r="H2789" t="e">
        <f ca="1">IMAGE("https://m.media-amazon.com/images/I/81GL1o-dR9L._AC_UL320_.jpg")</f>
        <v>#NAME?</v>
      </c>
      <c r="I2789" t="s">
        <v>5632</v>
      </c>
      <c r="J2789">
        <v>99</v>
      </c>
      <c r="K2789" s="2" t="s">
        <v>6820</v>
      </c>
      <c r="L2789">
        <v>3.5</v>
      </c>
      <c r="M2789">
        <v>12</v>
      </c>
      <c r="O2789" t="s">
        <v>26</v>
      </c>
      <c r="P2789" t="s">
        <v>39</v>
      </c>
      <c r="Q2789" t="s">
        <v>6821</v>
      </c>
    </row>
    <row r="2790" spans="1:17" ht="15.75" x14ac:dyDescent="0.25">
      <c r="A2790" s="3" t="str">
        <f>HYPERLINK("https://prolisok-store.com/collections/skin-care/products/estee-lauder-perfectly-clean-multi-action-foam-cleanser-purifying-mask-150ml-5oz", "https://prolisok-store.com/collections/skin-care/products/estee-lauder-perfectly-clean-multi-action-foam-cleanser-purifying-mask-150ml-5oz")</f>
        <v>https://prolisok-store.com/collections/skin-care/products/estee-lauder-perfectly-clean-multi-action-foam-cleanser-purifying-mask-150ml-5oz</v>
      </c>
      <c r="B2790" s="3" t="str">
        <f>HYPERLINK("https://prolisok-store.com/products/estee-lauder-perfectly-clean-multi-action-foam-cleanser-purifying-mask-150ml-5oz", "https://prolisok-store.com/products/estee-lauder-perfectly-clean-multi-action-foam-cleanser-purifying-mask-150ml-5oz")</f>
        <v>https://prolisok-store.com/products/estee-lauder-perfectly-clean-multi-action-foam-cleanser-purifying-mask-150ml-5oz</v>
      </c>
      <c r="C2790" t="s">
        <v>6781</v>
      </c>
      <c r="D2790" t="s">
        <v>6822</v>
      </c>
      <c r="E2790" s="3" t="str">
        <f>HYPERLINK("https://www.amazon.com/Estee-Lauder-Perfectly-Multi-Action-Cleanser-Purifying/dp/B0C1G8NJZC/ref=sr_1_5?keywords=Estee+Lauder+perfectly+clean+multi-action+foam+cleanser%2F+purifying+mask+150ml%2F5oz&amp;qid=1695259685&amp;sr=8-5", "https://www.amazon.com/Estee-Lauder-Perfectly-Multi-Action-Cleanser-Purifying/dp/B0C1G8NJZC/ref=sr_1_5?keywords=Estee+Lauder+perfectly+clean+multi-action+foam+cleanser%2F+purifying+mask+150ml%2F5oz&amp;qid=1695259685&amp;sr=8-5")</f>
        <v>https://www.amazon.com/Estee-Lauder-Perfectly-Multi-Action-Cleanser-Purifying/dp/B0C1G8NJZC/ref=sr_1_5?keywords=Estee+Lauder+perfectly+clean+multi-action+foam+cleanser%2F+purifying+mask+150ml%2F5oz&amp;qid=1695259685&amp;sr=8-5</v>
      </c>
      <c r="F2790" t="s">
        <v>6823</v>
      </c>
      <c r="G2790" t="e">
        <f ca="1">IMAGE("https://prolisok-store.com/cdn/shop/products/242828_300x.jpg?v=1690900205")</f>
        <v>#NAME?</v>
      </c>
      <c r="H2790" t="e">
        <f ca="1">IMAGE("https://m.media-amazon.com/images/I/41ttGls+E7L._AC_UL320_.jpg")</f>
        <v>#NAME?</v>
      </c>
      <c r="I2790" t="s">
        <v>6784</v>
      </c>
      <c r="J2790">
        <v>46</v>
      </c>
      <c r="K2790" s="2" t="s">
        <v>6824</v>
      </c>
      <c r="L2790">
        <v>4.9000000000000004</v>
      </c>
      <c r="M2790">
        <v>89</v>
      </c>
      <c r="O2790" t="s">
        <v>26</v>
      </c>
      <c r="P2790" t="s">
        <v>39</v>
      </c>
      <c r="Q2790" t="s">
        <v>6786</v>
      </c>
    </row>
    <row r="2791" spans="1:17" ht="15.75" x14ac:dyDescent="0.25">
      <c r="A2791" s="3" t="str">
        <f>HYPERLINK("https://prolisok-store.com/collections/skin-care/products/estee-lauder-perfectly-clean-multi-action-foam-cleanser-purifying-mask-150ml-5oz", "https://prolisok-store.com/collections/skin-care/products/estee-lauder-perfectly-clean-multi-action-foam-cleanser-purifying-mask-150ml-5oz")</f>
        <v>https://prolisok-store.com/collections/skin-care/products/estee-lauder-perfectly-clean-multi-action-foam-cleanser-purifying-mask-150ml-5oz</v>
      </c>
      <c r="B2791" s="3" t="str">
        <f>HYPERLINK("https://prolisok-store.com/products/estee-lauder-perfectly-clean-multi-action-foam-cleanser-purifying-mask-150ml-5oz", "https://prolisok-store.com/products/estee-lauder-perfectly-clean-multi-action-foam-cleanser-purifying-mask-150ml-5oz")</f>
        <v>https://prolisok-store.com/products/estee-lauder-perfectly-clean-multi-action-foam-cleanser-purifying-mask-150ml-5oz</v>
      </c>
      <c r="C2791" t="s">
        <v>6781</v>
      </c>
      <c r="D2791" t="s">
        <v>6825</v>
      </c>
      <c r="E2791" s="3" t="str">
        <f>HYPERLINK("https://www.amazon.com/Estee-Lauder-Perfectly-Multi-action-Purifying/dp/B0CB69M7MS/ref=sr_1_2?keywords=Estee+Lauder+perfectly+clean+multi-action+foam+cleanser%2F+purifying+mask+150ml%2F5oz&amp;qid=1695259685&amp;sr=8-2", "https://www.amazon.com/Estee-Lauder-Perfectly-Multi-action-Purifying/dp/B0CB69M7MS/ref=sr_1_2?keywords=Estee+Lauder+perfectly+clean+multi-action+foam+cleanser%2F+purifying+mask+150ml%2F5oz&amp;qid=1695259685&amp;sr=8-2")</f>
        <v>https://www.amazon.com/Estee-Lauder-Perfectly-Multi-action-Purifying/dp/B0CB69M7MS/ref=sr_1_2?keywords=Estee+Lauder+perfectly+clean+multi-action+foam+cleanser%2F+purifying+mask+150ml%2F5oz&amp;qid=1695259685&amp;sr=8-2</v>
      </c>
      <c r="F2791" t="s">
        <v>6826</v>
      </c>
      <c r="G2791" t="e">
        <f ca="1">IMAGE("https://prolisok-store.com/cdn/shop/products/242828_300x.jpg?v=1690900205")</f>
        <v>#NAME?</v>
      </c>
      <c r="H2791" t="e">
        <f ca="1">IMAGE("https://m.media-amazon.com/images/I/31YpWlnCNVL._AC_UL320_.jpg")</f>
        <v>#NAME?</v>
      </c>
      <c r="I2791" t="s">
        <v>6784</v>
      </c>
      <c r="J2791">
        <v>46</v>
      </c>
      <c r="K2791" s="2" t="s">
        <v>6824</v>
      </c>
      <c r="L2791">
        <v>4.8</v>
      </c>
      <c r="M2791">
        <v>1964</v>
      </c>
      <c r="O2791" t="s">
        <v>26</v>
      </c>
      <c r="P2791" t="s">
        <v>39</v>
      </c>
      <c r="Q2791" t="s">
        <v>6786</v>
      </c>
    </row>
    <row r="2792" spans="1:17" ht="15.75" x14ac:dyDescent="0.25">
      <c r="A2792" s="3" t="str">
        <f>HYPERLINK("https://prolisok-store.com/collections/skin-care/products/la-mer-the-cleansing-foam-oz-4-2-ounce", "https://prolisok-store.com/collections/skin-care/products/la-mer-the-cleansing-foam-oz-4-2-ounce")</f>
        <v>https://prolisok-store.com/collections/skin-care/products/la-mer-the-cleansing-foam-oz-4-2-ounce</v>
      </c>
      <c r="B2792" s="3" t="str">
        <f>HYPERLINK("https://prolisok-store.com/products/la-mer-the-cleansing-foam-oz-4-2-ounce", "https://prolisok-store.com/products/la-mer-the-cleansing-foam-oz-4-2-ounce")</f>
        <v>https://prolisok-store.com/products/la-mer-the-cleansing-foam-oz-4-2-ounce</v>
      </c>
      <c r="C2792" t="s">
        <v>4620</v>
      </c>
      <c r="D2792" t="s">
        <v>4620</v>
      </c>
      <c r="E2792" s="3" t="str">
        <f>HYPERLINK("https://www.amazon.com/La-Mer-The-Cleansing-Foam/dp/B00E5PWWHK/ref=sr_1_1?keywords=La+Mer+The+Cleansing+Foam%2C+Oz+4.2+Ounce&amp;qid=1695259592&amp;sr=8-1", "https://www.amazon.com/La-Mer-The-Cleansing-Foam/dp/B00E5PWWHK/ref=sr_1_1?keywords=La+Mer+The+Cleansing+Foam%2C+Oz+4.2+Ounce&amp;qid=1695259592&amp;sr=8-1")</f>
        <v>https://www.amazon.com/La-Mer-The-Cleansing-Foam/dp/B00E5PWWHK/ref=sr_1_1?keywords=La+Mer+The+Cleansing+Foam%2C+Oz+4.2+Ounce&amp;qid=1695259592&amp;sr=8-1</v>
      </c>
      <c r="F2792" t="s">
        <v>4890</v>
      </c>
      <c r="G2792" t="e">
        <f ca="1">IMAGE("https://prolisok-store.com/cdn/shop/products/61jRwk3Ar7L._SL1500_300x.jpg?v=1673868613")</f>
        <v>#NAME?</v>
      </c>
      <c r="H2792" t="e">
        <f ca="1">IMAGE("https://m.media-amazon.com/images/I/61jRwk3Ar7L._AC_UL320_.jpg")</f>
        <v>#NAME?</v>
      </c>
      <c r="I2792" t="s">
        <v>3587</v>
      </c>
      <c r="J2792">
        <v>69.8</v>
      </c>
      <c r="K2792" s="2" t="s">
        <v>4891</v>
      </c>
      <c r="L2792">
        <v>4.0999999999999996</v>
      </c>
      <c r="M2792">
        <v>185</v>
      </c>
      <c r="O2792" t="s">
        <v>26</v>
      </c>
      <c r="P2792" t="s">
        <v>39</v>
      </c>
      <c r="Q2792" t="s">
        <v>4624</v>
      </c>
    </row>
    <row r="2793" spans="1:17" ht="15.75" x14ac:dyDescent="0.25">
      <c r="A2793" s="3" t="str">
        <f>HYPERLINK("https://prolisok-store.com/collections/skin-care/products/elizabeth-arden-ceramide-retinol-capsules-line-erasing-night-serum-60-caps", "https://prolisok-store.com/collections/skin-care/products/elizabeth-arden-ceramide-retinol-capsules-line-erasing-night-serum-60-caps")</f>
        <v>https://prolisok-store.com/collections/skin-care/products/elizabeth-arden-ceramide-retinol-capsules-line-erasing-night-serum-60-caps</v>
      </c>
      <c r="B2793" s="3" t="str">
        <f>HYPERLINK("https://prolisok-store.com/products/elizabeth-arden-ceramide-retinol-capsules-line-erasing-night-serum-60-caps", "https://prolisok-store.com/products/elizabeth-arden-ceramide-retinol-capsules-line-erasing-night-serum-60-caps")</f>
        <v>https://prolisok-store.com/products/elizabeth-arden-ceramide-retinol-capsules-line-erasing-night-serum-60-caps</v>
      </c>
      <c r="C2793" t="s">
        <v>6827</v>
      </c>
      <c r="D2793" t="s">
        <v>4674</v>
      </c>
      <c r="E2793" s="3" t="str">
        <f>HYPERLINK("https://www.amazon.com/Elizabeth-Arden-Retinol-Ceramide-Capsules/dp/B07TN8WFZJ/ref=sr_1_2?keywords=Elizabeth+Arden+ceramide+retinol+capsules+line+erasing+night+serum+60+caps&amp;qid=1695259670&amp;sr=8-2", "https://www.amazon.com/Elizabeth-Arden-Retinol-Ceramide-Capsules/dp/B07TN8WFZJ/ref=sr_1_2?keywords=Elizabeth+Arden+ceramide+retinol+capsules+line+erasing+night+serum+60+caps&amp;qid=1695259670&amp;sr=8-2")</f>
        <v>https://www.amazon.com/Elizabeth-Arden-Retinol-Ceramide-Capsules/dp/B07TN8WFZJ/ref=sr_1_2?keywords=Elizabeth+Arden+ceramide+retinol+capsules+line+erasing+night+serum+60+caps&amp;qid=1695259670&amp;sr=8-2</v>
      </c>
      <c r="F2793" t="s">
        <v>4675</v>
      </c>
      <c r="G2793" t="e">
        <f ca="1">IMAGE("https://prolisok-store.com/cdn/shop/products/326993_300x.jpg?v=1693407184")</f>
        <v>#NAME?</v>
      </c>
      <c r="H2793" t="e">
        <f ca="1">IMAGE("https://m.media-amazon.com/images/I/71-zjzKULCL._AC_UL320_.jpg")</f>
        <v>#NAME?</v>
      </c>
      <c r="I2793" t="s">
        <v>6828</v>
      </c>
      <c r="J2793">
        <v>120</v>
      </c>
      <c r="K2793" s="2" t="s">
        <v>6829</v>
      </c>
      <c r="L2793">
        <v>4.5</v>
      </c>
      <c r="M2793">
        <v>440</v>
      </c>
      <c r="O2793" t="s">
        <v>26</v>
      </c>
      <c r="P2793" t="s">
        <v>39</v>
      </c>
      <c r="Q2793" t="s">
        <v>6830</v>
      </c>
    </row>
    <row r="2794" spans="1:17" ht="15.75" x14ac:dyDescent="0.25">
      <c r="A2794" s="3" t="str">
        <f>HYPERLINK("https://prolisok-store.com/collections/skin-care/products/facial-treatment-mask-10-pc", "https://prolisok-store.com/collections/skin-care/products/facial-treatment-mask-10-pc")</f>
        <v>https://prolisok-store.com/collections/skin-care/products/facial-treatment-mask-10-pc</v>
      </c>
      <c r="B2794" s="3" t="str">
        <f>HYPERLINK("https://prolisok-store.com/products/facial-treatment-mask-10-pc", "https://prolisok-store.com/products/facial-treatment-mask-10-pc")</f>
        <v>https://prolisok-store.com/products/facial-treatment-mask-10-pc</v>
      </c>
      <c r="C2794" t="s">
        <v>4705</v>
      </c>
      <c r="D2794" t="s">
        <v>4901</v>
      </c>
      <c r="E2794" s="3" t="str">
        <f>HYPERLINK("https://www.amazon.com/SK-II-Facial-Treatment-Mask/dp/B078MQP5ZF/ref=sr_1_4?keywords=SK-II+Facial+Treatment+Mask%2F10+pc.&amp;qid=1695259593&amp;sr=8-4", "https://www.amazon.com/SK-II-Facial-Treatment-Mask/dp/B078MQP5ZF/ref=sr_1_4?keywords=SK-II+Facial+Treatment+Mask%2F10+pc.&amp;qid=1695259593&amp;sr=8-4")</f>
        <v>https://www.amazon.com/SK-II-Facial-Treatment-Mask/dp/B078MQP5ZF/ref=sr_1_4?keywords=SK-II+Facial+Treatment+Mask%2F10+pc.&amp;qid=1695259593&amp;sr=8-4</v>
      </c>
      <c r="F2794" t="s">
        <v>4902</v>
      </c>
      <c r="G2794" t="e">
        <f ca="1">IMAGE("https://prolisok-store.com/cdn/shop/products/41oxreg7WTL_300x.jpg?v=1673964595")</f>
        <v>#NAME?</v>
      </c>
      <c r="H2794" t="e">
        <f ca="1">IMAGE("https://m.media-amazon.com/images/I/61XhPFpJf8L._AC_UL320_.jpg")</f>
        <v>#NAME?</v>
      </c>
      <c r="I2794" t="s">
        <v>4346</v>
      </c>
      <c r="J2794">
        <v>71</v>
      </c>
      <c r="K2794" s="2" t="s">
        <v>4903</v>
      </c>
      <c r="L2794">
        <v>4.4000000000000004</v>
      </c>
      <c r="M2794">
        <v>24</v>
      </c>
      <c r="O2794" t="s">
        <v>26</v>
      </c>
      <c r="P2794" t="s">
        <v>4709</v>
      </c>
      <c r="Q2794" t="s">
        <v>4710</v>
      </c>
    </row>
    <row r="2795" spans="1:17" ht="15.75" x14ac:dyDescent="0.25">
      <c r="A2795" s="3" t="str">
        <f>HYPERLINK("https://prolisok-store.com/collections/skin-care/products/green-tea-by-elizabeth-arden-body-lotion-6-8-oz", "https://prolisok-store.com/collections/skin-care/products/green-tea-by-elizabeth-arden-body-lotion-6-8-oz")</f>
        <v>https://prolisok-store.com/collections/skin-care/products/green-tea-by-elizabeth-arden-body-lotion-6-8-oz</v>
      </c>
      <c r="B2795" s="3" t="str">
        <f>HYPERLINK("https://prolisok-store.com/products/green-tea-by-elizabeth-arden-body-lotion-6-8-oz", "https://prolisok-store.com/products/green-tea-by-elizabeth-arden-body-lotion-6-8-oz")</f>
        <v>https://prolisok-store.com/products/green-tea-by-elizabeth-arden-body-lotion-6-8-oz</v>
      </c>
      <c r="C2795" t="s">
        <v>6778</v>
      </c>
      <c r="D2795" t="s">
        <v>4227</v>
      </c>
      <c r="E2795" s="3" t="str">
        <f>HYPERLINK("https://www.amazon.com/Elizabeth-Arden-Green-Refreshing-Lotion/dp/B0020MM7K2/ref=sr_1_1?keywords=Green+tea+by+elizabeth+arden+body+lotion+6.8+oz&amp;qid=1695259649&amp;sr=8-1", "https://www.amazon.com/Elizabeth-Arden-Green-Refreshing-Lotion/dp/B0020MM7K2/ref=sr_1_1?keywords=Green+tea+by+elizabeth+arden+body+lotion+6.8+oz&amp;qid=1695259649&amp;sr=8-1")</f>
        <v>https://www.amazon.com/Elizabeth-Arden-Green-Refreshing-Lotion/dp/B0020MM7K2/ref=sr_1_1?keywords=Green+tea+by+elizabeth+arden+body+lotion+6.8+oz&amp;qid=1695259649&amp;sr=8-1</v>
      </c>
      <c r="F2795" t="s">
        <v>4228</v>
      </c>
      <c r="G2795" t="e">
        <f ca="1">IMAGE("https://prolisok-store.com/cdn/shop/products/115439_300x.jpg?v=1693407288")</f>
        <v>#NAME?</v>
      </c>
      <c r="H2795" t="e">
        <f ca="1">IMAGE("https://m.media-amazon.com/images/I/41vZTUs0rrL._AC_UL320_.jpg")</f>
        <v>#NAME?</v>
      </c>
      <c r="I2795" t="s">
        <v>5295</v>
      </c>
      <c r="J2795">
        <v>19</v>
      </c>
      <c r="K2795" s="2" t="s">
        <v>6831</v>
      </c>
      <c r="L2795">
        <v>4.5999999999999996</v>
      </c>
      <c r="M2795">
        <v>790</v>
      </c>
      <c r="O2795" t="s">
        <v>26</v>
      </c>
      <c r="P2795" t="s">
        <v>39</v>
      </c>
      <c r="Q2795" t="s">
        <v>6780</v>
      </c>
    </row>
    <row r="2796" spans="1:17" ht="15.75" x14ac:dyDescent="0.25">
      <c r="A2796" s="3" t="str">
        <f>HYPERLINK("https://prolisok-store.com/collections/skin-care/products/elizabeth-arden-capsules-serum", "https://prolisok-store.com/collections/skin-care/products/elizabeth-arden-capsules-serum")</f>
        <v>https://prolisok-store.com/collections/skin-care/products/elizabeth-arden-capsules-serum</v>
      </c>
      <c r="B2796" s="3" t="str">
        <f>HYPERLINK("https://prolisok-store.com/products/elizabeth-arden-capsules-serum", "https://prolisok-store.com/products/elizabeth-arden-capsules-serum")</f>
        <v>https://prolisok-store.com/products/elizabeth-arden-capsules-serum</v>
      </c>
      <c r="C2796" t="s">
        <v>4670</v>
      </c>
      <c r="D2796" t="s">
        <v>4908</v>
      </c>
      <c r="E2796" s="3" t="str">
        <f>HYPERLINK("https://www.amazon.com/Elizabeth-Arden-Illuminating-Brightening-Concentrate/dp/B01C8052IO/ref=sr_1_10?keywords=Elizabeth+Arden+Capsules+Serum&amp;qid=1695259597&amp;sr=8-10", "https://www.amazon.com/Elizabeth-Arden-Illuminating-Brightening-Concentrate/dp/B01C8052IO/ref=sr_1_10?keywords=Elizabeth+Arden+Capsules+Serum&amp;qid=1695259597&amp;sr=8-10")</f>
        <v>https://www.amazon.com/Elizabeth-Arden-Illuminating-Brightening-Concentrate/dp/B01C8052IO/ref=sr_1_10?keywords=Elizabeth+Arden+Capsules+Serum&amp;qid=1695259597&amp;sr=8-10</v>
      </c>
      <c r="F2796" t="s">
        <v>4909</v>
      </c>
      <c r="G2796" t="e">
        <f ca="1">IMAGE("https://prolisok-store.com/cdn/shop/files/71roxz2sB-L._SL1500_300x.jpg?v=1683266294")</f>
        <v>#NAME?</v>
      </c>
      <c r="H2796" t="e">
        <f ca="1">IMAGE("https://m.media-amazon.com/images/I/719qmohIxsL._AC_UL320_.jpg")</f>
        <v>#NAME?</v>
      </c>
      <c r="I2796" t="s">
        <v>4355</v>
      </c>
      <c r="J2796">
        <v>84</v>
      </c>
      <c r="K2796" s="2" t="s">
        <v>4910</v>
      </c>
      <c r="L2796">
        <v>4.0999999999999996</v>
      </c>
      <c r="M2796">
        <v>170</v>
      </c>
      <c r="O2796" t="s">
        <v>26</v>
      </c>
      <c r="P2796" t="s">
        <v>39</v>
      </c>
      <c r="Q2796" t="s">
        <v>4673</v>
      </c>
    </row>
    <row r="2797" spans="1:17" ht="15.75" x14ac:dyDescent="0.25">
      <c r="A2797" s="3" t="str">
        <f>HYPERLINK("https://prolisok-store.com/collections/skin-care/products/clinique-by-clinique-cream-shaper-for-eyes-105-chocolate-lustre-1-2g-0-04oz", "https://prolisok-store.com/collections/skin-care/products/clinique-by-clinique-cream-shaper-for-eyes-105-chocolate-lustre-1-2g-0-04oz")</f>
        <v>https://prolisok-store.com/collections/skin-care/products/clinique-by-clinique-cream-shaper-for-eyes-105-chocolate-lustre-1-2g-0-04oz</v>
      </c>
      <c r="B2797" s="3" t="str">
        <f>HYPERLINK("https://prolisok-store.com/products/clinique-by-clinique-cream-shaper-for-eyes-105-chocolate-lustre-1-2g-0-04oz", "https://prolisok-store.com/products/clinique-by-clinique-cream-shaper-for-eyes-105-chocolate-lustre-1-2g-0-04oz")</f>
        <v>https://prolisok-store.com/products/clinique-by-clinique-cream-shaper-for-eyes-105-chocolate-lustre-1-2g-0-04oz</v>
      </c>
      <c r="C2797" t="s">
        <v>6832</v>
      </c>
      <c r="D2797" t="s">
        <v>6833</v>
      </c>
      <c r="E2797" s="3" t="str">
        <f>HYPERLINK("https://www.amazon.com/Clinique-Cream-Shaper-Chocolate-Lustre/dp/B00D58QBF2/ref=sr_1_3?keywords=Clinique+cream+shaper+for+eyes+-&amp;qid=1695259696&amp;sr=8-3", "https://www.amazon.com/Clinique-Cream-Shaper-Chocolate-Lustre/dp/B00D58QBF2/ref=sr_1_3?keywords=Clinique+cream+shaper+for+eyes+-&amp;qid=1695259696&amp;sr=8-3")</f>
        <v>https://www.amazon.com/Clinique-Cream-Shaper-Chocolate-Lustre/dp/B00D58QBF2/ref=sr_1_3?keywords=Clinique+cream+shaper+for+eyes+-&amp;qid=1695259696&amp;sr=8-3</v>
      </c>
      <c r="F2797" t="s">
        <v>6834</v>
      </c>
      <c r="G2797" t="e">
        <f ca="1">IMAGE("https://prolisok-store.com/cdn/shop/products/192722_300x.jpg?v=1688060524")</f>
        <v>#NAME?</v>
      </c>
      <c r="H2797" t="e">
        <f ca="1">IMAGE("https://m.media-amazon.com/images/I/41vICvi1UJL._AC_UL320_.jpg")</f>
        <v>#NAME?</v>
      </c>
      <c r="I2797" t="s">
        <v>5198</v>
      </c>
      <c r="J2797">
        <v>28.83</v>
      </c>
      <c r="K2797" s="2" t="s">
        <v>6835</v>
      </c>
      <c r="L2797">
        <v>4.5</v>
      </c>
      <c r="M2797">
        <v>90</v>
      </c>
      <c r="O2797" t="s">
        <v>26</v>
      </c>
      <c r="P2797" t="s">
        <v>39</v>
      </c>
      <c r="Q2797" t="s">
        <v>6836</v>
      </c>
    </row>
    <row r="2798" spans="1:17" ht="15.75" x14ac:dyDescent="0.25">
      <c r="A2798" s="3" t="str">
        <f>HYPERLINK("https://prolisok-store.com/collections/skin-care/products/elizabeth-arden-ceramide-capsules-daily-youth-restoring-serum-advanced-30caps", "https://prolisok-store.com/collections/skin-care/products/elizabeth-arden-ceramide-capsules-daily-youth-restoring-serum-advanced-30caps")</f>
        <v>https://prolisok-store.com/collections/skin-care/products/elizabeth-arden-ceramide-capsules-daily-youth-restoring-serum-advanced-30caps</v>
      </c>
      <c r="B2798" s="3" t="str">
        <f>HYPERLINK("https://prolisok-store.com/products/elizabeth-arden-ceramide-capsules-daily-youth-restoring-serum-advanced-30caps", "https://prolisok-store.com/products/elizabeth-arden-ceramide-capsules-daily-youth-restoring-serum-advanced-30caps")</f>
        <v>https://prolisok-store.com/products/elizabeth-arden-ceramide-capsules-daily-youth-restoring-serum-advanced-30caps</v>
      </c>
      <c r="C2798" t="s">
        <v>6837</v>
      </c>
      <c r="D2798" t="s">
        <v>4955</v>
      </c>
      <c r="E2798" s="3" t="str">
        <f>HYPERLINK("https://www.amazon.com/Elizabeth-Arden-Advanced-Ceramide-Restoring/dp/B072C3KZ48/ref=sr_1_1?keywords=Elizabeth+Arden+ceramide+capsules+daily+youth+restoring+serum+advanced+30caps&amp;qid=1695259651&amp;sr=8-1", "https://www.amazon.com/Elizabeth-Arden-Advanced-Ceramide-Restoring/dp/B072C3KZ48/ref=sr_1_1?keywords=Elizabeth+Arden+ceramide+capsules+daily+youth+restoring+serum+advanced+30caps&amp;qid=1695259651&amp;sr=8-1")</f>
        <v>https://www.amazon.com/Elizabeth-Arden-Advanced-Ceramide-Restoring/dp/B072C3KZ48/ref=sr_1_1?keywords=Elizabeth+Arden+ceramide+capsules+daily+youth+restoring+serum+advanced+30caps&amp;qid=1695259651&amp;sr=8-1</v>
      </c>
      <c r="F2798" t="s">
        <v>4956</v>
      </c>
      <c r="G2798" t="e">
        <f ca="1">IMAGE("https://prolisok-store.com/cdn/shop/products/312537_300x.jpg?v=1693407188")</f>
        <v>#NAME?</v>
      </c>
      <c r="H2798" t="e">
        <f ca="1">IMAGE("https://m.media-amazon.com/images/I/81ZrMgDNsPL._AC_UL320_.jpg")</f>
        <v>#NAME?</v>
      </c>
      <c r="I2798" t="s">
        <v>6838</v>
      </c>
      <c r="J2798">
        <v>67</v>
      </c>
      <c r="K2798" s="2" t="s">
        <v>6839</v>
      </c>
      <c r="L2798">
        <v>4.3</v>
      </c>
      <c r="M2798">
        <v>583</v>
      </c>
      <c r="O2798" t="s">
        <v>26</v>
      </c>
      <c r="P2798" t="s">
        <v>39</v>
      </c>
      <c r="Q2798" t="s">
        <v>6840</v>
      </c>
    </row>
    <row r="2799" spans="1:17" ht="15.75" x14ac:dyDescent="0.25">
      <c r="A2799" s="3" t="str">
        <f>HYPERLINK("https://prolisok-store.com/collections/skin-care/products/fifth-avenue-by-elizabeth-arden-body-lotion-6-8-oz", "https://prolisok-store.com/collections/skin-care/products/fifth-avenue-by-elizabeth-arden-body-lotion-6-8-oz")</f>
        <v>https://prolisok-store.com/collections/skin-care/products/fifth-avenue-by-elizabeth-arden-body-lotion-6-8-oz</v>
      </c>
      <c r="B2799" s="3" t="str">
        <f>HYPERLINK("https://prolisok-store.com/products/fifth-avenue-by-elizabeth-arden-body-lotion-6-8-oz", "https://prolisok-store.com/products/fifth-avenue-by-elizabeth-arden-body-lotion-6-8-oz")</f>
        <v>https://prolisok-store.com/products/fifth-avenue-by-elizabeth-arden-body-lotion-6-8-oz</v>
      </c>
      <c r="C2799" t="s">
        <v>6841</v>
      </c>
      <c r="D2799" t="s">
        <v>6842</v>
      </c>
      <c r="E2799" s="3" t="str">
        <f>HYPERLINK("https://www.amazon.com/Elizabeth-Arden-Avenue-Moisturizing-Lotion/dp/B0002JBXG4/ref=sr_1_1?keywords=Fifth+avenue+by+elizabeth+arden+body+lotion+6.8+oz&amp;qid=1695259647&amp;sr=8-1", "https://www.amazon.com/Elizabeth-Arden-Avenue-Moisturizing-Lotion/dp/B0002JBXG4/ref=sr_1_1?keywords=Fifth+avenue+by+elizabeth+arden+body+lotion+6.8+oz&amp;qid=1695259647&amp;sr=8-1")</f>
        <v>https://www.amazon.com/Elizabeth-Arden-Avenue-Moisturizing-Lotion/dp/B0002JBXG4/ref=sr_1_1?keywords=Fifth+avenue+by+elizabeth+arden+body+lotion+6.8+oz&amp;qid=1695259647&amp;sr=8-1</v>
      </c>
      <c r="F2799" t="s">
        <v>6843</v>
      </c>
      <c r="G2799" t="e">
        <f ca="1">IMAGE("https://prolisok-store.com/cdn/shop/products/125474_300x.jpg?v=1693407262")</f>
        <v>#NAME?</v>
      </c>
      <c r="H2799" t="e">
        <f ca="1">IMAGE("https://m.media-amazon.com/images/I/61lTO8Z2noL._AC_UL320_.jpg")</f>
        <v>#NAME?</v>
      </c>
      <c r="I2799" t="s">
        <v>6844</v>
      </c>
      <c r="J2799">
        <v>31</v>
      </c>
      <c r="K2799" s="2" t="s">
        <v>6845</v>
      </c>
      <c r="L2799">
        <v>4.4000000000000004</v>
      </c>
      <c r="M2799">
        <v>144</v>
      </c>
      <c r="O2799" t="s">
        <v>26</v>
      </c>
      <c r="P2799" t="s">
        <v>39</v>
      </c>
      <c r="Q2799" t="s">
        <v>6846</v>
      </c>
    </row>
    <row r="2800" spans="1:17" ht="15.75" x14ac:dyDescent="0.25">
      <c r="A2800" s="3" t="str">
        <f>HYPERLINK("https://prolisok-store.com/collections/skin-care/products/clarins-moisture-rich-body-lotion-for-dry-skin-200ml-6-8oz", "https://prolisok-store.com/collections/skin-care/products/clarins-moisture-rich-body-lotion-for-dry-skin-200ml-6-8oz")</f>
        <v>https://prolisok-store.com/collections/skin-care/products/clarins-moisture-rich-body-lotion-for-dry-skin-200ml-6-8oz</v>
      </c>
      <c r="B2800" s="3" t="str">
        <f>HYPERLINK("https://prolisok-store.com/products/clarins-moisture-rich-body-lotion-for-dry-skin-200ml-6-8oz", "https://prolisok-store.com/products/clarins-moisture-rich-body-lotion-for-dry-skin-200ml-6-8oz")</f>
        <v>https://prolisok-store.com/products/clarins-moisture-rich-body-lotion-for-dry-skin-200ml-6-8oz</v>
      </c>
      <c r="C2800" t="s">
        <v>6847</v>
      </c>
      <c r="D2800" t="s">
        <v>6848</v>
      </c>
      <c r="E2800" s="3" t="str">
        <f>HYPERLINK("https://www.amazon.com/Clarins-Moisture-Rich-Intensely-Non-Greasy-Ingredients/dp/B08XXDFDLH/ref=sr_1_1?keywords=Clarins+moisture+rich+body+lotion+%28+for+dry+skin+%29200ml%2F6.8oz&amp;qid=1695259626&amp;sr=8-1", "https://www.amazon.com/Clarins-Moisture-Rich-Intensely-Non-Greasy-Ingredients/dp/B08XXDFDLH/ref=sr_1_1?keywords=Clarins+moisture+rich+body+lotion+%28+for+dry+skin+%29200ml%2F6.8oz&amp;qid=1695259626&amp;sr=8-1")</f>
        <v>https://www.amazon.com/Clarins-Moisture-Rich-Intensely-Non-Greasy-Ingredients/dp/B08XXDFDLH/ref=sr_1_1?keywords=Clarins+moisture+rich+body+lotion+%28+for+dry+skin+%29200ml%2F6.8oz&amp;qid=1695259626&amp;sr=8-1</v>
      </c>
      <c r="F2800" t="s">
        <v>6849</v>
      </c>
      <c r="G2800" t="e">
        <f ca="1">IMAGE("https://prolisok-store.com/cdn/shop/products/164143_300x.jpg?v=1693407068")</f>
        <v>#NAME?</v>
      </c>
      <c r="H2800" t="e">
        <f ca="1">IMAGE("https://m.media-amazon.com/images/I/61A9y0b9YFL._AC_UL320_.jpg")</f>
        <v>#NAME?</v>
      </c>
      <c r="I2800" t="s">
        <v>6516</v>
      </c>
      <c r="J2800">
        <v>48</v>
      </c>
      <c r="K2800" s="2" t="s">
        <v>6850</v>
      </c>
      <c r="L2800">
        <v>4.8</v>
      </c>
      <c r="M2800">
        <v>123</v>
      </c>
      <c r="O2800" t="s">
        <v>26</v>
      </c>
      <c r="P2800" t="s">
        <v>39</v>
      </c>
      <c r="Q2800" t="s">
        <v>6851</v>
      </c>
    </row>
    <row r="2801" spans="1:17" ht="15.75" x14ac:dyDescent="0.25">
      <c r="A2801" s="3" t="str">
        <f>HYPERLINK("https://prolisok-store.com/collections/skin-care/products/clinique-by-clinique-clinique-rinse-off-foaming-cleanser-150ml-5oz", "https://prolisok-store.com/collections/skin-care/products/clinique-by-clinique-clinique-rinse-off-foaming-cleanser-150ml-5oz")</f>
        <v>https://prolisok-store.com/collections/skin-care/products/clinique-by-clinique-clinique-rinse-off-foaming-cleanser-150ml-5oz</v>
      </c>
      <c r="B2801" s="3" t="str">
        <f>HYPERLINK("https://prolisok-store.com/products/clinique-by-clinique-clinique-rinse-off-foaming-cleanser-150ml-5oz", "https://prolisok-store.com/products/clinique-by-clinique-clinique-rinse-off-foaming-cleanser-150ml-5oz")</f>
        <v>https://prolisok-store.com/products/clinique-by-clinique-clinique-rinse-off-foaming-cleanser-150ml-5oz</v>
      </c>
      <c r="C2801" t="s">
        <v>6852</v>
      </c>
      <c r="D2801" t="s">
        <v>6853</v>
      </c>
      <c r="E2801" s="3" t="str">
        <f>HYPERLINK("https://www.amazon.com/Rinse-off-Foaming-Cleanser-Offerta-Spe/dp/B071JV46Y7/ref=sr_1_8?keywords=Clinique+rinse+off+foaming+cleanser--150ml%2F5oz&amp;qid=1695259710&amp;sr=8-8", "https://www.amazon.com/Rinse-off-Foaming-Cleanser-Offerta-Spe/dp/B071JV46Y7/ref=sr_1_8?keywords=Clinique+rinse+off+foaming+cleanser--150ml%2F5oz&amp;qid=1695259710&amp;sr=8-8")</f>
        <v>https://www.amazon.com/Rinse-off-Foaming-Cleanser-Offerta-Spe/dp/B071JV46Y7/ref=sr_1_8?keywords=Clinique+rinse+off+foaming+cleanser--150ml%2F5oz&amp;qid=1695259710&amp;sr=8-8</v>
      </c>
      <c r="F2801" t="s">
        <v>6854</v>
      </c>
      <c r="G2801" t="e">
        <f ca="1">IMAGE("https://prolisok-store.com/cdn/shop/products/129649_300x.jpg?v=1688060485")</f>
        <v>#NAME?</v>
      </c>
      <c r="H2801" t="e">
        <f ca="1">IMAGE("https://m.media-amazon.com/images/I/51WObEd7-9L._AC_UL320_.jpg")</f>
        <v>#NAME?</v>
      </c>
      <c r="I2801" t="s">
        <v>6360</v>
      </c>
      <c r="J2801">
        <v>34</v>
      </c>
      <c r="K2801" s="2" t="s">
        <v>6855</v>
      </c>
      <c r="L2801">
        <v>4.7</v>
      </c>
      <c r="M2801">
        <v>223</v>
      </c>
      <c r="O2801" t="s">
        <v>26</v>
      </c>
      <c r="P2801" t="s">
        <v>39</v>
      </c>
      <c r="Q2801" t="s">
        <v>6856</v>
      </c>
    </row>
    <row r="2802" spans="1:17" ht="15.75" x14ac:dyDescent="0.25">
      <c r="A2802" s="3" t="str">
        <f>HYPERLINK("https://prolisok-store.com/collections/skin-care/products/drunk-elephant-lala-retro-whipped-cream-50-milliliters", "https://prolisok-store.com/collections/skin-care/products/drunk-elephant-lala-retro-whipped-cream-50-milliliters")</f>
        <v>https://prolisok-store.com/collections/skin-care/products/drunk-elephant-lala-retro-whipped-cream-50-milliliters</v>
      </c>
      <c r="B2802" s="3" t="str">
        <f>HYPERLINK("https://prolisok-store.com/products/drunk-elephant-lala-retro-whipped-cream-50-milliliters", "https://prolisok-store.com/products/drunk-elephant-lala-retro-whipped-cream-50-milliliters")</f>
        <v>https://prolisok-store.com/products/drunk-elephant-lala-retro-whipped-cream-50-milliliters</v>
      </c>
      <c r="C2802" t="s">
        <v>4388</v>
      </c>
      <c r="D2802" t="s">
        <v>4917</v>
      </c>
      <c r="E2802" s="3" t="str">
        <f>HYPERLINK("https://www.amazon.com/Drunk-Elephant-Retro-Whipped-Cream/dp/B01J1ZBJSG/ref=sr_1_1?keywords=Drunk+Elephant+Lala+Retro+Whipped+Cream+50+Milliliters&amp;qid=1695259593&amp;sr=8-1", "https://www.amazon.com/Drunk-Elephant-Retro-Whipped-Cream/dp/B01J1ZBJSG/ref=sr_1_1?keywords=Drunk+Elephant+Lala+Retro+Whipped+Cream+50+Milliliters&amp;qid=1695259593&amp;sr=8-1")</f>
        <v>https://www.amazon.com/Drunk-Elephant-Retro-Whipped-Cream/dp/B01J1ZBJSG/ref=sr_1_1?keywords=Drunk+Elephant+Lala+Retro+Whipped+Cream+50+Milliliters&amp;qid=1695259593&amp;sr=8-1</v>
      </c>
      <c r="F2802" t="s">
        <v>4918</v>
      </c>
      <c r="G2802" t="e">
        <f ca="1">IMAGE("https://prolisok-store.com/cdn/shop/files/51ybUrn6ZWL._SL1500_300x.jpg?v=1686223860")</f>
        <v>#NAME?</v>
      </c>
      <c r="H2802" t="e">
        <f ca="1">IMAGE("https://m.media-amazon.com/images/I/51ybUrn6ZWL._AC_UL320_.jpg")</f>
        <v>#NAME?</v>
      </c>
      <c r="I2802" t="s">
        <v>3566</v>
      </c>
      <c r="J2802">
        <v>47</v>
      </c>
      <c r="K2802" s="2" t="s">
        <v>4919</v>
      </c>
      <c r="L2802">
        <v>4.2</v>
      </c>
      <c r="M2802">
        <v>1921</v>
      </c>
      <c r="O2802" t="s">
        <v>26</v>
      </c>
      <c r="P2802" t="s">
        <v>2472</v>
      </c>
      <c r="Q2802" t="s">
        <v>4392</v>
      </c>
    </row>
    <row r="2803" spans="1:17" ht="15.75" x14ac:dyDescent="0.25">
      <c r="A2803" s="3" t="str">
        <f>HYPERLINK("https://prolisok-store.com/collections/skin-care/products/sisley-black-rose-cream-masque-for-women-2-1-ounce", "https://prolisok-store.com/collections/skin-care/products/sisley-black-rose-cream-masque-for-women-2-1-ounce")</f>
        <v>https://prolisok-store.com/collections/skin-care/products/sisley-black-rose-cream-masque-for-women-2-1-ounce</v>
      </c>
      <c r="B2803" s="3" t="str">
        <f>HYPERLINK("https://prolisok-store.com/products/sisley-black-rose-cream-masque-for-women-2-1-ounce", "https://prolisok-store.com/products/sisley-black-rose-cream-masque-for-women-2-1-ounce")</f>
        <v>https://prolisok-store.com/products/sisley-black-rose-cream-masque-for-women-2-1-ounce</v>
      </c>
      <c r="C2803" t="s">
        <v>4904</v>
      </c>
      <c r="D2803" t="s">
        <v>4904</v>
      </c>
      <c r="E2803" s="3" t="str">
        <f>HYPERLINK("https://www.amazon.com/Sisley-Black-Cream-Masque-Women/dp/B0074O7LHK/ref=sr_1_1?keywords=Sisley+Black+Rose+Cream+Masque+for+Women%2C+2.1+Ounce&amp;qid=1695259596&amp;sr=8-1", "https://www.amazon.com/Sisley-Black-Cream-Masque-Women/dp/B0074O7LHK/ref=sr_1_1?keywords=Sisley+Black+Rose+Cream+Masque+for+Women%2C+2.1+Ounce&amp;qid=1695259596&amp;sr=8-1")</f>
        <v>https://www.amazon.com/Sisley-Black-Cream-Masque-Women/dp/B0074O7LHK/ref=sr_1_1?keywords=Sisley+Black+Rose+Cream+Masque+for+Women%2C+2.1+Ounce&amp;qid=1695259596&amp;sr=8-1</v>
      </c>
      <c r="F2803" t="s">
        <v>4905</v>
      </c>
      <c r="G2803" t="e">
        <f ca="1">IMAGE("https://prolisok-store.com/cdn/shop/products/51Y5Zje_FmL._SL1000_300x.jpg?v=1668163599")</f>
        <v>#NAME?</v>
      </c>
      <c r="H2803" t="e">
        <f ca="1">IMAGE("https://m.media-amazon.com/images/I/61f3b1gZe5L._AC_UL320_.jpg")</f>
        <v>#NAME?</v>
      </c>
      <c r="I2803" t="s">
        <v>3587</v>
      </c>
      <c r="J2803">
        <v>60.52</v>
      </c>
      <c r="K2803" s="2" t="s">
        <v>6857</v>
      </c>
      <c r="L2803">
        <v>4.4000000000000004</v>
      </c>
      <c r="M2803">
        <v>360</v>
      </c>
      <c r="O2803" t="s">
        <v>26</v>
      </c>
      <c r="P2803" t="s">
        <v>39</v>
      </c>
      <c r="Q2803" t="s">
        <v>4907</v>
      </c>
    </row>
    <row r="2804" spans="1:17" ht="15.75" x14ac:dyDescent="0.25">
      <c r="A2804" s="3" t="str">
        <f>HYPERLINK("https://prolisok-store.com/collections/skin-care/products/white-tea-by-elizabeth-arden-body-cream-13-5-oz", "https://prolisok-store.com/collections/skin-care/products/white-tea-by-elizabeth-arden-body-cream-13-5-oz")</f>
        <v>https://prolisok-store.com/collections/skin-care/products/white-tea-by-elizabeth-arden-body-cream-13-5-oz</v>
      </c>
      <c r="B2804" s="3" t="str">
        <f>HYPERLINK("https://prolisok-store.com/products/white-tea-by-elizabeth-arden-body-cream-13-5-oz", "https://prolisok-store.com/products/white-tea-by-elizabeth-arden-body-cream-13-5-oz")</f>
        <v>https://prolisok-store.com/products/white-tea-by-elizabeth-arden-body-cream-13-5-oz</v>
      </c>
      <c r="C2804" t="s">
        <v>6858</v>
      </c>
      <c r="D2804" t="s">
        <v>4222</v>
      </c>
      <c r="E2804" s="3" t="str">
        <f>HYPERLINK("https://www.amazon.com/Elizabeth-Arden-White-Indulgence-Cream/dp/B01N4LCTIY/ref=sr_1_1?keywords=White+tea+by+elizabeth+arden+body+cream+13.5+oz&amp;qid=1695259643&amp;sr=8-1", "https://www.amazon.com/Elizabeth-Arden-White-Indulgence-Cream/dp/B01N4LCTIY/ref=sr_1_1?keywords=White+tea+by+elizabeth+arden+body+cream+13.5+oz&amp;qid=1695259643&amp;sr=8-1")</f>
        <v>https://www.amazon.com/Elizabeth-Arden-White-Indulgence-Cream/dp/B01N4LCTIY/ref=sr_1_1?keywords=White+tea+by+elizabeth+arden+body+cream+13.5+oz&amp;qid=1695259643&amp;sr=8-1</v>
      </c>
      <c r="F2804" t="s">
        <v>4223</v>
      </c>
      <c r="G2804" t="e">
        <f ca="1">IMAGE("https://prolisok-store.com/cdn/shop/products/302179_300x.jpg?v=1693407391")</f>
        <v>#NAME?</v>
      </c>
      <c r="H2804" t="e">
        <f ca="1">IMAGE("https://m.media-amazon.com/images/I/41H9bJt20fL._AC_UL320_.jpg")</f>
        <v>#NAME?</v>
      </c>
      <c r="I2804" t="s">
        <v>6094</v>
      </c>
      <c r="J2804">
        <v>34</v>
      </c>
      <c r="K2804" s="2" t="s">
        <v>6859</v>
      </c>
      <c r="L2804">
        <v>4.5</v>
      </c>
      <c r="M2804">
        <v>2164</v>
      </c>
      <c r="O2804" t="s">
        <v>26</v>
      </c>
      <c r="P2804" t="s">
        <v>39</v>
      </c>
      <c r="Q2804" t="s">
        <v>6860</v>
      </c>
    </row>
    <row r="2805" spans="1:17" ht="15.75" x14ac:dyDescent="0.25">
      <c r="A2805" s="3" t="str">
        <f>HYPERLINK("https://prolisok-store.com/collections/skin-care/products/white-tea-mandarin-blossom-by-elizabeth-arden-body-cream-13-5-oz", "https://prolisok-store.com/collections/skin-care/products/white-tea-mandarin-blossom-by-elizabeth-arden-body-cream-13-5-oz")</f>
        <v>https://prolisok-store.com/collections/skin-care/products/white-tea-mandarin-blossom-by-elizabeth-arden-body-cream-13-5-oz</v>
      </c>
      <c r="B2805" s="3" t="str">
        <f>HYPERLINK("https://prolisok-store.com/products/white-tea-mandarin-blossom-by-elizabeth-arden-body-cream-13-5-oz", "https://prolisok-store.com/products/white-tea-mandarin-blossom-by-elizabeth-arden-body-cream-13-5-oz")</f>
        <v>https://prolisok-store.com/products/white-tea-mandarin-blossom-by-elizabeth-arden-body-cream-13-5-oz</v>
      </c>
      <c r="C2805" t="s">
        <v>6861</v>
      </c>
      <c r="D2805" t="s">
        <v>4222</v>
      </c>
      <c r="E2805" s="3" t="str">
        <f>HYPERLINK("https://www.amazon.com/Elizabeth-Arden-White-Indulgence-Cream/dp/B01N4LCTIY/ref=sr_1_1?keywords=White+tea+mandarin+blossom+by+elizabeth+arden+body+cream+13.5+oz&amp;qid=1695259611&amp;sr=8-1", "https://www.amazon.com/Elizabeth-Arden-White-Indulgence-Cream/dp/B01N4LCTIY/ref=sr_1_1?keywords=White+tea+mandarin+blossom+by+elizabeth+arden+body+cream+13.5+oz&amp;qid=1695259611&amp;sr=8-1")</f>
        <v>https://www.amazon.com/Elizabeth-Arden-White-Indulgence-Cream/dp/B01N4LCTIY/ref=sr_1_1?keywords=White+tea+mandarin+blossom+by+elizabeth+arden+body+cream+13.5+oz&amp;qid=1695259611&amp;sr=8-1</v>
      </c>
      <c r="F2805" t="s">
        <v>4223</v>
      </c>
      <c r="G2805" t="e">
        <f ca="1">IMAGE("https://prolisok-store.com/cdn/shop/products/406393_300x.jpg?v=1693407436")</f>
        <v>#NAME?</v>
      </c>
      <c r="H2805" t="e">
        <f ca="1">IMAGE("https://m.media-amazon.com/images/I/41H9bJt20fL._AC_UL320_.jpg")</f>
        <v>#NAME?</v>
      </c>
      <c r="I2805" t="s">
        <v>748</v>
      </c>
      <c r="J2805">
        <v>34</v>
      </c>
      <c r="K2805" s="2" t="s">
        <v>4224</v>
      </c>
      <c r="L2805">
        <v>4.5</v>
      </c>
      <c r="M2805">
        <v>2164</v>
      </c>
      <c r="O2805" t="s">
        <v>26</v>
      </c>
      <c r="P2805" t="s">
        <v>39</v>
      </c>
      <c r="Q2805" t="s">
        <v>6862</v>
      </c>
    </row>
    <row r="2806" spans="1:17" ht="15.75" x14ac:dyDescent="0.25">
      <c r="A2806" s="3" t="str">
        <f>HYPERLINK("https://prolisok-store.com/collections/skin-care/products/white-tea-ginger-lily-by-elizabeth-arden-body-cream-13-5-oz", "https://prolisok-store.com/collections/skin-care/products/white-tea-ginger-lily-by-elizabeth-arden-body-cream-13-5-oz")</f>
        <v>https://prolisok-store.com/collections/skin-care/products/white-tea-ginger-lily-by-elizabeth-arden-body-cream-13-5-oz</v>
      </c>
      <c r="B2806" s="3" t="str">
        <f>HYPERLINK("https://prolisok-store.com/products/white-tea-ginger-lily-by-elizabeth-arden-body-cream-13-5-oz", "https://prolisok-store.com/products/white-tea-ginger-lily-by-elizabeth-arden-body-cream-13-5-oz")</f>
        <v>https://prolisok-store.com/products/white-tea-ginger-lily-by-elizabeth-arden-body-cream-13-5-oz</v>
      </c>
      <c r="C2806" t="s">
        <v>6863</v>
      </c>
      <c r="D2806" t="s">
        <v>4222</v>
      </c>
      <c r="E2806" s="3" t="str">
        <f>HYPERLINK("https://www.amazon.com/Elizabeth-Arden-White-Indulgence-Cream/dp/B01N4LCTIY/ref=sr_1_1?keywords=White+tea+ginger+lily+by+elizabeth+arden+body+cream+13.5+oz&amp;qid=1695259661&amp;sr=8-1", "https://www.amazon.com/Elizabeth-Arden-White-Indulgence-Cream/dp/B01N4LCTIY/ref=sr_1_1?keywords=White+tea+ginger+lily+by+elizabeth+arden+body+cream+13.5+oz&amp;qid=1695259661&amp;sr=8-1")</f>
        <v>https://www.amazon.com/Elizabeth-Arden-White-Indulgence-Cream/dp/B01N4LCTIY/ref=sr_1_1?keywords=White+tea+ginger+lily+by+elizabeth+arden+body+cream+13.5+oz&amp;qid=1695259661&amp;sr=8-1</v>
      </c>
      <c r="F2806" t="s">
        <v>4223</v>
      </c>
      <c r="G2806" t="e">
        <f ca="1">IMAGE("https://prolisok-store.com/cdn/shop/products/398134_300x.jpg?v=1693407451")</f>
        <v>#NAME?</v>
      </c>
      <c r="H2806" t="e">
        <f ca="1">IMAGE("https://m.media-amazon.com/images/I/41H9bJt20fL._AC_UL320_.jpg")</f>
        <v>#NAME?</v>
      </c>
      <c r="I2806" t="s">
        <v>748</v>
      </c>
      <c r="J2806">
        <v>34</v>
      </c>
      <c r="K2806" s="2" t="s">
        <v>4224</v>
      </c>
      <c r="L2806">
        <v>4.5</v>
      </c>
      <c r="M2806">
        <v>2164</v>
      </c>
      <c r="O2806" t="s">
        <v>26</v>
      </c>
      <c r="P2806" t="s">
        <v>39</v>
      </c>
      <c r="Q2806" t="s">
        <v>6864</v>
      </c>
    </row>
    <row r="2807" spans="1:17" ht="15.75" x14ac:dyDescent="0.25">
      <c r="A2807" s="3" t="str">
        <f>HYPERLINK("https://prolisok-store.com/collections/skin-care/products/my-fifth-avenue-by-elizabeth-arden-body-lotion-5-oz", "https://prolisok-store.com/collections/skin-care/products/my-fifth-avenue-by-elizabeth-arden-body-lotion-5-oz")</f>
        <v>https://prolisok-store.com/collections/skin-care/products/my-fifth-avenue-by-elizabeth-arden-body-lotion-5-oz</v>
      </c>
      <c r="B2807" s="3" t="str">
        <f>HYPERLINK("https://prolisok-store.com/products/my-fifth-avenue-by-elizabeth-arden-body-lotion-5-oz", "https://prolisok-store.com/products/my-fifth-avenue-by-elizabeth-arden-body-lotion-5-oz")</f>
        <v>https://prolisok-store.com/products/my-fifth-avenue-by-elizabeth-arden-body-lotion-5-oz</v>
      </c>
      <c r="C2807" t="s">
        <v>6865</v>
      </c>
      <c r="D2807" t="s">
        <v>4222</v>
      </c>
      <c r="E2807" s="3" t="str">
        <f>HYPERLINK("https://www.amazon.com/Elizabeth-Arden-White-Indulgence-Cream/dp/B01N4LCTIY/ref=sr_1_6?keywords=My+fifth+avenue+by+elizabeth+arden+body+lotion+5+oz&amp;qid=1695259656&amp;sr=8-6", "https://www.amazon.com/Elizabeth-Arden-White-Indulgence-Cream/dp/B01N4LCTIY/ref=sr_1_6?keywords=My+fifth+avenue+by+elizabeth+arden+body+lotion+5+oz&amp;qid=1695259656&amp;sr=8-6")</f>
        <v>https://www.amazon.com/Elizabeth-Arden-White-Indulgence-Cream/dp/B01N4LCTIY/ref=sr_1_6?keywords=My+fifth+avenue+by+elizabeth+arden+body+lotion+5+oz&amp;qid=1695259656&amp;sr=8-6</v>
      </c>
      <c r="F2807" t="s">
        <v>4223</v>
      </c>
      <c r="G2807" t="e">
        <f ca="1">IMAGE("https://prolisok-store.com/cdn/shop/products/389812_300x.jpg?v=1693407408")</f>
        <v>#NAME?</v>
      </c>
      <c r="H2807" t="e">
        <f ca="1">IMAGE("https://m.media-amazon.com/images/I/41H9bJt20fL._AC_UL320_.jpg")</f>
        <v>#NAME?</v>
      </c>
      <c r="I2807" t="s">
        <v>748</v>
      </c>
      <c r="J2807">
        <v>34</v>
      </c>
      <c r="K2807" s="2" t="s">
        <v>4224</v>
      </c>
      <c r="L2807">
        <v>4.5</v>
      </c>
      <c r="M2807">
        <v>2164</v>
      </c>
      <c r="O2807" t="s">
        <v>26</v>
      </c>
      <c r="P2807" t="s">
        <v>39</v>
      </c>
      <c r="Q2807" t="s">
        <v>6866</v>
      </c>
    </row>
    <row r="2808" spans="1:17" ht="15.75" x14ac:dyDescent="0.25">
      <c r="A2808" s="3" t="str">
        <f>HYPERLINK("https://prolisok-store.com/collections/skin-care/products/white-tea-mandarin-blossom-by-elizabeth-arden-body-cream-13-5-oz", "https://prolisok-store.com/collections/skin-care/products/white-tea-mandarin-blossom-by-elizabeth-arden-body-cream-13-5-oz")</f>
        <v>https://prolisok-store.com/collections/skin-care/products/white-tea-mandarin-blossom-by-elizabeth-arden-body-cream-13-5-oz</v>
      </c>
      <c r="B2808" s="3" t="str">
        <f>HYPERLINK("https://prolisok-store.com/products/white-tea-mandarin-blossom-by-elizabeth-arden-body-cream-13-5-oz", "https://prolisok-store.com/products/white-tea-mandarin-blossom-by-elizabeth-arden-body-cream-13-5-oz")</f>
        <v>https://prolisok-store.com/products/white-tea-mandarin-blossom-by-elizabeth-arden-body-cream-13-5-oz</v>
      </c>
      <c r="C2808" t="s">
        <v>6861</v>
      </c>
      <c r="D2808" t="s">
        <v>6814</v>
      </c>
      <c r="E2808" s="3" t="str">
        <f>HYPERLINK("https://www.amazon.com/Elizabeth-Arden-Ginger-Moisturizing-Hydrating/dp/B08VY8XS3R/ref=sr_1_2?keywords=White+tea+mandarin+blossom+by+elizabeth+arden+body+cream+13.5+oz&amp;qid=1695259611&amp;sr=8-2", "https://www.amazon.com/Elizabeth-Arden-Ginger-Moisturizing-Hydrating/dp/B08VY8XS3R/ref=sr_1_2?keywords=White+tea+mandarin+blossom+by+elizabeth+arden+body+cream+13.5+oz&amp;qid=1695259611&amp;sr=8-2")</f>
        <v>https://www.amazon.com/Elizabeth-Arden-Ginger-Moisturizing-Hydrating/dp/B08VY8XS3R/ref=sr_1_2?keywords=White+tea+mandarin+blossom+by+elizabeth+arden+body+cream+13.5+oz&amp;qid=1695259611&amp;sr=8-2</v>
      </c>
      <c r="F2808" t="s">
        <v>6815</v>
      </c>
      <c r="G2808" t="e">
        <f ca="1">IMAGE("https://prolisok-store.com/cdn/shop/products/406393_300x.jpg?v=1693407436")</f>
        <v>#NAME?</v>
      </c>
      <c r="H2808" t="e">
        <f ca="1">IMAGE("https://m.media-amazon.com/images/I/71N+6MczbjL._AC_UL320_.jpg")</f>
        <v>#NAME?</v>
      </c>
      <c r="I2808" t="s">
        <v>748</v>
      </c>
      <c r="J2808">
        <v>34</v>
      </c>
      <c r="K2808" s="2" t="s">
        <v>4224</v>
      </c>
      <c r="L2808">
        <v>4.4000000000000004</v>
      </c>
      <c r="M2808">
        <v>39</v>
      </c>
      <c r="O2808" t="s">
        <v>26</v>
      </c>
      <c r="P2808" t="s">
        <v>39</v>
      </c>
      <c r="Q2808" t="s">
        <v>6862</v>
      </c>
    </row>
    <row r="2809" spans="1:17" ht="15.75" x14ac:dyDescent="0.25">
      <c r="A2809" s="3" t="str">
        <f>HYPERLINK("https://prolisok-store.com/collections/skin-care/products/elizabeth-arden-ceramide-premiere-intense-moisture-and-renewal-regeneration-eye-cream-15ml-0-5oz", "https://prolisok-store.com/collections/skin-care/products/elizabeth-arden-ceramide-premiere-intense-moisture-and-renewal-regeneration-eye-cream-15ml-0-5oz")</f>
        <v>https://prolisok-store.com/collections/skin-care/products/elizabeth-arden-ceramide-premiere-intense-moisture-and-renewal-regeneration-eye-cream-15ml-0-5oz</v>
      </c>
      <c r="B2809" s="3" t="str">
        <f>HYPERLINK("https://prolisok-store.com/products/elizabeth-arden-ceramide-premiere-intense-moisture-and-renewal-regeneration-eye-cream-15ml-0-5oz", "https://prolisok-store.com/products/elizabeth-arden-ceramide-premiere-intense-moisture-and-renewal-regeneration-eye-cream-15ml-0-5oz")</f>
        <v>https://prolisok-store.com/products/elizabeth-arden-ceramide-premiere-intense-moisture-and-renewal-regeneration-eye-cream-15ml-0-5oz</v>
      </c>
      <c r="C2809" t="s">
        <v>6867</v>
      </c>
      <c r="D2809" t="s">
        <v>6868</v>
      </c>
      <c r="E2809" s="3" t="str">
        <f>HYPERLINK("https://www.amazon.com/Elizabeth-Arden-Ceramide-Premiere-Regeneration/dp/B007XCIM8K/ref=sr_1_1?keywords=Elizabeth+Arden+ceramide+premiere+intense+moisture+and+renewal+regeneration+eye+cream+15ml%2F0.5oz&amp;qid=1695259674&amp;sr=8-1", "https://www.amazon.com/Elizabeth-Arden-Ceramide-Premiere-Regeneration/dp/B007XCIM8K/ref=sr_1_1?keywords=Elizabeth+Arden+ceramide+premiere+intense+moisture+and+renewal+regeneration+eye+cream+15ml%2F0.5oz&amp;qid=1695259674&amp;sr=8-1")</f>
        <v>https://www.amazon.com/Elizabeth-Arden-Ceramide-Premiere-Regeneration/dp/B007XCIM8K/ref=sr_1_1?keywords=Elizabeth+Arden+ceramide+premiere+intense+moisture+and+renewal+regeneration+eye+cream+15ml%2F0.5oz&amp;qid=1695259674&amp;sr=8-1</v>
      </c>
      <c r="F2809" t="s">
        <v>6869</v>
      </c>
      <c r="G2809" t="e">
        <f ca="1">IMAGE("https://prolisok-store.com/cdn/shop/products/225377_300x.jpg?v=1693407119")</f>
        <v>#NAME?</v>
      </c>
      <c r="H2809" t="e">
        <f ca="1">IMAGE("https://m.media-amazon.com/images/I/41+UCn+dlrL._AC_UL320_.jpg")</f>
        <v>#NAME?</v>
      </c>
      <c r="I2809" t="s">
        <v>6870</v>
      </c>
      <c r="J2809">
        <v>84</v>
      </c>
      <c r="K2809" s="2" t="s">
        <v>6871</v>
      </c>
      <c r="L2809">
        <v>4.5</v>
      </c>
      <c r="M2809">
        <v>135</v>
      </c>
      <c r="O2809" t="s">
        <v>26</v>
      </c>
      <c r="P2809" t="s">
        <v>39</v>
      </c>
      <c r="Q2809" t="s">
        <v>6872</v>
      </c>
    </row>
    <row r="2810" spans="1:17" ht="15.75" x14ac:dyDescent="0.25">
      <c r="A2810" s="3" t="str">
        <f>HYPERLINK("https://prolisok-store.com/collections/skin-care/products/lextase-nina-ricci-body-lotion-3-4-oz", "https://prolisok-store.com/collections/skin-care/products/lextase-nina-ricci-body-lotion-3-4-oz")</f>
        <v>https://prolisok-store.com/collections/skin-care/products/lextase-nina-ricci-body-lotion-3-4-oz</v>
      </c>
      <c r="B2810" s="3" t="str">
        <f>HYPERLINK("https://prolisok-store.com/products/lextase-nina-ricci-body-lotion-3-4-oz", "https://prolisok-store.com/products/lextase-nina-ricci-body-lotion-3-4-oz")</f>
        <v>https://prolisok-store.com/products/lextase-nina-ricci-body-lotion-3-4-oz</v>
      </c>
      <c r="C2810" t="s">
        <v>6760</v>
      </c>
      <c r="D2810" t="s">
        <v>6873</v>
      </c>
      <c r="E2810" s="3" t="str">
        <f>HYPERLINK("https://www.amazon.com/LEXTSE-Sensual-Lotion-Nina-Ricci/dp/B01FH2FJDI/ref=sr_1_1?keywords=L%27extase+nina+ricci+body+lotion+3.4+oz&amp;qid=1695259659&amp;sr=8-1", "https://www.amazon.com/LEXTSE-Sensual-Lotion-Nina-Ricci/dp/B01FH2FJDI/ref=sr_1_1?keywords=L%27extase+nina+ricci+body+lotion+3.4+oz&amp;qid=1695259659&amp;sr=8-1")</f>
        <v>https://www.amazon.com/LEXTSE-Sensual-Lotion-Nina-Ricci/dp/B01FH2FJDI/ref=sr_1_1?keywords=L%27extase+nina+ricci+body+lotion+3.4+oz&amp;qid=1695259659&amp;sr=8-1</v>
      </c>
      <c r="F2810" t="s">
        <v>6874</v>
      </c>
      <c r="G2810" t="e">
        <f ca="1">IMAGE("https://prolisok-store.com/cdn/shop/products/422181_300x.jpg?v=1693407494")</f>
        <v>#NAME?</v>
      </c>
      <c r="H2810" t="e">
        <f ca="1">IMAGE("https://m.media-amazon.com/images/I/51y5IuXasVS._AC_UL320_.jpg")</f>
        <v>#NAME?</v>
      </c>
      <c r="I2810" t="s">
        <v>6094</v>
      </c>
      <c r="J2810">
        <v>33.11</v>
      </c>
      <c r="K2810" s="2" t="s">
        <v>6875</v>
      </c>
      <c r="L2810">
        <v>3.5</v>
      </c>
      <c r="M2810">
        <v>6</v>
      </c>
      <c r="O2810" t="s">
        <v>26</v>
      </c>
      <c r="P2810" t="s">
        <v>39</v>
      </c>
      <c r="Q2810" t="s">
        <v>6764</v>
      </c>
    </row>
    <row r="2811" spans="1:17" ht="15.75" x14ac:dyDescent="0.25">
      <c r="A2811" s="3" t="str">
        <f>HYPERLINK("https://prolisok-store.com/collections/skin-care/products/clinique-by-clinique-clinique-rinse-off-foaming-cleanser-150ml-5oz", "https://prolisok-store.com/collections/skin-care/products/clinique-by-clinique-clinique-rinse-off-foaming-cleanser-150ml-5oz")</f>
        <v>https://prolisok-store.com/collections/skin-care/products/clinique-by-clinique-clinique-rinse-off-foaming-cleanser-150ml-5oz</v>
      </c>
      <c r="B2811" s="3" t="str">
        <f>HYPERLINK("https://prolisok-store.com/products/clinique-by-clinique-clinique-rinse-off-foaming-cleanser-150ml-5oz", "https://prolisok-store.com/products/clinique-by-clinique-clinique-rinse-off-foaming-cleanser-150ml-5oz")</f>
        <v>https://prolisok-store.com/products/clinique-by-clinique-clinique-rinse-off-foaming-cleanser-150ml-5oz</v>
      </c>
      <c r="C2811" t="s">
        <v>6852</v>
      </c>
      <c r="D2811" t="s">
        <v>6876</v>
      </c>
      <c r="E2811" s="3" t="str">
        <f>HYPERLINK("https://www.amazon.com/Clinique-Rinse-Foaming-Cleanser-Unboxed/dp/B089RTQQ4Q/ref=sr_1_7?keywords=Clinique+rinse+off+foaming+cleanser--150ml%2F5oz&amp;qid=1695259710&amp;sr=8-7", "https://www.amazon.com/Clinique-Rinse-Foaming-Cleanser-Unboxed/dp/B089RTQQ4Q/ref=sr_1_7?keywords=Clinique+rinse+off+foaming+cleanser--150ml%2F5oz&amp;qid=1695259710&amp;sr=8-7")</f>
        <v>https://www.amazon.com/Clinique-Rinse-Foaming-Cleanser-Unboxed/dp/B089RTQQ4Q/ref=sr_1_7?keywords=Clinique+rinse+off+foaming+cleanser--150ml%2F5oz&amp;qid=1695259710&amp;sr=8-7</v>
      </c>
      <c r="F2811" t="s">
        <v>6877</v>
      </c>
      <c r="G2811" t="e">
        <f ca="1">IMAGE("https://prolisok-store.com/cdn/shop/products/129649_300x.jpg?v=1688060485")</f>
        <v>#NAME?</v>
      </c>
      <c r="H2811" t="e">
        <f ca="1">IMAGE("https://m.media-amazon.com/images/I/81wmRIRTVYL._AC_UL320_.jpg")</f>
        <v>#NAME?</v>
      </c>
      <c r="I2811" t="s">
        <v>6360</v>
      </c>
      <c r="J2811">
        <v>29.99</v>
      </c>
      <c r="K2811" s="2" t="s">
        <v>6878</v>
      </c>
      <c r="L2811">
        <v>4.5999999999999996</v>
      </c>
      <c r="M2811">
        <v>142</v>
      </c>
      <c r="O2811" t="s">
        <v>26</v>
      </c>
      <c r="P2811" t="s">
        <v>39</v>
      </c>
      <c r="Q2811" t="s">
        <v>6856</v>
      </c>
    </row>
    <row r="2812" spans="1:17" ht="15.75" x14ac:dyDescent="0.25">
      <c r="A2812" s="3" t="str">
        <f>HYPERLINK("https://prolisok-store.com/collections/skin-care/products/clarins-double-serum", "https://prolisok-store.com/collections/skin-care/products/clarins-double-serum")</f>
        <v>https://prolisok-store.com/collections/skin-care/products/clarins-double-serum</v>
      </c>
      <c r="B2812" s="3" t="str">
        <f>HYPERLINK("https://prolisok-store.com/products/clarins-double-serum", "https://prolisok-store.com/products/clarins-double-serum")</f>
        <v>https://prolisok-store.com/products/clarins-double-serum</v>
      </c>
      <c r="C2812" t="s">
        <v>4711</v>
      </c>
      <c r="D2812" t="s">
        <v>4934</v>
      </c>
      <c r="E2812" s="3" t="str">
        <f>HYPERLINK("https://www.amazon.com/Clarins-Anti-Aging-Treatment-Revitalizes-Youthful-Looking/dp/B09F3QR6LB/ref=sr_1_2?keywords=Clarins+Double+Serum&amp;qid=1695259593&amp;sr=8-2", "https://www.amazon.com/Clarins-Anti-Aging-Treatment-Revitalizes-Youthful-Looking/dp/B09F3QR6LB/ref=sr_1_2?keywords=Clarins+Double+Serum&amp;qid=1695259593&amp;sr=8-2")</f>
        <v>https://www.amazon.com/Clarins-Anti-Aging-Treatment-Revitalizes-Youthful-Looking/dp/B09F3QR6LB/ref=sr_1_2?keywords=Clarins+Double+Serum&amp;qid=1695259593&amp;sr=8-2</v>
      </c>
      <c r="F2812" t="s">
        <v>4935</v>
      </c>
      <c r="G2812" t="e">
        <f ca="1">IMAGE("https://prolisok-store.com/cdn/shop/products/717T_LvJhvL._SL1500_300x.jpg?v=1681306763")</f>
        <v>#NAME?</v>
      </c>
      <c r="H2812" t="e">
        <f ca="1">IMAGE("https://m.media-amazon.com/images/I/71jILVpTttL._AC_UL320_.jpg")</f>
        <v>#NAME?</v>
      </c>
      <c r="I2812" t="s">
        <v>4506</v>
      </c>
      <c r="J2812">
        <v>83</v>
      </c>
      <c r="K2812" s="2" t="s">
        <v>4936</v>
      </c>
      <c r="L2812">
        <v>4.3</v>
      </c>
      <c r="M2812">
        <v>340</v>
      </c>
      <c r="O2812" t="s">
        <v>26</v>
      </c>
      <c r="P2812" t="s">
        <v>4715</v>
      </c>
      <c r="Q2812" t="s">
        <v>4716</v>
      </c>
    </row>
    <row r="2813" spans="1:17" ht="15.75" x14ac:dyDescent="0.25">
      <c r="A2813" s="3" t="str">
        <f>HYPERLINK("https://prolisok-store.com/collections/skin-care/products/clarins-extra-firming-neck-and-decollete-cream", "https://prolisok-store.com/collections/skin-care/products/clarins-extra-firming-neck-and-decollete-cream")</f>
        <v>https://prolisok-store.com/collections/skin-care/products/clarins-extra-firming-neck-and-decollete-cream</v>
      </c>
      <c r="B2813" s="3" t="str">
        <f>HYPERLINK("https://prolisok-store.com/products/clarins-extra-firming-neck-and-decollete-cream", "https://prolisok-store.com/products/clarins-extra-firming-neck-and-decollete-cream")</f>
        <v>https://prolisok-store.com/products/clarins-extra-firming-neck-and-decollete-cream</v>
      </c>
      <c r="C2813" t="s">
        <v>4574</v>
      </c>
      <c r="D2813" t="s">
        <v>3917</v>
      </c>
      <c r="E2813" s="3" t="str">
        <f>HYPERLINK("https://www.amazon.com/StriVectin-AdvancedTM-Tightening-D%C3%A9collet%C3%A9-Reducing/dp/B0C5FD2G3V/ref=sr_1_9?keywords=Clarins+Extra-Firming+Neck+and+D%C3%A9collet%C3%A9+Cream&amp;qid=1695259631&amp;sr=8-9", "https://www.amazon.com/StriVectin-AdvancedTM-Tightening-D%C3%A9collet%C3%A9-Reducing/dp/B0C5FD2G3V/ref=sr_1_9?keywords=Clarins+Extra-Firming+Neck+and+D%C3%A9collet%C3%A9+Cream&amp;qid=1695259631&amp;sr=8-9")</f>
        <v>https://www.amazon.com/StriVectin-AdvancedTM-Tightening-D%C3%A9collet%C3%A9-Reducing/dp/B0C5FD2G3V/ref=sr_1_9?keywords=Clarins+Extra-Firming+Neck+and+D%C3%A9collet%C3%A9+Cream&amp;qid=1695259631&amp;sr=8-9</v>
      </c>
      <c r="F2813" t="s">
        <v>3918</v>
      </c>
      <c r="G2813" t="e">
        <f ca="1">IMAGE("https://prolisok-store.com/cdn/shop/files/6188DnkFSjL._SL1500_300x.jpg?v=1682417456")</f>
        <v>#NAME?</v>
      </c>
      <c r="H2813" t="e">
        <f ca="1">IMAGE("https://m.media-amazon.com/images/I/61epgvVmQ4L._AC_UL320_.jpg")</f>
        <v>#NAME?</v>
      </c>
      <c r="I2813" t="s">
        <v>4346</v>
      </c>
      <c r="J2813">
        <v>59</v>
      </c>
      <c r="K2813" s="2" t="s">
        <v>6879</v>
      </c>
      <c r="L2813">
        <v>4.3</v>
      </c>
      <c r="M2813">
        <v>36</v>
      </c>
      <c r="O2813" t="s">
        <v>26</v>
      </c>
      <c r="P2813" t="s">
        <v>39</v>
      </c>
      <c r="Q2813" t="s">
        <v>4578</v>
      </c>
    </row>
    <row r="2814" spans="1:17" ht="15.75" x14ac:dyDescent="0.25">
      <c r="A2814" s="3" t="str">
        <f>HYPERLINK("https://prolisok-store.com/collections/skin-care/products/elizabeth-arden-ceramide-retinol-capsules-line-erasing-night-serum-90caps", "https://prolisok-store.com/collections/skin-care/products/elizabeth-arden-ceramide-retinol-capsules-line-erasing-night-serum-90caps")</f>
        <v>https://prolisok-store.com/collections/skin-care/products/elizabeth-arden-ceramide-retinol-capsules-line-erasing-night-serum-90caps</v>
      </c>
      <c r="B2814" s="3" t="str">
        <f>HYPERLINK("https://prolisok-store.com/products/elizabeth-arden-ceramide-retinol-capsules-line-erasing-night-serum-90caps", "https://prolisok-store.com/products/elizabeth-arden-ceramide-retinol-capsules-line-erasing-night-serum-90caps")</f>
        <v>https://prolisok-store.com/products/elizabeth-arden-ceramide-retinol-capsules-line-erasing-night-serum-90caps</v>
      </c>
      <c r="C2814" t="s">
        <v>6880</v>
      </c>
      <c r="D2814" t="s">
        <v>4674</v>
      </c>
      <c r="E2814" s="3" t="str">
        <f>HYPERLINK("https://www.amazon.com/Elizabeth-Arden-Retinol-Ceramide-Capsules/dp/B07TN8WFZJ/ref=sr_1_2?keywords=Elizabeth+Arden+ceramide+retinol+capsules+line+erasing+night+serum+90caps&amp;qid=1695259648&amp;sr=8-2", "https://www.amazon.com/Elizabeth-Arden-Retinol-Ceramide-Capsules/dp/B07TN8WFZJ/ref=sr_1_2?keywords=Elizabeth+Arden+ceramide+retinol+capsules+line+erasing+night+serum+90caps&amp;qid=1695259648&amp;sr=8-2")</f>
        <v>https://www.amazon.com/Elizabeth-Arden-Retinol-Ceramide-Capsules/dp/B07TN8WFZJ/ref=sr_1_2?keywords=Elizabeth+Arden+ceramide+retinol+capsules+line+erasing+night+serum+90caps&amp;qid=1695259648&amp;sr=8-2</v>
      </c>
      <c r="F2814" t="s">
        <v>4675</v>
      </c>
      <c r="G2814" t="e">
        <f ca="1">IMAGE("https://prolisok-store.com/cdn/shop/products/364945_300x.jpg?v=1693407244")</f>
        <v>#NAME?</v>
      </c>
      <c r="H2814" t="e">
        <f ca="1">IMAGE("https://m.media-amazon.com/images/I/71-zjzKULCL._AC_UL320_.jpg")</f>
        <v>#NAME?</v>
      </c>
      <c r="I2814" t="s">
        <v>6881</v>
      </c>
      <c r="J2814">
        <v>120</v>
      </c>
      <c r="K2814" s="2" t="s">
        <v>6882</v>
      </c>
      <c r="L2814">
        <v>4.5</v>
      </c>
      <c r="M2814">
        <v>440</v>
      </c>
      <c r="O2814" t="s">
        <v>26</v>
      </c>
      <c r="P2814" t="s">
        <v>39</v>
      </c>
      <c r="Q2814" t="s">
        <v>6883</v>
      </c>
    </row>
    <row r="2815" spans="1:17" ht="15.75" x14ac:dyDescent="0.25">
      <c r="A2815" s="3" t="str">
        <f>HYPERLINK("https://prolisok-store.com/collections/skin-care/products/sisley-phyto-teint-ultra-eclat-4-cinnamon-30ml-1oz", "https://prolisok-store.com/collections/skin-care/products/sisley-phyto-teint-ultra-eclat-4-cinnamon-30ml-1oz")</f>
        <v>https://prolisok-store.com/collections/skin-care/products/sisley-phyto-teint-ultra-eclat-4-cinnamon-30ml-1oz</v>
      </c>
      <c r="B2815" s="3" t="str">
        <f>HYPERLINK("https://prolisok-store.com/products/sisley-phyto-teint-ultra-eclat-4-cinnamon-30ml-1oz", "https://prolisok-store.com/products/sisley-phyto-teint-ultra-eclat-4-cinnamon-30ml-1oz")</f>
        <v>https://prolisok-store.com/products/sisley-phyto-teint-ultra-eclat-4-cinnamon-30ml-1oz</v>
      </c>
      <c r="C2815" t="s">
        <v>6250</v>
      </c>
      <c r="D2815" t="s">
        <v>6381</v>
      </c>
      <c r="E2815" s="3" t="str">
        <f>HYPERLINK("https://www.amazon.com/Sisley-Phyto-Teint-Ultra-Lasting-Foundation/dp/B07XC3GWRZ/ref=sr_1_4?keywords=Sisley+phyto+teint+ultra+eclat&amp;qid=1695259720&amp;sr=8-4", "https://www.amazon.com/Sisley-Phyto-Teint-Ultra-Lasting-Foundation/dp/B07XC3GWRZ/ref=sr_1_4?keywords=Sisley+phyto+teint+ultra+eclat&amp;qid=1695259720&amp;sr=8-4")</f>
        <v>https://www.amazon.com/Sisley-Phyto-Teint-Ultra-Lasting-Foundation/dp/B07XC3GWRZ/ref=sr_1_4?keywords=Sisley+phyto+teint+ultra+eclat&amp;qid=1695259720&amp;sr=8-4</v>
      </c>
      <c r="F2815" t="s">
        <v>6382</v>
      </c>
      <c r="G2815" t="e">
        <f ca="1">IMAGE("https://prolisok-store.com/cdn/shop/products/346278_300x.jpg?v=1690900739")</f>
        <v>#NAME?</v>
      </c>
      <c r="H2815" t="e">
        <f ca="1">IMAGE("https://m.media-amazon.com/images/I/512AlONMp6L._AC_UL320_.jpg")</f>
        <v>#NAME?</v>
      </c>
      <c r="I2815" t="s">
        <v>6137</v>
      </c>
      <c r="J2815">
        <v>99.27</v>
      </c>
      <c r="K2815" s="2" t="s">
        <v>5504</v>
      </c>
      <c r="L2815">
        <v>4.4000000000000004</v>
      </c>
      <c r="M2815">
        <v>10</v>
      </c>
      <c r="O2815" t="s">
        <v>26</v>
      </c>
      <c r="P2815" t="s">
        <v>39</v>
      </c>
      <c r="Q2815" t="s">
        <v>6253</v>
      </c>
    </row>
    <row r="2816" spans="1:17" ht="15.75" x14ac:dyDescent="0.25">
      <c r="A2816" s="3" t="str">
        <f>HYPERLINK("https://prolisok-store.com/collections/skin-care/products/sisley-sisley-phyto-touche-sun-glow-gel-30ml-1oz", "https://prolisok-store.com/collections/skin-care/products/sisley-sisley-phyto-touche-sun-glow-gel-30ml-1oz")</f>
        <v>https://prolisok-store.com/collections/skin-care/products/sisley-sisley-phyto-touche-sun-glow-gel-30ml-1oz</v>
      </c>
      <c r="B2816" s="3" t="str">
        <f>HYPERLINK("https://prolisok-store.com/products/sisley-sisley-phyto-touche-sun-glow-gel-30ml-1oz", "https://prolisok-store.com/products/sisley-sisley-phyto-touche-sun-glow-gel-30ml-1oz")</f>
        <v>https://prolisok-store.com/products/sisley-sisley-phyto-touche-sun-glow-gel-30ml-1oz</v>
      </c>
      <c r="C2816" t="s">
        <v>6884</v>
      </c>
      <c r="D2816" t="s">
        <v>6885</v>
      </c>
      <c r="E2816" s="3" t="str">
        <f>HYPERLINK("https://www.amazon.com/Sisley-Phyto-Touche-Powder-Brush/dp/B06WW6FQYX/ref=sr_1_4?keywords=Sisley+sisley+phyto-touche+sun+glow+gel30ml%2F1oz&amp;qid=1695259702&amp;sr=8-4", "https://www.amazon.com/Sisley-Phyto-Touche-Powder-Brush/dp/B06WW6FQYX/ref=sr_1_4?keywords=Sisley+sisley+phyto-touche+sun+glow+gel30ml%2F1oz&amp;qid=1695259702&amp;sr=8-4")</f>
        <v>https://www.amazon.com/Sisley-Phyto-Touche-Powder-Brush/dp/B06WW6FQYX/ref=sr_1_4?keywords=Sisley+sisley+phyto-touche+sun+glow+gel30ml%2F1oz&amp;qid=1695259702&amp;sr=8-4</v>
      </c>
      <c r="F2816" t="s">
        <v>6886</v>
      </c>
      <c r="G2816" t="e">
        <f ca="1">IMAGE("https://prolisok-store.com/cdn/shop/products/131355_300x.jpg?v=1690900870")</f>
        <v>#NAME?</v>
      </c>
      <c r="H2816" t="e">
        <f ca="1">IMAGE("https://m.media-amazon.com/images/I/51y4FVGl6ML._AC_UL320_.jpg")</f>
        <v>#NAME?</v>
      </c>
      <c r="I2816" t="s">
        <v>6137</v>
      </c>
      <c r="J2816">
        <v>99.23</v>
      </c>
      <c r="K2816" s="2" t="s">
        <v>6887</v>
      </c>
      <c r="L2816">
        <v>4.5</v>
      </c>
      <c r="M2816">
        <v>9</v>
      </c>
      <c r="O2816" t="s">
        <v>26</v>
      </c>
      <c r="P2816" t="s">
        <v>39</v>
      </c>
      <c r="Q2816" t="s">
        <v>6888</v>
      </c>
    </row>
    <row r="2817" spans="1:17" ht="15.75" x14ac:dyDescent="0.25">
      <c r="A2817" s="3" t="str">
        <f>HYPERLINK("https://prolisok-store.com/collections/skin-care/products/elizabeth-arden-eight-hour-cream-lip-protectant-stick-spf-15-02-blush-3-7g-0-13oz", "https://prolisok-store.com/collections/skin-care/products/elizabeth-arden-eight-hour-cream-lip-protectant-stick-spf-15-02-blush-3-7g-0-13oz")</f>
        <v>https://prolisok-store.com/collections/skin-care/products/elizabeth-arden-eight-hour-cream-lip-protectant-stick-spf-15-02-blush-3-7g-0-13oz</v>
      </c>
      <c r="B2817" s="3" t="str">
        <f>HYPERLINK("https://prolisok-store.com/products/elizabeth-arden-eight-hour-cream-lip-protectant-stick-spf-15-02-blush-3-7g-0-13oz", "https://prolisok-store.com/products/elizabeth-arden-eight-hour-cream-lip-protectant-stick-spf-15-02-blush-3-7g-0-13oz")</f>
        <v>https://prolisok-store.com/products/elizabeth-arden-eight-hour-cream-lip-protectant-stick-spf-15-02-blush-3-7g-0-13oz</v>
      </c>
      <c r="C2817" t="s">
        <v>6889</v>
      </c>
      <c r="D2817" t="s">
        <v>6065</v>
      </c>
      <c r="E2817" s="3" t="str">
        <f>HYPERLINK("https://www.amazon.com/Elizabeth-Arden-Eight-Protectant-Sunscreen/dp/B00375L8R4/ref=sr_1_1?keywords=Elizabeth+Arden+eight+hour+cream+lip+protectant+stick+spf+15+%2302+blush+3.7g%2F0.13oz&amp;qid=1695259668&amp;sr=8-1", "https://www.amazon.com/Elizabeth-Arden-Eight-Protectant-Sunscreen/dp/B00375L8R4/ref=sr_1_1?keywords=Elizabeth+Arden+eight+hour+cream+lip+protectant+stick+spf+15+%2302+blush+3.7g%2F0.13oz&amp;qid=1695259668&amp;sr=8-1")</f>
        <v>https://www.amazon.com/Elizabeth-Arden-Eight-Protectant-Sunscreen/dp/B00375L8R4/ref=sr_1_1?keywords=Elizabeth+Arden+eight+hour+cream+lip+protectant+stick+spf+15+%2302+blush+3.7g%2F0.13oz&amp;qid=1695259668&amp;sr=8-1</v>
      </c>
      <c r="F2817" t="s">
        <v>6066</v>
      </c>
      <c r="G2817" t="e">
        <f ca="1">IMAGE("https://prolisok-store.com/cdn/shop/products/169022_300x.jpg?v=1693407145")</f>
        <v>#NAME?</v>
      </c>
      <c r="H2817" t="e">
        <f ca="1">IMAGE("https://m.media-amazon.com/images/I/61O-2zI9cgL._AC_UL320_.jpg")</f>
        <v>#NAME?</v>
      </c>
      <c r="I2817" t="s">
        <v>5975</v>
      </c>
      <c r="J2817">
        <v>25</v>
      </c>
      <c r="K2817" s="2" t="s">
        <v>6104</v>
      </c>
      <c r="L2817">
        <v>4.4000000000000004</v>
      </c>
      <c r="M2817">
        <v>4316</v>
      </c>
      <c r="O2817" t="s">
        <v>26</v>
      </c>
      <c r="P2817" t="s">
        <v>39</v>
      </c>
      <c r="Q2817" t="s">
        <v>6890</v>
      </c>
    </row>
    <row r="2818" spans="1:17" ht="15.75" x14ac:dyDescent="0.25">
      <c r="A2818" s="3" t="str">
        <f>HYPERLINK("https://prolisok-store.com/collections/skin-care/products/clarins-men-line-control-eye-balm-20ml-0-6oz", "https://prolisok-store.com/collections/skin-care/products/clarins-men-line-control-eye-balm-20ml-0-6oz")</f>
        <v>https://prolisok-store.com/collections/skin-care/products/clarins-men-line-control-eye-balm-20ml-0-6oz</v>
      </c>
      <c r="B2818" s="3" t="str">
        <f>HYPERLINK("https://prolisok-store.com/products/clarins-men-line-control-eye-balm-20ml-0-6oz", "https://prolisok-store.com/products/clarins-men-line-control-eye-balm-20ml-0-6oz")</f>
        <v>https://prolisok-store.com/products/clarins-men-line-control-eye-balm-20ml-0-6oz</v>
      </c>
      <c r="C2818" t="s">
        <v>6891</v>
      </c>
      <c r="D2818" t="s">
        <v>6892</v>
      </c>
      <c r="E2818" s="3" t="str">
        <f>HYPERLINK("https://www.amazon.com/CLARINSMEN-Line-Control-Anti-Aging-Puffiness-Dermatologist/dp/B0B1Q3NQVW/ref=sr_1_1?keywords=Clarins+men+line+control+eye+balm+20ml%2F0.6oz&amp;qid=1695259643&amp;sr=8-1", "https://www.amazon.com/CLARINSMEN-Line-Control-Anti-Aging-Puffiness-Dermatologist/dp/B0B1Q3NQVW/ref=sr_1_1?keywords=Clarins+men+line+control+eye+balm+20ml%2F0.6oz&amp;qid=1695259643&amp;sr=8-1")</f>
        <v>https://www.amazon.com/CLARINSMEN-Line-Control-Anti-Aging-Puffiness-Dermatologist/dp/B0B1Q3NQVW/ref=sr_1_1?keywords=Clarins+men+line+control+eye+balm+20ml%2F0.6oz&amp;qid=1695259643&amp;sr=8-1</v>
      </c>
      <c r="F2818" t="s">
        <v>6893</v>
      </c>
      <c r="G2818" t="e">
        <f ca="1">IMAGE("https://prolisok-store.com/cdn/shop/products/188426_300x.jpg?v=1693407046")</f>
        <v>#NAME?</v>
      </c>
      <c r="H2818" t="e">
        <f ca="1">IMAGE("https://m.media-amazon.com/images/I/61UmWkxDczL._AC_UL320_.jpg")</f>
        <v>#NAME?</v>
      </c>
      <c r="I2818" t="s">
        <v>3047</v>
      </c>
      <c r="J2818">
        <v>52</v>
      </c>
      <c r="K2818" s="2" t="s">
        <v>6107</v>
      </c>
      <c r="L2818">
        <v>4.5</v>
      </c>
      <c r="M2818">
        <v>55</v>
      </c>
      <c r="O2818" t="s">
        <v>26</v>
      </c>
      <c r="P2818" t="s">
        <v>39</v>
      </c>
      <c r="Q2818" t="s">
        <v>6894</v>
      </c>
    </row>
    <row r="2819" spans="1:17" ht="15.75" x14ac:dyDescent="0.25">
      <c r="A2819" s="3" t="str">
        <f>HYPERLINK("https://prolisok-store.com/collections/skin-care/products/estee-lauder-advanced-night-repair-synchronized-multi-recovery-complex-unisex-1-7-oz", "https://prolisok-store.com/collections/skin-care/products/estee-lauder-advanced-night-repair-synchronized-multi-recovery-complex-unisex-1-7-oz")</f>
        <v>https://prolisok-store.com/collections/skin-care/products/estee-lauder-advanced-night-repair-synchronized-multi-recovery-complex-unisex-1-7-oz</v>
      </c>
      <c r="B2819"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2819" t="s">
        <v>4547</v>
      </c>
      <c r="D2819" t="s">
        <v>4946</v>
      </c>
      <c r="E2819" s="3" t="str">
        <f>HYPERLINK("https://www.amazon.com/Estee-Lauder-Advanced-Synchronized-Recovery/dp/B01N3NQ9VN/ref=sr_1_9?keywords=Estee+Lauder+Advanced+Night+Repair+Synchronized+Multi-Recovery+Complex%2C+Unisex%2C+1.7+Oz&amp;qid=1695259592&amp;sr=8-9", "https://www.amazon.com/Estee-Lauder-Advanced-Synchronized-Recovery/dp/B01N3NQ9VN/ref=sr_1_9?keywords=Estee+Lauder+Advanced+Night+Repair+Synchronized+Multi-Recovery+Complex%2C+Unisex%2C+1.7+Oz&amp;qid=1695259592&amp;sr=8-9")</f>
        <v>https://www.amazon.com/Estee-Lauder-Advanced-Synchronized-Recovery/dp/B01N3NQ9VN/ref=sr_1_9?keywords=Estee+Lauder+Advanced+Night+Repair+Synchronized+Multi-Recovery+Complex%2C+Unisex%2C+1.7+Oz&amp;qid=1695259592&amp;sr=8-9</v>
      </c>
      <c r="F2819" t="s">
        <v>4947</v>
      </c>
      <c r="G2819" t="e">
        <f ca="1">IMAGE("https://prolisok-store.com/cdn/shop/files/511qVnU1eNL._SL1000_300x.jpg?v=1687507525")</f>
        <v>#NAME?</v>
      </c>
      <c r="H2819" t="e">
        <f ca="1">IMAGE("https://m.media-amazon.com/images/I/41QEeABagwL._AC_UL320_.jpg")</f>
        <v>#NAME?</v>
      </c>
      <c r="I2819" t="s">
        <v>3476</v>
      </c>
      <c r="J2819">
        <v>46</v>
      </c>
      <c r="K2819" s="2" t="s">
        <v>4948</v>
      </c>
      <c r="L2819">
        <v>4.5</v>
      </c>
      <c r="M2819">
        <v>1314</v>
      </c>
      <c r="O2819" t="s">
        <v>26</v>
      </c>
      <c r="P2819" t="s">
        <v>39</v>
      </c>
      <c r="Q2819" t="s">
        <v>4551</v>
      </c>
    </row>
    <row r="2820" spans="1:17" ht="15.75" x14ac:dyDescent="0.25">
      <c r="A2820" s="3" t="str">
        <f>HYPERLINK("https://prolisok-store.com/collections/skin-care/products/my-fifth-avenue-by-elizabeth-arden-body-lotion-5-oz", "https://prolisok-store.com/collections/skin-care/products/my-fifth-avenue-by-elizabeth-arden-body-lotion-5-oz")</f>
        <v>https://prolisok-store.com/collections/skin-care/products/my-fifth-avenue-by-elizabeth-arden-body-lotion-5-oz</v>
      </c>
      <c r="B2820" s="3" t="str">
        <f>HYPERLINK("https://prolisok-store.com/products/my-fifth-avenue-by-elizabeth-arden-body-lotion-5-oz", "https://prolisok-store.com/products/my-fifth-avenue-by-elizabeth-arden-body-lotion-5-oz")</f>
        <v>https://prolisok-store.com/products/my-fifth-avenue-by-elizabeth-arden-body-lotion-5-oz</v>
      </c>
      <c r="C2820" t="s">
        <v>6865</v>
      </c>
      <c r="D2820" t="s">
        <v>6842</v>
      </c>
      <c r="E2820" s="3" t="str">
        <f>HYPERLINK("https://www.amazon.com/Elizabeth-Arden-Avenue-Moisturizing-Lotion/dp/B0002JBXG4/ref=sr_1_2?keywords=My+fifth+avenue+by+elizabeth+arden+body+lotion+5+oz&amp;qid=1695259656&amp;sr=8-2", "https://www.amazon.com/Elizabeth-Arden-Avenue-Moisturizing-Lotion/dp/B0002JBXG4/ref=sr_1_2?keywords=My+fifth+avenue+by+elizabeth+arden+body+lotion+5+oz&amp;qid=1695259656&amp;sr=8-2")</f>
        <v>https://www.amazon.com/Elizabeth-Arden-Avenue-Moisturizing-Lotion/dp/B0002JBXG4/ref=sr_1_2?keywords=My+fifth+avenue+by+elizabeth+arden+body+lotion+5+oz&amp;qid=1695259656&amp;sr=8-2</v>
      </c>
      <c r="F2820" t="s">
        <v>6843</v>
      </c>
      <c r="G2820" t="e">
        <f ca="1">IMAGE("https://prolisok-store.com/cdn/shop/products/389812_300x.jpg?v=1693407408")</f>
        <v>#NAME?</v>
      </c>
      <c r="H2820" t="e">
        <f ca="1">IMAGE("https://m.media-amazon.com/images/I/61lTO8Z2noL._AC_UL320_.jpg")</f>
        <v>#NAME?</v>
      </c>
      <c r="I2820" t="s">
        <v>748</v>
      </c>
      <c r="J2820">
        <v>31</v>
      </c>
      <c r="K2820" s="2" t="s">
        <v>6895</v>
      </c>
      <c r="L2820">
        <v>4.4000000000000004</v>
      </c>
      <c r="M2820">
        <v>144</v>
      </c>
      <c r="O2820" t="s">
        <v>26</v>
      </c>
      <c r="P2820" t="s">
        <v>39</v>
      </c>
      <c r="Q2820" t="s">
        <v>6866</v>
      </c>
    </row>
    <row r="2821" spans="1:17" ht="15.75" x14ac:dyDescent="0.25">
      <c r="A2821" s="3" t="str">
        <f>HYPERLINK("https://prolisok-store.com/collections/skin-care/products/elizabeth-arden-ceramide-retinol-capsules-line-erasing-night-serum-60-caps", "https://prolisok-store.com/collections/skin-care/products/elizabeth-arden-ceramide-retinol-capsules-line-erasing-night-serum-60-caps")</f>
        <v>https://prolisok-store.com/collections/skin-care/products/elizabeth-arden-ceramide-retinol-capsules-line-erasing-night-serum-60-caps</v>
      </c>
      <c r="B2821" s="3" t="str">
        <f>HYPERLINK("https://prolisok-store.com/products/elizabeth-arden-ceramide-retinol-capsules-line-erasing-night-serum-60-caps", "https://prolisok-store.com/products/elizabeth-arden-ceramide-retinol-capsules-line-erasing-night-serum-60-caps")</f>
        <v>https://prolisok-store.com/products/elizabeth-arden-ceramide-retinol-capsules-line-erasing-night-serum-60-caps</v>
      </c>
      <c r="C2821" t="s">
        <v>6827</v>
      </c>
      <c r="D2821" t="s">
        <v>4836</v>
      </c>
      <c r="E2821" s="3" t="str">
        <f>HYPERLINK("https://www.amazon.com/Elizabeth-Arden-Retinol-Ceramide-Capsules/dp/B07FCS2HHB/ref=sr_1_1?keywords=Elizabeth+Arden+ceramide+retinol+capsules+line+erasing+night+serum+60+caps&amp;qid=1695259670&amp;sr=8-1", "https://www.amazon.com/Elizabeth-Arden-Retinol-Ceramide-Capsules/dp/B07FCS2HHB/ref=sr_1_1?keywords=Elizabeth+Arden+ceramide+retinol+capsules+line+erasing+night+serum+60+caps&amp;qid=1695259670&amp;sr=8-1")</f>
        <v>https://www.amazon.com/Elizabeth-Arden-Retinol-Ceramide-Capsules/dp/B07FCS2HHB/ref=sr_1_1?keywords=Elizabeth+Arden+ceramide+retinol+capsules+line+erasing+night+serum+60+caps&amp;qid=1695259670&amp;sr=8-1</v>
      </c>
      <c r="F2821" t="s">
        <v>4837</v>
      </c>
      <c r="G2821" t="e">
        <f ca="1">IMAGE("https://prolisok-store.com/cdn/shop/products/326993_300x.jpg?v=1693407184")</f>
        <v>#NAME?</v>
      </c>
      <c r="H2821" t="e">
        <f ca="1">IMAGE("https://m.media-amazon.com/images/I/71xChLNn9WL._AC_UL320_.jpg")</f>
        <v>#NAME?</v>
      </c>
      <c r="I2821" t="s">
        <v>6828</v>
      </c>
      <c r="J2821">
        <v>95</v>
      </c>
      <c r="K2821" s="2" t="s">
        <v>6896</v>
      </c>
      <c r="L2821">
        <v>4.5999999999999996</v>
      </c>
      <c r="M2821">
        <v>1014</v>
      </c>
      <c r="O2821" t="s">
        <v>26</v>
      </c>
      <c r="P2821" t="s">
        <v>39</v>
      </c>
      <c r="Q2821" t="s">
        <v>6830</v>
      </c>
    </row>
    <row r="2822" spans="1:17" ht="15.75" x14ac:dyDescent="0.25">
      <c r="A2822" s="3" t="str">
        <f>HYPERLINK("https://prolisok-store.com/collections/skin-care/products/clarins-men-energizing-eye-gel-15ml-0-5oz", "https://prolisok-store.com/collections/skin-care/products/clarins-men-energizing-eye-gel-15ml-0-5oz")</f>
        <v>https://prolisok-store.com/collections/skin-care/products/clarins-men-energizing-eye-gel-15ml-0-5oz</v>
      </c>
      <c r="B2822" s="3" t="str">
        <f>HYPERLINK("https://prolisok-store.com/products/clarins-men-energizing-eye-gel-15ml-0-5oz", "https://prolisok-store.com/products/clarins-men-energizing-eye-gel-15ml-0-5oz")</f>
        <v>https://prolisok-store.com/products/clarins-men-energizing-eye-gel-15ml-0-5oz</v>
      </c>
      <c r="C2822" t="s">
        <v>6897</v>
      </c>
      <c r="D2822" t="s">
        <v>6898</v>
      </c>
      <c r="E2822" s="3" t="str">
        <f>HYPERLINK("https://www.amazon.com/GelAward-WinningCooling-Tired-Looking-PuffinessLocks-MoistureVisibly-ContoursFragrance/dp/B08XX9TMMN/ref=sr_1_1?keywords=Clarins+men+energizing+eye+gel+15ml%2F0.5oz&amp;qid=1695259645&amp;sr=8-1", "https://www.amazon.com/GelAward-WinningCooling-Tired-Looking-PuffinessLocks-MoistureVisibly-ContoursFragrance/dp/B08XX9TMMN/ref=sr_1_1?keywords=Clarins+men+energizing+eye+gel+15ml%2F0.5oz&amp;qid=1695259645&amp;sr=8-1")</f>
        <v>https://www.amazon.com/GelAward-WinningCooling-Tired-Looking-PuffinessLocks-MoistureVisibly-ContoursFragrance/dp/B08XX9TMMN/ref=sr_1_1?keywords=Clarins+men+energizing+eye+gel+15ml%2F0.5oz&amp;qid=1695259645&amp;sr=8-1</v>
      </c>
      <c r="F2822" t="s">
        <v>6899</v>
      </c>
      <c r="G2822" t="e">
        <f ca="1">IMAGE("https://prolisok-store.com/cdn/shop/products/382125_300x.jpg?v=1693406743")</f>
        <v>#NAME?</v>
      </c>
      <c r="H2822" t="e">
        <f ca="1">IMAGE("https://m.media-amazon.com/images/I/61aO0QjfTZL._AC_UL320_.jpg")</f>
        <v>#NAME?</v>
      </c>
      <c r="I2822" t="s">
        <v>6900</v>
      </c>
      <c r="J2822">
        <v>39.22</v>
      </c>
      <c r="K2822" s="2" t="s">
        <v>6901</v>
      </c>
      <c r="L2822">
        <v>4.3</v>
      </c>
      <c r="M2822">
        <v>50</v>
      </c>
      <c r="O2822" t="s">
        <v>26</v>
      </c>
      <c r="P2822" t="s">
        <v>39</v>
      </c>
      <c r="Q2822" t="s">
        <v>6902</v>
      </c>
    </row>
    <row r="2823" spans="1:17" ht="15.75" x14ac:dyDescent="0.25">
      <c r="A2823" s="3" t="str">
        <f>HYPERLINK("https://prolisok-store.com/collections/skin-care/products/clarins-body-treatment-oil-contour-100ml-3-4oz", "https://prolisok-store.com/collections/skin-care/products/clarins-body-treatment-oil-contour-100ml-3-4oz")</f>
        <v>https://prolisok-store.com/collections/skin-care/products/clarins-body-treatment-oil-contour-100ml-3-4oz</v>
      </c>
      <c r="B2823" s="3" t="str">
        <f>HYPERLINK("https://prolisok-store.com/products/clarins-body-treatment-oil-contour-100ml-3-4oz", "https://prolisok-store.com/products/clarins-body-treatment-oil-contour-100ml-3-4oz")</f>
        <v>https://prolisok-store.com/products/clarins-body-treatment-oil-contour-100ml-3-4oz</v>
      </c>
      <c r="C2823" t="s">
        <v>6903</v>
      </c>
      <c r="D2823" t="s">
        <v>6904</v>
      </c>
      <c r="E2823" s="3" t="str">
        <f>HYPERLINK("https://www.amazon.com/Clarins-Treatment-Sponginess-Improved-Dermatologist/dp/B09Z2T1LLR/ref=sr_1_1?keywords=Clarins+body+treatment+oil+contour+100ml%2F3.4oz&amp;qid=1695259662&amp;sr=8-1", "https://www.amazon.com/Clarins-Treatment-Sponginess-Improved-Dermatologist/dp/B09Z2T1LLR/ref=sr_1_1?keywords=Clarins+body+treatment+oil+contour+100ml%2F3.4oz&amp;qid=1695259662&amp;sr=8-1")</f>
        <v>https://www.amazon.com/Clarins-Treatment-Sponginess-Improved-Dermatologist/dp/B09Z2T1LLR/ref=sr_1_1?keywords=Clarins+body+treatment+oil+contour+100ml%2F3.4oz&amp;qid=1695259662&amp;sr=8-1</v>
      </c>
      <c r="F2823" t="s">
        <v>6905</v>
      </c>
      <c r="G2823" t="e">
        <f ca="1">IMAGE("https://prolisok-store.com/cdn/shop/products/443409_300x.jpg?v=1693406879")</f>
        <v>#NAME?</v>
      </c>
      <c r="H2823" t="e">
        <f ca="1">IMAGE("https://m.media-amazon.com/images/I/714ceEqyn-L._AC_UL320_.jpg")</f>
        <v>#NAME?</v>
      </c>
      <c r="I2823" t="s">
        <v>5598</v>
      </c>
      <c r="J2823">
        <v>72</v>
      </c>
      <c r="K2823" s="2" t="s">
        <v>6906</v>
      </c>
      <c r="L2823">
        <v>4.2</v>
      </c>
      <c r="M2823">
        <v>61</v>
      </c>
      <c r="O2823" t="s">
        <v>26</v>
      </c>
      <c r="P2823" t="s">
        <v>39</v>
      </c>
      <c r="Q2823" t="s">
        <v>6907</v>
      </c>
    </row>
    <row r="2824" spans="1:17" ht="15.75" x14ac:dyDescent="0.25">
      <c r="A2824" s="3" t="str">
        <f>HYPERLINK("https://prolisok-store.com/collections/skin-care/products/clarins-body-treatment-oil-tonic-100ml-3-4oz", "https://prolisok-store.com/collections/skin-care/products/clarins-body-treatment-oil-tonic-100ml-3-4oz")</f>
        <v>https://prolisok-store.com/collections/skin-care/products/clarins-body-treatment-oil-tonic-100ml-3-4oz</v>
      </c>
      <c r="B2824" s="3" t="str">
        <f>HYPERLINK("https://prolisok-store.com/products/clarins-body-treatment-oil-tonic-100ml-3-4oz", "https://prolisok-store.com/products/clarins-body-treatment-oil-tonic-100ml-3-4oz")</f>
        <v>https://prolisok-store.com/products/clarins-body-treatment-oil-tonic-100ml-3-4oz</v>
      </c>
      <c r="C2824" t="s">
        <v>6908</v>
      </c>
      <c r="D2824" t="s">
        <v>6909</v>
      </c>
      <c r="E2824" s="3" t="str">
        <f>HYPERLINK("https://www.amazon.com/Clarins-Treatment-Pregnancy-Elasticity-Dermatologist/dp/B0B1MD1NSY/ref=sr_1_1?keywords=Clarins+body+treatment+oil+tonic+100ml%2F3.4oz&amp;qid=1695259623&amp;sr=8-1", "https://www.amazon.com/Clarins-Treatment-Pregnancy-Elasticity-Dermatologist/dp/B0B1MD1NSY/ref=sr_1_1?keywords=Clarins+body+treatment+oil+tonic+100ml%2F3.4oz&amp;qid=1695259623&amp;sr=8-1")</f>
        <v>https://www.amazon.com/Clarins-Treatment-Pregnancy-Elasticity-Dermatologist/dp/B0B1MD1NSY/ref=sr_1_1?keywords=Clarins+body+treatment+oil+tonic+100ml%2F3.4oz&amp;qid=1695259623&amp;sr=8-1</v>
      </c>
      <c r="F2824" t="s">
        <v>6910</v>
      </c>
      <c r="G2824" t="e">
        <f ca="1">IMAGE("https://prolisok-store.com/cdn/shop/products/129514_300x.jpg?v=1693407077")</f>
        <v>#NAME?</v>
      </c>
      <c r="H2824" t="e">
        <f ca="1">IMAGE("https://m.media-amazon.com/images/I/61iSZqOGHOL._AC_UL320_.jpg")</f>
        <v>#NAME?</v>
      </c>
      <c r="I2824" t="s">
        <v>5598</v>
      </c>
      <c r="J2824">
        <v>72</v>
      </c>
      <c r="K2824" s="2" t="s">
        <v>6906</v>
      </c>
      <c r="L2824">
        <v>4.7</v>
      </c>
      <c r="M2824">
        <v>103</v>
      </c>
      <c r="O2824" t="s">
        <v>26</v>
      </c>
      <c r="P2824" t="s">
        <v>39</v>
      </c>
      <c r="Q2824" t="s">
        <v>6911</v>
      </c>
    </row>
    <row r="2825" spans="1:17" ht="15.75" x14ac:dyDescent="0.25">
      <c r="A2825" s="3" t="str">
        <f>HYPERLINK("https://prolisok-store.com/collections/skin-care/products/clarins-body-treatment-oil-relax-100ml-3-4oz", "https://prolisok-store.com/collections/skin-care/products/clarins-body-treatment-oil-relax-100ml-3-4oz")</f>
        <v>https://prolisok-store.com/collections/skin-care/products/clarins-body-treatment-oil-relax-100ml-3-4oz</v>
      </c>
      <c r="B2825" s="3" t="str">
        <f>HYPERLINK("https://prolisok-store.com/products/clarins-body-treatment-oil-relax-100ml-3-4oz", "https://prolisok-store.com/products/clarins-body-treatment-oil-relax-100ml-3-4oz")</f>
        <v>https://prolisok-store.com/products/clarins-body-treatment-oil-relax-100ml-3-4oz</v>
      </c>
      <c r="C2825" t="s">
        <v>6912</v>
      </c>
      <c r="D2825" t="s">
        <v>6913</v>
      </c>
      <c r="E2825" s="3" t="str">
        <f>HYPERLINK("https://www.amazon.com/Clarins-Treatment-Moisturizes-Nourished-Comfortable/dp/B0B1MCGKXZ/ref=sr_1_2?keywords=Clarins+body+treatment+oil+relax+100ml%2F3.4oz&amp;qid=1695259621&amp;sr=8-2", "https://www.amazon.com/Clarins-Treatment-Moisturizes-Nourished-Comfortable/dp/B0B1MCGKXZ/ref=sr_1_2?keywords=Clarins+body+treatment+oil+relax+100ml%2F3.4oz&amp;qid=1695259621&amp;sr=8-2")</f>
        <v>https://www.amazon.com/Clarins-Treatment-Moisturizes-Nourished-Comfortable/dp/B0B1MCGKXZ/ref=sr_1_2?keywords=Clarins+body+treatment+oil+relax+100ml%2F3.4oz&amp;qid=1695259621&amp;sr=8-2</v>
      </c>
      <c r="F2825" t="s">
        <v>6914</v>
      </c>
      <c r="G2825" t="e">
        <f ca="1">IMAGE("https://prolisok-store.com/cdn/shop/products/129515_300x.jpg?v=1693407079")</f>
        <v>#NAME?</v>
      </c>
      <c r="H2825" t="e">
        <f ca="1">IMAGE("https://m.media-amazon.com/images/I/71NuP921CmL._AC_UL320_.jpg")</f>
        <v>#NAME?</v>
      </c>
      <c r="I2825" t="s">
        <v>5598</v>
      </c>
      <c r="J2825">
        <v>72</v>
      </c>
      <c r="K2825" s="2" t="s">
        <v>6906</v>
      </c>
      <c r="L2825">
        <v>4.4000000000000004</v>
      </c>
      <c r="M2825">
        <v>33</v>
      </c>
      <c r="O2825" t="s">
        <v>26</v>
      </c>
      <c r="P2825" t="s">
        <v>39</v>
      </c>
      <c r="Q2825" t="s">
        <v>6915</v>
      </c>
    </row>
    <row r="2826" spans="1:17" ht="15.75" x14ac:dyDescent="0.25">
      <c r="A2826" s="3" t="str">
        <f>HYPERLINK("https://prolisok-store.com/collections/skin-care/products/clarins-total-eye-contour-gel-20ml-0-6oz", "https://prolisok-store.com/collections/skin-care/products/clarins-total-eye-contour-gel-20ml-0-6oz")</f>
        <v>https://prolisok-store.com/collections/skin-care/products/clarins-total-eye-contour-gel-20ml-0-6oz</v>
      </c>
      <c r="B2826" s="3" t="str">
        <f>HYPERLINK("https://prolisok-store.com/products/clarins-total-eye-contour-gel-20ml-0-6oz", "https://prolisok-store.com/products/clarins-total-eye-contour-gel-20ml-0-6oz")</f>
        <v>https://prolisok-store.com/products/clarins-total-eye-contour-gel-20ml-0-6oz</v>
      </c>
      <c r="C2826" t="s">
        <v>6916</v>
      </c>
      <c r="D2826" t="s">
        <v>6917</v>
      </c>
      <c r="E2826" s="3" t="str">
        <f>HYPERLINK("https://www.amazon.com/Clarins-Puffiness-Refreshes-Hydrates-Ingredients/dp/B09ZLQZ9QH/ref=sr_1_1?keywords=Clarins+total+eye+contour+gel+20ml%2F0.6oz&amp;qid=1695259610&amp;sr=8-1", "https://www.amazon.com/Clarins-Puffiness-Refreshes-Hydrates-Ingredients/dp/B09ZLQZ9QH/ref=sr_1_1?keywords=Clarins+total+eye+contour+gel+20ml%2F0.6oz&amp;qid=1695259610&amp;sr=8-1")</f>
        <v>https://www.amazon.com/Clarins-Puffiness-Refreshes-Hydrates-Ingredients/dp/B09ZLQZ9QH/ref=sr_1_1?keywords=Clarins+total+eye+contour+gel+20ml%2F0.6oz&amp;qid=1695259610&amp;sr=8-1</v>
      </c>
      <c r="F2826" t="s">
        <v>6918</v>
      </c>
      <c r="G2826" t="e">
        <f ca="1">IMAGE("https://prolisok-store.com/cdn/shop/products/437725_300x.jpg?v=1693406867")</f>
        <v>#NAME?</v>
      </c>
      <c r="H2826" t="e">
        <f ca="1">IMAGE("https://m.media-amazon.com/images/I/719sun4XXoL._AC_UL320_.jpg")</f>
        <v>#NAME?</v>
      </c>
      <c r="I2826" t="s">
        <v>6919</v>
      </c>
      <c r="J2826">
        <v>46</v>
      </c>
      <c r="K2826" s="2" t="s">
        <v>6920</v>
      </c>
      <c r="L2826">
        <v>4.4000000000000004</v>
      </c>
      <c r="M2826">
        <v>53</v>
      </c>
      <c r="O2826" t="s">
        <v>26</v>
      </c>
      <c r="P2826" t="s">
        <v>39</v>
      </c>
      <c r="Q2826" t="s">
        <v>6921</v>
      </c>
    </row>
    <row r="2827" spans="1:17" ht="15.75" x14ac:dyDescent="0.25">
      <c r="A2827" s="3" t="str">
        <f>HYPERLINK("https://prolisok-store.com/collections/skin-care/products/clarins-super-restorative-day-cream-50ml-1-7oz", "https://prolisok-store.com/collections/skin-care/products/clarins-super-restorative-day-cream-50ml-1-7oz")</f>
        <v>https://prolisok-store.com/collections/skin-care/products/clarins-super-restorative-day-cream-50ml-1-7oz</v>
      </c>
      <c r="B2827" s="3" t="str">
        <f>HYPERLINK("https://prolisok-store.com/products/clarins-super-restorative-day-cream-50ml-1-7oz", "https://prolisok-store.com/products/clarins-super-restorative-day-cream-50ml-1-7oz")</f>
        <v>https://prolisok-store.com/products/clarins-super-restorative-day-cream-50ml-1-7oz</v>
      </c>
      <c r="C2827" t="s">
        <v>6922</v>
      </c>
      <c r="D2827" t="s">
        <v>6923</v>
      </c>
      <c r="E2827" s="3" t="str">
        <f>HYPERLINK("https://www.amazon.com/Clarins-Super-Restorative-Cream-Ounce/dp/B00IT12EP6/ref=sr_1_2?keywords=Clarins+super+restorative+day+cream+50ml%2F1.7oz&amp;qid=1695259642&amp;sr=8-2", "https://www.amazon.com/Clarins-Super-Restorative-Cream-Ounce/dp/B00IT12EP6/ref=sr_1_2?keywords=Clarins+super+restorative+day+cream+50ml%2F1.7oz&amp;qid=1695259642&amp;sr=8-2")</f>
        <v>https://www.amazon.com/Clarins-Super-Restorative-Cream-Ounce/dp/B00IT12EP6/ref=sr_1_2?keywords=Clarins+super+restorative+day+cream+50ml%2F1.7oz&amp;qid=1695259642&amp;sr=8-2</v>
      </c>
      <c r="F2827" t="s">
        <v>6924</v>
      </c>
      <c r="G2827" t="e">
        <f ca="1">IMAGE("https://prolisok-store.com/cdn/shop/products/132432_300x.jpg?v=1693407070")</f>
        <v>#NAME?</v>
      </c>
      <c r="H2827" t="e">
        <f ca="1">IMAGE("https://m.media-amazon.com/images/I/71+VV9G3dZL._AC_UL320_.jpg")</f>
        <v>#NAME?</v>
      </c>
      <c r="I2827" t="s">
        <v>6925</v>
      </c>
      <c r="J2827">
        <v>134</v>
      </c>
      <c r="K2827" s="2" t="s">
        <v>6926</v>
      </c>
      <c r="L2827">
        <v>4.5999999999999996</v>
      </c>
      <c r="M2827">
        <v>1219</v>
      </c>
      <c r="O2827" t="s">
        <v>26</v>
      </c>
      <c r="P2827" t="s">
        <v>39</v>
      </c>
      <c r="Q2827" t="s">
        <v>6927</v>
      </c>
    </row>
    <row r="2828" spans="1:17" ht="15.75" x14ac:dyDescent="0.25">
      <c r="A2828" s="3" t="str">
        <f>HYPERLINK("https://prolisok-store.com/collections/skin-care/products/clarins-super-restorative-day-cream-50ml-1-7oz", "https://prolisok-store.com/collections/skin-care/products/clarins-super-restorative-day-cream-50ml-1-7oz")</f>
        <v>https://prolisok-store.com/collections/skin-care/products/clarins-super-restorative-day-cream-50ml-1-7oz</v>
      </c>
      <c r="B2828" s="3" t="str">
        <f>HYPERLINK("https://prolisok-store.com/products/clarins-super-restorative-day-cream-50ml-1-7oz", "https://prolisok-store.com/products/clarins-super-restorative-day-cream-50ml-1-7oz")</f>
        <v>https://prolisok-store.com/products/clarins-super-restorative-day-cream-50ml-1-7oz</v>
      </c>
      <c r="C2828" t="s">
        <v>6922</v>
      </c>
      <c r="D2828" t="s">
        <v>6928</v>
      </c>
      <c r="E2828" s="3" t="str">
        <f>HYPERLINK("https://www.amazon.com/Clarins-Super-Restorative-Radiance-Cream/dp/B07QCLL5RW/ref=sr_1_1?keywords=Clarins+super+restorative+day+cream+50ml%2F1.7oz&amp;qid=1695259642&amp;sr=8-1", "https://www.amazon.com/Clarins-Super-Restorative-Radiance-Cream/dp/B07QCLL5RW/ref=sr_1_1?keywords=Clarins+super+restorative+day+cream+50ml%2F1.7oz&amp;qid=1695259642&amp;sr=8-1")</f>
        <v>https://www.amazon.com/Clarins-Super-Restorative-Radiance-Cream/dp/B07QCLL5RW/ref=sr_1_1?keywords=Clarins+super+restorative+day+cream+50ml%2F1.7oz&amp;qid=1695259642&amp;sr=8-1</v>
      </c>
      <c r="F2828" t="s">
        <v>6929</v>
      </c>
      <c r="G2828" t="e">
        <f ca="1">IMAGE("https://prolisok-store.com/cdn/shop/products/132432_300x.jpg?v=1693407070")</f>
        <v>#NAME?</v>
      </c>
      <c r="H2828" t="e">
        <f ca="1">IMAGE("https://m.media-amazon.com/images/I/71mGPGvsByL._AC_UL320_.jpg")</f>
        <v>#NAME?</v>
      </c>
      <c r="I2828" t="s">
        <v>6925</v>
      </c>
      <c r="J2828">
        <v>134</v>
      </c>
      <c r="K2828" s="2" t="s">
        <v>6926</v>
      </c>
      <c r="L2828">
        <v>4.5</v>
      </c>
      <c r="M2828">
        <v>226</v>
      </c>
      <c r="O2828" t="s">
        <v>26</v>
      </c>
      <c r="P2828" t="s">
        <v>39</v>
      </c>
      <c r="Q2828" t="s">
        <v>6927</v>
      </c>
    </row>
    <row r="2829" spans="1:17" ht="15.75" x14ac:dyDescent="0.25">
      <c r="A2829" s="3" t="str">
        <f>HYPERLINK("https://prolisok-store.com/collections/skin-care/products/clarins-super-restorative-night-cream-50ml-1-7oz", "https://prolisok-store.com/collections/skin-care/products/clarins-super-restorative-night-cream-50ml-1-7oz")</f>
        <v>https://prolisok-store.com/collections/skin-care/products/clarins-super-restorative-night-cream-50ml-1-7oz</v>
      </c>
      <c r="B2829" s="3" t="str">
        <f>HYPERLINK("https://prolisok-store.com/products/clarins-super-restorative-night-cream-50ml-1-7oz", "https://prolisok-store.com/products/clarins-super-restorative-night-cream-50ml-1-7oz")</f>
        <v>https://prolisok-store.com/products/clarins-super-restorative-night-cream-50ml-1-7oz</v>
      </c>
      <c r="C2829" t="s">
        <v>6930</v>
      </c>
      <c r="D2829" t="s">
        <v>6931</v>
      </c>
      <c r="E2829" s="3" t="str">
        <f>HYPERLINK("https://www.amazon.com/Clarins-Restorative-Moisturizer-Replenishes-Illuminates/dp/B0B5VMF3Q5/ref=sr_1_2?keywords=Clarins+super+restorative+night+cream+50ml%2F1.7oz&amp;qid=1695259658&amp;sr=8-2", "https://www.amazon.com/Clarins-Restorative-Moisturizer-Replenishes-Illuminates/dp/B0B5VMF3Q5/ref=sr_1_2?keywords=Clarins+super+restorative+night+cream+50ml%2F1.7oz&amp;qid=1695259658&amp;sr=8-2")</f>
        <v>https://www.amazon.com/Clarins-Restorative-Moisturizer-Replenishes-Illuminates/dp/B0B5VMF3Q5/ref=sr_1_2?keywords=Clarins+super+restorative+night+cream+50ml%2F1.7oz&amp;qid=1695259658&amp;sr=8-2</v>
      </c>
      <c r="F2829" t="s">
        <v>6932</v>
      </c>
      <c r="G2829" t="e">
        <f ca="1">IMAGE("https://prolisok-store.com/cdn/shop/products/289299_300x.jpg?v=1693406949")</f>
        <v>#NAME?</v>
      </c>
      <c r="H2829" t="e">
        <f ca="1">IMAGE("https://m.media-amazon.com/images/I/71jCyZIk2ZL._AC_UL320_.jpg")</f>
        <v>#NAME?</v>
      </c>
      <c r="I2829" t="s">
        <v>2527</v>
      </c>
      <c r="J2829">
        <v>142</v>
      </c>
      <c r="K2829" s="2" t="s">
        <v>6933</v>
      </c>
      <c r="L2829">
        <v>4.5</v>
      </c>
      <c r="M2829">
        <v>75</v>
      </c>
      <c r="O2829" t="s">
        <v>26</v>
      </c>
      <c r="P2829" t="s">
        <v>39</v>
      </c>
      <c r="Q2829" t="s">
        <v>6934</v>
      </c>
    </row>
    <row r="2830" spans="1:17" ht="15.75" x14ac:dyDescent="0.25">
      <c r="A2830" s="3" t="str">
        <f>HYPERLINK("https://prolisok-store.com/collections/skin-care/products/facial-treatment-mask-10-pc", "https://prolisok-store.com/collections/skin-care/products/facial-treatment-mask-10-pc")</f>
        <v>https://prolisok-store.com/collections/skin-care/products/facial-treatment-mask-10-pc</v>
      </c>
      <c r="B2830" s="3" t="str">
        <f>HYPERLINK("https://prolisok-store.com/products/facial-treatment-mask-10-pc", "https://prolisok-store.com/products/facial-treatment-mask-10-pc")</f>
        <v>https://prolisok-store.com/products/facial-treatment-mask-10-pc</v>
      </c>
      <c r="C2830" t="s">
        <v>4705</v>
      </c>
      <c r="D2830" t="s">
        <v>4952</v>
      </c>
      <c r="E2830" s="3" t="str">
        <f>HYPERLINK("https://www.amazon.com/SK_II-SK2-Facial-Treatment-sheets/dp/B07595LCYK/ref=sr_1_6?keywords=SK-II+Facial+Treatment+Mask%2F10+pc.&amp;qid=1695259593&amp;sr=8-6", "https://www.amazon.com/SK_II-SK2-Facial-Treatment-sheets/dp/B07595LCYK/ref=sr_1_6?keywords=SK-II+Facial+Treatment+Mask%2F10+pc.&amp;qid=1695259593&amp;sr=8-6")</f>
        <v>https://www.amazon.com/SK_II-SK2-Facial-Treatment-sheets/dp/B07595LCYK/ref=sr_1_6?keywords=SK-II+Facial+Treatment+Mask%2F10+pc.&amp;qid=1695259593&amp;sr=8-6</v>
      </c>
      <c r="F2830" t="s">
        <v>4953</v>
      </c>
      <c r="G2830" t="e">
        <f ca="1">IMAGE("https://prolisok-store.com/cdn/shop/products/41oxreg7WTL_300x.jpg?v=1673964595")</f>
        <v>#NAME?</v>
      </c>
      <c r="H2830" t="e">
        <f ca="1">IMAGE("https://m.media-amazon.com/images/I/41hQ6MtWfFL._AC_UL320_.jpg")</f>
        <v>#NAME?</v>
      </c>
      <c r="I2830" t="s">
        <v>4346</v>
      </c>
      <c r="J2830">
        <v>55.9</v>
      </c>
      <c r="K2830" s="2" t="s">
        <v>4954</v>
      </c>
      <c r="L2830">
        <v>4.2</v>
      </c>
      <c r="M2830">
        <v>7</v>
      </c>
      <c r="O2830" t="s">
        <v>26</v>
      </c>
      <c r="P2830" t="s">
        <v>4709</v>
      </c>
      <c r="Q2830" t="s">
        <v>4710</v>
      </c>
    </row>
    <row r="2831" spans="1:17" ht="15.75" x14ac:dyDescent="0.25">
      <c r="A2831" s="3" t="str">
        <f>HYPERLINK("https://prolisok-store.com/collections/skin-care/products/elizabeth-arden-capsules-serum", "https://prolisok-store.com/collections/skin-care/products/elizabeth-arden-capsules-serum")</f>
        <v>https://prolisok-store.com/collections/skin-care/products/elizabeth-arden-capsules-serum</v>
      </c>
      <c r="B2831" s="3" t="str">
        <f>HYPERLINK("https://prolisok-store.com/products/elizabeth-arden-capsules-serum", "https://prolisok-store.com/products/elizabeth-arden-capsules-serum")</f>
        <v>https://prolisok-store.com/products/elizabeth-arden-capsules-serum</v>
      </c>
      <c r="C2831" t="s">
        <v>4670</v>
      </c>
      <c r="D2831" t="s">
        <v>4955</v>
      </c>
      <c r="E2831" s="3" t="str">
        <f>HYPERLINK("https://www.amazon.com/Elizabeth-Arden-Advanced-Ceramide-Restoring/dp/B072C3KZ48/ref=sr_1_5?keywords=Elizabeth+Arden+Capsules+Serum&amp;qid=1695259597&amp;sr=8-5", "https://www.amazon.com/Elizabeth-Arden-Advanced-Ceramide-Restoring/dp/B072C3KZ48/ref=sr_1_5?keywords=Elizabeth+Arden+Capsules+Serum&amp;qid=1695259597&amp;sr=8-5")</f>
        <v>https://www.amazon.com/Elizabeth-Arden-Advanced-Ceramide-Restoring/dp/B072C3KZ48/ref=sr_1_5?keywords=Elizabeth+Arden+Capsules+Serum&amp;qid=1695259597&amp;sr=8-5</v>
      </c>
      <c r="F2831" t="s">
        <v>4956</v>
      </c>
      <c r="G2831" t="e">
        <f ca="1">IMAGE("https://prolisok-store.com/cdn/shop/files/71roxz2sB-L._SL1500_300x.jpg?v=1683266294")</f>
        <v>#NAME?</v>
      </c>
      <c r="H2831" t="e">
        <f ca="1">IMAGE("https://m.media-amazon.com/images/I/81ZrMgDNsPL._AC_UL320_.jpg")</f>
        <v>#NAME?</v>
      </c>
      <c r="I2831" t="s">
        <v>4355</v>
      </c>
      <c r="J2831">
        <v>67</v>
      </c>
      <c r="K2831" s="2" t="s">
        <v>4957</v>
      </c>
      <c r="L2831">
        <v>4.3</v>
      </c>
      <c r="M2831">
        <v>583</v>
      </c>
      <c r="O2831" t="s">
        <v>26</v>
      </c>
      <c r="P2831" t="s">
        <v>39</v>
      </c>
      <c r="Q2831" t="s">
        <v>4673</v>
      </c>
    </row>
    <row r="2832" spans="1:17" ht="15.75" x14ac:dyDescent="0.25">
      <c r="A2832" s="3" t="str">
        <f>HYPERLINK("https://prolisok-store.com/collections/skin-care/products/clarins-exfoliating-body-scrub-for-smooth-skin-200ml-7oz", "https://prolisok-store.com/collections/skin-care/products/clarins-exfoliating-body-scrub-for-smooth-skin-200ml-7oz")</f>
        <v>https://prolisok-store.com/collections/skin-care/products/clarins-exfoliating-body-scrub-for-smooth-skin-200ml-7oz</v>
      </c>
      <c r="B2832" s="3" t="str">
        <f>HYPERLINK("https://prolisok-store.com/products/clarins-exfoliating-body-scrub-for-smooth-skin-200ml-7oz", "https://prolisok-store.com/products/clarins-exfoliating-body-scrub-for-smooth-skin-200ml-7oz")</f>
        <v>https://prolisok-store.com/products/clarins-exfoliating-body-scrub-for-smooth-skin-200ml-7oz</v>
      </c>
      <c r="C2832" t="s">
        <v>6935</v>
      </c>
      <c r="D2832" t="s">
        <v>6936</v>
      </c>
      <c r="E2832" s="3" t="str">
        <f>HYPERLINK("https://www.amazon.com/Clarins-Exfoliating-Treatments-Non-Drying-Formulated/dp/B06XCWW9XT/ref=sr_1_1?keywords=Clarins+exfoliating+body+scrub+for+smooth+skin+200ml%2F7oz&amp;qid=1695259629&amp;sr=8-1", "https://www.amazon.com/Clarins-Exfoliating-Treatments-Non-Drying-Formulated/dp/B06XCWW9XT/ref=sr_1_1?keywords=Clarins+exfoliating+body+scrub+for+smooth+skin+200ml%2F7oz&amp;qid=1695259629&amp;sr=8-1")</f>
        <v>https://www.amazon.com/Clarins-Exfoliating-Treatments-Non-Drying-Formulated/dp/B06XCWW9XT/ref=sr_1_1?keywords=Clarins+exfoliating+body+scrub+for+smooth+skin+200ml%2F7oz&amp;qid=1695259629&amp;sr=8-1</v>
      </c>
      <c r="F2832" t="s">
        <v>6937</v>
      </c>
      <c r="G2832" t="e">
        <f ca="1">IMAGE("https://prolisok-store.com/cdn/shop/products/143788_300x.jpg?v=1693407102")</f>
        <v>#NAME?</v>
      </c>
      <c r="H2832" t="e">
        <f ca="1">IMAGE("https://m.media-amazon.com/images/I/61OUqmmDHZL._AC_UL320_.jpg")</f>
        <v>#NAME?</v>
      </c>
      <c r="I2832" t="s">
        <v>4287</v>
      </c>
      <c r="J2832">
        <v>42</v>
      </c>
      <c r="K2832" s="2" t="s">
        <v>5512</v>
      </c>
      <c r="L2832">
        <v>4.7</v>
      </c>
      <c r="M2832">
        <v>82</v>
      </c>
      <c r="O2832" t="s">
        <v>26</v>
      </c>
      <c r="P2832" t="s">
        <v>39</v>
      </c>
      <c r="Q2832" t="s">
        <v>6938</v>
      </c>
    </row>
    <row r="2833" spans="1:17" ht="15.75" x14ac:dyDescent="0.25">
      <c r="A2833" s="3" t="str">
        <f>HYPERLINK("https://prolisok-store.com/collections/skin-care/products/elizabeth-arden-advanced-ceramide-capsules-daily-youth-restoring-eye-serum-60caps", "https://prolisok-store.com/collections/skin-care/products/elizabeth-arden-advanced-ceramide-capsules-daily-youth-restoring-eye-serum-60caps")</f>
        <v>https://prolisok-store.com/collections/skin-care/products/elizabeth-arden-advanced-ceramide-capsules-daily-youth-restoring-eye-serum-60caps</v>
      </c>
      <c r="B2833" s="3" t="str">
        <f>HYPERLINK("https://prolisok-store.com/products/elizabeth-arden-advanced-ceramide-capsules-daily-youth-restoring-eye-serum-60caps", "https://prolisok-store.com/products/elizabeth-arden-advanced-ceramide-capsules-daily-youth-restoring-eye-serum-60caps")</f>
        <v>https://prolisok-store.com/products/elizabeth-arden-advanced-ceramide-capsules-daily-youth-restoring-eye-serum-60caps</v>
      </c>
      <c r="C2833" t="s">
        <v>6939</v>
      </c>
      <c r="D2833" t="s">
        <v>4955</v>
      </c>
      <c r="E2833" s="3" t="str">
        <f>HYPERLINK("https://www.amazon.com/Elizabeth-Arden-Advanced-Ceramide-Restoring/dp/B072C3KZ48/ref=sr_1_2?keywords=Elizabeth+Arden+advanced+ceramide+capsules+daily+youth+restoring+eye+serum+60caps&amp;qid=1695259611&amp;sr=8-2", "https://www.amazon.com/Elizabeth-Arden-Advanced-Ceramide-Restoring/dp/B072C3KZ48/ref=sr_1_2?keywords=Elizabeth+Arden+advanced+ceramide+capsules+daily+youth+restoring+eye+serum+60caps&amp;qid=1695259611&amp;sr=8-2")</f>
        <v>https://www.amazon.com/Elizabeth-Arden-Advanced-Ceramide-Restoring/dp/B072C3KZ48/ref=sr_1_2?keywords=Elizabeth+Arden+advanced+ceramide+capsules+daily+youth+restoring+eye+serum+60caps&amp;qid=1695259611&amp;sr=8-2</v>
      </c>
      <c r="F2833" t="s">
        <v>4956</v>
      </c>
      <c r="G2833" t="e">
        <f ca="1">IMAGE("https://prolisok-store.com/cdn/shop/products/300566_300x.jpg?v=1693407200")</f>
        <v>#NAME?</v>
      </c>
      <c r="H2833" t="e">
        <f ca="1">IMAGE("https://m.media-amazon.com/images/I/81ZrMgDNsPL._AC_UL320_.jpg")</f>
        <v>#NAME?</v>
      </c>
      <c r="I2833" t="s">
        <v>6940</v>
      </c>
      <c r="J2833">
        <v>67</v>
      </c>
      <c r="K2833" s="2" t="s">
        <v>5512</v>
      </c>
      <c r="L2833">
        <v>4.3</v>
      </c>
      <c r="M2833">
        <v>583</v>
      </c>
      <c r="O2833" t="s">
        <v>26</v>
      </c>
      <c r="P2833" t="s">
        <v>39</v>
      </c>
      <c r="Q2833" t="s">
        <v>6941</v>
      </c>
    </row>
    <row r="2834" spans="1:17" ht="15.75" x14ac:dyDescent="0.25">
      <c r="A2834" s="3" t="str">
        <f>HYPERLINK("https://prolisok-store.com/collections/skin-care/products/elizabeth-arden-eight-hour-cream-intensive-moisturizing-hand-treatment-75ml-2-5oz", "https://prolisok-store.com/collections/skin-care/products/elizabeth-arden-eight-hour-cream-intensive-moisturizing-hand-treatment-75ml-2-5oz")</f>
        <v>https://prolisok-store.com/collections/skin-care/products/elizabeth-arden-eight-hour-cream-intensive-moisturizing-hand-treatment-75ml-2-5oz</v>
      </c>
      <c r="B2834" s="3" t="str">
        <f>HYPERLINK("https://prolisok-store.com/products/elizabeth-arden-eight-hour-cream-intensive-moisturizing-hand-treatment-75ml-2-5oz", "https://prolisok-store.com/products/elizabeth-arden-eight-hour-cream-intensive-moisturizing-hand-treatment-75ml-2-5oz")</f>
        <v>https://prolisok-store.com/products/elizabeth-arden-eight-hour-cream-intensive-moisturizing-hand-treatment-75ml-2-5oz</v>
      </c>
      <c r="C2834" t="s">
        <v>6942</v>
      </c>
      <c r="D2834" t="s">
        <v>6774</v>
      </c>
      <c r="E2834" s="3" t="str">
        <f>HYPERLINK("https://www.amazon.com/Elizabeth-Arden-Intensive-Moisturizing-Treatment/dp/B0BC1QC9XF/ref=sr_1_1?keywords=Elizabeth+Arden+eight+hour+cream+intensive+moisturizing+hand+treatment+75ml%2F2.5oz&amp;qid=1695259636&amp;sr=8-1", "https://www.amazon.com/Elizabeth-Arden-Intensive-Moisturizing-Treatment/dp/B0BC1QC9XF/ref=sr_1_1?keywords=Elizabeth+Arden+eight+hour+cream+intensive+moisturizing+hand+treatment+75ml%2F2.5oz&amp;qid=1695259636&amp;sr=8-1")</f>
        <v>https://www.amazon.com/Elizabeth-Arden-Intensive-Moisturizing-Treatment/dp/B0BC1QC9XF/ref=sr_1_1?keywords=Elizabeth+Arden+eight+hour+cream+intensive+moisturizing+hand+treatment+75ml%2F2.5oz&amp;qid=1695259636&amp;sr=8-1</v>
      </c>
      <c r="F2834" t="s">
        <v>6775</v>
      </c>
      <c r="G2834" t="e">
        <f ca="1">IMAGE("https://prolisok-store.com/cdn/shop/products/139183_300x.jpg?v=1693407147")</f>
        <v>#NAME?</v>
      </c>
      <c r="H2834" t="e">
        <f ca="1">IMAGE("https://m.media-amazon.com/images/I/61J+wyEAo-L._AC_UL320_.jpg")</f>
        <v>#NAME?</v>
      </c>
      <c r="I2834" t="s">
        <v>5792</v>
      </c>
      <c r="J2834">
        <v>36</v>
      </c>
      <c r="K2834" s="2" t="s">
        <v>5512</v>
      </c>
      <c r="L2834">
        <v>4.3</v>
      </c>
      <c r="M2834">
        <v>1183</v>
      </c>
      <c r="O2834" t="s">
        <v>26</v>
      </c>
      <c r="P2834" t="s">
        <v>39</v>
      </c>
      <c r="Q2834" t="s">
        <v>6943</v>
      </c>
    </row>
    <row r="2835" spans="1:17" ht="15.75" x14ac:dyDescent="0.25">
      <c r="A2835" s="3" t="str">
        <f>HYPERLINK("https://prolisok-store.com/collections/skin-care/products/elizabeth-arden-ceramide-replenishing-cleansing-oil-195ml-6-6oz", "https://prolisok-store.com/collections/skin-care/products/elizabeth-arden-ceramide-replenishing-cleansing-oil-195ml-6-6oz")</f>
        <v>https://prolisok-store.com/collections/skin-care/products/elizabeth-arden-ceramide-replenishing-cleansing-oil-195ml-6-6oz</v>
      </c>
      <c r="B2835" s="3" t="str">
        <f>HYPERLINK("https://prolisok-store.com/products/elizabeth-arden-ceramide-replenishing-cleansing-oil-195ml-6-6oz", "https://prolisok-store.com/products/elizabeth-arden-ceramide-replenishing-cleansing-oil-195ml-6-6oz")</f>
        <v>https://prolisok-store.com/products/elizabeth-arden-ceramide-replenishing-cleansing-oil-195ml-6-6oz</v>
      </c>
      <c r="C2835" t="s">
        <v>6944</v>
      </c>
      <c r="D2835" t="s">
        <v>6945</v>
      </c>
      <c r="E2835" s="3" t="str">
        <f>HYPERLINK("https://www.amazon.com/Elizabeth-Arden-Ceramide-Replenishing-Cleansing/dp/B017IZGN50/ref=sr_1_1?keywords=Elizabeth+Arden+ceramide+replenishing+cleansing+oil+195ml%2F6.6oz&amp;qid=1695259637&amp;sr=8-1", "https://www.amazon.com/Elizabeth-Arden-Ceramide-Replenishing-Cleansing/dp/B017IZGN50/ref=sr_1_1?keywords=Elizabeth+Arden+ceramide+replenishing+cleansing+oil+195ml%2F6.6oz&amp;qid=1695259637&amp;sr=8-1")</f>
        <v>https://www.amazon.com/Elizabeth-Arden-Ceramide-Replenishing-Cleansing/dp/B017IZGN50/ref=sr_1_1?keywords=Elizabeth+Arden+ceramide+replenishing+cleansing+oil+195ml%2F6.6oz&amp;qid=1695259637&amp;sr=8-1</v>
      </c>
      <c r="F2835" t="s">
        <v>6946</v>
      </c>
      <c r="G2835" t="e">
        <f ca="1">IMAGE("https://prolisok-store.com/cdn/shop/products/288048_300x.jpg?v=1693407196")</f>
        <v>#NAME?</v>
      </c>
      <c r="H2835" t="e">
        <f ca="1">IMAGE("https://m.media-amazon.com/images/I/71jRxrto0uL._AC_UL320_.jpg")</f>
        <v>#NAME?</v>
      </c>
      <c r="I2835" t="s">
        <v>5792</v>
      </c>
      <c r="J2835">
        <v>36</v>
      </c>
      <c r="K2835" s="2" t="s">
        <v>5512</v>
      </c>
      <c r="L2835">
        <v>4.5</v>
      </c>
      <c r="M2835">
        <v>458</v>
      </c>
      <c r="O2835" t="s">
        <v>26</v>
      </c>
      <c r="P2835" t="s">
        <v>39</v>
      </c>
      <c r="Q2835" t="s">
        <v>6947</v>
      </c>
    </row>
    <row r="2836" spans="1:17" ht="15.75" x14ac:dyDescent="0.25">
      <c r="A2836" s="3" t="str">
        <f>HYPERLINK("https://prolisok-store.com/collections/skin-care/products/clarins-super-restorative-hand-cream-100ml-3-3oz", "https://prolisok-store.com/collections/skin-care/products/clarins-super-restorative-hand-cream-100ml-3-3oz")</f>
        <v>https://prolisok-store.com/collections/skin-care/products/clarins-super-restorative-hand-cream-100ml-3-3oz</v>
      </c>
      <c r="B2836" s="3" t="str">
        <f>HYPERLINK("https://prolisok-store.com/products/clarins-super-restorative-hand-cream-100ml-3-3oz", "https://prolisok-store.com/products/clarins-super-restorative-hand-cream-100ml-3-3oz")</f>
        <v>https://prolisok-store.com/products/clarins-super-restorative-hand-cream-100ml-3-3oz</v>
      </c>
      <c r="C2836" t="s">
        <v>6948</v>
      </c>
      <c r="D2836" t="s">
        <v>6949</v>
      </c>
      <c r="E2836" s="3" t="str">
        <f>HYPERLINK("https://www.amazon.com/Clarins-Restorative-Anti-Aging-Youthful-Looking-Immediately/dp/B0B1Q5RM98/ref=sr_1_1?keywords=Clarins+super+restorative+hand+cream+100ml%2F3.3oz&amp;qid=1695259648&amp;sr=8-1", "https://www.amazon.com/Clarins-Restorative-Anti-Aging-Youthful-Looking-Immediately/dp/B0B1Q5RM98/ref=sr_1_1?keywords=Clarins+super+restorative+hand+cream+100ml%2F3.3oz&amp;qid=1695259648&amp;sr=8-1")</f>
        <v>https://www.amazon.com/Clarins-Restorative-Anti-Aging-Youthful-Looking-Immediately/dp/B0B1Q5RM98/ref=sr_1_1?keywords=Clarins+super+restorative+hand+cream+100ml%2F3.3oz&amp;qid=1695259648&amp;sr=8-1</v>
      </c>
      <c r="F2836" t="s">
        <v>6950</v>
      </c>
      <c r="G2836" t="e">
        <f ca="1">IMAGE("https://prolisok-store.com/cdn/shop/products/292363_300x.jpg?v=1693406941")</f>
        <v>#NAME?</v>
      </c>
      <c r="H2836" t="e">
        <f ca="1">IMAGE("https://m.media-amazon.com/images/I/71MV2I1R1xL._AC_UL320_.jpg")</f>
        <v>#NAME?</v>
      </c>
      <c r="I2836" t="s">
        <v>6951</v>
      </c>
      <c r="J2836">
        <v>51</v>
      </c>
      <c r="K2836" s="2" t="s">
        <v>5512</v>
      </c>
      <c r="L2836">
        <v>4.5999999999999996</v>
      </c>
      <c r="M2836">
        <v>43</v>
      </c>
      <c r="O2836" t="s">
        <v>26</v>
      </c>
      <c r="P2836" t="s">
        <v>39</v>
      </c>
      <c r="Q2836" t="s">
        <v>6952</v>
      </c>
    </row>
    <row r="2837" spans="1:17" ht="15.75" x14ac:dyDescent="0.25">
      <c r="A2837" s="3" t="str">
        <f>HYPERLINK("https://prolisok-store.com/collections/skin-care/products/clarins-body-partner-stretch-mark-expert-175ml-5-8oz", "https://prolisok-store.com/collections/skin-care/products/clarins-body-partner-stretch-mark-expert-175ml-5-8oz")</f>
        <v>https://prolisok-store.com/collections/skin-care/products/clarins-body-partner-stretch-mark-expert-175ml-5-8oz</v>
      </c>
      <c r="B2837" s="3" t="str">
        <f>HYPERLINK("https://prolisok-store.com/products/clarins-body-partner-stretch-mark-expert-175ml-5-8oz", "https://prolisok-store.com/products/clarins-body-partner-stretch-mark-expert-175ml-5-8oz")</f>
        <v>https://prolisok-store.com/products/clarins-body-partner-stretch-mark-expert-175ml-5-8oz</v>
      </c>
      <c r="C2837" t="s">
        <v>6953</v>
      </c>
      <c r="D2837" t="s">
        <v>6954</v>
      </c>
      <c r="E2837" s="3" t="str">
        <f>HYPERLINK("https://www.amazon.com/Clarins-Award-Winning-Fluctuations-Recommended-Ingredients/dp/B084RH5VZT/ref=sr_1_1?keywords=Clarins+body+partner+stretch+mark+expert+175ml%2F5.8oz&amp;qid=1695259638&amp;sr=8-1", "https://www.amazon.com/Clarins-Award-Winning-Fluctuations-Recommended-Ingredients/dp/B084RH5VZT/ref=sr_1_1?keywords=Clarins+body+partner+stretch+mark+expert+175ml%2F5.8oz&amp;qid=1695259638&amp;sr=8-1")</f>
        <v>https://www.amazon.com/Clarins-Award-Winning-Fluctuations-Recommended-Ingredients/dp/B084RH5VZT/ref=sr_1_1?keywords=Clarins+body+partner+stretch+mark+expert+175ml%2F5.8oz&amp;qid=1695259638&amp;sr=8-1</v>
      </c>
      <c r="F2837" t="s">
        <v>6955</v>
      </c>
      <c r="G2837" t="e">
        <f ca="1">IMAGE("https://prolisok-store.com/cdn/shop/products/361060_300x.jpg?v=1693406782")</f>
        <v>#NAME?</v>
      </c>
      <c r="H2837" t="e">
        <f ca="1">IMAGE("https://m.media-amazon.com/images/I/61hBz6PM2WL._AC_UL320_.jpg")</f>
        <v>#NAME?</v>
      </c>
      <c r="I2837" t="s">
        <v>6451</v>
      </c>
      <c r="J2837">
        <v>66</v>
      </c>
      <c r="K2837" s="2" t="s">
        <v>5512</v>
      </c>
      <c r="L2837">
        <v>4.5</v>
      </c>
      <c r="M2837">
        <v>106</v>
      </c>
      <c r="O2837" t="s">
        <v>26</v>
      </c>
      <c r="P2837" t="s">
        <v>39</v>
      </c>
      <c r="Q2837" t="s">
        <v>6956</v>
      </c>
    </row>
    <row r="2838" spans="1:17" ht="15.75" x14ac:dyDescent="0.25">
      <c r="A2838" s="3" t="str">
        <f>HYPERLINK("https://prolisok-store.com/collections/skin-care/products/clarins-my-clarins-pore-less-blur-and-matte-stick-3-2g-0-1oz", "https://prolisok-store.com/collections/skin-care/products/clarins-my-clarins-pore-less-blur-and-matte-stick-3-2g-0-1oz")</f>
        <v>https://prolisok-store.com/collections/skin-care/products/clarins-my-clarins-pore-less-blur-and-matte-stick-3-2g-0-1oz</v>
      </c>
      <c r="B2838" s="3" t="str">
        <f>HYPERLINK("https://prolisok-store.com/products/clarins-my-clarins-pore-less-blur-and-matte-stick-3-2g-0-1oz", "https://prolisok-store.com/products/clarins-my-clarins-pore-less-blur-and-matte-stick-3-2g-0-1oz")</f>
        <v>https://prolisok-store.com/products/clarins-my-clarins-pore-less-blur-and-matte-stick-3-2g-0-1oz</v>
      </c>
      <c r="C2838" t="s">
        <v>6957</v>
      </c>
      <c r="D2838" t="s">
        <v>6958</v>
      </c>
      <c r="E2838" s="3" t="str">
        <f>HYPERLINK("https://www.amazon.com/Clarins-Appearance-Imperfections-Oil-Absorbing-Paraben-Free/dp/B07PS5ZXJF/ref=sr_1_1?keywords=Clarins+my+clarins+pore-less+blur&amp;qid=1695259673&amp;sr=8-1", "https://www.amazon.com/Clarins-Appearance-Imperfections-Oil-Absorbing-Paraben-Free/dp/B07PS5ZXJF/ref=sr_1_1?keywords=Clarins+my+clarins+pore-less+blur&amp;qid=1695259673&amp;sr=8-1")</f>
        <v>https://www.amazon.com/Clarins-Appearance-Imperfections-Oil-Absorbing-Paraben-Free/dp/B07PS5ZXJF/ref=sr_1_1?keywords=Clarins+my+clarins+pore-less+blur&amp;qid=1695259673&amp;sr=8-1</v>
      </c>
      <c r="F2838" t="s">
        <v>6959</v>
      </c>
      <c r="G2838" t="e">
        <f ca="1">IMAGE("https://prolisok-store.com/cdn/shop/products/362823_300x.jpg?v=1693406767")</f>
        <v>#NAME?</v>
      </c>
      <c r="H2838" t="e">
        <f ca="1">IMAGE("https://m.media-amazon.com/images/I/61OhMsk4rvL._AC_UL320_.jpg")</f>
        <v>#NAME?</v>
      </c>
      <c r="I2838" t="s">
        <v>3890</v>
      </c>
      <c r="J2838">
        <v>20</v>
      </c>
      <c r="K2838" s="2" t="s">
        <v>5512</v>
      </c>
      <c r="L2838">
        <v>4</v>
      </c>
      <c r="M2838">
        <v>146</v>
      </c>
      <c r="O2838" t="s">
        <v>26</v>
      </c>
      <c r="P2838" t="s">
        <v>39</v>
      </c>
      <c r="Q2838" t="s">
        <v>6960</v>
      </c>
    </row>
    <row r="2839" spans="1:17" ht="15.75" x14ac:dyDescent="0.25">
      <c r="A2839" s="3" t="str">
        <f>HYPERLINK("https://prolisok-store.com/collections/skin-care/products/elizabeth-arden-visible-difference-refining-moisture-cream-complex-75ml-2-5oz", "https://prolisok-store.com/collections/skin-care/products/elizabeth-arden-visible-difference-refining-moisture-cream-complex-75ml-2-5oz")</f>
        <v>https://prolisok-store.com/collections/skin-care/products/elizabeth-arden-visible-difference-refining-moisture-cream-complex-75ml-2-5oz</v>
      </c>
      <c r="B2839" s="3" t="str">
        <f>HYPERLINK("https://prolisok-store.com/products/elizabeth-arden-visible-difference-refining-moisture-cream-complex-75ml-2-5oz", "https://prolisok-store.com/products/elizabeth-arden-visible-difference-refining-moisture-cream-complex-75ml-2-5oz")</f>
        <v>https://prolisok-store.com/products/elizabeth-arden-visible-difference-refining-moisture-cream-complex-75ml-2-5oz</v>
      </c>
      <c r="C2839" t="s">
        <v>6961</v>
      </c>
      <c r="D2839" t="s">
        <v>6962</v>
      </c>
      <c r="E2839" s="3" t="str">
        <f>HYPERLINK("https://www.amazon.com/Elizabeth-Arden-Difference-Refining-Moisture/dp/B001PTFXKW/ref=sr_1_1?keywords=Elizabeth+Arden+visible+difference+refining+moisture+cream+complex+75ml%2F2.5oz&amp;qid=1695259610&amp;sr=8-1", "https://www.amazon.com/Elizabeth-Arden-Difference-Refining-Moisture/dp/B001PTFXKW/ref=sr_1_1?keywords=Elizabeth+Arden+visible+difference+refining+moisture+cream+complex+75ml%2F2.5oz&amp;qid=1695259610&amp;sr=8-1")</f>
        <v>https://www.amazon.com/Elizabeth-Arden-Difference-Refining-Moisture/dp/B001PTFXKW/ref=sr_1_1?keywords=Elizabeth+Arden+visible+difference+refining+moisture+cream+complex+75ml%2F2.5oz&amp;qid=1695259610&amp;sr=8-1</v>
      </c>
      <c r="F2839" t="s">
        <v>6963</v>
      </c>
      <c r="G2839" t="e">
        <f ca="1">IMAGE("https://prolisok-store.com/cdn/shop/products/130032_300x.jpg?v=1693407163")</f>
        <v>#NAME?</v>
      </c>
      <c r="H2839" t="e">
        <f ca="1">IMAGE("https://m.media-amazon.com/images/I/51GTEvw83GL._AC_UL320_.jpg")</f>
        <v>#NAME?</v>
      </c>
      <c r="I2839" t="s">
        <v>6964</v>
      </c>
      <c r="J2839">
        <v>60</v>
      </c>
      <c r="K2839" s="2" t="s">
        <v>5512</v>
      </c>
      <c r="L2839">
        <v>4.5999999999999996</v>
      </c>
      <c r="M2839">
        <v>3239</v>
      </c>
      <c r="O2839" t="s">
        <v>26</v>
      </c>
      <c r="P2839" t="s">
        <v>39</v>
      </c>
      <c r="Q2839" t="s">
        <v>6965</v>
      </c>
    </row>
    <row r="2840" spans="1:17" ht="15.75" x14ac:dyDescent="0.25">
      <c r="A2840" s="3" t="str">
        <f>HYPERLINK("https://prolisok-store.com/collections/skin-care/products/elizabeth-arden-ceramide-retinol-line-erasing-eye-cream-15ml-0-5oz", "https://prolisok-store.com/collections/skin-care/products/elizabeth-arden-ceramide-retinol-line-erasing-eye-cream-15ml-0-5oz")</f>
        <v>https://prolisok-store.com/collections/skin-care/products/elizabeth-arden-ceramide-retinol-line-erasing-eye-cream-15ml-0-5oz</v>
      </c>
      <c r="B2840" s="3" t="str">
        <f>HYPERLINK("https://prolisok-store.com/products/elizabeth-arden-ceramide-retinol-line-erasing-eye-cream-15ml-0-5oz", "https://prolisok-store.com/products/elizabeth-arden-ceramide-retinol-line-erasing-eye-cream-15ml-0-5oz")</f>
        <v>https://prolisok-store.com/products/elizabeth-arden-ceramide-retinol-line-erasing-eye-cream-15ml-0-5oz</v>
      </c>
      <c r="C2840" t="s">
        <v>6966</v>
      </c>
      <c r="D2840" t="s">
        <v>6967</v>
      </c>
      <c r="E2840" s="3" t="str">
        <f>HYPERLINK("https://www.amazon.com/Elizabeth-Arden-Retinol-Ceramide-Erasing/dp/B091334GYF/ref=sr_1_1?keywords=Elizabeth+Arden+ceramide+retinol+line+erasing+eye+cream+15ml%2F0.5oz&amp;qid=1695259670&amp;sr=8-1", "https://www.amazon.com/Elizabeth-Arden-Retinol-Ceramide-Erasing/dp/B091334GYF/ref=sr_1_1?keywords=Elizabeth+Arden+ceramide+retinol+line+erasing+eye+cream+15ml%2F0.5oz&amp;qid=1695259670&amp;sr=8-1")</f>
        <v>https://www.amazon.com/Elizabeth-Arden-Retinol-Ceramide-Erasing/dp/B091334GYF/ref=sr_1_1?keywords=Elizabeth+Arden+ceramide+retinol+line+erasing+eye+cream+15ml%2F0.5oz&amp;qid=1695259670&amp;sr=8-1</v>
      </c>
      <c r="F2840" t="s">
        <v>6968</v>
      </c>
      <c r="G2840" t="e">
        <f ca="1">IMAGE("https://prolisok-store.com/cdn/shop/products/403886_300x.jpg?v=1693407216")</f>
        <v>#NAME?</v>
      </c>
      <c r="H2840" t="e">
        <f ca="1">IMAGE("https://m.media-amazon.com/images/I/819Ok-UGHyL._AC_UL320_.jpg")</f>
        <v>#NAME?</v>
      </c>
      <c r="I2840" t="s">
        <v>6969</v>
      </c>
      <c r="J2840">
        <v>69</v>
      </c>
      <c r="K2840" s="2" t="s">
        <v>5512</v>
      </c>
      <c r="L2840">
        <v>4.3</v>
      </c>
      <c r="M2840">
        <v>180</v>
      </c>
      <c r="O2840" t="s">
        <v>26</v>
      </c>
      <c r="P2840" t="s">
        <v>39</v>
      </c>
      <c r="Q2840" t="s">
        <v>6970</v>
      </c>
    </row>
    <row r="2841" spans="1:17" ht="15.75" x14ac:dyDescent="0.25">
      <c r="A2841" s="3" t="str">
        <f>HYPERLINK("https://prolisok-store.com/collections/skin-care/products/clarins-one-step-facial-cleanser-200ml-6-7oz", "https://prolisok-store.com/collections/skin-care/products/clarins-one-step-facial-cleanser-200ml-6-7oz")</f>
        <v>https://prolisok-store.com/collections/skin-care/products/clarins-one-step-facial-cleanser-200ml-6-7oz</v>
      </c>
      <c r="B2841" s="3" t="str">
        <f>HYPERLINK("https://prolisok-store.com/products/clarins-one-step-facial-cleanser-200ml-6-7oz", "https://prolisok-store.com/products/clarins-one-step-facial-cleanser-200ml-6-7oz")</f>
        <v>https://prolisok-store.com/products/clarins-one-step-facial-cleanser-200ml-6-7oz</v>
      </c>
      <c r="C2841" t="s">
        <v>6971</v>
      </c>
      <c r="D2841" t="s">
        <v>6972</v>
      </c>
      <c r="E2841" s="3" t="str">
        <f>HYPERLINK("https://www.amazon.com/Clarins-Facial-Cleanser-Orange-Extract/dp/B002N5MKE4/ref=sr_1_1?keywords=Clarins+one+step+facial+cleanser+200ml%2F6.7oz&amp;qid=1695259626&amp;sr=8-1", "https://www.amazon.com/Clarins-Facial-Cleanser-Orange-Extract/dp/B002N5MKE4/ref=sr_1_1?keywords=Clarins+one+step+facial+cleanser+200ml%2F6.7oz&amp;qid=1695259626&amp;sr=8-1")</f>
        <v>https://www.amazon.com/Clarins-Facial-Cleanser-Orange-Extract/dp/B002N5MKE4/ref=sr_1_1?keywords=Clarins+one+step+facial+cleanser+200ml%2F6.7oz&amp;qid=1695259626&amp;sr=8-1</v>
      </c>
      <c r="F2841" t="s">
        <v>6973</v>
      </c>
      <c r="G2841" t="e">
        <f ca="1">IMAGE("https://prolisok-store.com/cdn/shop/products/129549_300x.jpg?v=1693407087")</f>
        <v>#NAME?</v>
      </c>
      <c r="H2841" t="e">
        <f ca="1">IMAGE("https://m.media-amazon.com/images/I/6115wrDtncL._AC_UL320_.jpg")</f>
        <v>#NAME?</v>
      </c>
      <c r="I2841" t="s">
        <v>6974</v>
      </c>
      <c r="J2841">
        <v>39</v>
      </c>
      <c r="K2841" s="2" t="s">
        <v>5512</v>
      </c>
      <c r="L2841">
        <v>4.5</v>
      </c>
      <c r="M2841">
        <v>791</v>
      </c>
      <c r="O2841" t="s">
        <v>26</v>
      </c>
      <c r="P2841" t="s">
        <v>39</v>
      </c>
      <c r="Q2841" t="s">
        <v>6975</v>
      </c>
    </row>
    <row r="2842" spans="1:17" ht="15.75" x14ac:dyDescent="0.25">
      <c r="A2842" s="3" t="str">
        <f>HYPERLINK("https://prolisok-store.com/collections/skin-care/products/bronze-goddess-by-estee-lauder-eau-fraiche-skinscent-spray-1-7-oz-edition-2017", "https://prolisok-store.com/collections/skin-care/products/bronze-goddess-by-estee-lauder-eau-fraiche-skinscent-spray-1-7-oz-edition-2017")</f>
        <v>https://prolisok-store.com/collections/skin-care/products/bronze-goddess-by-estee-lauder-eau-fraiche-skinscent-spray-1-7-oz-edition-2017</v>
      </c>
      <c r="B2842" s="3" t="str">
        <f>HYPERLINK("https://prolisok-store.com/products/bronze-goddess-by-estee-lauder-eau-fraiche-skinscent-spray-1-7-oz-edition-2017", "https://prolisok-store.com/products/bronze-goddess-by-estee-lauder-eau-fraiche-skinscent-spray-1-7-oz-edition-2017")</f>
        <v>https://prolisok-store.com/products/bronze-goddess-by-estee-lauder-eau-fraiche-skinscent-spray-1-7-oz-edition-2017</v>
      </c>
      <c r="C2842" t="s">
        <v>6976</v>
      </c>
      <c r="D2842" t="s">
        <v>6977</v>
      </c>
      <c r="E2842" s="3" t="str">
        <f>HYPERLINK("https://www.amazon.com/Bronze-Goddess-Eau-Fra%C3%83che-Skinscent/dp/B071P6D6RR/ref=sr_1_1?keywords=Bronze+goddess+by+estee+lauder+eau+fraiche+skinscent+spray+1.7+oz+%28edition+2017%29&amp;qid=1695259723&amp;sr=8-1", "https://www.amazon.com/Bronze-Goddess-Eau-Fra%C3%83che-Skinscent/dp/B071P6D6RR/ref=sr_1_1?keywords=Bronze+goddess+by+estee+lauder+eau+fraiche+skinscent+spray+1.7+oz+%28edition+2017%29&amp;qid=1695259723&amp;sr=8-1")</f>
        <v>https://www.amazon.com/Bronze-Goddess-Eau-Fra%C3%83che-Skinscent/dp/B071P6D6RR/ref=sr_1_1?keywords=Bronze+goddess+by+estee+lauder+eau+fraiche+skinscent+spray+1.7+oz+%28edition+2017%29&amp;qid=1695259723&amp;sr=8-1</v>
      </c>
      <c r="F2842" t="s">
        <v>6978</v>
      </c>
      <c r="G2842" t="e">
        <f ca="1">IMAGE("https://prolisok-store.com/cdn/shop/products/353584_300x.jpg?v=1690900283")</f>
        <v>#NAME?</v>
      </c>
      <c r="H2842" t="e">
        <f ca="1">IMAGE("https://m.media-amazon.com/images/I/61UGlQt0qKL._AC_UL320_.jpg")</f>
        <v>#NAME?</v>
      </c>
      <c r="I2842" t="s">
        <v>6979</v>
      </c>
      <c r="J2842">
        <v>71.58</v>
      </c>
      <c r="K2842" s="2" t="s">
        <v>6980</v>
      </c>
      <c r="L2842">
        <v>4.3</v>
      </c>
      <c r="M2842">
        <v>240</v>
      </c>
      <c r="O2842" t="s">
        <v>26</v>
      </c>
      <c r="P2842" t="s">
        <v>39</v>
      </c>
      <c r="Q2842" t="s">
        <v>6981</v>
      </c>
    </row>
    <row r="2843" spans="1:17" ht="15.75" x14ac:dyDescent="0.25">
      <c r="A2843" s="3" t="str">
        <f>HYPERLINK("https://prolisok-store.com/collections/skin-care/products/estee-lauder-advanced-night-repair-synchronized-multi-recovery-complex-unisex-1-7-oz", "https://prolisok-store.com/collections/skin-care/products/estee-lauder-advanced-night-repair-synchronized-multi-recovery-complex-unisex-1-7-oz")</f>
        <v>https://prolisok-store.com/collections/skin-care/products/estee-lauder-advanced-night-repair-synchronized-multi-recovery-complex-unisex-1-7-oz</v>
      </c>
      <c r="B2843"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2843" t="s">
        <v>4547</v>
      </c>
      <c r="D2843" t="s">
        <v>4547</v>
      </c>
      <c r="E2843" s="3" t="str">
        <f>HYPERLINK("https://www.amazon.com/Estee-Lauder-Advanced-Synchronized-Multi-Recovery/dp/B08DHQCGH9/ref=sr_1_1?keywords=Estee+Lauder+Advanced+Night+Repair+Synchronized+Multi-Recovery+Complex%2C+Unisex%2C+1.7+Oz&amp;qid=1695259592&amp;sr=8-1", "https://www.amazon.com/Estee-Lauder-Advanced-Synchronized-Multi-Recovery/dp/B08DHQCGH9/ref=sr_1_1?keywords=Estee+Lauder+Advanced+Night+Repair+Synchronized+Multi-Recovery+Complex%2C+Unisex%2C+1.7+Oz&amp;qid=1695259592&amp;sr=8-1")</f>
        <v>https://www.amazon.com/Estee-Lauder-Advanced-Synchronized-Multi-Recovery/dp/B08DHQCGH9/ref=sr_1_1?keywords=Estee+Lauder+Advanced+Night+Repair+Synchronized+Multi-Recovery+Complex%2C+Unisex%2C+1.7+Oz&amp;qid=1695259592&amp;sr=8-1</v>
      </c>
      <c r="F2843" t="s">
        <v>4958</v>
      </c>
      <c r="G2843" t="e">
        <f ca="1">IMAGE("https://prolisok-store.com/cdn/shop/files/511qVnU1eNL._SL1000_300x.jpg?v=1687507525")</f>
        <v>#NAME?</v>
      </c>
      <c r="H2843" t="e">
        <f ca="1">IMAGE("https://m.media-amazon.com/images/I/511qVnU1eNL._AC_UL320_.jpg")</f>
        <v>#NAME?</v>
      </c>
      <c r="I2843" t="s">
        <v>3476</v>
      </c>
      <c r="J2843">
        <v>44.1</v>
      </c>
      <c r="K2843" s="2" t="s">
        <v>4959</v>
      </c>
      <c r="L2843">
        <v>4.5</v>
      </c>
      <c r="M2843">
        <v>767</v>
      </c>
      <c r="O2843" t="s">
        <v>26</v>
      </c>
      <c r="P2843" t="s">
        <v>39</v>
      </c>
      <c r="Q2843" t="s">
        <v>4551</v>
      </c>
    </row>
    <row r="2844" spans="1:17" ht="15.75" x14ac:dyDescent="0.25">
      <c r="A2844" s="3" t="str">
        <f>HYPERLINK("https://prolisok-store.com/collections/skin-care/products/estee-lauder-advanced-night-repair-synchronized-multi-recovery-complex-unisex-1-7-oz", "https://prolisok-store.com/collections/skin-care/products/estee-lauder-advanced-night-repair-synchronized-multi-recovery-complex-unisex-1-7-oz")</f>
        <v>https://prolisok-store.com/collections/skin-care/products/estee-lauder-advanced-night-repair-synchronized-multi-recovery-complex-unisex-1-7-oz</v>
      </c>
      <c r="B2844"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2844" t="s">
        <v>4547</v>
      </c>
      <c r="D2844" t="s">
        <v>4960</v>
      </c>
      <c r="E2844" s="3" t="str">
        <f>HYPERLINK("https://www.amazon.com/Advanced-Estee-Lauder-Synchronized-Multi-Recovery/dp/B08DH979F7/ref=sr_1_2?keywords=Estee+Lauder+Advanced+Night+Repair+Synchronized+Multi-Recovery+Complex%2C+Unisex%2C+1.7+Oz&amp;qid=1695259592&amp;sr=8-2", "https://www.amazon.com/Advanced-Estee-Lauder-Synchronized-Multi-Recovery/dp/B08DH979F7/ref=sr_1_2?keywords=Estee+Lauder+Advanced+Night+Repair+Synchronized+Multi-Recovery+Complex%2C+Unisex%2C+1.7+Oz&amp;qid=1695259592&amp;sr=8-2")</f>
        <v>https://www.amazon.com/Advanced-Estee-Lauder-Synchronized-Multi-Recovery/dp/B08DH979F7/ref=sr_1_2?keywords=Estee+Lauder+Advanced+Night+Repair+Synchronized+Multi-Recovery+Complex%2C+Unisex%2C+1.7+Oz&amp;qid=1695259592&amp;sr=8-2</v>
      </c>
      <c r="F2844" t="s">
        <v>4961</v>
      </c>
      <c r="G2844" t="e">
        <f ca="1">IMAGE("https://prolisok-store.com/cdn/shop/files/511qVnU1eNL._SL1000_300x.jpg?v=1687507525")</f>
        <v>#NAME?</v>
      </c>
      <c r="H2844" t="e">
        <f ca="1">IMAGE("https://m.media-amazon.com/images/I/61i9RaRa2gL._AC_UL320_.jpg")</f>
        <v>#NAME?</v>
      </c>
      <c r="I2844" t="s">
        <v>3476</v>
      </c>
      <c r="J2844">
        <v>43.99</v>
      </c>
      <c r="K2844" s="2" t="s">
        <v>4962</v>
      </c>
      <c r="L2844">
        <v>4.5</v>
      </c>
      <c r="M2844">
        <v>112</v>
      </c>
      <c r="O2844" t="s">
        <v>26</v>
      </c>
      <c r="P2844" t="s">
        <v>39</v>
      </c>
      <c r="Q2844" t="s">
        <v>4551</v>
      </c>
    </row>
    <row r="2845" spans="1:17" ht="15.75" x14ac:dyDescent="0.25">
      <c r="A2845" s="3" t="str">
        <f>HYPERLINK("https://prolisok-store.com/collections/skin-care/products/clarins-men-super-moisture-gel-50ml-1-7oz", "https://prolisok-store.com/collections/skin-care/products/clarins-men-super-moisture-gel-50ml-1-7oz")</f>
        <v>https://prolisok-store.com/collections/skin-care/products/clarins-men-super-moisture-gel-50ml-1-7oz</v>
      </c>
      <c r="B2845" s="3" t="str">
        <f>HYPERLINK("https://prolisok-store.com/products/clarins-men-super-moisture-gel-50ml-1-7oz", "https://prolisok-store.com/products/clarins-men-super-moisture-gel-50ml-1-7oz")</f>
        <v>https://prolisok-store.com/products/clarins-men-super-moisture-gel-50ml-1-7oz</v>
      </c>
      <c r="C2845" t="s">
        <v>6982</v>
      </c>
      <c r="D2845" t="s">
        <v>6983</v>
      </c>
      <c r="E2845" s="3" t="str">
        <f>HYPERLINK("https://www.amazon.com/CLARINSMEN-Moisture-Hydrates-Mattifies-Energizes/dp/B096V2M8YV/ref=sr_1_1?keywords=Clarins+men+super+moisture+gel+50ml%2F1.7oz&amp;qid=1695259653&amp;sr=8-1", "https://www.amazon.com/CLARINSMEN-Moisture-Hydrates-Mattifies-Energizes/dp/B096V2M8YV/ref=sr_1_1?keywords=Clarins+men+super+moisture+gel+50ml%2F1.7oz&amp;qid=1695259653&amp;sr=8-1")</f>
        <v>https://www.amazon.com/CLARINSMEN-Moisture-Hydrates-Mattifies-Energizes/dp/B096V2M8YV/ref=sr_1_1?keywords=Clarins+men+super+moisture+gel+50ml%2F1.7oz&amp;qid=1695259653&amp;sr=8-1</v>
      </c>
      <c r="F2845" t="s">
        <v>6984</v>
      </c>
      <c r="G2845" t="e">
        <f ca="1">IMAGE("https://prolisok-store.com/cdn/shop/products/223908_300x.jpg?v=1693407016")</f>
        <v>#NAME?</v>
      </c>
      <c r="H2845" t="e">
        <f ca="1">IMAGE("https://m.media-amazon.com/images/I/51Pt67ggohL._AC_UL320_.jpg")</f>
        <v>#NAME?</v>
      </c>
      <c r="I2845" t="s">
        <v>6985</v>
      </c>
      <c r="J2845">
        <v>42</v>
      </c>
      <c r="K2845" s="2" t="s">
        <v>6986</v>
      </c>
      <c r="L2845">
        <v>4.5</v>
      </c>
      <c r="M2845">
        <v>83</v>
      </c>
      <c r="O2845" t="s">
        <v>26</v>
      </c>
      <c r="P2845" t="s">
        <v>39</v>
      </c>
      <c r="Q2845" t="s">
        <v>6987</v>
      </c>
    </row>
    <row r="2846" spans="1:17" ht="15.75" x14ac:dyDescent="0.25">
      <c r="A2846" s="3" t="str">
        <f>HYPERLINK("https://prolisok-store.com/collections/skin-care/products/clarins-men-super-moisture-balm-50ml-1-7oz", "https://prolisok-store.com/collections/skin-care/products/clarins-men-super-moisture-balm-50ml-1-7oz")</f>
        <v>https://prolisok-store.com/collections/skin-care/products/clarins-men-super-moisture-balm-50ml-1-7oz</v>
      </c>
      <c r="B2846" s="3" t="str">
        <f>HYPERLINK("https://prolisok-store.com/products/clarins-men-super-moisture-balm-50ml-1-7oz", "https://prolisok-store.com/products/clarins-men-super-moisture-balm-50ml-1-7oz")</f>
        <v>https://prolisok-store.com/products/clarins-men-super-moisture-balm-50ml-1-7oz</v>
      </c>
      <c r="C2846" t="s">
        <v>6988</v>
      </c>
      <c r="D2846" t="s">
        <v>6989</v>
      </c>
      <c r="E2846" s="3" t="str">
        <f>HYPERLINK("https://www.amazon.com/Clarins-CLARINSMEN-Super-Moisture-Ounces/dp/B0BNWMVW7M/ref=sr_1_1?keywords=Clarins+men+super+moisture+balm+50ml%2F1.7oz&amp;qid=1695259659&amp;sr=8-1", "https://www.amazon.com/Clarins-CLARINSMEN-Super-Moisture-Ounces/dp/B0BNWMVW7M/ref=sr_1_1?keywords=Clarins+men+super+moisture+balm+50ml%2F1.7oz&amp;qid=1695259659&amp;sr=8-1")</f>
        <v>https://www.amazon.com/Clarins-CLARINSMEN-Super-Moisture-Ounces/dp/B0BNWMVW7M/ref=sr_1_1?keywords=Clarins+men+super+moisture+balm+50ml%2F1.7oz&amp;qid=1695259659&amp;sr=8-1</v>
      </c>
      <c r="F2846" t="s">
        <v>6990</v>
      </c>
      <c r="G2846" t="e">
        <f ca="1">IMAGE("https://prolisok-store.com/cdn/shop/products/223999_300x.jpg?v=1693407018")</f>
        <v>#NAME?</v>
      </c>
      <c r="H2846" t="e">
        <f ca="1">IMAGE("https://m.media-amazon.com/images/I/61bs-1l9fWL._AC_UL320_.jpg")</f>
        <v>#NAME?</v>
      </c>
      <c r="I2846" t="s">
        <v>6985</v>
      </c>
      <c r="J2846">
        <v>42</v>
      </c>
      <c r="K2846" s="2" t="s">
        <v>6986</v>
      </c>
      <c r="L2846">
        <v>3.6</v>
      </c>
      <c r="M2846">
        <v>4</v>
      </c>
      <c r="O2846" t="s">
        <v>26</v>
      </c>
      <c r="P2846" t="s">
        <v>39</v>
      </c>
      <c r="Q2846" t="s">
        <v>6991</v>
      </c>
    </row>
    <row r="2847" spans="1:17" ht="15.75" x14ac:dyDescent="0.25">
      <c r="A2847" s="3" t="str">
        <f>HYPERLINK("https://prolisok-store.com/collections/skin-care/products/clarins-v-shaping-facial-lift-50ml-1-6oz", "https://prolisok-store.com/collections/skin-care/products/clarins-v-shaping-facial-lift-50ml-1-6oz")</f>
        <v>https://prolisok-store.com/collections/skin-care/products/clarins-v-shaping-facial-lift-50ml-1-6oz</v>
      </c>
      <c r="B2847" s="3" t="str">
        <f>HYPERLINK("https://prolisok-store.com/products/clarins-v-shaping-facial-lift-50ml-1-6oz", "https://prolisok-store.com/products/clarins-v-shaping-facial-lift-50ml-1-6oz")</f>
        <v>https://prolisok-store.com/products/clarins-v-shaping-facial-lift-50ml-1-6oz</v>
      </c>
      <c r="C2847" t="s">
        <v>6992</v>
      </c>
      <c r="D2847" t="s">
        <v>6993</v>
      </c>
      <c r="E2847" s="3" t="str">
        <f>HYPERLINK("https://www.amazon.com/Clarins-Shaping-Facial-Serum-Ounces/dp/B0BL1PYBLT/ref=sr_1_2?keywords=Clarins+v+shaping+facial+lift+50ml%2F1.6oz&amp;qid=1695259658&amp;sr=8-2", "https://www.amazon.com/Clarins-Shaping-Facial-Serum-Ounces/dp/B0BL1PYBLT/ref=sr_1_2?keywords=Clarins+v+shaping+facial+lift+50ml%2F1.6oz&amp;qid=1695259658&amp;sr=8-2")</f>
        <v>https://www.amazon.com/Clarins-Shaping-Facial-Serum-Ounces/dp/B0BL1PYBLT/ref=sr_1_2?keywords=Clarins+v+shaping+facial+lift+50ml%2F1.6oz&amp;qid=1695259658&amp;sr=8-2</v>
      </c>
      <c r="F2847" t="s">
        <v>6994</v>
      </c>
      <c r="G2847" t="e">
        <f ca="1">IMAGE("https://prolisok-store.com/cdn/shop/products/349104_300x.jpg?v=1693406928")</f>
        <v>#NAME?</v>
      </c>
      <c r="H2847" t="e">
        <f ca="1">IMAGE("https://m.media-amazon.com/images/I/61xNeqoGWKL._AC_UL320_.jpg")</f>
        <v>#NAME?</v>
      </c>
      <c r="I2847" t="s">
        <v>6995</v>
      </c>
      <c r="J2847">
        <v>86.59</v>
      </c>
      <c r="K2847" s="2" t="s">
        <v>6145</v>
      </c>
      <c r="L2847">
        <v>3.5</v>
      </c>
      <c r="M2847">
        <v>3</v>
      </c>
      <c r="O2847" t="s">
        <v>26</v>
      </c>
      <c r="P2847" t="s">
        <v>39</v>
      </c>
      <c r="Q2847" t="s">
        <v>6996</v>
      </c>
    </row>
    <row r="2848" spans="1:17" ht="15.75" x14ac:dyDescent="0.25">
      <c r="A2848" s="3" t="str">
        <f>HYPERLINK("https://prolisok-store.com/collections/skin-care/products/estee-lauder-re-nutriv-intensive-softening-lotion-250ml-8-4oz", "https://prolisok-store.com/collections/skin-care/products/estee-lauder-re-nutriv-intensive-softening-lotion-250ml-8-4oz")</f>
        <v>https://prolisok-store.com/collections/skin-care/products/estee-lauder-re-nutriv-intensive-softening-lotion-250ml-8-4oz</v>
      </c>
      <c r="B2848" s="3" t="str">
        <f>HYPERLINK("https://prolisok-store.com/products/estee-lauder-re-nutriv-intensive-softening-lotion-250ml-8-4oz", "https://prolisok-store.com/products/estee-lauder-re-nutriv-intensive-softening-lotion-250ml-8-4oz")</f>
        <v>https://prolisok-store.com/products/estee-lauder-re-nutriv-intensive-softening-lotion-250ml-8-4oz</v>
      </c>
      <c r="C2848" t="s">
        <v>6997</v>
      </c>
      <c r="D2848" t="s">
        <v>6998</v>
      </c>
      <c r="E2848" s="3" t="str">
        <f>HYPERLINK("https://www.amazon.com/Re-Nutriv-Intensive-Softening-Lotion-250ml/dp/B00EXW0DAS/ref=sr_1_1?keywords=Estee+Lauder+re-nutriv+intensive+softening+lotion+250ml%2F8.4oz&amp;qid=1695259686&amp;sr=8-1", "https://www.amazon.com/Re-Nutriv-Intensive-Softening-Lotion-250ml/dp/B00EXW0DAS/ref=sr_1_1?keywords=Estee+Lauder+re-nutriv+intensive+softening+lotion+250ml%2F8.4oz&amp;qid=1695259686&amp;sr=8-1")</f>
        <v>https://www.amazon.com/Re-Nutriv-Intensive-Softening-Lotion-250ml/dp/B00EXW0DAS/ref=sr_1_1?keywords=Estee+Lauder+re-nutriv+intensive+softening+lotion+250ml%2F8.4oz&amp;qid=1695259686&amp;sr=8-1</v>
      </c>
      <c r="F2848" t="s">
        <v>6999</v>
      </c>
      <c r="G2848" t="e">
        <f ca="1">IMAGE("https://prolisok-store.com/cdn/shop/products/134256_300x.jpg?v=1690900224")</f>
        <v>#NAME?</v>
      </c>
      <c r="H2848" t="e">
        <f ca="1">IMAGE("https://m.media-amazon.com/images/I/51sS3zcdw9L._AC_UL320_.jpg")</f>
        <v>#NAME?</v>
      </c>
      <c r="I2848" t="s">
        <v>7000</v>
      </c>
      <c r="J2848">
        <v>75.650000000000006</v>
      </c>
      <c r="K2848" s="2" t="s">
        <v>7001</v>
      </c>
      <c r="L2848">
        <v>5</v>
      </c>
      <c r="M2848">
        <v>13</v>
      </c>
      <c r="O2848" t="s">
        <v>26</v>
      </c>
      <c r="P2848" t="s">
        <v>39</v>
      </c>
      <c r="Q2848" t="s">
        <v>7002</v>
      </c>
    </row>
    <row r="2849" spans="1:17" ht="15.75" x14ac:dyDescent="0.25">
      <c r="A2849" s="3" t="str">
        <f>HYPERLINK("https://prolisok-store.com/collections/skin-care/products/sisley-phyto-teint-ultra-eclat-4-cinnamon-30ml-1oz", "https://prolisok-store.com/collections/skin-care/products/sisley-phyto-teint-ultra-eclat-4-cinnamon-30ml-1oz")</f>
        <v>https://prolisok-store.com/collections/skin-care/products/sisley-phyto-teint-ultra-eclat-4-cinnamon-30ml-1oz</v>
      </c>
      <c r="B2849" s="3" t="str">
        <f>HYPERLINK("https://prolisok-store.com/products/sisley-phyto-teint-ultra-eclat-4-cinnamon-30ml-1oz", "https://prolisok-store.com/products/sisley-phyto-teint-ultra-eclat-4-cinnamon-30ml-1oz")</f>
        <v>https://prolisok-store.com/products/sisley-phyto-teint-ultra-eclat-4-cinnamon-30ml-1oz</v>
      </c>
      <c r="C2849" t="s">
        <v>6250</v>
      </c>
      <c r="D2849" t="s">
        <v>6270</v>
      </c>
      <c r="E2849" s="3" t="str">
        <f>HYPERLINK("https://www.amazon.com/Sisley-Phyto-Teint-Ultra-Lasting-Foundation/dp/B07XG2W8ML/ref=sr_1_2?keywords=Sisley+phyto+teint+ultra+eclat&amp;qid=1695259720&amp;sr=8-2", "https://www.amazon.com/Sisley-Phyto-Teint-Ultra-Lasting-Foundation/dp/B07XG2W8ML/ref=sr_1_2?keywords=Sisley+phyto+teint+ultra+eclat&amp;qid=1695259720&amp;sr=8-2")</f>
        <v>https://www.amazon.com/Sisley-Phyto-Teint-Ultra-Lasting-Foundation/dp/B07XG2W8ML/ref=sr_1_2?keywords=Sisley+phyto+teint+ultra+eclat&amp;qid=1695259720&amp;sr=8-2</v>
      </c>
      <c r="F2849" t="s">
        <v>6271</v>
      </c>
      <c r="G2849" t="e">
        <f ca="1">IMAGE("https://prolisok-store.com/cdn/shop/products/346278_300x.jpg?v=1690900739")</f>
        <v>#NAME?</v>
      </c>
      <c r="H2849" t="e">
        <f ca="1">IMAGE("https://m.media-amazon.com/images/I/61Y+1yPUoRL._AC_UL320_.jpg")</f>
        <v>#NAME?</v>
      </c>
      <c r="I2849" t="s">
        <v>6137</v>
      </c>
      <c r="J2849">
        <v>91.95</v>
      </c>
      <c r="K2849" s="2" t="s">
        <v>7003</v>
      </c>
      <c r="L2849">
        <v>5</v>
      </c>
      <c r="M2849">
        <v>7</v>
      </c>
      <c r="O2849" t="s">
        <v>26</v>
      </c>
      <c r="P2849" t="s">
        <v>39</v>
      </c>
      <c r="Q2849" t="s">
        <v>6253</v>
      </c>
    </row>
    <row r="2850" spans="1:17" ht="15.75" x14ac:dyDescent="0.25">
      <c r="A2850" s="3" t="str">
        <f>HYPERLINK("https://prolisok-store.com/collections/skin-care/products/clarins-men-line-control-balm-50ml-1-7oz", "https://prolisok-store.com/collections/skin-care/products/clarins-men-line-control-balm-50ml-1-7oz")</f>
        <v>https://prolisok-store.com/collections/skin-care/products/clarins-men-line-control-balm-50ml-1-7oz</v>
      </c>
      <c r="B2850" s="3" t="str">
        <f>HYPERLINK("https://prolisok-store.com/products/clarins-men-line-control-balm-50ml-1-7oz", "https://prolisok-store.com/products/clarins-men-line-control-balm-50ml-1-7oz")</f>
        <v>https://prolisok-store.com/products/clarins-men-line-control-balm-50ml-1-7oz</v>
      </c>
      <c r="C2850" t="s">
        <v>7004</v>
      </c>
      <c r="D2850" t="s">
        <v>7005</v>
      </c>
      <c r="E2850" s="3" t="str">
        <f>HYPERLINK("https://www.amazon.com/Line-Control-BalmAnti-Aging-Moisturizer-WrinklesNon-Greasy-LightweightDermatologist/dp/B09JWYRLD6/ref=sr_1_1?keywords=Clarins+men+line+control+balm+50ml%2F1.7oz&amp;qid=1695259638&amp;sr=8-1", "https://www.amazon.com/Line-Control-BalmAnti-Aging-Moisturizer-WrinklesNon-Greasy-LightweightDermatologist/dp/B09JWYRLD6/ref=sr_1_1?keywords=Clarins+men+line+control+balm+50ml%2F1.7oz&amp;qid=1695259638&amp;sr=8-1")</f>
        <v>https://www.amazon.com/Line-Control-BalmAnti-Aging-Moisturizer-WrinklesNon-Greasy-LightweightDermatologist/dp/B09JWYRLD6/ref=sr_1_1?keywords=Clarins+men+line+control+balm+50ml%2F1.7oz&amp;qid=1695259638&amp;sr=8-1</v>
      </c>
      <c r="F2850" t="s">
        <v>7006</v>
      </c>
      <c r="G2850" t="e">
        <f ca="1">IMAGE("https://prolisok-store.com/cdn/shop/products/188425_300x.jpg?v=1693407043")</f>
        <v>#NAME?</v>
      </c>
      <c r="H2850" t="e">
        <f ca="1">IMAGE("https://m.media-amazon.com/images/I/61rFPLY9hqL._AC_UL320_.jpg")</f>
        <v>#NAME?</v>
      </c>
      <c r="I2850" t="s">
        <v>7007</v>
      </c>
      <c r="J2850">
        <v>62</v>
      </c>
      <c r="K2850" s="2" t="s">
        <v>7008</v>
      </c>
      <c r="L2850">
        <v>4.5</v>
      </c>
      <c r="M2850">
        <v>24</v>
      </c>
      <c r="O2850" t="s">
        <v>26</v>
      </c>
      <c r="P2850" t="s">
        <v>39</v>
      </c>
      <c r="Q2850" t="s">
        <v>7009</v>
      </c>
    </row>
    <row r="2851" spans="1:17" ht="15.75" x14ac:dyDescent="0.25">
      <c r="A2851" s="3" t="str">
        <f>HYPERLINK("https://prolisok-store.com/collections/skin-care/products/clarins-men-line-control-cream-for-dry-skin-50ml-1-7oz", "https://prolisok-store.com/collections/skin-care/products/clarins-men-line-control-cream-for-dry-skin-50ml-1-7oz")</f>
        <v>https://prolisok-store.com/collections/skin-care/products/clarins-men-line-control-cream-for-dry-skin-50ml-1-7oz</v>
      </c>
      <c r="B2851" s="3" t="str">
        <f>HYPERLINK("https://prolisok-store.com/products/clarins-men-line-control-cream-for-dry-skin-50ml-1-7oz", "https://prolisok-store.com/products/clarins-men-line-control-cream-for-dry-skin-50ml-1-7oz")</f>
        <v>https://prolisok-store.com/products/clarins-men-line-control-cream-for-dry-skin-50ml-1-7oz</v>
      </c>
      <c r="C2851" t="s">
        <v>7010</v>
      </c>
      <c r="D2851" t="s">
        <v>7011</v>
      </c>
      <c r="E2851" s="3" t="str">
        <f>HYPERLINK("https://www.amazon.com/Line-Control-CreamAnti-Aging-Moisturizer-ChinVisibly-WrinklesHydratingNon-GreasyDermatologist/dp/B097JQMJFZ/ref=sr_1_1?keywords=clarins+men+line+control+cream+for+dry+skin+50ml%2F1.7oz&amp;qid=1695259647&amp;sr=8-1", "https://www.amazon.com/Line-Control-CreamAnti-Aging-Moisturizer-ChinVisibly-WrinklesHydratingNon-GreasyDermatologist/dp/B097JQMJFZ/ref=sr_1_1?keywords=clarins+men+line+control+cream+for+dry+skin+50ml%2F1.7oz&amp;qid=1695259647&amp;sr=8-1")</f>
        <v>https://www.amazon.com/Line-Control-CreamAnti-Aging-Moisturizer-ChinVisibly-WrinklesHydratingNon-GreasyDermatologist/dp/B097JQMJFZ/ref=sr_1_1?keywords=clarins+men+line+control+cream+for+dry+skin+50ml%2F1.7oz&amp;qid=1695259647&amp;sr=8-1</v>
      </c>
      <c r="F2851" t="s">
        <v>7012</v>
      </c>
      <c r="G2851" t="e">
        <f ca="1">IMAGE("https://prolisok-store.com/cdn/shop/products/295542_300x.jpg?v=1693406943")</f>
        <v>#NAME?</v>
      </c>
      <c r="H2851" t="e">
        <f ca="1">IMAGE("https://m.media-amazon.com/images/I/61+LQcuZ+CL._AC_UL320_.jpg")</f>
        <v>#NAME?</v>
      </c>
      <c r="I2851" t="s">
        <v>5990</v>
      </c>
      <c r="J2851">
        <v>62</v>
      </c>
      <c r="K2851" s="2" t="s">
        <v>7013</v>
      </c>
      <c r="L2851">
        <v>4.3</v>
      </c>
      <c r="M2851">
        <v>29</v>
      </c>
      <c r="O2851" t="s">
        <v>26</v>
      </c>
      <c r="P2851" t="s">
        <v>39</v>
      </c>
      <c r="Q2851" t="s">
        <v>7014</v>
      </c>
    </row>
    <row r="2852" spans="1:17" ht="15.75" x14ac:dyDescent="0.25">
      <c r="A2852" s="3" t="str">
        <f>HYPERLINK("https://prolisok-store.com/collections/skin-care/products/clinique-by-clinique-chubby-lash-fattening-mascara-01-jumbo-jet-10ml-0-4oz", "https://prolisok-store.com/collections/skin-care/products/clinique-by-clinique-chubby-lash-fattening-mascara-01-jumbo-jet-10ml-0-4oz")</f>
        <v>https://prolisok-store.com/collections/skin-care/products/clinique-by-clinique-chubby-lash-fattening-mascara-01-jumbo-jet-10ml-0-4oz</v>
      </c>
      <c r="B2852"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852" t="s">
        <v>6208</v>
      </c>
      <c r="D2852" t="s">
        <v>6209</v>
      </c>
      <c r="E2852" s="3" t="str">
        <f>HYPERLINK("https://www.amazon.com/Clinique-Chubby-Lash-Fattening-Mascara/dp/B0093OJWTO/ref=sr_1_4?keywords=Clinique+chubby+lash+fattening+mascara+-&amp;qid=1695259697&amp;sr=8-4", "https://www.amazon.com/Clinique-Chubby-Lash-Fattening-Mascara/dp/B0093OJWTO/ref=sr_1_4?keywords=Clinique+chubby+lash+fattening+mascara+-&amp;qid=1695259697&amp;sr=8-4")</f>
        <v>https://www.amazon.com/Clinique-Chubby-Lash-Fattening-Mascara/dp/B0093OJWTO/ref=sr_1_4?keywords=Clinique+chubby+lash+fattening+mascara+-&amp;qid=1695259697&amp;sr=8-4</v>
      </c>
      <c r="F2852" t="s">
        <v>6210</v>
      </c>
      <c r="G2852" t="e">
        <f ca="1">IMAGE("https://prolisok-store.com/cdn/shop/files/B-MRKTS-1062_300x.png?v=1690307144")</f>
        <v>#NAME?</v>
      </c>
      <c r="H2852" t="e">
        <f ca="1">IMAGE("https://m.media-amazon.com/images/I/61EDa9mYriL._AC_UL320_.jpg")</f>
        <v>#NAME?</v>
      </c>
      <c r="I2852" t="s">
        <v>6000</v>
      </c>
      <c r="J2852">
        <v>23.99</v>
      </c>
      <c r="K2852" s="2" t="s">
        <v>6211</v>
      </c>
      <c r="L2852">
        <v>4.5</v>
      </c>
      <c r="M2852">
        <v>35</v>
      </c>
      <c r="O2852" t="s">
        <v>26</v>
      </c>
      <c r="P2852" t="s">
        <v>39</v>
      </c>
      <c r="Q2852" t="s">
        <v>6212</v>
      </c>
    </row>
    <row r="2853" spans="1:17" ht="15.75" x14ac:dyDescent="0.25">
      <c r="A2853" s="3" t="str">
        <f>HYPERLINK("https://prolisok-store.com/collections/skin-care/products/clinique-by-clinique-chubby-lash-fattening-mascara-01-jumbo-jet-10ml-0-4oz", "https://prolisok-store.com/collections/skin-care/products/clinique-by-clinique-chubby-lash-fattening-mascara-01-jumbo-jet-10ml-0-4oz")</f>
        <v>https://prolisok-store.com/collections/skin-care/products/clinique-by-clinique-chubby-lash-fattening-mascara-01-jumbo-jet-10ml-0-4oz</v>
      </c>
      <c r="B2853"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853" t="s">
        <v>6208</v>
      </c>
      <c r="D2853" t="s">
        <v>6235</v>
      </c>
      <c r="E2853" s="3" t="str">
        <f>HYPERLINK("https://www.amazon.com/Clinique-Womens-Chubby-Fattening-Mascara/dp/B01BU5DYLA/ref=sr_1_3?keywords=Clinique+chubby+lash+fattening+mascara+-&amp;qid=1695259697&amp;sr=8-3", "https://www.amazon.com/Clinique-Womens-Chubby-Fattening-Mascara/dp/B01BU5DYLA/ref=sr_1_3?keywords=Clinique+chubby+lash+fattening+mascara+-&amp;qid=1695259697&amp;sr=8-3")</f>
        <v>https://www.amazon.com/Clinique-Womens-Chubby-Fattening-Mascara/dp/B01BU5DYLA/ref=sr_1_3?keywords=Clinique+chubby+lash+fattening+mascara+-&amp;qid=1695259697&amp;sr=8-3</v>
      </c>
      <c r="F2853" t="s">
        <v>6236</v>
      </c>
      <c r="G2853" t="e">
        <f ca="1">IMAGE("https://prolisok-store.com/cdn/shop/files/B-MRKTS-1062_300x.png?v=1690307144")</f>
        <v>#NAME?</v>
      </c>
      <c r="H2853" t="e">
        <f ca="1">IMAGE("https://m.media-amazon.com/images/I/41nx-xONSaL._AC_UL320_.jpg")</f>
        <v>#NAME?</v>
      </c>
      <c r="I2853" t="s">
        <v>6000</v>
      </c>
      <c r="J2853">
        <v>23.66</v>
      </c>
      <c r="K2853" s="2" t="s">
        <v>7015</v>
      </c>
      <c r="L2853">
        <v>4.5999999999999996</v>
      </c>
      <c r="M2853">
        <v>709</v>
      </c>
      <c r="O2853" t="s">
        <v>26</v>
      </c>
      <c r="P2853" t="s">
        <v>39</v>
      </c>
      <c r="Q2853" t="s">
        <v>6212</v>
      </c>
    </row>
    <row r="2854" spans="1:17" ht="15.75" x14ac:dyDescent="0.25">
      <c r="A2854" s="3" t="str">
        <f>HYPERLINK("https://prolisok-store.com/collections/skin-care/products/clarins-comfort-scrub-nourishing-oil-scrub-50ml-1-7oz", "https://prolisok-store.com/collections/skin-care/products/clarins-comfort-scrub-nourishing-oil-scrub-50ml-1-7oz")</f>
        <v>https://prolisok-store.com/collections/skin-care/products/clarins-comfort-scrub-nourishing-oil-scrub-50ml-1-7oz</v>
      </c>
      <c r="B2854" s="3" t="str">
        <f>HYPERLINK("https://prolisok-store.com/products/clarins-comfort-scrub-nourishing-oil-scrub-50ml-1-7oz", "https://prolisok-store.com/products/clarins-comfort-scrub-nourishing-oil-scrub-50ml-1-7oz")</f>
        <v>https://prolisok-store.com/products/clarins-comfort-scrub-nourishing-oil-scrub-50ml-1-7oz</v>
      </c>
      <c r="C2854" t="s">
        <v>7016</v>
      </c>
      <c r="D2854" t="s">
        <v>7017</v>
      </c>
      <c r="E2854" s="3" t="str">
        <f>HYPERLINK("https://www.amazon.com/Clarins-Comfort-Scrub-Sugar-Microcrystals/dp/B07TVZ7JXH/ref=sr_1_1?keywords=Clarins+comfort+scrub+nourishing+oil+scrub+50ml%2F1.7oz&amp;qid=1695259610&amp;sr=8-1", "https://www.amazon.com/Clarins-Comfort-Scrub-Sugar-Microcrystals/dp/B07TVZ7JXH/ref=sr_1_1?keywords=Clarins+comfort+scrub+nourishing+oil+scrub+50ml%2F1.7oz&amp;qid=1695259610&amp;sr=8-1")</f>
        <v>https://www.amazon.com/Clarins-Comfort-Scrub-Sugar-Microcrystals/dp/B07TVZ7JXH/ref=sr_1_1?keywords=Clarins+comfort+scrub+nourishing+oil+scrub+50ml%2F1.7oz&amp;qid=1695259610&amp;sr=8-1</v>
      </c>
      <c r="F2854" t="s">
        <v>7018</v>
      </c>
      <c r="G2854" t="e">
        <f ca="1">IMAGE("https://prolisok-store.com/cdn/shop/products/343835_300x.jpg?v=1693406936")</f>
        <v>#NAME?</v>
      </c>
      <c r="H2854" t="e">
        <f ca="1">IMAGE("https://m.media-amazon.com/images/I/61w9yvg9AGL._AC_UL320_.jpg")</f>
        <v>#NAME?</v>
      </c>
      <c r="I2854" t="s">
        <v>6129</v>
      </c>
      <c r="J2854">
        <v>30</v>
      </c>
      <c r="K2854" s="2" t="s">
        <v>5562</v>
      </c>
      <c r="L2854">
        <v>4.5</v>
      </c>
      <c r="M2854">
        <v>144</v>
      </c>
      <c r="O2854" t="s">
        <v>26</v>
      </c>
      <c r="P2854" t="s">
        <v>39</v>
      </c>
      <c r="Q2854" t="s">
        <v>7019</v>
      </c>
    </row>
    <row r="2855" spans="1:17" ht="15.75" x14ac:dyDescent="0.25">
      <c r="A2855" s="3" t="str">
        <f>HYPERLINK("https://prolisok-store.com/collections/skin-care/products/hyaluronic-acid-intensifier-h-a", "https://prolisok-store.com/collections/skin-care/products/hyaluronic-acid-intensifier-h-a")</f>
        <v>https://prolisok-store.com/collections/skin-care/products/hyaluronic-acid-intensifier-h-a</v>
      </c>
      <c r="B2855" s="3" t="str">
        <f>HYPERLINK("https://prolisok-store.com/products/hyaluronic-acid-intensifier-h-a", "https://prolisok-store.com/products/hyaluronic-acid-intensifier-h-a")</f>
        <v>https://prolisok-store.com/products/hyaluronic-acid-intensifier-h-a</v>
      </c>
      <c r="C2855" t="s">
        <v>4996</v>
      </c>
      <c r="D2855" t="s">
        <v>5085</v>
      </c>
      <c r="E2855" s="3" t="str">
        <f>HYPERLINK("https://www.amazon.com/MATRIXYL-3000-ARGIRELINE-Vitamin-Hyaluronic/dp/B01GVYEMUM/ref=sr_1_9?keywords=Hyaluronic+acid+intensifier+%28H.A.%29&amp;qid=1695259599&amp;sr=8-9", "https://www.amazon.com/MATRIXYL-3000-ARGIRELINE-Vitamin-Hyaluronic/dp/B01GVYEMUM/ref=sr_1_9?keywords=Hyaluronic+acid+intensifier+%28H.A.%29&amp;qid=1695259599&amp;sr=8-9")</f>
        <v>https://www.amazon.com/MATRIXYL-3000-ARGIRELINE-Vitamin-Hyaluronic/dp/B01GVYEMUM/ref=sr_1_9?keywords=Hyaluronic+acid+intensifier+%28H.A.%29&amp;qid=1695259599&amp;sr=8-9</v>
      </c>
      <c r="F2855" t="s">
        <v>5086</v>
      </c>
      <c r="G2855" t="e">
        <f ca="1">IMAGE("https://prolisok-store.com/cdn/shop/products/H-A-Intesifier-3606000436367-Main-SkinCeuticals_300x.webp?v=1681297360")</f>
        <v>#NAME?</v>
      </c>
      <c r="H2855" t="e">
        <f ca="1">IMAGE("https://m.media-amazon.com/images/I/512BO00IOxL._AC_UL320_.jpg")</f>
        <v>#NAME?</v>
      </c>
      <c r="I2855" t="s">
        <v>4346</v>
      </c>
      <c r="J2855">
        <v>49.99</v>
      </c>
      <c r="K2855" s="2" t="s">
        <v>3459</v>
      </c>
      <c r="L2855">
        <v>4.4000000000000004</v>
      </c>
      <c r="M2855">
        <v>7587</v>
      </c>
      <c r="O2855" t="s">
        <v>26</v>
      </c>
      <c r="P2855" t="s">
        <v>2482</v>
      </c>
      <c r="Q2855" t="s">
        <v>5000</v>
      </c>
    </row>
    <row r="2856" spans="1:17" ht="15.75" x14ac:dyDescent="0.25">
      <c r="A2856" s="3" t="str">
        <f>HYPERLINK("https://prolisok-store.com/collections/skin-care/products/soir-de-lune-by-sisley-body-cream-5-oz", "https://prolisok-store.com/collections/skin-care/products/soir-de-lune-by-sisley-body-cream-5-oz")</f>
        <v>https://prolisok-store.com/collections/skin-care/products/soir-de-lune-by-sisley-body-cream-5-oz</v>
      </c>
      <c r="B2856" s="3" t="str">
        <f>HYPERLINK("https://prolisok-store.com/products/soir-de-lune-by-sisley-body-cream-5-oz", "https://prolisok-store.com/products/soir-de-lune-by-sisley-body-cream-5-oz")</f>
        <v>https://prolisok-store.com/products/soir-de-lune-by-sisley-body-cream-5-oz</v>
      </c>
      <c r="C2856" t="s">
        <v>6796</v>
      </c>
      <c r="D2856" t="s">
        <v>7020</v>
      </c>
      <c r="E2856" s="3" t="str">
        <f>HYPERLINK("https://www.amazon.com/Sisley-Moisturizing-Perfumed-Cream-Ounce/dp/B001SL4HM2/ref=sr_1_1?keywords=Soir+de+lune+by+sisley+body+cream+5+oz&amp;qid=1695259689&amp;sr=8-1", "https://www.amazon.com/Sisley-Moisturizing-Perfumed-Cream-Ounce/dp/B001SL4HM2/ref=sr_1_1?keywords=Soir+de+lune+by+sisley+body+cream+5+oz&amp;qid=1695259689&amp;sr=8-1")</f>
        <v>https://www.amazon.com/Sisley-Moisturizing-Perfumed-Cream-Ounce/dp/B001SL4HM2/ref=sr_1_1?keywords=Soir+de+lune+by+sisley+body+cream+5+oz&amp;qid=1695259689&amp;sr=8-1</v>
      </c>
      <c r="F2856" t="s">
        <v>7021</v>
      </c>
      <c r="G2856" t="e">
        <f ca="1">IMAGE("https://prolisok-store.com/cdn/shop/products/203574_300x.jpg?v=1690901025")</f>
        <v>#NAME?</v>
      </c>
      <c r="H2856" t="e">
        <f ca="1">IMAGE("https://m.media-amazon.com/images/I/61j0tbItpUL._AC_UL320_.jpg")</f>
        <v>#NAME?</v>
      </c>
      <c r="I2856" t="s">
        <v>6799</v>
      </c>
      <c r="J2856">
        <v>114.95</v>
      </c>
      <c r="K2856" s="2" t="s">
        <v>7022</v>
      </c>
      <c r="L2856">
        <v>4.5</v>
      </c>
      <c r="M2856">
        <v>24</v>
      </c>
      <c r="O2856" t="s">
        <v>26</v>
      </c>
      <c r="P2856" t="s">
        <v>39</v>
      </c>
      <c r="Q2856" t="s">
        <v>6801</v>
      </c>
    </row>
    <row r="2857" spans="1:17" ht="15.75" x14ac:dyDescent="0.25">
      <c r="A2857" s="3" t="str">
        <f>HYPERLINK("https://prolisok-store.com/collections/skin-care/products/elizabeth-arden-advanced-ceramide-capsules-daily-youth-restoring-serum-and-eye-serum-limited-edition-2x30caps", "https://prolisok-store.com/collections/skin-care/products/elizabeth-arden-advanced-ceramide-capsules-daily-youth-restoring-serum-and-eye-serum-limited-edition-2x30caps")</f>
        <v>https://prolisok-store.com/collections/skin-care/products/elizabeth-arden-advanced-ceramide-capsules-daily-youth-restoring-serum-and-eye-serum-limited-edition-2x30caps</v>
      </c>
      <c r="B2857" s="3" t="str">
        <f>HYPERLINK("https://prolisok-store.com/products/elizabeth-arden-advanced-ceramide-capsules-daily-youth-restoring-serum-and-eye-serum-limited-edition-2x30caps", "https://prolisok-store.com/products/elizabeth-arden-advanced-ceramide-capsules-daily-youth-restoring-serum-and-eye-serum-limited-edition-2x30caps")</f>
        <v>https://prolisok-store.com/products/elizabeth-arden-advanced-ceramide-capsules-daily-youth-restoring-serum-and-eye-serum-limited-edition-2x30caps</v>
      </c>
      <c r="C2857" t="s">
        <v>7023</v>
      </c>
      <c r="D2857" t="s">
        <v>4955</v>
      </c>
      <c r="E2857" s="3" t="str">
        <f>HYPERLINK("https://www.amazon.com/Elizabeth-Arden-Advanced-Ceramide-Restoring/dp/B072C3KZ48/ref=sr_1_2?keywords=Elizabeth+Arden+advanced+ceramide+capsules+daily+youth+restoring+serum+%26+eye+serum+%28limited+edition%29+2x30caps&amp;qid=1695259655&amp;sr=8-2", "https://www.amazon.com/Elizabeth-Arden-Advanced-Ceramide-Restoring/dp/B072C3KZ48/ref=sr_1_2?keywords=Elizabeth+Arden+advanced+ceramide+capsules+daily+youth+restoring+serum+%26+eye+serum+%28limited+edition%29+2x30caps&amp;qid=1695259655&amp;sr=8-2")</f>
        <v>https://www.amazon.com/Elizabeth-Arden-Advanced-Ceramide-Restoring/dp/B072C3KZ48/ref=sr_1_2?keywords=Elizabeth+Arden+advanced+ceramide+capsules+daily+youth+restoring+serum+%26+eye+serum+%28limited+edition%29+2x30caps&amp;qid=1695259655&amp;sr=8-2</v>
      </c>
      <c r="F2857" t="s">
        <v>4956</v>
      </c>
      <c r="G2857" t="e">
        <f ca="1">IMAGE("https://prolisok-store.com/cdn/shop/products/362461_300x.jpg?v=1693407246")</f>
        <v>#NAME?</v>
      </c>
      <c r="H2857" t="e">
        <f ca="1">IMAGE("https://m.media-amazon.com/images/I/81ZrMgDNsPL._AC_UL320_.jpg")</f>
        <v>#NAME?</v>
      </c>
      <c r="I2857" t="s">
        <v>7024</v>
      </c>
      <c r="J2857">
        <v>67</v>
      </c>
      <c r="K2857" s="2" t="s">
        <v>7025</v>
      </c>
      <c r="L2857">
        <v>4.3</v>
      </c>
      <c r="M2857">
        <v>583</v>
      </c>
      <c r="O2857" t="s">
        <v>26</v>
      </c>
      <c r="P2857" t="s">
        <v>39</v>
      </c>
      <c r="Q2857" t="s">
        <v>7026</v>
      </c>
    </row>
    <row r="2858" spans="1:17" ht="15.75" x14ac:dyDescent="0.25">
      <c r="A2858" s="3" t="str">
        <f>HYPERLINK("https://prolisok-store.com/collections/skin-care/products/sisley-phyto-blanc-ultra-lightening-mask-60ml-2oz", "https://prolisok-store.com/collections/skin-care/products/sisley-phyto-blanc-ultra-lightening-mask-60ml-2oz")</f>
        <v>https://prolisok-store.com/collections/skin-care/products/sisley-phyto-blanc-ultra-lightening-mask-60ml-2oz</v>
      </c>
      <c r="B2858" s="3" t="str">
        <f>HYPERLINK("https://prolisok-store.com/products/sisley-phyto-blanc-ultra-lightening-mask-60ml-2oz", "https://prolisok-store.com/products/sisley-phyto-blanc-ultra-lightening-mask-60ml-2oz")</f>
        <v>https://prolisok-store.com/products/sisley-phyto-blanc-ultra-lightening-mask-60ml-2oz</v>
      </c>
      <c r="C2858" t="s">
        <v>7027</v>
      </c>
      <c r="D2858" t="s">
        <v>7028</v>
      </c>
      <c r="E2858" s="3" t="str">
        <f>HYPERLINK("https://www.amazon.com/Sisley-Phyto-Blanc-Ultra-Lightening-2-2oz/dp/B002AMUGO6/ref=sr_1_2?keywords=Sisley+phyto-blanc+ultra+lightening+mask+60ml%2F2oz&amp;qid=1695259693&amp;sr=8-2", "https://www.amazon.com/Sisley-Phyto-Blanc-Ultra-Lightening-2-2oz/dp/B002AMUGO6/ref=sr_1_2?keywords=Sisley+phyto-blanc+ultra+lightening+mask+60ml%2F2oz&amp;qid=1695259693&amp;sr=8-2")</f>
        <v>https://www.amazon.com/Sisley-Phyto-Blanc-Ultra-Lightening-2-2oz/dp/B002AMUGO6/ref=sr_1_2?keywords=Sisley+phyto-blanc+ultra+lightening+mask+60ml%2F2oz&amp;qid=1695259693&amp;sr=8-2</v>
      </c>
      <c r="F2858" t="s">
        <v>7029</v>
      </c>
      <c r="G2858" t="e">
        <f ca="1">IMAGE("https://prolisok-store.com/cdn/shop/products/146240_300x.jpg?v=1690900879")</f>
        <v>#NAME?</v>
      </c>
      <c r="H2858" t="e">
        <f ca="1">IMAGE("https://m.media-amazon.com/images/I/71Oxjngd1uL._AC_UL320_.jpg")</f>
        <v>#NAME?</v>
      </c>
      <c r="I2858" t="s">
        <v>7030</v>
      </c>
      <c r="J2858">
        <v>134</v>
      </c>
      <c r="K2858" s="2" t="s">
        <v>7025</v>
      </c>
      <c r="L2858">
        <v>4.2</v>
      </c>
      <c r="M2858">
        <v>9</v>
      </c>
      <c r="O2858" t="s">
        <v>26</v>
      </c>
      <c r="P2858" t="s">
        <v>39</v>
      </c>
      <c r="Q2858" t="s">
        <v>7031</v>
      </c>
    </row>
    <row r="2859" spans="1:17" ht="15.75" x14ac:dyDescent="0.25">
      <c r="A2859" s="3" t="str">
        <f>HYPERLINK("https://prolisok-store.com/collections/skin-care/products/sisley-phyto-teint-ultra-eclat-4-cinnamon-30ml-1oz", "https://prolisok-store.com/collections/skin-care/products/sisley-phyto-teint-ultra-eclat-4-cinnamon-30ml-1oz")</f>
        <v>https://prolisok-store.com/collections/skin-care/products/sisley-phyto-teint-ultra-eclat-4-cinnamon-30ml-1oz</v>
      </c>
      <c r="B2859" s="3" t="str">
        <f>HYPERLINK("https://prolisok-store.com/products/sisley-phyto-teint-ultra-eclat-4-cinnamon-30ml-1oz", "https://prolisok-store.com/products/sisley-phyto-teint-ultra-eclat-4-cinnamon-30ml-1oz")</f>
        <v>https://prolisok-store.com/products/sisley-phyto-teint-ultra-eclat-4-cinnamon-30ml-1oz</v>
      </c>
      <c r="C2859" t="s">
        <v>6250</v>
      </c>
      <c r="D2859" t="s">
        <v>6251</v>
      </c>
      <c r="E2859" s="3" t="str">
        <f>HYPERLINK("https://www.amazon.com/Sisley-Phyto-Teint-Lasting-Foundation-Natural/dp/B07XG1V9RY/ref=sr_1_3?keywords=Sisley+phyto+teint+ultra+eclat&amp;qid=1695259720&amp;sr=8-3", "https://www.amazon.com/Sisley-Phyto-Teint-Lasting-Foundation-Natural/dp/B07XG1V9RY/ref=sr_1_3?keywords=Sisley+phyto+teint+ultra+eclat&amp;qid=1695259720&amp;sr=8-3")</f>
        <v>https://www.amazon.com/Sisley-Phyto-Teint-Lasting-Foundation-Natural/dp/B07XG1V9RY/ref=sr_1_3?keywords=Sisley+phyto+teint+ultra+eclat&amp;qid=1695259720&amp;sr=8-3</v>
      </c>
      <c r="F2859" t="s">
        <v>6252</v>
      </c>
      <c r="G2859" t="e">
        <f ca="1">IMAGE("https://prolisok-store.com/cdn/shop/products/346278_300x.jpg?v=1690900739")</f>
        <v>#NAME?</v>
      </c>
      <c r="H2859" t="e">
        <f ca="1">IMAGE("https://m.media-amazon.com/images/I/41WL-3+Dz2L._AC_UL320_.jpg")</f>
        <v>#NAME?</v>
      </c>
      <c r="I2859" t="s">
        <v>6137</v>
      </c>
      <c r="J2859">
        <v>84.42</v>
      </c>
      <c r="K2859" s="2" t="s">
        <v>7032</v>
      </c>
      <c r="L2859">
        <v>4.8</v>
      </c>
      <c r="M2859">
        <v>10</v>
      </c>
      <c r="O2859" t="s">
        <v>26</v>
      </c>
      <c r="P2859" t="s">
        <v>39</v>
      </c>
      <c r="Q2859" t="s">
        <v>6253</v>
      </c>
    </row>
    <row r="2860" spans="1:17" ht="15.75" x14ac:dyDescent="0.25">
      <c r="A2860" s="3" t="str">
        <f>HYPERLINK("https://prolisok-store.com/collections/skin-care/products/sisley-ecological-compound-with-pump-125ml-4-2oz", "https://prolisok-store.com/collections/skin-care/products/sisley-ecological-compound-with-pump-125ml-4-2oz")</f>
        <v>https://prolisok-store.com/collections/skin-care/products/sisley-ecological-compound-with-pump-125ml-4-2oz</v>
      </c>
      <c r="B2860" s="3" t="str">
        <f>HYPERLINK("https://prolisok-store.com/products/sisley-ecological-compound-with-pump-125ml-4-2oz", "https://prolisok-store.com/products/sisley-ecological-compound-with-pump-125ml-4-2oz")</f>
        <v>https://prolisok-store.com/products/sisley-ecological-compound-with-pump-125ml-4-2oz</v>
      </c>
      <c r="C2860" t="s">
        <v>7033</v>
      </c>
      <c r="D2860" t="s">
        <v>7034</v>
      </c>
      <c r="E2860" s="3" t="str">
        <f>HYPERLINK("https://www.amazon.com/Sisley-Ecological-Compound-125ml-4-2oz/dp/B0858ZDNKY/ref=sr_1_1?keywords=Sisley+ecological+compound+%28with+pump%29+125ml%2F4.2oz&amp;qid=1695259695&amp;sr=8-1", "https://www.amazon.com/Sisley-Ecological-Compound-125ml-4-2oz/dp/B0858ZDNKY/ref=sr_1_1?keywords=Sisley+ecological+compound+%28with+pump%29+125ml%2F4.2oz&amp;qid=1695259695&amp;sr=8-1")</f>
        <v>https://www.amazon.com/Sisley-Ecological-Compound-125ml-4-2oz/dp/B0858ZDNKY/ref=sr_1_1?keywords=Sisley+ecological+compound+%28with+pump%29+125ml%2F4.2oz&amp;qid=1695259695&amp;sr=8-1</v>
      </c>
      <c r="F2860" t="s">
        <v>7035</v>
      </c>
      <c r="G2860" t="e">
        <f ca="1">IMAGE("https://prolisok-store.com/cdn/shop/products/131347_300x.jpg?v=1690900868")</f>
        <v>#NAME?</v>
      </c>
      <c r="H2860" t="e">
        <f ca="1">IMAGE("https://m.media-amazon.com/images/I/51qb6zfYXpL._AC_UL320_.jpg")</f>
        <v>#NAME?</v>
      </c>
      <c r="I2860" t="s">
        <v>7036</v>
      </c>
      <c r="J2860">
        <v>246.13</v>
      </c>
      <c r="K2860" s="2" t="s">
        <v>7037</v>
      </c>
      <c r="L2860">
        <v>5</v>
      </c>
      <c r="M2860">
        <v>1</v>
      </c>
      <c r="O2860" t="s">
        <v>26</v>
      </c>
      <c r="P2860" t="s">
        <v>39</v>
      </c>
      <c r="Q2860" t="s">
        <v>7038</v>
      </c>
    </row>
    <row r="2861" spans="1:17" ht="15.75" x14ac:dyDescent="0.25">
      <c r="A2861" s="3" t="str">
        <f>HYPERLINK("https://prolisok-store.com/collections/skin-care/products/estee-lauder-revitalizing-supreme-youth-power-creme-50ml-1-7oz", "https://prolisok-store.com/collections/skin-care/products/estee-lauder-revitalizing-supreme-youth-power-creme-50ml-1-7oz")</f>
        <v>https://prolisok-store.com/collections/skin-care/products/estee-lauder-revitalizing-supreme-youth-power-creme-50ml-1-7oz</v>
      </c>
      <c r="B2861" s="3" t="str">
        <f>HYPERLINK("https://prolisok-store.com/products/estee-lauder-revitalizing-supreme-youth-power-creme-50ml-1-7oz", "https://prolisok-store.com/products/estee-lauder-revitalizing-supreme-youth-power-creme-50ml-1-7oz")</f>
        <v>https://prolisok-store.com/products/estee-lauder-revitalizing-supreme-youth-power-creme-50ml-1-7oz</v>
      </c>
      <c r="C2861" t="s">
        <v>7039</v>
      </c>
      <c r="D2861" t="s">
        <v>7040</v>
      </c>
      <c r="E2861" s="3" t="str">
        <f>HYPERLINK("https://www.amazon.com/Estee-Lauder-Revitalizing-Supreme-Youth/dp/B0C4G1RFJH/ref=sr_1_2?keywords=Estee+Lauder+revitalizing+supreme+youth+power+creme+50ml%2F1.7oz&amp;qid=1695259680&amp;sr=8-2", "https://www.amazon.com/Estee-Lauder-Revitalizing-Supreme-Youth/dp/B0C4G1RFJH/ref=sr_1_2?keywords=Estee+Lauder+revitalizing+supreme+youth+power+creme+50ml%2F1.7oz&amp;qid=1695259680&amp;sr=8-2")</f>
        <v>https://www.amazon.com/Estee-Lauder-Revitalizing-Supreme-Youth/dp/B0C4G1RFJH/ref=sr_1_2?keywords=Estee+Lauder+revitalizing+supreme+youth+power+creme+50ml%2F1.7oz&amp;qid=1695259680&amp;sr=8-2</v>
      </c>
      <c r="F2861" t="s">
        <v>7041</v>
      </c>
      <c r="G2861" t="e">
        <f ca="1">IMAGE("https://prolisok-store.com/cdn/shop/products/442270_300x.jpg?v=1690900243")</f>
        <v>#NAME?</v>
      </c>
      <c r="H2861" t="e">
        <f ca="1">IMAGE("https://m.media-amazon.com/images/I/61AAlglvsaL._AC_UL320_.jpg")</f>
        <v>#NAME?</v>
      </c>
      <c r="I2861" t="s">
        <v>7042</v>
      </c>
      <c r="J2861">
        <v>90</v>
      </c>
      <c r="K2861" s="2" t="s">
        <v>7043</v>
      </c>
      <c r="L2861">
        <v>3.9</v>
      </c>
      <c r="M2861">
        <v>3</v>
      </c>
      <c r="O2861" t="s">
        <v>26</v>
      </c>
      <c r="P2861" t="s">
        <v>39</v>
      </c>
      <c r="Q2861" t="s">
        <v>7044</v>
      </c>
    </row>
    <row r="2862" spans="1:17" ht="15.75" x14ac:dyDescent="0.25">
      <c r="A2862" s="3" t="str">
        <f>HYPERLINK("https://prolisok-store.com/collections/skin-care/products/clinique-by-clinique-clinique-rinse-off-foaming-cleanser-150ml-5oz", "https://prolisok-store.com/collections/skin-care/products/clinique-by-clinique-clinique-rinse-off-foaming-cleanser-150ml-5oz")</f>
        <v>https://prolisok-store.com/collections/skin-care/products/clinique-by-clinique-clinique-rinse-off-foaming-cleanser-150ml-5oz</v>
      </c>
      <c r="B2862" s="3" t="str">
        <f>HYPERLINK("https://prolisok-store.com/products/clinique-by-clinique-clinique-rinse-off-foaming-cleanser-150ml-5oz", "https://prolisok-store.com/products/clinique-by-clinique-clinique-rinse-off-foaming-cleanser-150ml-5oz")</f>
        <v>https://prolisok-store.com/products/clinique-by-clinique-clinique-rinse-off-foaming-cleanser-150ml-5oz</v>
      </c>
      <c r="C2862" t="s">
        <v>6852</v>
      </c>
      <c r="D2862" t="s">
        <v>7045</v>
      </c>
      <c r="E2862" s="3" t="str">
        <f>HYPERLINK("https://www.amazon.com/Clinique-Rinse-Off-Foaming-Cleanser-Unboxed/dp/B08LR2VKXG/ref=sr_1_9?keywords=Clinique+rinse+off+foaming+cleanser--150ml%2F5oz&amp;qid=1695259710&amp;sr=8-9", "https://www.amazon.com/Clinique-Rinse-Off-Foaming-Cleanser-Unboxed/dp/B08LR2VKXG/ref=sr_1_9?keywords=Clinique+rinse+off+foaming+cleanser--150ml%2F5oz&amp;qid=1695259710&amp;sr=8-9")</f>
        <v>https://www.amazon.com/Clinique-Rinse-Off-Foaming-Cleanser-Unboxed/dp/B08LR2VKXG/ref=sr_1_9?keywords=Clinique+rinse+off+foaming+cleanser--150ml%2F5oz&amp;qid=1695259710&amp;sr=8-9</v>
      </c>
      <c r="F2862" t="s">
        <v>7046</v>
      </c>
      <c r="G2862" t="e">
        <f ca="1">IMAGE("https://prolisok-store.com/cdn/shop/products/129649_300x.jpg?v=1688060485")</f>
        <v>#NAME?</v>
      </c>
      <c r="H2862" t="e">
        <f ca="1">IMAGE("https://m.media-amazon.com/images/I/71YoRLiuSlL._AC_UL320_.jpg")</f>
        <v>#NAME?</v>
      </c>
      <c r="I2862" t="s">
        <v>6360</v>
      </c>
      <c r="J2862">
        <v>24.49</v>
      </c>
      <c r="K2862" s="2" t="s">
        <v>7047</v>
      </c>
      <c r="L2862">
        <v>4.8</v>
      </c>
      <c r="M2862">
        <v>553</v>
      </c>
      <c r="O2862" t="s">
        <v>26</v>
      </c>
      <c r="P2862" t="s">
        <v>39</v>
      </c>
      <c r="Q2862" t="s">
        <v>6856</v>
      </c>
    </row>
    <row r="2863" spans="1:17" ht="15.75" x14ac:dyDescent="0.25">
      <c r="A2863" s="3" t="str">
        <f>HYPERLINK("https://prolisok-store.com/collections/skin-care/products/sunflowers-by-elizabeth-arden-hydrating-cream-cleanser-3-3-oz", "https://prolisok-store.com/collections/skin-care/products/sunflowers-by-elizabeth-arden-hydrating-cream-cleanser-3-3-oz")</f>
        <v>https://prolisok-store.com/collections/skin-care/products/sunflowers-by-elizabeth-arden-hydrating-cream-cleanser-3-3-oz</v>
      </c>
      <c r="B2863" s="3" t="str">
        <f>HYPERLINK("https://prolisok-store.com/products/sunflowers-by-elizabeth-arden-hydrating-cream-cleanser-3-3-oz", "https://prolisok-store.com/products/sunflowers-by-elizabeth-arden-hydrating-cream-cleanser-3-3-oz")</f>
        <v>https://prolisok-store.com/products/sunflowers-by-elizabeth-arden-hydrating-cream-cleanser-3-3-oz</v>
      </c>
      <c r="C2863" t="s">
        <v>7048</v>
      </c>
      <c r="D2863" t="s">
        <v>7049</v>
      </c>
      <c r="E2863" s="3" t="str">
        <f>HYPERLINK("https://www.amazon.com/PureScents-Sunflowers-El%C3%ACzabeth-Hydrating-Cleanser/dp/B0C3838SXT/ref=sr_1_1?keywords=Sunflowers+by+elizabeth+arden+hydrating+cream+cleanser+3.3+oz&amp;qid=1695259692&amp;sr=8-1", "https://www.amazon.com/PureScents-Sunflowers-El%C3%ACzabeth-Hydrating-Cleanser/dp/B0C3838SXT/ref=sr_1_1?keywords=Sunflowers+by+elizabeth+arden+hydrating+cream+cleanser+3.3+oz&amp;qid=1695259692&amp;sr=8-1")</f>
        <v>https://www.amazon.com/PureScents-Sunflowers-El%C3%ACzabeth-Hydrating-Cleanser/dp/B0C3838SXT/ref=sr_1_1?keywords=Sunflowers+by+elizabeth+arden+hydrating+cream+cleanser+3.3+oz&amp;qid=1695259692&amp;sr=8-1</v>
      </c>
      <c r="F2863" t="s">
        <v>7050</v>
      </c>
      <c r="G2863" t="e">
        <f ca="1">IMAGE("https://prolisok-store.com/cdn/shop/products/162687_300x.jpg?v=1693407272")</f>
        <v>#NAME?</v>
      </c>
      <c r="H2863" t="e">
        <f ca="1">IMAGE("https://m.media-amazon.com/images/I/31NV1Nsw6YL._AC_UL320_.jpg")</f>
        <v>#NAME?</v>
      </c>
      <c r="I2863" t="s">
        <v>7051</v>
      </c>
      <c r="J2863">
        <v>6.95</v>
      </c>
      <c r="K2863" s="2" t="s">
        <v>7052</v>
      </c>
      <c r="L2863">
        <v>3.6</v>
      </c>
      <c r="M2863">
        <v>3</v>
      </c>
      <c r="O2863" t="s">
        <v>26</v>
      </c>
      <c r="P2863" t="s">
        <v>39</v>
      </c>
      <c r="Q2863" t="s">
        <v>7053</v>
      </c>
    </row>
    <row r="2864" spans="1:17" ht="15.75" x14ac:dyDescent="0.25">
      <c r="A2864" s="3" t="str">
        <f>HYPERLINK("https://prolisok-store.com/collections/skin-care/products/elizabeth-arden-green-tea-refreshing-body-lotion-500ml-16-9oz", "https://prolisok-store.com/collections/skin-care/products/elizabeth-arden-green-tea-refreshing-body-lotion-500ml-16-9oz")</f>
        <v>https://prolisok-store.com/collections/skin-care/products/elizabeth-arden-green-tea-refreshing-body-lotion-500ml-16-9oz</v>
      </c>
      <c r="B2864" s="3" t="str">
        <f>HYPERLINK("https://prolisok-store.com/products/elizabeth-arden-green-tea-refreshing-body-lotion-500ml-16-9oz", "https://prolisok-store.com/products/elizabeth-arden-green-tea-refreshing-body-lotion-500ml-16-9oz")</f>
        <v>https://prolisok-store.com/products/elizabeth-arden-green-tea-refreshing-body-lotion-500ml-16-9oz</v>
      </c>
      <c r="C2864" t="s">
        <v>7054</v>
      </c>
      <c r="D2864" t="s">
        <v>4227</v>
      </c>
      <c r="E2864" s="3" t="str">
        <f>HYPERLINK("https://www.amazon.com/Elizabeth-Arden-Green-Refreshing-Lotion/dp/B0020MM7K2/ref=sr_1_1?keywords=Elizabeth+Arden+green+tea+refreshing+body+lotion+500ml%2F16.9oz&amp;qid=1695259709&amp;sr=8-1", "https://www.amazon.com/Elizabeth-Arden-Green-Refreshing-Lotion/dp/B0020MM7K2/ref=sr_1_1?keywords=Elizabeth+Arden+green+tea+refreshing+body+lotion+500ml%2F16.9oz&amp;qid=1695259709&amp;sr=8-1")</f>
        <v>https://www.amazon.com/Elizabeth-Arden-Green-Refreshing-Lotion/dp/B0020MM7K2/ref=sr_1_1?keywords=Elizabeth+Arden+green+tea+refreshing+body+lotion+500ml%2F16.9oz&amp;qid=1695259709&amp;sr=8-1</v>
      </c>
      <c r="F2864" t="s">
        <v>4228</v>
      </c>
      <c r="G2864" t="e">
        <f ca="1">IMAGE("https://prolisok-store.com/cdn/shop/products/388192_300x.jpg?v=1693407238")</f>
        <v>#NAME?</v>
      </c>
      <c r="H2864" t="e">
        <f ca="1">IMAGE("https://m.media-amazon.com/images/I/41vZTUs0rrL._AC_UL320_.jpg")</f>
        <v>#NAME?</v>
      </c>
      <c r="I2864" t="s">
        <v>5135</v>
      </c>
      <c r="J2864">
        <v>19</v>
      </c>
      <c r="K2864" s="2" t="s">
        <v>5594</v>
      </c>
      <c r="L2864">
        <v>4.5999999999999996</v>
      </c>
      <c r="M2864">
        <v>790</v>
      </c>
      <c r="O2864" t="s">
        <v>26</v>
      </c>
      <c r="P2864" t="s">
        <v>39</v>
      </c>
      <c r="Q2864" t="s">
        <v>7055</v>
      </c>
    </row>
    <row r="2865" spans="1:17" ht="15.75" x14ac:dyDescent="0.25">
      <c r="A2865" s="3" t="str">
        <f>HYPERLINK("https://prolisok-store.com/collections/skin-care/products/clinique-by-clinique-clinique-rinse-off-foaming-cleanser-150ml-5oz", "https://prolisok-store.com/collections/skin-care/products/clinique-by-clinique-clinique-rinse-off-foaming-cleanser-150ml-5oz")</f>
        <v>https://prolisok-store.com/collections/skin-care/products/clinique-by-clinique-clinique-rinse-off-foaming-cleanser-150ml-5oz</v>
      </c>
      <c r="B2865" s="3" t="str">
        <f>HYPERLINK("https://prolisok-store.com/products/clinique-by-clinique-clinique-rinse-off-foaming-cleanser-150ml-5oz", "https://prolisok-store.com/products/clinique-by-clinique-clinique-rinse-off-foaming-cleanser-150ml-5oz")</f>
        <v>https://prolisok-store.com/products/clinique-by-clinique-clinique-rinse-off-foaming-cleanser-150ml-5oz</v>
      </c>
      <c r="C2865" t="s">
        <v>6852</v>
      </c>
      <c r="D2865" t="s">
        <v>7056</v>
      </c>
      <c r="E2865" s="3" t="str">
        <f>HYPERLINK("https://www.amazon.com/Clinique-Cleanser-150ml-Rinse-Foaming/dp/B00H8K8A9S/ref=sr_1_2?keywords=Clinique+rinse+off+foaming+cleanser--150ml%2F5oz&amp;qid=1695259710&amp;sr=8-2", "https://www.amazon.com/Clinique-Cleanser-150ml-Rinse-Foaming/dp/B00H8K8A9S/ref=sr_1_2?keywords=Clinique+rinse+off+foaming+cleanser--150ml%2F5oz&amp;qid=1695259710&amp;sr=8-2")</f>
        <v>https://www.amazon.com/Clinique-Cleanser-150ml-Rinse-Foaming/dp/B00H8K8A9S/ref=sr_1_2?keywords=Clinique+rinse+off+foaming+cleanser--150ml%2F5oz&amp;qid=1695259710&amp;sr=8-2</v>
      </c>
      <c r="F2865" t="s">
        <v>7057</v>
      </c>
      <c r="G2865" t="e">
        <f ca="1">IMAGE("https://prolisok-store.com/cdn/shop/products/129649_300x.jpg?v=1688060485")</f>
        <v>#NAME?</v>
      </c>
      <c r="H2865" t="e">
        <f ca="1">IMAGE("https://m.media-amazon.com/images/I/51Wd-6+9MGL._AC_UL320_.jpg")</f>
        <v>#NAME?</v>
      </c>
      <c r="I2865" t="s">
        <v>6360</v>
      </c>
      <c r="J2865">
        <v>24</v>
      </c>
      <c r="K2865" s="2" t="s">
        <v>7058</v>
      </c>
      <c r="L2865">
        <v>4.5</v>
      </c>
      <c r="M2865">
        <v>78</v>
      </c>
      <c r="O2865" t="s">
        <v>26</v>
      </c>
      <c r="P2865" t="s">
        <v>39</v>
      </c>
      <c r="Q2865" t="s">
        <v>6856</v>
      </c>
    </row>
    <row r="2866" spans="1:17" ht="15.75" x14ac:dyDescent="0.25">
      <c r="A2866" s="3" t="str">
        <f>HYPERLINK("https://prolisok-store.com/collections/skin-care/products/clinique-by-clinique-clinique-rinse-off-foaming-cleanser-150ml-5oz", "https://prolisok-store.com/collections/skin-care/products/clinique-by-clinique-clinique-rinse-off-foaming-cleanser-150ml-5oz")</f>
        <v>https://prolisok-store.com/collections/skin-care/products/clinique-by-clinique-clinique-rinse-off-foaming-cleanser-150ml-5oz</v>
      </c>
      <c r="B2866" s="3" t="str">
        <f>HYPERLINK("https://prolisok-store.com/products/clinique-by-clinique-clinique-rinse-off-foaming-cleanser-150ml-5oz", "https://prolisok-store.com/products/clinique-by-clinique-clinique-rinse-off-foaming-cleanser-150ml-5oz")</f>
        <v>https://prolisok-store.com/products/clinique-by-clinique-clinique-rinse-off-foaming-cleanser-150ml-5oz</v>
      </c>
      <c r="C2866" t="s">
        <v>6852</v>
      </c>
      <c r="D2866" t="s">
        <v>7059</v>
      </c>
      <c r="E2866" s="3" t="str">
        <f>HYPERLINK("https://www.amazon.com/Clinique-4774-CLINIQUE-by/dp/B0045KBP9Q/ref=sr_1_3?keywords=Clinique+rinse+off+foaming+cleanser--150ml%2F5oz&amp;qid=1695259710&amp;sr=8-3", "https://www.amazon.com/Clinique-4774-CLINIQUE-by/dp/B0045KBP9Q/ref=sr_1_3?keywords=Clinique+rinse+off+foaming+cleanser--150ml%2F5oz&amp;qid=1695259710&amp;sr=8-3")</f>
        <v>https://www.amazon.com/Clinique-4774-CLINIQUE-by/dp/B0045KBP9Q/ref=sr_1_3?keywords=Clinique+rinse+off+foaming+cleanser--150ml%2F5oz&amp;qid=1695259710&amp;sr=8-3</v>
      </c>
      <c r="F2866" t="s">
        <v>7060</v>
      </c>
      <c r="G2866" t="e">
        <f ca="1">IMAGE("https://prolisok-store.com/cdn/shop/products/129649_300x.jpg?v=1688060485")</f>
        <v>#NAME?</v>
      </c>
      <c r="H2866" t="e">
        <f ca="1">IMAGE("https://m.media-amazon.com/images/I/71hme4C5qtL._AC_UL320_.jpg")</f>
        <v>#NAME?</v>
      </c>
      <c r="I2866" t="s">
        <v>6360</v>
      </c>
      <c r="J2866">
        <v>24</v>
      </c>
      <c r="K2866" s="2" t="s">
        <v>7058</v>
      </c>
      <c r="L2866">
        <v>4.7</v>
      </c>
      <c r="M2866">
        <v>1325</v>
      </c>
      <c r="O2866" t="s">
        <v>26</v>
      </c>
      <c r="P2866" t="s">
        <v>39</v>
      </c>
      <c r="Q2866" t="s">
        <v>6856</v>
      </c>
    </row>
    <row r="2867" spans="1:17" ht="15.75" x14ac:dyDescent="0.25">
      <c r="A2867" s="3" t="str">
        <f>HYPERLINK("https://prolisok-store.com/collections/skin-care/products/clinique-by-clinique-clinique-rinse-off-foaming-cleanser-150ml-5oz", "https://prolisok-store.com/collections/skin-care/products/clinique-by-clinique-clinique-rinse-off-foaming-cleanser-150ml-5oz")</f>
        <v>https://prolisok-store.com/collections/skin-care/products/clinique-by-clinique-clinique-rinse-off-foaming-cleanser-150ml-5oz</v>
      </c>
      <c r="B2867" s="3" t="str">
        <f>HYPERLINK("https://prolisok-store.com/products/clinique-by-clinique-clinique-rinse-off-foaming-cleanser-150ml-5oz", "https://prolisok-store.com/products/clinique-by-clinique-clinique-rinse-off-foaming-cleanser-150ml-5oz")</f>
        <v>https://prolisok-store.com/products/clinique-by-clinique-clinique-rinse-off-foaming-cleanser-150ml-5oz</v>
      </c>
      <c r="C2867" t="s">
        <v>6852</v>
      </c>
      <c r="D2867" t="s">
        <v>7061</v>
      </c>
      <c r="E2867" s="3" t="str">
        <f>HYPERLINK("https://www.amazon.com/Clinique-Rinse-off-Cleanser-Skincare-Cleansers/dp/B00GLLAN0Y/ref=sr_1_5?keywords=Clinique+rinse+off+foaming+cleanser--150ml%2F5oz&amp;qid=1695259710&amp;sr=8-5", "https://www.amazon.com/Clinique-Rinse-off-Cleanser-Skincare-Cleansers/dp/B00GLLAN0Y/ref=sr_1_5?keywords=Clinique+rinse+off+foaming+cleanser--150ml%2F5oz&amp;qid=1695259710&amp;sr=8-5")</f>
        <v>https://www.amazon.com/Clinique-Rinse-off-Cleanser-Skincare-Cleansers/dp/B00GLLAN0Y/ref=sr_1_5?keywords=Clinique+rinse+off+foaming+cleanser--150ml%2F5oz&amp;qid=1695259710&amp;sr=8-5</v>
      </c>
      <c r="F2867" t="s">
        <v>7062</v>
      </c>
      <c r="G2867" t="e">
        <f ca="1">IMAGE("https://prolisok-store.com/cdn/shop/products/129649_300x.jpg?v=1688060485")</f>
        <v>#NAME?</v>
      </c>
      <c r="H2867" t="e">
        <f ca="1">IMAGE("https://m.media-amazon.com/images/I/51Wd-6+9MGL._AC_UL320_.jpg")</f>
        <v>#NAME?</v>
      </c>
      <c r="I2867" t="s">
        <v>6360</v>
      </c>
      <c r="J2867">
        <v>24</v>
      </c>
      <c r="K2867" s="2" t="s">
        <v>7058</v>
      </c>
      <c r="L2867">
        <v>4.4000000000000004</v>
      </c>
      <c r="M2867">
        <v>9</v>
      </c>
      <c r="O2867" t="s">
        <v>26</v>
      </c>
      <c r="P2867" t="s">
        <v>39</v>
      </c>
      <c r="Q2867" t="s">
        <v>6856</v>
      </c>
    </row>
    <row r="2868" spans="1:17" ht="15.75" x14ac:dyDescent="0.25">
      <c r="A2868" s="3" t="str">
        <f>HYPERLINK("https://prolisok-store.com/collections/skin-care/products/clinique-by-clinique-clinique-rinse-off-foaming-cleanser-150ml-5oz", "https://prolisok-store.com/collections/skin-care/products/clinique-by-clinique-clinique-rinse-off-foaming-cleanser-150ml-5oz")</f>
        <v>https://prolisok-store.com/collections/skin-care/products/clinique-by-clinique-clinique-rinse-off-foaming-cleanser-150ml-5oz</v>
      </c>
      <c r="B2868" s="3" t="str">
        <f>HYPERLINK("https://prolisok-store.com/products/clinique-by-clinique-clinique-rinse-off-foaming-cleanser-150ml-5oz", "https://prolisok-store.com/products/clinique-by-clinique-clinique-rinse-off-foaming-cleanser-150ml-5oz")</f>
        <v>https://prolisok-store.com/products/clinique-by-clinique-clinique-rinse-off-foaming-cleanser-150ml-5oz</v>
      </c>
      <c r="C2868" t="s">
        <v>6852</v>
      </c>
      <c r="D2868" t="s">
        <v>7063</v>
      </c>
      <c r="E2868" s="3" t="str">
        <f>HYPERLINK("https://www.amazon.com/Clinique-Rinse-Foaming-Cleanser-Ounce/dp/B005ZOWEMS/ref=sr_1_4?keywords=Clinique+rinse+off+foaming+cleanser--150ml%2F5oz&amp;qid=1695259710&amp;sr=8-4", "https://www.amazon.com/Clinique-Rinse-Foaming-Cleanser-Ounce/dp/B005ZOWEMS/ref=sr_1_4?keywords=Clinique+rinse+off+foaming+cleanser--150ml%2F5oz&amp;qid=1695259710&amp;sr=8-4")</f>
        <v>https://www.amazon.com/Clinique-Rinse-Foaming-Cleanser-Ounce/dp/B005ZOWEMS/ref=sr_1_4?keywords=Clinique+rinse+off+foaming+cleanser--150ml%2F5oz&amp;qid=1695259710&amp;sr=8-4</v>
      </c>
      <c r="F2868" t="s">
        <v>7064</v>
      </c>
      <c r="G2868" t="e">
        <f ca="1">IMAGE("https://prolisok-store.com/cdn/shop/products/129649_300x.jpg?v=1688060485")</f>
        <v>#NAME?</v>
      </c>
      <c r="H2868" t="e">
        <f ca="1">IMAGE("https://m.media-amazon.com/images/I/81Gwz4iqN8L._AC_UL320_.jpg")</f>
        <v>#NAME?</v>
      </c>
      <c r="I2868" t="s">
        <v>6360</v>
      </c>
      <c r="J2868">
        <v>23.71</v>
      </c>
      <c r="K2868" s="2" t="s">
        <v>7065</v>
      </c>
      <c r="L2868">
        <v>4.7</v>
      </c>
      <c r="M2868">
        <v>1228</v>
      </c>
      <c r="O2868" t="s">
        <v>26</v>
      </c>
      <c r="P2868" t="s">
        <v>39</v>
      </c>
      <c r="Q2868" t="s">
        <v>6856</v>
      </c>
    </row>
    <row r="2869" spans="1:17" ht="15.75" x14ac:dyDescent="0.25">
      <c r="A2869" s="3" t="str">
        <f>HYPERLINK("https://prolisok-store.com/collections/skin-care/products/clinique-by-clinique-chubby-lash-fattening-mascara-01-jumbo-jet-10ml-0-4oz", "https://prolisok-store.com/collections/skin-care/products/clinique-by-clinique-chubby-lash-fattening-mascara-01-jumbo-jet-10ml-0-4oz")</f>
        <v>https://prolisok-store.com/collections/skin-care/products/clinique-by-clinique-chubby-lash-fattening-mascara-01-jumbo-jet-10ml-0-4oz</v>
      </c>
      <c r="B2869"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869" t="s">
        <v>6208</v>
      </c>
      <c r="D2869" t="s">
        <v>6317</v>
      </c>
      <c r="E2869" s="3" t="str">
        <f>HYPERLINK("https://www.amazon.com/Clinique-Chubby-Fattening-Mascara-Jumbo/dp/B01APOXKL6/ref=sr_1_2?keywords=Clinique+chubby+lash+fattening+mascara+-&amp;qid=1695259697&amp;sr=8-2", "https://www.amazon.com/Clinique-Chubby-Fattening-Mascara-Jumbo/dp/B01APOXKL6/ref=sr_1_2?keywords=Clinique+chubby+lash+fattening+mascara+-&amp;qid=1695259697&amp;sr=8-2")</f>
        <v>https://www.amazon.com/Clinique-Chubby-Fattening-Mascara-Jumbo/dp/B01APOXKL6/ref=sr_1_2?keywords=Clinique+chubby+lash+fattening+mascara+-&amp;qid=1695259697&amp;sr=8-2</v>
      </c>
      <c r="F2869" t="s">
        <v>6318</v>
      </c>
      <c r="G2869" t="e">
        <f ca="1">IMAGE("https://prolisok-store.com/cdn/shop/files/B-MRKTS-1062_300x.png?v=1690307144")</f>
        <v>#NAME?</v>
      </c>
      <c r="H2869" t="e">
        <f ca="1">IMAGE("https://m.media-amazon.com/images/I/61pDX615SNL._AC_UL320_.jpg")</f>
        <v>#NAME?</v>
      </c>
      <c r="I2869" t="s">
        <v>6000</v>
      </c>
      <c r="J2869">
        <v>22</v>
      </c>
      <c r="K2869" s="2" t="s">
        <v>6319</v>
      </c>
      <c r="L2869">
        <v>4.5</v>
      </c>
      <c r="M2869">
        <v>54</v>
      </c>
      <c r="O2869" t="s">
        <v>26</v>
      </c>
      <c r="P2869" t="s">
        <v>39</v>
      </c>
      <c r="Q2869" t="s">
        <v>6212</v>
      </c>
    </row>
    <row r="2870" spans="1:17" ht="15.75" x14ac:dyDescent="0.25">
      <c r="A2870" s="3" t="str">
        <f>HYPERLINK("https://prolisok-store.com/collections/skin-care/products/elizabeth-arden-ceramide-retinol-capsules-line-erasing-night-serum-90caps", "https://prolisok-store.com/collections/skin-care/products/elizabeth-arden-ceramide-retinol-capsules-line-erasing-night-serum-90caps")</f>
        <v>https://prolisok-store.com/collections/skin-care/products/elizabeth-arden-ceramide-retinol-capsules-line-erasing-night-serum-90caps</v>
      </c>
      <c r="B2870" s="3" t="str">
        <f>HYPERLINK("https://prolisok-store.com/products/elizabeth-arden-ceramide-retinol-capsules-line-erasing-night-serum-90caps", "https://prolisok-store.com/products/elizabeth-arden-ceramide-retinol-capsules-line-erasing-night-serum-90caps")</f>
        <v>https://prolisok-store.com/products/elizabeth-arden-ceramide-retinol-capsules-line-erasing-night-serum-90caps</v>
      </c>
      <c r="C2870" t="s">
        <v>6880</v>
      </c>
      <c r="D2870" t="s">
        <v>4836</v>
      </c>
      <c r="E2870" s="3" t="str">
        <f>HYPERLINK("https://www.amazon.com/Elizabeth-Arden-Retinol-Ceramide-Capsules/dp/B07FCS2HHB/ref=sr_1_1?keywords=Elizabeth+Arden+ceramide+retinol+capsules+line+erasing+night+serum+90caps&amp;qid=1695259648&amp;sr=8-1", "https://www.amazon.com/Elizabeth-Arden-Retinol-Ceramide-Capsules/dp/B07FCS2HHB/ref=sr_1_1?keywords=Elizabeth+Arden+ceramide+retinol+capsules+line+erasing+night+serum+90caps&amp;qid=1695259648&amp;sr=8-1")</f>
        <v>https://www.amazon.com/Elizabeth-Arden-Retinol-Ceramide-Capsules/dp/B07FCS2HHB/ref=sr_1_1?keywords=Elizabeth+Arden+ceramide+retinol+capsules+line+erasing+night+serum+90caps&amp;qid=1695259648&amp;sr=8-1</v>
      </c>
      <c r="F2870" t="s">
        <v>4837</v>
      </c>
      <c r="G2870" t="e">
        <f ca="1">IMAGE("https://prolisok-store.com/cdn/shop/products/364945_300x.jpg?v=1693407244")</f>
        <v>#NAME?</v>
      </c>
      <c r="H2870" t="e">
        <f ca="1">IMAGE("https://m.media-amazon.com/images/I/71xChLNn9WL._AC_UL320_.jpg")</f>
        <v>#NAME?</v>
      </c>
      <c r="I2870" t="s">
        <v>6881</v>
      </c>
      <c r="J2870">
        <v>95</v>
      </c>
      <c r="K2870" s="2" t="s">
        <v>5625</v>
      </c>
      <c r="L2870">
        <v>4.5999999999999996</v>
      </c>
      <c r="M2870">
        <v>1014</v>
      </c>
      <c r="O2870" t="s">
        <v>26</v>
      </c>
      <c r="P2870" t="s">
        <v>39</v>
      </c>
      <c r="Q2870" t="s">
        <v>6883</v>
      </c>
    </row>
    <row r="2871" spans="1:17" ht="15.75" x14ac:dyDescent="0.25">
      <c r="A2871" s="3" t="str">
        <f>HYPERLINK("https://prolisok-store.com/collections/skin-care/products/sisley-sisley-radiant-glow-express-mask-with-red-clays-60ml-2oz", "https://prolisok-store.com/collections/skin-care/products/sisley-sisley-radiant-glow-express-mask-with-red-clays-60ml-2oz")</f>
        <v>https://prolisok-store.com/collections/skin-care/products/sisley-sisley-radiant-glow-express-mask-with-red-clays-60ml-2oz</v>
      </c>
      <c r="B2871" s="3" t="str">
        <f>HYPERLINK("https://prolisok-store.com/products/sisley-sisley-radiant-glow-express-mask-with-red-clays-60ml-2oz", "https://prolisok-store.com/products/sisley-sisley-radiant-glow-express-mask-with-red-clays-60ml-2oz")</f>
        <v>https://prolisok-store.com/products/sisley-sisley-radiant-glow-express-mask-with-red-clays-60ml-2oz</v>
      </c>
      <c r="C2871" t="s">
        <v>7066</v>
      </c>
      <c r="D2871" t="s">
        <v>7067</v>
      </c>
      <c r="E2871" s="3" t="str">
        <f>HYPERLINK("https://www.amazon.com/Sisley-Radiant-Express-Clays-2-1oz/dp/B003BQOTKM/ref=sr_1_1?keywords=Sisley+sisley+radiant+glow+express+mask+with+red+clays60ml%2F2oz&amp;qid=1695259687&amp;sr=8-1", "https://www.amazon.com/Sisley-Radiant-Express-Clays-2-1oz/dp/B003BQOTKM/ref=sr_1_1?keywords=Sisley+sisley+radiant+glow+express+mask+with+red+clays60ml%2F2oz&amp;qid=1695259687&amp;sr=8-1")</f>
        <v>https://www.amazon.com/Sisley-Radiant-Express-Clays-2-1oz/dp/B003BQOTKM/ref=sr_1_1?keywords=Sisley+sisley+radiant+glow+express+mask+with+red+clays60ml%2F2oz&amp;qid=1695259687&amp;sr=8-1</v>
      </c>
      <c r="F2871" t="s">
        <v>7068</v>
      </c>
      <c r="G2871" t="e">
        <f ca="1">IMAGE("https://prolisok-store.com/cdn/shop/products/131357_300x.jpg?v=1690900872")</f>
        <v>#NAME?</v>
      </c>
      <c r="H2871" t="e">
        <f ca="1">IMAGE("https://m.media-amazon.com/images/I/61n0ZAxfKdL._AC_UL320_.jpg")</f>
        <v>#NAME?</v>
      </c>
      <c r="I2871" t="s">
        <v>7069</v>
      </c>
      <c r="J2871">
        <v>89.62</v>
      </c>
      <c r="K2871" s="2" t="s">
        <v>7070</v>
      </c>
      <c r="L2871">
        <v>5</v>
      </c>
      <c r="M2871">
        <v>1</v>
      </c>
      <c r="O2871" t="s">
        <v>26</v>
      </c>
      <c r="P2871" t="s">
        <v>39</v>
      </c>
      <c r="Q2871" t="s">
        <v>7071</v>
      </c>
    </row>
    <row r="2872" spans="1:17" ht="15.75" x14ac:dyDescent="0.25">
      <c r="A2872" s="3" t="str">
        <f>HYPERLINK("https://prolisok-store.com/collections/skin-care/products/estee-lauder-perfectly-clean-multi-action-foam-cleanser-purifying-mask-150ml-5oz", "https://prolisok-store.com/collections/skin-care/products/estee-lauder-perfectly-clean-multi-action-foam-cleanser-purifying-mask-150ml-5oz")</f>
        <v>https://prolisok-store.com/collections/skin-care/products/estee-lauder-perfectly-clean-multi-action-foam-cleanser-purifying-mask-150ml-5oz</v>
      </c>
      <c r="B2872" s="3" t="str">
        <f>HYPERLINK("https://prolisok-store.com/products/estee-lauder-perfectly-clean-multi-action-foam-cleanser-purifying-mask-150ml-5oz", "https://prolisok-store.com/products/estee-lauder-perfectly-clean-multi-action-foam-cleanser-purifying-mask-150ml-5oz")</f>
        <v>https://prolisok-store.com/products/estee-lauder-perfectly-clean-multi-action-foam-cleanser-purifying-mask-150ml-5oz</v>
      </c>
      <c r="C2872" t="s">
        <v>6781</v>
      </c>
      <c r="D2872" t="s">
        <v>7072</v>
      </c>
      <c r="E2872" s="3" t="str">
        <f>HYPERLINK("https://www.amazon.com/Estee-Lauder-Perfectly-Multi-Action-Cleanser/dp/B00CAUJGRG/ref=sr_1_8?keywords=Estee+Lauder+perfectly+clean+multi-action+foam+cleanser%2F+purifying+mask+150ml%2F5oz&amp;qid=1695259685&amp;sr=8-8", "https://www.amazon.com/Estee-Lauder-Perfectly-Multi-Action-Cleanser/dp/B00CAUJGRG/ref=sr_1_8?keywords=Estee+Lauder+perfectly+clean+multi-action+foam+cleanser%2F+purifying+mask+150ml%2F5oz&amp;qid=1695259685&amp;sr=8-8")</f>
        <v>https://www.amazon.com/Estee-Lauder-Perfectly-Multi-Action-Cleanser/dp/B00CAUJGRG/ref=sr_1_8?keywords=Estee+Lauder+perfectly+clean+multi-action+foam+cleanser%2F+purifying+mask+150ml%2F5oz&amp;qid=1695259685&amp;sr=8-8</v>
      </c>
      <c r="F2872" t="s">
        <v>7073</v>
      </c>
      <c r="G2872" t="e">
        <f ca="1">IMAGE("https://prolisok-store.com/cdn/shop/products/242828_300x.jpg?v=1690900205")</f>
        <v>#NAME?</v>
      </c>
      <c r="H2872" t="e">
        <f ca="1">IMAGE("https://m.media-amazon.com/images/I/41NfOkJFH3L._AC_UL320_.jpg")</f>
        <v>#NAME?</v>
      </c>
      <c r="I2872" t="s">
        <v>6784</v>
      </c>
      <c r="J2872">
        <v>28.72</v>
      </c>
      <c r="K2872" s="2" t="s">
        <v>7074</v>
      </c>
      <c r="L2872">
        <v>4.5999999999999996</v>
      </c>
      <c r="M2872">
        <v>767</v>
      </c>
      <c r="O2872" t="s">
        <v>26</v>
      </c>
      <c r="P2872" t="s">
        <v>39</v>
      </c>
      <c r="Q2872" t="s">
        <v>6786</v>
      </c>
    </row>
    <row r="2873" spans="1:17" ht="15.75" x14ac:dyDescent="0.25">
      <c r="A2873" s="3" t="str">
        <f>HYPERLINK("https://prolisok-store.com/collections/skin-care/products/clarins-v-shaping-facial-lift-50ml-1-6oz", "https://prolisok-store.com/collections/skin-care/products/clarins-v-shaping-facial-lift-50ml-1-6oz")</f>
        <v>https://prolisok-store.com/collections/skin-care/products/clarins-v-shaping-facial-lift-50ml-1-6oz</v>
      </c>
      <c r="B2873" s="3" t="str">
        <f>HYPERLINK("https://prolisok-store.com/products/clarins-v-shaping-facial-lift-50ml-1-6oz", "https://prolisok-store.com/products/clarins-v-shaping-facial-lift-50ml-1-6oz")</f>
        <v>https://prolisok-store.com/products/clarins-v-shaping-facial-lift-50ml-1-6oz</v>
      </c>
      <c r="C2873" t="s">
        <v>6992</v>
      </c>
      <c r="D2873" t="s">
        <v>7075</v>
      </c>
      <c r="E2873" s="3" t="str">
        <f>HYPERLINK("https://www.amazon.com/Clarins-Concentrate-Anti-Aging-D12Visibly-Brightening/dp/B099ZDQ6QS/ref=sr_1_4?keywords=Clarins+v+shaping+facial+lift+50ml%2F1.6oz&amp;qid=1695259658&amp;sr=8-4", "https://www.amazon.com/Clarins-Concentrate-Anti-Aging-D12Visibly-Brightening/dp/B099ZDQ6QS/ref=sr_1_4?keywords=Clarins+v+shaping+facial+lift+50ml%2F1.6oz&amp;qid=1695259658&amp;sr=8-4")</f>
        <v>https://www.amazon.com/Clarins-Concentrate-Anti-Aging-D12Visibly-Brightening/dp/B099ZDQ6QS/ref=sr_1_4?keywords=Clarins+v+shaping+facial+lift+50ml%2F1.6oz&amp;qid=1695259658&amp;sr=8-4</v>
      </c>
      <c r="F2873" t="s">
        <v>7076</v>
      </c>
      <c r="G2873" t="e">
        <f ca="1">IMAGE("https://prolisok-store.com/cdn/shop/products/349104_300x.jpg?v=1693406928")</f>
        <v>#NAME?</v>
      </c>
      <c r="H2873" t="e">
        <f ca="1">IMAGE("https://m.media-amazon.com/images/I/41YRaMSBvRL._AC_UL320_.jpg")</f>
        <v>#NAME?</v>
      </c>
      <c r="I2873" t="s">
        <v>6995</v>
      </c>
      <c r="J2873">
        <v>72</v>
      </c>
      <c r="K2873" s="2" t="s">
        <v>7077</v>
      </c>
      <c r="L2873">
        <v>3.8</v>
      </c>
      <c r="M2873">
        <v>72</v>
      </c>
      <c r="O2873" t="s">
        <v>26</v>
      </c>
      <c r="P2873" t="s">
        <v>39</v>
      </c>
      <c r="Q2873" t="s">
        <v>6996</v>
      </c>
    </row>
    <row r="2874" spans="1:17" ht="15.75" x14ac:dyDescent="0.25">
      <c r="A2874" s="3" t="str">
        <f>HYPERLINK("https://prolisok-store.com/collections/skin-care/products/estee-lauder-revitalizing-supreme-global-anti-aging-cell-power-eye-balm-15ml-0-5oz", "https://prolisok-store.com/collections/skin-care/products/estee-lauder-revitalizing-supreme-global-anti-aging-cell-power-eye-balm-15ml-0-5oz")</f>
        <v>https://prolisok-store.com/collections/skin-care/products/estee-lauder-revitalizing-supreme-global-anti-aging-cell-power-eye-balm-15ml-0-5oz</v>
      </c>
      <c r="B2874" s="3" t="str">
        <f>HYPERLINK("https://prolisok-store.com/products/estee-lauder-revitalizing-supreme-global-anti-aging-cell-power-eye-balm-15ml-0-5oz", "https://prolisok-store.com/products/estee-lauder-revitalizing-supreme-global-anti-aging-cell-power-eye-balm-15ml-0-5oz")</f>
        <v>https://prolisok-store.com/products/estee-lauder-revitalizing-supreme-global-anti-aging-cell-power-eye-balm-15ml-0-5oz</v>
      </c>
      <c r="C2874" t="s">
        <v>7078</v>
      </c>
      <c r="D2874" t="s">
        <v>7079</v>
      </c>
      <c r="E2874" s="3" t="str">
        <f>HYPERLINK("https://www.amazon.com/Estee-Lauder-Revitalizing-Supreme-Anti-Aging/dp/B01N15UDZ4/ref=sr_1_8?keywords=Estee+Lauder+revitalizing+supreme+global+anti-aging+cell+power+eye+balm+15ml%2F0.5oz&amp;qid=1695259693&amp;sr=8-8", "https://www.amazon.com/Estee-Lauder-Revitalizing-Supreme-Anti-Aging/dp/B01N15UDZ4/ref=sr_1_8?keywords=Estee+Lauder+revitalizing+supreme+global+anti-aging+cell+power+eye+balm+15ml%2F0.5oz&amp;qid=1695259693&amp;sr=8-8")</f>
        <v>https://www.amazon.com/Estee-Lauder-Revitalizing-Supreme-Anti-Aging/dp/B01N15UDZ4/ref=sr_1_8?keywords=Estee+Lauder+revitalizing+supreme+global+anti-aging+cell+power+eye+balm+15ml%2F0.5oz&amp;qid=1695259693&amp;sr=8-8</v>
      </c>
      <c r="F2874" t="s">
        <v>7080</v>
      </c>
      <c r="G2874" t="e">
        <f ca="1">IMAGE("https://prolisok-store.com/cdn/shop/products/302108_300x.jpg?v=1690900195")</f>
        <v>#NAME?</v>
      </c>
      <c r="H2874" t="e">
        <f ca="1">IMAGE("https://m.media-amazon.com/images/I/41xMTsmifpL._AC_UL320_.jpg")</f>
        <v>#NAME?</v>
      </c>
      <c r="I2874" t="s">
        <v>7000</v>
      </c>
      <c r="J2874">
        <v>62.99</v>
      </c>
      <c r="K2874" s="2" t="s">
        <v>7077</v>
      </c>
      <c r="L2874">
        <v>4</v>
      </c>
      <c r="M2874">
        <v>19</v>
      </c>
      <c r="O2874" t="s">
        <v>26</v>
      </c>
      <c r="P2874" t="s">
        <v>39</v>
      </c>
      <c r="Q2874" t="s">
        <v>7081</v>
      </c>
    </row>
    <row r="2875" spans="1:17" ht="15.75" x14ac:dyDescent="0.25">
      <c r="A2875" s="3" t="str">
        <f>HYPERLINK("https://prolisok-store.com/collections/skin-care/products/elizabeth-arden-capsules-serum", "https://prolisok-store.com/collections/skin-care/products/elizabeth-arden-capsules-serum")</f>
        <v>https://prolisok-store.com/collections/skin-care/products/elizabeth-arden-capsules-serum</v>
      </c>
      <c r="B2875" s="3" t="str">
        <f>HYPERLINK("https://prolisok-store.com/products/elizabeth-arden-capsules-serum", "https://prolisok-store.com/products/elizabeth-arden-capsules-serum")</f>
        <v>https://prolisok-store.com/products/elizabeth-arden-capsules-serum</v>
      </c>
      <c r="C2875" t="s">
        <v>4670</v>
      </c>
      <c r="D2875" t="s">
        <v>4977</v>
      </c>
      <c r="E2875" s="3" t="str">
        <f>HYPERLINK("https://www.amazon.com/Elizabeth-Arden-Retinol-Ceramide-Capsules/dp/B07FKBBK1L/ref=sr_1_7?keywords=Elizabeth+Arden+Capsules+Serum&amp;qid=1695259597&amp;sr=8-7", "https://www.amazon.com/Elizabeth-Arden-Retinol-Ceramide-Capsules/dp/B07FKBBK1L/ref=sr_1_7?keywords=Elizabeth+Arden+Capsules+Serum&amp;qid=1695259597&amp;sr=8-7")</f>
        <v>https://www.amazon.com/Elizabeth-Arden-Retinol-Ceramide-Capsules/dp/B07FKBBK1L/ref=sr_1_7?keywords=Elizabeth+Arden+Capsules+Serum&amp;qid=1695259597&amp;sr=8-7</v>
      </c>
      <c r="F2875" t="s">
        <v>4978</v>
      </c>
      <c r="G2875" t="e">
        <f ca="1">IMAGE("https://prolisok-store.com/cdn/shop/files/71roxz2sB-L._SL1500_300x.jpg?v=1683266294")</f>
        <v>#NAME?</v>
      </c>
      <c r="H2875" t="e">
        <f ca="1">IMAGE("https://m.media-amazon.com/images/I/71ObhVyRrqL._AC_UL320_.jpg")</f>
        <v>#NAME?</v>
      </c>
      <c r="I2875" t="s">
        <v>4355</v>
      </c>
      <c r="J2875">
        <v>54</v>
      </c>
      <c r="K2875" s="2" t="s">
        <v>4979</v>
      </c>
      <c r="L2875">
        <v>4.5</v>
      </c>
      <c r="M2875">
        <v>1342</v>
      </c>
      <c r="O2875" t="s">
        <v>26</v>
      </c>
      <c r="P2875" t="s">
        <v>39</v>
      </c>
      <c r="Q2875" t="s">
        <v>4673</v>
      </c>
    </row>
    <row r="2876" spans="1:17" ht="15.75" x14ac:dyDescent="0.25">
      <c r="A2876" s="3" t="str">
        <f>HYPERLINK("https://prolisok-store.com/collections/skin-care/products/elizabeth-arden-capsules-serum", "https://prolisok-store.com/collections/skin-care/products/elizabeth-arden-capsules-serum")</f>
        <v>https://prolisok-store.com/collections/skin-care/products/elizabeth-arden-capsules-serum</v>
      </c>
      <c r="B2876" s="3" t="str">
        <f>HYPERLINK("https://prolisok-store.com/products/elizabeth-arden-capsules-serum", "https://prolisok-store.com/products/elizabeth-arden-capsules-serum")</f>
        <v>https://prolisok-store.com/products/elizabeth-arden-capsules-serum</v>
      </c>
      <c r="C2876" t="s">
        <v>4670</v>
      </c>
      <c r="D2876" t="s">
        <v>4980</v>
      </c>
      <c r="E2876" s="3" t="str">
        <f>HYPERLINK("https://www.amazon.com/Elizabeth-Arden-ADVANCED-CERAMIDE-STRENGTHENING/dp/B0BTTLKPZC/ref=sr_1_9?keywords=Elizabeth+Arden+Capsules+Serum&amp;qid=1695259597&amp;sr=8-9", "https://www.amazon.com/Elizabeth-Arden-ADVANCED-CERAMIDE-STRENGTHENING/dp/B0BTTLKPZC/ref=sr_1_9?keywords=Elizabeth+Arden+Capsules+Serum&amp;qid=1695259597&amp;sr=8-9")</f>
        <v>https://www.amazon.com/Elizabeth-Arden-ADVANCED-CERAMIDE-STRENGTHENING/dp/B0BTTLKPZC/ref=sr_1_9?keywords=Elizabeth+Arden+Capsules+Serum&amp;qid=1695259597&amp;sr=8-9</v>
      </c>
      <c r="F2876" t="s">
        <v>4981</v>
      </c>
      <c r="G2876" t="e">
        <f ca="1">IMAGE("https://prolisok-store.com/cdn/shop/files/71roxz2sB-L._SL1500_300x.jpg?v=1683266294")</f>
        <v>#NAME?</v>
      </c>
      <c r="H2876" t="e">
        <f ca="1">IMAGE("https://m.media-amazon.com/images/I/810rnkKXOgL._AC_UL320_.jpg")</f>
        <v>#NAME?</v>
      </c>
      <c r="I2876" t="s">
        <v>4355</v>
      </c>
      <c r="J2876">
        <v>54</v>
      </c>
      <c r="K2876" s="2" t="s">
        <v>4979</v>
      </c>
      <c r="L2876">
        <v>4.3</v>
      </c>
      <c r="M2876">
        <v>59</v>
      </c>
      <c r="O2876" t="s">
        <v>26</v>
      </c>
      <c r="P2876" t="s">
        <v>39</v>
      </c>
      <c r="Q2876" t="s">
        <v>4673</v>
      </c>
    </row>
    <row r="2877" spans="1:17" ht="15.75" x14ac:dyDescent="0.25">
      <c r="A2877" s="3" t="str">
        <f>HYPERLINK("https://prolisok-store.com/collections/skin-care/products/elizabeth-arden-capsules-serum", "https://prolisok-store.com/collections/skin-care/products/elizabeth-arden-capsules-serum")</f>
        <v>https://prolisok-store.com/collections/skin-care/products/elizabeth-arden-capsules-serum</v>
      </c>
      <c r="B2877" s="3" t="str">
        <f>HYPERLINK("https://prolisok-store.com/products/elizabeth-arden-capsules-serum", "https://prolisok-store.com/products/elizabeth-arden-capsules-serum")</f>
        <v>https://prolisok-store.com/products/elizabeth-arden-capsules-serum</v>
      </c>
      <c r="C2877" t="s">
        <v>4670</v>
      </c>
      <c r="D2877" t="s">
        <v>4982</v>
      </c>
      <c r="E2877" s="3" t="str">
        <f>HYPERLINK("https://www.amazon.com/Elizabeth-Arden-Hyaluronic-Ceramide-Hydra-Plumping/dp/B08F76M1YF/ref=sr_1_3?keywords=Elizabeth+Arden+Capsules+Serum&amp;qid=1695259597&amp;sr=8-3", "https://www.amazon.com/Elizabeth-Arden-Hyaluronic-Ceramide-Hydra-Plumping/dp/B08F76M1YF/ref=sr_1_3?keywords=Elizabeth+Arden+Capsules+Serum&amp;qid=1695259597&amp;sr=8-3")</f>
        <v>https://www.amazon.com/Elizabeth-Arden-Hyaluronic-Ceramide-Hydra-Plumping/dp/B08F76M1YF/ref=sr_1_3?keywords=Elizabeth+Arden+Capsules+Serum&amp;qid=1695259597&amp;sr=8-3</v>
      </c>
      <c r="F2877" t="s">
        <v>4983</v>
      </c>
      <c r="G2877" t="e">
        <f ca="1">IMAGE("https://prolisok-store.com/cdn/shop/files/71roxz2sB-L._SL1500_300x.jpg?v=1683266294")</f>
        <v>#NAME?</v>
      </c>
      <c r="H2877" t="e">
        <f ca="1">IMAGE("https://m.media-amazon.com/images/I/71XPzgxydZL._AC_UL320_.jpg")</f>
        <v>#NAME?</v>
      </c>
      <c r="I2877" t="s">
        <v>4355</v>
      </c>
      <c r="J2877">
        <v>54</v>
      </c>
      <c r="K2877" s="2" t="s">
        <v>4979</v>
      </c>
      <c r="L2877">
        <v>4.5999999999999996</v>
      </c>
      <c r="M2877">
        <v>988</v>
      </c>
      <c r="O2877" t="s">
        <v>26</v>
      </c>
      <c r="P2877" t="s">
        <v>39</v>
      </c>
      <c r="Q2877" t="s">
        <v>4673</v>
      </c>
    </row>
    <row r="2878" spans="1:17" ht="15.75" x14ac:dyDescent="0.25">
      <c r="A2878" s="3" t="str">
        <f>HYPERLINK("https://prolisok-store.com/collections/skin-care/products/clarins-men-line-control-balm-50ml-1-7oz", "https://prolisok-store.com/collections/skin-care/products/clarins-men-line-control-balm-50ml-1-7oz")</f>
        <v>https://prolisok-store.com/collections/skin-care/products/clarins-men-line-control-balm-50ml-1-7oz</v>
      </c>
      <c r="B2878" s="3" t="str">
        <f>HYPERLINK("https://prolisok-store.com/products/clarins-men-line-control-balm-50ml-1-7oz", "https://prolisok-store.com/products/clarins-men-line-control-balm-50ml-1-7oz")</f>
        <v>https://prolisok-store.com/products/clarins-men-line-control-balm-50ml-1-7oz</v>
      </c>
      <c r="C2878" t="s">
        <v>7004</v>
      </c>
      <c r="D2878" t="s">
        <v>6892</v>
      </c>
      <c r="E2878" s="3" t="str">
        <f>HYPERLINK("https://www.amazon.com/CLARINSMEN-Line-Control-Anti-Aging-Puffiness-Dermatologist/dp/B0B1Q3NQVW/ref=sr_1_4?keywords=Clarins+men+line+control+balm+50ml%2F1.7oz&amp;qid=1695259638&amp;sr=8-4", "https://www.amazon.com/CLARINSMEN-Line-Control-Anti-Aging-Puffiness-Dermatologist/dp/B0B1Q3NQVW/ref=sr_1_4?keywords=Clarins+men+line+control+balm+50ml%2F1.7oz&amp;qid=1695259638&amp;sr=8-4")</f>
        <v>https://www.amazon.com/CLARINSMEN-Line-Control-Anti-Aging-Puffiness-Dermatologist/dp/B0B1Q3NQVW/ref=sr_1_4?keywords=Clarins+men+line+control+balm+50ml%2F1.7oz&amp;qid=1695259638&amp;sr=8-4</v>
      </c>
      <c r="F2878" t="s">
        <v>6893</v>
      </c>
      <c r="G2878" t="e">
        <f ca="1">IMAGE("https://prolisok-store.com/cdn/shop/products/188425_300x.jpg?v=1693407043")</f>
        <v>#NAME?</v>
      </c>
      <c r="H2878" t="e">
        <f ca="1">IMAGE("https://m.media-amazon.com/images/I/61UmWkxDczL._AC_UL320_.jpg")</f>
        <v>#NAME?</v>
      </c>
      <c r="I2878" t="s">
        <v>7007</v>
      </c>
      <c r="J2878">
        <v>52</v>
      </c>
      <c r="K2878" s="2" t="s">
        <v>7082</v>
      </c>
      <c r="L2878">
        <v>4.5</v>
      </c>
      <c r="M2878">
        <v>55</v>
      </c>
      <c r="O2878" t="s">
        <v>26</v>
      </c>
      <c r="P2878" t="s">
        <v>39</v>
      </c>
      <c r="Q2878" t="s">
        <v>7009</v>
      </c>
    </row>
    <row r="2879" spans="1:17" ht="15.75" x14ac:dyDescent="0.25">
      <c r="A2879" s="3" t="str">
        <f>HYPERLINK("https://prolisok-store.com/collections/skin-care/products/clinique-by-clinique-chubby-lash-fattening-mascara-01-jumbo-jet-10ml-0-4oz", "https://prolisok-store.com/collections/skin-care/products/clinique-by-clinique-chubby-lash-fattening-mascara-01-jumbo-jet-10ml-0-4oz")</f>
        <v>https://prolisok-store.com/collections/skin-care/products/clinique-by-clinique-chubby-lash-fattening-mascara-01-jumbo-jet-10ml-0-4oz</v>
      </c>
      <c r="B2879"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879" t="s">
        <v>6208</v>
      </c>
      <c r="D2879" t="s">
        <v>6365</v>
      </c>
      <c r="E2879" s="3" t="str">
        <f>HYPERLINK("https://www.amazon.com/Chubby-Fattening-Mascara-Clinique-fl-oz/dp/B09Q3L12YK/ref=sr_1_1?keywords=Clinique+chubby+lash+fattening+mascara+-&amp;qid=1695259697&amp;sr=8-1", "https://www.amazon.com/Chubby-Fattening-Mascara-Clinique-fl-oz/dp/B09Q3L12YK/ref=sr_1_1?keywords=Clinique+chubby+lash+fattening+mascara+-&amp;qid=1695259697&amp;sr=8-1")</f>
        <v>https://www.amazon.com/Chubby-Fattening-Mascara-Clinique-fl-oz/dp/B09Q3L12YK/ref=sr_1_1?keywords=Clinique+chubby+lash+fattening+mascara+-&amp;qid=1695259697&amp;sr=8-1</v>
      </c>
      <c r="F2879" t="s">
        <v>6366</v>
      </c>
      <c r="G2879" t="e">
        <f ca="1">IMAGE("https://prolisok-store.com/cdn/shop/files/B-MRKTS-1062_300x.png?v=1690307144")</f>
        <v>#NAME?</v>
      </c>
      <c r="H2879" t="e">
        <f ca="1">IMAGE("https://m.media-amazon.com/images/I/41pPqZNWPdL._AC_UL320_.jpg")</f>
        <v>#NAME?</v>
      </c>
      <c r="I2879" t="s">
        <v>6000</v>
      </c>
      <c r="J2879">
        <v>20.89</v>
      </c>
      <c r="K2879" s="2" t="s">
        <v>5653</v>
      </c>
      <c r="L2879">
        <v>4.3</v>
      </c>
      <c r="M2879">
        <v>7</v>
      </c>
      <c r="O2879" t="s">
        <v>26</v>
      </c>
      <c r="P2879" t="s">
        <v>39</v>
      </c>
      <c r="Q2879" t="s">
        <v>6212</v>
      </c>
    </row>
    <row r="2880" spans="1:17" ht="15.75" x14ac:dyDescent="0.25">
      <c r="A2880" s="3" t="str">
        <f>HYPERLINK("https://prolisok-store.com/collections/skin-care/products/clinique-by-clinique-clinique-rinse-off-foaming-cleanser-150ml-5oz", "https://prolisok-store.com/collections/skin-care/products/clinique-by-clinique-clinique-rinse-off-foaming-cleanser-150ml-5oz")</f>
        <v>https://prolisok-store.com/collections/skin-care/products/clinique-by-clinique-clinique-rinse-off-foaming-cleanser-150ml-5oz</v>
      </c>
      <c r="B2880" s="3" t="str">
        <f>HYPERLINK("https://prolisok-store.com/products/clinique-by-clinique-clinique-rinse-off-foaming-cleanser-150ml-5oz", "https://prolisok-store.com/products/clinique-by-clinique-clinique-rinse-off-foaming-cleanser-150ml-5oz")</f>
        <v>https://prolisok-store.com/products/clinique-by-clinique-clinique-rinse-off-foaming-cleanser-150ml-5oz</v>
      </c>
      <c r="C2880" t="s">
        <v>6852</v>
      </c>
      <c r="D2880" t="s">
        <v>7083</v>
      </c>
      <c r="E2880" s="3" t="str">
        <f>HYPERLINK("https://www.amazon.com/CLINIQUE-Clinique-Rinse-Foaming-Cleanser-150ml/dp/B00J45AV74/ref=sr_1_1?keywords=Clinique+rinse+off+foaming+cleanser--150ml%2F5oz&amp;qid=1695259710&amp;sr=8-1", "https://www.amazon.com/CLINIQUE-Clinique-Rinse-Foaming-Cleanser-150ml/dp/B00J45AV74/ref=sr_1_1?keywords=Clinique+rinse+off+foaming+cleanser--150ml%2F5oz&amp;qid=1695259710&amp;sr=8-1")</f>
        <v>https://www.amazon.com/CLINIQUE-Clinique-Rinse-Foaming-Cleanser-150ml/dp/B00J45AV74/ref=sr_1_1?keywords=Clinique+rinse+off+foaming+cleanser--150ml%2F5oz&amp;qid=1695259710&amp;sr=8-1</v>
      </c>
      <c r="F2880" t="s">
        <v>7084</v>
      </c>
      <c r="G2880" t="e">
        <f ca="1">IMAGE("https://prolisok-store.com/cdn/shop/products/129649_300x.jpg?v=1688060485")</f>
        <v>#NAME?</v>
      </c>
      <c r="H2880" t="e">
        <f ca="1">IMAGE("https://m.media-amazon.com/images/I/51Wd-6+9MGL._AC_UL320_.jpg")</f>
        <v>#NAME?</v>
      </c>
      <c r="I2880" t="s">
        <v>6360</v>
      </c>
      <c r="J2880">
        <v>22.4</v>
      </c>
      <c r="K2880" s="2" t="s">
        <v>7085</v>
      </c>
      <c r="L2880">
        <v>4.7</v>
      </c>
      <c r="M2880">
        <v>253</v>
      </c>
      <c r="O2880" t="s">
        <v>26</v>
      </c>
      <c r="P2880" t="s">
        <v>39</v>
      </c>
      <c r="Q2880" t="s">
        <v>6856</v>
      </c>
    </row>
    <row r="2881" spans="1:17" ht="15.75" x14ac:dyDescent="0.25">
      <c r="A2881" s="3" t="str">
        <f>HYPERLINK("https://prolisok-store.com/collections/skin-care/products/clinique-by-clinique-deep-comfort-body-lotion-400ml-13oz", "https://prolisok-store.com/collections/skin-care/products/clinique-by-clinique-deep-comfort-body-lotion-400ml-13oz")</f>
        <v>https://prolisok-store.com/collections/skin-care/products/clinique-by-clinique-deep-comfort-body-lotion-400ml-13oz</v>
      </c>
      <c r="B2881" s="3" t="str">
        <f>HYPERLINK("https://prolisok-store.com/products/clinique-by-clinique-deep-comfort-body-lotion-400ml-13oz", "https://prolisok-store.com/products/clinique-by-clinique-deep-comfort-body-lotion-400ml-13oz")</f>
        <v>https://prolisok-store.com/products/clinique-by-clinique-deep-comfort-body-lotion-400ml-13oz</v>
      </c>
      <c r="C2881" t="s">
        <v>7086</v>
      </c>
      <c r="D2881" t="s">
        <v>7087</v>
      </c>
      <c r="E2881" s="3" t="str">
        <f>HYPERLINK("https://www.amazon.com/Clinique-Comfort-Lotion-400ml-13-5oz/dp/B003O5H6F0/ref=sr_1_1?keywords=Clinique+deep+comfort+body+lotion+--400ml%2F13oz&amp;qid=1695259705&amp;sr=8-1", "https://www.amazon.com/Clinique-Comfort-Lotion-400ml-13-5oz/dp/B003O5H6F0/ref=sr_1_1?keywords=Clinique+deep+comfort+body+lotion+--400ml%2F13oz&amp;qid=1695259705&amp;sr=8-1")</f>
        <v>https://www.amazon.com/Clinique-Comfort-Lotion-400ml-13-5oz/dp/B003O5H6F0/ref=sr_1_1?keywords=Clinique+deep+comfort+body+lotion+--400ml%2F13oz&amp;qid=1695259705&amp;sr=8-1</v>
      </c>
      <c r="F2881" t="s">
        <v>7088</v>
      </c>
      <c r="G2881" t="e">
        <f ca="1">IMAGE("https://prolisok-store.com/cdn/shop/products/209266_300x.jpg?v=1688060463")</f>
        <v>#NAME?</v>
      </c>
      <c r="H2881" t="e">
        <f ca="1">IMAGE("https://m.media-amazon.com/images/I/61OQfC+CRML._AC_UL320_.jpg")</f>
        <v>#NAME?</v>
      </c>
      <c r="I2881" t="s">
        <v>4432</v>
      </c>
      <c r="J2881">
        <v>39.590000000000003</v>
      </c>
      <c r="K2881" s="2" t="s">
        <v>3686</v>
      </c>
      <c r="L2881">
        <v>4.3</v>
      </c>
      <c r="M2881">
        <v>108</v>
      </c>
      <c r="O2881" t="s">
        <v>26</v>
      </c>
      <c r="P2881" t="s">
        <v>39</v>
      </c>
      <c r="Q2881" t="s">
        <v>7089</v>
      </c>
    </row>
    <row r="2882" spans="1:17" ht="15.75" x14ac:dyDescent="0.25">
      <c r="A2882" s="3" t="str">
        <f>HYPERLINK("https://prolisok-store.com/collections/skin-care/products/estee-lauder-nightwear-plus-anti-oxidant-night-detox-creme-50ml-1-7oz", "https://prolisok-store.com/collections/skin-care/products/estee-lauder-nightwear-plus-anti-oxidant-night-detox-creme-50ml-1-7oz")</f>
        <v>https://prolisok-store.com/collections/skin-care/products/estee-lauder-nightwear-plus-anti-oxidant-night-detox-creme-50ml-1-7oz</v>
      </c>
      <c r="B2882" s="3" t="str">
        <f>HYPERLINK("https://prolisok-store.com/products/estee-lauder-nightwear-plus-anti-oxidant-night-detox-creme-50ml-1-7oz", "https://prolisok-store.com/products/estee-lauder-nightwear-plus-anti-oxidant-night-detox-creme-50ml-1-7oz")</f>
        <v>https://prolisok-store.com/products/estee-lauder-nightwear-plus-anti-oxidant-night-detox-creme-50ml-1-7oz</v>
      </c>
      <c r="C2882" t="s">
        <v>7090</v>
      </c>
      <c r="D2882" t="s">
        <v>7091</v>
      </c>
      <c r="E2882" s="3" t="str">
        <f>HYPERLINK("https://www.amazon.com/Estee-Lauder-Daywear-Nightwear-Anti-oxidant/dp/B015LLE1O8/ref=sr_1_6?keywords=Estee+Lauder+nightwear+plus+anti-oxidant+night+detox+creme+50ml%2F1.7oz&amp;qid=1695259686&amp;sr=8-6", "https://www.amazon.com/Estee-Lauder-Daywear-Nightwear-Anti-oxidant/dp/B015LLE1O8/ref=sr_1_6?keywords=Estee+Lauder+nightwear+plus+anti-oxidant+night+detox+creme+50ml%2F1.7oz&amp;qid=1695259686&amp;sr=8-6")</f>
        <v>https://www.amazon.com/Estee-Lauder-Daywear-Nightwear-Anti-oxidant/dp/B015LLE1O8/ref=sr_1_6?keywords=Estee+Lauder+nightwear+plus+anti-oxidant+night+detox+creme+50ml%2F1.7oz&amp;qid=1695259686&amp;sr=8-6</v>
      </c>
      <c r="F2882" t="s">
        <v>7092</v>
      </c>
      <c r="G2882" t="e">
        <f ca="1">IMAGE("https://prolisok-store.com/cdn/shop/products/290547_300x.jpg?v=1690900215")</f>
        <v>#NAME?</v>
      </c>
      <c r="H2882" t="e">
        <f ca="1">IMAGE("https://m.media-amazon.com/images/I/51eM54DckGL._AC_UL320_.jpg")</f>
        <v>#NAME?</v>
      </c>
      <c r="I2882" t="s">
        <v>4281</v>
      </c>
      <c r="J2882">
        <v>55.94</v>
      </c>
      <c r="K2882" s="2" t="s">
        <v>7093</v>
      </c>
      <c r="L2882">
        <v>4.3</v>
      </c>
      <c r="M2882">
        <v>131</v>
      </c>
      <c r="O2882" t="s">
        <v>26</v>
      </c>
      <c r="P2882" t="s">
        <v>39</v>
      </c>
      <c r="Q2882" t="s">
        <v>7094</v>
      </c>
    </row>
    <row r="2883" spans="1:17" ht="15.75" x14ac:dyDescent="0.25">
      <c r="A2883" s="3" t="str">
        <f>HYPERLINK("https://prolisok-store.com/collections/skin-care/products/sisley-sisley-phyto-touche-sun-glow-gel-30ml-1oz", "https://prolisok-store.com/collections/skin-care/products/sisley-sisley-phyto-touche-sun-glow-gel-30ml-1oz")</f>
        <v>https://prolisok-store.com/collections/skin-care/products/sisley-sisley-phyto-touche-sun-glow-gel-30ml-1oz</v>
      </c>
      <c r="B2883" s="3" t="str">
        <f>HYPERLINK("https://prolisok-store.com/products/sisley-sisley-phyto-touche-sun-glow-gel-30ml-1oz", "https://prolisok-store.com/products/sisley-sisley-phyto-touche-sun-glow-gel-30ml-1oz")</f>
        <v>https://prolisok-store.com/products/sisley-sisley-phyto-touche-sun-glow-gel-30ml-1oz</v>
      </c>
      <c r="C2883" t="s">
        <v>6884</v>
      </c>
      <c r="D2883" t="s">
        <v>7095</v>
      </c>
      <c r="E2883" s="3" t="str">
        <f>HYPERLINK("https://www.amazon.com/Sisley-Womens-Phyto-Touche-Glow-Ounce/dp/B00BVO9PD2/ref=sr_1_1?keywords=Sisley+sisley+phyto-touche+sun+glow+gel30ml%2F1oz&amp;qid=1695259702&amp;sr=8-1", "https://www.amazon.com/Sisley-Womens-Phyto-Touche-Glow-Ounce/dp/B00BVO9PD2/ref=sr_1_1?keywords=Sisley+sisley+phyto-touche+sun+glow+gel30ml%2F1oz&amp;qid=1695259702&amp;sr=8-1")</f>
        <v>https://www.amazon.com/Sisley-Womens-Phyto-Touche-Glow-Ounce/dp/B00BVO9PD2/ref=sr_1_1?keywords=Sisley+sisley+phyto-touche+sun+glow+gel30ml%2F1oz&amp;qid=1695259702&amp;sr=8-1</v>
      </c>
      <c r="F2883" t="s">
        <v>7096</v>
      </c>
      <c r="G2883" t="e">
        <f ca="1">IMAGE("https://prolisok-store.com/cdn/shop/products/131355_300x.jpg?v=1690900870")</f>
        <v>#NAME?</v>
      </c>
      <c r="H2883" t="e">
        <f ca="1">IMAGE("https://m.media-amazon.com/images/I/51gayR2wOnL._AC_UL320_.jpg")</f>
        <v>#NAME?</v>
      </c>
      <c r="I2883" t="s">
        <v>6137</v>
      </c>
      <c r="J2883">
        <v>74.650000000000006</v>
      </c>
      <c r="K2883" s="2" t="s">
        <v>7097</v>
      </c>
      <c r="L2883">
        <v>4.5</v>
      </c>
      <c r="M2883">
        <v>21</v>
      </c>
      <c r="O2883" t="s">
        <v>26</v>
      </c>
      <c r="P2883" t="s">
        <v>39</v>
      </c>
      <c r="Q2883" t="s">
        <v>6888</v>
      </c>
    </row>
    <row r="2884" spans="1:17" ht="15.75" x14ac:dyDescent="0.25">
      <c r="A2884" s="3" t="str">
        <f>HYPERLINK("https://prolisok-store.com/collections/skin-care/products/drunk-elephant-lala-retro-whipped-cream-50-milliliters", "https://prolisok-store.com/collections/skin-care/products/drunk-elephant-lala-retro-whipped-cream-50-milliliters")</f>
        <v>https://prolisok-store.com/collections/skin-care/products/drunk-elephant-lala-retro-whipped-cream-50-milliliters</v>
      </c>
      <c r="B2884" s="3" t="str">
        <f>HYPERLINK("https://prolisok-store.com/products/drunk-elephant-lala-retro-whipped-cream-50-milliliters", "https://prolisok-store.com/products/drunk-elephant-lala-retro-whipped-cream-50-milliliters")</f>
        <v>https://prolisok-store.com/products/drunk-elephant-lala-retro-whipped-cream-50-milliliters</v>
      </c>
      <c r="C2884" t="s">
        <v>4388</v>
      </c>
      <c r="D2884" t="s">
        <v>4987</v>
      </c>
      <c r="E2884" s="3" t="str">
        <f>HYPERLINK("https://www.amazon.com/Whipped-Replenishing-Moisturizer-Protection-Rejuvenation/dp/B0B9XDGRHK/ref=sr_1_2?keywords=Drunk+Elephant+Lala+Retro+Whipped+Cream+50+Milliliters&amp;qid=1695259593&amp;sr=8-2", "https://www.amazon.com/Whipped-Replenishing-Moisturizer-Protection-Rejuvenation/dp/B0B9XDGRHK/ref=sr_1_2?keywords=Drunk+Elephant+Lala+Retro+Whipped+Cream+50+Milliliters&amp;qid=1695259593&amp;sr=8-2")</f>
        <v>https://www.amazon.com/Whipped-Replenishing-Moisturizer-Protection-Rejuvenation/dp/B0B9XDGRHK/ref=sr_1_2?keywords=Drunk+Elephant+Lala+Retro+Whipped+Cream+50+Milliliters&amp;qid=1695259593&amp;sr=8-2</v>
      </c>
      <c r="F2884" t="s">
        <v>4988</v>
      </c>
      <c r="G2884" t="e">
        <f ca="1">IMAGE("https://prolisok-store.com/cdn/shop/files/51ybUrn6ZWL._SL1500_300x.jpg?v=1686223860")</f>
        <v>#NAME?</v>
      </c>
      <c r="H2884" t="e">
        <f ca="1">IMAGE("https://m.media-amazon.com/images/I/41CHkJw2zpL._AC_UL320_.jpg")</f>
        <v>#NAME?</v>
      </c>
      <c r="I2884" t="s">
        <v>3566</v>
      </c>
      <c r="J2884">
        <v>30.5</v>
      </c>
      <c r="K2884" s="2" t="s">
        <v>4989</v>
      </c>
      <c r="L2884">
        <v>4</v>
      </c>
      <c r="M2884">
        <v>123</v>
      </c>
      <c r="O2884" t="s">
        <v>26</v>
      </c>
      <c r="P2884" t="s">
        <v>2472</v>
      </c>
      <c r="Q2884" t="s">
        <v>4392</v>
      </c>
    </row>
    <row r="2885" spans="1:17" ht="15.75" x14ac:dyDescent="0.25">
      <c r="A2885" s="3" t="str">
        <f>HYPERLINK("https://prolisok-store.com/collections/skin-care/products/clarins-my-clarins-re-boost-matifying-hydrating-cream-oily-skin-50ml-1-7oz", "https://prolisok-store.com/collections/skin-care/products/clarins-my-clarins-re-boost-matifying-hydrating-cream-oily-skin-50ml-1-7oz")</f>
        <v>https://prolisok-store.com/collections/skin-care/products/clarins-my-clarins-re-boost-matifying-hydrating-cream-oily-skin-50ml-1-7oz</v>
      </c>
      <c r="B2885" s="3" t="str">
        <f>HYPERLINK("https://prolisok-store.com/products/clarins-my-clarins-re-boost-matifying-hydrating-cream-oily-skin-50ml-1-7oz", "https://prolisok-store.com/products/clarins-my-clarins-re-boost-matifying-hydrating-cream-oily-skin-50ml-1-7oz")</f>
        <v>https://prolisok-store.com/products/clarins-my-clarins-re-boost-matifying-hydrating-cream-oily-skin-50ml-1-7oz</v>
      </c>
      <c r="C2885" t="s">
        <v>7098</v>
      </c>
      <c r="D2885" t="s">
        <v>7099</v>
      </c>
      <c r="E2885" s="3" t="str">
        <f>HYPERLINK("https://www.amazon.com/Clarins-Matifying-Moisturizer-Paraben-Free-Combination/dp/B0B5VS1SSG/ref=sr_1_1?keywords=Clarins+my+clarins+reboost+matifying+hydrating+cream+oily+skin+50ml%2F1.7oz&amp;qid=1695259665&amp;sr=8-1", "https://www.amazon.com/Clarins-Matifying-Moisturizer-Paraben-Free-Combination/dp/B0B5VS1SSG/ref=sr_1_1?keywords=Clarins+my+clarins+reboost+matifying+hydrating+cream+oily+skin+50ml%2F1.7oz&amp;qid=1695259665&amp;sr=8-1")</f>
        <v>https://www.amazon.com/Clarins-Matifying-Moisturizer-Paraben-Free-Combination/dp/B0B5VS1SSG/ref=sr_1_1?keywords=Clarins+my+clarins+reboost+matifying+hydrating+cream+oily+skin+50ml%2F1.7oz&amp;qid=1695259665&amp;sr=8-1</v>
      </c>
      <c r="F2885" t="s">
        <v>7100</v>
      </c>
      <c r="G2885" t="e">
        <f ca="1">IMAGE("https://prolisok-store.com/cdn/shop/products/362719_300x.jpg?v=1693406762")</f>
        <v>#NAME?</v>
      </c>
      <c r="H2885" t="e">
        <f ca="1">IMAGE("https://m.media-amazon.com/images/I/61HZxHZWRGL._AC_UL320_.jpg")</f>
        <v>#NAME?</v>
      </c>
      <c r="I2885" t="s">
        <v>7101</v>
      </c>
      <c r="J2885">
        <v>27</v>
      </c>
      <c r="K2885" s="2" t="s">
        <v>2566</v>
      </c>
      <c r="L2885">
        <v>4.5</v>
      </c>
      <c r="M2885">
        <v>42</v>
      </c>
      <c r="O2885" t="s">
        <v>26</v>
      </c>
      <c r="P2885" t="s">
        <v>39</v>
      </c>
      <c r="Q2885" t="s">
        <v>7102</v>
      </c>
    </row>
    <row r="2886" spans="1:17" ht="15.75" x14ac:dyDescent="0.25">
      <c r="A2886" s="3" t="str">
        <f>HYPERLINK("https://prolisok-store.com/collections/skin-care/products/clinique-by-clinique-chubby-lash-fattening-mascara-01-jumbo-jet-10ml-0-4oz", "https://prolisok-store.com/collections/skin-care/products/clinique-by-clinique-chubby-lash-fattening-mascara-01-jumbo-jet-10ml-0-4oz")</f>
        <v>https://prolisok-store.com/collections/skin-care/products/clinique-by-clinique-chubby-lash-fattening-mascara-01-jumbo-jet-10ml-0-4oz</v>
      </c>
      <c r="B2886" s="3" t="str">
        <f>HYPERLINK("https://prolisok-store.com/products/clinique-by-clinique-chubby-lash-fattening-mascara-01-jumbo-jet-10ml-0-4oz", "https://prolisok-store.com/products/clinique-by-clinique-chubby-lash-fattening-mascara-01-jumbo-jet-10ml-0-4oz")</f>
        <v>https://prolisok-store.com/products/clinique-by-clinique-chubby-lash-fattening-mascara-01-jumbo-jet-10ml-0-4oz</v>
      </c>
      <c r="C2886" t="s">
        <v>6208</v>
      </c>
      <c r="D2886" t="s">
        <v>6403</v>
      </c>
      <c r="E2886" s="3" t="str">
        <f>HYPERLINK("https://www.amazon.com/CLINIQUE-Chubby-Fattening-Mascara-Travel-Size/dp/B01L4XUE9I/ref=sr_1_5?keywords=Clinique+chubby+lash+fattening+mascara+-&amp;qid=1695259697&amp;sr=8-5", "https://www.amazon.com/CLINIQUE-Chubby-Fattening-Mascara-Travel-Size/dp/B01L4XUE9I/ref=sr_1_5?keywords=Clinique+chubby+lash+fattening+mascara+-&amp;qid=1695259697&amp;sr=8-5")</f>
        <v>https://www.amazon.com/CLINIQUE-Chubby-Fattening-Mascara-Travel-Size/dp/B01L4XUE9I/ref=sr_1_5?keywords=Clinique+chubby+lash+fattening+mascara+-&amp;qid=1695259697&amp;sr=8-5</v>
      </c>
      <c r="F2886" t="s">
        <v>6404</v>
      </c>
      <c r="G2886" t="e">
        <f ca="1">IMAGE("https://prolisok-store.com/cdn/shop/files/B-MRKTS-1062_300x.png?v=1690307144")</f>
        <v>#NAME?</v>
      </c>
      <c r="H2886" t="e">
        <f ca="1">IMAGE("https://m.media-amazon.com/images/I/71zm+9mgayL._AC_UL320_.jpg")</f>
        <v>#NAME?</v>
      </c>
      <c r="I2886" t="s">
        <v>6000</v>
      </c>
      <c r="J2886">
        <v>19.989999999999998</v>
      </c>
      <c r="K2886" s="2" t="s">
        <v>6405</v>
      </c>
      <c r="L2886">
        <v>4.3</v>
      </c>
      <c r="M2886">
        <v>124</v>
      </c>
      <c r="O2886" t="s">
        <v>26</v>
      </c>
      <c r="P2886" t="s">
        <v>39</v>
      </c>
      <c r="Q2886" t="s">
        <v>6212</v>
      </c>
    </row>
    <row r="2887" spans="1:17" ht="15.75" x14ac:dyDescent="0.25">
      <c r="A2887" s="3" t="str">
        <f>HYPERLINK("https://prolisok-store.com/collections/skin-care/products/sisley-botanical-buff-and-wash-facial-gel-tube-100ml-3-3oz", "https://prolisok-store.com/collections/skin-care/products/sisley-botanical-buff-and-wash-facial-gel-tube-100ml-3-3oz")</f>
        <v>https://prolisok-store.com/collections/skin-care/products/sisley-botanical-buff-and-wash-facial-gel-tube-100ml-3-3oz</v>
      </c>
      <c r="B2887" s="3" t="str">
        <f>HYPERLINK("https://prolisok-store.com/products/sisley-botanical-buff-and-wash-facial-gel-tube-100ml-3-3oz", "https://prolisok-store.com/products/sisley-botanical-buff-and-wash-facial-gel-tube-100ml-3-3oz")</f>
        <v>https://prolisok-store.com/products/sisley-botanical-buff-and-wash-facial-gel-tube-100ml-3-3oz</v>
      </c>
      <c r="C2887" t="s">
        <v>7103</v>
      </c>
      <c r="D2887" t="s">
        <v>7104</v>
      </c>
      <c r="E2887" s="3" t="str">
        <f>HYPERLINK("https://www.amazon.com/Sisley-Botanical-Buff-Facial-3-3-Ounce/dp/B002AMUGOG/ref=sr_1_3?keywords=Sisley+botanical+buff&amp;qid=1695259737&amp;sr=8-3", "https://www.amazon.com/Sisley-Botanical-Buff-Facial-3-3-Ounce/dp/B002AMUGOG/ref=sr_1_3?keywords=Sisley+botanical+buff&amp;qid=1695259737&amp;sr=8-3")</f>
        <v>https://www.amazon.com/Sisley-Botanical-Buff-Facial-3-3-Ounce/dp/B002AMUGOG/ref=sr_1_3?keywords=Sisley+botanical+buff&amp;qid=1695259737&amp;sr=8-3</v>
      </c>
      <c r="F2887" t="s">
        <v>7105</v>
      </c>
      <c r="G2887" t="e">
        <f ca="1">IMAGE("https://prolisok-store.com/cdn/shop/products/131324_300x.jpg?v=1690900860")</f>
        <v>#NAME?</v>
      </c>
      <c r="H2887" t="e">
        <f ca="1">IMAGE("https://m.media-amazon.com/images/I/510HiPQ4qSL._AC_UL320_.jpg")</f>
        <v>#NAME?</v>
      </c>
      <c r="I2887" t="s">
        <v>7106</v>
      </c>
      <c r="J2887">
        <v>103.75</v>
      </c>
      <c r="K2887" s="2" t="s">
        <v>7107</v>
      </c>
      <c r="L2887">
        <v>4.5</v>
      </c>
      <c r="M2887">
        <v>109</v>
      </c>
      <c r="O2887" t="s">
        <v>26</v>
      </c>
      <c r="P2887" t="s">
        <v>39</v>
      </c>
      <c r="Q2887" t="s">
        <v>7108</v>
      </c>
    </row>
    <row r="2888" spans="1:17" ht="15.75" x14ac:dyDescent="0.25">
      <c r="A2888" s="3" t="str">
        <f>HYPERLINK("https://prolisok-store.com/collections/skin-care/products/elizabeth-arden-ceramide-capsules-daily-youth-restoring-serum-advanced-60caps", "https://prolisok-store.com/collections/skin-care/products/elizabeth-arden-ceramide-capsules-daily-youth-restoring-serum-advanced-60caps")</f>
        <v>https://prolisok-store.com/collections/skin-care/products/elizabeth-arden-ceramide-capsules-daily-youth-restoring-serum-advanced-60caps</v>
      </c>
      <c r="B2888" s="3" t="str">
        <f>HYPERLINK("https://prolisok-store.com/products/elizabeth-arden-ceramide-capsules-daily-youth-restoring-serum-advanced-60caps", "https://prolisok-store.com/products/elizabeth-arden-ceramide-capsules-daily-youth-restoring-serum-advanced-60caps")</f>
        <v>https://prolisok-store.com/products/elizabeth-arden-ceramide-capsules-daily-youth-restoring-serum-advanced-60caps</v>
      </c>
      <c r="C2888" t="s">
        <v>7109</v>
      </c>
      <c r="D2888" t="s">
        <v>4955</v>
      </c>
      <c r="E2888" s="3" t="str">
        <f>HYPERLINK("https://www.amazon.com/Elizabeth-Arden-Advanced-Ceramide-Restoring/dp/B072C3KZ48/ref=sr_1_1?keywords=Elizabeth+Arden+ceramide+capsules+daily+youth+restoring+serum+advanced+60caps&amp;qid=1695259650&amp;sr=8-1", "https://www.amazon.com/Elizabeth-Arden-Advanced-Ceramide-Restoring/dp/B072C3KZ48/ref=sr_1_1?keywords=Elizabeth+Arden+ceramide+capsules+daily+youth+restoring+serum+advanced+60caps&amp;qid=1695259650&amp;sr=8-1")</f>
        <v>https://www.amazon.com/Elizabeth-Arden-Advanced-Ceramide-Restoring/dp/B072C3KZ48/ref=sr_1_1?keywords=Elizabeth+Arden+ceramide+capsules+daily+youth+restoring+serum+advanced+60caps&amp;qid=1695259650&amp;sr=8-1</v>
      </c>
      <c r="F2888" t="s">
        <v>4956</v>
      </c>
      <c r="G2888" t="e">
        <f ca="1">IMAGE("https://prolisok-store.com/cdn/shop/products/298532_300x.jpg?v=1693407213")</f>
        <v>#NAME?</v>
      </c>
      <c r="H2888" t="e">
        <f ca="1">IMAGE("https://m.media-amazon.com/images/I/81ZrMgDNsPL._AC_UL320_.jpg")</f>
        <v>#NAME?</v>
      </c>
      <c r="I2888" t="s">
        <v>6995</v>
      </c>
      <c r="J2888">
        <v>67</v>
      </c>
      <c r="K2888" s="2" t="s">
        <v>7110</v>
      </c>
      <c r="L2888">
        <v>4.3</v>
      </c>
      <c r="M2888">
        <v>583</v>
      </c>
      <c r="O2888" t="s">
        <v>26</v>
      </c>
      <c r="P2888" t="s">
        <v>39</v>
      </c>
      <c r="Q2888" t="s">
        <v>7111</v>
      </c>
    </row>
    <row r="2889" spans="1:17" ht="15.75" x14ac:dyDescent="0.25">
      <c r="A2889" s="3" t="str">
        <f>HYPERLINK("https://prolisok-store.com/collections/skin-care/products/fifth-avenue-by-elizabeth-arden-body-lotion-6-8-oz", "https://prolisok-store.com/collections/skin-care/products/fifth-avenue-by-elizabeth-arden-body-lotion-6-8-oz")</f>
        <v>https://prolisok-store.com/collections/skin-care/products/fifth-avenue-by-elizabeth-arden-body-lotion-6-8-oz</v>
      </c>
      <c r="B2889" s="3" t="str">
        <f>HYPERLINK("https://prolisok-store.com/products/fifth-avenue-by-elizabeth-arden-body-lotion-6-8-oz", "https://prolisok-store.com/products/fifth-avenue-by-elizabeth-arden-body-lotion-6-8-oz")</f>
        <v>https://prolisok-store.com/products/fifth-avenue-by-elizabeth-arden-body-lotion-6-8-oz</v>
      </c>
      <c r="C2889" t="s">
        <v>6841</v>
      </c>
      <c r="D2889" t="s">
        <v>4227</v>
      </c>
      <c r="E2889" s="3" t="str">
        <f>HYPERLINK("https://www.amazon.com/Elizabeth-Arden-Green-Refreshing-Lotion/dp/B0020MM7K2/ref=sr_1_4?keywords=Fifth+avenue+by+elizabeth+arden+body+lotion+6.8+oz&amp;qid=1695259647&amp;sr=8-4", "https://www.amazon.com/Elizabeth-Arden-Green-Refreshing-Lotion/dp/B0020MM7K2/ref=sr_1_4?keywords=Fifth+avenue+by+elizabeth+arden+body+lotion+6.8+oz&amp;qid=1695259647&amp;sr=8-4")</f>
        <v>https://www.amazon.com/Elizabeth-Arden-Green-Refreshing-Lotion/dp/B0020MM7K2/ref=sr_1_4?keywords=Fifth+avenue+by+elizabeth+arden+body+lotion+6.8+oz&amp;qid=1695259647&amp;sr=8-4</v>
      </c>
      <c r="F2889" t="s">
        <v>4228</v>
      </c>
      <c r="G2889" t="e">
        <f ca="1">IMAGE("https://prolisok-store.com/cdn/shop/products/125474_300x.jpg?v=1693407262")</f>
        <v>#NAME?</v>
      </c>
      <c r="H2889" t="e">
        <f ca="1">IMAGE("https://m.media-amazon.com/images/I/41vZTUs0rrL._AC_UL320_.jpg")</f>
        <v>#NAME?</v>
      </c>
      <c r="I2889" t="s">
        <v>6844</v>
      </c>
      <c r="J2889">
        <v>19</v>
      </c>
      <c r="K2889" s="2" t="s">
        <v>7112</v>
      </c>
      <c r="L2889">
        <v>4.5999999999999996</v>
      </c>
      <c r="M2889">
        <v>790</v>
      </c>
      <c r="O2889" t="s">
        <v>26</v>
      </c>
      <c r="P2889" t="s">
        <v>39</v>
      </c>
      <c r="Q2889" t="s">
        <v>6846</v>
      </c>
    </row>
    <row r="2890" spans="1:17" ht="15.75" x14ac:dyDescent="0.25">
      <c r="A2890" s="3" t="str">
        <f>HYPERLINK("https://prolisok-store.com/collections/skin-care/products/estee-lauder-perfectly-clean-multi-action-cleansing-gelee-refiner-150ml-5oz", "https://prolisok-store.com/collections/skin-care/products/estee-lauder-perfectly-clean-multi-action-cleansing-gelee-refiner-150ml-5oz")</f>
        <v>https://prolisok-store.com/collections/skin-care/products/estee-lauder-perfectly-clean-multi-action-cleansing-gelee-refiner-150ml-5oz</v>
      </c>
      <c r="B2890" s="3" t="str">
        <f>HYPERLINK("https://prolisok-store.com/products/estee-lauder-perfectly-clean-multi-action-cleansing-gelee-refiner-150ml-5oz", "https://prolisok-store.com/products/estee-lauder-perfectly-clean-multi-action-cleansing-gelee-refiner-150ml-5oz")</f>
        <v>https://prolisok-store.com/products/estee-lauder-perfectly-clean-multi-action-cleansing-gelee-refiner-150ml-5oz</v>
      </c>
      <c r="C2890" t="s">
        <v>7113</v>
      </c>
      <c r="D2890" t="s">
        <v>7114</v>
      </c>
      <c r="E2890" s="3" t="str">
        <f>HYPERLINK("https://www.amazon.com/Estee-Lauder-Perfectly-Multi-action-Cleansing/dp/B00CAUJHRA/ref=sr_1_1?keywords=Estee+Lauder+perfectly+clean+multi-action+cleansing+gelee%2F+refiner+150ml%2F5oz&amp;qid=1695259673&amp;sr=8-1", "https://www.amazon.com/Estee-Lauder-Perfectly-Multi-action-Cleansing/dp/B00CAUJHRA/ref=sr_1_1?keywords=Estee+Lauder+perfectly+clean+multi-action+cleansing+gelee%2F+refiner+150ml%2F5oz&amp;qid=1695259673&amp;sr=8-1")</f>
        <v>https://www.amazon.com/Estee-Lauder-Perfectly-Multi-action-Cleansing/dp/B00CAUJHRA/ref=sr_1_1?keywords=Estee+Lauder+perfectly+clean+multi-action+cleansing+gelee%2F+refiner+150ml%2F5oz&amp;qid=1695259673&amp;sr=8-1</v>
      </c>
      <c r="F2890" t="s">
        <v>7115</v>
      </c>
      <c r="G2890" t="e">
        <f ca="1">IMAGE("https://prolisok-store.com/cdn/shop/products/243096_300x.jpg?v=1690900209")</f>
        <v>#NAME?</v>
      </c>
      <c r="H2890" t="e">
        <f ca="1">IMAGE("https://m.media-amazon.com/images/I/41eOw32WuEL._AC_UL320_.jpg")</f>
        <v>#NAME?</v>
      </c>
      <c r="I2890" t="s">
        <v>6267</v>
      </c>
      <c r="J2890">
        <v>27.99</v>
      </c>
      <c r="K2890" s="2" t="s">
        <v>7116</v>
      </c>
      <c r="L2890">
        <v>4.8</v>
      </c>
      <c r="M2890">
        <v>243</v>
      </c>
      <c r="O2890" t="s">
        <v>26</v>
      </c>
      <c r="P2890" t="s">
        <v>39</v>
      </c>
      <c r="Q2890" t="s">
        <v>7117</v>
      </c>
    </row>
    <row r="2891" spans="1:17" ht="15.75" x14ac:dyDescent="0.25">
      <c r="A2891" s="3" t="str">
        <f>HYPERLINK("https://prolisok-store.com/collections/skin-care/products/sisley-phyto-touche-sun-glow-gel-mat-30ml-1oz", "https://prolisok-store.com/collections/skin-care/products/sisley-phyto-touche-sun-glow-gel-mat-30ml-1oz")</f>
        <v>https://prolisok-store.com/collections/skin-care/products/sisley-phyto-touche-sun-glow-gel-mat-30ml-1oz</v>
      </c>
      <c r="B2891" s="3" t="str">
        <f>HYPERLINK("https://prolisok-store.com/products/sisley-phyto-touche-sun-glow-gel-mat-30ml-1oz", "https://prolisok-store.com/products/sisley-phyto-touche-sun-glow-gel-mat-30ml-1oz")</f>
        <v>https://prolisok-store.com/products/sisley-phyto-touche-sun-glow-gel-mat-30ml-1oz</v>
      </c>
      <c r="C2891" t="s">
        <v>7118</v>
      </c>
      <c r="D2891" t="s">
        <v>7095</v>
      </c>
      <c r="E2891" s="3" t="str">
        <f>HYPERLINK("https://www.amazon.com/Sisley-Womens-Phyto-Touche-Glow-Ounce/dp/B00BVO9PD2/ref=sr_1_1?keywords=Sisley+phyto+touche+sun+glow+gel+-+mat+30ml%2F1oz&amp;qid=1695259672&amp;sr=8-1", "https://www.amazon.com/Sisley-Womens-Phyto-Touche-Glow-Ounce/dp/B00BVO9PD2/ref=sr_1_1?keywords=Sisley+phyto+touche+sun+glow+gel+-+mat+30ml%2F1oz&amp;qid=1695259672&amp;sr=8-1")</f>
        <v>https://www.amazon.com/Sisley-Womens-Phyto-Touche-Glow-Ounce/dp/B00BVO9PD2/ref=sr_1_1?keywords=Sisley+phyto+touche+sun+glow+gel+-+mat+30ml%2F1oz&amp;qid=1695259672&amp;sr=8-1</v>
      </c>
      <c r="F2891" t="s">
        <v>7096</v>
      </c>
      <c r="G2891" t="e">
        <f ca="1">IMAGE("https://prolisok-store.com/cdn/shop/products/188311_300x.jpg?v=1690900892")</f>
        <v>#NAME?</v>
      </c>
      <c r="H2891" t="e">
        <f ca="1">IMAGE("https://m.media-amazon.com/images/I/51gayR2wOnL._AC_UL320_.jpg")</f>
        <v>#NAME?</v>
      </c>
      <c r="I2891" t="s">
        <v>6189</v>
      </c>
      <c r="J2891">
        <v>74.650000000000006</v>
      </c>
      <c r="K2891" s="2" t="s">
        <v>7119</v>
      </c>
      <c r="L2891">
        <v>4.5</v>
      </c>
      <c r="M2891">
        <v>21</v>
      </c>
      <c r="O2891" t="s">
        <v>26</v>
      </c>
      <c r="P2891" t="s">
        <v>39</v>
      </c>
      <c r="Q2891" t="s">
        <v>7120</v>
      </c>
    </row>
    <row r="2892" spans="1:17" ht="15.75" x14ac:dyDescent="0.25">
      <c r="A2892" s="3" t="str">
        <f>HYPERLINK("https://prolisok-store.com/collections/skin-care/products/sisley-botanical-creme-moisturizer-with-cucumber-jar-50ml-1-7oz", "https://prolisok-store.com/collections/skin-care/products/sisley-botanical-creme-moisturizer-with-cucumber-jar-50ml-1-7oz")</f>
        <v>https://prolisok-store.com/collections/skin-care/products/sisley-botanical-creme-moisturizer-with-cucumber-jar-50ml-1-7oz</v>
      </c>
      <c r="B2892" s="3" t="str">
        <f>HYPERLINK("https://prolisok-store.com/products/sisley-botanical-creme-moisturizer-with-cucumber-jar-50ml-1-7oz", "https://prolisok-store.com/products/sisley-botanical-creme-moisturizer-with-cucumber-jar-50ml-1-7oz")</f>
        <v>https://prolisok-store.com/products/sisley-botanical-creme-moisturizer-with-cucumber-jar-50ml-1-7oz</v>
      </c>
      <c r="C2892" t="s">
        <v>7121</v>
      </c>
      <c r="D2892" t="s">
        <v>7122</v>
      </c>
      <c r="E2892" s="3" t="str">
        <f>HYPERLINK("https://www.amazon.com/Sisley-1-7oz-Botanical-Moisturizer-Cucumber/dp/B00H8K49LG/ref=sr_1_1?keywords=Sisley+botanical+creme+moisturizer+with+cucumber+%28jar%29+50ml%2F1.7oz&amp;qid=1695259676&amp;sr=8-1", "https://www.amazon.com/Sisley-1-7oz-Botanical-Moisturizer-Cucumber/dp/B00H8K49LG/ref=sr_1_1?keywords=Sisley+botanical+creme+moisturizer+with+cucumber+%28jar%29+50ml%2F1.7oz&amp;qid=1695259676&amp;sr=8-1")</f>
        <v>https://www.amazon.com/Sisley-1-7oz-Botanical-Moisturizer-Cucumber/dp/B00H8K49LG/ref=sr_1_1?keywords=Sisley+botanical+creme+moisturizer+with+cucumber+%28jar%29+50ml%2F1.7oz&amp;qid=1695259676&amp;sr=8-1</v>
      </c>
      <c r="F2892" t="s">
        <v>7123</v>
      </c>
      <c r="G2892" t="e">
        <f ca="1">IMAGE("https://prolisok-store.com/cdn/shop/products/131940_300x.jpg?v=1690900874")</f>
        <v>#NAME?</v>
      </c>
      <c r="H2892" t="e">
        <f ca="1">IMAGE("https://m.media-amazon.com/images/I/412fZEVxfdL._AC_UL320_.jpg")</f>
        <v>#NAME?</v>
      </c>
      <c r="I2892" t="s">
        <v>7124</v>
      </c>
      <c r="J2892">
        <v>146.55000000000001</v>
      </c>
      <c r="K2892" s="2" t="s">
        <v>7125</v>
      </c>
      <c r="L2892">
        <v>4</v>
      </c>
      <c r="M2892">
        <v>12</v>
      </c>
      <c r="O2892" t="s">
        <v>26</v>
      </c>
      <c r="P2892" t="s">
        <v>39</v>
      </c>
      <c r="Q2892" t="s">
        <v>7126</v>
      </c>
    </row>
    <row r="2893" spans="1:17" ht="15.75" x14ac:dyDescent="0.25">
      <c r="A2893" s="3" t="str">
        <f>HYPERLINK("https://prolisok-store.com/collections/skin-care/products/elizabeth-arden-superstart-skin-renewal-booster-50ml-1-7oz", "https://prolisok-store.com/collections/skin-care/products/elizabeth-arden-superstart-skin-renewal-booster-50ml-1-7oz")</f>
        <v>https://prolisok-store.com/collections/skin-care/products/elizabeth-arden-superstart-skin-renewal-booster-50ml-1-7oz</v>
      </c>
      <c r="B2893" s="3" t="str">
        <f>HYPERLINK("https://prolisok-store.com/products/elizabeth-arden-superstart-skin-renewal-booster-50ml-1-7oz", "https://prolisok-store.com/products/elizabeth-arden-superstart-skin-renewal-booster-50ml-1-7oz")</f>
        <v>https://prolisok-store.com/products/elizabeth-arden-superstart-skin-renewal-booster-50ml-1-7oz</v>
      </c>
      <c r="C2893" t="s">
        <v>7127</v>
      </c>
      <c r="D2893" t="s">
        <v>6806</v>
      </c>
      <c r="E2893" s="3" t="str">
        <f>HYPERLINK("https://www.amazon.com/Elizabeth-Arden-SUPERSTART-Renewal-Booster/dp/B013WW8A0E/ref=sr_1_1?keywords=Elizabeth+Arden+superstart+skin+renewal+booster+50ml%2F1.7oz&amp;qid=1695259621&amp;sr=8-1", "https://www.amazon.com/Elizabeth-Arden-SUPERSTART-Renewal-Booster/dp/B013WW8A0E/ref=sr_1_1?keywords=Elizabeth+Arden+superstart+skin+renewal+booster+50ml%2F1.7oz&amp;qid=1695259621&amp;sr=8-1")</f>
        <v>https://www.amazon.com/Elizabeth-Arden-SUPERSTART-Renewal-Booster/dp/B013WW8A0E/ref=sr_1_1?keywords=Elizabeth+Arden+superstart+skin+renewal+booster+50ml%2F1.7oz&amp;qid=1695259621&amp;sr=8-1</v>
      </c>
      <c r="F2893" t="s">
        <v>7128</v>
      </c>
      <c r="G2893" t="e">
        <f ca="1">IMAGE("https://prolisok-store.com/cdn/shop/products/294035_300x.jpg?v=1693407192")</f>
        <v>#NAME?</v>
      </c>
      <c r="H2893" t="e">
        <f ca="1">IMAGE("https://m.media-amazon.com/images/I/71nUpGYUGbL._AC_UL320_.jpg")</f>
        <v>#NAME?</v>
      </c>
      <c r="I2893" t="s">
        <v>6189</v>
      </c>
      <c r="J2893">
        <v>74</v>
      </c>
      <c r="K2893" s="2" t="s">
        <v>7129</v>
      </c>
      <c r="L2893">
        <v>4.5</v>
      </c>
      <c r="M2893">
        <v>620</v>
      </c>
      <c r="O2893" t="s">
        <v>26</v>
      </c>
      <c r="P2893" t="s">
        <v>39</v>
      </c>
      <c r="Q2893" t="s">
        <v>7130</v>
      </c>
    </row>
    <row r="2894" spans="1:17" ht="15.75" x14ac:dyDescent="0.25">
      <c r="A2894"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894" s="3" t="str">
        <f>HYPERLINK("https://prolisok-store.com/products/clinique-by-clinique-take-the-day-off-cleansing-balm-125ml-3-8oz", "https://prolisok-store.com/products/clinique-by-clinique-take-the-day-off-cleansing-balm-125ml-3-8oz")</f>
        <v>https://prolisok-store.com/products/clinique-by-clinique-take-the-day-off-cleansing-balm-125ml-3-8oz</v>
      </c>
      <c r="C2894" t="s">
        <v>7131</v>
      </c>
      <c r="D2894" t="s">
        <v>7132</v>
      </c>
      <c r="E2894" s="3" t="str">
        <f>HYPERLINK("https://www.amazon.com/CLINIQUE-Charcoal-Cleansing-Makeup-Remover/dp/B0BQHT413D/ref=sr_1_6?keywords=Clinique+take+the+day+off+cleansing+balm+--125ml%2F3.8oz&amp;qid=1695259716&amp;sr=8-6", "https://www.amazon.com/CLINIQUE-Charcoal-Cleansing-Makeup-Remover/dp/B0BQHT413D/ref=sr_1_6?keywords=Clinique+take+the+day+off+cleansing+balm+--125ml%2F3.8oz&amp;qid=1695259716&amp;sr=8-6")</f>
        <v>https://www.amazon.com/CLINIQUE-Charcoal-Cleansing-Makeup-Remover/dp/B0BQHT413D/ref=sr_1_6?keywords=Clinique+take+the+day+off+cleansing+balm+--125ml%2F3.8oz&amp;qid=1695259716&amp;sr=8-6</v>
      </c>
      <c r="F2894" t="s">
        <v>7133</v>
      </c>
      <c r="G2894" t="e">
        <f ca="1">IMAGE("https://prolisok-store.com/cdn/shop/products/146923_300x.jpg?v=1688060479")</f>
        <v>#NAME?</v>
      </c>
      <c r="H2894" t="e">
        <f ca="1">IMAGE("https://m.media-amazon.com/images/I/41WWIWnvvPL._AC_UL320_.jpg")</f>
        <v>#NAME?</v>
      </c>
      <c r="I2894" t="s">
        <v>6900</v>
      </c>
      <c r="J2894">
        <v>27.98</v>
      </c>
      <c r="K2894" s="2" t="s">
        <v>7134</v>
      </c>
      <c r="L2894">
        <v>5</v>
      </c>
      <c r="M2894">
        <v>1</v>
      </c>
      <c r="O2894" t="s">
        <v>26</v>
      </c>
      <c r="P2894" t="s">
        <v>39</v>
      </c>
      <c r="Q2894" t="s">
        <v>7135</v>
      </c>
    </row>
    <row r="2895" spans="1:17" ht="15.75" x14ac:dyDescent="0.25">
      <c r="A2895" s="3" t="str">
        <f>HYPERLINK("https://prolisok-store.com/collections/skin-care/products/sisley-sisley-phyto-touche-sun-glow-gel-30ml-1oz", "https://prolisok-store.com/collections/skin-care/products/sisley-sisley-phyto-touche-sun-glow-gel-30ml-1oz")</f>
        <v>https://prolisok-store.com/collections/skin-care/products/sisley-sisley-phyto-touche-sun-glow-gel-30ml-1oz</v>
      </c>
      <c r="B2895" s="3" t="str">
        <f>HYPERLINK("https://prolisok-store.com/products/sisley-sisley-phyto-touche-sun-glow-gel-30ml-1oz", "https://prolisok-store.com/products/sisley-sisley-phyto-touche-sun-glow-gel-30ml-1oz")</f>
        <v>https://prolisok-store.com/products/sisley-sisley-phyto-touche-sun-glow-gel-30ml-1oz</v>
      </c>
      <c r="C2895" t="s">
        <v>6884</v>
      </c>
      <c r="D2895" t="s">
        <v>6709</v>
      </c>
      <c r="E2895" s="3" t="str">
        <f>HYPERLINK("https://www.amazon.com/Sisley-Womens-Phyto-Touche-Illusion-Bronzing/dp/B00IQ82DBW/ref=sr_1_2?keywords=Sisley+sisley+phyto-touche+sun+glow+gel30ml%2F1oz&amp;qid=1695259702&amp;sr=8-2", "https://www.amazon.com/Sisley-Womens-Phyto-Touche-Illusion-Bronzing/dp/B00IQ82DBW/ref=sr_1_2?keywords=Sisley+sisley+phyto-touche+sun+glow+gel30ml%2F1oz&amp;qid=1695259702&amp;sr=8-2")</f>
        <v>https://www.amazon.com/Sisley-Womens-Phyto-Touche-Illusion-Bronzing/dp/B00IQ82DBW/ref=sr_1_2?keywords=Sisley+sisley+phyto-touche+sun+glow+gel30ml%2F1oz&amp;qid=1695259702&amp;sr=8-2</v>
      </c>
      <c r="F2895" t="s">
        <v>6710</v>
      </c>
      <c r="G2895" t="e">
        <f ca="1">IMAGE("https://prolisok-store.com/cdn/shop/products/131355_300x.jpg?v=1690900870")</f>
        <v>#NAME?</v>
      </c>
      <c r="H2895" t="e">
        <f ca="1">IMAGE("https://m.media-amazon.com/images/I/517BFJP7EWL._AC_UL320_.jpg")</f>
        <v>#NAME?</v>
      </c>
      <c r="I2895" t="s">
        <v>6137</v>
      </c>
      <c r="J2895">
        <v>68.650000000000006</v>
      </c>
      <c r="K2895" s="2" t="s">
        <v>7136</v>
      </c>
      <c r="L2895">
        <v>4.4000000000000004</v>
      </c>
      <c r="M2895">
        <v>12</v>
      </c>
      <c r="O2895" t="s">
        <v>26</v>
      </c>
      <c r="P2895" t="s">
        <v>39</v>
      </c>
      <c r="Q2895" t="s">
        <v>6888</v>
      </c>
    </row>
    <row r="2896" spans="1:17" ht="15.75" x14ac:dyDescent="0.25">
      <c r="A2896" s="3" t="str">
        <f>HYPERLINK("https://prolisok-store.com/collections/skin-care/products/hyaluronic-acid-intensifier-h-a", "https://prolisok-store.com/collections/skin-care/products/hyaluronic-acid-intensifier-h-a")</f>
        <v>https://prolisok-store.com/collections/skin-care/products/hyaluronic-acid-intensifier-h-a</v>
      </c>
      <c r="B2896" s="3" t="str">
        <f>HYPERLINK("https://prolisok-store.com/products/hyaluronic-acid-intensifier-h-a", "https://prolisok-store.com/products/hyaluronic-acid-intensifier-h-a")</f>
        <v>https://prolisok-store.com/products/hyaluronic-acid-intensifier-h-a</v>
      </c>
      <c r="C2896" t="s">
        <v>4996</v>
      </c>
      <c r="D2896" t="s">
        <v>4997</v>
      </c>
      <c r="E2896" s="3" t="str">
        <f>HYPERLINK("https://www.amazon.com/Roche-Posay-Hyalu-Hyaluronic-Anti-Wrinkle-Concentrate/dp/B075VX4QVM/ref=sr_1_1?keywords=Hyaluronic+acid+intensifier+%28H.A.%29&amp;qid=1695259599&amp;sr=8-1", "https://www.amazon.com/Roche-Posay-Hyalu-Hyaluronic-Anti-Wrinkle-Concentrate/dp/B075VX4QVM/ref=sr_1_1?keywords=Hyaluronic+acid+intensifier+%28H.A.%29&amp;qid=1695259599&amp;sr=8-1")</f>
        <v>https://www.amazon.com/Roche-Posay-Hyalu-Hyaluronic-Anti-Wrinkle-Concentrate/dp/B075VX4QVM/ref=sr_1_1?keywords=Hyaluronic+acid+intensifier+%28H.A.%29&amp;qid=1695259599&amp;sr=8-1</v>
      </c>
      <c r="F2896" t="s">
        <v>4998</v>
      </c>
      <c r="G2896" t="e">
        <f ca="1">IMAGE("https://prolisok-store.com/cdn/shop/products/H-A-Intesifier-3606000436367-Main-SkinCeuticals_300x.webp?v=1681297360")</f>
        <v>#NAME?</v>
      </c>
      <c r="H2896" t="e">
        <f ca="1">IMAGE("https://m.media-amazon.com/images/I/51c5bV1k-NL._AC_UL320_.jpg")</f>
        <v>#NAME?</v>
      </c>
      <c r="I2896" t="s">
        <v>4346</v>
      </c>
      <c r="J2896">
        <v>39.99</v>
      </c>
      <c r="K2896" s="2" t="s">
        <v>4999</v>
      </c>
      <c r="L2896">
        <v>4.5999999999999996</v>
      </c>
      <c r="M2896">
        <v>21089</v>
      </c>
      <c r="O2896" t="s">
        <v>26</v>
      </c>
      <c r="P2896" t="s">
        <v>2482</v>
      </c>
      <c r="Q2896" t="s">
        <v>5000</v>
      </c>
    </row>
    <row r="2897" spans="1:17" ht="15.75" x14ac:dyDescent="0.25">
      <c r="A2897" s="3" t="str">
        <f>HYPERLINK("https://prolisok-store.com/collections/skin-care/products/hyaluronic-acid-intensifier-h-a", "https://prolisok-store.com/collections/skin-care/products/hyaluronic-acid-intensifier-h-a")</f>
        <v>https://prolisok-store.com/collections/skin-care/products/hyaluronic-acid-intensifier-h-a</v>
      </c>
      <c r="B2897" s="3" t="str">
        <f>HYPERLINK("https://prolisok-store.com/products/hyaluronic-acid-intensifier-h-a", "https://prolisok-store.com/products/hyaluronic-acid-intensifier-h-a")</f>
        <v>https://prolisok-store.com/products/hyaluronic-acid-intensifier-h-a</v>
      </c>
      <c r="C2897" t="s">
        <v>4996</v>
      </c>
      <c r="D2897" t="s">
        <v>5087</v>
      </c>
      <c r="E2897" s="3" t="str">
        <f>HYPERLINK("https://www.amazon.com/Pure-Hyaluronic-Acid-Serum-Pharmaceutical/dp/B09PC6R79V/ref=sr_1_6?keywords=Hyaluronic+acid+intensifier+%28H.A.%29&amp;qid=1695259599&amp;sr=8-6", "https://www.amazon.com/Pure-Hyaluronic-Acid-Serum-Pharmaceutical/dp/B09PC6R79V/ref=sr_1_6?keywords=Hyaluronic+acid+intensifier+%28H.A.%29&amp;qid=1695259599&amp;sr=8-6")</f>
        <v>https://www.amazon.com/Pure-Hyaluronic-Acid-Serum-Pharmaceutical/dp/B09PC6R79V/ref=sr_1_6?keywords=Hyaluronic+acid+intensifier+%28H.A.%29&amp;qid=1695259599&amp;sr=8-6</v>
      </c>
      <c r="F2897" t="s">
        <v>5088</v>
      </c>
      <c r="G2897" t="e">
        <f ca="1">IMAGE("https://prolisok-store.com/cdn/shop/products/H-A-Intesifier-3606000436367-Main-SkinCeuticals_300x.webp?v=1681297360")</f>
        <v>#NAME?</v>
      </c>
      <c r="H2897" t="e">
        <f ca="1">IMAGE("https://m.media-amazon.com/images/I/51FPuM6XHCL._AC_UL320_.jpg")</f>
        <v>#NAME?</v>
      </c>
      <c r="I2897" t="s">
        <v>4346</v>
      </c>
      <c r="J2897">
        <v>39.99</v>
      </c>
      <c r="K2897" s="2" t="s">
        <v>4999</v>
      </c>
      <c r="L2897">
        <v>4.4000000000000004</v>
      </c>
      <c r="M2897">
        <v>72</v>
      </c>
      <c r="O2897" t="s">
        <v>26</v>
      </c>
      <c r="P2897" t="s">
        <v>2482</v>
      </c>
      <c r="Q2897" t="s">
        <v>5000</v>
      </c>
    </row>
    <row r="2898" spans="1:17" ht="15.75" x14ac:dyDescent="0.25">
      <c r="A2898"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898" s="3" t="str">
        <f>HYPERLINK("https://prolisok-store.com/products/clinique-by-clinique-take-the-day-off-cleansing-balm-125ml-3-8oz", "https://prolisok-store.com/products/clinique-by-clinique-take-the-day-off-cleansing-balm-125ml-3-8oz")</f>
        <v>https://prolisok-store.com/products/clinique-by-clinique-take-the-day-off-cleansing-balm-125ml-3-8oz</v>
      </c>
      <c r="C2898" t="s">
        <v>7131</v>
      </c>
      <c r="D2898" t="s">
        <v>7137</v>
      </c>
      <c r="E2898" s="3" t="str">
        <f>HYPERLINK("https://www.amazon.com/Clinique-Take-Cleansing-Balm-Ounce/dp/B07D5C86RX/ref=sr_1_4?keywords=Clinique+take+the+day+off+cleansing+balm+--125ml%2F3.8oz&amp;qid=1695259716&amp;sr=8-4", "https://www.amazon.com/Clinique-Take-Cleansing-Balm-Ounce/dp/B07D5C86RX/ref=sr_1_4?keywords=Clinique+take+the+day+off+cleansing+balm+--125ml%2F3.8oz&amp;qid=1695259716&amp;sr=8-4")</f>
        <v>https://www.amazon.com/Clinique-Take-Cleansing-Balm-Ounce/dp/B07D5C86RX/ref=sr_1_4?keywords=Clinique+take+the+day+off+cleansing+balm+--125ml%2F3.8oz&amp;qid=1695259716&amp;sr=8-4</v>
      </c>
      <c r="F2898" t="s">
        <v>7138</v>
      </c>
      <c r="G2898" t="e">
        <f ca="1">IMAGE("https://prolisok-store.com/cdn/shop/products/146923_300x.jpg?v=1688060479")</f>
        <v>#NAME?</v>
      </c>
      <c r="H2898" t="e">
        <f ca="1">IMAGE("https://m.media-amazon.com/images/I/41iSx4ZjQYL._AC_UL320_.jpg")</f>
        <v>#NAME?</v>
      </c>
      <c r="I2898" t="s">
        <v>6900</v>
      </c>
      <c r="J2898">
        <v>26.97</v>
      </c>
      <c r="K2898" s="2" t="s">
        <v>7139</v>
      </c>
      <c r="L2898">
        <v>4.7</v>
      </c>
      <c r="M2898">
        <v>1359</v>
      </c>
      <c r="O2898" t="s">
        <v>26</v>
      </c>
      <c r="P2898" t="s">
        <v>39</v>
      </c>
      <c r="Q2898" t="s">
        <v>7135</v>
      </c>
    </row>
    <row r="2899" spans="1:17" ht="15.75" x14ac:dyDescent="0.25">
      <c r="A2899"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899" s="3" t="str">
        <f>HYPERLINK("https://prolisok-store.com/products/clinique-by-clinique-take-the-day-off-cleansing-balm-125ml-3-8oz", "https://prolisok-store.com/products/clinique-by-clinique-take-the-day-off-cleansing-balm-125ml-3-8oz")</f>
        <v>https://prolisok-store.com/products/clinique-by-clinique-take-the-day-off-cleansing-balm-125ml-3-8oz</v>
      </c>
      <c r="C2899" t="s">
        <v>7131</v>
      </c>
      <c r="D2899" t="s">
        <v>7140</v>
      </c>
      <c r="E2899" s="3" t="str">
        <f>HYPERLINK("https://www.amazon.com/Take-Day-Off-Balm-Cleasing/dp/B0792DTPTN/ref=sr_1_9?keywords=Clinique+take+the+day+off+cleansing+balm+--125ml%2F3.8oz&amp;qid=1695259716&amp;sr=8-9", "https://www.amazon.com/Take-Day-Off-Balm-Cleasing/dp/B0792DTPTN/ref=sr_1_9?keywords=Clinique+take+the+day+off+cleansing+balm+--125ml%2F3.8oz&amp;qid=1695259716&amp;sr=8-9")</f>
        <v>https://www.amazon.com/Take-Day-Off-Balm-Cleasing/dp/B0792DTPTN/ref=sr_1_9?keywords=Clinique+take+the+day+off+cleansing+balm+--125ml%2F3.8oz&amp;qid=1695259716&amp;sr=8-9</v>
      </c>
      <c r="F2899" t="s">
        <v>7141</v>
      </c>
      <c r="G2899" t="e">
        <f ca="1">IMAGE("https://prolisok-store.com/cdn/shop/products/146923_300x.jpg?v=1688060479")</f>
        <v>#NAME?</v>
      </c>
      <c r="H2899" t="e">
        <f ca="1">IMAGE("https://m.media-amazon.com/images/I/51x38tM2q9L._AC_UL320_.jpg")</f>
        <v>#NAME?</v>
      </c>
      <c r="I2899" t="s">
        <v>6900</v>
      </c>
      <c r="J2899">
        <v>26.95</v>
      </c>
      <c r="K2899" s="2" t="s">
        <v>7142</v>
      </c>
      <c r="L2899">
        <v>4.5999999999999996</v>
      </c>
      <c r="M2899">
        <v>29</v>
      </c>
      <c r="O2899" t="s">
        <v>26</v>
      </c>
      <c r="P2899" t="s">
        <v>39</v>
      </c>
      <c r="Q2899" t="s">
        <v>7135</v>
      </c>
    </row>
    <row r="2900" spans="1:17" ht="15.75" x14ac:dyDescent="0.25">
      <c r="A2900" s="3" t="str">
        <f>HYPERLINK("https://prolisok-store.com/collections/skin-care/products/hyaluronic-acid-intensifier-h-a", "https://prolisok-store.com/collections/skin-care/products/hyaluronic-acid-intensifier-h-a")</f>
        <v>https://prolisok-store.com/collections/skin-care/products/hyaluronic-acid-intensifier-h-a</v>
      </c>
      <c r="B2900" s="3" t="str">
        <f>HYPERLINK("https://prolisok-store.com/products/hyaluronic-acid-intensifier-h-a", "https://prolisok-store.com/products/hyaluronic-acid-intensifier-h-a")</f>
        <v>https://prolisok-store.com/products/hyaluronic-acid-intensifier-h-a</v>
      </c>
      <c r="C2900" t="s">
        <v>4996</v>
      </c>
      <c r="D2900" t="s">
        <v>5006</v>
      </c>
      <c r="E2900" s="3" t="str">
        <f>HYPERLINK("https://www.amazon.com/Hyaluronic-Acid-Serum-Face-Fragrance-Free/dp/B00LUA11F2/ref=sr_1_5?keywords=Hyaluronic+acid+intensifier+%28H.A.%29&amp;qid=1695259599&amp;rdc=1&amp;sr=8-5", "https://www.amazon.com/Hyaluronic-Acid-Serum-Face-Fragrance-Free/dp/B00LUA11F2/ref=sr_1_5?keywords=Hyaluronic+acid+intensifier+%28H.A.%29&amp;qid=1695259599&amp;rdc=1&amp;sr=8-5")</f>
        <v>https://www.amazon.com/Hyaluronic-Acid-Serum-Face-Fragrance-Free/dp/B00LUA11F2/ref=sr_1_5?keywords=Hyaluronic+acid+intensifier+%28H.A.%29&amp;qid=1695259599&amp;rdc=1&amp;sr=8-5</v>
      </c>
      <c r="F2900" t="s">
        <v>5007</v>
      </c>
      <c r="G2900" t="e">
        <f ca="1">IMAGE("https://prolisok-store.com/cdn/shop/products/H-A-Intesifier-3606000436367-Main-SkinCeuticals_300x.webp?v=1681297360")</f>
        <v>#NAME?</v>
      </c>
      <c r="H2900" t="e">
        <f ca="1">IMAGE("https://m.media-amazon.com/images/I/8109KxAMO8L._AC_UL320_.jpg")</f>
        <v>#NAME?</v>
      </c>
      <c r="I2900" t="s">
        <v>4346</v>
      </c>
      <c r="J2900">
        <v>38.99</v>
      </c>
      <c r="K2900" s="2" t="s">
        <v>5008</v>
      </c>
      <c r="L2900">
        <v>4.5</v>
      </c>
      <c r="M2900">
        <v>2813</v>
      </c>
      <c r="O2900" t="s">
        <v>26</v>
      </c>
      <c r="P2900" t="s">
        <v>2482</v>
      </c>
      <c r="Q2900" t="s">
        <v>5000</v>
      </c>
    </row>
    <row r="2901" spans="1:17" ht="15.75" x14ac:dyDescent="0.25">
      <c r="A2901" s="3" t="str">
        <f>HYPERLINK("https://prolisok-store.com/collections/skin-care/products/sisley-phyto-touche-sun-glow-gel-mat-30ml-1oz", "https://prolisok-store.com/collections/skin-care/products/sisley-phyto-touche-sun-glow-gel-mat-30ml-1oz")</f>
        <v>https://prolisok-store.com/collections/skin-care/products/sisley-phyto-touche-sun-glow-gel-mat-30ml-1oz</v>
      </c>
      <c r="B2901" s="3" t="str">
        <f>HYPERLINK("https://prolisok-store.com/products/sisley-phyto-touche-sun-glow-gel-mat-30ml-1oz", "https://prolisok-store.com/products/sisley-phyto-touche-sun-glow-gel-mat-30ml-1oz")</f>
        <v>https://prolisok-store.com/products/sisley-phyto-touche-sun-glow-gel-mat-30ml-1oz</v>
      </c>
      <c r="C2901" t="s">
        <v>7118</v>
      </c>
      <c r="D2901" t="s">
        <v>6709</v>
      </c>
      <c r="E2901" s="3" t="str">
        <f>HYPERLINK("https://www.amazon.com/Sisley-Womens-Phyto-Touche-Illusion-Bronzing/dp/B00IQ82DBW/ref=sr_1_2?keywords=Sisley+phyto+touche+sun+glow+gel+-+mat+30ml%2F1oz&amp;qid=1695259672&amp;sr=8-2", "https://www.amazon.com/Sisley-Womens-Phyto-Touche-Illusion-Bronzing/dp/B00IQ82DBW/ref=sr_1_2?keywords=Sisley+phyto+touche+sun+glow+gel+-+mat+30ml%2F1oz&amp;qid=1695259672&amp;sr=8-2")</f>
        <v>https://www.amazon.com/Sisley-Womens-Phyto-Touche-Illusion-Bronzing/dp/B00IQ82DBW/ref=sr_1_2?keywords=Sisley+phyto+touche+sun+glow+gel+-+mat+30ml%2F1oz&amp;qid=1695259672&amp;sr=8-2</v>
      </c>
      <c r="F2901" t="s">
        <v>6710</v>
      </c>
      <c r="G2901" t="e">
        <f ca="1">IMAGE("https://prolisok-store.com/cdn/shop/products/188311_300x.jpg?v=1690900892")</f>
        <v>#NAME?</v>
      </c>
      <c r="H2901" t="e">
        <f ca="1">IMAGE("https://m.media-amazon.com/images/I/517BFJP7EWL._AC_UL320_.jpg")</f>
        <v>#NAME?</v>
      </c>
      <c r="I2901" t="s">
        <v>6189</v>
      </c>
      <c r="J2901">
        <v>68.650000000000006</v>
      </c>
      <c r="K2901" s="2" t="s">
        <v>7143</v>
      </c>
      <c r="L2901">
        <v>4.4000000000000004</v>
      </c>
      <c r="M2901">
        <v>12</v>
      </c>
      <c r="O2901" t="s">
        <v>26</v>
      </c>
      <c r="P2901" t="s">
        <v>39</v>
      </c>
      <c r="Q2901" t="s">
        <v>7120</v>
      </c>
    </row>
    <row r="2902" spans="1:17" ht="15.75" x14ac:dyDescent="0.25">
      <c r="A2902" s="3" t="str">
        <f>HYPERLINK("https://prolisok-store.com/collections/skin-care/products/sisley-botanical-soapless-facial-cleansing-bar-125g-4-2oz", "https://prolisok-store.com/collections/skin-care/products/sisley-botanical-soapless-facial-cleansing-bar-125g-4-2oz")</f>
        <v>https://prolisok-store.com/collections/skin-care/products/sisley-botanical-soapless-facial-cleansing-bar-125g-4-2oz</v>
      </c>
      <c r="B2902" s="3" t="str">
        <f>HYPERLINK("https://prolisok-store.com/products/sisley-botanical-soapless-facial-cleansing-bar-125g-4-2oz", "https://prolisok-store.com/products/sisley-botanical-soapless-facial-cleansing-bar-125g-4-2oz")</f>
        <v>https://prolisok-store.com/products/sisley-botanical-soapless-facial-cleansing-bar-125g-4-2oz</v>
      </c>
      <c r="C2902" t="s">
        <v>7144</v>
      </c>
      <c r="D2902" t="s">
        <v>7145</v>
      </c>
      <c r="E2902" s="3" t="str">
        <f>HYPERLINK("https://www.amazon.com/Sisley-Botanical-Soapless-Cleansing-4-4-Ounce/dp/B002N5MKAS/ref=sr_1_1?keywords=Sisley+botanical+soapless+facial+cleansing+bar+125g%2F4.2oz&amp;qid=1695259676&amp;sr=8-1", "https://www.amazon.com/Sisley-Botanical-Soapless-Cleansing-4-4-Ounce/dp/B002N5MKAS/ref=sr_1_1?keywords=Sisley+botanical+soapless+facial+cleansing+bar+125g%2F4.2oz&amp;qid=1695259676&amp;sr=8-1")</f>
        <v>https://www.amazon.com/Sisley-Botanical-Soapless-Cleansing-4-4-Ounce/dp/B002N5MKAS/ref=sr_1_1?keywords=Sisley+botanical+soapless+facial+cleansing+bar+125g%2F4.2oz&amp;qid=1695259676&amp;sr=8-1</v>
      </c>
      <c r="F2902" t="s">
        <v>7146</v>
      </c>
      <c r="G2902" t="e">
        <f ca="1">IMAGE("https://prolisok-store.com/cdn/shop/products/131291_300x.jpg?v=1690900845")</f>
        <v>#NAME?</v>
      </c>
      <c r="H2902" t="e">
        <f ca="1">IMAGE("https://m.media-amazon.com/images/I/61Mhg9zYNlL._AC_UL320_.jpg")</f>
        <v>#NAME?</v>
      </c>
      <c r="I2902" t="s">
        <v>6247</v>
      </c>
      <c r="J2902">
        <v>49.98</v>
      </c>
      <c r="K2902" s="2" t="s">
        <v>7147</v>
      </c>
      <c r="L2902">
        <v>4.3</v>
      </c>
      <c r="M2902">
        <v>40</v>
      </c>
      <c r="O2902" t="s">
        <v>26</v>
      </c>
      <c r="P2902" t="s">
        <v>39</v>
      </c>
      <c r="Q2902" t="s">
        <v>7148</v>
      </c>
    </row>
    <row r="2903" spans="1:17" ht="15.75" x14ac:dyDescent="0.25">
      <c r="A2903" s="3" t="str">
        <f>HYPERLINK("https://prolisok-store.com/collections/skin-care/products/sisley-botanical-facial-mask-with-linden-blossom-60ml-2oz", "https://prolisok-store.com/collections/skin-care/products/sisley-botanical-facial-mask-with-linden-blossom-60ml-2oz")</f>
        <v>https://prolisok-store.com/collections/skin-care/products/sisley-botanical-facial-mask-with-linden-blossom-60ml-2oz</v>
      </c>
      <c r="B2903" s="3" t="str">
        <f>HYPERLINK("https://prolisok-store.com/products/sisley-botanical-facial-mask-with-linden-blossom-60ml-2oz", "https://prolisok-store.com/products/sisley-botanical-facial-mask-with-linden-blossom-60ml-2oz")</f>
        <v>https://prolisok-store.com/products/sisley-botanical-facial-mask-with-linden-blossom-60ml-2oz</v>
      </c>
      <c r="C2903" t="s">
        <v>7149</v>
      </c>
      <c r="D2903" t="s">
        <v>7150</v>
      </c>
      <c r="E2903" s="3" t="str">
        <f>HYPERLINK("https://www.amazon.com/Sisley-Botanical-Facial-Blossom-2-4-Ounce/dp/B002AMUGNW/ref=sr_1_2?keywords=Sisley+botanical+facial+mask+with+linden+blossom+60ml%2F2oz&amp;qid=1695259681&amp;sr=8-2", "https://www.amazon.com/Sisley-Botanical-Facial-Blossom-2-4-Ounce/dp/B002AMUGNW/ref=sr_1_2?keywords=Sisley+botanical+facial+mask+with+linden+blossom+60ml%2F2oz&amp;qid=1695259681&amp;sr=8-2")</f>
        <v>https://www.amazon.com/Sisley-Botanical-Facial-Blossom-2-4-Ounce/dp/B002AMUGNW/ref=sr_1_2?keywords=Sisley+botanical+facial+mask+with+linden+blossom+60ml%2F2oz&amp;qid=1695259681&amp;sr=8-2</v>
      </c>
      <c r="F2903" t="s">
        <v>7151</v>
      </c>
      <c r="G2903" t="e">
        <f ca="1">IMAGE("https://prolisok-store.com/cdn/shop/products/131338_300x.jpg?v=1690900866")</f>
        <v>#NAME?</v>
      </c>
      <c r="H2903" t="e">
        <f ca="1">IMAGE("https://m.media-amazon.com/images/I/514xI7RAZRL._AC_UL320_.jpg")</f>
        <v>#NAME?</v>
      </c>
      <c r="I2903" t="s">
        <v>2527</v>
      </c>
      <c r="J2903">
        <v>94.3</v>
      </c>
      <c r="K2903" s="2" t="s">
        <v>7152</v>
      </c>
      <c r="L2903">
        <v>4.7</v>
      </c>
      <c r="M2903">
        <v>21</v>
      </c>
      <c r="O2903" t="s">
        <v>26</v>
      </c>
      <c r="P2903" t="s">
        <v>39</v>
      </c>
      <c r="Q2903" t="s">
        <v>7153</v>
      </c>
    </row>
    <row r="2904" spans="1:17" ht="15.75" x14ac:dyDescent="0.25">
      <c r="A2904" s="3" t="str">
        <f>HYPERLINK("https://prolisok-store.com/collections/skin-care/products/estee-lauder-nightwear-plus-anti-oxidant-night-detox-creme-50ml-1-7oz", "https://prolisok-store.com/collections/skin-care/products/estee-lauder-nightwear-plus-anti-oxidant-night-detox-creme-50ml-1-7oz")</f>
        <v>https://prolisok-store.com/collections/skin-care/products/estee-lauder-nightwear-plus-anti-oxidant-night-detox-creme-50ml-1-7oz</v>
      </c>
      <c r="B2904" s="3" t="str">
        <f>HYPERLINK("https://prolisok-store.com/products/estee-lauder-nightwear-plus-anti-oxidant-night-detox-creme-50ml-1-7oz", "https://prolisok-store.com/products/estee-lauder-nightwear-plus-anti-oxidant-night-detox-creme-50ml-1-7oz")</f>
        <v>https://prolisok-store.com/products/estee-lauder-nightwear-plus-anti-oxidant-night-detox-creme-50ml-1-7oz</v>
      </c>
      <c r="C2904" t="s">
        <v>7090</v>
      </c>
      <c r="D2904" t="s">
        <v>7154</v>
      </c>
      <c r="E2904" s="3" t="str">
        <f>HYPERLINK("https://www.amazon.com/Estee-Lauder-Womens-Nightwear-Anti-Oxidant/dp/B01AYB72DC/ref=sr_1_1?keywords=Estee+Lauder+nightwear+plus+anti-oxidant+night+detox+creme+50ml%2F1.7oz&amp;qid=1695259686&amp;sr=8-1", "https://www.amazon.com/Estee-Lauder-Womens-Nightwear-Anti-Oxidant/dp/B01AYB72DC/ref=sr_1_1?keywords=Estee+Lauder+nightwear+plus+anti-oxidant+night+detox+creme+50ml%2F1.7oz&amp;qid=1695259686&amp;sr=8-1")</f>
        <v>https://www.amazon.com/Estee-Lauder-Womens-Nightwear-Anti-Oxidant/dp/B01AYB72DC/ref=sr_1_1?keywords=Estee+Lauder+nightwear+plus+anti-oxidant+night+detox+creme+50ml%2F1.7oz&amp;qid=1695259686&amp;sr=8-1</v>
      </c>
      <c r="F2904" t="s">
        <v>7155</v>
      </c>
      <c r="G2904" t="e">
        <f ca="1">IMAGE("https://prolisok-store.com/cdn/shop/products/290547_300x.jpg?v=1690900215")</f>
        <v>#NAME?</v>
      </c>
      <c r="H2904" t="e">
        <f ca="1">IMAGE("https://m.media-amazon.com/images/I/618ZcQa6+HL._AC_UL320_.jpg")</f>
        <v>#NAME?</v>
      </c>
      <c r="I2904" t="s">
        <v>4281</v>
      </c>
      <c r="J2904">
        <v>46.88</v>
      </c>
      <c r="K2904" s="2" t="s">
        <v>7156</v>
      </c>
      <c r="L2904">
        <v>4.7</v>
      </c>
      <c r="M2904">
        <v>562</v>
      </c>
      <c r="O2904" t="s">
        <v>26</v>
      </c>
      <c r="P2904" t="s">
        <v>39</v>
      </c>
      <c r="Q2904" t="s">
        <v>7094</v>
      </c>
    </row>
    <row r="2905" spans="1:17" ht="15.75" x14ac:dyDescent="0.25">
      <c r="A2905"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905" s="3" t="str">
        <f>HYPERLINK("https://prolisok-store.com/products/clinique-by-clinique-take-the-day-off-cleansing-balm-125ml-3-8oz", "https://prolisok-store.com/products/clinique-by-clinique-take-the-day-off-cleansing-balm-125ml-3-8oz")</f>
        <v>https://prolisok-store.com/products/clinique-by-clinique-take-the-day-off-cleansing-balm-125ml-3-8oz</v>
      </c>
      <c r="C2905" t="s">
        <v>7131</v>
      </c>
      <c r="D2905" t="s">
        <v>6163</v>
      </c>
      <c r="E2905" s="3" t="str">
        <f>HYPERLINK("https://www.amazon.com/Clinique-Take-Day-Cleansing-Balm/dp/B00EXZF01W/ref=sr_1_2?keywords=Clinique+take+the+day+off+cleansing+balm+--125ml%2F3.8oz&amp;qid=1695259716&amp;sr=8-2", "https://www.amazon.com/Clinique-Take-Day-Cleansing-Balm/dp/B00EXZF01W/ref=sr_1_2?keywords=Clinique+take+the+day+off+cleansing+balm+--125ml%2F3.8oz&amp;qid=1695259716&amp;sr=8-2")</f>
        <v>https://www.amazon.com/Clinique-Take-Day-Cleansing-Balm/dp/B00EXZF01W/ref=sr_1_2?keywords=Clinique+take+the+day+off+cleansing+balm+--125ml%2F3.8oz&amp;qid=1695259716&amp;sr=8-2</v>
      </c>
      <c r="F2905" t="s">
        <v>6164</v>
      </c>
      <c r="G2905" t="e">
        <f ca="1">IMAGE("https://prolisok-store.com/cdn/shop/products/146923_300x.jpg?v=1688060479")</f>
        <v>#NAME?</v>
      </c>
      <c r="H2905" t="e">
        <f ca="1">IMAGE("https://m.media-amazon.com/images/I/512uUildTEL._AC_UL320_.jpg")</f>
        <v>#NAME?</v>
      </c>
      <c r="I2905" t="s">
        <v>6900</v>
      </c>
      <c r="J2905">
        <v>24.9</v>
      </c>
      <c r="K2905" s="2" t="s">
        <v>7157</v>
      </c>
      <c r="L2905">
        <v>4.7</v>
      </c>
      <c r="M2905">
        <v>403</v>
      </c>
      <c r="O2905" t="s">
        <v>26</v>
      </c>
      <c r="P2905" t="s">
        <v>39</v>
      </c>
      <c r="Q2905" t="s">
        <v>7135</v>
      </c>
    </row>
    <row r="2906" spans="1:17" ht="15.75" x14ac:dyDescent="0.25">
      <c r="A2906"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906" s="3" t="str">
        <f>HYPERLINK("https://prolisok-store.com/products/clinique-by-clinique-take-the-day-off-cleansing-balm-125ml-3-8oz", "https://prolisok-store.com/products/clinique-by-clinique-take-the-day-off-cleansing-balm-125ml-3-8oz")</f>
        <v>https://prolisok-store.com/products/clinique-by-clinique-take-the-day-off-cleansing-balm-125ml-3-8oz</v>
      </c>
      <c r="C2906" t="s">
        <v>7131</v>
      </c>
      <c r="D2906" t="s">
        <v>7158</v>
      </c>
      <c r="E2906" s="3" t="str">
        <f>HYPERLINK("https://www.amazon.com/CLINIQUE-Clinique-CLEANSING-BALM-3-8OZ/dp/B000WN6N56/ref=sr_1_1?keywords=Clinique+take+the+day+off+cleansing+balm+--125ml%2F3.8oz&amp;qid=1695259716&amp;sr=8-1", "https://www.amazon.com/CLINIQUE-Clinique-CLEANSING-BALM-3-8OZ/dp/B000WN6N56/ref=sr_1_1?keywords=Clinique+take+the+day+off+cleansing+balm+--125ml%2F3.8oz&amp;qid=1695259716&amp;sr=8-1")</f>
        <v>https://www.amazon.com/CLINIQUE-Clinique-CLEANSING-BALM-3-8OZ/dp/B000WN6N56/ref=sr_1_1?keywords=Clinique+take+the+day+off+cleansing+balm+--125ml%2F3.8oz&amp;qid=1695259716&amp;sr=8-1</v>
      </c>
      <c r="F2906" t="s">
        <v>7159</v>
      </c>
      <c r="G2906" t="e">
        <f ca="1">IMAGE("https://prolisok-store.com/cdn/shop/products/146923_300x.jpg?v=1688060479")</f>
        <v>#NAME?</v>
      </c>
      <c r="H2906" t="e">
        <f ca="1">IMAGE("https://m.media-amazon.com/images/I/61M-LA9OsgL._AC_UL320_.jpg")</f>
        <v>#NAME?</v>
      </c>
      <c r="I2906" t="s">
        <v>6900</v>
      </c>
      <c r="J2906">
        <v>24.8</v>
      </c>
      <c r="K2906" s="2" t="s">
        <v>7160</v>
      </c>
      <c r="L2906">
        <v>4.7</v>
      </c>
      <c r="M2906">
        <v>2623</v>
      </c>
      <c r="O2906" t="s">
        <v>26</v>
      </c>
      <c r="P2906" t="s">
        <v>39</v>
      </c>
      <c r="Q2906" t="s">
        <v>7135</v>
      </c>
    </row>
    <row r="2907" spans="1:17" ht="15.75" x14ac:dyDescent="0.25">
      <c r="A2907"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907" s="3" t="str">
        <f>HYPERLINK("https://prolisok-store.com/products/clinique-by-clinique-take-the-day-off-cleansing-balm-125ml-3-8oz", "https://prolisok-store.com/products/clinique-by-clinique-take-the-day-off-cleansing-balm-125ml-3-8oz")</f>
        <v>https://prolisok-store.com/products/clinique-by-clinique-take-the-day-off-cleansing-balm-125ml-3-8oz</v>
      </c>
      <c r="C2907" t="s">
        <v>7131</v>
      </c>
      <c r="D2907" t="s">
        <v>7161</v>
      </c>
      <c r="E2907" s="3" t="str">
        <f>HYPERLINK("https://www.amazon.com/CLINIQUE-Take-Cleansing-Balm-125ml-women/dp/B005JNVI90/ref=sr_1_5?keywords=Clinique+take+the+day+off+cleansing+balm+--125ml%2F3.8oz&amp;qid=1695259716&amp;sr=8-5", "https://www.amazon.com/CLINIQUE-Take-Cleansing-Balm-125ml-women/dp/B005JNVI90/ref=sr_1_5?keywords=Clinique+take+the+day+off+cleansing+balm+--125ml%2F3.8oz&amp;qid=1695259716&amp;sr=8-5")</f>
        <v>https://www.amazon.com/CLINIQUE-Take-Cleansing-Balm-125ml-women/dp/B005JNVI90/ref=sr_1_5?keywords=Clinique+take+the+day+off+cleansing+balm+--125ml%2F3.8oz&amp;qid=1695259716&amp;sr=8-5</v>
      </c>
      <c r="F2907" t="s">
        <v>7162</v>
      </c>
      <c r="G2907" t="e">
        <f ca="1">IMAGE("https://prolisok-store.com/cdn/shop/products/146923_300x.jpg?v=1688060479")</f>
        <v>#NAME?</v>
      </c>
      <c r="H2907" t="e">
        <f ca="1">IMAGE("https://m.media-amazon.com/images/I/51W9imrvtuL._AC_UL320_.jpg")</f>
        <v>#NAME?</v>
      </c>
      <c r="I2907" t="s">
        <v>6900</v>
      </c>
      <c r="J2907">
        <v>24.65</v>
      </c>
      <c r="K2907" s="2" t="s">
        <v>7163</v>
      </c>
      <c r="L2907">
        <v>4.8</v>
      </c>
      <c r="M2907">
        <v>10</v>
      </c>
      <c r="O2907" t="s">
        <v>26</v>
      </c>
      <c r="P2907" t="s">
        <v>39</v>
      </c>
      <c r="Q2907" t="s">
        <v>7135</v>
      </c>
    </row>
    <row r="2908" spans="1:17" ht="15.75" x14ac:dyDescent="0.25">
      <c r="A2908" s="3" t="str">
        <f>HYPERLINK("https://prolisok-store.com/collections/skin-care/products/sisley-phyto-teint-ultra-eclat-4-cinnamon-30ml-1oz", "https://prolisok-store.com/collections/skin-care/products/sisley-phyto-teint-ultra-eclat-4-cinnamon-30ml-1oz")</f>
        <v>https://prolisok-store.com/collections/skin-care/products/sisley-phyto-teint-ultra-eclat-4-cinnamon-30ml-1oz</v>
      </c>
      <c r="B2908" s="3" t="str">
        <f>HYPERLINK("https://prolisok-store.com/products/sisley-phyto-teint-ultra-eclat-4-cinnamon-30ml-1oz", "https://prolisok-store.com/products/sisley-phyto-teint-ultra-eclat-4-cinnamon-30ml-1oz")</f>
        <v>https://prolisok-store.com/products/sisley-phyto-teint-ultra-eclat-4-cinnamon-30ml-1oz</v>
      </c>
      <c r="C2908" t="s">
        <v>6250</v>
      </c>
      <c r="D2908" t="s">
        <v>6595</v>
      </c>
      <c r="E2908" s="3" t="str">
        <f>HYPERLINK("https://www.amazon.com/Sisley-Phyto-Teint-Ultra-Lasting-Foundation/dp/B07XC3F67C/ref=sr_1_1?keywords=Sisley+phyto+teint+ultra+eclat&amp;qid=1695259720&amp;sr=8-1", "https://www.amazon.com/Sisley-Phyto-Teint-Ultra-Lasting-Foundation/dp/B07XC3F67C/ref=sr_1_1?keywords=Sisley+phyto+teint+ultra+eclat&amp;qid=1695259720&amp;sr=8-1")</f>
        <v>https://www.amazon.com/Sisley-Phyto-Teint-Ultra-Lasting-Foundation/dp/B07XC3F67C/ref=sr_1_1?keywords=Sisley+phyto+teint+ultra+eclat&amp;qid=1695259720&amp;sr=8-1</v>
      </c>
      <c r="F2908" t="s">
        <v>6596</v>
      </c>
      <c r="G2908" t="e">
        <f ca="1">IMAGE("https://prolisok-store.com/cdn/shop/products/346278_300x.jpg?v=1690900739")</f>
        <v>#NAME?</v>
      </c>
      <c r="H2908" t="e">
        <f ca="1">IMAGE("https://m.media-amazon.com/images/I/41+MtjTqAFL._AC_UL320_.jpg")</f>
        <v>#NAME?</v>
      </c>
      <c r="I2908" t="s">
        <v>6137</v>
      </c>
      <c r="J2908">
        <v>61.17</v>
      </c>
      <c r="K2908" s="2" t="s">
        <v>6597</v>
      </c>
      <c r="L2908">
        <v>4.3</v>
      </c>
      <c r="M2908">
        <v>58</v>
      </c>
      <c r="O2908" t="s">
        <v>26</v>
      </c>
      <c r="P2908" t="s">
        <v>39</v>
      </c>
      <c r="Q2908" t="s">
        <v>6253</v>
      </c>
    </row>
    <row r="2909" spans="1:17" ht="15.75" x14ac:dyDescent="0.25">
      <c r="A2909" s="3" t="str">
        <f>HYPERLINK("https://prolisok-store.com/collections/skin-care/products/estee-lauder-revitalizing-supreme-youth-power-creme-50ml-1-7oz", "https://prolisok-store.com/collections/skin-care/products/estee-lauder-revitalizing-supreme-youth-power-creme-50ml-1-7oz")</f>
        <v>https://prolisok-store.com/collections/skin-care/products/estee-lauder-revitalizing-supreme-youth-power-creme-50ml-1-7oz</v>
      </c>
      <c r="B2909" s="3" t="str">
        <f>HYPERLINK("https://prolisok-store.com/products/estee-lauder-revitalizing-supreme-youth-power-creme-50ml-1-7oz", "https://prolisok-store.com/products/estee-lauder-revitalizing-supreme-youth-power-creme-50ml-1-7oz")</f>
        <v>https://prolisok-store.com/products/estee-lauder-revitalizing-supreme-youth-power-creme-50ml-1-7oz</v>
      </c>
      <c r="C2909" t="s">
        <v>7039</v>
      </c>
      <c r="D2909" t="s">
        <v>7164</v>
      </c>
      <c r="E2909" s="3" t="str">
        <f>HYPERLINK("https://www.amazon.com/Estee-Lauder-Revitalizing-Supreme-Unisex/dp/B09RKM1T5G/ref=sr_1_4?keywords=Estee+Lauder+revitalizing+supreme+youth+power+creme+50ml%2F1.7oz&amp;qid=1695259680&amp;sr=8-4", "https://www.amazon.com/Estee-Lauder-Revitalizing-Supreme-Unisex/dp/B09RKM1T5G/ref=sr_1_4?keywords=Estee+Lauder+revitalizing+supreme+youth+power+creme+50ml%2F1.7oz&amp;qid=1695259680&amp;sr=8-4")</f>
        <v>https://www.amazon.com/Estee-Lauder-Revitalizing-Supreme-Unisex/dp/B09RKM1T5G/ref=sr_1_4?keywords=Estee+Lauder+revitalizing+supreme+youth+power+creme+50ml%2F1.7oz&amp;qid=1695259680&amp;sr=8-4</v>
      </c>
      <c r="F2909" t="s">
        <v>7165</v>
      </c>
      <c r="G2909" t="e">
        <f ca="1">IMAGE("https://prolisok-store.com/cdn/shop/products/442270_300x.jpg?v=1690900243")</f>
        <v>#NAME?</v>
      </c>
      <c r="H2909" t="e">
        <f ca="1">IMAGE("https://m.media-amazon.com/images/I/61IeYkt0C7L._AC_UL320_.jpg")</f>
        <v>#NAME?</v>
      </c>
      <c r="I2909" t="s">
        <v>7042</v>
      </c>
      <c r="J2909">
        <v>65</v>
      </c>
      <c r="K2909" s="2" t="s">
        <v>7166</v>
      </c>
      <c r="L2909">
        <v>4.5999999999999996</v>
      </c>
      <c r="M2909">
        <v>79</v>
      </c>
      <c r="O2909" t="s">
        <v>26</v>
      </c>
      <c r="P2909" t="s">
        <v>39</v>
      </c>
      <c r="Q2909" t="s">
        <v>7044</v>
      </c>
    </row>
    <row r="2910" spans="1:17" ht="15.75" x14ac:dyDescent="0.25">
      <c r="A2910" s="3" t="str">
        <f>HYPERLINK("https://prolisok-store.com/collections/skin-care/products/sisley-botanical-gentle-facial-buffing-cream-50ml-1-7oz", "https://prolisok-store.com/collections/skin-care/products/sisley-botanical-gentle-facial-buffing-cream-50ml-1-7oz")</f>
        <v>https://prolisok-store.com/collections/skin-care/products/sisley-botanical-gentle-facial-buffing-cream-50ml-1-7oz</v>
      </c>
      <c r="B2910" s="3" t="str">
        <f>HYPERLINK("https://prolisok-store.com/products/sisley-botanical-gentle-facial-buffing-cream-50ml-1-7oz", "https://prolisok-store.com/products/sisley-botanical-gentle-facial-buffing-cream-50ml-1-7oz")</f>
        <v>https://prolisok-store.com/products/sisley-botanical-gentle-facial-buffing-cream-50ml-1-7oz</v>
      </c>
      <c r="C2910" t="s">
        <v>7167</v>
      </c>
      <c r="D2910" t="s">
        <v>7168</v>
      </c>
      <c r="E2910" s="3" t="str">
        <f>HYPERLINK("https://www.amazon.com/Sisley-Botanical-Gentle-Facial-Buffing/dp/B000R8U730/ref=sr_1_1?keywords=Sisley+botanical+gentle+facial+buffing+cream+50ml%2F1.7oz&amp;qid=1695259680&amp;sr=8-1", "https://www.amazon.com/Sisley-Botanical-Gentle-Facial-Buffing/dp/B000R8U730/ref=sr_1_1?keywords=Sisley+botanical+gentle+facial+buffing+cream+50ml%2F1.7oz&amp;qid=1695259680&amp;sr=8-1")</f>
        <v>https://www.amazon.com/Sisley-Botanical-Gentle-Facial-Buffing/dp/B000R8U730/ref=sr_1_1?keywords=Sisley+botanical+gentle+facial+buffing+cream+50ml%2F1.7oz&amp;qid=1695259680&amp;sr=8-1</v>
      </c>
      <c r="F2910" t="s">
        <v>7169</v>
      </c>
      <c r="G2910" t="e">
        <f ca="1">IMAGE("https://prolisok-store.com/cdn/shop/products/131303_300x.jpg?v=1690900855")</f>
        <v>#NAME?</v>
      </c>
      <c r="H2910" t="e">
        <f ca="1">IMAGE("https://m.media-amazon.com/images/I/61IVUv1ERRL._AC_UL320_.jpg")</f>
        <v>#NAME?</v>
      </c>
      <c r="I2910" t="s">
        <v>7170</v>
      </c>
      <c r="J2910">
        <v>61.75</v>
      </c>
      <c r="K2910" s="2" t="s">
        <v>7171</v>
      </c>
      <c r="L2910">
        <v>4.4000000000000004</v>
      </c>
      <c r="M2910">
        <v>14</v>
      </c>
      <c r="O2910" t="s">
        <v>26</v>
      </c>
      <c r="P2910" t="s">
        <v>39</v>
      </c>
      <c r="Q2910" t="s">
        <v>7172</v>
      </c>
    </row>
    <row r="2911" spans="1:17" ht="15.75" x14ac:dyDescent="0.25">
      <c r="A2911" s="3" t="str">
        <f>HYPERLINK("https://prolisok-store.com/collections/skin-care/products/sisley-botanical-gentle-facial-buffing-cream-50ml-1-7oz", "https://prolisok-store.com/collections/skin-care/products/sisley-botanical-gentle-facial-buffing-cream-50ml-1-7oz")</f>
        <v>https://prolisok-store.com/collections/skin-care/products/sisley-botanical-gentle-facial-buffing-cream-50ml-1-7oz</v>
      </c>
      <c r="B2911" s="3" t="str">
        <f>HYPERLINK("https://prolisok-store.com/products/sisley-botanical-gentle-facial-buffing-cream-50ml-1-7oz", "https://prolisok-store.com/products/sisley-botanical-gentle-facial-buffing-cream-50ml-1-7oz")</f>
        <v>https://prolisok-store.com/products/sisley-botanical-gentle-facial-buffing-cream-50ml-1-7oz</v>
      </c>
      <c r="C2911" t="s">
        <v>7167</v>
      </c>
      <c r="D2911" t="s">
        <v>7173</v>
      </c>
      <c r="E2911" s="3" t="str">
        <f>HYPERLINK("https://www.amazon.com/Sisley-Botanical-Gentle-Facial-Buffing/dp/B000R8QOU0/ref=sr_1_5?keywords=Sisley+botanical+gentle+facial+buffing+cream+50ml%2F1.7oz&amp;qid=1695259680&amp;sr=8-5", "https://www.amazon.com/Sisley-Botanical-Gentle-Facial-Buffing/dp/B000R8QOU0/ref=sr_1_5?keywords=Sisley+botanical+gentle+facial+buffing+cream+50ml%2F1.7oz&amp;qid=1695259680&amp;sr=8-5")</f>
        <v>https://www.amazon.com/Sisley-Botanical-Gentle-Facial-Buffing/dp/B000R8QOU0/ref=sr_1_5?keywords=Sisley+botanical+gentle+facial+buffing+cream+50ml%2F1.7oz&amp;qid=1695259680&amp;sr=8-5</v>
      </c>
      <c r="F2911" t="s">
        <v>7174</v>
      </c>
      <c r="G2911" t="e">
        <f ca="1">IMAGE("https://prolisok-store.com/cdn/shop/products/131303_300x.jpg?v=1690900855")</f>
        <v>#NAME?</v>
      </c>
      <c r="H2911" t="e">
        <f ca="1">IMAGE("https://m.media-amazon.com/images/I/61DyUv9jH0L._AC_UL320_.jpg")</f>
        <v>#NAME?</v>
      </c>
      <c r="I2911" t="s">
        <v>7170</v>
      </c>
      <c r="J2911">
        <v>61.5</v>
      </c>
      <c r="K2911" s="2" t="s">
        <v>7175</v>
      </c>
      <c r="L2911">
        <v>4.5999999999999996</v>
      </c>
      <c r="M2911">
        <v>8</v>
      </c>
      <c r="O2911" t="s">
        <v>26</v>
      </c>
      <c r="P2911" t="s">
        <v>39</v>
      </c>
      <c r="Q2911" t="s">
        <v>7172</v>
      </c>
    </row>
    <row r="2912" spans="1:17" ht="15.75" x14ac:dyDescent="0.25">
      <c r="A2912" s="3" t="str">
        <f>HYPERLINK("https://prolisok-store.com/collections/skin-care/products/sisley-express-flower-gel-60ml-2oz", "https://prolisok-store.com/collections/skin-care/products/sisley-express-flower-gel-60ml-2oz")</f>
        <v>https://prolisok-store.com/collections/skin-care/products/sisley-express-flower-gel-60ml-2oz</v>
      </c>
      <c r="B2912" s="3" t="str">
        <f>HYPERLINK("https://prolisok-store.com/products/sisley-express-flower-gel-60ml-2oz", "https://prolisok-store.com/products/sisley-express-flower-gel-60ml-2oz")</f>
        <v>https://prolisok-store.com/products/sisley-express-flower-gel-60ml-2oz</v>
      </c>
      <c r="C2912" t="s">
        <v>7176</v>
      </c>
      <c r="D2912" t="s">
        <v>7177</v>
      </c>
      <c r="E2912" s="3" t="str">
        <f>HYPERLINK("https://www.amazon.com/Sisley-4541-Express-Flower-Mask/dp/B00AK7XK4Q/ref=sr_1_5?keywords=Sisley+express+flower+gel+60ml%2F2oz&amp;qid=1695259698&amp;sr=8-5", "https://www.amazon.com/Sisley-4541-Express-Flower-Mask/dp/B00AK7XK4Q/ref=sr_1_5?keywords=Sisley+express+flower+gel+60ml%2F2oz&amp;qid=1695259698&amp;sr=8-5")</f>
        <v>https://www.amazon.com/Sisley-4541-Express-Flower-Mask/dp/B00AK7XK4Q/ref=sr_1_5?keywords=Sisley+express+flower+gel+60ml%2F2oz&amp;qid=1695259698&amp;sr=8-5</v>
      </c>
      <c r="F2912" t="s">
        <v>7178</v>
      </c>
      <c r="G2912" t="e">
        <f ca="1">IMAGE("https://prolisok-store.com/cdn/shop/products/131327_300x.jpg?v=1690900862")</f>
        <v>#NAME?</v>
      </c>
      <c r="H2912" t="e">
        <f ca="1">IMAGE("https://m.media-amazon.com/images/I/71DJ0mu8kAL._AC_UL320_.jpg")</f>
        <v>#NAME?</v>
      </c>
      <c r="I2912" t="s">
        <v>2896</v>
      </c>
      <c r="J2912">
        <v>99.65</v>
      </c>
      <c r="K2912" s="2" t="s">
        <v>7179</v>
      </c>
      <c r="L2912">
        <v>4</v>
      </c>
      <c r="M2912">
        <v>2</v>
      </c>
      <c r="O2912" t="s">
        <v>26</v>
      </c>
      <c r="P2912" t="s">
        <v>39</v>
      </c>
      <c r="Q2912" t="s">
        <v>7180</v>
      </c>
    </row>
    <row r="2913" spans="1:17" ht="15.75" x14ac:dyDescent="0.25">
      <c r="A2913" s="3" t="str">
        <f>HYPERLINK("https://prolisok-store.com/collections/skin-care/products/sisley-sisley-radiant-glow-express-mask-with-red-clays-60ml-2oz", "https://prolisok-store.com/collections/skin-care/products/sisley-sisley-radiant-glow-express-mask-with-red-clays-60ml-2oz")</f>
        <v>https://prolisok-store.com/collections/skin-care/products/sisley-sisley-radiant-glow-express-mask-with-red-clays-60ml-2oz</v>
      </c>
      <c r="B2913" s="3" t="str">
        <f>HYPERLINK("https://prolisok-store.com/products/sisley-sisley-radiant-glow-express-mask-with-red-clays-60ml-2oz", "https://prolisok-store.com/products/sisley-sisley-radiant-glow-express-mask-with-red-clays-60ml-2oz")</f>
        <v>https://prolisok-store.com/products/sisley-sisley-radiant-glow-express-mask-with-red-clays-60ml-2oz</v>
      </c>
      <c r="C2913" t="s">
        <v>7066</v>
      </c>
      <c r="D2913" t="s">
        <v>7181</v>
      </c>
      <c r="E2913" s="3" t="str">
        <f>HYPERLINK("https://www.amazon.com/Sisley-Radiant-Express-Clays-2-3-Ounce/dp/B002AMUGOQ/ref=sr_1_4?keywords=Sisley+sisley+radiant+glow+express+mask+with+red+clays60ml%2F2oz&amp;qid=1695259687&amp;sr=8-4", "https://www.amazon.com/Sisley-Radiant-Express-Clays-2-3-Ounce/dp/B002AMUGOQ/ref=sr_1_4?keywords=Sisley+sisley+radiant+glow+express+mask+with+red+clays60ml%2F2oz&amp;qid=1695259687&amp;sr=8-4")</f>
        <v>https://www.amazon.com/Sisley-Radiant-Express-Clays-2-3-Ounce/dp/B002AMUGOQ/ref=sr_1_4?keywords=Sisley+sisley+radiant+glow+express+mask+with+red+clays60ml%2F2oz&amp;qid=1695259687&amp;sr=8-4</v>
      </c>
      <c r="F2913" t="s">
        <v>7182</v>
      </c>
      <c r="G2913" t="e">
        <f ca="1">IMAGE("https://prolisok-store.com/cdn/shop/products/131357_300x.jpg?v=1690900872")</f>
        <v>#NAME?</v>
      </c>
      <c r="H2913" t="e">
        <f ca="1">IMAGE("https://m.media-amazon.com/images/I/41tNnfbOJPL._AC_UL320_.jpg")</f>
        <v>#NAME?</v>
      </c>
      <c r="I2913" t="s">
        <v>7069</v>
      </c>
      <c r="J2913">
        <v>66.349999999999994</v>
      </c>
      <c r="K2913" s="2" t="s">
        <v>7183</v>
      </c>
      <c r="L2913">
        <v>4.3</v>
      </c>
      <c r="M2913">
        <v>74</v>
      </c>
      <c r="O2913" t="s">
        <v>26</v>
      </c>
      <c r="P2913" t="s">
        <v>39</v>
      </c>
      <c r="Q2913" t="s">
        <v>7071</v>
      </c>
    </row>
    <row r="2914" spans="1:17" ht="15.75" x14ac:dyDescent="0.25">
      <c r="A2914" s="3" t="str">
        <f>HYPERLINK("https://prolisok-store.com/collections/skin-care/products/sisley-phyto-blanc-ultra-lightening-mask-60ml-2oz", "https://prolisok-store.com/collections/skin-care/products/sisley-phyto-blanc-ultra-lightening-mask-60ml-2oz")</f>
        <v>https://prolisok-store.com/collections/skin-care/products/sisley-phyto-blanc-ultra-lightening-mask-60ml-2oz</v>
      </c>
      <c r="B2914" s="3" t="str">
        <f>HYPERLINK("https://prolisok-store.com/products/sisley-phyto-blanc-ultra-lightening-mask-60ml-2oz", "https://prolisok-store.com/products/sisley-phyto-blanc-ultra-lightening-mask-60ml-2oz")</f>
        <v>https://prolisok-store.com/products/sisley-phyto-blanc-ultra-lightening-mask-60ml-2oz</v>
      </c>
      <c r="C2914" t="s">
        <v>7027</v>
      </c>
      <c r="D2914" t="s">
        <v>7184</v>
      </c>
      <c r="E2914" s="3" t="str">
        <f>HYPERLINK("https://www.amazon.com/Sisley-Phyto-Blanc-Ultra-Lightening-Ounce/dp/B000K19TH4/ref=sr_1_1?keywords=Sisley+phyto-blanc+ultra+lightening+mask+60ml%2F2oz&amp;qid=1695259693&amp;sr=8-1", "https://www.amazon.com/Sisley-Phyto-Blanc-Ultra-Lightening-Ounce/dp/B000K19TH4/ref=sr_1_1?keywords=Sisley+phyto-blanc+ultra+lightening+mask+60ml%2F2oz&amp;qid=1695259693&amp;sr=8-1")</f>
        <v>https://www.amazon.com/Sisley-Phyto-Blanc-Ultra-Lightening-Ounce/dp/B000K19TH4/ref=sr_1_1?keywords=Sisley+phyto-blanc+ultra+lightening+mask+60ml%2F2oz&amp;qid=1695259693&amp;sr=8-1</v>
      </c>
      <c r="F2914" t="s">
        <v>7185</v>
      </c>
      <c r="G2914" t="e">
        <f ca="1">IMAGE("https://prolisok-store.com/cdn/shop/products/146240_300x.jpg?v=1690900879")</f>
        <v>#NAME?</v>
      </c>
      <c r="H2914" t="e">
        <f ca="1">IMAGE("https://m.media-amazon.com/images/I/61uWvQW+7pL._AC_UL320_.jpg")</f>
        <v>#NAME?</v>
      </c>
      <c r="I2914" t="s">
        <v>7030</v>
      </c>
      <c r="J2914">
        <v>91</v>
      </c>
      <c r="K2914" s="2" t="s">
        <v>7186</v>
      </c>
      <c r="L2914">
        <v>5</v>
      </c>
      <c r="M2914">
        <v>4</v>
      </c>
      <c r="O2914" t="s">
        <v>26</v>
      </c>
      <c r="P2914" t="s">
        <v>39</v>
      </c>
      <c r="Q2914" t="s">
        <v>7031</v>
      </c>
    </row>
    <row r="2915" spans="1:17" ht="15.75" x14ac:dyDescent="0.25">
      <c r="A2915" s="3" t="str">
        <f>HYPERLINK("https://prolisok-store.com/collections/skin-care/products/sisley-sisley-radiant-glow-express-mask-with-red-clays-60ml-2oz", "https://prolisok-store.com/collections/skin-care/products/sisley-sisley-radiant-glow-express-mask-with-red-clays-60ml-2oz")</f>
        <v>https://prolisok-store.com/collections/skin-care/products/sisley-sisley-radiant-glow-express-mask-with-red-clays-60ml-2oz</v>
      </c>
      <c r="B2915" s="3" t="str">
        <f>HYPERLINK("https://prolisok-store.com/products/sisley-sisley-radiant-glow-express-mask-with-red-clays-60ml-2oz", "https://prolisok-store.com/products/sisley-sisley-radiant-glow-express-mask-with-red-clays-60ml-2oz")</f>
        <v>https://prolisok-store.com/products/sisley-sisley-radiant-glow-express-mask-with-red-clays-60ml-2oz</v>
      </c>
      <c r="C2915" t="s">
        <v>7066</v>
      </c>
      <c r="D2915" t="s">
        <v>7187</v>
      </c>
      <c r="E2915" s="3" t="str">
        <f>HYPERLINK("https://www.amazon.com/Sisley-Radiant-Glow-Express-Clays/dp/B00BNAR18U/ref=sr_1_2?keywords=Sisley+sisley+radiant+glow+express+mask+with+red+clays60ml%2F2oz&amp;qid=1695259687&amp;sr=8-2", "https://www.amazon.com/Sisley-Radiant-Glow-Express-Clays/dp/B00BNAR18U/ref=sr_1_2?keywords=Sisley+sisley+radiant+glow+express+mask+with+red+clays60ml%2F2oz&amp;qid=1695259687&amp;sr=8-2")</f>
        <v>https://www.amazon.com/Sisley-Radiant-Glow-Express-Clays/dp/B00BNAR18U/ref=sr_1_2?keywords=Sisley+sisley+radiant+glow+express+mask+with+red+clays60ml%2F2oz&amp;qid=1695259687&amp;sr=8-2</v>
      </c>
      <c r="F2915" t="s">
        <v>7188</v>
      </c>
      <c r="G2915" t="e">
        <f ca="1">IMAGE("https://prolisok-store.com/cdn/shop/products/131357_300x.jpg?v=1690900872")</f>
        <v>#NAME?</v>
      </c>
      <c r="H2915" t="e">
        <f ca="1">IMAGE("https://m.media-amazon.com/images/I/51QyToFML+L._AC_UL320_.jpg")</f>
        <v>#NAME?</v>
      </c>
      <c r="I2915" t="s">
        <v>7069</v>
      </c>
      <c r="J2915">
        <v>65.2</v>
      </c>
      <c r="K2915" s="2" t="s">
        <v>7189</v>
      </c>
      <c r="L2915">
        <v>4</v>
      </c>
      <c r="M2915">
        <v>1</v>
      </c>
      <c r="O2915" t="s">
        <v>26</v>
      </c>
      <c r="P2915" t="s">
        <v>39</v>
      </c>
      <c r="Q2915" t="s">
        <v>7071</v>
      </c>
    </row>
    <row r="2916" spans="1:17" ht="15.75" x14ac:dyDescent="0.25">
      <c r="A2916" s="3" t="str">
        <f>HYPERLINK("https://prolisok-store.com/collections/skin-care/products/sisley-botanical-gentle-facial-buffing-cream-50ml-1-7oz", "https://prolisok-store.com/collections/skin-care/products/sisley-botanical-gentle-facial-buffing-cream-50ml-1-7oz")</f>
        <v>https://prolisok-store.com/collections/skin-care/products/sisley-botanical-gentle-facial-buffing-cream-50ml-1-7oz</v>
      </c>
      <c r="B2916" s="3" t="str">
        <f>HYPERLINK("https://prolisok-store.com/products/sisley-botanical-gentle-facial-buffing-cream-50ml-1-7oz", "https://prolisok-store.com/products/sisley-botanical-gentle-facial-buffing-cream-50ml-1-7oz")</f>
        <v>https://prolisok-store.com/products/sisley-botanical-gentle-facial-buffing-cream-50ml-1-7oz</v>
      </c>
      <c r="C2916" t="s">
        <v>7167</v>
      </c>
      <c r="D2916" t="s">
        <v>7190</v>
      </c>
      <c r="E2916" s="3" t="str">
        <f>HYPERLINK("https://www.amazon.com/Sisley-Botanical-Gentle-Buffing-1-4-Ounce/dp/B002AMUGTQ/ref=sr_1_4?keywords=Sisley+botanical+gentle+facial+buffing+cream+50ml%2F1.7oz&amp;qid=1695259680&amp;sr=8-4", "https://www.amazon.com/Sisley-Botanical-Gentle-Buffing-1-4-Ounce/dp/B002AMUGTQ/ref=sr_1_4?keywords=Sisley+botanical+gentle+facial+buffing+cream+50ml%2F1.7oz&amp;qid=1695259680&amp;sr=8-4")</f>
        <v>https://www.amazon.com/Sisley-Botanical-Gentle-Buffing-1-4-Ounce/dp/B002AMUGTQ/ref=sr_1_4?keywords=Sisley+botanical+gentle+facial+buffing+cream+50ml%2F1.7oz&amp;qid=1695259680&amp;sr=8-4</v>
      </c>
      <c r="F2916" t="s">
        <v>7191</v>
      </c>
      <c r="G2916" t="e">
        <f ca="1">IMAGE("https://prolisok-store.com/cdn/shop/products/131303_300x.jpg?v=1690900855")</f>
        <v>#NAME?</v>
      </c>
      <c r="H2916" t="e">
        <f ca="1">IMAGE("https://m.media-amazon.com/images/I/41jmsXu4v3L._AC_UL320_.jpg")</f>
        <v>#NAME?</v>
      </c>
      <c r="I2916" t="s">
        <v>7170</v>
      </c>
      <c r="J2916">
        <v>57.94</v>
      </c>
      <c r="K2916" s="2" t="s">
        <v>7192</v>
      </c>
      <c r="L2916">
        <v>4.3</v>
      </c>
      <c r="M2916">
        <v>18</v>
      </c>
      <c r="O2916" t="s">
        <v>26</v>
      </c>
      <c r="P2916" t="s">
        <v>39</v>
      </c>
      <c r="Q2916" t="s">
        <v>7172</v>
      </c>
    </row>
    <row r="2917" spans="1:17" ht="15.75" x14ac:dyDescent="0.25">
      <c r="A2917" s="3" t="str">
        <f>HYPERLINK("https://prolisok-store.com/collections/skin-care/products/elizabeth-arden-ceramide-vitamin-c-capsules-radiance-renewal-serum-60caps", "https://prolisok-store.com/collections/skin-care/products/elizabeth-arden-ceramide-vitamin-c-capsules-radiance-renewal-serum-60caps")</f>
        <v>https://prolisok-store.com/collections/skin-care/products/elizabeth-arden-ceramide-vitamin-c-capsules-radiance-renewal-serum-60caps</v>
      </c>
      <c r="B2917" s="3" t="str">
        <f>HYPERLINK("https://prolisok-store.com/products/elizabeth-arden-ceramide-vitamin-c-capsules-radiance-renewal-serum-60caps", "https://prolisok-store.com/products/elizabeth-arden-ceramide-vitamin-c-capsules-radiance-renewal-serum-60caps")</f>
        <v>https://prolisok-store.com/products/elizabeth-arden-ceramide-vitamin-c-capsules-radiance-renewal-serum-60caps</v>
      </c>
      <c r="C2917" t="s">
        <v>7193</v>
      </c>
      <c r="D2917" t="s">
        <v>4833</v>
      </c>
      <c r="E2917" s="3" t="str">
        <f>HYPERLINK("https://www.amazon.com/Elizabeth-Arden-Ceramide-Capsules-Radiance/dp/B07TRFZ8K6/ref=sr_1_1?keywords=Elizabeth+Arden+ceramide+vitamin+c+capsules+radiance+renewal+serum+60caps&amp;qid=1695259655&amp;sr=8-1", "https://www.amazon.com/Elizabeth-Arden-Ceramide-Capsules-Radiance/dp/B07TRFZ8K6/ref=sr_1_1?keywords=Elizabeth+Arden+ceramide+vitamin+c+capsules+radiance+renewal+serum+60caps&amp;qid=1695259655&amp;sr=8-1")</f>
        <v>https://www.amazon.com/Elizabeth-Arden-Ceramide-Capsules-Radiance/dp/B07TRFZ8K6/ref=sr_1_1?keywords=Elizabeth+Arden+ceramide+vitamin+c+capsules+radiance+renewal+serum+60caps&amp;qid=1695259655&amp;sr=8-1</v>
      </c>
      <c r="F2917" t="s">
        <v>7194</v>
      </c>
      <c r="G2917" t="e">
        <f ca="1">IMAGE("https://prolisok-store.com/cdn/shop/products/358351_300x.jpg?v=1693407242")</f>
        <v>#NAME?</v>
      </c>
      <c r="H2917" t="e">
        <f ca="1">IMAGE("https://m.media-amazon.com/images/I/81oeUaUZIYL._AC_UL320_.jpg")</f>
        <v>#NAME?</v>
      </c>
      <c r="I2917" t="s">
        <v>6828</v>
      </c>
      <c r="J2917">
        <v>54</v>
      </c>
      <c r="K2917" s="2" t="s">
        <v>7195</v>
      </c>
      <c r="L2917">
        <v>4.4000000000000004</v>
      </c>
      <c r="M2917">
        <v>1059</v>
      </c>
      <c r="O2917" t="s">
        <v>26</v>
      </c>
      <c r="P2917" t="s">
        <v>39</v>
      </c>
      <c r="Q2917" t="s">
        <v>7196</v>
      </c>
    </row>
    <row r="2918" spans="1:17" ht="15.75" x14ac:dyDescent="0.25">
      <c r="A2918" s="3" t="str">
        <f>HYPERLINK("https://prolisok-store.com/collections/skin-care/products/elizabeth-arden-ceramide-retinol-capsules-line-erasing-night-serum-60-caps", "https://prolisok-store.com/collections/skin-care/products/elizabeth-arden-ceramide-retinol-capsules-line-erasing-night-serum-60-caps")</f>
        <v>https://prolisok-store.com/collections/skin-care/products/elizabeth-arden-ceramide-retinol-capsules-line-erasing-night-serum-60-caps</v>
      </c>
      <c r="B2918" s="3" t="str">
        <f>HYPERLINK("https://prolisok-store.com/products/elizabeth-arden-ceramide-retinol-capsules-line-erasing-night-serum-60-caps", "https://prolisok-store.com/products/elizabeth-arden-ceramide-retinol-capsules-line-erasing-night-serum-60-caps")</f>
        <v>https://prolisok-store.com/products/elizabeth-arden-ceramide-retinol-capsules-line-erasing-night-serum-60-caps</v>
      </c>
      <c r="C2918" t="s">
        <v>6827</v>
      </c>
      <c r="D2918" t="s">
        <v>4977</v>
      </c>
      <c r="E2918" s="3" t="str">
        <f>HYPERLINK("https://www.amazon.com/Elizabeth-Arden-Retinol-Ceramide-Capsules/dp/B07FKBBK1L/ref=sr_1_3?keywords=Elizabeth+Arden+ceramide+retinol+capsules+line+erasing+night+serum+60+caps&amp;qid=1695259670&amp;sr=8-3", "https://www.amazon.com/Elizabeth-Arden-Retinol-Ceramide-Capsules/dp/B07FKBBK1L/ref=sr_1_3?keywords=Elizabeth+Arden+ceramide+retinol+capsules+line+erasing+night+serum+60+caps&amp;qid=1695259670&amp;sr=8-3")</f>
        <v>https://www.amazon.com/Elizabeth-Arden-Retinol-Ceramide-Capsules/dp/B07FKBBK1L/ref=sr_1_3?keywords=Elizabeth+Arden+ceramide+retinol+capsules+line+erasing+night+serum+60+caps&amp;qid=1695259670&amp;sr=8-3</v>
      </c>
      <c r="F2918" t="s">
        <v>4978</v>
      </c>
      <c r="G2918" t="e">
        <f ca="1">IMAGE("https://prolisok-store.com/cdn/shop/products/326993_300x.jpg?v=1693407184")</f>
        <v>#NAME?</v>
      </c>
      <c r="H2918" t="e">
        <f ca="1">IMAGE("https://m.media-amazon.com/images/I/71ObhVyRrqL._AC_UL320_.jpg")</f>
        <v>#NAME?</v>
      </c>
      <c r="I2918" t="s">
        <v>6828</v>
      </c>
      <c r="J2918">
        <v>54</v>
      </c>
      <c r="K2918" s="2" t="s">
        <v>7195</v>
      </c>
      <c r="L2918">
        <v>4.5</v>
      </c>
      <c r="M2918">
        <v>1342</v>
      </c>
      <c r="O2918" t="s">
        <v>26</v>
      </c>
      <c r="P2918" t="s">
        <v>39</v>
      </c>
      <c r="Q2918" t="s">
        <v>6830</v>
      </c>
    </row>
    <row r="2919" spans="1:17" ht="15.75" x14ac:dyDescent="0.25">
      <c r="A2919" s="3" t="str">
        <f>HYPERLINK("https://prolisok-store.com/collections/skin-care/products/sisley-phyto-teint-expert-4-honey-30ml-1oz", "https://prolisok-store.com/collections/skin-care/products/sisley-phyto-teint-expert-4-honey-30ml-1oz")</f>
        <v>https://prolisok-store.com/collections/skin-care/products/sisley-phyto-teint-expert-4-honey-30ml-1oz</v>
      </c>
      <c r="B2919" s="3" t="str">
        <f>HYPERLINK("https://prolisok-store.com/products/sisley-phyto-teint-expert-4-honey-30ml-1oz", "https://prolisok-store.com/products/sisley-phyto-teint-expert-4-honey-30ml-1oz")</f>
        <v>https://prolisok-store.com/products/sisley-phyto-teint-expert-4-honey-30ml-1oz</v>
      </c>
      <c r="C2919" t="s">
        <v>7197</v>
      </c>
      <c r="D2919" t="s">
        <v>6270</v>
      </c>
      <c r="E2919" s="3" t="str">
        <f>HYPERLINK("https://www.amazon.com/Sisley-Phyto-Teint-Ultra-Lasting-Foundation/dp/B07XG2W8ML/ref=sr_1_2?keywords=Sisley+phyto+teint+expert+-+%234+honey+30ml%2F1oz&amp;qid=1695259723&amp;sr=8-2", "https://www.amazon.com/Sisley-Phyto-Teint-Ultra-Lasting-Foundation/dp/B07XG2W8ML/ref=sr_1_2?keywords=Sisley+phyto+teint+expert+-+%234+honey+30ml%2F1oz&amp;qid=1695259723&amp;sr=8-2")</f>
        <v>https://www.amazon.com/Sisley-Phyto-Teint-Ultra-Lasting-Foundation/dp/B07XG2W8ML/ref=sr_1_2?keywords=Sisley+phyto+teint+expert+-+%234+honey+30ml%2F1oz&amp;qid=1695259723&amp;sr=8-2</v>
      </c>
      <c r="F2919" t="s">
        <v>6271</v>
      </c>
      <c r="G2919" t="e">
        <f ca="1">IMAGE("https://prolisok-store.com/cdn/shop/products/262349_300x.jpg?v=1690900956")</f>
        <v>#NAME?</v>
      </c>
      <c r="H2919" t="e">
        <f ca="1">IMAGE("https://m.media-amazon.com/images/I/61Y+1yPUoRL._AC_UL320_.jpg")</f>
        <v>#NAME?</v>
      </c>
      <c r="I2919" t="s">
        <v>7198</v>
      </c>
      <c r="J2919">
        <v>84.48</v>
      </c>
      <c r="K2919" s="2" t="s">
        <v>7199</v>
      </c>
      <c r="L2919">
        <v>5</v>
      </c>
      <c r="M2919">
        <v>7</v>
      </c>
      <c r="O2919" t="s">
        <v>26</v>
      </c>
      <c r="P2919" t="s">
        <v>39</v>
      </c>
      <c r="Q2919" t="s">
        <v>7200</v>
      </c>
    </row>
    <row r="2920" spans="1:17" ht="15.75" x14ac:dyDescent="0.25">
      <c r="A2920" s="3" t="str">
        <f>HYPERLINK("https://prolisok-store.com/collections/skin-care/products/sisley-hydra-global-intense-anti-aging-hydration-40ml-1-4oz", "https://prolisok-store.com/collections/skin-care/products/sisley-hydra-global-intense-anti-aging-hydration-40ml-1-4oz")</f>
        <v>https://prolisok-store.com/collections/skin-care/products/sisley-hydra-global-intense-anti-aging-hydration-40ml-1-4oz</v>
      </c>
      <c r="B2920" s="3" t="str">
        <f>HYPERLINK("https://prolisok-store.com/products/sisley-hydra-global-intense-anti-aging-hydration-40ml-1-4oz", "https://prolisok-store.com/products/sisley-hydra-global-intense-anti-aging-hydration-40ml-1-4oz")</f>
        <v>https://prolisok-store.com/products/sisley-hydra-global-intense-anti-aging-hydration-40ml-1-4oz</v>
      </c>
      <c r="C2920" t="s">
        <v>7201</v>
      </c>
      <c r="D2920" t="s">
        <v>7202</v>
      </c>
      <c r="E2920" s="3" t="str">
        <f>HYPERLINK("https://www.amazon.com/Sisley-Intense-Anti-Aging-Hydration-Treatment/dp/B000WN546U/ref=sr_1_3?keywords=Sisley+hydra-global+intense+anti-aging+hydration+40ml%2F1.4oz&amp;qid=1695259694&amp;sr=8-3", "https://www.amazon.com/Sisley-Intense-Anti-Aging-Hydration-Treatment/dp/B000WN546U/ref=sr_1_3?keywords=Sisley+hydra-global+intense+anti-aging+hydration+40ml%2F1.4oz&amp;qid=1695259694&amp;sr=8-3")</f>
        <v>https://www.amazon.com/Sisley-Intense-Anti-Aging-Hydration-Treatment/dp/B000WN546U/ref=sr_1_3?keywords=Sisley+hydra-global+intense+anti-aging+hydration+40ml%2F1.4oz&amp;qid=1695259694&amp;sr=8-3</v>
      </c>
      <c r="F2920" t="s">
        <v>7203</v>
      </c>
      <c r="G2920" t="e">
        <f ca="1">IMAGE("https://prolisok-store.com/cdn/shop/products/153398_300x.jpg?v=1690900917")</f>
        <v>#NAME?</v>
      </c>
      <c r="H2920" t="e">
        <f ca="1">IMAGE("https://m.media-amazon.com/images/I/61f5SKoYazL._AC_UL320_.jpg")</f>
        <v>#NAME?</v>
      </c>
      <c r="I2920" t="s">
        <v>7204</v>
      </c>
      <c r="J2920">
        <v>163.13999999999999</v>
      </c>
      <c r="K2920" s="2" t="s">
        <v>7205</v>
      </c>
      <c r="L2920">
        <v>5</v>
      </c>
      <c r="M2920">
        <v>5</v>
      </c>
      <c r="O2920" t="s">
        <v>26</v>
      </c>
      <c r="P2920" t="s">
        <v>39</v>
      </c>
      <c r="Q2920" t="s">
        <v>7206</v>
      </c>
    </row>
    <row r="2921" spans="1:17" ht="15.75" x14ac:dyDescent="0.25">
      <c r="A2921" s="3" t="str">
        <f>HYPERLINK("https://prolisok-store.com/collections/skin-care/products/estee-lauder-perfectly-clean-multi-action-foam-cleanser-purifying-mask-150ml-5oz", "https://prolisok-store.com/collections/skin-care/products/estee-lauder-perfectly-clean-multi-action-foam-cleanser-purifying-mask-150ml-5oz")</f>
        <v>https://prolisok-store.com/collections/skin-care/products/estee-lauder-perfectly-clean-multi-action-foam-cleanser-purifying-mask-150ml-5oz</v>
      </c>
      <c r="B2921" s="3" t="str">
        <f>HYPERLINK("https://prolisok-store.com/products/estee-lauder-perfectly-clean-multi-action-foam-cleanser-purifying-mask-150ml-5oz", "https://prolisok-store.com/products/estee-lauder-perfectly-clean-multi-action-foam-cleanser-purifying-mask-150ml-5oz")</f>
        <v>https://prolisok-store.com/products/estee-lauder-perfectly-clean-multi-action-foam-cleanser-purifying-mask-150ml-5oz</v>
      </c>
      <c r="C2921" t="s">
        <v>6781</v>
      </c>
      <c r="D2921" t="s">
        <v>7207</v>
      </c>
      <c r="E2921" s="3" t="str">
        <f>HYPERLINK("https://www.amazon.com/Estee-Lauder-Perfectly-Multi-Action-Purifying/dp/B092NY7J37/ref=sr_1_6?keywords=Estee+Lauder+perfectly+clean+multi-action+foam+cleanser%2F+purifying+mask+150ml%2F5oz&amp;qid=1695259685&amp;sr=8-6", "https://www.amazon.com/Estee-Lauder-Perfectly-Multi-Action-Purifying/dp/B092NY7J37/ref=sr_1_6?keywords=Estee+Lauder+perfectly+clean+multi-action+foam+cleanser%2F+purifying+mask+150ml%2F5oz&amp;qid=1695259685&amp;sr=8-6")</f>
        <v>https://www.amazon.com/Estee-Lauder-Perfectly-Multi-Action-Purifying/dp/B092NY7J37/ref=sr_1_6?keywords=Estee+Lauder+perfectly+clean+multi-action+foam+cleanser%2F+purifying+mask+150ml%2F5oz&amp;qid=1695259685&amp;sr=8-6</v>
      </c>
      <c r="F2921" t="s">
        <v>7208</v>
      </c>
      <c r="G2921" t="e">
        <f ca="1">IMAGE("https://prolisok-store.com/cdn/shop/products/242828_300x.jpg?v=1690900205")</f>
        <v>#NAME?</v>
      </c>
      <c r="H2921" t="e">
        <f ca="1">IMAGE("https://m.media-amazon.com/images/I/71KtvXnnwtL._AC_UL320_.jpg")</f>
        <v>#NAME?</v>
      </c>
      <c r="I2921" t="s">
        <v>6784</v>
      </c>
      <c r="J2921">
        <v>19.989999999999998</v>
      </c>
      <c r="K2921" s="2" t="s">
        <v>7209</v>
      </c>
      <c r="L2921">
        <v>4.7</v>
      </c>
      <c r="M2921">
        <v>226</v>
      </c>
      <c r="O2921" t="s">
        <v>26</v>
      </c>
      <c r="P2921" t="s">
        <v>39</v>
      </c>
      <c r="Q2921" t="s">
        <v>6786</v>
      </c>
    </row>
    <row r="2922" spans="1:17" ht="15.75" x14ac:dyDescent="0.25">
      <c r="A2922" s="3" t="str">
        <f>HYPERLINK("https://prolisok-store.com/collections/skin-care/products/estee-lauder-micro-essence-treatment-lotion-with-bio-ferment-200ml-6-7oz", "https://prolisok-store.com/collections/skin-care/products/estee-lauder-micro-essence-treatment-lotion-with-bio-ferment-200ml-6-7oz")</f>
        <v>https://prolisok-store.com/collections/skin-care/products/estee-lauder-micro-essence-treatment-lotion-with-bio-ferment-200ml-6-7oz</v>
      </c>
      <c r="B2922" s="3" t="str">
        <f>HYPERLINK("https://prolisok-store.com/products/estee-lauder-micro-essence-treatment-lotion-with-bio-ferment-200ml-6-7oz", "https://prolisok-store.com/products/estee-lauder-micro-essence-treatment-lotion-with-bio-ferment-200ml-6-7oz")</f>
        <v>https://prolisok-store.com/products/estee-lauder-micro-essence-treatment-lotion-with-bio-ferment-200ml-6-7oz</v>
      </c>
      <c r="C2922" t="s">
        <v>7210</v>
      </c>
      <c r="D2922" t="s">
        <v>7211</v>
      </c>
      <c r="E2922" s="3" t="str">
        <f>HYPERLINK("https://www.amazon.com/Estee-Lauder-Essence-Treatment-Bio-Ferment/dp/B0B2JJ199L/ref=sr_1_2?keywords=Estee+Lauder+micro+essence+treatment+lotion+with+bio-ferment+200ml%2F6.7oz&amp;qid=1695259593&amp;sr=8-2", "https://www.amazon.com/Estee-Lauder-Essence-Treatment-Bio-Ferment/dp/B0B2JJ199L/ref=sr_1_2?keywords=Estee+Lauder+micro+essence+treatment+lotion+with+bio-ferment+200ml%2F6.7oz&amp;qid=1695259593&amp;sr=8-2")</f>
        <v>https://www.amazon.com/Estee-Lauder-Essence-Treatment-Bio-Ferment/dp/B0B2JJ199L/ref=sr_1_2?keywords=Estee+Lauder+micro+essence+treatment+lotion+with+bio-ferment+200ml%2F6.7oz&amp;qid=1695259593&amp;sr=8-2</v>
      </c>
      <c r="F2922" t="s">
        <v>7212</v>
      </c>
      <c r="G2922" t="e">
        <f ca="1">IMAGE("https://prolisok-store.com/cdn/shop/products/437687_300x.jpg?v=1690900239")</f>
        <v>#NAME?</v>
      </c>
      <c r="H2922" t="e">
        <f ca="1">IMAGE("https://m.media-amazon.com/images/I/619nboB2XnL._AC_UL320_.jpg")</f>
        <v>#NAME?</v>
      </c>
      <c r="I2922" t="s">
        <v>7213</v>
      </c>
      <c r="J2922">
        <v>69</v>
      </c>
      <c r="K2922" s="2" t="s">
        <v>7214</v>
      </c>
      <c r="L2922">
        <v>5</v>
      </c>
      <c r="M2922">
        <v>3</v>
      </c>
      <c r="O2922" t="s">
        <v>26</v>
      </c>
      <c r="P2922" t="s">
        <v>39</v>
      </c>
      <c r="Q2922" t="s">
        <v>7215</v>
      </c>
    </row>
    <row r="2923" spans="1:17" ht="15.75" x14ac:dyDescent="0.25">
      <c r="A2923" s="3" t="str">
        <f>HYPERLINK("https://prolisok-store.com/collections/skin-care/products/estee-lauder-daywear-eye-cooling-anti-oxidant-moisture-gel-cream-15ml-0-5oz", "https://prolisok-store.com/collections/skin-care/products/estee-lauder-daywear-eye-cooling-anti-oxidant-moisture-gel-cream-15ml-0-5oz")</f>
        <v>https://prolisok-store.com/collections/skin-care/products/estee-lauder-daywear-eye-cooling-anti-oxidant-moisture-gel-cream-15ml-0-5oz</v>
      </c>
      <c r="B2923" s="3" t="str">
        <f>HYPERLINK("https://prolisok-store.com/products/estee-lauder-daywear-eye-cooling-anti-oxidant-moisture-gel-cream-15ml-0-5oz", "https://prolisok-store.com/products/estee-lauder-daywear-eye-cooling-anti-oxidant-moisture-gel-cream-15ml-0-5oz")</f>
        <v>https://prolisok-store.com/products/estee-lauder-daywear-eye-cooling-anti-oxidant-moisture-gel-cream-15ml-0-5oz</v>
      </c>
      <c r="C2923" t="s">
        <v>7216</v>
      </c>
      <c r="D2923" t="s">
        <v>7217</v>
      </c>
      <c r="E2923" s="3" t="str">
        <f>HYPERLINK("https://www.amazon.com/Estee-Lauder-Daywear-Anti-oxidant-Moisture/dp/B078PR212S/ref=sr_1_1?keywords=Estee+Lauder+daywear+eye+cooling+anti-oxidant+moisture+gel+cream+15ml%2F0.5oz&amp;qid=1695259690&amp;sr=8-1", "https://www.amazon.com/Estee-Lauder-Daywear-Anti-oxidant-Moisture/dp/B078PR212S/ref=sr_1_1?keywords=Estee+Lauder+daywear+eye+cooling+anti-oxidant+moisture+gel+cream+15ml%2F0.5oz&amp;qid=1695259690&amp;sr=8-1")</f>
        <v>https://www.amazon.com/Estee-Lauder-Daywear-Anti-oxidant-Moisture/dp/B078PR212S/ref=sr_1_1?keywords=Estee+Lauder+daywear+eye+cooling+anti-oxidant+moisture+gel+cream+15ml%2F0.5oz&amp;qid=1695259690&amp;sr=8-1</v>
      </c>
      <c r="F2923" t="s">
        <v>7218</v>
      </c>
      <c r="G2923" t="e">
        <f ca="1">IMAGE("https://prolisok-store.com/cdn/shop/products/311080_300x.jpg?v=1690900185")</f>
        <v>#NAME?</v>
      </c>
      <c r="H2923" t="e">
        <f ca="1">IMAGE("https://m.media-amazon.com/images/I/51SvUmQVSJL._AC_UL320_.jpg")</f>
        <v>#NAME?</v>
      </c>
      <c r="I2923" t="s">
        <v>7219</v>
      </c>
      <c r="J2923">
        <v>26.01</v>
      </c>
      <c r="K2923" s="2" t="s">
        <v>7220</v>
      </c>
      <c r="L2923">
        <v>4.8</v>
      </c>
      <c r="M2923">
        <v>386</v>
      </c>
      <c r="O2923" t="s">
        <v>26</v>
      </c>
      <c r="P2923" t="s">
        <v>39</v>
      </c>
      <c r="Q2923" t="s">
        <v>7221</v>
      </c>
    </row>
    <row r="2924" spans="1:17" ht="15.75" x14ac:dyDescent="0.25">
      <c r="A2924" s="3" t="str">
        <f>HYPERLINK("https://prolisok-store.com/collections/skin-care/products/sisley-botanical-floral-toning-lotion-alcohol-free-250ml-8-4oz", "https://prolisok-store.com/collections/skin-care/products/sisley-botanical-floral-toning-lotion-alcohol-free-250ml-8-4oz")</f>
        <v>https://prolisok-store.com/collections/skin-care/products/sisley-botanical-floral-toning-lotion-alcohol-free-250ml-8-4oz</v>
      </c>
      <c r="B2924" s="3" t="str">
        <f>HYPERLINK("https://prolisok-store.com/products/sisley-botanical-floral-toning-lotion-alcohol-free-250ml-8-4oz", "https://prolisok-store.com/products/sisley-botanical-floral-toning-lotion-alcohol-free-250ml-8-4oz")</f>
        <v>https://prolisok-store.com/products/sisley-botanical-floral-toning-lotion-alcohol-free-250ml-8-4oz</v>
      </c>
      <c r="C2924" t="s">
        <v>7222</v>
      </c>
      <c r="D2924" t="s">
        <v>7223</v>
      </c>
      <c r="E2924" s="3" t="str">
        <f>HYPERLINK("https://www.amazon.com/Sisley-Botanical-Floral-Alcohol-Free-8-4-Ounce/dp/B00JR3CD60/ref=sr_1_3?keywords=Sisley+botanical+floral+toning+lotion+alcohol-free+250ml%2F8.4oz&amp;qid=1695259691&amp;sr=8-3", "https://www.amazon.com/Sisley-Botanical-Floral-Alcohol-Free-8-4-Ounce/dp/B00JR3CD60/ref=sr_1_3?keywords=Sisley+botanical+floral+toning+lotion+alcohol-free+250ml%2F8.4oz&amp;qid=1695259691&amp;sr=8-3")</f>
        <v>https://www.amazon.com/Sisley-Botanical-Floral-Alcohol-Free-8-4-Ounce/dp/B00JR3CD60/ref=sr_1_3?keywords=Sisley+botanical+floral+toning+lotion+alcohol-free+250ml%2F8.4oz&amp;qid=1695259691&amp;sr=8-3</v>
      </c>
      <c r="F2924" t="s">
        <v>7224</v>
      </c>
      <c r="G2924" t="e">
        <f ca="1">IMAGE("https://prolisok-store.com/cdn/shop/products/131295_300x.jpg?v=1690900847")</f>
        <v>#NAME?</v>
      </c>
      <c r="H2924" t="e">
        <f ca="1">IMAGE("https://m.media-amazon.com/images/I/61TSwfW3wRL._AC_UL320_.jpg")</f>
        <v>#NAME?</v>
      </c>
      <c r="I2924" t="s">
        <v>7225</v>
      </c>
      <c r="J2924">
        <v>64.900000000000006</v>
      </c>
      <c r="K2924" s="2" t="s">
        <v>7226</v>
      </c>
      <c r="L2924">
        <v>5</v>
      </c>
      <c r="M2924">
        <v>1</v>
      </c>
      <c r="O2924" t="s">
        <v>26</v>
      </c>
      <c r="P2924" t="s">
        <v>39</v>
      </c>
      <c r="Q2924" t="s">
        <v>7227</v>
      </c>
    </row>
    <row r="2925" spans="1:17" ht="15.75" x14ac:dyDescent="0.25">
      <c r="A2925" s="3" t="str">
        <f>HYPERLINK("https://prolisok-store.com/collections/skin-care/products/sisley-botanical-floral-toning-lotion-alcohol-free-250ml-8-4oz", "https://prolisok-store.com/collections/skin-care/products/sisley-botanical-floral-toning-lotion-alcohol-free-250ml-8-4oz")</f>
        <v>https://prolisok-store.com/collections/skin-care/products/sisley-botanical-floral-toning-lotion-alcohol-free-250ml-8-4oz</v>
      </c>
      <c r="B2925" s="3" t="str">
        <f>HYPERLINK("https://prolisok-store.com/products/sisley-botanical-floral-toning-lotion-alcohol-free-250ml-8-4oz", "https://prolisok-store.com/products/sisley-botanical-floral-toning-lotion-alcohol-free-250ml-8-4oz")</f>
        <v>https://prolisok-store.com/products/sisley-botanical-floral-toning-lotion-alcohol-free-250ml-8-4oz</v>
      </c>
      <c r="C2925" t="s">
        <v>7222</v>
      </c>
      <c r="D2925" t="s">
        <v>7228</v>
      </c>
      <c r="E2925" s="3" t="str">
        <f>HYPERLINK("https://www.amazon.com/Sisley-Botanical-Floral-Toning-Alcohol-Free/dp/B002AMUGQY/ref=sr_1_2?keywords=Sisley+botanical+floral+toning+lotion+alcohol-free+250ml%2F8.4oz&amp;qid=1695259691&amp;sr=8-2", "https://www.amazon.com/Sisley-Botanical-Floral-Toning-Alcohol-Free/dp/B002AMUGQY/ref=sr_1_2?keywords=Sisley+botanical+floral+toning+lotion+alcohol-free+250ml%2F8.4oz&amp;qid=1695259691&amp;sr=8-2")</f>
        <v>https://www.amazon.com/Sisley-Botanical-Floral-Toning-Alcohol-Free/dp/B002AMUGQY/ref=sr_1_2?keywords=Sisley+botanical+floral+toning+lotion+alcohol-free+250ml%2F8.4oz&amp;qid=1695259691&amp;sr=8-2</v>
      </c>
      <c r="F2925" t="s">
        <v>7229</v>
      </c>
      <c r="G2925" t="e">
        <f ca="1">IMAGE("https://prolisok-store.com/cdn/shop/products/131295_300x.jpg?v=1690900847")</f>
        <v>#NAME?</v>
      </c>
      <c r="H2925" t="e">
        <f ca="1">IMAGE("https://m.media-amazon.com/images/I/31dBZ2Ce6DL._AC_UL320_.jpg")</f>
        <v>#NAME?</v>
      </c>
      <c r="I2925" t="s">
        <v>7225</v>
      </c>
      <c r="J2925">
        <v>63.44</v>
      </c>
      <c r="K2925" s="2" t="s">
        <v>7230</v>
      </c>
      <c r="L2925">
        <v>4.5</v>
      </c>
      <c r="M2925">
        <v>225</v>
      </c>
      <c r="O2925" t="s">
        <v>26</v>
      </c>
      <c r="P2925" t="s">
        <v>39</v>
      </c>
      <c r="Q2925" t="s">
        <v>7227</v>
      </c>
    </row>
    <row r="2926" spans="1:17" ht="15.75" x14ac:dyDescent="0.25">
      <c r="A2926" s="3" t="str">
        <f>HYPERLINK("https://prolisok-store.com/collections/skin-care/products/sisley-botanical-gentle-facial-buffing-cream-50ml-1-7oz", "https://prolisok-store.com/collections/skin-care/products/sisley-botanical-gentle-facial-buffing-cream-50ml-1-7oz")</f>
        <v>https://prolisok-store.com/collections/skin-care/products/sisley-botanical-gentle-facial-buffing-cream-50ml-1-7oz</v>
      </c>
      <c r="B2926" s="3" t="str">
        <f>HYPERLINK("https://prolisok-store.com/products/sisley-botanical-gentle-facial-buffing-cream-50ml-1-7oz", "https://prolisok-store.com/products/sisley-botanical-gentle-facial-buffing-cream-50ml-1-7oz")</f>
        <v>https://prolisok-store.com/products/sisley-botanical-gentle-facial-buffing-cream-50ml-1-7oz</v>
      </c>
      <c r="C2926" t="s">
        <v>7167</v>
      </c>
      <c r="D2926" t="s">
        <v>7231</v>
      </c>
      <c r="E2926" s="3" t="str">
        <f>HYPERLINK("https://www.amazon.com/Sisley-Botanical-Gentle-Buffing-1-8-Ounce/dp/B002AMUGS2/ref=sr_1_2?keywords=Sisley+botanical+gentle+facial+buffing+cream+50ml%2F1.7oz&amp;qid=1695259680&amp;sr=8-2", "https://www.amazon.com/Sisley-Botanical-Gentle-Buffing-1-8-Ounce/dp/B002AMUGS2/ref=sr_1_2?keywords=Sisley+botanical+gentle+facial+buffing+cream+50ml%2F1.7oz&amp;qid=1695259680&amp;sr=8-2")</f>
        <v>https://www.amazon.com/Sisley-Botanical-Gentle-Buffing-1-8-Ounce/dp/B002AMUGS2/ref=sr_1_2?keywords=Sisley+botanical+gentle+facial+buffing+cream+50ml%2F1.7oz&amp;qid=1695259680&amp;sr=8-2</v>
      </c>
      <c r="F2926" t="s">
        <v>7232</v>
      </c>
      <c r="G2926" t="e">
        <f ca="1">IMAGE("https://prolisok-store.com/cdn/shop/products/131303_300x.jpg?v=1690900855")</f>
        <v>#NAME?</v>
      </c>
      <c r="H2926" t="e">
        <f ca="1">IMAGE("https://m.media-amazon.com/images/I/51CIOzpgeRL._AC_UL320_.jpg")</f>
        <v>#NAME?</v>
      </c>
      <c r="I2926" t="s">
        <v>7170</v>
      </c>
      <c r="J2926">
        <v>53.27</v>
      </c>
      <c r="K2926" s="2" t="s">
        <v>7233</v>
      </c>
      <c r="L2926">
        <v>4.5</v>
      </c>
      <c r="M2926">
        <v>144</v>
      </c>
      <c r="O2926" t="s">
        <v>26</v>
      </c>
      <c r="P2926" t="s">
        <v>39</v>
      </c>
      <c r="Q2926" t="s">
        <v>7172</v>
      </c>
    </row>
    <row r="2927" spans="1:17" ht="15.75" x14ac:dyDescent="0.25">
      <c r="A2927" s="3" t="str">
        <f>HYPERLINK("https://prolisok-store.com/collections/skin-care/products/sisley-sisley-restorative-hand-cream-75ml-2-5oz", "https://prolisok-store.com/collections/skin-care/products/sisley-sisley-restorative-hand-cream-75ml-2-5oz")</f>
        <v>https://prolisok-store.com/collections/skin-care/products/sisley-sisley-restorative-hand-cream-75ml-2-5oz</v>
      </c>
      <c r="B2927" s="3" t="str">
        <f>HYPERLINK("https://prolisok-store.com/products/sisley-sisley-restorative-hand-cream-75ml-2-5oz", "https://prolisok-store.com/products/sisley-sisley-restorative-hand-cream-75ml-2-5oz")</f>
        <v>https://prolisok-store.com/products/sisley-sisley-restorative-hand-cream-75ml-2-5oz</v>
      </c>
      <c r="C2927" t="s">
        <v>7234</v>
      </c>
      <c r="D2927" t="s">
        <v>7235</v>
      </c>
      <c r="E2927" s="3" t="str">
        <f>HYPERLINK("https://www.amazon.com/Sisley-Restorative-Hand-Cream-2-5oz/dp/B07XF5ZWRT/ref=sr_1_1?keywords=Sisley+sisley+restorative+hand+cream+75ml%2F2.5oz&amp;qid=1695259676&amp;sr=8-1", "https://www.amazon.com/Sisley-Restorative-Hand-Cream-2-5oz/dp/B07XF5ZWRT/ref=sr_1_1?keywords=Sisley+sisley+restorative+hand+cream+75ml%2F2.5oz&amp;qid=1695259676&amp;sr=8-1")</f>
        <v>https://www.amazon.com/Sisley-Restorative-Hand-Cream-2-5oz/dp/B07XF5ZWRT/ref=sr_1_1?keywords=Sisley+sisley+restorative+hand+cream+75ml%2F2.5oz&amp;qid=1695259676&amp;sr=8-1</v>
      </c>
      <c r="F2927" t="s">
        <v>7236</v>
      </c>
      <c r="G2927" t="e">
        <f ca="1">IMAGE("https://prolisok-store.com/cdn/shop/products/354487_300x.jpg?v=1690900710")</f>
        <v>#NAME?</v>
      </c>
      <c r="H2927" t="e">
        <f ca="1">IMAGE("https://m.media-amazon.com/images/I/614KdUFQwDL._AC_UL320_.jpg")</f>
        <v>#NAME?</v>
      </c>
      <c r="I2927" t="s">
        <v>6257</v>
      </c>
      <c r="J2927">
        <v>57.13</v>
      </c>
      <c r="K2927" s="2" t="s">
        <v>7237</v>
      </c>
      <c r="L2927">
        <v>3.9</v>
      </c>
      <c r="M2927">
        <v>24</v>
      </c>
      <c r="O2927" t="s">
        <v>26</v>
      </c>
      <c r="P2927" t="s">
        <v>39</v>
      </c>
      <c r="Q2927" t="s">
        <v>7238</v>
      </c>
    </row>
    <row r="2928" spans="1:17" ht="15.75" x14ac:dyDescent="0.25">
      <c r="A2928" s="3" t="str">
        <f>HYPERLINK("https://prolisok-store.com/collections/skin-care/products/red-door-by-elizabeth-arden-body-lotion-6-8-oz", "https://prolisok-store.com/collections/skin-care/products/red-door-by-elizabeth-arden-body-lotion-6-8-oz")</f>
        <v>https://prolisok-store.com/collections/skin-care/products/red-door-by-elizabeth-arden-body-lotion-6-8-oz</v>
      </c>
      <c r="B2928" s="3" t="str">
        <f>HYPERLINK("https://prolisok-store.com/products/red-door-by-elizabeth-arden-body-lotion-6-8-oz", "https://prolisok-store.com/products/red-door-by-elizabeth-arden-body-lotion-6-8-oz")</f>
        <v>https://prolisok-store.com/products/red-door-by-elizabeth-arden-body-lotion-6-8-oz</v>
      </c>
      <c r="C2928" t="s">
        <v>7239</v>
      </c>
      <c r="D2928" t="s">
        <v>4227</v>
      </c>
      <c r="E2928" s="3" t="str">
        <f>HYPERLINK("https://www.amazon.com/Elizabeth-Arden-Green-Refreshing-Lotion/dp/B0020MM7K2/ref=sr_1_9?keywords=Red+door+by+elizabeth+arden+body+lotion+6.8+oz&amp;qid=1695259625&amp;sr=8-9", "https://www.amazon.com/Elizabeth-Arden-Green-Refreshing-Lotion/dp/B0020MM7K2/ref=sr_1_9?keywords=Red+door+by+elizabeth+arden+body+lotion+6.8+oz&amp;qid=1695259625&amp;sr=8-9")</f>
        <v>https://www.amazon.com/Elizabeth-Arden-Green-Refreshing-Lotion/dp/B0020MM7K2/ref=sr_1_9?keywords=Red+door+by+elizabeth+arden+body+lotion+6.8+oz&amp;qid=1695259625&amp;sr=8-9</v>
      </c>
      <c r="F2928" t="s">
        <v>4228</v>
      </c>
      <c r="G2928" t="e">
        <f ca="1">IMAGE("https://prolisok-store.com/cdn/shop/products/115603_300x.jpg?v=1693407317")</f>
        <v>#NAME?</v>
      </c>
      <c r="H2928" t="e">
        <f ca="1">IMAGE("https://m.media-amazon.com/images/I/41vZTUs0rrL._AC_UL320_.jpg")</f>
        <v>#NAME?</v>
      </c>
      <c r="I2928" t="s">
        <v>7101</v>
      </c>
      <c r="J2928">
        <v>19</v>
      </c>
      <c r="K2928" s="2" t="s">
        <v>7240</v>
      </c>
      <c r="L2928">
        <v>4.5999999999999996</v>
      </c>
      <c r="M2928">
        <v>790</v>
      </c>
      <c r="O2928" t="s">
        <v>26</v>
      </c>
      <c r="P2928" t="s">
        <v>39</v>
      </c>
      <c r="Q2928" t="s">
        <v>7241</v>
      </c>
    </row>
    <row r="2929" spans="1:17" ht="15.75" x14ac:dyDescent="0.25">
      <c r="A2929" s="3" t="str">
        <f>HYPERLINK("https://prolisok-store.com/collections/skin-care/products/hyaluronic-acid-intensifier-h-a", "https://prolisok-store.com/collections/skin-care/products/hyaluronic-acid-intensifier-h-a")</f>
        <v>https://prolisok-store.com/collections/skin-care/products/hyaluronic-acid-intensifier-h-a</v>
      </c>
      <c r="B2929" s="3" t="str">
        <f>HYPERLINK("https://prolisok-store.com/products/hyaluronic-acid-intensifier-h-a", "https://prolisok-store.com/products/hyaluronic-acid-intensifier-h-a")</f>
        <v>https://prolisok-store.com/products/hyaluronic-acid-intensifier-h-a</v>
      </c>
      <c r="C2929" t="s">
        <v>4996</v>
      </c>
      <c r="D2929" t="s">
        <v>5089</v>
      </c>
      <c r="E2929" s="3" t="str">
        <f>HYPERLINK("https://www.amazon.com/The-Ordinary-Hyaluronic-Acid-Serum-For-Face/dp/B01GUK7NV2/ref=sr_1_8?keywords=Hyaluronic+acid+intensifier+%28H.A.%29&amp;qid=1695259599&amp;sr=8-8", "https://www.amazon.com/The-Ordinary-Hyaluronic-Acid-Serum-For-Face/dp/B01GUK7NV2/ref=sr_1_8?keywords=Hyaluronic+acid+intensifier+%28H.A.%29&amp;qid=1695259599&amp;sr=8-8")</f>
        <v>https://www.amazon.com/The-Ordinary-Hyaluronic-Acid-Serum-For-Face/dp/B01GUK7NV2/ref=sr_1_8?keywords=Hyaluronic+acid+intensifier+%28H.A.%29&amp;qid=1695259599&amp;sr=8-8</v>
      </c>
      <c r="F2929" t="s">
        <v>5090</v>
      </c>
      <c r="G2929" t="e">
        <f ca="1">IMAGE("https://prolisok-store.com/cdn/shop/products/H-A-Intesifier-3606000436367-Main-SkinCeuticals_300x.webp?v=1681297360")</f>
        <v>#NAME?</v>
      </c>
      <c r="H2929" t="e">
        <f ca="1">IMAGE("https://m.media-amazon.com/images/I/81qtmXFlaRL._AC_UL320_.jpg")</f>
        <v>#NAME?</v>
      </c>
      <c r="I2929" t="s">
        <v>4346</v>
      </c>
      <c r="J2929">
        <v>29.99</v>
      </c>
      <c r="K2929" s="2" t="s">
        <v>3532</v>
      </c>
      <c r="L2929">
        <v>4.5</v>
      </c>
      <c r="M2929">
        <v>23968</v>
      </c>
      <c r="O2929" t="s">
        <v>26</v>
      </c>
      <c r="P2929" t="s">
        <v>2482</v>
      </c>
      <c r="Q2929" t="s">
        <v>5000</v>
      </c>
    </row>
    <row r="2930" spans="1:17" ht="15.75" x14ac:dyDescent="0.25">
      <c r="A2930" s="3" t="str">
        <f>HYPERLINK("https://prolisok-store.com/collections/skin-care/products/sisley-after-sun-care-tan-extender-200ml-6-7oz", "https://prolisok-store.com/collections/skin-care/products/sisley-after-sun-care-tan-extender-200ml-6-7oz")</f>
        <v>https://prolisok-store.com/collections/skin-care/products/sisley-after-sun-care-tan-extender-200ml-6-7oz</v>
      </c>
      <c r="B2930" s="3" t="str">
        <f>HYPERLINK("https://prolisok-store.com/products/sisley-after-sun-care-tan-extender-200ml-6-7oz", "https://prolisok-store.com/products/sisley-after-sun-care-tan-extender-200ml-6-7oz")</f>
        <v>https://prolisok-store.com/products/sisley-after-sun-care-tan-extender-200ml-6-7oz</v>
      </c>
      <c r="C2930" t="s">
        <v>7242</v>
      </c>
      <c r="D2930" t="s">
        <v>7243</v>
      </c>
      <c r="E2930" s="3" t="str">
        <f>HYPERLINK("https://www.amazon.com/Sisley-After-Sun-Extender-Unisex-Pound/dp/B00HFTGNY6/ref=sr_1_1?keywords=Sisley+after+sun+care+tan+extender+200ml%2F6.7oz&amp;qid=1695259676&amp;sr=8-1", "https://www.amazon.com/Sisley-After-Sun-Extender-Unisex-Pound/dp/B00HFTGNY6/ref=sr_1_1?keywords=Sisley+after+sun+care+tan+extender+200ml%2F6.7oz&amp;qid=1695259676&amp;sr=8-1")</f>
        <v>https://www.amazon.com/Sisley-After-Sun-Extender-Unisex-Pound/dp/B00HFTGNY6/ref=sr_1_1?keywords=Sisley+after+sun+care+tan+extender+200ml%2F6.7oz&amp;qid=1695259676&amp;sr=8-1</v>
      </c>
      <c r="F2930" t="s">
        <v>7244</v>
      </c>
      <c r="G2930" t="e">
        <f ca="1">IMAGE("https://prolisok-store.com/cdn/shop/products/254584_300x.jpg?v=1690901008")</f>
        <v>#NAME?</v>
      </c>
      <c r="H2930" t="e">
        <f ca="1">IMAGE("https://m.media-amazon.com/images/I/51lsQ4TeFvL._AC_UL320_.jpg")</f>
        <v>#NAME?</v>
      </c>
      <c r="I2930" t="s">
        <v>7245</v>
      </c>
      <c r="J2930">
        <v>100.99</v>
      </c>
      <c r="K2930" s="2" t="s">
        <v>7246</v>
      </c>
      <c r="L2930">
        <v>3.4</v>
      </c>
      <c r="M2930">
        <v>4</v>
      </c>
      <c r="O2930" t="s">
        <v>26</v>
      </c>
      <c r="P2930" t="s">
        <v>39</v>
      </c>
      <c r="Q2930" t="s">
        <v>7247</v>
      </c>
    </row>
    <row r="2931" spans="1:17" ht="15.75" x14ac:dyDescent="0.25">
      <c r="A2931" s="3" t="str">
        <f>HYPERLINK("https://prolisok-store.com/collections/skin-care/products/sisley-botanical-grapefruit-toning-lotion-250ml-8-3oz", "https://prolisok-store.com/collections/skin-care/products/sisley-botanical-grapefruit-toning-lotion-250ml-8-3oz")</f>
        <v>https://prolisok-store.com/collections/skin-care/products/sisley-botanical-grapefruit-toning-lotion-250ml-8-3oz</v>
      </c>
      <c r="B2931" s="3" t="str">
        <f>HYPERLINK("https://prolisok-store.com/products/sisley-botanical-grapefruit-toning-lotion-250ml-8-3oz", "https://prolisok-store.com/products/sisley-botanical-grapefruit-toning-lotion-250ml-8-3oz")</f>
        <v>https://prolisok-store.com/products/sisley-botanical-grapefruit-toning-lotion-250ml-8-3oz</v>
      </c>
      <c r="C2931" t="s">
        <v>7248</v>
      </c>
      <c r="D2931" t="s">
        <v>7249</v>
      </c>
      <c r="E2931" s="3" t="str">
        <f>HYPERLINK("https://www.amazon.com/Personal-Care-Sisley-Botanical-Alcohol-Free/dp/B00D58LMJM/ref=sr_1_9?keywords=Sisley+botanical+grapefruit+toning+lotion+250ml%2F8.3oz&amp;qid=1695259689&amp;sr=8-9", "https://www.amazon.com/Personal-Care-Sisley-Botanical-Alcohol-Free/dp/B00D58LMJM/ref=sr_1_9?keywords=Sisley+botanical+grapefruit+toning+lotion+250ml%2F8.3oz&amp;qid=1695259689&amp;sr=8-9")</f>
        <v>https://www.amazon.com/Personal-Care-Sisley-Botanical-Alcohol-Free/dp/B00D58LMJM/ref=sr_1_9?keywords=Sisley+botanical+grapefruit+toning+lotion+250ml%2F8.3oz&amp;qid=1695259689&amp;sr=8-9</v>
      </c>
      <c r="F2931" t="s">
        <v>7250</v>
      </c>
      <c r="G2931" t="e">
        <f ca="1">IMAGE("https://prolisok-store.com/cdn/shop/products/131296_300x.jpg?v=1690900849")</f>
        <v>#NAME?</v>
      </c>
      <c r="H2931" t="e">
        <f ca="1">IMAGE("https://m.media-amazon.com/images/I/61JGKyYVGIL._AC_UL320_.jpg")</f>
        <v>#NAME?</v>
      </c>
      <c r="I2931" t="s">
        <v>7225</v>
      </c>
      <c r="J2931">
        <v>60.09</v>
      </c>
      <c r="K2931" s="2" t="s">
        <v>7251</v>
      </c>
      <c r="L2931">
        <v>5</v>
      </c>
      <c r="M2931">
        <v>1</v>
      </c>
      <c r="O2931" t="s">
        <v>26</v>
      </c>
      <c r="P2931" t="s">
        <v>39</v>
      </c>
      <c r="Q2931" t="s">
        <v>7252</v>
      </c>
    </row>
    <row r="2932" spans="1:17" ht="15.75" x14ac:dyDescent="0.25">
      <c r="A2932" s="3" t="str">
        <f>HYPERLINK("https://prolisok-store.com/collections/skin-care/products/sisley-botanical-floral-toning-lotion-alcohol-free-250ml-8-4oz", "https://prolisok-store.com/collections/skin-care/products/sisley-botanical-floral-toning-lotion-alcohol-free-250ml-8-4oz")</f>
        <v>https://prolisok-store.com/collections/skin-care/products/sisley-botanical-floral-toning-lotion-alcohol-free-250ml-8-4oz</v>
      </c>
      <c r="B2932" s="3" t="str">
        <f>HYPERLINK("https://prolisok-store.com/products/sisley-botanical-floral-toning-lotion-alcohol-free-250ml-8-4oz", "https://prolisok-store.com/products/sisley-botanical-floral-toning-lotion-alcohol-free-250ml-8-4oz")</f>
        <v>https://prolisok-store.com/products/sisley-botanical-floral-toning-lotion-alcohol-free-250ml-8-4oz</v>
      </c>
      <c r="C2932" t="s">
        <v>7222</v>
      </c>
      <c r="D2932" t="s">
        <v>7249</v>
      </c>
      <c r="E2932" s="3" t="str">
        <f>HYPERLINK("https://www.amazon.com/Personal-Care-Sisley-Botanical-Alcohol-Free/dp/B00D58LMJM/ref=sr_1_1?keywords=Sisley+botanical+floral+toning+lotion+alcohol-free+250ml%2F8.4oz&amp;qid=1695259691&amp;sr=8-1", "https://www.amazon.com/Personal-Care-Sisley-Botanical-Alcohol-Free/dp/B00D58LMJM/ref=sr_1_1?keywords=Sisley+botanical+floral+toning+lotion+alcohol-free+250ml%2F8.4oz&amp;qid=1695259691&amp;sr=8-1")</f>
        <v>https://www.amazon.com/Personal-Care-Sisley-Botanical-Alcohol-Free/dp/B00D58LMJM/ref=sr_1_1?keywords=Sisley+botanical+floral+toning+lotion+alcohol-free+250ml%2F8.4oz&amp;qid=1695259691&amp;sr=8-1</v>
      </c>
      <c r="F2932" t="s">
        <v>7250</v>
      </c>
      <c r="G2932" t="e">
        <f ca="1">IMAGE("https://prolisok-store.com/cdn/shop/products/131295_300x.jpg?v=1690900847")</f>
        <v>#NAME?</v>
      </c>
      <c r="H2932" t="e">
        <f ca="1">IMAGE("https://m.media-amazon.com/images/I/61JGKyYVGIL._AC_UL320_.jpg")</f>
        <v>#NAME?</v>
      </c>
      <c r="I2932" t="s">
        <v>7225</v>
      </c>
      <c r="J2932">
        <v>60.09</v>
      </c>
      <c r="K2932" s="2" t="s">
        <v>7251</v>
      </c>
      <c r="L2932">
        <v>5</v>
      </c>
      <c r="M2932">
        <v>1</v>
      </c>
      <c r="O2932" t="s">
        <v>26</v>
      </c>
      <c r="P2932" t="s">
        <v>39</v>
      </c>
      <c r="Q2932" t="s">
        <v>7227</v>
      </c>
    </row>
    <row r="2933" spans="1:17" ht="15.75" x14ac:dyDescent="0.25">
      <c r="A2933" s="3" t="str">
        <f>HYPERLINK("https://prolisok-store.com/collections/skin-care/products/sisley-phyto-teint-expert-4-honey-30ml-1oz", "https://prolisok-store.com/collections/skin-care/products/sisley-phyto-teint-expert-4-honey-30ml-1oz")</f>
        <v>https://prolisok-store.com/collections/skin-care/products/sisley-phyto-teint-expert-4-honey-30ml-1oz</v>
      </c>
      <c r="B2933" s="3" t="str">
        <f>HYPERLINK("https://prolisok-store.com/products/sisley-phyto-teint-expert-4-honey-30ml-1oz", "https://prolisok-store.com/products/sisley-phyto-teint-expert-4-honey-30ml-1oz")</f>
        <v>https://prolisok-store.com/products/sisley-phyto-teint-expert-4-honey-30ml-1oz</v>
      </c>
      <c r="C2933" t="s">
        <v>7197</v>
      </c>
      <c r="D2933" t="s">
        <v>6375</v>
      </c>
      <c r="E2933" s="3" t="str">
        <f>HYPERLINK("https://www.amazon.com/Sisley-Phyto-Infused-Second-Foundation/dp/B09MZ82V4B/ref=sr_1_3?keywords=Sisley+phyto+teint+expert+-+%234+honey+30ml%2F1oz&amp;qid=1695259723&amp;sr=8-3", "https://www.amazon.com/Sisley-Phyto-Infused-Second-Foundation/dp/B09MZ82V4B/ref=sr_1_3?keywords=Sisley+phyto+teint+expert+-+%234+honey+30ml%2F1oz&amp;qid=1695259723&amp;sr=8-3")</f>
        <v>https://www.amazon.com/Sisley-Phyto-Infused-Second-Foundation/dp/B09MZ82V4B/ref=sr_1_3?keywords=Sisley+phyto+teint+expert+-+%234+honey+30ml%2F1oz&amp;qid=1695259723&amp;sr=8-3</v>
      </c>
      <c r="F2933" t="s">
        <v>6376</v>
      </c>
      <c r="G2933" t="e">
        <f ca="1">IMAGE("https://prolisok-store.com/cdn/shop/products/262349_300x.jpg?v=1690900956")</f>
        <v>#NAME?</v>
      </c>
      <c r="H2933" t="e">
        <f ca="1">IMAGE("https://m.media-amazon.com/images/I/41HQbfmUXcL._AC_UL320_.jpg")</f>
        <v>#NAME?</v>
      </c>
      <c r="I2933" t="s">
        <v>7198</v>
      </c>
      <c r="J2933">
        <v>75.959999999999994</v>
      </c>
      <c r="K2933" s="2" t="s">
        <v>7253</v>
      </c>
      <c r="L2933">
        <v>5</v>
      </c>
      <c r="M2933">
        <v>1</v>
      </c>
      <c r="O2933" t="s">
        <v>26</v>
      </c>
      <c r="P2933" t="s">
        <v>39</v>
      </c>
      <c r="Q2933" t="s">
        <v>7200</v>
      </c>
    </row>
    <row r="2934" spans="1:17" ht="15.75" x14ac:dyDescent="0.25">
      <c r="A2934" s="3" t="str">
        <f>HYPERLINK("https://prolisok-store.com/collections/skin-care/products/sisley-black-rose-cream-mask-60ml-2-1oz", "https://prolisok-store.com/collections/skin-care/products/sisley-black-rose-cream-mask-60ml-2-1oz")</f>
        <v>https://prolisok-store.com/collections/skin-care/products/sisley-black-rose-cream-mask-60ml-2-1oz</v>
      </c>
      <c r="B2934" s="3" t="str">
        <f>HYPERLINK("https://prolisok-store.com/products/sisley-black-rose-cream-mask-60ml-2-1oz", "https://prolisok-store.com/products/sisley-black-rose-cream-mask-60ml-2-1oz")</f>
        <v>https://prolisok-store.com/products/sisley-black-rose-cream-mask-60ml-2-1oz</v>
      </c>
      <c r="C2934" t="s">
        <v>7254</v>
      </c>
      <c r="D2934" t="s">
        <v>7255</v>
      </c>
      <c r="E2934" s="3" t="str">
        <f>HYPERLINK("https://www.amazon.com/SISLEY-Black-Rose-Cream-Mask/dp/B0087L4QKY/ref=sr_1_2?keywords=Sisley+black+rose+cream+mask+60ml%2F2.1oz&amp;qid=1695259681&amp;sr=8-2", "https://www.amazon.com/SISLEY-Black-Rose-Cream-Mask/dp/B0087L4QKY/ref=sr_1_2?keywords=Sisley+black+rose+cream+mask+60ml%2F2.1oz&amp;qid=1695259681&amp;sr=8-2")</f>
        <v>https://www.amazon.com/SISLEY-Black-Rose-Cream-Mask/dp/B0087L4QKY/ref=sr_1_2?keywords=Sisley+black+rose+cream+mask+60ml%2F2.1oz&amp;qid=1695259681&amp;sr=8-2</v>
      </c>
      <c r="F2934" t="s">
        <v>7256</v>
      </c>
      <c r="G2934" t="e">
        <f ca="1">IMAGE("https://prolisok-store.com/cdn/shop/products/221508_300x.jpg?v=1690900985")</f>
        <v>#NAME?</v>
      </c>
      <c r="H2934" t="e">
        <f ca="1">IMAGE("https://m.media-amazon.com/images/I/7131r6G0UML._AC_UL320_.jpg")</f>
        <v>#NAME?</v>
      </c>
      <c r="I2934" t="s">
        <v>7257</v>
      </c>
      <c r="J2934">
        <v>92.95</v>
      </c>
      <c r="K2934" s="2" t="s">
        <v>7258</v>
      </c>
      <c r="L2934">
        <v>3.7</v>
      </c>
      <c r="M2934">
        <v>11</v>
      </c>
      <c r="O2934" t="s">
        <v>26</v>
      </c>
      <c r="P2934" t="s">
        <v>39</v>
      </c>
      <c r="Q2934" t="s">
        <v>7259</v>
      </c>
    </row>
    <row r="2935" spans="1:17" ht="15.75" x14ac:dyDescent="0.25">
      <c r="A2935" s="3" t="str">
        <f>HYPERLINK("https://prolisok-store.com/collections/skin-care/products/estee-lauder-nutritious-super-pomegranate-radiant-energy-2-in-1-cleansing-foam-125ml-4-2oz", "https://prolisok-store.com/collections/skin-care/products/estee-lauder-nutritious-super-pomegranate-radiant-energy-2-in-1-cleansing-foam-125ml-4-2oz")</f>
        <v>https://prolisok-store.com/collections/skin-care/products/estee-lauder-nutritious-super-pomegranate-radiant-energy-2-in-1-cleansing-foam-125ml-4-2oz</v>
      </c>
      <c r="B2935" s="3" t="str">
        <f>HYPERLINK("https://prolisok-store.com/products/estee-lauder-nutritious-super-pomegranate-radiant-energy-2-in-1-cleansing-foam-125ml-4-2oz", "https://prolisok-store.com/products/estee-lauder-nutritious-super-pomegranate-radiant-energy-2-in-1-cleansing-foam-125ml-4-2oz")</f>
        <v>https://prolisok-store.com/products/estee-lauder-nutritious-super-pomegranate-radiant-energy-2-in-1-cleansing-foam-125ml-4-2oz</v>
      </c>
      <c r="C2935" t="s">
        <v>7260</v>
      </c>
      <c r="D2935" t="s">
        <v>7261</v>
      </c>
      <c r="E2935" s="3" t="str">
        <f>HYPERLINK("https://www.amazon.com/Estee-Lauder-Nutritious-Vitality-Cleanser/dp/B00HYAX290/ref=sr_1_1?keywords=Estee+Lauder+nutritious+super-pomegranate+radiant+energy+2-in-1+cleansing+foam+125ml%2F4.2oz&amp;qid=1695259670&amp;sr=8-1", "https://www.amazon.com/Estee-Lauder-Nutritious-Vitality-Cleanser/dp/B00HYAX290/ref=sr_1_1?keywords=Estee+Lauder+nutritious+super-pomegranate+radiant+energy+2-in-1+cleansing+foam+125ml%2F4.2oz&amp;qid=1695259670&amp;sr=8-1")</f>
        <v>https://www.amazon.com/Estee-Lauder-Nutritious-Vitality-Cleanser/dp/B00HYAX290/ref=sr_1_1?keywords=Estee+Lauder+nutritious+super-pomegranate+radiant+energy+2-in-1+cleansing+foam+125ml%2F4.2oz&amp;qid=1695259670&amp;sr=8-1</v>
      </c>
      <c r="F2935" t="s">
        <v>7262</v>
      </c>
      <c r="G2935" t="e">
        <f ca="1">IMAGE("https://prolisok-store.com/cdn/shop/products/329522_300x.jpg?v=1690900177")</f>
        <v>#NAME?</v>
      </c>
      <c r="H2935" t="e">
        <f ca="1">IMAGE("https://m.media-amazon.com/images/I/519AfToMKgL._AC_UL320_.jpg")</f>
        <v>#NAME?</v>
      </c>
      <c r="I2935" t="s">
        <v>7263</v>
      </c>
      <c r="J2935">
        <v>26</v>
      </c>
      <c r="K2935" s="2" t="s">
        <v>7264</v>
      </c>
      <c r="L2935">
        <v>4.7</v>
      </c>
      <c r="M2935">
        <v>406</v>
      </c>
      <c r="O2935" t="s">
        <v>26</v>
      </c>
      <c r="P2935" t="s">
        <v>39</v>
      </c>
      <c r="Q2935" t="s">
        <v>7265</v>
      </c>
    </row>
    <row r="2936" spans="1:17" ht="15.75" x14ac:dyDescent="0.25">
      <c r="A2936" s="3" t="str">
        <f>HYPERLINK("https://prolisok-store.com/collections/skin-care/products/sisley-hydra-flash-intensive-formula-60ml-2oz", "https://prolisok-store.com/collections/skin-care/products/sisley-hydra-flash-intensive-formula-60ml-2oz")</f>
        <v>https://prolisok-store.com/collections/skin-care/products/sisley-hydra-flash-intensive-formula-60ml-2oz</v>
      </c>
      <c r="B2936" s="3" t="str">
        <f>HYPERLINK("https://prolisok-store.com/products/sisley-hydra-flash-intensive-formula-60ml-2oz", "https://prolisok-store.com/products/sisley-hydra-flash-intensive-formula-60ml-2oz")</f>
        <v>https://prolisok-store.com/products/sisley-hydra-flash-intensive-formula-60ml-2oz</v>
      </c>
      <c r="C2936" t="s">
        <v>7266</v>
      </c>
      <c r="D2936" t="s">
        <v>7267</v>
      </c>
      <c r="E2936" s="3" t="str">
        <f>HYPERLINK("https://www.amazon.com/Sisley-Hydra-Flash-Intensive-Formula/dp/B0045KB7CQ/ref=sr_1_1?keywords=Sisley+hydra+flash+intensive+formula+60ml%2F2oz&amp;qid=1695259697&amp;sr=8-1", "https://www.amazon.com/Sisley-Hydra-Flash-Intensive-Formula/dp/B0045KB7CQ/ref=sr_1_1?keywords=Sisley+hydra+flash+intensive+formula+60ml%2F2oz&amp;qid=1695259697&amp;sr=8-1")</f>
        <v>https://www.amazon.com/Sisley-Hydra-Flash-Intensive-Formula/dp/B0045KB7CQ/ref=sr_1_1?keywords=Sisley+hydra+flash+intensive+formula+60ml%2F2oz&amp;qid=1695259697&amp;sr=8-1</v>
      </c>
      <c r="F2936" t="s">
        <v>7268</v>
      </c>
      <c r="G2936" t="e">
        <f ca="1">IMAGE("https://prolisok-store.com/cdn/shop/products/131333_300x.jpg?v=1690900864")</f>
        <v>#NAME?</v>
      </c>
      <c r="H2936" t="e">
        <f ca="1">IMAGE("https://m.media-amazon.com/images/I/51AuUdV8irL._AC_UL320_.jpg")</f>
        <v>#NAME?</v>
      </c>
      <c r="I2936" t="s">
        <v>7269</v>
      </c>
      <c r="J2936">
        <v>119.05</v>
      </c>
      <c r="K2936" s="2" t="s">
        <v>7270</v>
      </c>
      <c r="L2936">
        <v>5</v>
      </c>
      <c r="M2936">
        <v>5</v>
      </c>
      <c r="O2936" t="s">
        <v>26</v>
      </c>
      <c r="P2936" t="s">
        <v>39</v>
      </c>
      <c r="Q2936" t="s">
        <v>7271</v>
      </c>
    </row>
    <row r="2937" spans="1:17" ht="15.75" x14ac:dyDescent="0.25">
      <c r="A2937" s="3" t="str">
        <f>HYPERLINK("https://prolisok-store.com/collections/skin-care/products/sisley-botanical-restorative-facial-cream-w-shea-butter-50ml-1-7oz", "https://prolisok-store.com/collections/skin-care/products/sisley-botanical-restorative-facial-cream-w-shea-butter-50ml-1-7oz")</f>
        <v>https://prolisok-store.com/collections/skin-care/products/sisley-botanical-restorative-facial-cream-w-shea-butter-50ml-1-7oz</v>
      </c>
      <c r="B2937" s="3" t="str">
        <f>HYPERLINK("https://prolisok-store.com/products/sisley-botanical-restorative-facial-cream-w-shea-butter-50ml-1-7oz", "https://prolisok-store.com/products/sisley-botanical-restorative-facial-cream-w-shea-butter-50ml-1-7oz")</f>
        <v>https://prolisok-store.com/products/sisley-botanical-restorative-facial-cream-w-shea-butter-50ml-1-7oz</v>
      </c>
      <c r="C2937" t="s">
        <v>7272</v>
      </c>
      <c r="D2937" t="s">
        <v>7273</v>
      </c>
      <c r="E2937" s="3" t="str">
        <f>HYPERLINK("https://www.amazon.com/Sisley-Botanical-Restorative-Facial-1-6-Ounce/dp/B002AMUGHS/ref=sr_1_1?keywords=Sisley+botanical+restorative+facial+cream+w%2Fshea+butter+50ml%2F1.7oz&amp;qid=1695259696&amp;sr=8-1", "https://www.amazon.com/Sisley-Botanical-Restorative-Facial-1-6-Ounce/dp/B002AMUGHS/ref=sr_1_1?keywords=Sisley+botanical+restorative+facial+cream+w%2Fshea+butter+50ml%2F1.7oz&amp;qid=1695259696&amp;sr=8-1")</f>
        <v>https://www.amazon.com/Sisley-Botanical-Restorative-Facial-1-6-Ounce/dp/B002AMUGHS/ref=sr_1_1?keywords=Sisley+botanical+restorative+facial+cream+w%2Fshea+butter+50ml%2F1.7oz&amp;qid=1695259696&amp;sr=8-1</v>
      </c>
      <c r="F2937" t="s">
        <v>7274</v>
      </c>
      <c r="G2937" t="e">
        <f ca="1">IMAGE("https://prolisok-store.com/cdn/shop/products/131301_300x.jpg?v=1690900851")</f>
        <v>#NAME?</v>
      </c>
      <c r="H2937" t="e">
        <f ca="1">IMAGE("https://m.media-amazon.com/images/I/51xgfsm+cQL._AC_UL320_.jpg")</f>
        <v>#NAME?</v>
      </c>
      <c r="I2937" t="s">
        <v>5668</v>
      </c>
      <c r="J2937">
        <v>97.54</v>
      </c>
      <c r="K2937" s="2" t="s">
        <v>7275</v>
      </c>
      <c r="L2937">
        <v>4.2</v>
      </c>
      <c r="M2937">
        <v>136</v>
      </c>
      <c r="O2937" t="s">
        <v>26</v>
      </c>
      <c r="P2937" t="s">
        <v>39</v>
      </c>
      <c r="Q2937" t="s">
        <v>7276</v>
      </c>
    </row>
    <row r="2938" spans="1:17" ht="15.75" x14ac:dyDescent="0.25">
      <c r="A2938" s="3" t="str">
        <f>HYPERLINK("https://prolisok-store.com/collections/skin-care/products/estee-lauder-advanced-night-repair-synchronized-multi-recovery-complex-115ml-3-9oz", "https://prolisok-store.com/collections/skin-care/products/estee-lauder-advanced-night-repair-synchronized-multi-recovery-complex-115ml-3-9oz")</f>
        <v>https://prolisok-store.com/collections/skin-care/products/estee-lauder-advanced-night-repair-synchronized-multi-recovery-complex-115ml-3-9oz</v>
      </c>
      <c r="B2938" s="3" t="str">
        <f>HYPERLINK("https://prolisok-store.com/products/estee-lauder-advanced-night-repair-synchronized-multi-recovery-complex-115ml-3-9oz", "https://prolisok-store.com/products/estee-lauder-advanced-night-repair-synchronized-multi-recovery-complex-115ml-3-9oz")</f>
        <v>https://prolisok-store.com/products/estee-lauder-advanced-night-repair-synchronized-multi-recovery-complex-115ml-3-9oz</v>
      </c>
      <c r="C2938" t="s">
        <v>7277</v>
      </c>
      <c r="D2938" t="s">
        <v>4548</v>
      </c>
      <c r="E2938" s="3" t="str">
        <f>HYPERLINK("https://www.amazon.com/Estee-Lauder-Advanced-Synchronized-Multi-Recovery/dp/B093FGRR8F/ref=sr_1_4?keywords=Estee+Lauder+advanced+night+repair+synchronized+multi-recovery+complex+115ml%2F3.9oz&amp;qid=1695259600&amp;sr=8-4", "https://www.amazon.com/Estee-Lauder-Advanced-Synchronized-Multi-Recovery/dp/B093FGRR8F/ref=sr_1_4?keywords=Estee+Lauder+advanced+night+repair+synchronized+multi-recovery+complex+115ml%2F3.9oz&amp;qid=1695259600&amp;sr=8-4")</f>
        <v>https://www.amazon.com/Estee-Lauder-Advanced-Synchronized-Multi-Recovery/dp/B093FGRR8F/ref=sr_1_4?keywords=Estee+Lauder+advanced+night+repair+synchronized+multi-recovery+complex+115ml%2F3.9oz&amp;qid=1695259600&amp;sr=8-4</v>
      </c>
      <c r="F2938" t="s">
        <v>4549</v>
      </c>
      <c r="G2938" t="e">
        <f ca="1">IMAGE("https://prolisok-store.com/cdn/shop/products/451556_300x.jpg?v=1690900262")</f>
        <v>#NAME?</v>
      </c>
      <c r="H2938" t="e">
        <f ca="1">IMAGE("https://m.media-amazon.com/images/I/61G0S4CUiUL._AC_UL320_.jpg")</f>
        <v>#NAME?</v>
      </c>
      <c r="I2938" t="s">
        <v>3038</v>
      </c>
      <c r="J2938">
        <v>99.95</v>
      </c>
      <c r="K2938" s="2" t="s">
        <v>7278</v>
      </c>
      <c r="L2938">
        <v>3.5</v>
      </c>
      <c r="M2938">
        <v>12</v>
      </c>
      <c r="O2938" t="s">
        <v>26</v>
      </c>
      <c r="P2938" t="s">
        <v>39</v>
      </c>
      <c r="Q2938" t="s">
        <v>7279</v>
      </c>
    </row>
    <row r="2939" spans="1:17" ht="15.75" x14ac:dyDescent="0.25">
      <c r="A2939" s="3" t="str">
        <f>HYPERLINK("https://prolisok-store.com/collections/skin-care/products/estee-lauder-advanced-night-repair-synchronized-multi-recovery-complex-115ml-3-9oz", "https://prolisok-store.com/collections/skin-care/products/estee-lauder-advanced-night-repair-synchronized-multi-recovery-complex-115ml-3-9oz")</f>
        <v>https://prolisok-store.com/collections/skin-care/products/estee-lauder-advanced-night-repair-synchronized-multi-recovery-complex-115ml-3-9oz</v>
      </c>
      <c r="B2939" s="3" t="str">
        <f>HYPERLINK("https://prolisok-store.com/products/estee-lauder-advanced-night-repair-synchronized-multi-recovery-complex-115ml-3-9oz", "https://prolisok-store.com/products/estee-lauder-advanced-night-repair-synchronized-multi-recovery-complex-115ml-3-9oz")</f>
        <v>https://prolisok-store.com/products/estee-lauder-advanced-night-repair-synchronized-multi-recovery-complex-115ml-3-9oz</v>
      </c>
      <c r="C2939" t="s">
        <v>7277</v>
      </c>
      <c r="D2939" t="s">
        <v>4552</v>
      </c>
      <c r="E2939" s="3" t="str">
        <f>HYPERLINK("https://www.amazon.com/Lauder-Advanced-Synchronized-Multi-Recovery-Complex/dp/B08HRNFY49/ref=sr_1_5?keywords=Estee+Lauder+advanced+night+repair+synchronized+multi-recovery+complex+115ml%2F3.9oz&amp;qid=1695259600&amp;sr=8-5", "https://www.amazon.com/Lauder-Advanced-Synchronized-Multi-Recovery-Complex/dp/B08HRNFY49/ref=sr_1_5?keywords=Estee+Lauder+advanced+night+repair+synchronized+multi-recovery+complex+115ml%2F3.9oz&amp;qid=1695259600&amp;sr=8-5")</f>
        <v>https://www.amazon.com/Lauder-Advanced-Synchronized-Multi-Recovery-Complex/dp/B08HRNFY49/ref=sr_1_5?keywords=Estee+Lauder+advanced+night+repair+synchronized+multi-recovery+complex+115ml%2F3.9oz&amp;qid=1695259600&amp;sr=8-5</v>
      </c>
      <c r="F2939" t="s">
        <v>4553</v>
      </c>
      <c r="G2939" t="e">
        <f ca="1">IMAGE("https://prolisok-store.com/cdn/shop/products/451556_300x.jpg?v=1690900262")</f>
        <v>#NAME?</v>
      </c>
      <c r="H2939" t="e">
        <f ca="1">IMAGE("https://m.media-amazon.com/images/I/611NuVh5ikL._AC_UL320_.jpg")</f>
        <v>#NAME?</v>
      </c>
      <c r="I2939" t="s">
        <v>3038</v>
      </c>
      <c r="J2939">
        <v>99.95</v>
      </c>
      <c r="K2939" s="2" t="s">
        <v>7278</v>
      </c>
      <c r="L2939">
        <v>4.3</v>
      </c>
      <c r="M2939">
        <v>62</v>
      </c>
      <c r="O2939" t="s">
        <v>26</v>
      </c>
      <c r="P2939" t="s">
        <v>39</v>
      </c>
      <c r="Q2939" t="s">
        <v>7279</v>
      </c>
    </row>
    <row r="2940" spans="1:17" ht="15.75" x14ac:dyDescent="0.25">
      <c r="A2940" s="3" t="str">
        <f>HYPERLINK("https://prolisok-store.com/collections/skin-care/products/elizabeth-arden-ceramide-retinol-capsules-line-erasing-night-serum-90caps", "https://prolisok-store.com/collections/skin-care/products/elizabeth-arden-ceramide-retinol-capsules-line-erasing-night-serum-90caps")</f>
        <v>https://prolisok-store.com/collections/skin-care/products/elizabeth-arden-ceramide-retinol-capsules-line-erasing-night-serum-90caps</v>
      </c>
      <c r="B2940" s="3" t="str">
        <f>HYPERLINK("https://prolisok-store.com/products/elizabeth-arden-ceramide-retinol-capsules-line-erasing-night-serum-90caps", "https://prolisok-store.com/products/elizabeth-arden-ceramide-retinol-capsules-line-erasing-night-serum-90caps")</f>
        <v>https://prolisok-store.com/products/elizabeth-arden-ceramide-retinol-capsules-line-erasing-night-serum-90caps</v>
      </c>
      <c r="C2940" t="s">
        <v>6880</v>
      </c>
      <c r="D2940" t="s">
        <v>4977</v>
      </c>
      <c r="E2940" s="3" t="str">
        <f>HYPERLINK("https://www.amazon.com/Elizabeth-Arden-Retinol-Ceramide-Capsules/dp/B07FKBBK1L/ref=sr_1_3?keywords=Elizabeth+Arden+ceramide+retinol+capsules+line+erasing+night+serum+90caps&amp;qid=1695259648&amp;sr=8-3", "https://www.amazon.com/Elizabeth-Arden-Retinol-Ceramide-Capsules/dp/B07FKBBK1L/ref=sr_1_3?keywords=Elizabeth+Arden+ceramide+retinol+capsules+line+erasing+night+serum+90caps&amp;qid=1695259648&amp;sr=8-3")</f>
        <v>https://www.amazon.com/Elizabeth-Arden-Retinol-Ceramide-Capsules/dp/B07FKBBK1L/ref=sr_1_3?keywords=Elizabeth+Arden+ceramide+retinol+capsules+line+erasing+night+serum+90caps&amp;qid=1695259648&amp;sr=8-3</v>
      </c>
      <c r="F2940" t="s">
        <v>4978</v>
      </c>
      <c r="G2940" t="e">
        <f ca="1">IMAGE("https://prolisok-store.com/cdn/shop/products/364945_300x.jpg?v=1693407244")</f>
        <v>#NAME?</v>
      </c>
      <c r="H2940" t="e">
        <f ca="1">IMAGE("https://m.media-amazon.com/images/I/71ObhVyRrqL._AC_UL320_.jpg")</f>
        <v>#NAME?</v>
      </c>
      <c r="I2940" t="s">
        <v>6881</v>
      </c>
      <c r="J2940">
        <v>54</v>
      </c>
      <c r="K2940" s="2" t="s">
        <v>2631</v>
      </c>
      <c r="L2940">
        <v>4.5</v>
      </c>
      <c r="M2940">
        <v>1342</v>
      </c>
      <c r="O2940" t="s">
        <v>26</v>
      </c>
      <c r="P2940" t="s">
        <v>39</v>
      </c>
      <c r="Q2940" t="s">
        <v>6883</v>
      </c>
    </row>
    <row r="2941" spans="1:17" ht="15.75" x14ac:dyDescent="0.25">
      <c r="A2941" s="3" t="str">
        <f>HYPERLINK("https://prolisok-store.com/collections/skin-care/products/elizabeth-arden-ceramide-vitamin-c-capsules-radiance-renewal-serum-90caps", "https://prolisok-store.com/collections/skin-care/products/elizabeth-arden-ceramide-vitamin-c-capsules-radiance-renewal-serum-90caps")</f>
        <v>https://prolisok-store.com/collections/skin-care/products/elizabeth-arden-ceramide-vitamin-c-capsules-radiance-renewal-serum-90caps</v>
      </c>
      <c r="B2941" s="3" t="str">
        <f>HYPERLINK("https://prolisok-store.com/products/elizabeth-arden-ceramide-vitamin-c-capsules-radiance-renewal-serum-90caps", "https://prolisok-store.com/products/elizabeth-arden-ceramide-vitamin-c-capsules-radiance-renewal-serum-90caps")</f>
        <v>https://prolisok-store.com/products/elizabeth-arden-ceramide-vitamin-c-capsules-radiance-renewal-serum-90caps</v>
      </c>
      <c r="C2941" t="s">
        <v>7280</v>
      </c>
      <c r="D2941" t="s">
        <v>4833</v>
      </c>
      <c r="E2941" s="3" t="str">
        <f>HYPERLINK("https://www.amazon.com/Elizabeth-Arden-Ceramide-Capsules-Radiance/dp/B07TRFZ8K6/ref=sr_1_1?keywords=Elizabeth+Arden+ceramide+vitamin+c+capsules+radiance+renewal+serum+90caps&amp;qid=1695259641&amp;sr=8-1", "https://www.amazon.com/Elizabeth-Arden-Ceramide-Capsules-Radiance/dp/B07TRFZ8K6/ref=sr_1_1?keywords=Elizabeth+Arden+ceramide+vitamin+c+capsules+radiance+renewal+serum+90caps&amp;qid=1695259641&amp;sr=8-1")</f>
        <v>https://www.amazon.com/Elizabeth-Arden-Ceramide-Capsules-Radiance/dp/B07TRFZ8K6/ref=sr_1_1?keywords=Elizabeth+Arden+ceramide+vitamin+c+capsules+radiance+renewal+serum+90caps&amp;qid=1695259641&amp;sr=8-1</v>
      </c>
      <c r="F2941" t="s">
        <v>7194</v>
      </c>
      <c r="G2941" t="e">
        <f ca="1">IMAGE("https://prolisok-store.com/cdn/shop/products/386469_300x.jpg?v=1693407220")</f>
        <v>#NAME?</v>
      </c>
      <c r="H2941" t="e">
        <f ca="1">IMAGE("https://m.media-amazon.com/images/I/81oeUaUZIYL._AC_UL320_.jpg")</f>
        <v>#NAME?</v>
      </c>
      <c r="I2941" t="s">
        <v>6881</v>
      </c>
      <c r="J2941">
        <v>54</v>
      </c>
      <c r="K2941" s="2" t="s">
        <v>2631</v>
      </c>
      <c r="L2941">
        <v>4.4000000000000004</v>
      </c>
      <c r="M2941">
        <v>1059</v>
      </c>
      <c r="O2941" t="s">
        <v>26</v>
      </c>
      <c r="P2941" t="s">
        <v>39</v>
      </c>
      <c r="Q2941" t="s">
        <v>7281</v>
      </c>
    </row>
    <row r="2942" spans="1:17" ht="15.75" x14ac:dyDescent="0.25">
      <c r="A2942" s="3" t="str">
        <f>HYPERLINK("https://prolisok-store.com/collections/skin-care/products/biossance-squalane-vitamin-c-rose-oil-30ml", "https://prolisok-store.com/collections/skin-care/products/biossance-squalane-vitamin-c-rose-oil-30ml")</f>
        <v>https://prolisok-store.com/collections/skin-care/products/biossance-squalane-vitamin-c-rose-oil-30ml</v>
      </c>
      <c r="B2942" s="3" t="str">
        <f>HYPERLINK("https://prolisok-store.com/products/biossance-squalane-vitamin-c-rose-oil-30ml", "https://prolisok-store.com/products/biossance-squalane-vitamin-c-rose-oil-30ml")</f>
        <v>https://prolisok-store.com/products/biossance-squalane-vitamin-c-rose-oil-30ml</v>
      </c>
      <c r="C2942" t="s">
        <v>5018</v>
      </c>
      <c r="D2942" t="s">
        <v>5019</v>
      </c>
      <c r="E2942" s="3" t="str">
        <f>HYPERLINK("https://www.amazon.com/Biossance-Squalane-Vitamin-Rose-Fragrance-Free/dp/B08K2XWW2Z/ref=sr_1_2?keywords=BIOSSANCE+Squalane+Vitamin+C+Rose+Oil%2C+30ml&amp;qid=1695259593&amp;sr=8-2", "https://www.amazon.com/Biossance-Squalane-Vitamin-Rose-Fragrance-Free/dp/B08K2XWW2Z/ref=sr_1_2?keywords=BIOSSANCE+Squalane+Vitamin+C+Rose+Oil%2C+30ml&amp;qid=1695259593&amp;sr=8-2")</f>
        <v>https://www.amazon.com/Biossance-Squalane-Vitamin-Rose-Fragrance-Free/dp/B08K2XWW2Z/ref=sr_1_2?keywords=BIOSSANCE+Squalane+Vitamin+C+Rose+Oil%2C+30ml&amp;qid=1695259593&amp;sr=8-2</v>
      </c>
      <c r="F2942" t="s">
        <v>5020</v>
      </c>
      <c r="G2942" t="e">
        <f ca="1">IMAGE("https://prolisok-store.com/cdn/shop/products/71nPVEghgDL._SL1500_300x.jpg?v=1673950104")</f>
        <v>#NAME?</v>
      </c>
      <c r="H2942" t="e">
        <f ca="1">IMAGE("https://m.media-amazon.com/images/I/51N3-+yD0vL._AC_UL320_.jpg")</f>
        <v>#NAME?</v>
      </c>
      <c r="I2942" t="s">
        <v>3476</v>
      </c>
      <c r="J2942">
        <v>20</v>
      </c>
      <c r="K2942" s="2" t="s">
        <v>5021</v>
      </c>
      <c r="L2942">
        <v>4.3</v>
      </c>
      <c r="M2942">
        <v>85</v>
      </c>
      <c r="O2942" t="s">
        <v>26</v>
      </c>
      <c r="P2942" t="s">
        <v>39</v>
      </c>
      <c r="Q2942" t="s">
        <v>5022</v>
      </c>
    </row>
    <row r="2943" spans="1:17" ht="15.75" x14ac:dyDescent="0.25">
      <c r="A2943" s="3" t="str">
        <f>HYPERLINK("https://prolisok-store.com/collections/skin-care/products/sisley-botanical-night-cream-with-collagen-and-woodmallow-50ml-1-6oz", "https://prolisok-store.com/collections/skin-care/products/sisley-botanical-night-cream-with-collagen-and-woodmallow-50ml-1-6oz")</f>
        <v>https://prolisok-store.com/collections/skin-care/products/sisley-botanical-night-cream-with-collagen-and-woodmallow-50ml-1-6oz</v>
      </c>
      <c r="B2943" s="3" t="str">
        <f>HYPERLINK("https://prolisok-store.com/products/sisley-botanical-night-cream-with-collagen-and-woodmallow-50ml-1-6oz", "https://prolisok-store.com/products/sisley-botanical-night-cream-with-collagen-and-woodmallow-50ml-1-6oz")</f>
        <v>https://prolisok-store.com/products/sisley-botanical-night-cream-with-collagen-and-woodmallow-50ml-1-6oz</v>
      </c>
      <c r="C2943" t="s">
        <v>7282</v>
      </c>
      <c r="D2943" t="s">
        <v>7283</v>
      </c>
      <c r="E2943" s="3" t="str">
        <f>HYPERLINK("https://www.amazon.com/Sisley-Botanical-Collagen-Woodmallow-1-6-Ounce/dp/B002AMUGH8/ref=sr_1_1?keywords=Sisley+botanical+night+cream+with+collagen&amp;qid=1695259677&amp;sr=8-1", "https://www.amazon.com/Sisley-Botanical-Collagen-Woodmallow-1-6-Ounce/dp/B002AMUGH8/ref=sr_1_1?keywords=Sisley+botanical+night+cream+with+collagen&amp;qid=1695259677&amp;sr=8-1")</f>
        <v>https://www.amazon.com/Sisley-Botanical-Collagen-Woodmallow-1-6-Ounce/dp/B002AMUGH8/ref=sr_1_1?keywords=Sisley+botanical+night+cream+with+collagen&amp;qid=1695259677&amp;sr=8-1</v>
      </c>
      <c r="F2943" t="s">
        <v>7284</v>
      </c>
      <c r="G2943" t="e">
        <f ca="1">IMAGE("https://prolisok-store.com/cdn/shop/products/131302_300x.jpg?v=1690900853")</f>
        <v>#NAME?</v>
      </c>
      <c r="H2943" t="e">
        <f ca="1">IMAGE("https://m.media-amazon.com/images/I/61aVb1bJ6HL._AC_UL320_.jpg")</f>
        <v>#NAME?</v>
      </c>
      <c r="I2943" t="s">
        <v>7285</v>
      </c>
      <c r="J2943">
        <v>99.99</v>
      </c>
      <c r="K2943" s="2" t="s">
        <v>7286</v>
      </c>
      <c r="L2943">
        <v>4.5999999999999996</v>
      </c>
      <c r="M2943">
        <v>144</v>
      </c>
      <c r="O2943" t="s">
        <v>26</v>
      </c>
      <c r="P2943" t="s">
        <v>39</v>
      </c>
      <c r="Q2943" t="s">
        <v>7287</v>
      </c>
    </row>
    <row r="2944" spans="1:17" ht="15.75" x14ac:dyDescent="0.25">
      <c r="A2944" s="3" t="str">
        <f>HYPERLINK("https://prolisok-store.com/collections/skin-care/products/sisley-velvet-nourishing-cream-with-saffron-flowers-50ml-1-6oz", "https://prolisok-store.com/collections/skin-care/products/sisley-velvet-nourishing-cream-with-saffron-flowers-50ml-1-6oz")</f>
        <v>https://prolisok-store.com/collections/skin-care/products/sisley-velvet-nourishing-cream-with-saffron-flowers-50ml-1-6oz</v>
      </c>
      <c r="B2944" s="3" t="str">
        <f>HYPERLINK("https://prolisok-store.com/products/sisley-velvet-nourishing-cream-with-saffron-flowers-50ml-1-6oz", "https://prolisok-store.com/products/sisley-velvet-nourishing-cream-with-saffron-flowers-50ml-1-6oz")</f>
        <v>https://prolisok-store.com/products/sisley-velvet-nourishing-cream-with-saffron-flowers-50ml-1-6oz</v>
      </c>
      <c r="C2944" t="s">
        <v>7288</v>
      </c>
      <c r="D2944" t="s">
        <v>7289</v>
      </c>
      <c r="E2944" s="3" t="str">
        <f>HYPERLINK("https://www.amazon.com/Sisley-Velvet-Nourishing-Saffron-Flowers/dp/B07GX2CLZX/ref=sr_1_1?keywords=Sisley+velvet+nourishing+cream+with+saffron+flowers+50ml%2F1.6oz&amp;qid=1695259672&amp;sr=8-1", "https://www.amazon.com/Sisley-Velvet-Nourishing-Saffron-Flowers/dp/B07GX2CLZX/ref=sr_1_1?keywords=Sisley+velvet+nourishing+cream+with+saffron+flowers+50ml%2F1.6oz&amp;qid=1695259672&amp;sr=8-1")</f>
        <v>https://www.amazon.com/Sisley-Velvet-Nourishing-Saffron-Flowers/dp/B07GX2CLZX/ref=sr_1_1?keywords=Sisley+velvet+nourishing+cream+with+saffron+flowers+50ml%2F1.6oz&amp;qid=1695259672&amp;sr=8-1</v>
      </c>
      <c r="F2944" t="s">
        <v>7290</v>
      </c>
      <c r="G2944" t="e">
        <f ca="1">IMAGE("https://prolisok-store.com/cdn/shop/products/320965_300x.jpg?v=1690900748")</f>
        <v>#NAME?</v>
      </c>
      <c r="H2944" t="e">
        <f ca="1">IMAGE("https://m.media-amazon.com/images/I/515ouLhM2FL._AC_UL320_.jpg")</f>
        <v>#NAME?</v>
      </c>
      <c r="I2944" t="s">
        <v>7291</v>
      </c>
      <c r="J2944">
        <v>109</v>
      </c>
      <c r="K2944" s="2" t="s">
        <v>5900</v>
      </c>
      <c r="L2944">
        <v>4.2</v>
      </c>
      <c r="M2944">
        <v>69</v>
      </c>
      <c r="O2944" t="s">
        <v>26</v>
      </c>
      <c r="P2944" t="s">
        <v>39</v>
      </c>
      <c r="Q2944" t="s">
        <v>7292</v>
      </c>
    </row>
    <row r="2945" spans="1:17" ht="15.75" x14ac:dyDescent="0.25">
      <c r="A2945" s="3" t="str">
        <f>HYPERLINK("https://prolisok-store.com/collections/skin-care/products/sisley-global-perfect-pore-minimizer-30ml-1oz", "https://prolisok-store.com/collections/skin-care/products/sisley-global-perfect-pore-minimizer-30ml-1oz")</f>
        <v>https://prolisok-store.com/collections/skin-care/products/sisley-global-perfect-pore-minimizer-30ml-1oz</v>
      </c>
      <c r="B2945" s="3" t="str">
        <f>HYPERLINK("https://prolisok-store.com/products/sisley-global-perfect-pore-minimizer-30ml-1oz", "https://prolisok-store.com/products/sisley-global-perfect-pore-minimizer-30ml-1oz")</f>
        <v>https://prolisok-store.com/products/sisley-global-perfect-pore-minimizer-30ml-1oz</v>
      </c>
      <c r="C2945" t="s">
        <v>7293</v>
      </c>
      <c r="D2945" t="s">
        <v>7294</v>
      </c>
      <c r="E2945" s="3" t="str">
        <f>HYPERLINK("https://www.amazon.com/Sisley-Global-Perfect-Minimizer-Concentrate/dp/B00ADMLUUY/ref=sr_1_2?keywords=Sisley+global+perfect+pore+minimizer+30ml%2F1oz&amp;qid=1695259706&amp;sr=8-2", "https://www.amazon.com/Sisley-Global-Perfect-Minimizer-Concentrate/dp/B00ADMLUUY/ref=sr_1_2?keywords=Sisley+global+perfect+pore+minimizer+30ml%2F1oz&amp;qid=1695259706&amp;sr=8-2")</f>
        <v>https://www.amazon.com/Sisley-Global-Perfect-Minimizer-Concentrate/dp/B00ADMLUUY/ref=sr_1_2?keywords=Sisley+global+perfect+pore+minimizer+30ml%2F1oz&amp;qid=1695259706&amp;sr=8-2</v>
      </c>
      <c r="F2945" t="s">
        <v>7295</v>
      </c>
      <c r="G2945" t="e">
        <f ca="1">IMAGE("https://prolisok-store.com/cdn/shop/products/233296_300x.jpg?v=1690900987")</f>
        <v>#NAME?</v>
      </c>
      <c r="H2945" t="e">
        <f ca="1">IMAGE("https://m.media-amazon.com/images/I/5150mzWgM3L._AC_UL320_.jpg")</f>
        <v>#NAME?</v>
      </c>
      <c r="I2945" t="s">
        <v>7296</v>
      </c>
      <c r="J2945">
        <v>104.95</v>
      </c>
      <c r="K2945" s="2" t="s">
        <v>7297</v>
      </c>
      <c r="L2945">
        <v>4.2</v>
      </c>
      <c r="M2945">
        <v>33</v>
      </c>
      <c r="O2945" t="s">
        <v>26</v>
      </c>
      <c r="P2945" t="s">
        <v>39</v>
      </c>
      <c r="Q2945" t="s">
        <v>7298</v>
      </c>
    </row>
    <row r="2946" spans="1:17" ht="15.75" x14ac:dyDescent="0.25">
      <c r="A2946" s="3" t="str">
        <f>HYPERLINK("https://prolisok-store.com/collections/skin-care/products/hyaluronic-acid-intensifier-h-a", "https://prolisok-store.com/collections/skin-care/products/hyaluronic-acid-intensifier-h-a")</f>
        <v>https://prolisok-store.com/collections/skin-care/products/hyaluronic-acid-intensifier-h-a</v>
      </c>
      <c r="B2946" s="3" t="str">
        <f>HYPERLINK("https://prolisok-store.com/products/hyaluronic-acid-intensifier-h-a", "https://prolisok-store.com/products/hyaluronic-acid-intensifier-h-a")</f>
        <v>https://prolisok-store.com/products/hyaluronic-acid-intensifier-h-a</v>
      </c>
      <c r="C2946" t="s">
        <v>4996</v>
      </c>
      <c r="D2946" t="s">
        <v>5023</v>
      </c>
      <c r="E2946" s="3" t="str">
        <f>HYPERLINK("https://www.amazon.com/Pure-Hyaluronic-Powder-Serum-000ppm/dp/B098QM7RJQ/ref=sr_1_3?keywords=Hyaluronic+acid+intensifier+%28H.A.%29&amp;qid=1695259599&amp;sr=8-3", "https://www.amazon.com/Pure-Hyaluronic-Powder-Serum-000ppm/dp/B098QM7RJQ/ref=sr_1_3?keywords=Hyaluronic+acid+intensifier+%28H.A.%29&amp;qid=1695259599&amp;sr=8-3")</f>
        <v>https://www.amazon.com/Pure-Hyaluronic-Powder-Serum-000ppm/dp/B098QM7RJQ/ref=sr_1_3?keywords=Hyaluronic+acid+intensifier+%28H.A.%29&amp;qid=1695259599&amp;sr=8-3</v>
      </c>
      <c r="F2946" t="s">
        <v>5024</v>
      </c>
      <c r="G2946" t="e">
        <f ca="1">IMAGE("https://prolisok-store.com/cdn/shop/products/H-A-Intesifier-3606000436367-Main-SkinCeuticals_300x.webp?v=1681297360")</f>
        <v>#NAME?</v>
      </c>
      <c r="H2946" t="e">
        <f ca="1">IMAGE("https://m.media-amazon.com/images/I/71nyxSL9-QL._AC_UL320_.jpg")</f>
        <v>#NAME?</v>
      </c>
      <c r="I2946" t="s">
        <v>4346</v>
      </c>
      <c r="J2946">
        <v>23.99</v>
      </c>
      <c r="K2946" s="2" t="s">
        <v>5025</v>
      </c>
      <c r="L2946">
        <v>4.5999999999999996</v>
      </c>
      <c r="M2946">
        <v>7247</v>
      </c>
      <c r="O2946" t="s">
        <v>26</v>
      </c>
      <c r="P2946" t="s">
        <v>2482</v>
      </c>
      <c r="Q2946" t="s">
        <v>5000</v>
      </c>
    </row>
    <row r="2947" spans="1:17" ht="15.75" x14ac:dyDescent="0.25">
      <c r="A2947" s="3" t="str">
        <f>HYPERLINK("https://prolisok-store.com/collections/skin-care/products/sisley-hydra-global-intense-anti-aging-hydration-40ml-1-4oz", "https://prolisok-store.com/collections/skin-care/products/sisley-hydra-global-intense-anti-aging-hydration-40ml-1-4oz")</f>
        <v>https://prolisok-store.com/collections/skin-care/products/sisley-hydra-global-intense-anti-aging-hydration-40ml-1-4oz</v>
      </c>
      <c r="B2947" s="3" t="str">
        <f>HYPERLINK("https://prolisok-store.com/products/sisley-hydra-global-intense-anti-aging-hydration-40ml-1-4oz", "https://prolisok-store.com/products/sisley-hydra-global-intense-anti-aging-hydration-40ml-1-4oz")</f>
        <v>https://prolisok-store.com/products/sisley-hydra-global-intense-anti-aging-hydration-40ml-1-4oz</v>
      </c>
      <c r="C2947" t="s">
        <v>7201</v>
      </c>
      <c r="D2947" t="s">
        <v>7299</v>
      </c>
      <c r="E2947" s="3" t="str">
        <f>HYPERLINK("https://www.amazon.com/Sisley-Hydra-Global-Intense-Anti-Aging-Hydration/dp/B000U2X0BY/ref=sr_1_2?keywords=Sisley+hydra-global+intense+anti-aging+hydration+40ml%2F1.4oz&amp;qid=1695259694&amp;sr=8-2", "https://www.amazon.com/Sisley-Hydra-Global-Intense-Anti-Aging-Hydration/dp/B000U2X0BY/ref=sr_1_2?keywords=Sisley+hydra-global+intense+anti-aging+hydration+40ml%2F1.4oz&amp;qid=1695259694&amp;sr=8-2")</f>
        <v>https://www.amazon.com/Sisley-Hydra-Global-Intense-Anti-Aging-Hydration/dp/B000U2X0BY/ref=sr_1_2?keywords=Sisley+hydra-global+intense+anti-aging+hydration+40ml%2F1.4oz&amp;qid=1695259694&amp;sr=8-2</v>
      </c>
      <c r="F2947" t="s">
        <v>7300</v>
      </c>
      <c r="G2947" t="e">
        <f ca="1">IMAGE("https://prolisok-store.com/cdn/shop/products/153398_300x.jpg?v=1690900917")</f>
        <v>#NAME?</v>
      </c>
      <c r="H2947" t="e">
        <f ca="1">IMAGE("https://m.media-amazon.com/images/I/51TN8+nybbL._AC_UL320_.jpg")</f>
        <v>#NAME?</v>
      </c>
      <c r="I2947" t="s">
        <v>7204</v>
      </c>
      <c r="J2947">
        <v>120.19</v>
      </c>
      <c r="K2947" s="2" t="s">
        <v>7301</v>
      </c>
      <c r="L2947">
        <v>4.7</v>
      </c>
      <c r="M2947">
        <v>45</v>
      </c>
      <c r="O2947" t="s">
        <v>26</v>
      </c>
      <c r="P2947" t="s">
        <v>39</v>
      </c>
      <c r="Q2947" t="s">
        <v>7206</v>
      </c>
    </row>
    <row r="2948" spans="1:17" ht="15.75" x14ac:dyDescent="0.25">
      <c r="A2948" s="3" t="str">
        <f>HYPERLINK("https://prolisok-store.com/collections/skin-care/products/sisley-black-rose-precious-face-oil-25ml-0-84oz", "https://prolisok-store.com/collections/skin-care/products/sisley-black-rose-precious-face-oil-25ml-0-84oz")</f>
        <v>https://prolisok-store.com/collections/skin-care/products/sisley-black-rose-precious-face-oil-25ml-0-84oz</v>
      </c>
      <c r="B2948" s="3" t="str">
        <f>HYPERLINK("https://prolisok-store.com/products/sisley-black-rose-precious-face-oil-25ml-0-84oz", "https://prolisok-store.com/products/sisley-black-rose-precious-face-oil-25ml-0-84oz")</f>
        <v>https://prolisok-store.com/products/sisley-black-rose-precious-face-oil-25ml-0-84oz</v>
      </c>
      <c r="C2948" t="s">
        <v>7302</v>
      </c>
      <c r="D2948" t="s">
        <v>7303</v>
      </c>
      <c r="E2948" s="3" t="str">
        <f>HYPERLINK("https://www.amazon.com/Sisley-Black-Rose-Precious-0-84oz/dp/B00RKMS2ME/ref=sr_1_1?keywords=Sisley+black+rose+precious+face+oil+25ml%2F0.84oz&amp;qid=1695259693&amp;sr=8-1", "https://www.amazon.com/Sisley-Black-Rose-Precious-0-84oz/dp/B00RKMS2ME/ref=sr_1_1?keywords=Sisley+black+rose+precious+face+oil+25ml%2F0.84oz&amp;qid=1695259693&amp;sr=8-1")</f>
        <v>https://www.amazon.com/Sisley-Black-Rose-Precious-0-84oz/dp/B00RKMS2ME/ref=sr_1_1?keywords=Sisley+black+rose+precious+face+oil+25ml%2F0.84oz&amp;qid=1695259693&amp;sr=8-1</v>
      </c>
      <c r="F2948" t="s">
        <v>7304</v>
      </c>
      <c r="G2948" t="e">
        <f ca="1">IMAGE("https://prolisok-store.com/cdn/shop/products/261179_300x.jpg?v=1690900952")</f>
        <v>#NAME?</v>
      </c>
      <c r="H2948" t="e">
        <f ca="1">IMAGE("https://m.media-amazon.com/images/I/71FIlvBigRS._AC_UL320_.jpg")</f>
        <v>#NAME?</v>
      </c>
      <c r="I2948" t="s">
        <v>7305</v>
      </c>
      <c r="J2948">
        <v>103</v>
      </c>
      <c r="K2948" s="2" t="s">
        <v>7306</v>
      </c>
      <c r="L2948">
        <v>4.0999999999999996</v>
      </c>
      <c r="M2948">
        <v>55</v>
      </c>
      <c r="O2948" t="s">
        <v>26</v>
      </c>
      <c r="P2948" t="s">
        <v>39</v>
      </c>
      <c r="Q2948" t="s">
        <v>7307</v>
      </c>
    </row>
    <row r="2949" spans="1:17" ht="15.75" x14ac:dyDescent="0.25">
      <c r="A2949" s="3" t="str">
        <f>HYPERLINK("https://prolisok-store.com/collections/skin-care/products/estee-lauder-advanced-night-repair-synchronized-multi-recovery-complex-115ml-3-9oz", "https://prolisok-store.com/collections/skin-care/products/estee-lauder-advanced-night-repair-synchronized-multi-recovery-complex-115ml-3-9oz")</f>
        <v>https://prolisok-store.com/collections/skin-care/products/estee-lauder-advanced-night-repair-synchronized-multi-recovery-complex-115ml-3-9oz</v>
      </c>
      <c r="B2949" s="3" t="str">
        <f>HYPERLINK("https://prolisok-store.com/products/estee-lauder-advanced-night-repair-synchronized-multi-recovery-complex-115ml-3-9oz", "https://prolisok-store.com/products/estee-lauder-advanced-night-repair-synchronized-multi-recovery-complex-115ml-3-9oz")</f>
        <v>https://prolisok-store.com/products/estee-lauder-advanced-night-repair-synchronized-multi-recovery-complex-115ml-3-9oz</v>
      </c>
      <c r="C2949" t="s">
        <v>7277</v>
      </c>
      <c r="D2949" t="s">
        <v>7308</v>
      </c>
      <c r="E2949" s="3" t="str">
        <f>HYPERLINK("https://www.amazon.com/Estee-Lauder-Advanced-Night-Repair/dp/B08R55TK4G/ref=sr_1_10?keywords=Estee+Lauder+advanced+night+repair+synchronized+multi-recovery+complex+115ml%2F3.9oz&amp;qid=1695259600&amp;sr=8-10", "https://www.amazon.com/Estee-Lauder-Advanced-Night-Repair/dp/B08R55TK4G/ref=sr_1_10?keywords=Estee+Lauder+advanced+night+repair+synchronized+multi-recovery+complex+115ml%2F3.9oz&amp;qid=1695259600&amp;sr=8-10")</f>
        <v>https://www.amazon.com/Estee-Lauder-Advanced-Night-Repair/dp/B08R55TK4G/ref=sr_1_10?keywords=Estee+Lauder+advanced+night+repair+synchronized+multi-recovery+complex+115ml%2F3.9oz&amp;qid=1695259600&amp;sr=8-10</v>
      </c>
      <c r="F2949" t="s">
        <v>7309</v>
      </c>
      <c r="G2949" t="e">
        <f ca="1">IMAGE("https://prolisok-store.com/cdn/shop/products/451556_300x.jpg?v=1690900262")</f>
        <v>#NAME?</v>
      </c>
      <c r="H2949" t="e">
        <f ca="1">IMAGE("https://m.media-amazon.com/images/I/51Tk3aDQ-KS._AC_UL320_.jpg")</f>
        <v>#NAME?</v>
      </c>
      <c r="I2949" t="s">
        <v>3038</v>
      </c>
      <c r="J2949">
        <v>81.88</v>
      </c>
      <c r="K2949" s="2" t="s">
        <v>7310</v>
      </c>
      <c r="L2949">
        <v>4.7</v>
      </c>
      <c r="M2949">
        <v>47</v>
      </c>
      <c r="O2949" t="s">
        <v>26</v>
      </c>
      <c r="P2949" t="s">
        <v>39</v>
      </c>
      <c r="Q2949" t="s">
        <v>7279</v>
      </c>
    </row>
    <row r="2950" spans="1:17" ht="15.75" x14ac:dyDescent="0.25">
      <c r="A2950" s="3" t="str">
        <f>HYPERLINK("https://prolisok-store.com/collections/skin-care/products/estee-lauder-revitalizing-supreme-global-anti-aging-cell-power-eye-balm-15ml-0-5oz", "https://prolisok-store.com/collections/skin-care/products/estee-lauder-revitalizing-supreme-global-anti-aging-cell-power-eye-balm-15ml-0-5oz")</f>
        <v>https://prolisok-store.com/collections/skin-care/products/estee-lauder-revitalizing-supreme-global-anti-aging-cell-power-eye-balm-15ml-0-5oz</v>
      </c>
      <c r="B2950" s="3" t="str">
        <f>HYPERLINK("https://prolisok-store.com/products/estee-lauder-revitalizing-supreme-global-anti-aging-cell-power-eye-balm-15ml-0-5oz", "https://prolisok-store.com/products/estee-lauder-revitalizing-supreme-global-anti-aging-cell-power-eye-balm-15ml-0-5oz")</f>
        <v>https://prolisok-store.com/products/estee-lauder-revitalizing-supreme-global-anti-aging-cell-power-eye-balm-15ml-0-5oz</v>
      </c>
      <c r="C2950" t="s">
        <v>7078</v>
      </c>
      <c r="D2950" t="s">
        <v>7311</v>
      </c>
      <c r="E2950" s="3" t="str">
        <f>HYPERLINK("https://www.amazon.com/Estee-Lauder-Revitalizing-Supreme-Anti-Aging/dp/B0927V5ZH5/ref=sr_1_1?keywords=Estee+Lauder+revitalizing+supreme+global+anti-aging+cell+power+eye+balm+15ml%2F0.5oz&amp;qid=1695259693&amp;sr=8-1", "https://www.amazon.com/Estee-Lauder-Revitalizing-Supreme-Anti-Aging/dp/B0927V5ZH5/ref=sr_1_1?keywords=Estee+Lauder+revitalizing+supreme+global+anti-aging+cell+power+eye+balm+15ml%2F0.5oz&amp;qid=1695259693&amp;sr=8-1")</f>
        <v>https://www.amazon.com/Estee-Lauder-Revitalizing-Supreme-Anti-Aging/dp/B0927V5ZH5/ref=sr_1_1?keywords=Estee+Lauder+revitalizing+supreme+global+anti-aging+cell+power+eye+balm+15ml%2F0.5oz&amp;qid=1695259693&amp;sr=8-1</v>
      </c>
      <c r="F2950" t="s">
        <v>7312</v>
      </c>
      <c r="G2950" t="e">
        <f ca="1">IMAGE("https://prolisok-store.com/cdn/shop/products/302108_300x.jpg?v=1690900195")</f>
        <v>#NAME?</v>
      </c>
      <c r="H2950" t="e">
        <f ca="1">IMAGE("https://m.media-amazon.com/images/I/61DYGwq7SNL._AC_UL320_.jpg")</f>
        <v>#NAME?</v>
      </c>
      <c r="I2950" t="s">
        <v>7000</v>
      </c>
      <c r="J2950">
        <v>29</v>
      </c>
      <c r="K2950" s="2" t="s">
        <v>7313</v>
      </c>
      <c r="L2950">
        <v>4.5999999999999996</v>
      </c>
      <c r="M2950">
        <v>467</v>
      </c>
      <c r="O2950" t="s">
        <v>26</v>
      </c>
      <c r="P2950" t="s">
        <v>39</v>
      </c>
      <c r="Q2950" t="s">
        <v>7081</v>
      </c>
    </row>
    <row r="2951" spans="1:17" ht="15.75" x14ac:dyDescent="0.25">
      <c r="A2951" s="3" t="str">
        <f>HYPERLINK("https://prolisok-store.com/collections/skin-care/products/estee-lauder-advanced-night-repair-synchronized-multi-recovery-complex-unisex-1-7-oz", "https://prolisok-store.com/collections/skin-care/products/estee-lauder-advanced-night-repair-synchronized-multi-recovery-complex-unisex-1-7-oz")</f>
        <v>https://prolisok-store.com/collections/skin-care/products/estee-lauder-advanced-night-repair-synchronized-multi-recovery-complex-unisex-1-7-oz</v>
      </c>
      <c r="B2951" s="3" t="str">
        <f>HYPERLINK("https://prolisok-store.com/products/estee-lauder-advanced-night-repair-synchronized-multi-recovery-complex-unisex-1-7-oz", "https://prolisok-store.com/products/estee-lauder-advanced-night-repair-synchronized-multi-recovery-complex-unisex-1-7-oz")</f>
        <v>https://prolisok-store.com/products/estee-lauder-advanced-night-repair-synchronized-multi-recovery-complex-unisex-1-7-oz</v>
      </c>
      <c r="C2951" t="s">
        <v>4547</v>
      </c>
      <c r="D2951" t="s">
        <v>5012</v>
      </c>
      <c r="E2951" s="3" t="str">
        <f>HYPERLINK("https://www.amazon.com/Estee-Lauder-Advanced-Synchronized-Multi-Recovery/dp/B08FYX198N/ref=sr_1_5?keywords=Estee+Lauder+Advanced+Night+Repair+Synchronized+Multi-Recovery+Complex%2C+Unisex%2C+1.7+Oz&amp;qid=1695259592&amp;sr=8-5", "https://www.amazon.com/Estee-Lauder-Advanced-Synchronized-Multi-Recovery/dp/B08FYX198N/ref=sr_1_5?keywords=Estee+Lauder+Advanced+Night+Repair+Synchronized+Multi-Recovery+Complex%2C+Unisex%2C+1.7+Oz&amp;qid=1695259592&amp;sr=8-5")</f>
        <v>https://www.amazon.com/Estee-Lauder-Advanced-Synchronized-Multi-Recovery/dp/B08FYX198N/ref=sr_1_5?keywords=Estee+Lauder+Advanced+Night+Repair+Synchronized+Multi-Recovery+Complex%2C+Unisex%2C+1.7+Oz&amp;qid=1695259592&amp;sr=8-5</v>
      </c>
      <c r="F2951" t="s">
        <v>5013</v>
      </c>
      <c r="G2951" t="e">
        <f ca="1">IMAGE("https://prolisok-store.com/cdn/shop/files/511qVnU1eNL._SL1000_300x.jpg?v=1687507525")</f>
        <v>#NAME?</v>
      </c>
      <c r="H2951" t="e">
        <f ca="1">IMAGE("https://m.media-amazon.com/images/I/71f0DsPL4sL._AC_UL320_.jpg")</f>
        <v>#NAME?</v>
      </c>
      <c r="I2951" t="s">
        <v>3476</v>
      </c>
      <c r="J2951">
        <v>16.5</v>
      </c>
      <c r="K2951" s="2" t="s">
        <v>7314</v>
      </c>
      <c r="L2951">
        <v>4.5999999999999996</v>
      </c>
      <c r="M2951">
        <v>201</v>
      </c>
      <c r="O2951" t="s">
        <v>26</v>
      </c>
      <c r="P2951" t="s">
        <v>39</v>
      </c>
      <c r="Q2951" t="s">
        <v>4551</v>
      </c>
    </row>
    <row r="2952" spans="1:17" ht="15.75" x14ac:dyDescent="0.25">
      <c r="A2952" s="3" t="str">
        <f>HYPERLINK("https://prolisok-store.com/collections/skin-care/products/estee-lauder-micro-essence-treatment-lotion-with-bio-ferment-200ml-6-7oz", "https://prolisok-store.com/collections/skin-care/products/estee-lauder-micro-essence-treatment-lotion-with-bio-ferment-200ml-6-7oz")</f>
        <v>https://prolisok-store.com/collections/skin-care/products/estee-lauder-micro-essence-treatment-lotion-with-bio-ferment-200ml-6-7oz</v>
      </c>
      <c r="B2952" s="3" t="str">
        <f>HYPERLINK("https://prolisok-store.com/products/estee-lauder-micro-essence-treatment-lotion-with-bio-ferment-200ml-6-7oz", "https://prolisok-store.com/products/estee-lauder-micro-essence-treatment-lotion-with-bio-ferment-200ml-6-7oz")</f>
        <v>https://prolisok-store.com/products/estee-lauder-micro-essence-treatment-lotion-with-bio-ferment-200ml-6-7oz</v>
      </c>
      <c r="C2952" t="s">
        <v>7210</v>
      </c>
      <c r="D2952" t="s">
        <v>7315</v>
      </c>
      <c r="E2952" s="3" t="str">
        <f>HYPERLINK("https://www.amazon.com/Estee-Lauder-Essence-Treatment-Bio-Ferment/dp/B0BB44W3QP/ref=sr_1_3?keywords=Estee+Lauder+micro+essence+treatment+lotion+with+bio-ferment+200ml%2F6.7oz&amp;qid=1695259593&amp;sr=8-3", "https://www.amazon.com/Estee-Lauder-Essence-Treatment-Bio-Ferment/dp/B0BB44W3QP/ref=sr_1_3?keywords=Estee+Lauder+micro+essence+treatment+lotion+with+bio-ferment+200ml%2F6.7oz&amp;qid=1695259593&amp;sr=8-3")</f>
        <v>https://www.amazon.com/Estee-Lauder-Essence-Treatment-Bio-Ferment/dp/B0BB44W3QP/ref=sr_1_3?keywords=Estee+Lauder+micro+essence+treatment+lotion+with+bio-ferment+200ml%2F6.7oz&amp;qid=1695259593&amp;sr=8-3</v>
      </c>
      <c r="F2952" t="s">
        <v>7316</v>
      </c>
      <c r="G2952" t="e">
        <f ca="1">IMAGE("https://prolisok-store.com/cdn/shop/products/437687_300x.jpg?v=1690900239")</f>
        <v>#NAME?</v>
      </c>
      <c r="H2952" t="e">
        <f ca="1">IMAGE("https://m.media-amazon.com/images/I/61YqC0iVRhL._AC_UL320_.jpg")</f>
        <v>#NAME?</v>
      </c>
      <c r="I2952" t="s">
        <v>7213</v>
      </c>
      <c r="J2952">
        <v>44</v>
      </c>
      <c r="K2952" s="2" t="s">
        <v>7317</v>
      </c>
      <c r="L2952">
        <v>4.0999999999999996</v>
      </c>
      <c r="M2952">
        <v>7</v>
      </c>
      <c r="O2952" t="s">
        <v>26</v>
      </c>
      <c r="P2952" t="s">
        <v>39</v>
      </c>
      <c r="Q2952" t="s">
        <v>7215</v>
      </c>
    </row>
    <row r="2953" spans="1:17" ht="15.75" x14ac:dyDescent="0.25">
      <c r="A2953" s="3" t="str">
        <f>HYPERLINK("https://prolisok-store.com/collections/skin-care/products/hyaluronic-acid-intensifier-h-a", "https://prolisok-store.com/collections/skin-care/products/hyaluronic-acid-intensifier-h-a")</f>
        <v>https://prolisok-store.com/collections/skin-care/products/hyaluronic-acid-intensifier-h-a</v>
      </c>
      <c r="B2953" s="3" t="str">
        <f>HYPERLINK("https://prolisok-store.com/products/hyaluronic-acid-intensifier-h-a", "https://prolisok-store.com/products/hyaluronic-acid-intensifier-h-a")</f>
        <v>https://prolisok-store.com/products/hyaluronic-acid-intensifier-h-a</v>
      </c>
      <c r="C2953" t="s">
        <v>4996</v>
      </c>
      <c r="D2953" t="s">
        <v>5030</v>
      </c>
      <c r="E2953" s="3" t="str">
        <f>HYPERLINK("https://www.amazon.com/Hyaluronic-Organic-Hydrating-Moisturizer-Manufactured/dp/B084X51ZPM/ref=sr_1_2?keywords=Hyaluronic+acid+intensifier+%28H.A.%29&amp;qid=1695259599&amp;sr=8-2", "https://www.amazon.com/Hyaluronic-Organic-Hydrating-Moisturizer-Manufactured/dp/B084X51ZPM/ref=sr_1_2?keywords=Hyaluronic+acid+intensifier+%28H.A.%29&amp;qid=1695259599&amp;sr=8-2")</f>
        <v>https://www.amazon.com/Hyaluronic-Organic-Hydrating-Moisturizer-Manufactured/dp/B084X51ZPM/ref=sr_1_2?keywords=Hyaluronic+acid+intensifier+%28H.A.%29&amp;qid=1695259599&amp;sr=8-2</v>
      </c>
      <c r="F2953" t="s">
        <v>5031</v>
      </c>
      <c r="G2953" t="e">
        <f ca="1">IMAGE("https://prolisok-store.com/cdn/shop/products/H-A-Intesifier-3606000436367-Main-SkinCeuticals_300x.webp?v=1681297360")</f>
        <v>#NAME?</v>
      </c>
      <c r="H2953" t="e">
        <f ca="1">IMAGE("https://m.media-amazon.com/images/I/61BHSLXK7BL._AC_UL320_.jpg")</f>
        <v>#NAME?</v>
      </c>
      <c r="I2953" t="s">
        <v>4346</v>
      </c>
      <c r="J2953">
        <v>19.989999999999998</v>
      </c>
      <c r="K2953" s="2" t="s">
        <v>5032</v>
      </c>
      <c r="L2953">
        <v>4.5</v>
      </c>
      <c r="M2953">
        <v>8304</v>
      </c>
      <c r="O2953" t="s">
        <v>26</v>
      </c>
      <c r="P2953" t="s">
        <v>2482</v>
      </c>
      <c r="Q2953" t="s">
        <v>5000</v>
      </c>
    </row>
    <row r="2954" spans="1:17" ht="15.75" x14ac:dyDescent="0.25">
      <c r="A2954" s="3" t="str">
        <f>HYPERLINK("https://prolisok-store.com/collections/skin-care/products/estee-lauder-resilience-multi-effect-tri-peptide-night-face-and-neck-creme-all-skin-types-50ml-1-7oz", "https://prolisok-store.com/collections/skin-care/products/estee-lauder-resilience-multi-effect-tri-peptide-night-face-and-neck-creme-all-skin-types-50ml-1-7oz")</f>
        <v>https://prolisok-store.com/collections/skin-care/products/estee-lauder-resilience-multi-effect-tri-peptide-night-face-and-neck-creme-all-skin-types-50ml-1-7oz</v>
      </c>
      <c r="B2954" s="3" t="str">
        <f>HYPERLINK("https://prolisok-store.com/products/estee-lauder-resilience-multi-effect-tri-peptide-night-face-and-neck-creme-all-skin-types-50ml-1-7oz", "https://prolisok-store.com/products/estee-lauder-resilience-multi-effect-tri-peptide-night-face-and-neck-creme-all-skin-types-50ml-1-7oz")</f>
        <v>https://prolisok-store.com/products/estee-lauder-resilience-multi-effect-tri-peptide-night-face-and-neck-creme-all-skin-types-50ml-1-7oz</v>
      </c>
      <c r="C2954" t="s">
        <v>7318</v>
      </c>
      <c r="D2954" t="s">
        <v>7319</v>
      </c>
      <c r="E2954" s="3" t="str">
        <f>HYPERLINK("https://www.amazon.com/Estee-Lauder-Resilience-Multi-Effect-Tri-Peptide/dp/B08J9KWFVK/ref=sr_1_3?keywords=Estee+Lauder+resilience+multi-effect+tri-peptide+night+face+and+neck+creme+%28all+skin+types%29+50ml%2F1.7oz&amp;qid=1695259691&amp;sr=8-3", "https://www.amazon.com/Estee-Lauder-Resilience-Multi-Effect-Tri-Peptide/dp/B08J9KWFVK/ref=sr_1_3?keywords=Estee+Lauder+resilience+multi-effect+tri-peptide+night+face+and+neck+creme+%28all+skin+types%29+50ml%2F1.7oz&amp;qid=1695259691&amp;sr=8-3")</f>
        <v>https://www.amazon.com/Estee-Lauder-Resilience-Multi-Effect-Tri-Peptide/dp/B08J9KWFVK/ref=sr_1_3?keywords=Estee+Lauder+resilience+multi-effect+tri-peptide+night+face+and+neck+creme+%28all+skin+types%29+50ml%2F1.7oz&amp;qid=1695259691&amp;sr=8-3</v>
      </c>
      <c r="F2954" t="s">
        <v>7320</v>
      </c>
      <c r="G2954" t="e">
        <f ca="1">IMAGE("https://prolisok-store.com/cdn/shop/products/337535_300x.jpg?v=1690900170")</f>
        <v>#NAME?</v>
      </c>
      <c r="H2954" t="e">
        <f ca="1">IMAGE("https://m.media-amazon.com/images/I/71dj1X3Ty6L._AC_UL320_.jpg")</f>
        <v>#NAME?</v>
      </c>
      <c r="I2954" t="s">
        <v>7321</v>
      </c>
      <c r="J2954">
        <v>43.99</v>
      </c>
      <c r="K2954" s="2" t="s">
        <v>7322</v>
      </c>
      <c r="L2954">
        <v>4.5999999999999996</v>
      </c>
      <c r="M2954">
        <v>303</v>
      </c>
      <c r="O2954" t="s">
        <v>26</v>
      </c>
      <c r="P2954" t="s">
        <v>39</v>
      </c>
      <c r="Q2954" t="s">
        <v>7323</v>
      </c>
    </row>
    <row r="2955" spans="1:17" ht="15.75" x14ac:dyDescent="0.25">
      <c r="A2955" s="3" t="str">
        <f>HYPERLINK("https://prolisok-store.com/collections/skin-care/products/sisley-hydra-global-intense-anti-aging-hydration-40ml-1-4oz", "https://prolisok-store.com/collections/skin-care/products/sisley-hydra-global-intense-anti-aging-hydration-40ml-1-4oz")</f>
        <v>https://prolisok-store.com/collections/skin-care/products/sisley-hydra-global-intense-anti-aging-hydration-40ml-1-4oz</v>
      </c>
      <c r="B2955" s="3" t="str">
        <f>HYPERLINK("https://prolisok-store.com/products/sisley-hydra-global-intense-anti-aging-hydration-40ml-1-4oz", "https://prolisok-store.com/products/sisley-hydra-global-intense-anti-aging-hydration-40ml-1-4oz")</f>
        <v>https://prolisok-store.com/products/sisley-hydra-global-intense-anti-aging-hydration-40ml-1-4oz</v>
      </c>
      <c r="C2955" t="s">
        <v>7201</v>
      </c>
      <c r="D2955" t="s">
        <v>7324</v>
      </c>
      <c r="E2955" s="3" t="str">
        <f>HYPERLINK("https://www.amazon.com/Sisley-Hydra-Global-Intense-Anti-Aging-Hydration/dp/B002AMUGEQ/ref=sr_1_1?keywords=Sisley+hydra-global+intense+anti-aging+hydration+40ml%2F1.4oz&amp;qid=1695259694&amp;sr=8-1", "https://www.amazon.com/Sisley-Hydra-Global-Intense-Anti-Aging-Hydration/dp/B002AMUGEQ/ref=sr_1_1?keywords=Sisley+hydra-global+intense+anti-aging+hydration+40ml%2F1.4oz&amp;qid=1695259694&amp;sr=8-1")</f>
        <v>https://www.amazon.com/Sisley-Hydra-Global-Intense-Anti-Aging-Hydration/dp/B002AMUGEQ/ref=sr_1_1?keywords=Sisley+hydra-global+intense+anti-aging+hydration+40ml%2F1.4oz&amp;qid=1695259694&amp;sr=8-1</v>
      </c>
      <c r="F2955" t="s">
        <v>7325</v>
      </c>
      <c r="G2955" t="e">
        <f ca="1">IMAGE("https://prolisok-store.com/cdn/shop/products/153398_300x.jpg?v=1690900917")</f>
        <v>#NAME?</v>
      </c>
      <c r="H2955" t="e">
        <f ca="1">IMAGE("https://m.media-amazon.com/images/I/51XuUjZK--L._AC_UL320_.jpg")</f>
        <v>#NAME?</v>
      </c>
      <c r="I2955" t="s">
        <v>7204</v>
      </c>
      <c r="J2955">
        <v>101.75</v>
      </c>
      <c r="K2955" s="2" t="s">
        <v>7326</v>
      </c>
      <c r="L2955">
        <v>4.5</v>
      </c>
      <c r="M2955">
        <v>127</v>
      </c>
      <c r="O2955" t="s">
        <v>26</v>
      </c>
      <c r="P2955" t="s">
        <v>39</v>
      </c>
      <c r="Q2955" t="s">
        <v>7206</v>
      </c>
    </row>
    <row r="2956" spans="1:17" ht="15.75" x14ac:dyDescent="0.25">
      <c r="A2956" s="3" t="str">
        <f>HYPERLINK("https://prolisok-store.com/collections/skin-care/products/sisley-black-rose-cream-mask-60ml-2-1oz", "https://prolisok-store.com/collections/skin-care/products/sisley-black-rose-cream-mask-60ml-2-1oz")</f>
        <v>https://prolisok-store.com/collections/skin-care/products/sisley-black-rose-cream-mask-60ml-2-1oz</v>
      </c>
      <c r="B2956" s="3" t="str">
        <f>HYPERLINK("https://prolisok-store.com/products/sisley-black-rose-cream-mask-60ml-2-1oz", "https://prolisok-store.com/products/sisley-black-rose-cream-mask-60ml-2-1oz")</f>
        <v>https://prolisok-store.com/products/sisley-black-rose-cream-mask-60ml-2-1oz</v>
      </c>
      <c r="C2956" t="s">
        <v>7254</v>
      </c>
      <c r="D2956" t="s">
        <v>7327</v>
      </c>
      <c r="E2956" s="3" t="str">
        <f>HYPERLINK("https://www.amazon.com/Sisley-Black-Cream-2-1oz-parallel/dp/B00SR8Z74Q/ref=sr_1_1?keywords=Sisley+black+rose+cream+mask+60ml%2F2.1oz&amp;qid=1695259681&amp;sr=8-1", "https://www.amazon.com/Sisley-Black-Cream-2-1oz-parallel/dp/B00SR8Z74Q/ref=sr_1_1?keywords=Sisley+black+rose+cream+mask+60ml%2F2.1oz&amp;qid=1695259681&amp;sr=8-1")</f>
        <v>https://www.amazon.com/Sisley-Black-Cream-2-1oz-parallel/dp/B00SR8Z74Q/ref=sr_1_1?keywords=Sisley+black+rose+cream+mask+60ml%2F2.1oz&amp;qid=1695259681&amp;sr=8-1</v>
      </c>
      <c r="F2956" t="s">
        <v>7328</v>
      </c>
      <c r="G2956" t="e">
        <f ca="1">IMAGE("https://prolisok-store.com/cdn/shop/products/221508_300x.jpg?v=1690900985")</f>
        <v>#NAME?</v>
      </c>
      <c r="H2956" t="e">
        <f ca="1">IMAGE("https://m.media-amazon.com/images/I/7131r6G0UML._AC_UL320_.jpg")</f>
        <v>#NAME?</v>
      </c>
      <c r="I2956" t="s">
        <v>7257</v>
      </c>
      <c r="J2956">
        <v>63.6</v>
      </c>
      <c r="K2956" s="2" t="s">
        <v>7329</v>
      </c>
      <c r="L2956">
        <v>5</v>
      </c>
      <c r="M2956">
        <v>2</v>
      </c>
      <c r="O2956" t="s">
        <v>26</v>
      </c>
      <c r="P2956" t="s">
        <v>39</v>
      </c>
      <c r="Q2956" t="s">
        <v>7259</v>
      </c>
    </row>
    <row r="2957" spans="1:17" ht="15.75" x14ac:dyDescent="0.25">
      <c r="A2957" s="3" t="str">
        <f>HYPERLINK("https://prolisok-store.com/collections/skin-care/products/sisley-botanical-grapefruit-toning-lotion-250ml-8-3oz", "https://prolisok-store.com/collections/skin-care/products/sisley-botanical-grapefruit-toning-lotion-250ml-8-3oz")</f>
        <v>https://prolisok-store.com/collections/skin-care/products/sisley-botanical-grapefruit-toning-lotion-250ml-8-3oz</v>
      </c>
      <c r="B2957" s="3" t="str">
        <f>HYPERLINK("https://prolisok-store.com/products/sisley-botanical-grapefruit-toning-lotion-250ml-8-3oz", "https://prolisok-store.com/products/sisley-botanical-grapefruit-toning-lotion-250ml-8-3oz")</f>
        <v>https://prolisok-store.com/products/sisley-botanical-grapefruit-toning-lotion-250ml-8-3oz</v>
      </c>
      <c r="C2957" t="s">
        <v>7248</v>
      </c>
      <c r="D2957" t="s">
        <v>7330</v>
      </c>
      <c r="E2957" s="3" t="str">
        <f>HYPERLINK("https://www.amazon.com/Sisley-Botanical-Grapefruit-Toning-8-4-Ounce/dp/B002AMUGR8/ref=sr_1_7?keywords=Sisley+botanical+grapefruit+toning+lotion+250ml%2F8.3oz&amp;qid=1695259689&amp;sr=8-7", "https://www.amazon.com/Sisley-Botanical-Grapefruit-Toning-8-4-Ounce/dp/B002AMUGR8/ref=sr_1_7?keywords=Sisley+botanical+grapefruit+toning+lotion+250ml%2F8.3oz&amp;qid=1695259689&amp;sr=8-7")</f>
        <v>https://www.amazon.com/Sisley-Botanical-Grapefruit-Toning-8-4-Ounce/dp/B002AMUGR8/ref=sr_1_7?keywords=Sisley+botanical+grapefruit+toning+lotion+250ml%2F8.3oz&amp;qid=1695259689&amp;sr=8-7</v>
      </c>
      <c r="F2957" t="s">
        <v>7331</v>
      </c>
      <c r="G2957" t="e">
        <f ca="1">IMAGE("https://prolisok-store.com/cdn/shop/products/131296_300x.jpg?v=1690900849")</f>
        <v>#NAME?</v>
      </c>
      <c r="H2957" t="e">
        <f ca="1">IMAGE("https://m.media-amazon.com/images/I/613iqrj4hxL._AC_UL320_.jpg")</f>
        <v>#NAME?</v>
      </c>
      <c r="I2957" t="s">
        <v>7225</v>
      </c>
      <c r="J2957">
        <v>40.020000000000003</v>
      </c>
      <c r="K2957" s="2" t="s">
        <v>7332</v>
      </c>
      <c r="L2957">
        <v>4.3</v>
      </c>
      <c r="M2957">
        <v>43</v>
      </c>
      <c r="O2957" t="s">
        <v>26</v>
      </c>
      <c r="P2957" t="s">
        <v>39</v>
      </c>
      <c r="Q2957" t="s">
        <v>7252</v>
      </c>
    </row>
    <row r="2958" spans="1:17" ht="15.75" x14ac:dyDescent="0.25">
      <c r="A2958"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958" s="3" t="str">
        <f>HYPERLINK("https://prolisok-store.com/products/clinique-by-clinique-take-the-day-off-cleansing-balm-125ml-3-8oz", "https://prolisok-store.com/products/clinique-by-clinique-take-the-day-off-cleansing-balm-125ml-3-8oz")</f>
        <v>https://prolisok-store.com/products/clinique-by-clinique-take-the-day-off-cleansing-balm-125ml-3-8oz</v>
      </c>
      <c r="C2958" t="s">
        <v>7131</v>
      </c>
      <c r="D2958" t="s">
        <v>7333</v>
      </c>
      <c r="E2958" s="3" t="str">
        <f>HYPERLINK("https://www.amazon.com/Pack-Clinique-Cleansing-Sample-Unboxed/dp/B093XQJC5C/ref=sr_1_7?keywords=Clinique+take+the+day+off+cleansing+balm+--125ml%2F3.8oz&amp;qid=1695259716&amp;sr=8-7", "https://www.amazon.com/Pack-Clinique-Cleansing-Sample-Unboxed/dp/B093XQJC5C/ref=sr_1_7?keywords=Clinique+take+the+day+off+cleansing+balm+--125ml%2F3.8oz&amp;qid=1695259716&amp;sr=8-7")</f>
        <v>https://www.amazon.com/Pack-Clinique-Cleansing-Sample-Unboxed/dp/B093XQJC5C/ref=sr_1_7?keywords=Clinique+take+the+day+off+cleansing+balm+--125ml%2F3.8oz&amp;qid=1695259716&amp;sr=8-7</v>
      </c>
      <c r="F2958" t="s">
        <v>7334</v>
      </c>
      <c r="G2958" t="e">
        <f ca="1">IMAGE("https://prolisok-store.com/cdn/shop/products/146923_300x.jpg?v=1688060479")</f>
        <v>#NAME?</v>
      </c>
      <c r="H2958" t="e">
        <f ca="1">IMAGE("https://m.media-amazon.com/images/I/71ARNMBN4-S._AC_UL320_.jpg")</f>
        <v>#NAME?</v>
      </c>
      <c r="I2958" t="s">
        <v>6900</v>
      </c>
      <c r="J2958">
        <v>12.98</v>
      </c>
      <c r="K2958" s="2" t="s">
        <v>7335</v>
      </c>
      <c r="L2958">
        <v>4.7</v>
      </c>
      <c r="M2958">
        <v>50</v>
      </c>
      <c r="O2958" t="s">
        <v>26</v>
      </c>
      <c r="P2958" t="s">
        <v>39</v>
      </c>
      <c r="Q2958" t="s">
        <v>7135</v>
      </c>
    </row>
    <row r="2959" spans="1:17" ht="15.75" x14ac:dyDescent="0.25">
      <c r="A2959" s="3" t="str">
        <f>HYPERLINK("https://prolisok-store.com/collections/skin-care/products/sisley-black-rose-cream-mask-60ml-2-1oz", "https://prolisok-store.com/collections/skin-care/products/sisley-black-rose-cream-mask-60ml-2-1oz")</f>
        <v>https://prolisok-store.com/collections/skin-care/products/sisley-black-rose-cream-mask-60ml-2-1oz</v>
      </c>
      <c r="B2959" s="3" t="str">
        <f>HYPERLINK("https://prolisok-store.com/products/sisley-black-rose-cream-mask-60ml-2-1oz", "https://prolisok-store.com/products/sisley-black-rose-cream-mask-60ml-2-1oz")</f>
        <v>https://prolisok-store.com/products/sisley-black-rose-cream-mask-60ml-2-1oz</v>
      </c>
      <c r="C2959" t="s">
        <v>7254</v>
      </c>
      <c r="D2959" t="s">
        <v>7336</v>
      </c>
      <c r="E2959" s="3" t="str">
        <f>HYPERLINK("https://www.amazon.com/Sisley-Black-Rose-Cream-2-1oz/dp/B00ARBUZCA/ref=sr_1_3?keywords=Sisley+black+rose+cream+mask+60ml%2F2.1oz&amp;qid=1695259681&amp;sr=8-3", "https://www.amazon.com/Sisley-Black-Rose-Cream-2-1oz/dp/B00ARBUZCA/ref=sr_1_3?keywords=Sisley+black+rose+cream+mask+60ml%2F2.1oz&amp;qid=1695259681&amp;sr=8-3")</f>
        <v>https://www.amazon.com/Sisley-Black-Rose-Cream-2-1oz/dp/B00ARBUZCA/ref=sr_1_3?keywords=Sisley+black+rose+cream+mask+60ml%2F2.1oz&amp;qid=1695259681&amp;sr=8-3</v>
      </c>
      <c r="F2959" t="s">
        <v>7337</v>
      </c>
      <c r="G2959" t="e">
        <f ca="1">IMAGE("https://prolisok-store.com/cdn/shop/products/221508_300x.jpg?v=1690900985")</f>
        <v>#NAME?</v>
      </c>
      <c r="H2959" t="e">
        <f ca="1">IMAGE("https://m.media-amazon.com/images/I/51xRRIzUvxL._AC_UL320_.jpg")</f>
        <v>#NAME?</v>
      </c>
      <c r="I2959" t="s">
        <v>7257</v>
      </c>
      <c r="J2959">
        <v>60.93</v>
      </c>
      <c r="K2959" s="2" t="s">
        <v>7338</v>
      </c>
      <c r="L2959">
        <v>3.9</v>
      </c>
      <c r="M2959">
        <v>37</v>
      </c>
      <c r="O2959" t="s">
        <v>26</v>
      </c>
      <c r="P2959" t="s">
        <v>39</v>
      </c>
      <c r="Q2959" t="s">
        <v>7259</v>
      </c>
    </row>
    <row r="2960" spans="1:17" ht="15.75" x14ac:dyDescent="0.25">
      <c r="A2960" s="3" t="str">
        <f>HYPERLINK("https://prolisok-store.com/collections/skin-care/products/estee-lauder-perfectionist-pro-rapid-brightening-treatment-100ml-3-4oz", "https://prolisok-store.com/collections/skin-care/products/estee-lauder-perfectionist-pro-rapid-brightening-treatment-100ml-3-4oz")</f>
        <v>https://prolisok-store.com/collections/skin-care/products/estee-lauder-perfectionist-pro-rapid-brightening-treatment-100ml-3-4oz</v>
      </c>
      <c r="B2960" s="3" t="str">
        <f>HYPERLINK("https://prolisok-store.com/products/estee-lauder-perfectionist-pro-rapid-brightening-treatment-100ml-3-4oz", "https://prolisok-store.com/products/estee-lauder-perfectionist-pro-rapid-brightening-treatment-100ml-3-4oz")</f>
        <v>https://prolisok-store.com/products/estee-lauder-perfectionist-pro-rapid-brightening-treatment-100ml-3-4oz</v>
      </c>
      <c r="C2960" t="s">
        <v>7339</v>
      </c>
      <c r="D2960" t="s">
        <v>7340</v>
      </c>
      <c r="E2960" s="3" t="str">
        <f>HYPERLINK("https://www.amazon.com/Perfectionist-Brightening-Treatment-Ferment%C2%B2-Vitamin/dp/B08HM76HZH/ref=sr_1_1?keywords=Estee+Lauder+perfectionist+pro+rapid+brightening+treatment+100ml%2F3.4oz&amp;qid=1695259697&amp;sr=8-1", "https://www.amazon.com/Perfectionist-Brightening-Treatment-Ferment%C2%B2-Vitamin/dp/B08HM76HZH/ref=sr_1_1?keywords=Estee+Lauder+perfectionist+pro+rapid+brightening+treatment+100ml%2F3.4oz&amp;qid=1695259697&amp;sr=8-1")</f>
        <v>https://www.amazon.com/Perfectionist-Brightening-Treatment-Ferment%C2%B2-Vitamin/dp/B08HM76HZH/ref=sr_1_1?keywords=Estee+Lauder+perfectionist+pro+rapid+brightening+treatment+100ml%2F3.4oz&amp;qid=1695259697&amp;sr=8-1</v>
      </c>
      <c r="F2960" t="s">
        <v>7341</v>
      </c>
      <c r="G2960" t="e">
        <f ca="1">IMAGE("https://prolisok-store.com/cdn/shop/products/429824_300x.jpg?v=1690900247")</f>
        <v>#NAME?</v>
      </c>
      <c r="H2960" t="e">
        <f ca="1">IMAGE("https://m.media-amazon.com/images/I/61KJ6YUeYEL._AC_UL320_.jpg")</f>
        <v>#NAME?</v>
      </c>
      <c r="I2960" t="s">
        <v>7030</v>
      </c>
      <c r="J2960">
        <v>49.23</v>
      </c>
      <c r="K2960" s="2" t="s">
        <v>7342</v>
      </c>
      <c r="L2960">
        <v>4.4000000000000004</v>
      </c>
      <c r="M2960">
        <v>98</v>
      </c>
      <c r="O2960" t="s">
        <v>26</v>
      </c>
      <c r="P2960" t="s">
        <v>39</v>
      </c>
      <c r="Q2960" t="s">
        <v>7343</v>
      </c>
    </row>
    <row r="2961" spans="1:17" ht="15.75" x14ac:dyDescent="0.25">
      <c r="A2961" s="3" t="str">
        <f>HYPERLINK("https://prolisok-store.com/collections/skin-care/products/estee-lauder-micro-essence-treatment-lotion-with-bio-ferment-200ml-6-7oz", "https://prolisok-store.com/collections/skin-care/products/estee-lauder-micro-essence-treatment-lotion-with-bio-ferment-200ml-6-7oz")</f>
        <v>https://prolisok-store.com/collections/skin-care/products/estee-lauder-micro-essence-treatment-lotion-with-bio-ferment-200ml-6-7oz</v>
      </c>
      <c r="B2961" s="3" t="str">
        <f>HYPERLINK("https://prolisok-store.com/products/estee-lauder-micro-essence-treatment-lotion-with-bio-ferment-200ml-6-7oz", "https://prolisok-store.com/products/estee-lauder-micro-essence-treatment-lotion-with-bio-ferment-200ml-6-7oz")</f>
        <v>https://prolisok-store.com/products/estee-lauder-micro-essence-treatment-lotion-with-bio-ferment-200ml-6-7oz</v>
      </c>
      <c r="C2961" t="s">
        <v>7210</v>
      </c>
      <c r="D2961" t="s">
        <v>7344</v>
      </c>
      <c r="E2961" s="3" t="str">
        <f>HYPERLINK("https://www.amazon.com/Estee-Lauder-Essence-Treatment-Bio-Ferment/dp/B09Y3DG7WT/ref=sr_1_1?keywords=Estee+Lauder+micro+essence+treatment+lotion+with+bio-ferment+200ml%2F6.7oz&amp;qid=1695259593&amp;sr=8-1", "https://www.amazon.com/Estee-Lauder-Essence-Treatment-Bio-Ferment/dp/B09Y3DG7WT/ref=sr_1_1?keywords=Estee+Lauder+micro+essence+treatment+lotion+with+bio-ferment+200ml%2F6.7oz&amp;qid=1695259593&amp;sr=8-1")</f>
        <v>https://www.amazon.com/Estee-Lauder-Essence-Treatment-Bio-Ferment/dp/B09Y3DG7WT/ref=sr_1_1?keywords=Estee+Lauder+micro+essence+treatment+lotion+with+bio-ferment+200ml%2F6.7oz&amp;qid=1695259593&amp;sr=8-1</v>
      </c>
      <c r="F2961" t="s">
        <v>7345</v>
      </c>
      <c r="G2961" t="e">
        <f ca="1">IMAGE("https://prolisok-store.com/cdn/shop/products/437687_300x.jpg?v=1690900239")</f>
        <v>#NAME?</v>
      </c>
      <c r="H2961" t="e">
        <f ca="1">IMAGE("https://m.media-amazon.com/images/I/41feNadcKKL._AC_UL320_.jpg")</f>
        <v>#NAME?</v>
      </c>
      <c r="I2961" t="s">
        <v>7213</v>
      </c>
      <c r="J2961">
        <v>39.450000000000003</v>
      </c>
      <c r="K2961" s="2" t="s">
        <v>7346</v>
      </c>
      <c r="L2961">
        <v>4.5</v>
      </c>
      <c r="M2961">
        <v>2</v>
      </c>
      <c r="O2961" t="s">
        <v>26</v>
      </c>
      <c r="P2961" t="s">
        <v>39</v>
      </c>
      <c r="Q2961" t="s">
        <v>7215</v>
      </c>
    </row>
    <row r="2962" spans="1:17" ht="15.75" x14ac:dyDescent="0.25">
      <c r="A2962"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962" s="3" t="str">
        <f>HYPERLINK("https://prolisok-store.com/products/clinique-by-clinique-take-the-day-off-cleansing-balm-125ml-3-8oz", "https://prolisok-store.com/products/clinique-by-clinique-take-the-day-off-cleansing-balm-125ml-3-8oz")</f>
        <v>https://prolisok-store.com/products/clinique-by-clinique-take-the-day-off-cleansing-balm-125ml-3-8oz</v>
      </c>
      <c r="C2962" t="s">
        <v>7131</v>
      </c>
      <c r="D2962" t="s">
        <v>7347</v>
      </c>
      <c r="E2962" s="3" t="str">
        <f>HYPERLINK("https://www.amazon.com/CLINIQUES-Clinique-Take-Cleansing-30ml/dp/B08PSX1LW2/ref=sr_1_3?keywords=Clinique+take+the+day+off+cleansing+balm+--125ml%2F3.8oz&amp;qid=1695259716&amp;sr=8-3", "https://www.amazon.com/CLINIQUES-Clinique-Take-Cleansing-30ml/dp/B08PSX1LW2/ref=sr_1_3?keywords=Clinique+take+the+day+off+cleansing+balm+--125ml%2F3.8oz&amp;qid=1695259716&amp;sr=8-3")</f>
        <v>https://www.amazon.com/CLINIQUES-Clinique-Take-Cleansing-30ml/dp/B08PSX1LW2/ref=sr_1_3?keywords=Clinique+take+the+day+off+cleansing+balm+--125ml%2F3.8oz&amp;qid=1695259716&amp;sr=8-3</v>
      </c>
      <c r="F2962" t="s">
        <v>7348</v>
      </c>
      <c r="G2962" t="e">
        <f ca="1">IMAGE("https://prolisok-store.com/cdn/shop/products/146923_300x.jpg?v=1688060479")</f>
        <v>#NAME?</v>
      </c>
      <c r="H2962" t="e">
        <f ca="1">IMAGE("https://m.media-amazon.com/images/I/51NO6wQJklL._AC_UL320_.jpg")</f>
        <v>#NAME?</v>
      </c>
      <c r="I2962" t="s">
        <v>6900</v>
      </c>
      <c r="J2962">
        <v>11.46</v>
      </c>
      <c r="K2962" s="2" t="s">
        <v>7349</v>
      </c>
      <c r="L2962">
        <v>4.5</v>
      </c>
      <c r="M2962">
        <v>51</v>
      </c>
      <c r="O2962" t="s">
        <v>26</v>
      </c>
      <c r="P2962" t="s">
        <v>39</v>
      </c>
      <c r="Q2962" t="s">
        <v>7135</v>
      </c>
    </row>
    <row r="2963" spans="1:17" ht="15.75" x14ac:dyDescent="0.25">
      <c r="A2963" s="3" t="str">
        <f>HYPERLINK("https://prolisok-store.com/collections/skin-care/products/estee-lauder-advanced-night-repair-synchronized-multi-recovery-complex-115ml-3-9oz", "https://prolisok-store.com/collections/skin-care/products/estee-lauder-advanced-night-repair-synchronized-multi-recovery-complex-115ml-3-9oz")</f>
        <v>https://prolisok-store.com/collections/skin-care/products/estee-lauder-advanced-night-repair-synchronized-multi-recovery-complex-115ml-3-9oz</v>
      </c>
      <c r="B2963" s="3" t="str">
        <f>HYPERLINK("https://prolisok-store.com/products/estee-lauder-advanced-night-repair-synchronized-multi-recovery-complex-115ml-3-9oz", "https://prolisok-store.com/products/estee-lauder-advanced-night-repair-synchronized-multi-recovery-complex-115ml-3-9oz")</f>
        <v>https://prolisok-store.com/products/estee-lauder-advanced-night-repair-synchronized-multi-recovery-complex-115ml-3-9oz</v>
      </c>
      <c r="C2963" t="s">
        <v>7277</v>
      </c>
      <c r="D2963" t="s">
        <v>4838</v>
      </c>
      <c r="E2963" s="3" t="str">
        <f>HYPERLINK("https://www.amazon.com/Synchronized-Multi-Recovery-Multiple-protection-Advanced/dp/B0BPHKJFWJ/ref=sr_1_7?keywords=Estee+Lauder+advanced+night+repair+synchronized+multi-recovery+complex+115ml%2F3.9oz&amp;qid=1695259600&amp;sr=8-7", "https://www.amazon.com/Synchronized-Multi-Recovery-Multiple-protection-Advanced/dp/B0BPHKJFWJ/ref=sr_1_7?keywords=Estee+Lauder+advanced+night+repair+synchronized+multi-recovery+complex+115ml%2F3.9oz&amp;qid=1695259600&amp;sr=8-7")</f>
        <v>https://www.amazon.com/Synchronized-Multi-Recovery-Multiple-protection-Advanced/dp/B0BPHKJFWJ/ref=sr_1_7?keywords=Estee+Lauder+advanced+night+repair+synchronized+multi-recovery+complex+115ml%2F3.9oz&amp;qid=1695259600&amp;sr=8-7</v>
      </c>
      <c r="F2963" t="s">
        <v>4839</v>
      </c>
      <c r="G2963" t="e">
        <f ca="1">IMAGE("https://prolisok-store.com/cdn/shop/products/451556_300x.jpg?v=1690900262")</f>
        <v>#NAME?</v>
      </c>
      <c r="H2963" t="e">
        <f ca="1">IMAGE("https://m.media-amazon.com/images/I/51DmsQM3kEL._AC_UL320_.jpg")</f>
        <v>#NAME?</v>
      </c>
      <c r="I2963" t="s">
        <v>3038</v>
      </c>
      <c r="J2963">
        <v>63.2</v>
      </c>
      <c r="K2963" s="2" t="s">
        <v>7350</v>
      </c>
      <c r="L2963">
        <v>5</v>
      </c>
      <c r="M2963">
        <v>1</v>
      </c>
      <c r="O2963" t="s">
        <v>26</v>
      </c>
      <c r="P2963" t="s">
        <v>39</v>
      </c>
      <c r="Q2963" t="s">
        <v>7279</v>
      </c>
    </row>
    <row r="2964" spans="1:17" ht="15.75" x14ac:dyDescent="0.25">
      <c r="A2964" s="3" t="str">
        <f>HYPERLINK("https://prolisok-store.com/collections/skin-care/products/hyaluronic-acid-intensifier-h-a", "https://prolisok-store.com/collections/skin-care/products/hyaluronic-acid-intensifier-h-a")</f>
        <v>https://prolisok-store.com/collections/skin-care/products/hyaluronic-acid-intensifier-h-a</v>
      </c>
      <c r="B2964" s="3" t="str">
        <f>HYPERLINK("https://prolisok-store.com/products/hyaluronic-acid-intensifier-h-a", "https://prolisok-store.com/products/hyaluronic-acid-intensifier-h-a")</f>
        <v>https://prolisok-store.com/products/hyaluronic-acid-intensifier-h-a</v>
      </c>
      <c r="C2964" t="s">
        <v>4996</v>
      </c>
      <c r="D2964" t="s">
        <v>7351</v>
      </c>
      <c r="E2964" s="3" t="str">
        <f>HYPERLINK("https://www.amazon.com/Tree-Life-Hyaluronic-Brightening-Dermatologist-Tested/dp/B010MX4E74/ref=sr_1_10?keywords=Hyaluronic+acid+intensifier+%28H.A.%29&amp;qid=1695259599&amp;sr=8-10", "https://www.amazon.com/Tree-Life-Hyaluronic-Brightening-Dermatologist-Tested/dp/B010MX4E74/ref=sr_1_10?keywords=Hyaluronic+acid+intensifier+%28H.A.%29&amp;qid=1695259599&amp;sr=8-10")</f>
        <v>https://www.amazon.com/Tree-Life-Hyaluronic-Brightening-Dermatologist-Tested/dp/B010MX4E74/ref=sr_1_10?keywords=Hyaluronic+acid+intensifier+%28H.A.%29&amp;qid=1695259599&amp;sr=8-10</v>
      </c>
      <c r="F2964" t="s">
        <v>7352</v>
      </c>
      <c r="G2964" t="e">
        <f ca="1">IMAGE("https://prolisok-store.com/cdn/shop/products/H-A-Intesifier-3606000436367-Main-SkinCeuticals_300x.webp?v=1681297360")</f>
        <v>#NAME?</v>
      </c>
      <c r="H2964" t="e">
        <f ca="1">IMAGE("https://m.media-amazon.com/images/I/61CmNwE44pL._AC_UL320_.jpg")</f>
        <v>#NAME?</v>
      </c>
      <c r="I2964" t="s">
        <v>4346</v>
      </c>
      <c r="J2964">
        <v>16.489999999999998</v>
      </c>
      <c r="K2964" s="2" t="s">
        <v>7353</v>
      </c>
      <c r="L2964">
        <v>4.5</v>
      </c>
      <c r="M2964">
        <v>15823</v>
      </c>
      <c r="O2964" t="s">
        <v>26</v>
      </c>
      <c r="P2964" t="s">
        <v>2482</v>
      </c>
      <c r="Q2964" t="s">
        <v>5000</v>
      </c>
    </row>
    <row r="2965" spans="1:17" ht="15.75" x14ac:dyDescent="0.25">
      <c r="A2965" s="3" t="str">
        <f>HYPERLINK("https://prolisok-store.com/collections/skin-care/products/estee-lauder-micro-essence-treatment-lotion-with-bio-ferment-200ml-6-7oz", "https://prolisok-store.com/collections/skin-care/products/estee-lauder-micro-essence-treatment-lotion-with-bio-ferment-200ml-6-7oz")</f>
        <v>https://prolisok-store.com/collections/skin-care/products/estee-lauder-micro-essence-treatment-lotion-with-bio-ferment-200ml-6-7oz</v>
      </c>
      <c r="B2965" s="3" t="str">
        <f>HYPERLINK("https://prolisok-store.com/products/estee-lauder-micro-essence-treatment-lotion-with-bio-ferment-200ml-6-7oz", "https://prolisok-store.com/products/estee-lauder-micro-essence-treatment-lotion-with-bio-ferment-200ml-6-7oz")</f>
        <v>https://prolisok-store.com/products/estee-lauder-micro-essence-treatment-lotion-with-bio-ferment-200ml-6-7oz</v>
      </c>
      <c r="C2965" t="s">
        <v>7210</v>
      </c>
      <c r="D2965" t="s">
        <v>7354</v>
      </c>
      <c r="E2965" s="3" t="str">
        <f>HYPERLINK("https://www.amazon.com/Lauder-Companies-Incorporated-Essence-Lotion/dp/B06Y56Z857/ref=sr_1_5?keywords=Estee+Lauder+micro+essence+treatment+lotion+with+bio-ferment+200ml%2F6.7oz&amp;qid=1695259593&amp;sr=8-5", "https://www.amazon.com/Lauder-Companies-Incorporated-Essence-Lotion/dp/B06Y56Z857/ref=sr_1_5?keywords=Estee+Lauder+micro+essence+treatment+lotion+with+bio-ferment+200ml%2F6.7oz&amp;qid=1695259593&amp;sr=8-5")</f>
        <v>https://www.amazon.com/Lauder-Companies-Incorporated-Essence-Lotion/dp/B06Y56Z857/ref=sr_1_5?keywords=Estee+Lauder+micro+essence+treatment+lotion+with+bio-ferment+200ml%2F6.7oz&amp;qid=1695259593&amp;sr=8-5</v>
      </c>
      <c r="F2965" t="s">
        <v>7355</v>
      </c>
      <c r="G2965" t="e">
        <f ca="1">IMAGE("https://prolisok-store.com/cdn/shop/products/437687_300x.jpg?v=1690900239")</f>
        <v>#NAME?</v>
      </c>
      <c r="H2965" t="e">
        <f ca="1">IMAGE("https://m.media-amazon.com/images/I/41PntsPdTgL._AC_UL320_.jpg")</f>
        <v>#NAME?</v>
      </c>
      <c r="I2965" t="s">
        <v>7213</v>
      </c>
      <c r="J2965">
        <v>34.99</v>
      </c>
      <c r="K2965" s="2" t="s">
        <v>7356</v>
      </c>
      <c r="L2965">
        <v>4.5999999999999996</v>
      </c>
      <c r="M2965">
        <v>10</v>
      </c>
      <c r="O2965" t="s">
        <v>26</v>
      </c>
      <c r="P2965" t="s">
        <v>39</v>
      </c>
      <c r="Q2965" t="s">
        <v>7215</v>
      </c>
    </row>
    <row r="2966" spans="1:17" ht="15.75" x14ac:dyDescent="0.25">
      <c r="A2966" s="3" t="str">
        <f>HYPERLINK("https://prolisok-store.com/collections/skin-care/products/hyaluronic-acid-intensifier-h-a", "https://prolisok-store.com/collections/skin-care/products/hyaluronic-acid-intensifier-h-a")</f>
        <v>https://prolisok-store.com/collections/skin-care/products/hyaluronic-acid-intensifier-h-a</v>
      </c>
      <c r="B2966" s="3" t="str">
        <f>HYPERLINK("https://prolisok-store.com/products/hyaluronic-acid-intensifier-h-a", "https://prolisok-store.com/products/hyaluronic-acid-intensifier-h-a")</f>
        <v>https://prolisok-store.com/products/hyaluronic-acid-intensifier-h-a</v>
      </c>
      <c r="C2966" t="s">
        <v>4996</v>
      </c>
      <c r="D2966" t="s">
        <v>4161</v>
      </c>
      <c r="E2966" s="3" t="str">
        <f>HYPERLINK("https://www.amazon.com/Hyaluronic-Hydration-Moisture-Reducing-Brightening/dp/B0090UJFYI/ref=sr_1_4?keywords=Hyaluronic+acid+intensifier+%28H.A.%29&amp;qid=1695259599&amp;sr=8-4", "https://www.amazon.com/Hyaluronic-Hydration-Moisture-Reducing-Brightening/dp/B0090UJFYI/ref=sr_1_4?keywords=Hyaluronic+acid+intensifier+%28H.A.%29&amp;qid=1695259599&amp;sr=8-4")</f>
        <v>https://www.amazon.com/Hyaluronic-Hydration-Moisture-Reducing-Brightening/dp/B0090UJFYI/ref=sr_1_4?keywords=Hyaluronic+acid+intensifier+%28H.A.%29&amp;qid=1695259599&amp;sr=8-4</v>
      </c>
      <c r="F2966" t="s">
        <v>4162</v>
      </c>
      <c r="G2966" t="e">
        <f ca="1">IMAGE("https://prolisok-store.com/cdn/shop/products/H-A-Intesifier-3606000436367-Main-SkinCeuticals_300x.webp?v=1681297360")</f>
        <v>#NAME?</v>
      </c>
      <c r="H2966" t="e">
        <f ca="1">IMAGE("https://m.media-amazon.com/images/I/61CazCt3zfL._AC_UL320_.jpg")</f>
        <v>#NAME?</v>
      </c>
      <c r="I2966" t="s">
        <v>4346</v>
      </c>
      <c r="J2966">
        <v>14.98</v>
      </c>
      <c r="K2966" s="2" t="s">
        <v>5038</v>
      </c>
      <c r="L2966">
        <v>4.4000000000000004</v>
      </c>
      <c r="M2966">
        <v>39577</v>
      </c>
      <c r="O2966" t="s">
        <v>26</v>
      </c>
      <c r="P2966" t="s">
        <v>2482</v>
      </c>
      <c r="Q2966" t="s">
        <v>5000</v>
      </c>
    </row>
    <row r="2967" spans="1:17" ht="15.75" x14ac:dyDescent="0.25">
      <c r="A2967" s="3" t="str">
        <f>HYPERLINK("https://prolisok-store.com/collections/skin-care/products/estee-lauder-perfectionist-pro-rapid-brightening-treatment-100ml-3-4oz", "https://prolisok-store.com/collections/skin-care/products/estee-lauder-perfectionist-pro-rapid-brightening-treatment-100ml-3-4oz")</f>
        <v>https://prolisok-store.com/collections/skin-care/products/estee-lauder-perfectionist-pro-rapid-brightening-treatment-100ml-3-4oz</v>
      </c>
      <c r="B2967" s="3" t="str">
        <f>HYPERLINK("https://prolisok-store.com/products/estee-lauder-perfectionist-pro-rapid-brightening-treatment-100ml-3-4oz", "https://prolisok-store.com/products/estee-lauder-perfectionist-pro-rapid-brightening-treatment-100ml-3-4oz")</f>
        <v>https://prolisok-store.com/products/estee-lauder-perfectionist-pro-rapid-brightening-treatment-100ml-3-4oz</v>
      </c>
      <c r="C2967" t="s">
        <v>7339</v>
      </c>
      <c r="D2967" t="s">
        <v>7357</v>
      </c>
      <c r="E2967" s="3" t="str">
        <f>HYPERLINK("https://www.amazon.com/Perfectionist-Estee-Lauder-Brightening-Treatment/dp/B084DNFS7H/ref=sr_1_2?keywords=Estee+Lauder+perfectionist+pro+rapid+brightening+treatment+100ml%2F3.4oz&amp;qid=1695259697&amp;sr=8-2", "https://www.amazon.com/Perfectionist-Estee-Lauder-Brightening-Treatment/dp/B084DNFS7H/ref=sr_1_2?keywords=Estee+Lauder+perfectionist+pro+rapid+brightening+treatment+100ml%2F3.4oz&amp;qid=1695259697&amp;sr=8-2")</f>
        <v>https://www.amazon.com/Perfectionist-Estee-Lauder-Brightening-Treatment/dp/B084DNFS7H/ref=sr_1_2?keywords=Estee+Lauder+perfectionist+pro+rapid+brightening+treatment+100ml%2F3.4oz&amp;qid=1695259697&amp;sr=8-2</v>
      </c>
      <c r="F2967" t="s">
        <v>7358</v>
      </c>
      <c r="G2967" t="e">
        <f ca="1">IMAGE("https://prolisok-store.com/cdn/shop/products/429824_300x.jpg?v=1690900247")</f>
        <v>#NAME?</v>
      </c>
      <c r="H2967" t="e">
        <f ca="1">IMAGE("https://m.media-amazon.com/images/I/61RH+BM7V8L._AC_UL320_.jpg")</f>
        <v>#NAME?</v>
      </c>
      <c r="I2967" t="s">
        <v>7030</v>
      </c>
      <c r="J2967">
        <v>39.99</v>
      </c>
      <c r="K2967" s="2" t="s">
        <v>7359</v>
      </c>
      <c r="L2967">
        <v>4.5999999999999996</v>
      </c>
      <c r="M2967">
        <v>31</v>
      </c>
      <c r="O2967" t="s">
        <v>26</v>
      </c>
      <c r="P2967" t="s">
        <v>39</v>
      </c>
      <c r="Q2967" t="s">
        <v>7343</v>
      </c>
    </row>
    <row r="2968" spans="1:17" ht="15.75" x14ac:dyDescent="0.25">
      <c r="A2968"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968" s="3" t="str">
        <f>HYPERLINK("https://prolisok-store.com/products/clinique-by-clinique-take-the-day-off-cleansing-balm-125ml-3-8oz", "https://prolisok-store.com/products/clinique-by-clinique-take-the-day-off-cleansing-balm-125ml-3-8oz")</f>
        <v>https://prolisok-store.com/products/clinique-by-clinique-take-the-day-off-cleansing-balm-125ml-3-8oz</v>
      </c>
      <c r="C2968" t="s">
        <v>7131</v>
      </c>
      <c r="D2968" t="s">
        <v>7360</v>
      </c>
      <c r="E2968" s="3" t="str">
        <f>HYPERLINK("https://www.amazon.com/Clinique-Take-Day-Off-Cleansing-15ml/dp/B076ZT3715/ref=sr_1_10?keywords=Clinique+take+the+day+off+cleansing+balm+--125ml%2F3.8oz&amp;qid=1695259716&amp;sr=8-10", "https://www.amazon.com/Clinique-Take-Day-Off-Cleansing-15ml/dp/B076ZT3715/ref=sr_1_10?keywords=Clinique+take+the+day+off+cleansing+balm+--125ml%2F3.8oz&amp;qid=1695259716&amp;sr=8-10")</f>
        <v>https://www.amazon.com/Clinique-Take-Day-Off-Cleansing-15ml/dp/B076ZT3715/ref=sr_1_10?keywords=Clinique+take+the+day+off+cleansing+balm+--125ml%2F3.8oz&amp;qid=1695259716&amp;sr=8-10</v>
      </c>
      <c r="F2968" t="s">
        <v>7361</v>
      </c>
      <c r="G2968" t="e">
        <f ca="1">IMAGE("https://prolisok-store.com/cdn/shop/products/146923_300x.jpg?v=1688060479")</f>
        <v>#NAME?</v>
      </c>
      <c r="H2968" t="e">
        <f ca="1">IMAGE("https://m.media-amazon.com/images/I/71xsH3VEQXL._AC_UL320_.jpg")</f>
        <v>#NAME?</v>
      </c>
      <c r="I2968" t="s">
        <v>6900</v>
      </c>
      <c r="J2968">
        <v>9.99</v>
      </c>
      <c r="K2968" s="2" t="s">
        <v>7362</v>
      </c>
      <c r="L2968">
        <v>4.5999999999999996</v>
      </c>
      <c r="M2968">
        <v>253</v>
      </c>
      <c r="O2968" t="s">
        <v>26</v>
      </c>
      <c r="P2968" t="s">
        <v>39</v>
      </c>
      <c r="Q2968" t="s">
        <v>7135</v>
      </c>
    </row>
    <row r="2969" spans="1:17" ht="15.75" x14ac:dyDescent="0.25">
      <c r="A2969" s="3" t="str">
        <f>HYPERLINK("https://prolisok-store.com/collections/skin-care/products/estee-lauder-revitalizing-supreme-youth-power-creme-50ml-1-7oz", "https://prolisok-store.com/collections/skin-care/products/estee-lauder-revitalizing-supreme-youth-power-creme-50ml-1-7oz")</f>
        <v>https://prolisok-store.com/collections/skin-care/products/estee-lauder-revitalizing-supreme-youth-power-creme-50ml-1-7oz</v>
      </c>
      <c r="B2969" s="3" t="str">
        <f>HYPERLINK("https://prolisok-store.com/products/estee-lauder-revitalizing-supreme-youth-power-creme-50ml-1-7oz", "https://prolisok-store.com/products/estee-lauder-revitalizing-supreme-youth-power-creme-50ml-1-7oz")</f>
        <v>https://prolisok-store.com/products/estee-lauder-revitalizing-supreme-youth-power-creme-50ml-1-7oz</v>
      </c>
      <c r="C2969" t="s">
        <v>7039</v>
      </c>
      <c r="D2969" t="s">
        <v>7363</v>
      </c>
      <c r="E2969" s="3" t="str">
        <f>HYPERLINK("https://www.amazon.com/Estee-Lauder-Revitalizing-Supreme-Unboxed/dp/B0BXNCHK4X/ref=sr_1_3?keywords=Estee+Lauder+revitalizing+supreme+youth+power+creme+50ml%2F1.7oz&amp;qid=1695259680&amp;sr=8-3", "https://www.amazon.com/Estee-Lauder-Revitalizing-Supreme-Unboxed/dp/B0BXNCHK4X/ref=sr_1_3?keywords=Estee+Lauder+revitalizing+supreme+youth+power+creme+50ml%2F1.7oz&amp;qid=1695259680&amp;sr=8-3")</f>
        <v>https://www.amazon.com/Estee-Lauder-Revitalizing-Supreme-Unboxed/dp/B0BXNCHK4X/ref=sr_1_3?keywords=Estee+Lauder+revitalizing+supreme+youth+power+creme+50ml%2F1.7oz&amp;qid=1695259680&amp;sr=8-3</v>
      </c>
      <c r="F2969" t="s">
        <v>7364</v>
      </c>
      <c r="G2969" t="e">
        <f ca="1">IMAGE("https://prolisok-store.com/cdn/shop/products/442270_300x.jpg?v=1690900243")</f>
        <v>#NAME?</v>
      </c>
      <c r="H2969" t="e">
        <f ca="1">IMAGE("https://m.media-amazon.com/images/I/71cS+MD+vJL._AC_UL320_.jpg")</f>
        <v>#NAME?</v>
      </c>
      <c r="I2969" t="s">
        <v>7042</v>
      </c>
      <c r="J2969">
        <v>24.98</v>
      </c>
      <c r="K2969" s="2" t="s">
        <v>7365</v>
      </c>
      <c r="L2969">
        <v>4.5</v>
      </c>
      <c r="M2969">
        <v>77</v>
      </c>
      <c r="O2969" t="s">
        <v>26</v>
      </c>
      <c r="P2969" t="s">
        <v>39</v>
      </c>
      <c r="Q2969" t="s">
        <v>7044</v>
      </c>
    </row>
    <row r="2970" spans="1:17" ht="15.75" x14ac:dyDescent="0.25">
      <c r="A2970" s="3" t="str">
        <f>HYPERLINK("https://prolisok-store.com/collections/skin-care/products/estee-lauder-advanced-night-repair-synchronized-multi-recovery-complex-115ml-3-9oz", "https://prolisok-store.com/collections/skin-care/products/estee-lauder-advanced-night-repair-synchronized-multi-recovery-complex-115ml-3-9oz")</f>
        <v>https://prolisok-store.com/collections/skin-care/products/estee-lauder-advanced-night-repair-synchronized-multi-recovery-complex-115ml-3-9oz</v>
      </c>
      <c r="B2970" s="3" t="str">
        <f>HYPERLINK("https://prolisok-store.com/products/estee-lauder-advanced-night-repair-synchronized-multi-recovery-complex-115ml-3-9oz", "https://prolisok-store.com/products/estee-lauder-advanced-night-repair-synchronized-multi-recovery-complex-115ml-3-9oz")</f>
        <v>https://prolisok-store.com/products/estee-lauder-advanced-night-repair-synchronized-multi-recovery-complex-115ml-3-9oz</v>
      </c>
      <c r="C2970" t="s">
        <v>7277</v>
      </c>
      <c r="D2970" t="s">
        <v>4547</v>
      </c>
      <c r="E2970" s="3" t="str">
        <f>HYPERLINK("https://www.amazon.com/Estee-Lauder-Advanced-Synchronized-Multi-Recovery/dp/B08DHQCGH9/ref=sr_1_1?keywords=Estee+Lauder+advanced+night+repair+synchronized+multi-recovery+complex+115ml%2F3.9oz&amp;qid=1695259600&amp;sr=8-1", "https://www.amazon.com/Estee-Lauder-Advanced-Synchronized-Multi-Recovery/dp/B08DHQCGH9/ref=sr_1_1?keywords=Estee+Lauder+advanced+night+repair+synchronized+multi-recovery+complex+115ml%2F3.9oz&amp;qid=1695259600&amp;sr=8-1")</f>
        <v>https://www.amazon.com/Estee-Lauder-Advanced-Synchronized-Multi-Recovery/dp/B08DHQCGH9/ref=sr_1_1?keywords=Estee+Lauder+advanced+night+repair+synchronized+multi-recovery+complex+115ml%2F3.9oz&amp;qid=1695259600&amp;sr=8-1</v>
      </c>
      <c r="F2970" t="s">
        <v>4958</v>
      </c>
      <c r="G2970" t="e">
        <f ca="1">IMAGE("https://prolisok-store.com/cdn/shop/products/451556_300x.jpg?v=1690900262")</f>
        <v>#NAME?</v>
      </c>
      <c r="H2970" t="e">
        <f ca="1">IMAGE("https://m.media-amazon.com/images/I/511qVnU1eNL._AC_UL320_.jpg")</f>
        <v>#NAME?</v>
      </c>
      <c r="I2970" t="s">
        <v>3038</v>
      </c>
      <c r="J2970">
        <v>44.1</v>
      </c>
      <c r="K2970" s="2" t="s">
        <v>7366</v>
      </c>
      <c r="L2970">
        <v>4.5</v>
      </c>
      <c r="M2970">
        <v>767</v>
      </c>
      <c r="O2970" t="s">
        <v>26</v>
      </c>
      <c r="P2970" t="s">
        <v>39</v>
      </c>
      <c r="Q2970" t="s">
        <v>7279</v>
      </c>
    </row>
    <row r="2971" spans="1:17" ht="15.75" x14ac:dyDescent="0.25">
      <c r="A2971" s="3" t="str">
        <f>HYPERLINK("https://prolisok-store.com/collections/skin-care/products/estee-lauder-advanced-night-repair-synchronized-multi-recovery-complex-115ml-3-9oz", "https://prolisok-store.com/collections/skin-care/products/estee-lauder-advanced-night-repair-synchronized-multi-recovery-complex-115ml-3-9oz")</f>
        <v>https://prolisok-store.com/collections/skin-care/products/estee-lauder-advanced-night-repair-synchronized-multi-recovery-complex-115ml-3-9oz</v>
      </c>
      <c r="B2971" s="3" t="str">
        <f>HYPERLINK("https://prolisok-store.com/products/estee-lauder-advanced-night-repair-synchronized-multi-recovery-complex-115ml-3-9oz", "https://prolisok-store.com/products/estee-lauder-advanced-night-repair-synchronized-multi-recovery-complex-115ml-3-9oz")</f>
        <v>https://prolisok-store.com/products/estee-lauder-advanced-night-repair-synchronized-multi-recovery-complex-115ml-3-9oz</v>
      </c>
      <c r="C2971" t="s">
        <v>7277</v>
      </c>
      <c r="D2971" t="s">
        <v>4960</v>
      </c>
      <c r="E2971" s="3" t="str">
        <f>HYPERLINK("https://www.amazon.com/Advanced-Estee-Lauder-Synchronized-Multi-Recovery/dp/B08DH979F7/ref=sr_1_2?keywords=Estee+Lauder+advanced+night+repair+synchronized+multi-recovery+complex+115ml%2F3.9oz&amp;qid=1695259600&amp;sr=8-2", "https://www.amazon.com/Advanced-Estee-Lauder-Synchronized-Multi-Recovery/dp/B08DH979F7/ref=sr_1_2?keywords=Estee+Lauder+advanced+night+repair+synchronized+multi-recovery+complex+115ml%2F3.9oz&amp;qid=1695259600&amp;sr=8-2")</f>
        <v>https://www.amazon.com/Advanced-Estee-Lauder-Synchronized-Multi-Recovery/dp/B08DH979F7/ref=sr_1_2?keywords=Estee+Lauder+advanced+night+repair+synchronized+multi-recovery+complex+115ml%2F3.9oz&amp;qid=1695259600&amp;sr=8-2</v>
      </c>
      <c r="F2971" t="s">
        <v>4961</v>
      </c>
      <c r="G2971" t="e">
        <f ca="1">IMAGE("https://prolisok-store.com/cdn/shop/products/451556_300x.jpg?v=1690900262")</f>
        <v>#NAME?</v>
      </c>
      <c r="H2971" t="e">
        <f ca="1">IMAGE("https://m.media-amazon.com/images/I/61i9RaRa2gL._AC_UL320_.jpg")</f>
        <v>#NAME?</v>
      </c>
      <c r="I2971" t="s">
        <v>3038</v>
      </c>
      <c r="J2971">
        <v>43.99</v>
      </c>
      <c r="K2971" s="2" t="s">
        <v>7367</v>
      </c>
      <c r="L2971">
        <v>4.5</v>
      </c>
      <c r="M2971">
        <v>112</v>
      </c>
      <c r="O2971" t="s">
        <v>26</v>
      </c>
      <c r="P2971" t="s">
        <v>39</v>
      </c>
      <c r="Q2971" t="s">
        <v>7279</v>
      </c>
    </row>
    <row r="2972" spans="1:17" ht="15.75" x14ac:dyDescent="0.25">
      <c r="A2972" s="3" t="str">
        <f>HYPERLINK("https://prolisok-store.com/collections/skin-care/products/clinique-by-clinique-take-the-day-off-cleansing-balm-125ml-3-8oz", "https://prolisok-store.com/collections/skin-care/products/clinique-by-clinique-take-the-day-off-cleansing-balm-125ml-3-8oz")</f>
        <v>https://prolisok-store.com/collections/skin-care/products/clinique-by-clinique-take-the-day-off-cleansing-balm-125ml-3-8oz</v>
      </c>
      <c r="B2972" s="3" t="str">
        <f>HYPERLINK("https://prolisok-store.com/products/clinique-by-clinique-take-the-day-off-cleansing-balm-125ml-3-8oz", "https://prolisok-store.com/products/clinique-by-clinique-take-the-day-off-cleansing-balm-125ml-3-8oz")</f>
        <v>https://prolisok-store.com/products/clinique-by-clinique-take-the-day-off-cleansing-balm-125ml-3-8oz</v>
      </c>
      <c r="C2972" t="s">
        <v>7131</v>
      </c>
      <c r="D2972" t="s">
        <v>7368</v>
      </c>
      <c r="E2972" s="3" t="str">
        <f>HYPERLINK("https://www.amazon.com/Clinique-Take-Cleansing-Makeup-Remover/dp/B06X6NLTJX/ref=sr_1_8?keywords=Clinique+take+the+day+off+cleansing+balm+--125ml%2F3.8oz&amp;qid=1695259716&amp;sr=8-8", "https://www.amazon.com/Clinique-Take-Cleansing-Makeup-Remover/dp/B06X6NLTJX/ref=sr_1_8?keywords=Clinique+take+the+day+off+cleansing+balm+--125ml%2F3.8oz&amp;qid=1695259716&amp;sr=8-8")</f>
        <v>https://www.amazon.com/Clinique-Take-Cleansing-Makeup-Remover/dp/B06X6NLTJX/ref=sr_1_8?keywords=Clinique+take+the+day+off+cleansing+balm+--125ml%2F3.8oz&amp;qid=1695259716&amp;sr=8-8</v>
      </c>
      <c r="F2972" t="s">
        <v>7369</v>
      </c>
      <c r="G2972" t="e">
        <f ca="1">IMAGE("https://prolisok-store.com/cdn/shop/products/146923_300x.jpg?v=1688060479")</f>
        <v>#NAME?</v>
      </c>
      <c r="H2972" t="e">
        <f ca="1">IMAGE("https://m.media-amazon.com/images/I/71KtlPImW3L._AC_UL320_.jpg")</f>
        <v>#NAME?</v>
      </c>
      <c r="I2972" t="s">
        <v>6900</v>
      </c>
      <c r="J2972">
        <v>6.89</v>
      </c>
      <c r="K2972" s="2" t="s">
        <v>7370</v>
      </c>
      <c r="L2972">
        <v>4.5</v>
      </c>
      <c r="M2972">
        <v>624</v>
      </c>
      <c r="O2972" t="s">
        <v>26</v>
      </c>
      <c r="P2972" t="s">
        <v>39</v>
      </c>
      <c r="Q2972" t="s">
        <v>7135</v>
      </c>
    </row>
    <row r="2973" spans="1:17" ht="15.75" x14ac:dyDescent="0.25">
      <c r="A2973" s="3" t="str">
        <f>HYPERLINK("https://prolisok-store.com/collections/skin-care/products/estee-lauder-revitalizing-supreme-global-anti-aging-cell-power-eye-balm-15ml-0-5oz", "https://prolisok-store.com/collections/skin-care/products/estee-lauder-revitalizing-supreme-global-anti-aging-cell-power-eye-balm-15ml-0-5oz")</f>
        <v>https://prolisok-store.com/collections/skin-care/products/estee-lauder-revitalizing-supreme-global-anti-aging-cell-power-eye-balm-15ml-0-5oz</v>
      </c>
      <c r="B2973" s="3" t="str">
        <f>HYPERLINK("https://prolisok-store.com/products/estee-lauder-revitalizing-supreme-global-anti-aging-cell-power-eye-balm-15ml-0-5oz", "https://prolisok-store.com/products/estee-lauder-revitalizing-supreme-global-anti-aging-cell-power-eye-balm-15ml-0-5oz")</f>
        <v>https://prolisok-store.com/products/estee-lauder-revitalizing-supreme-global-anti-aging-cell-power-eye-balm-15ml-0-5oz</v>
      </c>
      <c r="C2973" t="s">
        <v>7078</v>
      </c>
      <c r="D2973" t="s">
        <v>7371</v>
      </c>
      <c r="E2973" s="3" t="str">
        <f>HYPERLINK("https://www.amazon.com/Estee-Lauder-Revitalizing-Supreme-Anti-Aging/dp/B0927WSV28/ref=sr_1_2?keywords=Estee+Lauder+revitalizing+supreme+global+anti-aging+cell+power+eye+balm+15ml%2F0.5oz&amp;qid=1695259693&amp;sr=8-2", "https://www.amazon.com/Estee-Lauder-Revitalizing-Supreme-Anti-Aging/dp/B0927WSV28/ref=sr_1_2?keywords=Estee+Lauder+revitalizing+supreme+global+anti-aging+cell+power+eye+balm+15ml%2F0.5oz&amp;qid=1695259693&amp;sr=8-2")</f>
        <v>https://www.amazon.com/Estee-Lauder-Revitalizing-Supreme-Anti-Aging/dp/B0927WSV28/ref=sr_1_2?keywords=Estee+Lauder+revitalizing+supreme+global+anti-aging+cell+power+eye+balm+15ml%2F0.5oz&amp;qid=1695259693&amp;sr=8-2</v>
      </c>
      <c r="F2973" t="s">
        <v>7372</v>
      </c>
      <c r="G2973" t="e">
        <f ca="1">IMAGE("https://prolisok-store.com/cdn/shop/products/302108_300x.jpg?v=1690900195")</f>
        <v>#NAME?</v>
      </c>
      <c r="H2973" t="e">
        <f ca="1">IMAGE("https://m.media-amazon.com/images/I/71D39IOEQBL._AC_UL320_.jpg")</f>
        <v>#NAME?</v>
      </c>
      <c r="I2973" t="s">
        <v>7000</v>
      </c>
      <c r="J2973">
        <v>12.99</v>
      </c>
      <c r="K2973" s="2" t="s">
        <v>7373</v>
      </c>
      <c r="L2973">
        <v>4.0999999999999996</v>
      </c>
      <c r="M2973">
        <v>24</v>
      </c>
      <c r="O2973" t="s">
        <v>26</v>
      </c>
      <c r="P2973" t="s">
        <v>39</v>
      </c>
      <c r="Q2973" t="s">
        <v>7081</v>
      </c>
    </row>
    <row r="2974" spans="1:17" ht="15.75" x14ac:dyDescent="0.25">
      <c r="A2974" s="3" t="str">
        <f>HYPERLINK("https://prolisok-store.com/collections/skin-care/products/hyaluronic-acid-intensifier-h-a", "https://prolisok-store.com/collections/skin-care/products/hyaluronic-acid-intensifier-h-a")</f>
        <v>https://prolisok-store.com/collections/skin-care/products/hyaluronic-acid-intensifier-h-a</v>
      </c>
      <c r="B2974" s="3" t="str">
        <f>HYPERLINK("https://prolisok-store.com/products/hyaluronic-acid-intensifier-h-a", "https://prolisok-store.com/products/hyaluronic-acid-intensifier-h-a")</f>
        <v>https://prolisok-store.com/products/hyaluronic-acid-intensifier-h-a</v>
      </c>
      <c r="C2974" t="s">
        <v>4996</v>
      </c>
      <c r="D2974" t="s">
        <v>5095</v>
      </c>
      <c r="E2974" s="3" t="str">
        <f>HYPERLINK("https://www.amazon.com/Hyaluronic-Serum-Paraben-Moisturizer-Horbaach/dp/B07QD1S56R/ref=sr_1_7?keywords=Hyaluronic+acid+intensifier+%28H.A.%29&amp;qid=1695259599&amp;sr=8-7", "https://www.amazon.com/Hyaluronic-Serum-Paraben-Moisturizer-Horbaach/dp/B07QD1S56R/ref=sr_1_7?keywords=Hyaluronic+acid+intensifier+%28H.A.%29&amp;qid=1695259599&amp;sr=8-7")</f>
        <v>https://www.amazon.com/Hyaluronic-Serum-Paraben-Moisturizer-Horbaach/dp/B07QD1S56R/ref=sr_1_7?keywords=Hyaluronic+acid+intensifier+%28H.A.%29&amp;qid=1695259599&amp;sr=8-7</v>
      </c>
      <c r="F2974" t="s">
        <v>5096</v>
      </c>
      <c r="G2974" t="e">
        <f ca="1">IMAGE("https://prolisok-store.com/cdn/shop/products/H-A-Intesifier-3606000436367-Main-SkinCeuticals_300x.webp?v=1681297360")</f>
        <v>#NAME?</v>
      </c>
      <c r="H2974" t="e">
        <f ca="1">IMAGE("https://m.media-amazon.com/images/I/61ndF0nUSwL._AC_UL320_.jpg")</f>
        <v>#NAME?</v>
      </c>
      <c r="I2974" t="s">
        <v>4346</v>
      </c>
      <c r="J2974">
        <v>8.98</v>
      </c>
      <c r="K2974" s="2" t="s">
        <v>2761</v>
      </c>
      <c r="L2974">
        <v>4.3</v>
      </c>
      <c r="M2974">
        <v>1205</v>
      </c>
      <c r="O2974" t="s">
        <v>26</v>
      </c>
      <c r="P2974" t="s">
        <v>2482</v>
      </c>
      <c r="Q2974" t="s">
        <v>5000</v>
      </c>
    </row>
    <row r="2975" spans="1:17" ht="15.75" x14ac:dyDescent="0.25">
      <c r="A2975" s="3" t="str">
        <f>HYPERLINK("https://prolisok-store.com/collections/skin-care/products/estee-lauder-nightwear-plus-anti-oxidant-night-detox-creme-50ml-1-7oz", "https://prolisok-store.com/collections/skin-care/products/estee-lauder-nightwear-plus-anti-oxidant-night-detox-creme-50ml-1-7oz")</f>
        <v>https://prolisok-store.com/collections/skin-care/products/estee-lauder-nightwear-plus-anti-oxidant-night-detox-creme-50ml-1-7oz</v>
      </c>
      <c r="B2975" s="3" t="str">
        <f>HYPERLINK("https://prolisok-store.com/products/estee-lauder-nightwear-plus-anti-oxidant-night-detox-creme-50ml-1-7oz", "https://prolisok-store.com/products/estee-lauder-nightwear-plus-anti-oxidant-night-detox-creme-50ml-1-7oz")</f>
        <v>https://prolisok-store.com/products/estee-lauder-nightwear-plus-anti-oxidant-night-detox-creme-50ml-1-7oz</v>
      </c>
      <c r="C2975" t="s">
        <v>7090</v>
      </c>
      <c r="D2975" t="s">
        <v>7374</v>
      </c>
      <c r="E2975" s="3" t="str">
        <f>HYPERLINK("https://www.amazon.com/Estee-Lauder-NightWear-Anti-Oxidant-Sample/dp/B01BE0WYJ4/ref=sr_1_2?keywords=Estee+Lauder+nightwear+plus+anti-oxidant+night+detox+creme+50ml%2F1.7oz&amp;qid=1695259686&amp;sr=8-2", "https://www.amazon.com/Estee-Lauder-NightWear-Anti-Oxidant-Sample/dp/B01BE0WYJ4/ref=sr_1_2?keywords=Estee+Lauder+nightwear+plus+anti-oxidant+night+detox+creme+50ml%2F1.7oz&amp;qid=1695259686&amp;sr=8-2")</f>
        <v>https://www.amazon.com/Estee-Lauder-NightWear-Anti-Oxidant-Sample/dp/B01BE0WYJ4/ref=sr_1_2?keywords=Estee+Lauder+nightwear+plus+anti-oxidant+night+detox+creme+50ml%2F1.7oz&amp;qid=1695259686&amp;sr=8-2</v>
      </c>
      <c r="F2975" t="s">
        <v>7375</v>
      </c>
      <c r="G2975" t="e">
        <f ca="1">IMAGE("https://prolisok-store.com/cdn/shop/products/290547_300x.jpg?v=1690900215")</f>
        <v>#NAME?</v>
      </c>
      <c r="H2975" t="e">
        <f ca="1">IMAGE("https://m.media-amazon.com/images/I/51w06RX4HwL._AC_UL320_.jpg")</f>
        <v>#NAME?</v>
      </c>
      <c r="I2975" t="s">
        <v>4281</v>
      </c>
      <c r="J2975">
        <v>9.99</v>
      </c>
      <c r="K2975" s="2" t="s">
        <v>7376</v>
      </c>
      <c r="L2975">
        <v>4.5</v>
      </c>
      <c r="M2975">
        <v>82</v>
      </c>
      <c r="O2975" t="s">
        <v>26</v>
      </c>
      <c r="P2975" t="s">
        <v>39</v>
      </c>
      <c r="Q2975" t="s">
        <v>7094</v>
      </c>
    </row>
    <row r="2976" spans="1:17" ht="15.75" x14ac:dyDescent="0.25">
      <c r="A2976" s="3" t="str">
        <f>HYPERLINK("https://prolisok-store.com/collections/skin-care/products/estee-lauder-micro-essence-treatment-lotion-with-bio-ferment-200ml-6-7oz", "https://prolisok-store.com/collections/skin-care/products/estee-lauder-micro-essence-treatment-lotion-with-bio-ferment-200ml-6-7oz")</f>
        <v>https://prolisok-store.com/collections/skin-care/products/estee-lauder-micro-essence-treatment-lotion-with-bio-ferment-200ml-6-7oz</v>
      </c>
      <c r="B2976" s="3" t="str">
        <f>HYPERLINK("https://prolisok-store.com/products/estee-lauder-micro-essence-treatment-lotion-with-bio-ferment-200ml-6-7oz", "https://prolisok-store.com/products/estee-lauder-micro-essence-treatment-lotion-with-bio-ferment-200ml-6-7oz")</f>
        <v>https://prolisok-store.com/products/estee-lauder-micro-essence-treatment-lotion-with-bio-ferment-200ml-6-7oz</v>
      </c>
      <c r="C2976" t="s">
        <v>7210</v>
      </c>
      <c r="D2976" t="s">
        <v>7377</v>
      </c>
      <c r="E2976" s="3" t="str">
        <f>HYPERLINK("https://www.amazon.com/Estee-Lauder-Essence-Treatment-Bio-Ferment/dp/B0C9WCTG5J/ref=sr_1_4?keywords=Estee+Lauder+micro+essence+treatment+lotion+with+bio-ferment+200ml%2F6.7oz&amp;qid=1695259593&amp;sr=8-4", "https://www.amazon.com/Estee-Lauder-Essence-Treatment-Bio-Ferment/dp/B0C9WCTG5J/ref=sr_1_4?keywords=Estee+Lauder+micro+essence+treatment+lotion+with+bio-ferment+200ml%2F6.7oz&amp;qid=1695259593&amp;sr=8-4")</f>
        <v>https://www.amazon.com/Estee-Lauder-Essence-Treatment-Bio-Ferment/dp/B0C9WCTG5J/ref=sr_1_4?keywords=Estee+Lauder+micro+essence+treatment+lotion+with+bio-ferment+200ml%2F6.7oz&amp;qid=1695259593&amp;sr=8-4</v>
      </c>
      <c r="F2976" t="s">
        <v>7378</v>
      </c>
      <c r="G2976" t="e">
        <f ca="1">IMAGE("https://prolisok-store.com/cdn/shop/products/437687_300x.jpg?v=1690900239")</f>
        <v>#NAME?</v>
      </c>
      <c r="H2976" t="e">
        <f ca="1">IMAGE("https://m.media-amazon.com/images/I/71-1IQj5oKL._AC_UL320_.jpg")</f>
        <v>#NAME?</v>
      </c>
      <c r="I2976" t="s">
        <v>7213</v>
      </c>
      <c r="J2976">
        <v>12.99</v>
      </c>
      <c r="K2976" s="2" t="s">
        <v>7379</v>
      </c>
      <c r="L2976">
        <v>5</v>
      </c>
      <c r="M2976">
        <v>1</v>
      </c>
      <c r="O2976" t="s">
        <v>26</v>
      </c>
      <c r="P2976" t="s">
        <v>39</v>
      </c>
      <c r="Q2976" t="s">
        <v>7215</v>
      </c>
    </row>
    <row r="2977" spans="1:17" ht="15.75" x14ac:dyDescent="0.25">
      <c r="A2977" s="3" t="str">
        <f>HYPERLINK("https://prolisok-store.com/collections/skin-care/products/estee-lauder-advanced-night-repair-synchronized-multi-recovery-complex-115ml-3-9oz", "https://prolisok-store.com/collections/skin-care/products/estee-lauder-advanced-night-repair-synchronized-multi-recovery-complex-115ml-3-9oz")</f>
        <v>https://prolisok-store.com/collections/skin-care/products/estee-lauder-advanced-night-repair-synchronized-multi-recovery-complex-115ml-3-9oz</v>
      </c>
      <c r="B2977" s="3" t="str">
        <f>HYPERLINK("https://prolisok-store.com/products/estee-lauder-advanced-night-repair-synchronized-multi-recovery-complex-115ml-3-9oz", "https://prolisok-store.com/products/estee-lauder-advanced-night-repair-synchronized-multi-recovery-complex-115ml-3-9oz")</f>
        <v>https://prolisok-store.com/products/estee-lauder-advanced-night-repair-synchronized-multi-recovery-complex-115ml-3-9oz</v>
      </c>
      <c r="C2977" t="s">
        <v>7277</v>
      </c>
      <c r="D2977" t="s">
        <v>5012</v>
      </c>
      <c r="E2977" s="3" t="str">
        <f>HYPERLINK("https://www.amazon.com/Estee-Lauder-Advanced-Synchronized-Multi-Recovery/dp/B08FYX198N/ref=sr_1_6?keywords=Estee+Lauder+advanced+night+repair+synchronized+multi-recovery+complex+115ml%2F3.9oz&amp;qid=1695259600&amp;sr=8-6", "https://www.amazon.com/Estee-Lauder-Advanced-Synchronized-Multi-Recovery/dp/B08FYX198N/ref=sr_1_6?keywords=Estee+Lauder+advanced+night+repair+synchronized+multi-recovery+complex+115ml%2F3.9oz&amp;qid=1695259600&amp;sr=8-6")</f>
        <v>https://www.amazon.com/Estee-Lauder-Advanced-Synchronized-Multi-Recovery/dp/B08FYX198N/ref=sr_1_6?keywords=Estee+Lauder+advanced+night+repair+synchronized+multi-recovery+complex+115ml%2F3.9oz&amp;qid=1695259600&amp;sr=8-6</v>
      </c>
      <c r="F2977" t="s">
        <v>5013</v>
      </c>
      <c r="G2977" t="e">
        <f ca="1">IMAGE("https://prolisok-store.com/cdn/shop/products/451556_300x.jpg?v=1690900262")</f>
        <v>#NAME?</v>
      </c>
      <c r="H2977" t="e">
        <f ca="1">IMAGE("https://m.media-amazon.com/images/I/71f0DsPL4sL._AC_UL320_.jpg")</f>
        <v>#NAME?</v>
      </c>
      <c r="I2977" t="s">
        <v>3038</v>
      </c>
      <c r="J2977">
        <v>16.5</v>
      </c>
      <c r="K2977" s="2" t="s">
        <v>7380</v>
      </c>
      <c r="L2977">
        <v>4.5999999999999996</v>
      </c>
      <c r="M2977">
        <v>201</v>
      </c>
      <c r="O2977" t="s">
        <v>26</v>
      </c>
      <c r="P2977" t="s">
        <v>39</v>
      </c>
      <c r="Q2977" t="s">
        <v>7279</v>
      </c>
    </row>
    <row r="2978" spans="1:17" ht="15.75" x14ac:dyDescent="0.25">
      <c r="A2978" s="3" t="str">
        <f>HYPERLINK("https://prolisok-store.com/collections/skin-care/products/la-mer-the-moisturizing-soft-lotion", "https://prolisok-store.com/collections/skin-care/products/la-mer-the-moisturizing-soft-lotion")</f>
        <v>https://prolisok-store.com/collections/skin-care/products/la-mer-the-moisturizing-soft-lotion</v>
      </c>
      <c r="B2978" s="3" t="str">
        <f>HYPERLINK("https://prolisok-store.com/products/la-mer-the-moisturizing-soft-lotion", "https://prolisok-store.com/products/la-mer-the-moisturizing-soft-lotion")</f>
        <v>https://prolisok-store.com/products/la-mer-the-moisturizing-soft-lotion</v>
      </c>
      <c r="C2978" t="s">
        <v>4503</v>
      </c>
      <c r="D2978" t="s">
        <v>5078</v>
      </c>
      <c r="E2978" s="3" t="str">
        <f>HYPERLINK("https://www.amazon.com/Mer-Moisturizing-Soft-Lotion-0-1oz/dp/B01N9OXFZP/ref=sr_1_6?keywords=La+Mer+The+Moisturizing+Soft+Lotion&amp;qid=1695259606&amp;sr=8-6", "https://www.amazon.com/Mer-Moisturizing-Soft-Lotion-0-1oz/dp/B01N9OXFZP/ref=sr_1_6?keywords=La+Mer+The+Moisturizing+Soft+Lotion&amp;qid=1695259606&amp;sr=8-6")</f>
        <v>https://www.amazon.com/Mer-Moisturizing-Soft-Lotion-0-1oz/dp/B01N9OXFZP/ref=sr_1_6?keywords=La+Mer+The+Moisturizing+Soft+Lotion&amp;qid=1695259606&amp;sr=8-6</v>
      </c>
      <c r="F2978" t="s">
        <v>5079</v>
      </c>
      <c r="G2978" t="e">
        <f ca="1">IMAGE("https://prolisok-store.com/cdn/shop/products/61uLYCnMy9L._SL1500_300x.jpg?v=1667997816")</f>
        <v>#NAME?</v>
      </c>
      <c r="H2978" t="e">
        <f ca="1">IMAGE("https://m.media-amazon.com/images/I/417GjxHLc9L._AC_UL320_.jpg")</f>
        <v>#NAME?</v>
      </c>
      <c r="I2978" t="s">
        <v>4506</v>
      </c>
      <c r="J2978">
        <v>5</v>
      </c>
      <c r="K2978" s="2" t="s">
        <v>3854</v>
      </c>
      <c r="L2978">
        <v>2.9</v>
      </c>
      <c r="M2978">
        <v>2</v>
      </c>
      <c r="O2978" t="s">
        <v>26</v>
      </c>
      <c r="P2978" t="s">
        <v>39</v>
      </c>
      <c r="Q2978" t="s">
        <v>4508</v>
      </c>
    </row>
    <row r="2979" spans="1:17" ht="15.75" x14ac:dyDescent="0.25">
      <c r="A2979" s="3" t="str">
        <f>HYPERLINK("https://prolisok-store.com/collections/skin-care/products/estee-lauder-advanced-night-repair-synchronized-multi-recovery-complex-115ml-3-9oz", "https://prolisok-store.com/collections/skin-care/products/estee-lauder-advanced-night-repair-synchronized-multi-recovery-complex-115ml-3-9oz")</f>
        <v>https://prolisok-store.com/collections/skin-care/products/estee-lauder-advanced-night-repair-synchronized-multi-recovery-complex-115ml-3-9oz</v>
      </c>
      <c r="B2979" s="3" t="str">
        <f>HYPERLINK("https://prolisok-store.com/products/estee-lauder-advanced-night-repair-synchronized-multi-recovery-complex-115ml-3-9oz", "https://prolisok-store.com/products/estee-lauder-advanced-night-repair-synchronized-multi-recovery-complex-115ml-3-9oz")</f>
        <v>https://prolisok-store.com/products/estee-lauder-advanced-night-repair-synchronized-multi-recovery-complex-115ml-3-9oz</v>
      </c>
      <c r="C2979" t="s">
        <v>7277</v>
      </c>
      <c r="D2979" t="s">
        <v>7381</v>
      </c>
      <c r="E2979" s="3" t="str">
        <f>HYPERLINK("https://www.amazon.com/Estee-Lauder-Advanced-Synchronized-Recovery/dp/B00C7CAEWI/ref=sr_1_8?keywords=Estee+Lauder+advanced+night+repair+synchronized+multi-recovery+complex+115ml%2F3.9oz&amp;qid=1695259600&amp;sr=8-8", "https://www.amazon.com/Estee-Lauder-Advanced-Synchronized-Recovery/dp/B00C7CAEWI/ref=sr_1_8?keywords=Estee+Lauder+advanced+night+repair+synchronized+multi-recovery+complex+115ml%2F3.9oz&amp;qid=1695259600&amp;sr=8-8")</f>
        <v>https://www.amazon.com/Estee-Lauder-Advanced-Synchronized-Recovery/dp/B00C7CAEWI/ref=sr_1_8?keywords=Estee+Lauder+advanced+night+repair+synchronized+multi-recovery+complex+115ml%2F3.9oz&amp;qid=1695259600&amp;sr=8-8</v>
      </c>
      <c r="F2979" t="s">
        <v>7382</v>
      </c>
      <c r="G2979" t="e">
        <f ca="1">IMAGE("https://prolisok-store.com/cdn/shop/products/451556_300x.jpg?v=1690900262")</f>
        <v>#NAME?</v>
      </c>
      <c r="H2979" t="e">
        <f ca="1">IMAGE("https://m.media-amazon.com/images/I/41gv5d72oHL._AC_UL320_.jpg")</f>
        <v>#NAME?</v>
      </c>
      <c r="I2979" t="s">
        <v>3038</v>
      </c>
      <c r="J2979">
        <v>11.25</v>
      </c>
      <c r="K2979" s="2" t="s">
        <v>7383</v>
      </c>
      <c r="L2979">
        <v>4.0999999999999996</v>
      </c>
      <c r="M2979">
        <v>30</v>
      </c>
      <c r="O2979" t="s">
        <v>26</v>
      </c>
      <c r="P2979" t="s">
        <v>39</v>
      </c>
      <c r="Q2979" t="s">
        <v>7279</v>
      </c>
    </row>
    <row r="2980" spans="1:17" ht="15.75" x14ac:dyDescent="0.25">
      <c r="A2980" s="3" t="str">
        <f>HYPERLINK("https://purlisse.com/collections/kits/products/summer-essentials-kit?variant=43004112470194", "https://purlisse.com/collections/kits/products/summer-essentials-kit?variant=43004112470194")</f>
        <v>https://purlisse.com/collections/kits/products/summer-essentials-kit?variant=43004112470194</v>
      </c>
      <c r="B2980" s="3" t="str">
        <f>HYPERLINK("https://purlisse.com/products/summer-essentials-kit", "https://purlisse.com/products/summer-essentials-kit")</f>
        <v>https://purlisse.com/products/summer-essentials-kit</v>
      </c>
      <c r="C2980" t="s">
        <v>7384</v>
      </c>
      <c r="D2980" t="s">
        <v>7385</v>
      </c>
      <c r="E2980" s="3" t="str">
        <f>HYPERLINK("https://www.amazon.com/Summer-Infant-Changing-Essentials-3-Piece/dp/B07L524XKM/ref=sr_1_2?keywords=Summer+Essentials+Kit&amp;qid=1695259754&amp;sr=8-2", "https://www.amazon.com/Summer-Infant-Changing-Essentials-3-Piece/dp/B07L524XKM/ref=sr_1_2?keywords=Summer+Essentials+Kit&amp;qid=1695259754&amp;sr=8-2")</f>
        <v>https://www.amazon.com/Summer-Infant-Changing-Essentials-3-Piece/dp/B07L524XKM/ref=sr_1_2?keywords=Summer+Essentials+Kit&amp;qid=1695259754&amp;sr=8-2</v>
      </c>
      <c r="F2980" t="s">
        <v>7386</v>
      </c>
      <c r="G2980" t="e">
        <f ca="1">IMAGE("https://purlisse.com/cdn/shop/files/Pur-Yen-030089PurlisseBag1.jpg?v=1684431154")</f>
        <v>#NAME?</v>
      </c>
      <c r="H2980" t="e">
        <f ca="1">IMAGE("https://m.media-amazon.com/images/I/81HDdXKhWzL._AC_UL320_.jpg")</f>
        <v>#NAME?</v>
      </c>
      <c r="I2980" t="s">
        <v>7387</v>
      </c>
      <c r="J2980">
        <v>39.99</v>
      </c>
      <c r="K2980" s="2" t="s">
        <v>7388</v>
      </c>
      <c r="L2980">
        <v>4.8</v>
      </c>
      <c r="M2980">
        <v>34820</v>
      </c>
      <c r="O2980" t="s">
        <v>26</v>
      </c>
      <c r="P2980" t="s">
        <v>39</v>
      </c>
      <c r="Q2980" t="s">
        <v>7389</v>
      </c>
    </row>
    <row r="2981" spans="1:17" ht="15.75" x14ac:dyDescent="0.25">
      <c r="A2981" s="3" t="str">
        <f>HYPERLINK("https://purlisse.com/collections/kits/products/holiday-perfect-glow-kit?variant=41180468871346", "https://purlisse.com/collections/kits/products/holiday-perfect-glow-kit?variant=41180468871346")</f>
        <v>https://purlisse.com/collections/kits/products/holiday-perfect-glow-kit?variant=41180468871346</v>
      </c>
      <c r="B2981" s="3" t="str">
        <f>HYPERLINK("https://purlisse.com/products/holiday-perfect-glow-kit", "https://purlisse.com/products/holiday-perfect-glow-kit")</f>
        <v>https://purlisse.com/products/holiday-perfect-glow-kit</v>
      </c>
      <c r="C2981" t="s">
        <v>7390</v>
      </c>
      <c r="D2981" t="s">
        <v>7391</v>
      </c>
      <c r="E2981" s="3" t="str">
        <f>HYPERLINK("https://www.amazon.com/Maybelline-Instant-Eraser-Primer-Perfector/dp/B0C1PLCJQP/ref=sr_1_4?keywords=Perfect+Glow+Bundle&amp;qid=1695259753&amp;sr=8-4", "https://www.amazon.com/Maybelline-Instant-Eraser-Primer-Perfector/dp/B0C1PLCJQP/ref=sr_1_4?keywords=Perfect+Glow+Bundle&amp;qid=1695259753&amp;sr=8-4")</f>
        <v>https://www.amazon.com/Maybelline-Instant-Eraser-Primer-Perfector/dp/B0C1PLCJQP/ref=sr_1_4?keywords=Perfect+Glow+Bundle&amp;qid=1695259753&amp;sr=8-4</v>
      </c>
      <c r="F2981" t="s">
        <v>7392</v>
      </c>
      <c r="G2981" t="e">
        <f ca="1">IMAGE("https://purlisse.com/cdn/shop/products/HolidayPerfectGlowKit.png?v=1658383920")</f>
        <v>#NAME?</v>
      </c>
      <c r="H2981" t="e">
        <f ca="1">IMAGE("https://m.media-amazon.com/images/I/71CfOdrrEWL._AC_UL320_.jpg")</f>
        <v>#NAME?</v>
      </c>
      <c r="I2981" t="s">
        <v>7393</v>
      </c>
      <c r="J2981">
        <v>17.46</v>
      </c>
      <c r="K2981" s="2" t="s">
        <v>7394</v>
      </c>
      <c r="L2981">
        <v>4.4000000000000004</v>
      </c>
      <c r="M2981">
        <v>64727</v>
      </c>
      <c r="O2981" t="s">
        <v>26</v>
      </c>
      <c r="P2981" t="s">
        <v>7395</v>
      </c>
      <c r="Q2981" t="s">
        <v>7396</v>
      </c>
    </row>
    <row r="2982" spans="1:17" ht="15.75" x14ac:dyDescent="0.25">
      <c r="A2982" s="3" t="str">
        <f>HYPERLINK("https://purlisse.com/collections/kits/products/summer-essentials-kit?variant=43004112470194", "https://purlisse.com/collections/kits/products/summer-essentials-kit?variant=43004112470194")</f>
        <v>https://purlisse.com/collections/kits/products/summer-essentials-kit?variant=43004112470194</v>
      </c>
      <c r="B2982" s="3" t="str">
        <f>HYPERLINK("https://purlisse.com/products/summer-essentials-kit", "https://purlisse.com/products/summer-essentials-kit")</f>
        <v>https://purlisse.com/products/summer-essentials-kit</v>
      </c>
      <c r="C2982" t="s">
        <v>7384</v>
      </c>
      <c r="D2982" t="s">
        <v>7397</v>
      </c>
      <c r="E2982" s="3" t="str">
        <f>HYPERLINK("https://www.amazon.com/Chunful-Cosmetic-Portable-Essentials-Accessories/dp/B0BP9K8RPD/ref=sr_1_3?keywords=Summer+Essentials+Kit&amp;qid=1695259754&amp;sr=8-3", "https://www.amazon.com/Chunful-Cosmetic-Portable-Essentials-Accessories/dp/B0BP9K8RPD/ref=sr_1_3?keywords=Summer+Essentials+Kit&amp;qid=1695259754&amp;sr=8-3")</f>
        <v>https://www.amazon.com/Chunful-Cosmetic-Portable-Essentials-Accessories/dp/B0BP9K8RPD/ref=sr_1_3?keywords=Summer+Essentials+Kit&amp;qid=1695259754&amp;sr=8-3</v>
      </c>
      <c r="F2982" t="s">
        <v>7398</v>
      </c>
      <c r="G2982" t="e">
        <f ca="1">IMAGE("https://purlisse.com/cdn/shop/files/Pur-Yen-030089PurlisseBag1.jpg?v=1684431154")</f>
        <v>#NAME?</v>
      </c>
      <c r="H2982" t="e">
        <f ca="1">IMAGE("https://m.media-amazon.com/images/I/81wjvRQ1lTL._AC_UL320_.jpg")</f>
        <v>#NAME?</v>
      </c>
      <c r="I2982" t="s">
        <v>7387</v>
      </c>
      <c r="J2982">
        <v>17.989999999999998</v>
      </c>
      <c r="K2982" s="2" t="s">
        <v>7399</v>
      </c>
      <c r="L2982">
        <v>4.8</v>
      </c>
      <c r="M2982">
        <v>9</v>
      </c>
      <c r="O2982" t="s">
        <v>26</v>
      </c>
      <c r="P2982" t="s">
        <v>39</v>
      </c>
      <c r="Q2982" t="s">
        <v>7389</v>
      </c>
    </row>
    <row r="2983" spans="1:17" ht="15.75" x14ac:dyDescent="0.25">
      <c r="A2983" s="3" t="str">
        <f>HYPERLINK("https://purlisse.com/collections/kits/products/the-perfect-pair?variant=42042528563378", "https://purlisse.com/collections/kits/products/the-perfect-pair?variant=42042528563378")</f>
        <v>https://purlisse.com/collections/kits/products/the-perfect-pair?variant=42042528563378</v>
      </c>
      <c r="B2983" s="3" t="str">
        <f>HYPERLINK("https://purlisse.com/products/the-perfect-pair", "https://purlisse.com/products/the-perfect-pair")</f>
        <v>https://purlisse.com/products/the-perfect-pair</v>
      </c>
      <c r="C2983" t="s">
        <v>7400</v>
      </c>
      <c r="D2983" t="s">
        <v>7401</v>
      </c>
      <c r="E2983" s="3" t="str">
        <f>HYPERLINK("https://www.amazon.com/Christmas-Cookies-Cruise-Perfect-Pairings/dp/1631122614/ref=sr_1_7?keywords=The+Perfect+Pair&amp;qid=1695259750&amp;sr=8-7", "https://www.amazon.com/Christmas-Cookies-Cruise-Perfect-Pairings/dp/1631122614/ref=sr_1_7?keywords=The+Perfect+Pair&amp;qid=1695259750&amp;sr=8-7")</f>
        <v>https://www.amazon.com/Christmas-Cookies-Cruise-Perfect-Pairings/dp/1631122614/ref=sr_1_7?keywords=The+Perfect+Pair&amp;qid=1695259750&amp;sr=8-7</v>
      </c>
      <c r="F2983" t="s">
        <v>7402</v>
      </c>
      <c r="G2983" t="e">
        <f ca="1">IMAGE("https://purlisse.com/cdn/shop/products/PG_Primer_Blush_2000px.png?v=1658383599")</f>
        <v>#NAME?</v>
      </c>
      <c r="H2983" t="e">
        <f ca="1">IMAGE("https://m.media-amazon.com/images/I/61UAlT3FVpL._AC_UY218_.jpg")</f>
        <v>#NAME?</v>
      </c>
      <c r="I2983" t="s">
        <v>6964</v>
      </c>
      <c r="J2983">
        <v>12.99</v>
      </c>
      <c r="K2983" s="2" t="s">
        <v>7403</v>
      </c>
      <c r="L2983">
        <v>4.8</v>
      </c>
      <c r="M2983">
        <v>6</v>
      </c>
      <c r="O2983" t="s">
        <v>26</v>
      </c>
      <c r="P2983" t="s">
        <v>39</v>
      </c>
      <c r="Q2983" t="s">
        <v>7404</v>
      </c>
    </row>
    <row r="2984" spans="1:17" ht="15.75" x14ac:dyDescent="0.25">
      <c r="A2984" s="3" t="str">
        <f>HYPERLINK("https://purlisse.com/collections/kits/products/the-perfect-pair?variant=42042528563378", "https://purlisse.com/collections/kits/products/the-perfect-pair?variant=42042528563378")</f>
        <v>https://purlisse.com/collections/kits/products/the-perfect-pair?variant=42042528563378</v>
      </c>
      <c r="B2984" s="3" t="str">
        <f>HYPERLINK("https://purlisse.com/products/the-perfect-pair", "https://purlisse.com/products/the-perfect-pair")</f>
        <v>https://purlisse.com/products/the-perfect-pair</v>
      </c>
      <c r="C2984" t="s">
        <v>7400</v>
      </c>
      <c r="D2984" t="s">
        <v>7405</v>
      </c>
      <c r="E2984" s="3" t="str">
        <f>HYPERLINK("https://www.amazon.com/Perfect-Pairing-Nazneen-Contractor/dp/B09VB26QVG/ref=sr_1_1?keywords=The+Perfect+Pair&amp;qid=1695259750&amp;sr=8-1", "https://www.amazon.com/Perfect-Pairing-Nazneen-Contractor/dp/B09VB26QVG/ref=sr_1_1?keywords=The+Perfect+Pair&amp;qid=1695259750&amp;sr=8-1")</f>
        <v>https://www.amazon.com/Perfect-Pairing-Nazneen-Contractor/dp/B09VB26QVG/ref=sr_1_1?keywords=The+Perfect+Pair&amp;qid=1695259750&amp;sr=8-1</v>
      </c>
      <c r="F2984" t="s">
        <v>7406</v>
      </c>
      <c r="G2984" t="e">
        <f ca="1">IMAGE("https://purlisse.com/cdn/shop/products/PG_Primer_Blush_2000px.png?v=1658383599")</f>
        <v>#NAME?</v>
      </c>
      <c r="H2984" t="e">
        <f ca="1">IMAGE("https://m.media-amazon.com/images/I/81ty4uLThhL._AC_UY218_.jpg")</f>
        <v>#NAME?</v>
      </c>
      <c r="I2984" t="s">
        <v>6964</v>
      </c>
      <c r="J2984">
        <v>5.99</v>
      </c>
      <c r="K2984" s="2" t="s">
        <v>7407</v>
      </c>
      <c r="L2984">
        <v>4.5999999999999996</v>
      </c>
      <c r="M2984">
        <v>47</v>
      </c>
      <c r="O2984" t="s">
        <v>26</v>
      </c>
      <c r="P2984" t="s">
        <v>39</v>
      </c>
      <c r="Q2984" t="s">
        <v>7404</v>
      </c>
    </row>
    <row r="2985" spans="1:17" ht="15.75" x14ac:dyDescent="0.25">
      <c r="A2985" s="3" t="str">
        <f>HYPERLINK("https://purlisse.com/collections/makeup/products/travel-ageless-glow-serum-bb-cream-spf-40?variant=41152819232946", "https://purlisse.com/collections/makeup/products/travel-ageless-glow-serum-bb-cream-spf-40?variant=41152819232946")</f>
        <v>https://purlisse.com/collections/makeup/products/travel-ageless-glow-serum-bb-cream-spf-40?variant=41152819232946</v>
      </c>
      <c r="B2985" s="3" t="str">
        <f>HYPERLINK("https://purlisse.com/products/travel-ageless-glow-serum-bb-cream-spf-40", "https://purlisse.com/products/travel-ageless-glow-serum-bb-cream-spf-40")</f>
        <v>https://purlisse.com/products/travel-ageless-glow-serum-bb-cream-spf-40</v>
      </c>
      <c r="C2985" t="s">
        <v>7408</v>
      </c>
      <c r="D2985" t="s">
        <v>7409</v>
      </c>
      <c r="E2985" s="3" t="str">
        <f>HYPERLINK("https://www.amazon.com/p%C5%ABrlisse-Flawless-Coverage-Hydrates-Collagen/dp/B0C5SND3DN/ref=sr_1_2?keywords=TRAVEL+-+Ageless+Glow+Serum+BB+Cream+SPF+40&amp;qid=1695259772&amp;sr=8-2", "https://www.amazon.com/p%C5%ABrlisse-Flawless-Coverage-Hydrates-Collagen/dp/B0C5SND3DN/ref=sr_1_2?keywords=TRAVEL+-+Ageless+Glow+Serum+BB+Cream+SPF+40&amp;qid=1695259772&amp;sr=8-2")</f>
        <v>https://www.amazon.com/p%C5%ABrlisse-Flawless-Coverage-Hydrates-Collagen/dp/B0C5SND3DN/ref=sr_1_2?keywords=TRAVEL+-+Ageless+Glow+Serum+BB+Cream+SPF+40&amp;qid=1695259772&amp;sr=8-2</v>
      </c>
      <c r="F2985" t="s">
        <v>7410</v>
      </c>
      <c r="G2985" t="e">
        <f ca="1">IMAGE("https://purlisse.com/cdn/shop/products/travel_ageless_glow.png?v=1651774355")</f>
        <v>#NAME?</v>
      </c>
      <c r="H2985" t="e">
        <f ca="1">IMAGE("https://m.media-amazon.com/images/I/71TqEet0F4L._AC_UL320_.jpg")</f>
        <v>#NAME?</v>
      </c>
      <c r="I2985" t="s">
        <v>218</v>
      </c>
      <c r="J2985">
        <v>58.92</v>
      </c>
      <c r="K2985" s="2" t="s">
        <v>7411</v>
      </c>
      <c r="L2985">
        <v>1</v>
      </c>
      <c r="M2985">
        <v>1</v>
      </c>
      <c r="O2985" t="s">
        <v>26</v>
      </c>
      <c r="P2985" t="s">
        <v>39</v>
      </c>
      <c r="Q2985" t="s">
        <v>7412</v>
      </c>
    </row>
    <row r="2986" spans="1:17" ht="15.75" x14ac:dyDescent="0.25">
      <c r="A2986" s="3" t="str">
        <f>HYPERLINK("https://purlisse.com/collections/makeup/products/travel-ageless-glow-serum-bb-cream-spf-40?variant=41152819232946", "https://purlisse.com/collections/makeup/products/travel-ageless-glow-serum-bb-cream-spf-40?variant=41152819232946")</f>
        <v>https://purlisse.com/collections/makeup/products/travel-ageless-glow-serum-bb-cream-spf-40?variant=41152819232946</v>
      </c>
      <c r="B2986" s="3" t="str">
        <f>HYPERLINK("https://purlisse.com/products/travel-ageless-glow-serum-bb-cream-spf-40", "https://purlisse.com/products/travel-ageless-glow-serum-bb-cream-spf-40")</f>
        <v>https://purlisse.com/products/travel-ageless-glow-serum-bb-cream-spf-40</v>
      </c>
      <c r="C2986" t="s">
        <v>7408</v>
      </c>
      <c r="D2986" t="s">
        <v>7413</v>
      </c>
      <c r="E2986" s="3" t="str">
        <f>HYPERLINK("https://www.amazon.com/purlisse-Ageless-Glow-Serum-Cream/dp/B09BY1SDWG/ref=sr_1_1?keywords=TRAVEL+-+Ageless+Glow+Serum+BB+Cream+SPF+40&amp;qid=1695259772&amp;sr=8-1", "https://www.amazon.com/purlisse-Ageless-Glow-Serum-Cream/dp/B09BY1SDWG/ref=sr_1_1?keywords=TRAVEL+-+Ageless+Glow+Serum+BB+Cream+SPF+40&amp;qid=1695259772&amp;sr=8-1")</f>
        <v>https://www.amazon.com/purlisse-Ageless-Glow-Serum-Cream/dp/B09BY1SDWG/ref=sr_1_1?keywords=TRAVEL+-+Ageless+Glow+Serum+BB+Cream+SPF+40&amp;qid=1695259772&amp;sr=8-1</v>
      </c>
      <c r="F2986" t="s">
        <v>7414</v>
      </c>
      <c r="G2986" t="e">
        <f ca="1">IMAGE("https://purlisse.com/cdn/shop/products/travel_ageless_glow.png?v=1651774355")</f>
        <v>#NAME?</v>
      </c>
      <c r="H2986" t="e">
        <f ca="1">IMAGE("https://m.media-amazon.com/images/I/71s23Paa5PL._AC_UL320_.jpg")</f>
        <v>#NAME?</v>
      </c>
      <c r="I2986" t="s">
        <v>218</v>
      </c>
      <c r="J2986">
        <v>39</v>
      </c>
      <c r="K2986" s="2" t="s">
        <v>7415</v>
      </c>
      <c r="L2986">
        <v>4.5999999999999996</v>
      </c>
      <c r="M2986">
        <v>1492</v>
      </c>
      <c r="O2986" t="s">
        <v>26</v>
      </c>
      <c r="P2986" t="s">
        <v>39</v>
      </c>
      <c r="Q2986" t="s">
        <v>7412</v>
      </c>
    </row>
    <row r="2987" spans="1:17" ht="15.75" x14ac:dyDescent="0.25">
      <c r="A2987" s="3" t="str">
        <f>HYPERLINK("https://purlisse.com/collections/makeup/products/travel-silk-glow-bb-base-primer", "https://purlisse.com/collections/makeup/products/travel-silk-glow-bb-base-primer")</f>
        <v>https://purlisse.com/collections/makeup/products/travel-silk-glow-bb-base-primer</v>
      </c>
      <c r="B2987" s="3" t="str">
        <f>HYPERLINK("https://purlisse.com/products/travel-silk-glow-bb-base-primer", "https://purlisse.com/products/travel-silk-glow-bb-base-primer")</f>
        <v>https://purlisse.com/products/travel-silk-glow-bb-base-primer</v>
      </c>
      <c r="C2987" t="s">
        <v>7416</v>
      </c>
      <c r="D2987" t="s">
        <v>7417</v>
      </c>
      <c r="E2987" s="3" t="str">
        <f>HYPERLINK("https://www.amazon.com/Silk-Glow-Primer-Purlisse-Beauty/dp/B08WRHRPF7/ref=sr_1_1?keywords=TRAVEL+-+Silk+Glow+BB+Base+Primer&amp;qid=1695259771&amp;sr=8-1", "https://www.amazon.com/Silk-Glow-Primer-Purlisse-Beauty/dp/B08WRHRPF7/ref=sr_1_1?keywords=TRAVEL+-+Silk+Glow+BB+Base+Primer&amp;qid=1695259771&amp;sr=8-1")</f>
        <v>https://www.amazon.com/Silk-Glow-Primer-Purlisse-Beauty/dp/B08WRHRPF7/ref=sr_1_1?keywords=TRAVEL+-+Silk+Glow+BB+Base+Primer&amp;qid=1695259771&amp;sr=8-1</v>
      </c>
      <c r="F2987" t="s">
        <v>7418</v>
      </c>
      <c r="G2987" t="e">
        <f ca="1">IMAGE("https://purlisse.com/cdn/shop/products/Travel-SilkGlowBBPrimer.png?v=1646306034")</f>
        <v>#NAME?</v>
      </c>
      <c r="H2987" t="e">
        <f ca="1">IMAGE("https://m.media-amazon.com/images/I/41EXx3Z6vwL._AC_UL320_.jpg")</f>
        <v>#NAME?</v>
      </c>
      <c r="I2987" t="s">
        <v>7419</v>
      </c>
      <c r="J2987">
        <v>28</v>
      </c>
      <c r="K2987" s="2" t="s">
        <v>7420</v>
      </c>
      <c r="L2987">
        <v>4.5999999999999996</v>
      </c>
      <c r="M2987">
        <v>268</v>
      </c>
      <c r="O2987" t="s">
        <v>26</v>
      </c>
      <c r="P2987" t="s">
        <v>39</v>
      </c>
      <c r="Q2987" t="s">
        <v>7421</v>
      </c>
    </row>
    <row r="2988" spans="1:17" ht="15.75" x14ac:dyDescent="0.25">
      <c r="A2988" s="3" t="str">
        <f>HYPERLINK("https://purlisse.com/collections/makeup/products/perfect-glow-blending-sponge", "https://purlisse.com/collections/makeup/products/perfect-glow-blending-sponge")</f>
        <v>https://purlisse.com/collections/makeup/products/perfect-glow-blending-sponge</v>
      </c>
      <c r="B2988" s="3" t="str">
        <f>HYPERLINK("https://purlisse.com/products/perfect-glow-blending-sponge", "https://purlisse.com/products/perfect-glow-blending-sponge")</f>
        <v>https://purlisse.com/products/perfect-glow-blending-sponge</v>
      </c>
      <c r="C2988" t="s">
        <v>7422</v>
      </c>
      <c r="D2988" t="s">
        <v>7423</v>
      </c>
      <c r="E2988" s="3" t="str">
        <f>HYPERLINK("https://www.amazon.com/Marshmallow-Foundation-Concealer-Flawless-Airbrush/dp/B0BG5N7HDH/ref=sr_1_1?keywords=Perfect+Glow+Blending+Sponge&amp;qid=1695259767&amp;sr=8-1", "https://www.amazon.com/Marshmallow-Foundation-Concealer-Flawless-Airbrush/dp/B0BG5N7HDH/ref=sr_1_1?keywords=Perfect+Glow+Blending+Sponge&amp;qid=1695259767&amp;sr=8-1")</f>
        <v>https://www.amazon.com/Marshmallow-Foundation-Concealer-Flawless-Airbrush/dp/B0BG5N7HDH/ref=sr_1_1?keywords=Perfect+Glow+Blending+Sponge&amp;qid=1695259767&amp;sr=8-1</v>
      </c>
      <c r="F2988" t="s">
        <v>7424</v>
      </c>
      <c r="G2988" t="e">
        <f ca="1">IMAGE("https://purlisse.com/cdn/shop/products/Purlisse_Sopnge.png?v=1649290111")</f>
        <v>#NAME?</v>
      </c>
      <c r="H2988" t="e">
        <f ca="1">IMAGE("https://m.media-amazon.com/images/I/71neHI39bPL._AC_UL320_.jpg")</f>
        <v>#NAME?</v>
      </c>
      <c r="I2988" t="s">
        <v>7419</v>
      </c>
      <c r="J2988">
        <v>24</v>
      </c>
      <c r="K2988" s="2" t="s">
        <v>5284</v>
      </c>
      <c r="L2988">
        <v>4.7</v>
      </c>
      <c r="M2988">
        <v>17</v>
      </c>
      <c r="O2988" t="s">
        <v>26</v>
      </c>
      <c r="P2988" t="s">
        <v>39</v>
      </c>
      <c r="Q2988" t="s">
        <v>7425</v>
      </c>
    </row>
    <row r="2989" spans="1:17" ht="15.75" x14ac:dyDescent="0.25">
      <c r="A2989" s="3" t="str">
        <f>HYPERLINK("https://purlisse.com/collections/makeup/products/ageless-glow-serum-bb-cream-spf-40?variant=40415649562802", "https://purlisse.com/collections/makeup/products/ageless-glow-serum-bb-cream-spf-40?variant=40415649562802")</f>
        <v>https://purlisse.com/collections/makeup/products/ageless-glow-serum-bb-cream-spf-40?variant=40415649562802</v>
      </c>
      <c r="B2989" s="3" t="str">
        <f>HYPERLINK("https://purlisse.com/products/ageless-glow-serum-bb-cream-spf-40", "https://purlisse.com/products/ageless-glow-serum-bb-cream-spf-40")</f>
        <v>https://purlisse.com/products/ageless-glow-serum-bb-cream-spf-40</v>
      </c>
      <c r="C2989" t="s">
        <v>7426</v>
      </c>
      <c r="D2989" t="s">
        <v>7409</v>
      </c>
      <c r="E2989" s="3" t="str">
        <f>HYPERLINK("https://www.amazon.com/p%C5%ABrlisse-Flawless-Coverage-Hydrates-Collagen/dp/B0C5SND3DN/ref=sr_1_7?keywords=Ageless+Glow+Serum+BB+Cream+SPF+40&amp;qid=1695259781&amp;sr=8-7", "https://www.amazon.com/p%C5%ABrlisse-Flawless-Coverage-Hydrates-Collagen/dp/B0C5SND3DN/ref=sr_1_7?keywords=Ageless+Glow+Serum+BB+Cream+SPF+40&amp;qid=1695259781&amp;sr=8-7")</f>
        <v>https://www.amazon.com/p%C5%ABrlisse-Flawless-Coverage-Hydrates-Collagen/dp/B0C5SND3DN/ref=sr_1_7?keywords=Ageless+Glow+Serum+BB+Cream+SPF+40&amp;qid=1695259781&amp;sr=8-7</v>
      </c>
      <c r="F2989" t="s">
        <v>7410</v>
      </c>
      <c r="G2989" t="e">
        <f ca="1">IMAGE("https://purlisse.com/cdn/shop/files/Untitleddesign_3.png?v=1686863430")</f>
        <v>#NAME?</v>
      </c>
      <c r="H2989" t="e">
        <f ca="1">IMAGE("https://m.media-amazon.com/images/I/71TqEet0F4L._AC_UL320_.jpg")</f>
        <v>#NAME?</v>
      </c>
      <c r="I2989" t="s">
        <v>177</v>
      </c>
      <c r="J2989">
        <v>58.92</v>
      </c>
      <c r="K2989" s="2" t="s">
        <v>7427</v>
      </c>
      <c r="L2989">
        <v>1</v>
      </c>
      <c r="M2989">
        <v>1</v>
      </c>
      <c r="O2989" t="s">
        <v>26</v>
      </c>
      <c r="P2989" t="s">
        <v>39</v>
      </c>
      <c r="Q2989" t="s">
        <v>7428</v>
      </c>
    </row>
    <row r="2990" spans="1:17" ht="15.75" x14ac:dyDescent="0.25">
      <c r="A2990" s="3" t="str">
        <f>HYPERLINK("https://purlisse.com/collections/makeup/products/perfect-glow-bb-concealer-1?variant=41799007994034", "https://purlisse.com/collections/makeup/products/perfect-glow-bb-concealer-1?variant=41799007994034")</f>
        <v>https://purlisse.com/collections/makeup/products/perfect-glow-bb-concealer-1?variant=41799007994034</v>
      </c>
      <c r="B2990" s="3" t="str">
        <f>HYPERLINK("https://purlisse.com/products/perfect-glow-bb-concealer-1", "https://purlisse.com/products/perfect-glow-bb-concealer-1")</f>
        <v>https://purlisse.com/products/perfect-glow-bb-concealer-1</v>
      </c>
      <c r="C2990" t="s">
        <v>7429</v>
      </c>
      <c r="D2990" t="s">
        <v>7430</v>
      </c>
      <c r="E2990" s="3" t="str">
        <f>HYPERLINK("https://www.amazon.com/Purlisse-Tinted-Moist-Cream-Light/dp/B01M9FG3PS/ref=sr_1_1?keywords=Perfect+Glow+BB+Concealer&amp;qid=1695259768&amp;sr=8-1", "https://www.amazon.com/Purlisse-Tinted-Moist-Cream-Light/dp/B01M9FG3PS/ref=sr_1_1?keywords=Perfect+Glow+BB+Concealer&amp;qid=1695259768&amp;sr=8-1")</f>
        <v>https://www.amazon.com/Purlisse-Tinted-Moist-Cream-Light/dp/B01M9FG3PS/ref=sr_1_1?keywords=Perfect+Glow+BB+Concealer&amp;qid=1695259768&amp;sr=8-1</v>
      </c>
      <c r="F2990" t="s">
        <v>7431</v>
      </c>
      <c r="G2990" t="e">
        <f ca="1">IMAGE("https://purlisse.com/cdn/shop/products/BBconcealer_CutOut_Front_2000px.png?v=1652421240")</f>
        <v>#NAME?</v>
      </c>
      <c r="H2990" t="e">
        <f ca="1">IMAGE("https://m.media-amazon.com/images/I/71yJjyVX2ML._AC_UL320_.jpg")</f>
        <v>#NAME?</v>
      </c>
      <c r="I2990" t="s">
        <v>3621</v>
      </c>
      <c r="J2990">
        <v>36</v>
      </c>
      <c r="K2990" s="2" t="s">
        <v>7432</v>
      </c>
      <c r="L2990">
        <v>4.5999999999999996</v>
      </c>
      <c r="M2990">
        <v>4849</v>
      </c>
      <c r="O2990" t="s">
        <v>26</v>
      </c>
      <c r="P2990" t="s">
        <v>39</v>
      </c>
      <c r="Q2990" t="s">
        <v>7433</v>
      </c>
    </row>
    <row r="2991" spans="1:17" ht="15.75" x14ac:dyDescent="0.25">
      <c r="A2991" s="3" t="str">
        <f>HYPERLINK("https://purlisse.com/collections/makeup/products/perfect-glow-bb-cream-spf-30?variant=49797096335", "https://purlisse.com/collections/makeup/products/perfect-glow-bb-cream-spf-30?variant=49797096335")</f>
        <v>https://purlisse.com/collections/makeup/products/perfect-glow-bb-cream-spf-30?variant=49797096335</v>
      </c>
      <c r="B2991" s="3" t="str">
        <f>HYPERLINK("https://purlisse.com/products/perfect-glow-bb-cream-spf-30", "https://purlisse.com/products/perfect-glow-bb-cream-spf-30")</f>
        <v>https://purlisse.com/products/perfect-glow-bb-cream-spf-30</v>
      </c>
      <c r="C2991" t="s">
        <v>7434</v>
      </c>
      <c r="D2991" t="s">
        <v>7435</v>
      </c>
      <c r="E2991" s="3" t="str">
        <f>HYPERLINK("https://www.amazon.com/Juice-Beauty-Stem-Cellular-Cream/dp/B00B1IFMH6/ref=sr_1_5?keywords=Perfect+Glow+BB+Cream+SPF+30&amp;qid=1695259767&amp;sr=8-5", "https://www.amazon.com/Juice-Beauty-Stem-Cellular-Cream/dp/B00B1IFMH6/ref=sr_1_5?keywords=Perfect+Glow+BB+Cream+SPF+30&amp;qid=1695259767&amp;sr=8-5")</f>
        <v>https://www.amazon.com/Juice-Beauty-Stem-Cellular-Cream/dp/B00B1IFMH6/ref=sr_1_5?keywords=Perfect+Glow+BB+Cream+SPF+30&amp;qid=1695259767&amp;sr=8-5</v>
      </c>
      <c r="F2991" t="s">
        <v>7436</v>
      </c>
      <c r="G2991" t="e">
        <f ca="1">IMAGE("https://purlisse.com/cdn/shop/products/Purlisse_0011.png?v=1651732643")</f>
        <v>#NAME?</v>
      </c>
      <c r="H2991" t="e">
        <f ca="1">IMAGE("https://m.media-amazon.com/images/I/61SOj-KofML._AC_UL320_.jpg")</f>
        <v>#NAME?</v>
      </c>
      <c r="I2991" t="s">
        <v>7437</v>
      </c>
      <c r="J2991">
        <v>39.5</v>
      </c>
      <c r="K2991" s="2" t="s">
        <v>7438</v>
      </c>
      <c r="L2991">
        <v>4.3</v>
      </c>
      <c r="M2991">
        <v>243</v>
      </c>
      <c r="O2991" t="s">
        <v>26</v>
      </c>
      <c r="P2991" t="s">
        <v>39</v>
      </c>
      <c r="Q2991" t="s">
        <v>7439</v>
      </c>
    </row>
    <row r="2992" spans="1:17" ht="15.75" x14ac:dyDescent="0.25">
      <c r="A2992" s="3" t="str">
        <f>HYPERLINK("https://purlisse.com/collections/makeup/products/perfect-glow-bb-cream-spf-30?variant=49797096335", "https://purlisse.com/collections/makeup/products/perfect-glow-bb-cream-spf-30?variant=49797096335")</f>
        <v>https://purlisse.com/collections/makeup/products/perfect-glow-bb-cream-spf-30?variant=49797096335</v>
      </c>
      <c r="B2992" s="3" t="str">
        <f>HYPERLINK("https://purlisse.com/products/perfect-glow-bb-cream-spf-30", "https://purlisse.com/products/perfect-glow-bb-cream-spf-30")</f>
        <v>https://purlisse.com/products/perfect-glow-bb-cream-spf-30</v>
      </c>
      <c r="C2992" t="s">
        <v>7434</v>
      </c>
      <c r="D2992" t="s">
        <v>7440</v>
      </c>
      <c r="E2992" s="3" t="str">
        <f>HYPERLINK("https://www.amazon.com/Radiant-Illuminating-Cream-SPF30-Medium/dp/B08FRT8JK6/ref=sr_1_2?keywords=Perfect+Glow+BB+Cream+SPF+30&amp;qid=1695259767&amp;sr=8-2", "https://www.amazon.com/Radiant-Illuminating-Cream-SPF30-Medium/dp/B08FRT8JK6/ref=sr_1_2?keywords=Perfect+Glow+BB+Cream+SPF+30&amp;qid=1695259767&amp;sr=8-2")</f>
        <v>https://www.amazon.com/Radiant-Illuminating-Cream-SPF30-Medium/dp/B08FRT8JK6/ref=sr_1_2?keywords=Perfect+Glow+BB+Cream+SPF+30&amp;qid=1695259767&amp;sr=8-2</v>
      </c>
      <c r="F2992" t="s">
        <v>7441</v>
      </c>
      <c r="G2992" t="e">
        <f ca="1">IMAGE("https://purlisse.com/cdn/shop/products/Purlisse_0011.png?v=1651732643")</f>
        <v>#NAME?</v>
      </c>
      <c r="H2992" t="e">
        <f ca="1">IMAGE("https://m.media-amazon.com/images/I/51E8UwBkBIL._AC_UL320_.jpg")</f>
        <v>#NAME?</v>
      </c>
      <c r="I2992" t="s">
        <v>7437</v>
      </c>
      <c r="J2992">
        <v>37</v>
      </c>
      <c r="K2992" s="2" t="s">
        <v>7442</v>
      </c>
      <c r="L2992">
        <v>4.7</v>
      </c>
      <c r="M2992">
        <v>1681</v>
      </c>
      <c r="O2992" t="s">
        <v>26</v>
      </c>
      <c r="P2992" t="s">
        <v>39</v>
      </c>
      <c r="Q2992" t="s">
        <v>7439</v>
      </c>
    </row>
    <row r="2993" spans="1:17" ht="15.75" x14ac:dyDescent="0.25">
      <c r="A2993" s="3" t="str">
        <f>HYPERLINK("https://purlisse.com/collections/makeup/products/radiant-glow-illuminating-bb-cream-spf-30?variant=31609786368058", "https://purlisse.com/collections/makeup/products/radiant-glow-illuminating-bb-cream-spf-30?variant=31609786368058")</f>
        <v>https://purlisse.com/collections/makeup/products/radiant-glow-illuminating-bb-cream-spf-30?variant=31609786368058</v>
      </c>
      <c r="B2993" s="3" t="str">
        <f>HYPERLINK("https://purlisse.com/products/radiant-glow-illuminating-bb-cream-spf-30", "https://purlisse.com/products/radiant-glow-illuminating-bb-cream-spf-30")</f>
        <v>https://purlisse.com/products/radiant-glow-illuminating-bb-cream-spf-30</v>
      </c>
      <c r="C2993" t="s">
        <v>7443</v>
      </c>
      <c r="D2993" t="s">
        <v>7440</v>
      </c>
      <c r="E2993" s="3" t="str">
        <f>HYPERLINK("https://www.amazon.com/Radiant-Illuminating-Cream-SPF30-Medium/dp/B08FRT8JK6/ref=sr_1_1?keywords=Radiant+Glow+Illuminating+BB+Cream+SPF+30&amp;qid=1695259767&amp;sr=8-1", "https://www.amazon.com/Radiant-Illuminating-Cream-SPF30-Medium/dp/B08FRT8JK6/ref=sr_1_1?keywords=Radiant+Glow+Illuminating+BB+Cream+SPF+30&amp;qid=1695259767&amp;sr=8-1")</f>
        <v>https://www.amazon.com/Radiant-Illuminating-Cream-SPF30-Medium/dp/B08FRT8JK6/ref=sr_1_1?keywords=Radiant+Glow+Illuminating+BB+Cream+SPF+30&amp;qid=1695259767&amp;sr=8-1</v>
      </c>
      <c r="F2993" t="s">
        <v>7441</v>
      </c>
      <c r="G2993" t="e">
        <f ca="1">IMAGE("https://purlisse.com/cdn/shop/products/IlluminatingBBCream_2400pxcopy_67b533eb-6cb4-481d-beaa-bbc0580ce739.png?v=1661979745")</f>
        <v>#NAME?</v>
      </c>
      <c r="H2993" t="e">
        <f ca="1">IMAGE("https://m.media-amazon.com/images/I/51E8UwBkBIL._AC_UL320_.jpg")</f>
        <v>#NAME?</v>
      </c>
      <c r="I2993" t="s">
        <v>4013</v>
      </c>
      <c r="J2993">
        <v>37</v>
      </c>
      <c r="K2993" s="2" t="s">
        <v>3459</v>
      </c>
      <c r="L2993">
        <v>4.7</v>
      </c>
      <c r="M2993">
        <v>1681</v>
      </c>
      <c r="O2993" t="s">
        <v>26</v>
      </c>
      <c r="P2993" t="s">
        <v>4013</v>
      </c>
      <c r="Q2993" t="s">
        <v>7444</v>
      </c>
    </row>
    <row r="2994" spans="1:17" ht="15.75" x14ac:dyDescent="0.25">
      <c r="A2994" s="3" t="str">
        <f>HYPERLINK("https://purlisse.com/collections/makeup/products/ageless-glow-serum-bb-cream-spf-40?variant=40415649562802", "https://purlisse.com/collections/makeup/products/ageless-glow-serum-bb-cream-spf-40?variant=40415649562802")</f>
        <v>https://purlisse.com/collections/makeup/products/ageless-glow-serum-bb-cream-spf-40?variant=40415649562802</v>
      </c>
      <c r="B2994" s="3" t="str">
        <f>HYPERLINK("https://purlisse.com/products/ageless-glow-serum-bb-cream-spf-40", "https://purlisse.com/products/ageless-glow-serum-bb-cream-spf-40")</f>
        <v>https://purlisse.com/products/ageless-glow-serum-bb-cream-spf-40</v>
      </c>
      <c r="C2994" t="s">
        <v>7426</v>
      </c>
      <c r="D2994" t="s">
        <v>7445</v>
      </c>
      <c r="E2994" s="3"/>
      <c r="F2994" t="s">
        <v>7446</v>
      </c>
      <c r="G2994" t="e">
        <f ca="1">IMAGE("https://purlisse.com/cdn/shop/files/Untitleddesign_3.png?v=1686863430")</f>
        <v>#NAME?</v>
      </c>
      <c r="H2994" t="e">
        <f ca="1">IMAGE("https://m.media-amazon.com/images/I/71JfCG0zJfL._AC_UL320_.jpg")</f>
        <v>#NAME?</v>
      </c>
      <c r="I2994" t="s">
        <v>177</v>
      </c>
      <c r="J2994">
        <v>39</v>
      </c>
      <c r="K2994" s="2" t="s">
        <v>3459</v>
      </c>
      <c r="L2994">
        <v>4.5999999999999996</v>
      </c>
      <c r="M2994">
        <v>1492</v>
      </c>
      <c r="O2994" t="s">
        <v>26</v>
      </c>
      <c r="P2994" t="s">
        <v>39</v>
      </c>
      <c r="Q2994" t="s">
        <v>7428</v>
      </c>
    </row>
    <row r="2995" spans="1:17" ht="15.75" x14ac:dyDescent="0.25">
      <c r="A2995" s="3" t="str">
        <f>HYPERLINK("https://purlisse.com/collections/makeup/products/ageless-glow-serum-bb-cream-spf-40?variant=40415649562802", "https://purlisse.com/collections/makeup/products/ageless-glow-serum-bb-cream-spf-40?variant=40415649562802")</f>
        <v>https://purlisse.com/collections/makeup/products/ageless-glow-serum-bb-cream-spf-40?variant=40415649562802</v>
      </c>
      <c r="B2995" s="3" t="str">
        <f>HYPERLINK("https://purlisse.com/products/ageless-glow-serum-bb-cream-spf-40", "https://purlisse.com/products/ageless-glow-serum-bb-cream-spf-40")</f>
        <v>https://purlisse.com/products/ageless-glow-serum-bb-cream-spf-40</v>
      </c>
      <c r="C2995" t="s">
        <v>7426</v>
      </c>
      <c r="D2995" t="s">
        <v>7447</v>
      </c>
      <c r="E2995" s="3" t="str">
        <f>HYPERLINK("https://www.amazon.com/purlisse-Ageless-Glow-Serum-Cream/dp/B09BY98RD5/ref=sr_1_5?keywords=Ageless+Glow+Serum+BB+Cream+SPF+40&amp;qid=1695259781&amp;sr=8-5", "https://www.amazon.com/purlisse-Ageless-Glow-Serum-Cream/dp/B09BY98RD5/ref=sr_1_5?keywords=Ageless+Glow+Serum+BB+Cream+SPF+40&amp;qid=1695259781&amp;sr=8-5")</f>
        <v>https://www.amazon.com/purlisse-Ageless-Glow-Serum-Cream/dp/B09BY98RD5/ref=sr_1_5?keywords=Ageless+Glow+Serum+BB+Cream+SPF+40&amp;qid=1695259781&amp;sr=8-5</v>
      </c>
      <c r="F2995" t="s">
        <v>7448</v>
      </c>
      <c r="G2995" t="e">
        <f ca="1">IMAGE("https://purlisse.com/cdn/shop/files/Untitleddesign_3.png?v=1686863430")</f>
        <v>#NAME?</v>
      </c>
      <c r="H2995" t="e">
        <f ca="1">IMAGE("https://m.media-amazon.com/images/I/71O1aFiaG4L._AC_UL320_.jpg")</f>
        <v>#NAME?</v>
      </c>
      <c r="I2995" t="s">
        <v>177</v>
      </c>
      <c r="J2995">
        <v>39</v>
      </c>
      <c r="K2995" s="2" t="s">
        <v>3459</v>
      </c>
      <c r="L2995">
        <v>4.5999999999999996</v>
      </c>
      <c r="M2995">
        <v>1492</v>
      </c>
      <c r="O2995" t="s">
        <v>26</v>
      </c>
      <c r="P2995" t="s">
        <v>39</v>
      </c>
      <c r="Q2995" t="s">
        <v>7428</v>
      </c>
    </row>
    <row r="2996" spans="1:17" ht="15.75" x14ac:dyDescent="0.25">
      <c r="A2996" s="3" t="str">
        <f>HYPERLINK("https://purlisse.com/collections/makeup/products/ageless-glow-serum-bb-cream-spf-40?variant=40415649562802", "https://purlisse.com/collections/makeup/products/ageless-glow-serum-bb-cream-spf-40?variant=40415649562802")</f>
        <v>https://purlisse.com/collections/makeup/products/ageless-glow-serum-bb-cream-spf-40?variant=40415649562802</v>
      </c>
      <c r="B2996" s="3" t="str">
        <f>HYPERLINK("https://purlisse.com/products/ageless-glow-serum-bb-cream-spf-40", "https://purlisse.com/products/ageless-glow-serum-bb-cream-spf-40")</f>
        <v>https://purlisse.com/products/ageless-glow-serum-bb-cream-spf-40</v>
      </c>
      <c r="C2996" t="s">
        <v>7426</v>
      </c>
      <c r="D2996" t="s">
        <v>7447</v>
      </c>
      <c r="E2996" s="3"/>
      <c r="F2996" t="s">
        <v>7448</v>
      </c>
      <c r="G2996" t="e">
        <f ca="1">IMAGE("https://purlisse.com/cdn/shop/files/Untitleddesign_3.png?v=1686863430")</f>
        <v>#NAME?</v>
      </c>
      <c r="H2996" t="e">
        <f ca="1">IMAGE("https://m.media-amazon.com/images/I/71O1aFiaG4L._AC_UL320_.jpg")</f>
        <v>#NAME?</v>
      </c>
      <c r="I2996" t="s">
        <v>177</v>
      </c>
      <c r="J2996">
        <v>39</v>
      </c>
      <c r="K2996" s="2" t="s">
        <v>3459</v>
      </c>
      <c r="L2996">
        <v>4.5999999999999996</v>
      </c>
      <c r="M2996">
        <v>1492</v>
      </c>
      <c r="O2996" t="s">
        <v>26</v>
      </c>
      <c r="P2996" t="s">
        <v>39</v>
      </c>
      <c r="Q2996" t="s">
        <v>7428</v>
      </c>
    </row>
    <row r="2997" spans="1:17" ht="15.75" x14ac:dyDescent="0.25">
      <c r="A2997" s="3" t="str">
        <f>HYPERLINK("https://purlisse.com/collections/makeup/products/perfect-glow-bb-blush?variant=37892451696818", "https://purlisse.com/collections/makeup/products/perfect-glow-bb-blush?variant=37892451696818")</f>
        <v>https://purlisse.com/collections/makeup/products/perfect-glow-bb-blush?variant=37892451696818</v>
      </c>
      <c r="B2997" s="3" t="str">
        <f>HYPERLINK("https://purlisse.com/products/perfect-glow-bb-blush", "https://purlisse.com/products/perfect-glow-bb-blush")</f>
        <v>https://purlisse.com/products/perfect-glow-bb-blush</v>
      </c>
      <c r="C2997" t="s">
        <v>7449</v>
      </c>
      <c r="D2997" t="s">
        <v>7450</v>
      </c>
      <c r="E2997" s="3" t="str">
        <f>HYPERLINK("https://www.amazon.com/purlisse-Blush-Glow-Cheek-Color/dp/B08WRW968V/ref=sr_1_5?keywords=Blush+Glow+BB+Cheek+Color&amp;qid=1695259797&amp;sr=8-5", "https://www.amazon.com/purlisse-Blush-Glow-Cheek-Color/dp/B08WRW968V/ref=sr_1_5?keywords=Blush+Glow+BB+Cheek+Color&amp;qid=1695259797&amp;sr=8-5")</f>
        <v>https://www.amazon.com/purlisse-Blush-Glow-Cheek-Color/dp/B08WRW968V/ref=sr_1_5?keywords=Blush+Glow+BB+Cheek+Color&amp;qid=1695259797&amp;sr=8-5</v>
      </c>
      <c r="F2997" t="s">
        <v>7451</v>
      </c>
      <c r="G2997" t="e">
        <f ca="1">IMAGE("https://purlisse.com/cdn/shop/products/SweetRose.png?v=1667392390")</f>
        <v>#NAME?</v>
      </c>
      <c r="H2997" t="e">
        <f ca="1">IMAGE("https://m.media-amazon.com/images/I/51wRUG3pENL._AC_UL320_.jpg")</f>
        <v>#NAME?</v>
      </c>
      <c r="I2997" t="s">
        <v>3890</v>
      </c>
      <c r="J2997">
        <v>18</v>
      </c>
      <c r="K2997" s="2" t="s">
        <v>3459</v>
      </c>
      <c r="L2997">
        <v>4.3</v>
      </c>
      <c r="M2997">
        <v>253</v>
      </c>
      <c r="O2997" t="s">
        <v>26</v>
      </c>
      <c r="P2997" t="s">
        <v>39</v>
      </c>
      <c r="Q2997" t="s">
        <v>7452</v>
      </c>
    </row>
    <row r="2998" spans="1:17" ht="15.75" x14ac:dyDescent="0.25">
      <c r="A2998" s="3" t="str">
        <f>HYPERLINK("https://purlisse.com/collections/makeup/products/perfect-glow-bb-cream-spf-30?variant=49797096335", "https://purlisse.com/collections/makeup/products/perfect-glow-bb-cream-spf-30?variant=49797096335")</f>
        <v>https://purlisse.com/collections/makeup/products/perfect-glow-bb-cream-spf-30?variant=49797096335</v>
      </c>
      <c r="B2998" s="3" t="str">
        <f>HYPERLINK("https://purlisse.com/products/perfect-glow-bb-cream-spf-30", "https://purlisse.com/products/perfect-glow-bb-cream-spf-30")</f>
        <v>https://purlisse.com/products/perfect-glow-bb-cream-spf-30</v>
      </c>
      <c r="C2998" t="s">
        <v>7434</v>
      </c>
      <c r="D2998" t="s">
        <v>7453</v>
      </c>
      <c r="E2998" s="3" t="str">
        <f>HYPERLINK("https://www.amazon.com/purlisse-Perfect-Glow-Cream-SPF/dp/B07KWCGFS6/ref=sr_1_1?keywords=Perfect+Glow+BB+Cream+SPF+30&amp;qid=1695259767&amp;sr=8-1", "https://www.amazon.com/purlisse-Perfect-Glow-Cream-SPF/dp/B07KWCGFS6/ref=sr_1_1?keywords=Perfect+Glow+BB+Cream+SPF+30&amp;qid=1695259767&amp;sr=8-1")</f>
        <v>https://www.amazon.com/purlisse-Perfect-Glow-Cream-SPF/dp/B07KWCGFS6/ref=sr_1_1?keywords=Perfect+Glow+BB+Cream+SPF+30&amp;qid=1695259767&amp;sr=8-1</v>
      </c>
      <c r="F2998" t="s">
        <v>7454</v>
      </c>
      <c r="G2998" t="e">
        <f ca="1">IMAGE("https://purlisse.com/cdn/shop/products/Purlisse_0011.png?v=1651732643")</f>
        <v>#NAME?</v>
      </c>
      <c r="H2998" t="e">
        <f ca="1">IMAGE("https://m.media-amazon.com/images/I/71LNVB16q5L._AC_UL320_.jpg")</f>
        <v>#NAME?</v>
      </c>
      <c r="I2998" t="s">
        <v>7437</v>
      </c>
      <c r="J2998">
        <v>36</v>
      </c>
      <c r="K2998" s="2" t="s">
        <v>3459</v>
      </c>
      <c r="L2998">
        <v>4.5999999999999996</v>
      </c>
      <c r="M2998">
        <v>4849</v>
      </c>
      <c r="O2998" t="s">
        <v>26</v>
      </c>
      <c r="P2998" t="s">
        <v>39</v>
      </c>
      <c r="Q2998" t="s">
        <v>7439</v>
      </c>
    </row>
    <row r="2999" spans="1:17" ht="15.75" x14ac:dyDescent="0.25">
      <c r="A2999" s="3" t="str">
        <f>HYPERLINK("https://purlisse.com/collections/makeup/products/youth-glow-vitamin-c-cc-cream-spf-50?variant=31929102237754", "https://purlisse.com/collections/makeup/products/youth-glow-vitamin-c-cc-cream-spf-50?variant=31929102237754")</f>
        <v>https://purlisse.com/collections/makeup/products/youth-glow-vitamin-c-cc-cream-spf-50?variant=31929102237754</v>
      </c>
      <c r="B2999" s="3" t="str">
        <f>HYPERLINK("https://purlisse.com/products/youth-glow-vitamin-c-cc-cream-spf-50", "https://purlisse.com/products/youth-glow-vitamin-c-cc-cream-spf-50")</f>
        <v>https://purlisse.com/products/youth-glow-vitamin-c-cc-cream-spf-50</v>
      </c>
      <c r="C2999" t="s">
        <v>7455</v>
      </c>
      <c r="D2999" t="s">
        <v>7456</v>
      </c>
      <c r="E2999" s="3" t="str">
        <f>HYPERLINK("https://www.amazon.com/Youth-Glow-VITAMIN-CREAM-Medium/dp/B08FSSC5N8/ref=sr_1_1?keywords=Youth+Glow+Vitamin+C+CC+Cream+SPF+50&amp;qid=1695259768&amp;sr=8-1", "https://www.amazon.com/Youth-Glow-VITAMIN-CREAM-Medium/dp/B08FSSC5N8/ref=sr_1_1?keywords=Youth+Glow+Vitamin+C+CC+Cream+SPF+50&amp;qid=1695259768&amp;sr=8-1")</f>
        <v>https://www.amazon.com/Youth-Glow-VITAMIN-CREAM-Medium/dp/B08FSSC5N8/ref=sr_1_1?keywords=Youth+Glow+Vitamin+C+CC+Cream+SPF+50&amp;qid=1695259768&amp;sr=8-1</v>
      </c>
      <c r="F2999" t="s">
        <v>7457</v>
      </c>
      <c r="G2999" t="e">
        <f ca="1">IMAGE("https://purlisse.com/cdn/shop/products/YouthGlowVitaminCCCCream_2400px.png?v=1646293736")</f>
        <v>#NAME?</v>
      </c>
      <c r="H2999" t="e">
        <f ca="1">IMAGE("https://m.media-amazon.com/images/I/51bPODTPFBL._AC_UL320_.jpg")</f>
        <v>#NAME?</v>
      </c>
      <c r="I2999" t="s">
        <v>177</v>
      </c>
      <c r="J2999">
        <v>39</v>
      </c>
      <c r="K2999" s="2" t="s">
        <v>3459</v>
      </c>
      <c r="L2999">
        <v>4.5</v>
      </c>
      <c r="M2999">
        <v>1710</v>
      </c>
      <c r="O2999" t="s">
        <v>26</v>
      </c>
      <c r="P2999" t="s">
        <v>39</v>
      </c>
      <c r="Q2999" t="s">
        <v>7458</v>
      </c>
    </row>
    <row r="3000" spans="1:17" ht="15.75" x14ac:dyDescent="0.25">
      <c r="A3000" s="3" t="str">
        <f>HYPERLINK("https://purlisse.com/collections/makeup/products/radiant-glow-illuminating-bb-cream-spf-30?variant=31609786368058", "https://purlisse.com/collections/makeup/products/radiant-glow-illuminating-bb-cream-spf-30?variant=31609786368058")</f>
        <v>https://purlisse.com/collections/makeup/products/radiant-glow-illuminating-bb-cream-spf-30?variant=31609786368058</v>
      </c>
      <c r="B3000" s="3" t="str">
        <f>HYPERLINK("https://purlisse.com/products/radiant-glow-illuminating-bb-cream-spf-30", "https://purlisse.com/products/radiant-glow-illuminating-bb-cream-spf-30")</f>
        <v>https://purlisse.com/products/radiant-glow-illuminating-bb-cream-spf-30</v>
      </c>
      <c r="C3000" t="s">
        <v>7443</v>
      </c>
      <c r="D3000" t="s">
        <v>7459</v>
      </c>
      <c r="E3000" s="3" t="str">
        <f>HYPERLINK("https://www.amazon.com/Perfect-Glow-Cream-Medium-Golden/dp/B08J9P3HYW/ref=sr_1_4?keywords=Radiant+Glow+Illuminating+BB+Cream+SPF+30&amp;qid=1695259767&amp;sr=8-4", "https://www.amazon.com/Perfect-Glow-Cream-Medium-Golden/dp/B08J9P3HYW/ref=sr_1_4?keywords=Radiant+Glow+Illuminating+BB+Cream+SPF+30&amp;qid=1695259767&amp;sr=8-4")</f>
        <v>https://www.amazon.com/Perfect-Glow-Cream-Medium-Golden/dp/B08J9P3HYW/ref=sr_1_4?keywords=Radiant+Glow+Illuminating+BB+Cream+SPF+30&amp;qid=1695259767&amp;sr=8-4</v>
      </c>
      <c r="F3000" t="s">
        <v>7460</v>
      </c>
      <c r="G3000" t="e">
        <f ca="1">IMAGE("https://purlisse.com/cdn/shop/products/IlluminatingBBCream_2400pxcopy_67b533eb-6cb4-481d-beaa-bbc0580ce739.png?v=1661979745")</f>
        <v>#NAME?</v>
      </c>
      <c r="H3000" t="e">
        <f ca="1">IMAGE("https://m.media-amazon.com/images/I/710Y4KwJ0lL._AC_UL320_.jpg")</f>
        <v>#NAME?</v>
      </c>
      <c r="I3000" t="s">
        <v>4013</v>
      </c>
      <c r="J3000">
        <v>36</v>
      </c>
      <c r="K3000" s="2" t="s">
        <v>7461</v>
      </c>
      <c r="L3000">
        <v>4.5999999999999996</v>
      </c>
      <c r="M3000">
        <v>4849</v>
      </c>
      <c r="O3000" t="s">
        <v>26</v>
      </c>
      <c r="P3000" t="s">
        <v>4013</v>
      </c>
      <c r="Q3000" t="s">
        <v>7444</v>
      </c>
    </row>
    <row r="3001" spans="1:17" ht="15.75" x14ac:dyDescent="0.25">
      <c r="A3001" s="3" t="str">
        <f>HYPERLINK("https://purlisse.com/collections/makeup/products/perfect-glow-bb-blush?variant=37892451696818", "https://purlisse.com/collections/makeup/products/perfect-glow-bb-blush?variant=37892451696818")</f>
        <v>https://purlisse.com/collections/makeup/products/perfect-glow-bb-blush?variant=37892451696818</v>
      </c>
      <c r="B3001" s="3" t="str">
        <f>HYPERLINK("https://purlisse.com/products/perfect-glow-bb-blush", "https://purlisse.com/products/perfect-glow-bb-blush")</f>
        <v>https://purlisse.com/products/perfect-glow-bb-blush</v>
      </c>
      <c r="C3001" t="s">
        <v>7449</v>
      </c>
      <c r="D3001" t="s">
        <v>7462</v>
      </c>
      <c r="E3001" s="3"/>
      <c r="F3001" t="s">
        <v>7463</v>
      </c>
      <c r="G3001" t="e">
        <f ca="1">IMAGE("https://purlisse.com/cdn/shop/products/SweetRose.png?v=1667392390")</f>
        <v>#NAME?</v>
      </c>
      <c r="H3001" t="e">
        <f ca="1">IMAGE("https://m.media-amazon.com/images/I/61GhQm66A4L._AC_UL320_.jpg")</f>
        <v>#NAME?</v>
      </c>
      <c r="I3001" t="s">
        <v>3890</v>
      </c>
      <c r="J3001">
        <v>16.2</v>
      </c>
      <c r="K3001" s="2" t="s">
        <v>7464</v>
      </c>
      <c r="L3001">
        <v>4.3</v>
      </c>
      <c r="M3001">
        <v>253</v>
      </c>
      <c r="O3001" t="s">
        <v>26</v>
      </c>
      <c r="P3001" t="s">
        <v>39</v>
      </c>
      <c r="Q3001" t="s">
        <v>7452</v>
      </c>
    </row>
    <row r="3002" spans="1:17" ht="15.75" x14ac:dyDescent="0.25">
      <c r="A3002" s="3" t="str">
        <f>HYPERLINK("https://purlisse.com/collections/makeup/products/radiant-glow-illuminating-bb-cream-spf-30?variant=31609786368058", "https://purlisse.com/collections/makeup/products/radiant-glow-illuminating-bb-cream-spf-30?variant=31609786368058")</f>
        <v>https://purlisse.com/collections/makeup/products/radiant-glow-illuminating-bb-cream-spf-30?variant=31609786368058</v>
      </c>
      <c r="B3002" s="3" t="str">
        <f>HYPERLINK("https://purlisse.com/products/radiant-glow-illuminating-bb-cream-spf-30", "https://purlisse.com/products/radiant-glow-illuminating-bb-cream-spf-30")</f>
        <v>https://purlisse.com/products/radiant-glow-illuminating-bb-cream-spf-30</v>
      </c>
      <c r="C3002" t="s">
        <v>7443</v>
      </c>
      <c r="D3002" t="s">
        <v>7465</v>
      </c>
      <c r="E3002" s="3" t="str">
        <f>HYPERLINK("https://www.amazon.com/Rubelli-Water-Glow-Cream-SPF30/dp/B09S11WKFX/ref=sr_1_8?keywords=Radiant+Glow+Illuminating+BB+Cream+SPF+30&amp;qid=1695259767&amp;sr=8-8", "https://www.amazon.com/Rubelli-Water-Glow-Cream-SPF30/dp/B09S11WKFX/ref=sr_1_8?keywords=Radiant+Glow+Illuminating+BB+Cream+SPF+30&amp;qid=1695259767&amp;sr=8-8")</f>
        <v>https://www.amazon.com/Rubelli-Water-Glow-Cream-SPF30/dp/B09S11WKFX/ref=sr_1_8?keywords=Radiant+Glow+Illuminating+BB+Cream+SPF+30&amp;qid=1695259767&amp;sr=8-8</v>
      </c>
      <c r="F3002" t="s">
        <v>7466</v>
      </c>
      <c r="G3002" t="e">
        <f ca="1">IMAGE("https://purlisse.com/cdn/shop/products/IlluminatingBBCream_2400pxcopy_67b533eb-6cb4-481d-beaa-bbc0580ce739.png?v=1661979745")</f>
        <v>#NAME?</v>
      </c>
      <c r="H3002" t="e">
        <f ca="1">IMAGE("https://m.media-amazon.com/images/I/51oGJJ+VlYL._AC_UL320_.jpg")</f>
        <v>#NAME?</v>
      </c>
      <c r="I3002" t="s">
        <v>4013</v>
      </c>
      <c r="J3002">
        <v>25.99</v>
      </c>
      <c r="K3002" s="2" t="s">
        <v>7467</v>
      </c>
      <c r="L3002">
        <v>5</v>
      </c>
      <c r="M3002">
        <v>1</v>
      </c>
      <c r="O3002" t="s">
        <v>26</v>
      </c>
      <c r="P3002" t="s">
        <v>4013</v>
      </c>
      <c r="Q3002" t="s">
        <v>7444</v>
      </c>
    </row>
    <row r="3003" spans="1:17" ht="15.75" x14ac:dyDescent="0.25">
      <c r="A3003" s="3" t="str">
        <f>HYPERLINK("https://purlisse.com/collections/makeup/products/travel-perfect-glow-bb-concealer?variant=41949111812274", "https://purlisse.com/collections/makeup/products/travel-perfect-glow-bb-concealer?variant=41949111812274")</f>
        <v>https://purlisse.com/collections/makeup/products/travel-perfect-glow-bb-concealer?variant=41949111812274</v>
      </c>
      <c r="B3003" s="3" t="str">
        <f>HYPERLINK("https://purlisse.com/products/travel-perfect-glow-bb-concealer", "https://purlisse.com/products/travel-perfect-glow-bb-concealer")</f>
        <v>https://purlisse.com/products/travel-perfect-glow-bb-concealer</v>
      </c>
      <c r="C3003" t="s">
        <v>7468</v>
      </c>
      <c r="D3003" t="s">
        <v>7469</v>
      </c>
      <c r="E3003" s="3" t="str">
        <f>HYPERLINK("https://www.amazon.com/Maybelline-New-York-Instant-Perfector/dp/B09RHKK6GF/ref=sr_1_3?keywords=TRAVEL+-+Perfect+Glow+BB+Concealer&amp;qid=1695259775&amp;sr=8-3", "https://www.amazon.com/Maybelline-New-York-Instant-Perfector/dp/B09RHKK6GF/ref=sr_1_3?keywords=TRAVEL+-+Perfect+Glow+BB+Concealer&amp;qid=1695259775&amp;sr=8-3")</f>
        <v>https://www.amazon.com/Maybelline-New-York-Instant-Perfector/dp/B09RHKK6GF/ref=sr_1_3?keywords=TRAVEL+-+Perfect+Glow+BB+Concealer&amp;qid=1695259775&amp;sr=8-3</v>
      </c>
      <c r="F3003" t="s">
        <v>7470</v>
      </c>
      <c r="G3003" t="e">
        <f ca="1">IMAGE("https://purlisse.com/cdn/shop/files/PerfectGlow.jpg?v=1694518350")</f>
        <v>#NAME?</v>
      </c>
      <c r="H3003" t="e">
        <f ca="1">IMAGE("https://m.media-amazon.com/images/I/61DXSC-7KML._AC_UL320_.jpg")</f>
        <v>#NAME?</v>
      </c>
      <c r="I3003" t="s">
        <v>3664</v>
      </c>
      <c r="J3003">
        <v>9.98</v>
      </c>
      <c r="K3003" s="2" t="s">
        <v>7471</v>
      </c>
      <c r="L3003">
        <v>4</v>
      </c>
      <c r="M3003">
        <v>3735</v>
      </c>
      <c r="O3003" t="s">
        <v>26</v>
      </c>
      <c r="P3003" t="s">
        <v>39</v>
      </c>
      <c r="Q3003" t="s">
        <v>7472</v>
      </c>
    </row>
    <row r="3004" spans="1:17" ht="15.75" x14ac:dyDescent="0.25">
      <c r="A3004" s="3" t="str">
        <f>HYPERLINK("https://purlisse.com/collections/makeup/products/perfect-glow-blending-sponge", "https://purlisse.com/collections/makeup/products/perfect-glow-blending-sponge")</f>
        <v>https://purlisse.com/collections/makeup/products/perfect-glow-blending-sponge</v>
      </c>
      <c r="B3004" s="3" t="str">
        <f>HYPERLINK("https://purlisse.com/products/perfect-glow-blending-sponge", "https://purlisse.com/products/perfect-glow-blending-sponge")</f>
        <v>https://purlisse.com/products/perfect-glow-blending-sponge</v>
      </c>
      <c r="C3004" t="s">
        <v>7422</v>
      </c>
      <c r="D3004" t="s">
        <v>7473</v>
      </c>
      <c r="E3004" s="3" t="str">
        <f>HYPERLINK("https://www.amazon.com/Real-Techniques-Miracle-Complexion-Packaging/dp/B075S4K5R8/ref=sr_1_3?keywords=Perfect+Glow+Blending+Sponge&amp;qid=1695259767&amp;sr=8-3", "https://www.amazon.com/Real-Techniques-Miracle-Complexion-Packaging/dp/B075S4K5R8/ref=sr_1_3?keywords=Perfect+Glow+Blending+Sponge&amp;qid=1695259767&amp;sr=8-3")</f>
        <v>https://www.amazon.com/Real-Techniques-Miracle-Complexion-Packaging/dp/B075S4K5R8/ref=sr_1_3?keywords=Perfect+Glow+Blending+Sponge&amp;qid=1695259767&amp;sr=8-3</v>
      </c>
      <c r="F3004" t="s">
        <v>7474</v>
      </c>
      <c r="G3004" t="e">
        <f ca="1">IMAGE("https://purlisse.com/cdn/shop/products/Purlisse_Sopnge.png?v=1649290111")</f>
        <v>#NAME?</v>
      </c>
      <c r="H3004" t="e">
        <f ca="1">IMAGE("https://m.media-amazon.com/images/I/71XKVaGGzuL._AC_UL320_.jpg")</f>
        <v>#NAME?</v>
      </c>
      <c r="I3004" t="s">
        <v>7419</v>
      </c>
      <c r="J3004">
        <v>6.99</v>
      </c>
      <c r="K3004" s="2" t="s">
        <v>7475</v>
      </c>
      <c r="L3004">
        <v>4.7</v>
      </c>
      <c r="M3004">
        <v>11408</v>
      </c>
      <c r="O3004" t="s">
        <v>26</v>
      </c>
      <c r="P3004" t="s">
        <v>39</v>
      </c>
      <c r="Q3004" t="s">
        <v>7425</v>
      </c>
    </row>
    <row r="3005" spans="1:17" ht="15.75" x14ac:dyDescent="0.25">
      <c r="A3005" s="3" t="str">
        <f>HYPERLINK("https://purlisse.com/collections/makeup/products/perfect-glow-bb-cream-spf-30?variant=49797096335", "https://purlisse.com/collections/makeup/products/perfect-glow-bb-cream-spf-30?variant=49797096335")</f>
        <v>https://purlisse.com/collections/makeup/products/perfect-glow-bb-cream-spf-30?variant=49797096335</v>
      </c>
      <c r="B3005" s="3" t="str">
        <f>HYPERLINK("https://purlisse.com/products/perfect-glow-bb-cream-spf-30", "https://purlisse.com/products/perfect-glow-bb-cream-spf-30")</f>
        <v>https://purlisse.com/products/perfect-glow-bb-cream-spf-30</v>
      </c>
      <c r="C3005" t="s">
        <v>7434</v>
      </c>
      <c r="D3005" t="s">
        <v>7476</v>
      </c>
      <c r="E3005" s="3" t="str">
        <f>HYPERLINK("https://www.amazon.com/Cream-Broad-Spectrum-SPF-Moisturizing/dp/B01G0SM1LQ/ref=sr_1_4?keywords=Perfect+Glow+BB+Cream+SPF+30&amp;qid=1695259767&amp;sr=8-4", "https://www.amazon.com/Cream-Broad-Spectrum-SPF-Moisturizing/dp/B01G0SM1LQ/ref=sr_1_4?keywords=Perfect+Glow+BB+Cream+SPF+30&amp;qid=1695259767&amp;sr=8-4")</f>
        <v>https://www.amazon.com/Cream-Broad-Spectrum-SPF-Moisturizing/dp/B01G0SM1LQ/ref=sr_1_4?keywords=Perfect+Glow+BB+Cream+SPF+30&amp;qid=1695259767&amp;sr=8-4</v>
      </c>
      <c r="F3005" t="s">
        <v>7477</v>
      </c>
      <c r="G3005" t="e">
        <f ca="1">IMAGE("https://purlisse.com/cdn/shop/products/Purlisse_0011.png?v=1651732643")</f>
        <v>#NAME?</v>
      </c>
      <c r="H3005" t="e">
        <f ca="1">IMAGE("https://m.media-amazon.com/images/I/51zZo1a0GpL._AC_UL320_.jpg")</f>
        <v>#NAME?</v>
      </c>
      <c r="I3005" t="s">
        <v>7437</v>
      </c>
      <c r="J3005">
        <v>19.989999999999998</v>
      </c>
      <c r="K3005" s="2" t="s">
        <v>7478</v>
      </c>
      <c r="L3005">
        <v>4.7</v>
      </c>
      <c r="M3005">
        <v>8</v>
      </c>
      <c r="O3005" t="s">
        <v>26</v>
      </c>
      <c r="P3005" t="s">
        <v>39</v>
      </c>
      <c r="Q3005" t="s">
        <v>7439</v>
      </c>
    </row>
    <row r="3006" spans="1:17" ht="15.75" x14ac:dyDescent="0.25">
      <c r="A3006" s="3" t="str">
        <f>HYPERLINK("https://purlisse.com/collections/makeup/products/perfect-glow-bb-blush?variant=37892451696818", "https://purlisse.com/collections/makeup/products/perfect-glow-bb-blush?variant=37892451696818")</f>
        <v>https://purlisse.com/collections/makeup/products/perfect-glow-bb-blush?variant=37892451696818</v>
      </c>
      <c r="B3006" s="3" t="str">
        <f>HYPERLINK("https://purlisse.com/products/perfect-glow-bb-blush", "https://purlisse.com/products/perfect-glow-bb-blush")</f>
        <v>https://purlisse.com/products/perfect-glow-bb-blush</v>
      </c>
      <c r="C3006" t="s">
        <v>7449</v>
      </c>
      <c r="D3006" t="s">
        <v>7479</v>
      </c>
      <c r="E3006" s="3" t="str">
        <f>HYPERLINK("https://www.amazon.com/Milani-Cheek-Liquid-Blush-Makeup/dp/B0BBPMZQ1Q/ref=sr_1_8?keywords=Blush+Glow+BB+Cheek+Color&amp;qid=1695259797&amp;sr=8-8", "https://www.amazon.com/Milani-Cheek-Liquid-Blush-Makeup/dp/B0BBPMZQ1Q/ref=sr_1_8?keywords=Blush+Glow+BB+Cheek+Color&amp;qid=1695259797&amp;sr=8-8")</f>
        <v>https://www.amazon.com/Milani-Cheek-Liquid-Blush-Makeup/dp/B0BBPMZQ1Q/ref=sr_1_8?keywords=Blush+Glow+BB+Cheek+Color&amp;qid=1695259797&amp;sr=8-8</v>
      </c>
      <c r="F3006" t="s">
        <v>7480</v>
      </c>
      <c r="G3006" t="e">
        <f ca="1">IMAGE("https://purlisse.com/cdn/shop/products/SweetRose.png?v=1667392390")</f>
        <v>#NAME?</v>
      </c>
      <c r="H3006" t="e">
        <f ca="1">IMAGE("https://m.media-amazon.com/images/I/61slpNM-6rL._AC_UL320_.jpg")</f>
        <v>#NAME?</v>
      </c>
      <c r="I3006" t="s">
        <v>3890</v>
      </c>
      <c r="J3006">
        <v>9.9700000000000006</v>
      </c>
      <c r="K3006" s="2" t="s">
        <v>7481</v>
      </c>
      <c r="L3006">
        <v>4.4000000000000004</v>
      </c>
      <c r="M3006">
        <v>2465</v>
      </c>
      <c r="O3006" t="s">
        <v>26</v>
      </c>
      <c r="P3006" t="s">
        <v>39</v>
      </c>
      <c r="Q3006" t="s">
        <v>7452</v>
      </c>
    </row>
    <row r="3007" spans="1:17" ht="15.75" x14ac:dyDescent="0.25">
      <c r="A3007" s="3" t="str">
        <f>HYPERLINK("https://purlisse.com/collections/makeup/products/halo-glow-bb-cream-highlighter?variant=43215886254258", "https://purlisse.com/collections/makeup/products/halo-glow-bb-cream-highlighter?variant=43215886254258")</f>
        <v>https://purlisse.com/collections/makeup/products/halo-glow-bb-cream-highlighter?variant=43215886254258</v>
      </c>
      <c r="B3007" s="3" t="str">
        <f>HYPERLINK("https://purlisse.com/products/halo-glow-bb-cream-highlighter", "https://purlisse.com/products/halo-glow-bb-cream-highlighter")</f>
        <v>https://purlisse.com/products/halo-glow-bb-cream-highlighter</v>
      </c>
      <c r="C3007" t="s">
        <v>7482</v>
      </c>
      <c r="D3007" t="s">
        <v>7469</v>
      </c>
      <c r="E3007" s="3" t="str">
        <f>HYPERLINK("https://www.amazon.com/Maybelline-New-York-Instant-Perfector/dp/B09RHKK6GF/ref=sr_1_10?keywords=Halo+Glow+BB+Cream+Highlighter&amp;qid=1695259769&amp;sr=8-10", "https://www.amazon.com/Maybelline-New-York-Instant-Perfector/dp/B09RHKK6GF/ref=sr_1_10?keywords=Halo+Glow+BB+Cream+Highlighter&amp;qid=1695259769&amp;sr=8-10")</f>
        <v>https://www.amazon.com/Maybelline-New-York-Instant-Perfector/dp/B09RHKK6GF/ref=sr_1_10?keywords=Halo+Glow+BB+Cream+Highlighter&amp;qid=1695259769&amp;sr=8-10</v>
      </c>
      <c r="F3007" t="s">
        <v>7470</v>
      </c>
      <c r="G3007" t="e">
        <f ca="1">IMAGE("https://purlisse.com/cdn/shop/files/Pur-Yen-030098HaloGlowLightGold_3577994f-5c63-498a-996c-d2587b9cebda_3_1.jpg?v=1694776710")</f>
        <v>#NAME?</v>
      </c>
      <c r="H3007" t="e">
        <f ca="1">IMAGE("https://m.media-amazon.com/images/I/61DXSC-7KML._AC_UL320_.jpg")</f>
        <v>#NAME?</v>
      </c>
      <c r="I3007" t="s">
        <v>3680</v>
      </c>
      <c r="J3007">
        <v>9.98</v>
      </c>
      <c r="K3007" s="2" t="s">
        <v>3723</v>
      </c>
      <c r="L3007">
        <v>4</v>
      </c>
      <c r="M3007">
        <v>3735</v>
      </c>
      <c r="O3007" t="s">
        <v>26</v>
      </c>
      <c r="P3007" t="s">
        <v>39</v>
      </c>
      <c r="Q3007" t="s">
        <v>7483</v>
      </c>
    </row>
    <row r="3008" spans="1:17" ht="15.75" x14ac:dyDescent="0.25">
      <c r="A3008" s="3" t="str">
        <f>HYPERLINK("https://purlisse.com/collections/makeup/products/halo-glow-bb-cream-highlighter?variant=43215886254258", "https://purlisse.com/collections/makeup/products/halo-glow-bb-cream-highlighter?variant=43215886254258")</f>
        <v>https://purlisse.com/collections/makeup/products/halo-glow-bb-cream-highlighter?variant=43215886254258</v>
      </c>
      <c r="B3008" s="3" t="str">
        <f>HYPERLINK("https://purlisse.com/products/halo-glow-bb-cream-highlighter", "https://purlisse.com/products/halo-glow-bb-cream-highlighter")</f>
        <v>https://purlisse.com/products/halo-glow-bb-cream-highlighter</v>
      </c>
      <c r="C3008" t="s">
        <v>7482</v>
      </c>
      <c r="D3008" t="s">
        <v>7484</v>
      </c>
      <c r="E3008" s="3" t="str">
        <f>HYPERLINK("https://www.amazon.com/Halo-Glow-Liquid-Filter-Cruelty-free/dp/B0CFF5PL5H/ref=sr_1_9?keywords=Halo+Glow+BB+Cream+Highlighter&amp;qid=1695259769&amp;sr=8-9", "https://www.amazon.com/Halo-Glow-Liquid-Filter-Cruelty-free/dp/B0CFF5PL5H/ref=sr_1_9?keywords=Halo+Glow+BB+Cream+Highlighter&amp;qid=1695259769&amp;sr=8-9")</f>
        <v>https://www.amazon.com/Halo-Glow-Liquid-Filter-Cruelty-free/dp/B0CFF5PL5H/ref=sr_1_9?keywords=Halo+Glow+BB+Cream+Highlighter&amp;qid=1695259769&amp;sr=8-9</v>
      </c>
      <c r="F3008" t="s">
        <v>7485</v>
      </c>
      <c r="G3008" t="e">
        <f ca="1">IMAGE("https://purlisse.com/cdn/shop/files/Pur-Yen-030098HaloGlowLightGold_3577994f-5c63-498a-996c-d2587b9cebda_3_1.jpg?v=1694776710")</f>
        <v>#NAME?</v>
      </c>
      <c r="H3008" t="e">
        <f ca="1">IMAGE("https://m.media-amazon.com/images/I/51vU2eN6oQL._AC_UL320_.jpg")</f>
        <v>#NAME?</v>
      </c>
      <c r="I3008" t="s">
        <v>3680</v>
      </c>
      <c r="J3008">
        <v>8.8800000000000008</v>
      </c>
      <c r="K3008" s="2" t="s">
        <v>7486</v>
      </c>
      <c r="L3008">
        <v>4.5999999999999996</v>
      </c>
      <c r="M3008">
        <v>6</v>
      </c>
      <c r="O3008" t="s">
        <v>26</v>
      </c>
      <c r="P3008" t="s">
        <v>39</v>
      </c>
      <c r="Q3008" t="s">
        <v>7483</v>
      </c>
    </row>
    <row r="3009" spans="1:17" ht="15.75" x14ac:dyDescent="0.25">
      <c r="A3009" s="3" t="str">
        <f>HYPERLINK("https://purlisse.com/collections/makeup/products/halo-glow-bb-cream-highlighter?variant=43215886254258", "https://purlisse.com/collections/makeup/products/halo-glow-bb-cream-highlighter?variant=43215886254258")</f>
        <v>https://purlisse.com/collections/makeup/products/halo-glow-bb-cream-highlighter?variant=43215886254258</v>
      </c>
      <c r="B3009" s="3" t="str">
        <f>HYPERLINK("https://purlisse.com/products/halo-glow-bb-cream-highlighter", "https://purlisse.com/products/halo-glow-bb-cream-highlighter")</f>
        <v>https://purlisse.com/products/halo-glow-bb-cream-highlighter</v>
      </c>
      <c r="C3009" t="s">
        <v>7482</v>
      </c>
      <c r="D3009" t="s">
        <v>7487</v>
      </c>
      <c r="E3009" s="3" t="str">
        <f>HYPERLINK("https://www.amazon.com/Lamel-Dewy-Cream-Highlighter-Skin-Brightening/dp/B0BZWCYZWD/ref=sr_1_5?keywords=Halo+Glow+BB+Cream+Highlighter&amp;qid=1695259769&amp;sr=8-5", "https://www.amazon.com/Lamel-Dewy-Cream-Highlighter-Skin-Brightening/dp/B0BZWCYZWD/ref=sr_1_5?keywords=Halo+Glow+BB+Cream+Highlighter&amp;qid=1695259769&amp;sr=8-5")</f>
        <v>https://www.amazon.com/Lamel-Dewy-Cream-Highlighter-Skin-Brightening/dp/B0BZWCYZWD/ref=sr_1_5?keywords=Halo+Glow+BB+Cream+Highlighter&amp;qid=1695259769&amp;sr=8-5</v>
      </c>
      <c r="F3009" t="s">
        <v>7488</v>
      </c>
      <c r="G3009" t="e">
        <f ca="1">IMAGE("https://purlisse.com/cdn/shop/files/Pur-Yen-030098HaloGlowLightGold_3577994f-5c63-498a-996c-d2587b9cebda_3_1.jpg?v=1694776710")</f>
        <v>#NAME?</v>
      </c>
      <c r="H3009" t="e">
        <f ca="1">IMAGE("https://m.media-amazon.com/images/I/71ZmeF+ohEL._AC_UL320_.jpg")</f>
        <v>#NAME?</v>
      </c>
      <c r="I3009" t="s">
        <v>3680</v>
      </c>
      <c r="J3009">
        <v>6.89</v>
      </c>
      <c r="K3009" s="2" t="s">
        <v>4155</v>
      </c>
      <c r="L3009">
        <v>4.5999999999999996</v>
      </c>
      <c r="M3009">
        <v>3</v>
      </c>
      <c r="O3009" t="s">
        <v>26</v>
      </c>
      <c r="P3009" t="s">
        <v>39</v>
      </c>
      <c r="Q3009" t="s">
        <v>7483</v>
      </c>
    </row>
    <row r="3010" spans="1:17" ht="15.75" x14ac:dyDescent="0.25">
      <c r="A3010" s="3" t="str">
        <f>HYPERLINK("https://purlisse.com/collections/makeup/products/the-perfect-pair?variant=42042528563378", "https://purlisse.com/collections/makeup/products/the-perfect-pair?variant=42042528563378")</f>
        <v>https://purlisse.com/collections/makeup/products/the-perfect-pair?variant=42042528563378</v>
      </c>
      <c r="B3010" s="3" t="str">
        <f>HYPERLINK("https://purlisse.com/products/the-perfect-pair", "https://purlisse.com/products/the-perfect-pair")</f>
        <v>https://purlisse.com/products/the-perfect-pair</v>
      </c>
      <c r="C3010" t="s">
        <v>7400</v>
      </c>
      <c r="D3010" t="s">
        <v>7401</v>
      </c>
      <c r="E3010" s="3" t="str">
        <f>HYPERLINK("https://www.amazon.com/Christmas-Cookies-Cruise-Perfect-Pairings/dp/1631122614/ref=sr_1_7?keywords=The+Perfect+Pair&amp;qid=1695259809&amp;sr=8-7", "https://www.amazon.com/Christmas-Cookies-Cruise-Perfect-Pairings/dp/1631122614/ref=sr_1_7?keywords=The+Perfect+Pair&amp;qid=1695259809&amp;sr=8-7")</f>
        <v>https://www.amazon.com/Christmas-Cookies-Cruise-Perfect-Pairings/dp/1631122614/ref=sr_1_7?keywords=The+Perfect+Pair&amp;qid=1695259809&amp;sr=8-7</v>
      </c>
      <c r="F3010" t="s">
        <v>7402</v>
      </c>
      <c r="G3010" t="e">
        <f ca="1">IMAGE("https://purlisse.com/cdn/shop/products/PG_Primer_Blush_2000px.png?v=1658383599")</f>
        <v>#NAME?</v>
      </c>
      <c r="H3010" t="e">
        <f ca="1">IMAGE("https://m.media-amazon.com/images/I/61UAlT3FVpL._AC_UY218_.jpg")</f>
        <v>#NAME?</v>
      </c>
      <c r="I3010" t="s">
        <v>6964</v>
      </c>
      <c r="J3010">
        <v>12.99</v>
      </c>
      <c r="K3010" s="2" t="s">
        <v>7403</v>
      </c>
      <c r="L3010">
        <v>4.8</v>
      </c>
      <c r="M3010">
        <v>6</v>
      </c>
      <c r="O3010" t="s">
        <v>26</v>
      </c>
      <c r="P3010" t="s">
        <v>39</v>
      </c>
      <c r="Q3010" t="s">
        <v>7404</v>
      </c>
    </row>
    <row r="3011" spans="1:17" ht="15.75" x14ac:dyDescent="0.25">
      <c r="A3011" s="3" t="str">
        <f>HYPERLINK("https://purlisse.com/collections/makeup/products/perfect-glow-bb-cream-spf-30?variant=49797096335", "https://purlisse.com/collections/makeup/products/perfect-glow-bb-cream-spf-30?variant=49797096335")</f>
        <v>https://purlisse.com/collections/makeup/products/perfect-glow-bb-cream-spf-30?variant=49797096335</v>
      </c>
      <c r="B3011" s="3" t="str">
        <f>HYPERLINK("https://purlisse.com/products/perfect-glow-bb-cream-spf-30", "https://purlisse.com/products/perfect-glow-bb-cream-spf-30")</f>
        <v>https://purlisse.com/products/perfect-glow-bb-cream-spf-30</v>
      </c>
      <c r="C3011" t="s">
        <v>7434</v>
      </c>
      <c r="D3011" t="s">
        <v>7489</v>
      </c>
      <c r="E3011" s="3" t="str">
        <f>HYPERLINK("https://www.amazon.com/Maybelline-Dream-Fresh-Medium-Packaging/dp/B008C13146/ref=sr_1_7?keywords=Perfect+Glow+BB+Cream+SPF+30&amp;qid=1695259767&amp;sr=8-7", "https://www.amazon.com/Maybelline-Dream-Fresh-Medium-Packaging/dp/B008C13146/ref=sr_1_7?keywords=Perfect+Glow+BB+Cream+SPF+30&amp;qid=1695259767&amp;sr=8-7")</f>
        <v>https://www.amazon.com/Maybelline-Dream-Fresh-Medium-Packaging/dp/B008C13146/ref=sr_1_7?keywords=Perfect+Glow+BB+Cream+SPF+30&amp;qid=1695259767&amp;sr=8-7</v>
      </c>
      <c r="F3011" t="s">
        <v>7490</v>
      </c>
      <c r="G3011" t="e">
        <f ca="1">IMAGE("https://purlisse.com/cdn/shop/products/Purlisse_0011.png?v=1651732643")</f>
        <v>#NAME?</v>
      </c>
      <c r="H3011" t="e">
        <f ca="1">IMAGE("https://m.media-amazon.com/images/I/61dhZNYpwuL._AC_UL320_.jpg")</f>
        <v>#NAME?</v>
      </c>
      <c r="I3011" t="s">
        <v>7437</v>
      </c>
      <c r="J3011">
        <v>7.49</v>
      </c>
      <c r="K3011" s="2" t="s">
        <v>7491</v>
      </c>
      <c r="L3011">
        <v>4.5</v>
      </c>
      <c r="M3011">
        <v>34731</v>
      </c>
      <c r="O3011" t="s">
        <v>26</v>
      </c>
      <c r="P3011" t="s">
        <v>39</v>
      </c>
      <c r="Q3011" t="s">
        <v>7439</v>
      </c>
    </row>
    <row r="3012" spans="1:17" ht="15.75" x14ac:dyDescent="0.25">
      <c r="A3012" s="3" t="str">
        <f>HYPERLINK("https://purlisse.com/collections/makeup/products/the-perfect-pair?variant=42042528563378", "https://purlisse.com/collections/makeup/products/the-perfect-pair?variant=42042528563378")</f>
        <v>https://purlisse.com/collections/makeup/products/the-perfect-pair?variant=42042528563378</v>
      </c>
      <c r="B3012" s="3" t="str">
        <f>HYPERLINK("https://purlisse.com/products/the-perfect-pair", "https://purlisse.com/products/the-perfect-pair")</f>
        <v>https://purlisse.com/products/the-perfect-pair</v>
      </c>
      <c r="C3012" t="s">
        <v>7400</v>
      </c>
      <c r="D3012" t="s">
        <v>7405</v>
      </c>
      <c r="E3012" s="3" t="str">
        <f>HYPERLINK("https://www.amazon.com/Perfect-Pairing-Nazneen-Contractor/dp/B09VB26QVG/ref=sr_1_1?keywords=The+Perfect+Pair&amp;qid=1695259809&amp;sr=8-1", "https://www.amazon.com/Perfect-Pairing-Nazneen-Contractor/dp/B09VB26QVG/ref=sr_1_1?keywords=The+Perfect+Pair&amp;qid=1695259809&amp;sr=8-1")</f>
        <v>https://www.amazon.com/Perfect-Pairing-Nazneen-Contractor/dp/B09VB26QVG/ref=sr_1_1?keywords=The+Perfect+Pair&amp;qid=1695259809&amp;sr=8-1</v>
      </c>
      <c r="F3012" t="s">
        <v>7406</v>
      </c>
      <c r="G3012" t="e">
        <f ca="1">IMAGE("https://purlisse.com/cdn/shop/products/PG_Primer_Blush_2000px.png?v=1658383599")</f>
        <v>#NAME?</v>
      </c>
      <c r="H3012" t="e">
        <f ca="1">IMAGE("https://m.media-amazon.com/images/I/81ty4uLThhL._AC_UY218_.jpg")</f>
        <v>#NAME?</v>
      </c>
      <c r="I3012" t="s">
        <v>6964</v>
      </c>
      <c r="J3012">
        <v>5.99</v>
      </c>
      <c r="K3012" s="2" t="s">
        <v>7407</v>
      </c>
      <c r="L3012">
        <v>4.5999999999999996</v>
      </c>
      <c r="M3012">
        <v>47</v>
      </c>
      <c r="O3012" t="s">
        <v>26</v>
      </c>
      <c r="P3012" t="s">
        <v>39</v>
      </c>
      <c r="Q3012" t="s">
        <v>7404</v>
      </c>
    </row>
    <row r="3013" spans="1:17" ht="15.75" x14ac:dyDescent="0.25">
      <c r="A3013" s="3" t="str">
        <f>HYPERLINK("https://richardkroll.com/product/pure-nv-balancing-shampoo-250ml/", "https://richardkroll.com/product/pure-nv-balancing-shampoo-250ml/")</f>
        <v>https://richardkroll.com/product/pure-nv-balancing-shampoo-250ml/</v>
      </c>
      <c r="B3013" s="3" t="str">
        <f>HYPERLINK("https://richardkroll.com/product/pure-nv-balancing-shampoo-250ml/", "https://richardkroll.com/product/pure-nv-balancing-shampoo-250ml/")</f>
        <v>https://richardkroll.com/product/pure-nv-balancing-shampoo-250ml/</v>
      </c>
      <c r="C3013" t="s">
        <v>7492</v>
      </c>
      <c r="D3013" t="s">
        <v>7493</v>
      </c>
      <c r="E3013" s="3" t="str">
        <f>HYPERLINK("https://www.amazon.com/Pure-Natures-Vitamins-Balancing-Conditioner/dp/B09B12SQNL/ref=sr_1_3?keywords=Pure+NV+Balancing+Shampoo+250ml&amp;qid=1695259830&amp;sr=8-3", "https://www.amazon.com/Pure-Natures-Vitamins-Balancing-Conditioner/dp/B09B12SQNL/ref=sr_1_3?keywords=Pure+NV+Balancing+Shampoo+250ml&amp;qid=1695259830&amp;sr=8-3")</f>
        <v>https://www.amazon.com/Pure-Natures-Vitamins-Balancing-Conditioner/dp/B09B12SQNL/ref=sr_1_3?keywords=Pure+NV+Balancing+Shampoo+250ml&amp;qid=1695259830&amp;sr=8-3</v>
      </c>
      <c r="F3013" t="s">
        <v>7494</v>
      </c>
      <c r="G3013" t="e">
        <f ca="1">IMAGE("https://richardkroll.com/wp-content/uploads/2021/09/pure-nv-balancing-shampoo-600x800.webp")</f>
        <v>#NAME?</v>
      </c>
      <c r="H3013" t="e">
        <f ca="1">IMAGE("https://m.media-amazon.com/images/I/71m8sgbfrtL._AC_UL320_.jpg")</f>
        <v>#NAME?</v>
      </c>
      <c r="I3013" t="s">
        <v>7495</v>
      </c>
      <c r="J3013">
        <v>120</v>
      </c>
      <c r="K3013" s="2" t="s">
        <v>7496</v>
      </c>
      <c r="L3013">
        <v>5</v>
      </c>
      <c r="M3013">
        <v>2</v>
      </c>
      <c r="O3013" t="s">
        <v>26</v>
      </c>
      <c r="P3013" t="s">
        <v>39</v>
      </c>
      <c r="Q3013" t="s">
        <v>39</v>
      </c>
    </row>
    <row r="3014" spans="1:17" ht="15.75" x14ac:dyDescent="0.25">
      <c r="A3014" s="3" t="str">
        <f>HYPERLINK("https://richardkroll.com/product/pure-nv-balancing-conditioner-250ml/", "https://richardkroll.com/product/pure-nv-balancing-conditioner-250ml/")</f>
        <v>https://richardkroll.com/product/pure-nv-balancing-conditioner-250ml/</v>
      </c>
      <c r="B3014" s="3" t="str">
        <f>HYPERLINK("https://richardkroll.com/product/pure-nv-balancing-conditioner-250ml/", "https://richardkroll.com/product/pure-nv-balancing-conditioner-250ml/")</f>
        <v>https://richardkroll.com/product/pure-nv-balancing-conditioner-250ml/</v>
      </c>
      <c r="C3014" t="s">
        <v>7497</v>
      </c>
      <c r="D3014" t="s">
        <v>7493</v>
      </c>
      <c r="E3014" s="3" t="str">
        <f>HYPERLINK("https://www.amazon.com/Pure-Natures-Vitamins-Balancing-Conditioner/dp/B09B12SQNL/ref=sr_1_fkmr0_1?keywords=Pure+NV+Balancing+Conditioner+250ml&amp;qid=1695259829&amp;sr=8-1-fkmr0", "https://www.amazon.com/Pure-Natures-Vitamins-Balancing-Conditioner/dp/B09B12SQNL/ref=sr_1_fkmr0_1?keywords=Pure+NV+Balancing+Conditioner+250ml&amp;qid=1695259829&amp;sr=8-1-fkmr0")</f>
        <v>https://www.amazon.com/Pure-Natures-Vitamins-Balancing-Conditioner/dp/B09B12SQNL/ref=sr_1_fkmr0_1?keywords=Pure+NV+Balancing+Conditioner+250ml&amp;qid=1695259829&amp;sr=8-1-fkmr0</v>
      </c>
      <c r="F3014" t="s">
        <v>7494</v>
      </c>
      <c r="G3014" t="e">
        <f ca="1">IMAGE("https://richardkroll.com/wp-content/uploads/2021/09/Pure-NV-Balancing-Conditioner-600x800.jpg")</f>
        <v>#NAME?</v>
      </c>
      <c r="H3014" t="e">
        <f ca="1">IMAGE("https://m.media-amazon.com/images/I/71m8sgbfrtL._AC_UL320_.jpg")</f>
        <v>#NAME?</v>
      </c>
      <c r="I3014" t="s">
        <v>7495</v>
      </c>
      <c r="J3014">
        <v>120</v>
      </c>
      <c r="K3014" s="2" t="s">
        <v>7496</v>
      </c>
      <c r="L3014">
        <v>5</v>
      </c>
      <c r="M3014">
        <v>2</v>
      </c>
      <c r="O3014" t="s">
        <v>26</v>
      </c>
      <c r="P3014" t="s">
        <v>39</v>
      </c>
      <c r="Q3014" t="s">
        <v>39</v>
      </c>
    </row>
    <row r="3015" spans="1:17" ht="15.75" x14ac:dyDescent="0.25">
      <c r="A3015" s="3" t="str">
        <f>HYPERLINK("https://richardkroll.com/product/wella-elements-shampoo-250ml/", "https://richardkroll.com/product/wella-elements-shampoo-250ml/")</f>
        <v>https://richardkroll.com/product/wella-elements-shampoo-250ml/</v>
      </c>
      <c r="B3015" s="3" t="str">
        <f>HYPERLINK("https://richardkroll.com/product/wella-elements-shampoo-250ml/", "https://richardkroll.com/product/wella-elements-shampoo-250ml/")</f>
        <v>https://richardkroll.com/product/wella-elements-shampoo-250ml/</v>
      </c>
      <c r="C3015" t="s">
        <v>7498</v>
      </c>
      <c r="D3015" t="s">
        <v>7499</v>
      </c>
      <c r="E3015" s="3" t="str">
        <f>HYPERLINK("https://www.amazon.com/Professionals-Elements-Renewing-Conditioner-Detangling/dp/B0BS7WXXM7/ref=sr_1_6?keywords=Wella+Elements+Shampoo+250ml&amp;qid=1695259844&amp;sr=8-6", "https://www.amazon.com/Professionals-Elements-Renewing-Conditioner-Detangling/dp/B0BS7WXXM7/ref=sr_1_6?keywords=Wella+Elements+Shampoo+250ml&amp;qid=1695259844&amp;sr=8-6")</f>
        <v>https://www.amazon.com/Professionals-Elements-Renewing-Conditioner-Detangling/dp/B0BS7WXXM7/ref=sr_1_6?keywords=Wella+Elements+Shampoo+250ml&amp;qid=1695259844&amp;sr=8-6</v>
      </c>
      <c r="F3015" t="s">
        <v>7500</v>
      </c>
      <c r="G3015" t="e">
        <f ca="1">IMAGE("https://richardkroll.com/wp-content/uploads/2022/04/62D6864A-36A5-4B22-9191-42BD61F06642-600x800.png")</f>
        <v>#NAME?</v>
      </c>
      <c r="H3015" t="e">
        <f ca="1">IMAGE("https://m.media-amazon.com/images/I/71gfOZKpV6L._AC_UL320_.jpg")</f>
        <v>#NAME?</v>
      </c>
      <c r="I3015" t="s">
        <v>7501</v>
      </c>
      <c r="J3015">
        <v>108.6</v>
      </c>
      <c r="K3015" s="2" t="s">
        <v>7502</v>
      </c>
      <c r="L3015">
        <v>5</v>
      </c>
      <c r="M3015">
        <v>1</v>
      </c>
      <c r="O3015" t="s">
        <v>26</v>
      </c>
      <c r="P3015" t="s">
        <v>39</v>
      </c>
      <c r="Q3015" t="s">
        <v>39</v>
      </c>
    </row>
    <row r="3016" spans="1:17" ht="15.75" x14ac:dyDescent="0.25">
      <c r="A3016" s="3" t="str">
        <f>HYPERLINK("https://richardkroll.com/product/sebastian-dark-oil-lightweight-shampoo-250ml/", "https://richardkroll.com/product/sebastian-dark-oil-lightweight-shampoo-250ml/")</f>
        <v>https://richardkroll.com/product/sebastian-dark-oil-lightweight-shampoo-250ml/</v>
      </c>
      <c r="B3016" s="3" t="str">
        <f>HYPERLINK("https://richardkroll.com/product/sebastian-dark-oil-lightweight-shampoo-250ml/", "https://richardkroll.com/product/sebastian-dark-oil-lightweight-shampoo-250ml/")</f>
        <v>https://richardkroll.com/product/sebastian-dark-oil-lightweight-shampoo-250ml/</v>
      </c>
      <c r="C3016" t="s">
        <v>7503</v>
      </c>
      <c r="D3016" t="s">
        <v>7504</v>
      </c>
      <c r="E3016" s="3" t="str">
        <f>HYPERLINK("https://www.amazon.com/Sebastian-Lightweight-Shampoo-33-8oz-Conditioner/dp/B08KL2ZKRQ/ref=sr_1_4?keywords=Sebastian+Dark+Oil+Lightweight+Shampoo+250ml&amp;qid=1695259828&amp;sr=8-4", "https://www.amazon.com/Sebastian-Lightweight-Shampoo-33-8oz-Conditioner/dp/B08KL2ZKRQ/ref=sr_1_4?keywords=Sebastian+Dark+Oil+Lightweight+Shampoo+250ml&amp;qid=1695259828&amp;sr=8-4")</f>
        <v>https://www.amazon.com/Sebastian-Lightweight-Shampoo-33-8oz-Conditioner/dp/B08KL2ZKRQ/ref=sr_1_4?keywords=Sebastian+Dark+Oil+Lightweight+Shampoo+250ml&amp;qid=1695259828&amp;sr=8-4</v>
      </c>
      <c r="F3016" t="s">
        <v>7505</v>
      </c>
      <c r="G3016" t="e">
        <f ca="1">IMAGE("https://richardkroll.com/wp-content/uploads/2022/04/Dark-Oil-Shampoo-600x800.jpg")</f>
        <v>#NAME?</v>
      </c>
      <c r="H3016" t="e">
        <f ca="1">IMAGE("https://m.media-amazon.com/images/I/41ARyX8rSNL._AC_UL320_.jpg")</f>
        <v>#NAME?</v>
      </c>
      <c r="I3016" t="s">
        <v>7506</v>
      </c>
      <c r="J3016">
        <v>85.92</v>
      </c>
      <c r="K3016" s="2" t="s">
        <v>7507</v>
      </c>
      <c r="L3016">
        <v>4.7</v>
      </c>
      <c r="M3016">
        <v>126</v>
      </c>
      <c r="O3016" t="s">
        <v>26</v>
      </c>
      <c r="P3016" t="s">
        <v>39</v>
      </c>
      <c r="Q3016" t="s">
        <v>39</v>
      </c>
    </row>
    <row r="3017" spans="1:17" ht="15.75" x14ac:dyDescent="0.25">
      <c r="A3017" s="3" t="str">
        <f>HYPERLINK("https://richardkroll.com/product/nutrifuse-nourishing-shampoo-300ml/", "https://richardkroll.com/product/nutrifuse-nourishing-shampoo-300ml/")</f>
        <v>https://richardkroll.com/product/nutrifuse-nourishing-shampoo-300ml/</v>
      </c>
      <c r="B3017" s="3" t="str">
        <f>HYPERLINK("https://richardkroll.com/product/nutrifuse-nourishing-shampoo-300ml/", "https://richardkroll.com/product/nutrifuse-nourishing-shampoo-300ml/")</f>
        <v>https://richardkroll.com/product/nutrifuse-nourishing-shampoo-300ml/</v>
      </c>
      <c r="C3017" t="s">
        <v>7508</v>
      </c>
      <c r="D3017" t="s">
        <v>7509</v>
      </c>
      <c r="E3017" s="3" t="str">
        <f>HYPERLINK("https://www.amazon.com/Nutrifuse-Nourishing-Shampoo-34-oz/dp/B07L45XHQ3/ref=sr_1_6?keywords=Nutrifuse+Nourishing+Shampoo+300ml&amp;qid=1695259832&amp;sr=8-6", "https://www.amazon.com/Nutrifuse-Nourishing-Shampoo-34-oz/dp/B07L45XHQ3/ref=sr_1_6?keywords=Nutrifuse+Nourishing+Shampoo+300ml&amp;qid=1695259832&amp;sr=8-6")</f>
        <v>https://www.amazon.com/Nutrifuse-Nourishing-Shampoo-34-oz/dp/B07L45XHQ3/ref=sr_1_6?keywords=Nutrifuse+Nourishing+Shampoo+300ml&amp;qid=1695259832&amp;sr=8-6</v>
      </c>
      <c r="F3017" t="s">
        <v>7510</v>
      </c>
      <c r="G3017" t="e">
        <f ca="1">IMAGE("https://richardkroll.com/wp-content/uploads/2021/09/Nutrifuse-Nourishing-Shampoo-for-Men-600x800.jpg")</f>
        <v>#NAME?</v>
      </c>
      <c r="H3017" t="e">
        <f ca="1">IMAGE("https://m.media-amazon.com/images/I/51pbQmYaO3L._AC_UL320_.jpg")</f>
        <v>#NAME?</v>
      </c>
      <c r="I3017" t="s">
        <v>7511</v>
      </c>
      <c r="J3017">
        <v>103.95</v>
      </c>
      <c r="K3017" s="2" t="s">
        <v>7512</v>
      </c>
      <c r="L3017">
        <v>5</v>
      </c>
      <c r="M3017">
        <v>1</v>
      </c>
      <c r="O3017" t="s">
        <v>26</v>
      </c>
      <c r="P3017" t="s">
        <v>39</v>
      </c>
      <c r="Q3017" t="s">
        <v>39</v>
      </c>
    </row>
    <row r="3018" spans="1:17" ht="15.75" x14ac:dyDescent="0.25">
      <c r="A3018" s="3" t="str">
        <f>HYPERLINK("https://richardkroll.com/product/wella-invigo-shampoo-300ml/", "https://richardkroll.com/product/wella-invigo-shampoo-300ml/")</f>
        <v>https://richardkroll.com/product/wella-invigo-shampoo-300ml/</v>
      </c>
      <c r="B3018" s="3" t="str">
        <f>HYPERLINK("https://richardkroll.com/product/wella-invigo-shampoo-300ml/", "https://richardkroll.com/product/wella-invigo-shampoo-300ml/")</f>
        <v>https://richardkroll.com/product/wella-invigo-shampoo-300ml/</v>
      </c>
      <c r="C3018" t="s">
        <v>7513</v>
      </c>
      <c r="D3018" t="s">
        <v>7514</v>
      </c>
      <c r="E3018" s="3" t="str">
        <f>HYPERLINK("https://www.amazon.com/Professionals-Brilliance-Conditioner-Professional-Protecting/dp/B0BS8BZMX1/ref=sr_1_9?keywords=Wella+Invigo+Shampoo+300ml&amp;qid=1695259854&amp;sr=8-9", "https://www.amazon.com/Professionals-Brilliance-Conditioner-Professional-Protecting/dp/B0BS8BZMX1/ref=sr_1_9?keywords=Wella+Invigo+Shampoo+300ml&amp;qid=1695259854&amp;sr=8-9")</f>
        <v>https://www.amazon.com/Professionals-Brilliance-Conditioner-Professional-Protecting/dp/B0BS8BZMX1/ref=sr_1_9?keywords=Wella+Invigo+Shampoo+300ml&amp;qid=1695259854&amp;sr=8-9</v>
      </c>
      <c r="F3018" t="s">
        <v>7515</v>
      </c>
      <c r="G3018" t="e">
        <f ca="1">IMAGE("https://richardkroll.com/wp-content/uploads/2022/04/CD51E0C3-1E5C-4FDC-81A9-942D102BED21-600x800.png")</f>
        <v>#NAME?</v>
      </c>
      <c r="H3018" t="e">
        <f ca="1">IMAGE("https://m.media-amazon.com/images/I/71bkfIv+tuL._AC_UL320_.jpg")</f>
        <v>#NAME?</v>
      </c>
      <c r="I3018" t="s">
        <v>7516</v>
      </c>
      <c r="J3018">
        <v>76.8</v>
      </c>
      <c r="K3018" s="2" t="s">
        <v>7517</v>
      </c>
      <c r="L3018">
        <v>4.9000000000000004</v>
      </c>
      <c r="M3018">
        <v>26</v>
      </c>
      <c r="O3018" t="s">
        <v>26</v>
      </c>
      <c r="P3018" t="s">
        <v>39</v>
      </c>
      <c r="Q3018" t="s">
        <v>39</v>
      </c>
    </row>
    <row r="3019" spans="1:17" ht="15.75" x14ac:dyDescent="0.25">
      <c r="A3019" s="3" t="str">
        <f>HYPERLINK("https://richardkroll.com/product/wella-invigo-shampoo-300ml/", "https://richardkroll.com/product/wella-invigo-shampoo-300ml/")</f>
        <v>https://richardkroll.com/product/wella-invigo-shampoo-300ml/</v>
      </c>
      <c r="B3019" s="3" t="str">
        <f>HYPERLINK("https://richardkroll.com/product/wella-invigo-shampoo-300ml/", "https://richardkroll.com/product/wella-invigo-shampoo-300ml/")</f>
        <v>https://richardkroll.com/product/wella-invigo-shampoo-300ml/</v>
      </c>
      <c r="C3019" t="s">
        <v>7513</v>
      </c>
      <c r="D3019" t="s">
        <v>7518</v>
      </c>
      <c r="E3019" s="3" t="str">
        <f>HYPERLINK("https://www.amazon.com/Professionals-Nutri-Enrich-Shampoo-Conditioner-Moisturizing/dp/B0BVSK8WCF/ref=sr_1_2?keywords=Wella+Invigo+Shampoo+300ml&amp;qid=1695259854&amp;sr=8-2", "https://www.amazon.com/Professionals-Nutri-Enrich-Shampoo-Conditioner-Moisturizing/dp/B0BVSK8WCF/ref=sr_1_2?keywords=Wella+Invigo+Shampoo+300ml&amp;qid=1695259854&amp;sr=8-2")</f>
        <v>https://www.amazon.com/Professionals-Nutri-Enrich-Shampoo-Conditioner-Moisturizing/dp/B0BVSK8WCF/ref=sr_1_2?keywords=Wella+Invigo+Shampoo+300ml&amp;qid=1695259854&amp;sr=8-2</v>
      </c>
      <c r="F3019" t="s">
        <v>7519</v>
      </c>
      <c r="G3019" t="e">
        <f ca="1">IMAGE("https://richardkroll.com/wp-content/uploads/2022/04/CD51E0C3-1E5C-4FDC-81A9-942D102BED21-600x800.png")</f>
        <v>#NAME?</v>
      </c>
      <c r="H3019" t="e">
        <f ca="1">IMAGE("https://m.media-amazon.com/images/I/61DBmYhhDyL._AC_UL320_.jpg")</f>
        <v>#NAME?</v>
      </c>
      <c r="I3019" t="s">
        <v>7516</v>
      </c>
      <c r="J3019">
        <v>76.8</v>
      </c>
      <c r="K3019" s="2" t="s">
        <v>7517</v>
      </c>
      <c r="L3019">
        <v>5</v>
      </c>
      <c r="M3019">
        <v>10</v>
      </c>
      <c r="O3019" t="s">
        <v>26</v>
      </c>
      <c r="P3019" t="s">
        <v>39</v>
      </c>
      <c r="Q3019" t="s">
        <v>39</v>
      </c>
    </row>
    <row r="3020" spans="1:17" ht="15.75" x14ac:dyDescent="0.25">
      <c r="A3020" s="3" t="str">
        <f>HYPERLINK("https://richardkroll.com/product/wella-invigo-conditioner-250ml/", "https://richardkroll.com/product/wella-invigo-conditioner-250ml/")</f>
        <v>https://richardkroll.com/product/wella-invigo-conditioner-250ml/</v>
      </c>
      <c r="B3020" s="3" t="str">
        <f>HYPERLINK("https://richardkroll.com/product/wella-invigo-conditioner-250ml/", "https://richardkroll.com/product/wella-invigo-conditioner-250ml/")</f>
        <v>https://richardkroll.com/product/wella-invigo-conditioner-250ml/</v>
      </c>
      <c r="C3020" t="s">
        <v>7520</v>
      </c>
      <c r="D3020" t="s">
        <v>7518</v>
      </c>
      <c r="E3020" s="3" t="str">
        <f>HYPERLINK("https://www.amazon.com/Professionals-Nutri-Enrich-Shampoo-Conditioner-Moisturizing/dp/B0BVSK8WCF/ref=sr_1_5?keywords=Wella+Invigo+Conditioner+250ml&amp;qid=1695259847&amp;sr=8-5", "https://www.amazon.com/Professionals-Nutri-Enrich-Shampoo-Conditioner-Moisturizing/dp/B0BVSK8WCF/ref=sr_1_5?keywords=Wella+Invigo+Conditioner+250ml&amp;qid=1695259847&amp;sr=8-5")</f>
        <v>https://www.amazon.com/Professionals-Nutri-Enrich-Shampoo-Conditioner-Moisturizing/dp/B0BVSK8WCF/ref=sr_1_5?keywords=Wella+Invigo+Conditioner+250ml&amp;qid=1695259847&amp;sr=8-5</v>
      </c>
      <c r="F3020" t="s">
        <v>7519</v>
      </c>
      <c r="G3020" t="e">
        <f ca="1">IMAGE("https://richardkroll.com/wp-content/uploads/2022/04/022430A8-0823-491B-9268-47802C77086C-600x800.png")</f>
        <v>#NAME?</v>
      </c>
      <c r="H3020" t="e">
        <f ca="1">IMAGE("https://m.media-amazon.com/images/I/61DBmYhhDyL._AC_UL320_.jpg")</f>
        <v>#NAME?</v>
      </c>
      <c r="I3020" t="s">
        <v>7521</v>
      </c>
      <c r="J3020">
        <v>76.8</v>
      </c>
      <c r="K3020" s="2" t="s">
        <v>7522</v>
      </c>
      <c r="L3020">
        <v>5</v>
      </c>
      <c r="M3020">
        <v>10</v>
      </c>
      <c r="O3020" t="s">
        <v>26</v>
      </c>
      <c r="P3020" t="s">
        <v>39</v>
      </c>
      <c r="Q3020" t="s">
        <v>39</v>
      </c>
    </row>
    <row r="3021" spans="1:17" ht="15.75" x14ac:dyDescent="0.25">
      <c r="A3021" s="3" t="str">
        <f>HYPERLINK("https://richardkroll.com/product/sebastian-penetraitt-shampoo-250ml/", "https://richardkroll.com/product/sebastian-penetraitt-shampoo-250ml/")</f>
        <v>https://richardkroll.com/product/sebastian-penetraitt-shampoo-250ml/</v>
      </c>
      <c r="B3021" s="3" t="str">
        <f>HYPERLINK("https://richardkroll.com/product/sebastian-penetraitt-shampoo-250ml/", "https://richardkroll.com/product/sebastian-penetraitt-shampoo-250ml/")</f>
        <v>https://richardkroll.com/product/sebastian-penetraitt-shampoo-250ml/</v>
      </c>
      <c r="C3021" t="s">
        <v>7523</v>
      </c>
      <c r="D3021" t="s">
        <v>7524</v>
      </c>
      <c r="E3021" s="3" t="str">
        <f>HYPERLINK("https://www.amazon.com/Sebastian-Penetraitt-Strenghtening-Shampoo-Conditioner/dp/B08KL7Q5W6/ref=sr_1_5?keywords=Sebastian+Penetraitt+Shampoo+250ml&amp;qid=1695259846&amp;sr=8-5", "https://www.amazon.com/Sebastian-Penetraitt-Strenghtening-Shampoo-Conditioner/dp/B08KL7Q5W6/ref=sr_1_5?keywords=Sebastian+Penetraitt+Shampoo+250ml&amp;qid=1695259846&amp;sr=8-5")</f>
        <v>https://www.amazon.com/Sebastian-Penetraitt-Strenghtening-Shampoo-Conditioner/dp/B08KL7Q5W6/ref=sr_1_5?keywords=Sebastian+Penetraitt+Shampoo+250ml&amp;qid=1695259846&amp;sr=8-5</v>
      </c>
      <c r="F3021" t="s">
        <v>7525</v>
      </c>
      <c r="G3021" t="e">
        <f ca="1">IMAGE("https://richardkroll.com/wp-content/uploads/2016/08/sebastian-penetraitt-250g-600x800.jpg")</f>
        <v>#NAME?</v>
      </c>
      <c r="H3021" t="e">
        <f ca="1">IMAGE("https://m.media-amazon.com/images/I/61ke1qPC4eL._AC_UL320_.jpg")</f>
        <v>#NAME?</v>
      </c>
      <c r="I3021" t="s">
        <v>7526</v>
      </c>
      <c r="J3021">
        <v>77.92</v>
      </c>
      <c r="K3021" s="2" t="s">
        <v>7527</v>
      </c>
      <c r="L3021">
        <v>4.7</v>
      </c>
      <c r="M3021">
        <v>206</v>
      </c>
      <c r="O3021" t="s">
        <v>26</v>
      </c>
      <c r="P3021" t="s">
        <v>39</v>
      </c>
      <c r="Q3021" t="s">
        <v>39</v>
      </c>
    </row>
    <row r="3022" spans="1:17" ht="15.75" x14ac:dyDescent="0.25">
      <c r="A3022" s="3" t="str">
        <f>HYPERLINK("https://richardkroll.com/product/sebastian-dark-oil-conditioner-250ml/", "https://richardkroll.com/product/sebastian-dark-oil-conditioner-250ml/")</f>
        <v>https://richardkroll.com/product/sebastian-dark-oil-conditioner-250ml/</v>
      </c>
      <c r="B3022" s="3" t="str">
        <f>HYPERLINK("https://richardkroll.com/product/sebastian-dark-oil-conditioner-250ml/", "https://richardkroll.com/product/sebastian-dark-oil-conditioner-250ml/")</f>
        <v>https://richardkroll.com/product/sebastian-dark-oil-conditioner-250ml/</v>
      </c>
      <c r="C3022" t="s">
        <v>7528</v>
      </c>
      <c r="D3022" t="s">
        <v>7504</v>
      </c>
      <c r="E3022" s="3" t="str">
        <f>HYPERLINK("https://www.amazon.com/Sebastian-Lightweight-Shampoo-33-8oz-Conditioner/dp/B08KL2ZKRQ/ref=sr_1_3?keywords=Sebastian+Dark+Oil+Conditioner+250ml&amp;qid=1695259838&amp;sr=8-3", "https://www.amazon.com/Sebastian-Lightweight-Shampoo-33-8oz-Conditioner/dp/B08KL2ZKRQ/ref=sr_1_3?keywords=Sebastian+Dark+Oil+Conditioner+250ml&amp;qid=1695259838&amp;sr=8-3")</f>
        <v>https://www.amazon.com/Sebastian-Lightweight-Shampoo-33-8oz-Conditioner/dp/B08KL2ZKRQ/ref=sr_1_3?keywords=Sebastian+Dark+Oil+Conditioner+250ml&amp;qid=1695259838&amp;sr=8-3</v>
      </c>
      <c r="F3022" t="s">
        <v>7505</v>
      </c>
      <c r="G3022" t="e">
        <f ca="1">IMAGE("https://richardkroll.com/wp-content/uploads/2022/04/Dark-Oil-Conditioner-600x800.jpg")</f>
        <v>#NAME?</v>
      </c>
      <c r="H3022" t="e">
        <f ca="1">IMAGE("https://m.media-amazon.com/images/I/41ARyX8rSNL._AC_UL320_.jpg")</f>
        <v>#NAME?</v>
      </c>
      <c r="I3022" t="s">
        <v>3319</v>
      </c>
      <c r="J3022">
        <v>85.92</v>
      </c>
      <c r="K3022" s="2" t="s">
        <v>7529</v>
      </c>
      <c r="L3022">
        <v>4.7</v>
      </c>
      <c r="M3022">
        <v>126</v>
      </c>
      <c r="O3022" t="s">
        <v>26</v>
      </c>
      <c r="P3022" t="s">
        <v>39</v>
      </c>
      <c r="Q3022" t="s">
        <v>39</v>
      </c>
    </row>
    <row r="3023" spans="1:17" ht="15.75" x14ac:dyDescent="0.25">
      <c r="A3023" s="3" t="str">
        <f>HYPERLINK("https://richardkroll.com/product/nutrifuse-nourishing-shampoo-300ml/", "https://richardkroll.com/product/nutrifuse-nourishing-shampoo-300ml/")</f>
        <v>https://richardkroll.com/product/nutrifuse-nourishing-shampoo-300ml/</v>
      </c>
      <c r="B3023" s="3" t="str">
        <f>HYPERLINK("https://richardkroll.com/product/nutrifuse-nourishing-shampoo-300ml/", "https://richardkroll.com/product/nutrifuse-nourishing-shampoo-300ml/")</f>
        <v>https://richardkroll.com/product/nutrifuse-nourishing-shampoo-300ml/</v>
      </c>
      <c r="C3023" t="s">
        <v>7508</v>
      </c>
      <c r="D3023" t="s">
        <v>7530</v>
      </c>
      <c r="E3023" s="3" t="str">
        <f>HYPERLINK("https://www.amazon.com/Nutrifuse-Nourishing-Shampoo-Moisture-Rich-Conditioner/dp/B07FYNNLMF/ref=sr_1_2?keywords=Nutrifuse+Nourishing+Shampoo+300ml&amp;qid=1695259832&amp;sr=8-2", "https://www.amazon.com/Nutrifuse-Nourishing-Shampoo-Moisture-Rich-Conditioner/dp/B07FYNNLMF/ref=sr_1_2?keywords=Nutrifuse+Nourishing+Shampoo+300ml&amp;qid=1695259832&amp;sr=8-2")</f>
        <v>https://www.amazon.com/Nutrifuse-Nourishing-Shampoo-Moisture-Rich-Conditioner/dp/B07FYNNLMF/ref=sr_1_2?keywords=Nutrifuse+Nourishing+Shampoo+300ml&amp;qid=1695259832&amp;sr=8-2</v>
      </c>
      <c r="F3023" t="s">
        <v>7531</v>
      </c>
      <c r="G3023" t="e">
        <f ca="1">IMAGE("https://richardkroll.com/wp-content/uploads/2021/09/Nutrifuse-Nourishing-Shampoo-for-Men-600x800.jpg")</f>
        <v>#NAME?</v>
      </c>
      <c r="H3023" t="e">
        <f ca="1">IMAGE("https://m.media-amazon.com/images/I/51xTzu2f+xL._AC_UL320_.jpg")</f>
        <v>#NAME?</v>
      </c>
      <c r="I3023" t="s">
        <v>7511</v>
      </c>
      <c r="J3023">
        <v>81.95</v>
      </c>
      <c r="K3023" s="2" t="s">
        <v>7532</v>
      </c>
      <c r="L3023">
        <v>4.7</v>
      </c>
      <c r="M3023">
        <v>2</v>
      </c>
      <c r="O3023" t="s">
        <v>26</v>
      </c>
      <c r="P3023" t="s">
        <v>39</v>
      </c>
      <c r="Q3023" t="s">
        <v>39</v>
      </c>
    </row>
    <row r="3024" spans="1:17" ht="15.75" x14ac:dyDescent="0.25">
      <c r="A3024" s="3" t="str">
        <f>HYPERLINK("https://richardkroll.com/product/nutrifuse-nourishing-shampoo-300ml/", "https://richardkroll.com/product/nutrifuse-nourishing-shampoo-300ml/")</f>
        <v>https://richardkroll.com/product/nutrifuse-nourishing-shampoo-300ml/</v>
      </c>
      <c r="B3024" s="3" t="str">
        <f>HYPERLINK("https://richardkroll.com/product/nutrifuse-nourishing-shampoo-300ml/", "https://richardkroll.com/product/nutrifuse-nourishing-shampoo-300ml/")</f>
        <v>https://richardkroll.com/product/nutrifuse-nourishing-shampoo-300ml/</v>
      </c>
      <c r="C3024" t="s">
        <v>7508</v>
      </c>
      <c r="D3024" t="s">
        <v>7533</v>
      </c>
      <c r="E3024" s="3" t="str">
        <f>HYPERLINK("https://www.amazon.com/Nutrifuse-Nourishing-Shampoo-Moisture-Rich-Conditioner/dp/B07FYRHNS9/ref=sr_1_1?keywords=Nutrifuse+Nourishing+Shampoo+300ml&amp;qid=1695259832&amp;sr=8-1", "https://www.amazon.com/Nutrifuse-Nourishing-Shampoo-Moisture-Rich-Conditioner/dp/B07FYRHNS9/ref=sr_1_1?keywords=Nutrifuse+Nourishing+Shampoo+300ml&amp;qid=1695259832&amp;sr=8-1")</f>
        <v>https://www.amazon.com/Nutrifuse-Nourishing-Shampoo-Moisture-Rich-Conditioner/dp/B07FYRHNS9/ref=sr_1_1?keywords=Nutrifuse+Nourishing+Shampoo+300ml&amp;qid=1695259832&amp;sr=8-1</v>
      </c>
      <c r="F3024" t="s">
        <v>7534</v>
      </c>
      <c r="G3024" t="e">
        <f ca="1">IMAGE("https://richardkroll.com/wp-content/uploads/2021/09/Nutrifuse-Nourishing-Shampoo-for-Men-600x800.jpg")</f>
        <v>#NAME?</v>
      </c>
      <c r="H3024" t="e">
        <f ca="1">IMAGE("https://m.media-amazon.com/images/I/51GuWA7zKQL._AC_UL320_.jpg")</f>
        <v>#NAME?</v>
      </c>
      <c r="I3024" t="s">
        <v>7511</v>
      </c>
      <c r="J3024">
        <v>81.95</v>
      </c>
      <c r="K3024" s="2" t="s">
        <v>7532</v>
      </c>
      <c r="L3024">
        <v>5</v>
      </c>
      <c r="M3024">
        <v>5</v>
      </c>
      <c r="O3024" t="s">
        <v>26</v>
      </c>
      <c r="P3024" t="s">
        <v>39</v>
      </c>
      <c r="Q3024" t="s">
        <v>39</v>
      </c>
    </row>
    <row r="3025" spans="1:17" ht="15.75" x14ac:dyDescent="0.25">
      <c r="A3025" s="3" t="str">
        <f>HYPERLINK("https://richardkroll.com/product/wella-color-motion-shampoo-250ml/", "https://richardkroll.com/product/wella-color-motion-shampoo-250ml/")</f>
        <v>https://richardkroll.com/product/wella-color-motion-shampoo-250ml/</v>
      </c>
      <c r="B3025" s="3" t="str">
        <f>HYPERLINK("https://richardkroll.com/product/wella-color-motion-shampoo-250ml/", "https://richardkroll.com/product/wella-color-motion-shampoo-250ml/")</f>
        <v>https://richardkroll.com/product/wella-color-motion-shampoo-250ml/</v>
      </c>
      <c r="C3025" t="s">
        <v>7535</v>
      </c>
      <c r="D3025" t="s">
        <v>7536</v>
      </c>
      <c r="E3025" s="3" t="str">
        <f>HYPERLINK("https://www.amazon.com/Professionals-ColorMotion-Conditioner-Strengthening-Moisturizing/dp/B0BZGL8YCK/ref=sr_1_5?keywords=Wella+Color+Motion+Shampoo+250ml&amp;qid=1695259840&amp;sr=8-5", "https://www.amazon.com/Professionals-ColorMotion-Conditioner-Strengthening-Moisturizing/dp/B0BZGL8YCK/ref=sr_1_5?keywords=Wella+Color+Motion+Shampoo+250ml&amp;qid=1695259840&amp;sr=8-5")</f>
        <v>https://www.amazon.com/Professionals-ColorMotion-Conditioner-Strengthening-Moisturizing/dp/B0BZGL8YCK/ref=sr_1_5?keywords=Wella+Color+Motion+Shampoo+250ml&amp;qid=1695259840&amp;sr=8-5</v>
      </c>
      <c r="F3025" t="s">
        <v>7537</v>
      </c>
      <c r="G3025" t="e">
        <f ca="1">IMAGE("https://richardkroll.com/wp-content/uploads/2022/04/74E9BA1C-0B1C-4AAF-981F-58BC4FA77B4B-600x800.png")</f>
        <v>#NAME?</v>
      </c>
      <c r="H3025" t="e">
        <f ca="1">IMAGE("https://m.media-amazon.com/images/I/51oG2-CwXpL._AC_UL320_.jpg")</f>
        <v>#NAME?</v>
      </c>
      <c r="I3025" t="s">
        <v>7501</v>
      </c>
      <c r="J3025">
        <v>75</v>
      </c>
      <c r="K3025" s="2" t="s">
        <v>3235</v>
      </c>
      <c r="L3025">
        <v>4</v>
      </c>
      <c r="M3025">
        <v>2</v>
      </c>
      <c r="O3025" t="s">
        <v>26</v>
      </c>
      <c r="P3025" t="s">
        <v>39</v>
      </c>
      <c r="Q3025" t="s">
        <v>39</v>
      </c>
    </row>
    <row r="3026" spans="1:17" ht="15.75" x14ac:dyDescent="0.25">
      <c r="A3026" s="3" t="str">
        <f>HYPERLINK("https://richardkroll.com/product/all-nutrient-volumize-conditioner-raspbody/", "https://richardkroll.com/product/all-nutrient-volumize-conditioner-raspbody/")</f>
        <v>https://richardkroll.com/product/all-nutrient-volumize-conditioner-raspbody/</v>
      </c>
      <c r="B3026" s="3" t="str">
        <f>HYPERLINK("https://richardkroll.com/product/all-nutrient-volumize-conditioner-raspbody/", "https://richardkroll.com/product/all-nutrient-volumize-conditioner-raspbody/")</f>
        <v>https://richardkroll.com/product/all-nutrient-volumize-conditioner-raspbody/</v>
      </c>
      <c r="C3026" t="s">
        <v>7538</v>
      </c>
      <c r="D3026" t="s">
        <v>7539</v>
      </c>
      <c r="E3026" s="3" t="str">
        <f>HYPERLINK("https://www.amazon.com/All-Nutrient-VOLUMIZE-Conditioner-Dimension-Protection/dp/B0872KJSY6/ref=sr_1_1?keywords=All+Nutrient+Volumize+Conditioner&amp;qid=1695259821&amp;sr=8-1", "https://www.amazon.com/All-Nutrient-VOLUMIZE-Conditioner-Dimension-Protection/dp/B0872KJSY6/ref=sr_1_1?keywords=All+Nutrient+Volumize+Conditioner&amp;qid=1695259821&amp;sr=8-1")</f>
        <v>https://www.amazon.com/All-Nutrient-VOLUMIZE-Conditioner-Dimension-Protection/dp/B0872KJSY6/ref=sr_1_1?keywords=All+Nutrient+Volumize+Conditioner&amp;qid=1695259821&amp;sr=8-1</v>
      </c>
      <c r="F3026" t="s">
        <v>7540</v>
      </c>
      <c r="G3026" t="e">
        <f ca="1">IMAGE("https://richardkroll.com/wp-content/uploads/2016/08/Volumize-Conditioner-600x800.jpg")</f>
        <v>#NAME?</v>
      </c>
      <c r="H3026" t="e">
        <f ca="1">IMAGE("https://m.media-amazon.com/images/I/71Pe1KcZo1L._AC_UL320_.jpg")</f>
        <v>#NAME?</v>
      </c>
      <c r="I3026" t="s">
        <v>394</v>
      </c>
      <c r="J3026">
        <v>44.5</v>
      </c>
      <c r="K3026" s="2" t="s">
        <v>7541</v>
      </c>
      <c r="L3026">
        <v>4.0999999999999996</v>
      </c>
      <c r="M3026">
        <v>19</v>
      </c>
      <c r="O3026" t="s">
        <v>26</v>
      </c>
      <c r="P3026" t="s">
        <v>39</v>
      </c>
      <c r="Q3026" t="s">
        <v>7542</v>
      </c>
    </row>
    <row r="3027" spans="1:17" ht="15.75" x14ac:dyDescent="0.25">
      <c r="A3027" s="3" t="str">
        <f>HYPERLINK("https://richardkroll.com/product/pure-nv-balancing-shampoo-250ml/", "https://richardkroll.com/product/pure-nv-balancing-shampoo-250ml/")</f>
        <v>https://richardkroll.com/product/pure-nv-balancing-shampoo-250ml/</v>
      </c>
      <c r="B3027" s="3" t="str">
        <f>HYPERLINK("https://richardkroll.com/product/pure-nv-balancing-shampoo-250ml/", "https://richardkroll.com/product/pure-nv-balancing-shampoo-250ml/")</f>
        <v>https://richardkroll.com/product/pure-nv-balancing-shampoo-250ml/</v>
      </c>
      <c r="C3027" t="s">
        <v>7492</v>
      </c>
      <c r="D3027" t="s">
        <v>7543</v>
      </c>
      <c r="E3027" s="3" t="str">
        <f>HYPERLINK("https://www.amazon.com/Pure-NV-BKT-Balancing-Shampoo/dp/B00J4QFW9U/ref=sr_1_1?keywords=Pure+NV+Balancing+Shampoo+250ml&amp;qid=1695259830&amp;sr=8-1", "https://www.amazon.com/Pure-NV-BKT-Balancing-Shampoo/dp/B00J4QFW9U/ref=sr_1_1?keywords=Pure+NV+Balancing+Shampoo+250ml&amp;qid=1695259830&amp;sr=8-1")</f>
        <v>https://www.amazon.com/Pure-NV-BKT-Balancing-Shampoo/dp/B00J4QFW9U/ref=sr_1_1?keywords=Pure+NV+Balancing+Shampoo+250ml&amp;qid=1695259830&amp;sr=8-1</v>
      </c>
      <c r="F3027" t="s">
        <v>7544</v>
      </c>
      <c r="G3027" t="e">
        <f ca="1">IMAGE("https://richardkroll.com/wp-content/uploads/2021/09/pure-nv-balancing-shampoo-600x800.webp")</f>
        <v>#NAME?</v>
      </c>
      <c r="H3027" t="e">
        <f ca="1">IMAGE("https://m.media-amazon.com/images/I/71fHg+raW8L._AC_UL320_.jpg")</f>
        <v>#NAME?</v>
      </c>
      <c r="I3027" t="s">
        <v>7495</v>
      </c>
      <c r="J3027">
        <v>70</v>
      </c>
      <c r="K3027" s="2" t="s">
        <v>7545</v>
      </c>
      <c r="L3027">
        <v>5</v>
      </c>
      <c r="M3027">
        <v>2</v>
      </c>
      <c r="O3027" t="s">
        <v>26</v>
      </c>
      <c r="P3027" t="s">
        <v>39</v>
      </c>
      <c r="Q3027" t="s">
        <v>39</v>
      </c>
    </row>
    <row r="3028" spans="1:17" ht="15.75" x14ac:dyDescent="0.25">
      <c r="A3028" s="3" t="str">
        <f>HYPERLINK("https://richardkroll.com/product/pure-nv-balancing-conditioner-250ml/", "https://richardkroll.com/product/pure-nv-balancing-conditioner-250ml/")</f>
        <v>https://richardkroll.com/product/pure-nv-balancing-conditioner-250ml/</v>
      </c>
      <c r="B3028" s="3" t="str">
        <f>HYPERLINK("https://richardkroll.com/product/pure-nv-balancing-conditioner-250ml/", "https://richardkroll.com/product/pure-nv-balancing-conditioner-250ml/")</f>
        <v>https://richardkroll.com/product/pure-nv-balancing-conditioner-250ml/</v>
      </c>
      <c r="C3028" t="s">
        <v>7497</v>
      </c>
      <c r="D3028" t="s">
        <v>7546</v>
      </c>
      <c r="E3028" s="3" t="str">
        <f>HYPERLINK("https://www.amazon.com/Pure-NV-BKT-Balancing-Conditioner/dp/B00J4QGOVA/ref=sr_1_2?keywords=Pure+NV+Balancing+Conditioner+250ml&amp;qid=1695259829&amp;sr=8-2", "https://www.amazon.com/Pure-NV-BKT-Balancing-Conditioner/dp/B00J4QGOVA/ref=sr_1_2?keywords=Pure+NV+Balancing+Conditioner+250ml&amp;qid=1695259829&amp;sr=8-2")</f>
        <v>https://www.amazon.com/Pure-NV-BKT-Balancing-Conditioner/dp/B00J4QGOVA/ref=sr_1_2?keywords=Pure+NV+Balancing+Conditioner+250ml&amp;qid=1695259829&amp;sr=8-2</v>
      </c>
      <c r="F3028" t="s">
        <v>7547</v>
      </c>
      <c r="G3028" t="e">
        <f ca="1">IMAGE("https://richardkroll.com/wp-content/uploads/2021/09/Pure-NV-Balancing-Conditioner-600x800.jpg")</f>
        <v>#NAME?</v>
      </c>
      <c r="H3028" t="e">
        <f ca="1">IMAGE("https://m.media-amazon.com/images/I/61MX5gMd6UL._AC_UL320_.jpg")</f>
        <v>#NAME?</v>
      </c>
      <c r="I3028" t="s">
        <v>7495</v>
      </c>
      <c r="J3028">
        <v>70</v>
      </c>
      <c r="K3028" s="2" t="s">
        <v>7545</v>
      </c>
      <c r="L3028">
        <v>4.5999999999999996</v>
      </c>
      <c r="M3028">
        <v>20</v>
      </c>
      <c r="O3028" t="s">
        <v>26</v>
      </c>
      <c r="P3028" t="s">
        <v>39</v>
      </c>
      <c r="Q3028" t="s">
        <v>39</v>
      </c>
    </row>
    <row r="3029" spans="1:17" ht="15.75" x14ac:dyDescent="0.25">
      <c r="A3029" s="3" t="str">
        <f>HYPERLINK("https://richardkroll.com/product/pure-nv-hydrating-conditioner-250ml/", "https://richardkroll.com/product/pure-nv-hydrating-conditioner-250ml/")</f>
        <v>https://richardkroll.com/product/pure-nv-hydrating-conditioner-250ml/</v>
      </c>
      <c r="B3029" s="3" t="str">
        <f>HYPERLINK("https://richardkroll.com/product/pure-nv-hydrating-conditioner-250ml/", "https://richardkroll.com/product/pure-nv-hydrating-conditioner-250ml/")</f>
        <v>https://richardkroll.com/product/pure-nv-hydrating-conditioner-250ml/</v>
      </c>
      <c r="C3029" t="s">
        <v>7548</v>
      </c>
      <c r="D3029" t="s">
        <v>7549</v>
      </c>
      <c r="E3029" s="3" t="str">
        <f>HYPERLINK("https://www.amazon.com/Pure-NV-BKT-Hydrating-Conditioner/dp/B01885YPNG/ref=sr_1_1?keywords=Pure+NV+Hydrating+Conditioner+250ml&amp;qid=1695259832&amp;sr=8-1", "https://www.amazon.com/Pure-NV-BKT-Hydrating-Conditioner/dp/B01885YPNG/ref=sr_1_1?keywords=Pure+NV+Hydrating+Conditioner+250ml&amp;qid=1695259832&amp;sr=8-1")</f>
        <v>https://www.amazon.com/Pure-NV-BKT-Hydrating-Conditioner/dp/B01885YPNG/ref=sr_1_1?keywords=Pure+NV+Hydrating+Conditioner+250ml&amp;qid=1695259832&amp;sr=8-1</v>
      </c>
      <c r="F3029" t="s">
        <v>7550</v>
      </c>
      <c r="G3029" t="e">
        <f ca="1">IMAGE("https://richardkroll.com/wp-content/uploads/2021/09/Pure-NV-Hydrating-Conditioner-600x800.jpg")</f>
        <v>#NAME?</v>
      </c>
      <c r="H3029" t="e">
        <f ca="1">IMAGE("https://m.media-amazon.com/images/I/61NjmoOp34L._AC_UL320_.jpg")</f>
        <v>#NAME?</v>
      </c>
      <c r="I3029" t="s">
        <v>7551</v>
      </c>
      <c r="J3029">
        <v>70</v>
      </c>
      <c r="K3029" s="2" t="s">
        <v>7552</v>
      </c>
      <c r="L3029">
        <v>4.2</v>
      </c>
      <c r="M3029">
        <v>4</v>
      </c>
      <c r="O3029" t="s">
        <v>26</v>
      </c>
      <c r="P3029" t="s">
        <v>39</v>
      </c>
      <c r="Q3029" t="s">
        <v>39</v>
      </c>
    </row>
    <row r="3030" spans="1:17" ht="15.75" x14ac:dyDescent="0.25">
      <c r="A3030" s="3" t="str">
        <f>HYPERLINK("https://richardkroll.com/product/sebastian-penetraitt-repair-masque/", "https://richardkroll.com/product/sebastian-penetraitt-repair-masque/")</f>
        <v>https://richardkroll.com/product/sebastian-penetraitt-repair-masque/</v>
      </c>
      <c r="B3030" s="3" t="str">
        <f>HYPERLINK("https://richardkroll.com/product/sebastian-penetraitt-repair-masque/", "https://richardkroll.com/product/sebastian-penetraitt-repair-masque/")</f>
        <v>https://richardkroll.com/product/sebastian-penetraitt-repair-masque/</v>
      </c>
      <c r="C3030" t="s">
        <v>7553</v>
      </c>
      <c r="D3030" t="s">
        <v>7554</v>
      </c>
      <c r="E3030" s="3" t="str">
        <f>HYPERLINK("https://www.amazon.com/SARF-Professional-Penetraitt-Strengthening-Treatment/dp/B0C1THDQGM/ref=sr_1_5?keywords=Sebastian+Penetraitt+Repair+Masque&amp;qid=1695259857&amp;sr=8-5", "https://www.amazon.com/SARF-Professional-Penetraitt-Strengthening-Treatment/dp/B0C1THDQGM/ref=sr_1_5?keywords=Sebastian+Penetraitt+Repair+Masque&amp;qid=1695259857&amp;sr=8-5")</f>
        <v>https://www.amazon.com/SARF-Professional-Penetraitt-Strengthening-Treatment/dp/B0C1THDQGM/ref=sr_1_5?keywords=Sebastian+Penetraitt+Repair+Masque&amp;qid=1695259857&amp;sr=8-5</v>
      </c>
      <c r="F3030" t="s">
        <v>7555</v>
      </c>
      <c r="G3030" t="e">
        <f ca="1">IMAGE("https://richardkroll.com/wp-content/uploads/2016/08/Penetraitt-Masque-600x800.jpg")</f>
        <v>#NAME?</v>
      </c>
      <c r="H3030" t="e">
        <f ca="1">IMAGE("https://m.media-amazon.com/images/I/51mF3950TuL._AC_UL320_.jpg")</f>
        <v>#NAME?</v>
      </c>
      <c r="I3030" t="s">
        <v>3680</v>
      </c>
      <c r="J3030">
        <v>52.5</v>
      </c>
      <c r="K3030" s="2" t="s">
        <v>7556</v>
      </c>
      <c r="L3030">
        <v>5</v>
      </c>
      <c r="M3030">
        <v>1</v>
      </c>
      <c r="O3030" t="s">
        <v>26</v>
      </c>
      <c r="P3030" t="s">
        <v>39</v>
      </c>
      <c r="Q3030" t="s">
        <v>7557</v>
      </c>
    </row>
    <row r="3031" spans="1:17" ht="15.75" x14ac:dyDescent="0.25">
      <c r="A3031" s="3" t="str">
        <f>HYPERLINK("https://richardkroll.com/product/all-nutrient-volumize-shampoo/", "https://richardkroll.com/product/all-nutrient-volumize-shampoo/")</f>
        <v>https://richardkroll.com/product/all-nutrient-volumize-shampoo/</v>
      </c>
      <c r="B3031" s="3" t="str">
        <f>HYPERLINK("https://richardkroll.com/product/all-nutrient-volumize-shampoo/", "https://richardkroll.com/product/all-nutrient-volumize-shampoo/")</f>
        <v>https://richardkroll.com/product/all-nutrient-volumize-shampoo/</v>
      </c>
      <c r="C3031" t="s">
        <v>7558</v>
      </c>
      <c r="D3031" t="s">
        <v>7539</v>
      </c>
      <c r="E3031" s="3" t="str">
        <f>HYPERLINK("https://www.amazon.com/All-Nutrient-VOLUMIZE-Conditioner-Dimension-Protection/dp/B0872KJSY6/ref=sr_1_fkmr1_2?keywords=All+Nutrient+Volumize+Shampoo+%28Raspbody%29&amp;qid=1695259821&amp;sr=8-2-fkmr1", "https://www.amazon.com/All-Nutrient-VOLUMIZE-Conditioner-Dimension-Protection/dp/B0872KJSY6/ref=sr_1_fkmr1_2?keywords=All+Nutrient+Volumize+Shampoo+%28Raspbody%29&amp;qid=1695259821&amp;sr=8-2-fkmr1")</f>
        <v>https://www.amazon.com/All-Nutrient-VOLUMIZE-Conditioner-Dimension-Protection/dp/B0872KJSY6/ref=sr_1_fkmr1_2?keywords=All+Nutrient+Volumize+Shampoo+%28Raspbody%29&amp;qid=1695259821&amp;sr=8-2-fkmr1</v>
      </c>
      <c r="F3031" t="s">
        <v>7540</v>
      </c>
      <c r="G3031" t="e">
        <f ca="1">IMAGE("https://richardkroll.com/wp-content/uploads/2016/08/AN-Volumize-Shampoo-600x600.jpg")</f>
        <v>#NAME?</v>
      </c>
      <c r="H3031" t="e">
        <f ca="1">IMAGE("https://m.media-amazon.com/images/I/71Pe1KcZo1L._AC_UL320_.jpg")</f>
        <v>#NAME?</v>
      </c>
      <c r="I3031" t="s">
        <v>7559</v>
      </c>
      <c r="J3031">
        <v>44.5</v>
      </c>
      <c r="K3031" s="2" t="s">
        <v>7560</v>
      </c>
      <c r="L3031">
        <v>4.0999999999999996</v>
      </c>
      <c r="M3031">
        <v>19</v>
      </c>
      <c r="O3031" t="s">
        <v>26</v>
      </c>
      <c r="P3031" t="s">
        <v>39</v>
      </c>
      <c r="Q3031" t="s">
        <v>7561</v>
      </c>
    </row>
    <row r="3032" spans="1:17" ht="15.75" x14ac:dyDescent="0.25">
      <c r="A3032" s="3" t="str">
        <f>HYPERLINK("https://richardkroll.com/product/sebastian-light-conditioner-250ml/", "https://richardkroll.com/product/sebastian-light-conditioner-250ml/")</f>
        <v>https://richardkroll.com/product/sebastian-light-conditioner-250ml/</v>
      </c>
      <c r="B3032" s="3" t="str">
        <f>HYPERLINK("https://richardkroll.com/product/sebastian-light-conditioner-250ml/", "https://richardkroll.com/product/sebastian-light-conditioner-250ml/")</f>
        <v>https://richardkroll.com/product/sebastian-light-conditioner-250ml/</v>
      </c>
      <c r="C3032" t="s">
        <v>7562</v>
      </c>
      <c r="D3032" t="s">
        <v>7563</v>
      </c>
      <c r="E3032" s="3" t="str">
        <f>HYPERLINK("https://www.amazon.com/Lightweight-Conditioner-Jojoba-Argan-33-79/dp/B07TFVCPBS/ref=sr_1_2?keywords=Sebastian+Light+Conditioner+250ml&amp;qid=1695259866&amp;sr=8-2", "https://www.amazon.com/Lightweight-Conditioner-Jojoba-Argan-33-79/dp/B07TFVCPBS/ref=sr_1_2?keywords=Sebastian+Light+Conditioner+250ml&amp;qid=1695259866&amp;sr=8-2")</f>
        <v>https://www.amazon.com/Lightweight-Conditioner-Jojoba-Argan-33-79/dp/B07TFVCPBS/ref=sr_1_2?keywords=Sebastian+Light+Conditioner+250ml&amp;qid=1695259866&amp;sr=8-2</v>
      </c>
      <c r="F3032" t="s">
        <v>7564</v>
      </c>
      <c r="G3032" t="e">
        <f ca="1">IMAGE("https://richardkroll.com/wp-content/uploads/2021/08/sebastian-light-conditoner-250ml-600x775.jpg")</f>
        <v>#NAME?</v>
      </c>
      <c r="H3032" t="e">
        <f ca="1">IMAGE("https://m.media-amazon.com/images/I/71L9cznJMfL._AC_UL320_.jpg")</f>
        <v>#NAME?</v>
      </c>
      <c r="I3032" t="s">
        <v>7521</v>
      </c>
      <c r="J3032">
        <v>48</v>
      </c>
      <c r="K3032" s="2" t="s">
        <v>7565</v>
      </c>
      <c r="L3032">
        <v>4.5999999999999996</v>
      </c>
      <c r="M3032">
        <v>411</v>
      </c>
      <c r="O3032" t="s">
        <v>26</v>
      </c>
      <c r="P3032" t="s">
        <v>39</v>
      </c>
      <c r="Q3032" t="s">
        <v>39</v>
      </c>
    </row>
    <row r="3033" spans="1:17" ht="15.75" x14ac:dyDescent="0.25">
      <c r="A3033" s="3" t="str">
        <f>HYPERLINK("https://richardkroll.com/product/all-nutrient-protect-conditioner-colorsafe-12oz/", "https://richardkroll.com/product/all-nutrient-protect-conditioner-colorsafe-12oz/")</f>
        <v>https://richardkroll.com/product/all-nutrient-protect-conditioner-colorsafe-12oz/</v>
      </c>
      <c r="B3033" s="3" t="str">
        <f>HYPERLINK("https://richardkroll.com/product/all-nutrient-protect-conditioner-colorsafe-12oz/", "https://richardkroll.com/product/all-nutrient-protect-conditioner-colorsafe-12oz/")</f>
        <v>https://richardkroll.com/product/all-nutrient-protect-conditioner-colorsafe-12oz/</v>
      </c>
      <c r="C3033" t="s">
        <v>7566</v>
      </c>
      <c r="D3033" t="s">
        <v>7567</v>
      </c>
      <c r="E3033" s="3" t="str">
        <f>HYPERLINK("https://www.amazon.com/All-Nutrient-Shampoo-Conditioner-extends/dp/B077SCZK5R/ref=sr_1_1?keywords=All-Nutrient+Colorsafe+Conditioner+350ml&amp;qid=1695259823&amp;sr=8-1", "https://www.amazon.com/All-Nutrient-Shampoo-Conditioner-extends/dp/B077SCZK5R/ref=sr_1_1?keywords=All-Nutrient+Colorsafe+Conditioner+350ml&amp;qid=1695259823&amp;sr=8-1")</f>
        <v>https://www.amazon.com/All-Nutrient-Shampoo-Conditioner-extends/dp/B077SCZK5R/ref=sr_1_1?keywords=All-Nutrient+Colorsafe+Conditioner+350ml&amp;qid=1695259823&amp;sr=8-1</v>
      </c>
      <c r="F3033" t="s">
        <v>7568</v>
      </c>
      <c r="G3033" t="e">
        <f ca="1">IMAGE("https://richardkroll.com/wp-content/uploads/2021/09/all-nutrient-colorsafe-conditioner-600x800.webp")</f>
        <v>#NAME?</v>
      </c>
      <c r="H3033" t="e">
        <f ca="1">IMAGE("https://m.media-amazon.com/images/I/411VFwI1BdL._AC_UL320_.jpg")</f>
        <v>#NAME?</v>
      </c>
      <c r="I3033" t="s">
        <v>394</v>
      </c>
      <c r="J3033">
        <v>40</v>
      </c>
      <c r="K3033" s="2" t="s">
        <v>7569</v>
      </c>
      <c r="L3033">
        <v>4.4000000000000004</v>
      </c>
      <c r="M3033">
        <v>59</v>
      </c>
      <c r="O3033" t="s">
        <v>26</v>
      </c>
      <c r="P3033" t="s">
        <v>39</v>
      </c>
      <c r="Q3033" t="s">
        <v>7570</v>
      </c>
    </row>
    <row r="3034" spans="1:17" ht="15.75" x14ac:dyDescent="0.25">
      <c r="A3034" s="3" t="str">
        <f>HYPERLINK("https://richardkroll.com/product/all-nutrient-protect-shampoo-colorsafe-12oz/", "https://richardkroll.com/product/all-nutrient-protect-shampoo-colorsafe-12oz/")</f>
        <v>https://richardkroll.com/product/all-nutrient-protect-shampoo-colorsafe-12oz/</v>
      </c>
      <c r="B3034" s="3" t="str">
        <f>HYPERLINK("https://richardkroll.com/product/all-nutrient-protect-shampoo-colorsafe-12oz/", "https://richardkroll.com/product/all-nutrient-protect-shampoo-colorsafe-12oz/")</f>
        <v>https://richardkroll.com/product/all-nutrient-protect-shampoo-colorsafe-12oz/</v>
      </c>
      <c r="C3034" t="s">
        <v>7571</v>
      </c>
      <c r="D3034" t="s">
        <v>7567</v>
      </c>
      <c r="E3034" s="3" t="str">
        <f>HYPERLINK("https://www.amazon.com/All-Nutrient-Shampoo-Conditioner-extends/dp/B077SCZK5R/ref=sr_1_1?keywords=All-Nutrient+Colorsafe+Shampoo+350ml&amp;qid=1695259833&amp;sr=8-1", "https://www.amazon.com/All-Nutrient-Shampoo-Conditioner-extends/dp/B077SCZK5R/ref=sr_1_1?keywords=All-Nutrient+Colorsafe+Shampoo+350ml&amp;qid=1695259833&amp;sr=8-1")</f>
        <v>https://www.amazon.com/All-Nutrient-Shampoo-Conditioner-extends/dp/B077SCZK5R/ref=sr_1_1?keywords=All-Nutrient+Colorsafe+Shampoo+350ml&amp;qid=1695259833&amp;sr=8-1</v>
      </c>
      <c r="F3034" t="s">
        <v>7568</v>
      </c>
      <c r="G3034" t="e">
        <f ca="1">IMAGE("https://richardkroll.com/wp-content/uploads/2021/09/all-nutrient-colorsafe-shampoo-600x800.webp")</f>
        <v>#NAME?</v>
      </c>
      <c r="H3034" t="e">
        <f ca="1">IMAGE("https://m.media-amazon.com/images/I/411VFwI1BdL._AC_UL320_.jpg")</f>
        <v>#NAME?</v>
      </c>
      <c r="I3034" t="s">
        <v>394</v>
      </c>
      <c r="J3034">
        <v>40</v>
      </c>
      <c r="K3034" s="2" t="s">
        <v>7569</v>
      </c>
      <c r="L3034">
        <v>4.4000000000000004</v>
      </c>
      <c r="M3034">
        <v>59</v>
      </c>
      <c r="O3034" t="s">
        <v>26</v>
      </c>
      <c r="P3034" t="s">
        <v>39</v>
      </c>
      <c r="Q3034" t="s">
        <v>7572</v>
      </c>
    </row>
    <row r="3035" spans="1:17" ht="15.75" x14ac:dyDescent="0.25">
      <c r="A3035" s="3" t="str">
        <f>HYPERLINK("https://richardkroll.com/product/all-nutrient-volumize-conditioner-raspbody/", "https://richardkroll.com/product/all-nutrient-volumize-conditioner-raspbody/")</f>
        <v>https://richardkroll.com/product/all-nutrient-volumize-conditioner-raspbody/</v>
      </c>
      <c r="B3035" s="3" t="str">
        <f>HYPERLINK("https://richardkroll.com/product/all-nutrient-volumize-conditioner-raspbody/", "https://richardkroll.com/product/all-nutrient-volumize-conditioner-raspbody/")</f>
        <v>https://richardkroll.com/product/all-nutrient-volumize-conditioner-raspbody/</v>
      </c>
      <c r="C3035" t="s">
        <v>7538</v>
      </c>
      <c r="D3035" t="s">
        <v>7573</v>
      </c>
      <c r="E3035" s="3" t="str">
        <f>HYPERLINK("https://www.amazon.com/All-Nutrient-RESTORE-Conditioner-Dry-Damaged-Protection/dp/B0872KQFRT/ref=sr_1_9?keywords=All+Nutrient+Volumize+Conditioner&amp;qid=1695259821&amp;sr=8-9", "https://www.amazon.com/All-Nutrient-RESTORE-Conditioner-Dry-Damaged-Protection/dp/B0872KQFRT/ref=sr_1_9?keywords=All+Nutrient+Volumize+Conditioner&amp;qid=1695259821&amp;sr=8-9")</f>
        <v>https://www.amazon.com/All-Nutrient-RESTORE-Conditioner-Dry-Damaged-Protection/dp/B0872KQFRT/ref=sr_1_9?keywords=All+Nutrient+Volumize+Conditioner&amp;qid=1695259821&amp;sr=8-9</v>
      </c>
      <c r="F3035" t="s">
        <v>7574</v>
      </c>
      <c r="G3035" t="e">
        <f ca="1">IMAGE("https://richardkroll.com/wp-content/uploads/2016/08/Volumize-Conditioner-600x800.jpg")</f>
        <v>#NAME?</v>
      </c>
      <c r="H3035" t="e">
        <f ca="1">IMAGE("https://m.media-amazon.com/images/I/71ko5TVfk1L._AC_UL320_.jpg")</f>
        <v>#NAME?</v>
      </c>
      <c r="I3035" t="s">
        <v>394</v>
      </c>
      <c r="J3035">
        <v>39.99</v>
      </c>
      <c r="K3035" s="2" t="s">
        <v>4550</v>
      </c>
      <c r="L3035">
        <v>4.2</v>
      </c>
      <c r="M3035">
        <v>26</v>
      </c>
      <c r="O3035" t="s">
        <v>26</v>
      </c>
      <c r="P3035" t="s">
        <v>39</v>
      </c>
      <c r="Q3035" t="s">
        <v>7542</v>
      </c>
    </row>
    <row r="3036" spans="1:17" ht="15.75" x14ac:dyDescent="0.25">
      <c r="A3036" s="3" t="str">
        <f>HYPERLINK("https://richardkroll.com/product/sebastian-dark-oil-lightweight-shampoo-250ml/", "https://richardkroll.com/product/sebastian-dark-oil-lightweight-shampoo-250ml/")</f>
        <v>https://richardkroll.com/product/sebastian-dark-oil-lightweight-shampoo-250ml/</v>
      </c>
      <c r="B3036" s="3" t="str">
        <f>HYPERLINK("https://richardkroll.com/product/sebastian-dark-oil-lightweight-shampoo-250ml/", "https://richardkroll.com/product/sebastian-dark-oil-lightweight-shampoo-250ml/")</f>
        <v>https://richardkroll.com/product/sebastian-dark-oil-lightweight-shampoo-250ml/</v>
      </c>
      <c r="C3036" t="s">
        <v>7503</v>
      </c>
      <c r="D3036" t="s">
        <v>7575</v>
      </c>
      <c r="E3036" s="3" t="str">
        <f>HYPERLINK("https://www.amazon.com/Lightweight-Shampoo-Jojoba-Argan-33-79/dp/B07TDR1H6H/ref=sr_1_1?keywords=Sebastian+Dark+Oil+Lightweight+Shampoo+250ml&amp;qid=1695259828&amp;sr=8-1", "https://www.amazon.com/Lightweight-Shampoo-Jojoba-Argan-33-79/dp/B07TDR1H6H/ref=sr_1_1?keywords=Sebastian+Dark+Oil+Lightweight+Shampoo+250ml&amp;qid=1695259828&amp;sr=8-1")</f>
        <v>https://www.amazon.com/Lightweight-Shampoo-Jojoba-Argan-33-79/dp/B07TDR1H6H/ref=sr_1_1?keywords=Sebastian+Dark+Oil+Lightweight+Shampoo+250ml&amp;qid=1695259828&amp;sr=8-1</v>
      </c>
      <c r="F3036" t="s">
        <v>7576</v>
      </c>
      <c r="G3036" t="e">
        <f ca="1">IMAGE("https://richardkroll.com/wp-content/uploads/2022/04/Dark-Oil-Shampoo-600x800.jpg")</f>
        <v>#NAME?</v>
      </c>
      <c r="H3036" t="e">
        <f ca="1">IMAGE("https://m.media-amazon.com/images/I/61vs5x1aRAL._AC_UL320_.jpg")</f>
        <v>#NAME?</v>
      </c>
      <c r="I3036" t="s">
        <v>7506</v>
      </c>
      <c r="J3036">
        <v>46</v>
      </c>
      <c r="K3036" s="2" t="s">
        <v>7577</v>
      </c>
      <c r="L3036">
        <v>4.7</v>
      </c>
      <c r="M3036">
        <v>1345</v>
      </c>
      <c r="O3036" t="s">
        <v>26</v>
      </c>
      <c r="P3036" t="s">
        <v>39</v>
      </c>
      <c r="Q3036" t="s">
        <v>39</v>
      </c>
    </row>
    <row r="3037" spans="1:17" ht="15.75" x14ac:dyDescent="0.25">
      <c r="A3037" s="3" t="str">
        <f>HYPERLINK("https://richardkroll.com/product/wella-elements-renewing-conditioner-200ml/", "https://richardkroll.com/product/wella-elements-renewing-conditioner-200ml/")</f>
        <v>https://richardkroll.com/product/wella-elements-renewing-conditioner-200ml/</v>
      </c>
      <c r="B3037" s="3" t="str">
        <f>HYPERLINK("https://richardkroll.com/product/wella-elements-renewing-conditioner-200ml/", "https://richardkroll.com/product/wella-elements-renewing-conditioner-200ml/")</f>
        <v>https://richardkroll.com/product/wella-elements-renewing-conditioner-200ml/</v>
      </c>
      <c r="C3037" t="s">
        <v>7578</v>
      </c>
      <c r="D3037" t="s">
        <v>7579</v>
      </c>
      <c r="E3037" s="3" t="str">
        <f>HYPERLINK("https://www.amazon.com/Wella-Professionals-Elements-Conditioner-Detangling/dp/B09KQL21XF/ref=sr_1_1?keywords=Wella+Elements+Renewing+Conditioner+200ml&amp;qid=1695259843&amp;sr=8-1", "https://www.amazon.com/Wella-Professionals-Elements-Conditioner-Detangling/dp/B09KQL21XF/ref=sr_1_1?keywords=Wella+Elements+Renewing+Conditioner+200ml&amp;qid=1695259843&amp;sr=8-1")</f>
        <v>https://www.amazon.com/Wella-Professionals-Elements-Conditioner-Detangling/dp/B09KQL21XF/ref=sr_1_1?keywords=Wella+Elements+Renewing+Conditioner+200ml&amp;qid=1695259843&amp;sr=8-1</v>
      </c>
      <c r="F3037" t="s">
        <v>7580</v>
      </c>
      <c r="G3037" t="e">
        <f ca="1">IMAGE("https://richardkroll.com/wp-content/uploads/2022/04/79CD8322-8F41-4718-8D2E-9BAA3422A4F4-600x800.png")</f>
        <v>#NAME?</v>
      </c>
      <c r="H3037" t="e">
        <f ca="1">IMAGE("https://m.media-amazon.com/images/I/61Yx57opdAL._AC_UL320_.jpg")</f>
        <v>#NAME?</v>
      </c>
      <c r="I3037" t="s">
        <v>7581</v>
      </c>
      <c r="J3037">
        <v>54.3</v>
      </c>
      <c r="K3037" s="2" t="s">
        <v>7582</v>
      </c>
      <c r="L3037">
        <v>4.0999999999999996</v>
      </c>
      <c r="M3037">
        <v>9</v>
      </c>
      <c r="O3037" t="s">
        <v>26</v>
      </c>
      <c r="P3037" t="s">
        <v>39</v>
      </c>
      <c r="Q3037" t="s">
        <v>39</v>
      </c>
    </row>
    <row r="3038" spans="1:17" ht="15.75" x14ac:dyDescent="0.25">
      <c r="A3038" s="3" t="str">
        <f>HYPERLINK("https://richardkroll.com/product/wella-color-motion-conditioner-200ml/", "https://richardkroll.com/product/wella-color-motion-conditioner-200ml/")</f>
        <v>https://richardkroll.com/product/wella-color-motion-conditioner-200ml/</v>
      </c>
      <c r="B3038" s="3" t="str">
        <f>HYPERLINK("https://richardkroll.com/product/wella-color-motion-conditioner-200ml/", "https://richardkroll.com/product/wella-color-motion-conditioner-200ml/")</f>
        <v>https://richardkroll.com/product/wella-color-motion-conditioner-200ml/</v>
      </c>
      <c r="C3038" t="s">
        <v>7583</v>
      </c>
      <c r="D3038" t="s">
        <v>7584</v>
      </c>
      <c r="E3038" s="3" t="str">
        <f>HYPERLINK("https://www.amazon.com/Professionals-ColorMotion-Moisturizing-Conditioner-Nourishment/dp/B0BYBLFTDR/ref=sr_1_2?keywords=Wella+Color+Motion+Conditioner+200ml&amp;qid=1695259863&amp;sr=8-2", "https://www.amazon.com/Professionals-ColorMotion-Moisturizing-Conditioner-Nourishment/dp/B0BYBLFTDR/ref=sr_1_2?keywords=Wella+Color+Motion+Conditioner+200ml&amp;qid=1695259863&amp;sr=8-2")</f>
        <v>https://www.amazon.com/Professionals-ColorMotion-Moisturizing-Conditioner-Nourishment/dp/B0BYBLFTDR/ref=sr_1_2?keywords=Wella+Color+Motion+Conditioner+200ml&amp;qid=1695259863&amp;sr=8-2</v>
      </c>
      <c r="F3038" t="s">
        <v>7585</v>
      </c>
      <c r="G3038" t="e">
        <f ca="1">IMAGE("https://richardkroll.com/wp-content/uploads/2022/04/F00F4F8F-3005-44A0-BBCB-276161396FED-600x800.png")</f>
        <v>#NAME?</v>
      </c>
      <c r="H3038" t="e">
        <f ca="1">IMAGE("https://m.media-amazon.com/images/I/71XBF1O2wdL._AC_UL320_.jpg")</f>
        <v>#NAME?</v>
      </c>
      <c r="I3038" t="s">
        <v>7581</v>
      </c>
      <c r="J3038">
        <v>54.3</v>
      </c>
      <c r="K3038" s="2" t="s">
        <v>7582</v>
      </c>
      <c r="L3038">
        <v>3.8</v>
      </c>
      <c r="M3038">
        <v>6</v>
      </c>
      <c r="O3038" t="s">
        <v>26</v>
      </c>
      <c r="P3038" t="s">
        <v>39</v>
      </c>
      <c r="Q3038" t="s">
        <v>39</v>
      </c>
    </row>
    <row r="3039" spans="1:17" ht="15.75" x14ac:dyDescent="0.25">
      <c r="A3039" s="3" t="str">
        <f>HYPERLINK("https://richardkroll.com/product/all-nutrient-restore-shampoo-kiwi-botanical-12oz/", "https://richardkroll.com/product/all-nutrient-restore-shampoo-kiwi-botanical-12oz/")</f>
        <v>https://richardkroll.com/product/all-nutrient-restore-shampoo-kiwi-botanical-12oz/</v>
      </c>
      <c r="B3039" s="3" t="str">
        <f>HYPERLINK("https://richardkroll.com/product/all-nutrient-restore-shampoo-kiwi-botanical-12oz/", "https://richardkroll.com/product/all-nutrient-restore-shampoo-kiwi-botanical-12oz/")</f>
        <v>https://richardkroll.com/product/all-nutrient-restore-shampoo-kiwi-botanical-12oz/</v>
      </c>
      <c r="C3039" t="s">
        <v>7586</v>
      </c>
      <c r="D3039" t="s">
        <v>7567</v>
      </c>
      <c r="E3039" s="3" t="str">
        <f>HYPERLINK("https://www.amazon.com/All-Nutrient-Shampoo-Conditioner-extends/dp/B077SCZK5R/ref=sr_1_4?keywords=All-Nutrient+Restore+Shampoo+350ml&amp;qid=1695259839&amp;sr=8-4", "https://www.amazon.com/All-Nutrient-Shampoo-Conditioner-extends/dp/B077SCZK5R/ref=sr_1_4?keywords=All-Nutrient+Restore+Shampoo+350ml&amp;qid=1695259839&amp;sr=8-4")</f>
        <v>https://www.amazon.com/All-Nutrient-Shampoo-Conditioner-extends/dp/B077SCZK5R/ref=sr_1_4?keywords=All-Nutrient+Restore+Shampoo+350ml&amp;qid=1695259839&amp;sr=8-4</v>
      </c>
      <c r="F3039" t="s">
        <v>7568</v>
      </c>
      <c r="G3039" t="e">
        <f ca="1">IMAGE("https://richardkroll.com/wp-content/uploads/2021/09/all-nutrient-restore-shampoo-600x800.webp")</f>
        <v>#NAME?</v>
      </c>
      <c r="H3039" t="e">
        <f ca="1">IMAGE("https://m.media-amazon.com/images/I/411VFwI1BdL._AC_UL320_.jpg")</f>
        <v>#NAME?</v>
      </c>
      <c r="I3039" t="s">
        <v>7559</v>
      </c>
      <c r="J3039">
        <v>40</v>
      </c>
      <c r="K3039" s="2" t="s">
        <v>7587</v>
      </c>
      <c r="L3039">
        <v>4.4000000000000004</v>
      </c>
      <c r="M3039">
        <v>59</v>
      </c>
      <c r="O3039" t="s">
        <v>26</v>
      </c>
      <c r="P3039" t="s">
        <v>39</v>
      </c>
      <c r="Q3039" t="s">
        <v>7588</v>
      </c>
    </row>
    <row r="3040" spans="1:17" ht="15.75" x14ac:dyDescent="0.25">
      <c r="A3040" s="3" t="str">
        <f t="shared" ref="A3040:B3042" si="36">HYPERLINK("https://richardkroll.com/product/wella-invigo-shampoo-300ml/", "https://richardkroll.com/product/wella-invigo-shampoo-300ml/")</f>
        <v>https://richardkroll.com/product/wella-invigo-shampoo-300ml/</v>
      </c>
      <c r="B3040" s="3" t="str">
        <f t="shared" si="36"/>
        <v>https://richardkroll.com/product/wella-invigo-shampoo-300ml/</v>
      </c>
      <c r="C3040" t="s">
        <v>7513</v>
      </c>
      <c r="D3040" t="s">
        <v>7589</v>
      </c>
      <c r="E3040" s="3" t="str">
        <f>HYPERLINK("https://www.amazon.com/Professionals-Brilliance-Conditioner-Protection-Vibrancy/dp/B0B91ZLL1R/ref=sr_1_4?keywords=Wella+Invigo+Shampoo+300ml&amp;qid=1695259854&amp;sr=8-4", "https://www.amazon.com/Professionals-Brilliance-Conditioner-Protection-Vibrancy/dp/B0B91ZLL1R/ref=sr_1_4?keywords=Wella+Invigo+Shampoo+300ml&amp;qid=1695259854&amp;sr=8-4")</f>
        <v>https://www.amazon.com/Professionals-Brilliance-Conditioner-Protection-Vibrancy/dp/B0B91ZLL1R/ref=sr_1_4?keywords=Wella+Invigo+Shampoo+300ml&amp;qid=1695259854&amp;sr=8-4</v>
      </c>
      <c r="F3040" t="s">
        <v>7590</v>
      </c>
      <c r="G3040" t="e">
        <f ca="1">IMAGE("https://richardkroll.com/wp-content/uploads/2022/04/CD51E0C3-1E5C-4FDC-81A9-942D102BED21-600x800.png")</f>
        <v>#NAME?</v>
      </c>
      <c r="H3040" t="e">
        <f ca="1">IMAGE("https://m.media-amazon.com/images/I/616exuH4IYL._AC_UL320_.jpg")</f>
        <v>#NAME?</v>
      </c>
      <c r="I3040" t="s">
        <v>7516</v>
      </c>
      <c r="J3040">
        <v>39.799999999999997</v>
      </c>
      <c r="K3040" s="2" t="s">
        <v>7591</v>
      </c>
      <c r="L3040">
        <v>4.5999999999999996</v>
      </c>
      <c r="M3040">
        <v>78</v>
      </c>
      <c r="O3040" t="s">
        <v>26</v>
      </c>
      <c r="P3040" t="s">
        <v>39</v>
      </c>
      <c r="Q3040" t="s">
        <v>39</v>
      </c>
    </row>
    <row r="3041" spans="1:17" ht="15.75" x14ac:dyDescent="0.25">
      <c r="A3041" s="3" t="str">
        <f t="shared" si="36"/>
        <v>https://richardkroll.com/product/wella-invigo-shampoo-300ml/</v>
      </c>
      <c r="B3041" s="3" t="str">
        <f t="shared" si="36"/>
        <v>https://richardkroll.com/product/wella-invigo-shampoo-300ml/</v>
      </c>
      <c r="C3041" t="s">
        <v>7513</v>
      </c>
      <c r="D3041" t="s">
        <v>7592</v>
      </c>
      <c r="E3041" s="3" t="str">
        <f>HYPERLINK("https://www.amazon.com/Wella-Professionals-Brilliance-Conditioner-Protection/dp/B0B92RMWFN/ref=sr_1_5?keywords=Wella+Invigo+Shampoo+300ml&amp;qid=1695259854&amp;sr=8-5", "https://www.amazon.com/Wella-Professionals-Brilliance-Conditioner-Protection/dp/B0B92RMWFN/ref=sr_1_5?keywords=Wella+Invigo+Shampoo+300ml&amp;qid=1695259854&amp;sr=8-5")</f>
        <v>https://www.amazon.com/Wella-Professionals-Brilliance-Conditioner-Protection/dp/B0B92RMWFN/ref=sr_1_5?keywords=Wella+Invigo+Shampoo+300ml&amp;qid=1695259854&amp;sr=8-5</v>
      </c>
      <c r="F3041" t="s">
        <v>7593</v>
      </c>
      <c r="G3041" t="e">
        <f ca="1">IMAGE("https://richardkroll.com/wp-content/uploads/2022/04/CD51E0C3-1E5C-4FDC-81A9-942D102BED21-600x800.png")</f>
        <v>#NAME?</v>
      </c>
      <c r="H3041" t="e">
        <f ca="1">IMAGE("https://m.media-amazon.com/images/I/61aEWUf7+fL._AC_UL320_.jpg")</f>
        <v>#NAME?</v>
      </c>
      <c r="I3041" t="s">
        <v>7516</v>
      </c>
      <c r="J3041">
        <v>39.799999999999997</v>
      </c>
      <c r="K3041" s="2" t="s">
        <v>7591</v>
      </c>
      <c r="L3041">
        <v>4.5</v>
      </c>
      <c r="M3041">
        <v>42</v>
      </c>
      <c r="O3041" t="s">
        <v>26</v>
      </c>
      <c r="P3041" t="s">
        <v>39</v>
      </c>
      <c r="Q3041" t="s">
        <v>39</v>
      </c>
    </row>
    <row r="3042" spans="1:17" ht="15.75" x14ac:dyDescent="0.25">
      <c r="A3042" s="3" t="str">
        <f t="shared" si="36"/>
        <v>https://richardkroll.com/product/wella-invigo-shampoo-300ml/</v>
      </c>
      <c r="B3042" s="3" t="str">
        <f t="shared" si="36"/>
        <v>https://richardkroll.com/product/wella-invigo-shampoo-300ml/</v>
      </c>
      <c r="C3042" t="s">
        <v>7513</v>
      </c>
      <c r="D3042" t="s">
        <v>7594</v>
      </c>
      <c r="E3042" s="3" t="str">
        <f>HYPERLINK("https://www.amazon.com/Wella-Professionals-Nutri-Enrich-Conditioner-Moisturizing/dp/B0B91YPTQ2/ref=sr_1_7?keywords=Wella+Invigo+Shampoo+300ml&amp;qid=1695259854&amp;sr=8-7", "https://www.amazon.com/Wella-Professionals-Nutri-Enrich-Conditioner-Moisturizing/dp/B0B91YPTQ2/ref=sr_1_7?keywords=Wella+Invigo+Shampoo+300ml&amp;qid=1695259854&amp;sr=8-7")</f>
        <v>https://www.amazon.com/Wella-Professionals-Nutri-Enrich-Conditioner-Moisturizing/dp/B0B91YPTQ2/ref=sr_1_7?keywords=Wella+Invigo+Shampoo+300ml&amp;qid=1695259854&amp;sr=8-7</v>
      </c>
      <c r="F3042" t="s">
        <v>7595</v>
      </c>
      <c r="G3042" t="e">
        <f ca="1">IMAGE("https://richardkroll.com/wp-content/uploads/2022/04/CD51E0C3-1E5C-4FDC-81A9-942D102BED21-600x800.png")</f>
        <v>#NAME?</v>
      </c>
      <c r="H3042" t="e">
        <f ca="1">IMAGE("https://m.media-amazon.com/images/I/61b5YyC8PVL._AC_UL320_.jpg")</f>
        <v>#NAME?</v>
      </c>
      <c r="I3042" t="s">
        <v>7516</v>
      </c>
      <c r="J3042">
        <v>39.799999999999997</v>
      </c>
      <c r="K3042" s="2" t="s">
        <v>7591</v>
      </c>
      <c r="L3042">
        <v>4.4000000000000004</v>
      </c>
      <c r="M3042">
        <v>64</v>
      </c>
      <c r="O3042" t="s">
        <v>26</v>
      </c>
      <c r="P3042" t="s">
        <v>39</v>
      </c>
      <c r="Q3042" t="s">
        <v>39</v>
      </c>
    </row>
    <row r="3043" spans="1:17" ht="15.75" x14ac:dyDescent="0.25">
      <c r="A3043" s="3" t="str">
        <f>HYPERLINK("https://richardkroll.com/product/wella-color-motion-shampoo-250ml/", "https://richardkroll.com/product/wella-color-motion-shampoo-250ml/")</f>
        <v>https://richardkroll.com/product/wella-color-motion-shampoo-250ml/</v>
      </c>
      <c r="B3043" s="3" t="str">
        <f>HYPERLINK("https://richardkroll.com/product/wella-color-motion-shampoo-250ml/", "https://richardkroll.com/product/wella-color-motion-shampoo-250ml/")</f>
        <v>https://richardkroll.com/product/wella-color-motion-shampoo-250ml/</v>
      </c>
      <c r="C3043" t="s">
        <v>7535</v>
      </c>
      <c r="D3043" t="s">
        <v>7596</v>
      </c>
      <c r="E3043" s="3" t="str">
        <f>HYPERLINK("https://www.amazon.com/Color-Motion-Protection-Moisturizing-Conditioner/dp/B08JD3GYH1/ref=sr_1_2?keywords=Wella+Color+Motion+Shampoo+250ml&amp;qid=1695259840&amp;sr=8-2", "https://www.amazon.com/Color-Motion-Protection-Moisturizing-Conditioner/dp/B08JD3GYH1/ref=sr_1_2?keywords=Wella+Color+Motion+Shampoo+250ml&amp;qid=1695259840&amp;sr=8-2")</f>
        <v>https://www.amazon.com/Color-Motion-Protection-Moisturizing-Conditioner/dp/B08JD3GYH1/ref=sr_1_2?keywords=Wella+Color+Motion+Shampoo+250ml&amp;qid=1695259840&amp;sr=8-2</v>
      </c>
      <c r="F3043" t="s">
        <v>7597</v>
      </c>
      <c r="G3043" t="e">
        <f ca="1">IMAGE("https://richardkroll.com/wp-content/uploads/2022/04/74E9BA1C-0B1C-4AAF-981F-58BC4FA77B4B-600x800.png")</f>
        <v>#NAME?</v>
      </c>
      <c r="H3043" t="e">
        <f ca="1">IMAGE("https://m.media-amazon.com/images/I/71u3AfApmjL._AC_UL320_.jpg")</f>
        <v>#NAME?</v>
      </c>
      <c r="I3043" t="s">
        <v>7501</v>
      </c>
      <c r="J3043">
        <v>54.3</v>
      </c>
      <c r="K3043" s="2" t="s">
        <v>7598</v>
      </c>
      <c r="L3043">
        <v>4.5</v>
      </c>
      <c r="M3043">
        <v>60</v>
      </c>
      <c r="O3043" t="s">
        <v>26</v>
      </c>
      <c r="P3043" t="s">
        <v>39</v>
      </c>
      <c r="Q3043" t="s">
        <v>39</v>
      </c>
    </row>
    <row r="3044" spans="1:17" ht="15.75" x14ac:dyDescent="0.25">
      <c r="A3044" s="3" t="str">
        <f>HYPERLINK("https://richardkroll.com/product/wella-elements-shampoo-250ml/", "https://richardkroll.com/product/wella-elements-shampoo-250ml/")</f>
        <v>https://richardkroll.com/product/wella-elements-shampoo-250ml/</v>
      </c>
      <c r="B3044" s="3" t="str">
        <f>HYPERLINK("https://richardkroll.com/product/wella-elements-shampoo-250ml/", "https://richardkroll.com/product/wella-elements-shampoo-250ml/")</f>
        <v>https://richardkroll.com/product/wella-elements-shampoo-250ml/</v>
      </c>
      <c r="C3044" t="s">
        <v>7498</v>
      </c>
      <c r="D3044" t="s">
        <v>7599</v>
      </c>
      <c r="E3044" s="3" t="str">
        <f>HYPERLINK("https://www.amazon.com/Professionals-Elements-Renewing-Shampoo-Silicone/dp/B0B258JPHC/ref=sr_1_3?keywords=Wella+Elements+Shampoo+250ml&amp;qid=1695259844&amp;sr=8-3", "https://www.amazon.com/Professionals-Elements-Renewing-Shampoo-Silicone/dp/B0B258JPHC/ref=sr_1_3?keywords=Wella+Elements+Shampoo+250ml&amp;qid=1695259844&amp;sr=8-3")</f>
        <v>https://www.amazon.com/Professionals-Elements-Renewing-Shampoo-Silicone/dp/B0B258JPHC/ref=sr_1_3?keywords=Wella+Elements+Shampoo+250ml&amp;qid=1695259844&amp;sr=8-3</v>
      </c>
      <c r="F3044" t="s">
        <v>7600</v>
      </c>
      <c r="G3044" t="e">
        <f ca="1">IMAGE("https://richardkroll.com/wp-content/uploads/2022/04/62D6864A-36A5-4B22-9191-42BD61F06642-600x800.png")</f>
        <v>#NAME?</v>
      </c>
      <c r="H3044" t="e">
        <f ca="1">IMAGE("https://m.media-amazon.com/images/I/61hUbxmrIxL._AC_UL320_.jpg")</f>
        <v>#NAME?</v>
      </c>
      <c r="I3044" t="s">
        <v>7501</v>
      </c>
      <c r="J3044">
        <v>54.3</v>
      </c>
      <c r="K3044" s="2" t="s">
        <v>7598</v>
      </c>
      <c r="L3044">
        <v>5</v>
      </c>
      <c r="M3044">
        <v>8</v>
      </c>
      <c r="O3044" t="s">
        <v>26</v>
      </c>
      <c r="P3044" t="s">
        <v>39</v>
      </c>
      <c r="Q3044" t="s">
        <v>39</v>
      </c>
    </row>
    <row r="3045" spans="1:17" ht="15.75" x14ac:dyDescent="0.25">
      <c r="A3045" s="3" t="str">
        <f>HYPERLINK("https://richardkroll.com/product/all-nutrient-protect-shampoo-colorsafe-12oz/", "https://richardkroll.com/product/all-nutrient-protect-shampoo-colorsafe-12oz/")</f>
        <v>https://richardkroll.com/product/all-nutrient-protect-shampoo-colorsafe-12oz/</v>
      </c>
      <c r="B3045" s="3" t="str">
        <f>HYPERLINK("https://richardkroll.com/product/all-nutrient-protect-shampoo-colorsafe-12oz/", "https://richardkroll.com/product/all-nutrient-protect-shampoo-colorsafe-12oz/")</f>
        <v>https://richardkroll.com/product/all-nutrient-protect-shampoo-colorsafe-12oz/</v>
      </c>
      <c r="C3045" t="s">
        <v>7571</v>
      </c>
      <c r="D3045" t="s">
        <v>7601</v>
      </c>
      <c r="E3045" s="3" t="str">
        <f>HYPERLINK("https://www.amazon.com/All-Nutrient-Colorsafe-Nourishing-Shampoo-Conditioner/dp/B0085XI8QW/ref=sr_1_2?keywords=All-Nutrient+Colorsafe+Shampoo+350ml&amp;qid=1695259833&amp;sr=8-2", "https://www.amazon.com/All-Nutrient-Colorsafe-Nourishing-Shampoo-Conditioner/dp/B0085XI8QW/ref=sr_1_2?keywords=All-Nutrient+Colorsafe+Shampoo+350ml&amp;qid=1695259833&amp;sr=8-2")</f>
        <v>https://www.amazon.com/All-Nutrient-Colorsafe-Nourishing-Shampoo-Conditioner/dp/B0085XI8QW/ref=sr_1_2?keywords=All-Nutrient+Colorsafe+Shampoo+350ml&amp;qid=1695259833&amp;sr=8-2</v>
      </c>
      <c r="F3045" t="s">
        <v>7602</v>
      </c>
      <c r="G3045" t="e">
        <f ca="1">IMAGE("https://richardkroll.com/wp-content/uploads/2021/09/all-nutrient-colorsafe-shampoo-600x800.webp")</f>
        <v>#NAME?</v>
      </c>
      <c r="H3045" t="e">
        <f ca="1">IMAGE("https://m.media-amazon.com/images/I/31ba8MCAz1L._AC_UL320_.jpg")</f>
        <v>#NAME?</v>
      </c>
      <c r="I3045" t="s">
        <v>394</v>
      </c>
      <c r="J3045">
        <v>35.99</v>
      </c>
      <c r="K3045" s="2" t="s">
        <v>7603</v>
      </c>
      <c r="L3045">
        <v>4.3</v>
      </c>
      <c r="M3045">
        <v>46</v>
      </c>
      <c r="O3045" t="s">
        <v>26</v>
      </c>
      <c r="P3045" t="s">
        <v>39</v>
      </c>
      <c r="Q3045" t="s">
        <v>7572</v>
      </c>
    </row>
    <row r="3046" spans="1:17" ht="15.75" x14ac:dyDescent="0.25">
      <c r="A3046" s="3" t="str">
        <f>HYPERLINK("https://richardkroll.com/product/all-nutrient-volumize-conditioner-raspbody/", "https://richardkroll.com/product/all-nutrient-volumize-conditioner-raspbody/")</f>
        <v>https://richardkroll.com/product/all-nutrient-volumize-conditioner-raspbody/</v>
      </c>
      <c r="B3046" s="3" t="str">
        <f>HYPERLINK("https://richardkroll.com/product/all-nutrient-volumize-conditioner-raspbody/", "https://richardkroll.com/product/all-nutrient-volumize-conditioner-raspbody/")</f>
        <v>https://richardkroll.com/product/all-nutrient-volumize-conditioner-raspbody/</v>
      </c>
      <c r="C3046" t="s">
        <v>7538</v>
      </c>
      <c r="D3046" t="s">
        <v>7601</v>
      </c>
      <c r="E3046" s="3" t="str">
        <f>HYPERLINK("https://www.amazon.com/All-Nutrient-Colorsafe-Nourishing-Shampoo-Conditioner/dp/B0085XI8QW/ref=sr_1_7?keywords=All+Nutrient+Volumize+Conditioner&amp;qid=1695259821&amp;sr=8-7", "https://www.amazon.com/All-Nutrient-Colorsafe-Nourishing-Shampoo-Conditioner/dp/B0085XI8QW/ref=sr_1_7?keywords=All+Nutrient+Volumize+Conditioner&amp;qid=1695259821&amp;sr=8-7")</f>
        <v>https://www.amazon.com/All-Nutrient-Colorsafe-Nourishing-Shampoo-Conditioner/dp/B0085XI8QW/ref=sr_1_7?keywords=All+Nutrient+Volumize+Conditioner&amp;qid=1695259821&amp;sr=8-7</v>
      </c>
      <c r="F3046" t="s">
        <v>7602</v>
      </c>
      <c r="G3046" t="e">
        <f ca="1">IMAGE("https://richardkroll.com/wp-content/uploads/2016/08/Volumize-Conditioner-600x800.jpg")</f>
        <v>#NAME?</v>
      </c>
      <c r="H3046" t="e">
        <f ca="1">IMAGE("https://m.media-amazon.com/images/I/31ba8MCAz1L._AC_UL320_.jpg")</f>
        <v>#NAME?</v>
      </c>
      <c r="I3046" t="s">
        <v>394</v>
      </c>
      <c r="J3046">
        <v>35.99</v>
      </c>
      <c r="K3046" s="2" t="s">
        <v>7603</v>
      </c>
      <c r="L3046">
        <v>4.3</v>
      </c>
      <c r="M3046">
        <v>46</v>
      </c>
      <c r="O3046" t="s">
        <v>26</v>
      </c>
      <c r="P3046" t="s">
        <v>39</v>
      </c>
      <c r="Q3046" t="s">
        <v>7542</v>
      </c>
    </row>
    <row r="3047" spans="1:17" ht="15.75" x14ac:dyDescent="0.25">
      <c r="A3047" s="3" t="str">
        <f>HYPERLINK("https://richardkroll.com/product/all-nutrient-volumize-conditioner-raspbody/", "https://richardkroll.com/product/all-nutrient-volumize-conditioner-raspbody/")</f>
        <v>https://richardkroll.com/product/all-nutrient-volumize-conditioner-raspbody/</v>
      </c>
      <c r="B3047" s="3" t="str">
        <f>HYPERLINK("https://richardkroll.com/product/all-nutrient-volumize-conditioner-raspbody/", "https://richardkroll.com/product/all-nutrient-volumize-conditioner-raspbody/")</f>
        <v>https://richardkroll.com/product/all-nutrient-volumize-conditioner-raspbody/</v>
      </c>
      <c r="C3047" t="s">
        <v>7538</v>
      </c>
      <c r="D3047" t="s">
        <v>7604</v>
      </c>
      <c r="E3047" s="3" t="str">
        <f>HYPERLINK("https://www.amazon.com/All-Nutrient-Volumize-Conditioner-25oz/dp/B0143NQXGE/ref=sr_1_3?keywords=All+Nutrient+Volumize+Conditioner&amp;qid=1695259821&amp;sr=8-3", "https://www.amazon.com/All-Nutrient-Volumize-Conditioner-25oz/dp/B0143NQXGE/ref=sr_1_3?keywords=All+Nutrient+Volumize+Conditioner&amp;qid=1695259821&amp;sr=8-3")</f>
        <v>https://www.amazon.com/All-Nutrient-Volumize-Conditioner-25oz/dp/B0143NQXGE/ref=sr_1_3?keywords=All+Nutrient+Volumize+Conditioner&amp;qid=1695259821&amp;sr=8-3</v>
      </c>
      <c r="F3047" t="s">
        <v>7605</v>
      </c>
      <c r="G3047" t="e">
        <f ca="1">IMAGE("https://richardkroll.com/wp-content/uploads/2016/08/Volumize-Conditioner-600x800.jpg")</f>
        <v>#NAME?</v>
      </c>
      <c r="H3047" t="e">
        <f ca="1">IMAGE("https://m.media-amazon.com/images/I/71M3TSbrqWL._AC_UL320_.jpg")</f>
        <v>#NAME?</v>
      </c>
      <c r="I3047" t="s">
        <v>394</v>
      </c>
      <c r="J3047">
        <v>35.82</v>
      </c>
      <c r="K3047" s="2" t="s">
        <v>7606</v>
      </c>
      <c r="L3047">
        <v>4.8</v>
      </c>
      <c r="M3047">
        <v>9</v>
      </c>
      <c r="O3047" t="s">
        <v>26</v>
      </c>
      <c r="P3047" t="s">
        <v>39</v>
      </c>
      <c r="Q3047" t="s">
        <v>7542</v>
      </c>
    </row>
    <row r="3048" spans="1:17" ht="15.75" x14ac:dyDescent="0.25">
      <c r="A3048" s="3" t="str">
        <f>HYPERLINK("https://richardkroll.com/product/sebastian-light-shampoo-250ml/", "https://richardkroll.com/product/sebastian-light-shampoo-250ml/")</f>
        <v>https://richardkroll.com/product/sebastian-light-shampoo-250ml/</v>
      </c>
      <c r="B3048" s="3" t="str">
        <f>HYPERLINK("https://richardkroll.com/product/sebastian-light-shampoo-250ml/", "https://richardkroll.com/product/sebastian-light-shampoo-250ml/")</f>
        <v>https://richardkroll.com/product/sebastian-light-shampoo-250ml/</v>
      </c>
      <c r="C3048" t="s">
        <v>7607</v>
      </c>
      <c r="D3048" t="s">
        <v>7608</v>
      </c>
      <c r="E3048" s="3" t="str">
        <f>HYPERLINK("https://www.amazon.com/Sebastian-Professional-Lightweight-Shampoo-Conditioner/dp/B09Z7DT3X9/ref=sr_1_10?keywords=Sebastian+Light+Shampoo+250ml&amp;qid=1695259831&amp;sr=8-10", "https://www.amazon.com/Sebastian-Professional-Lightweight-Shampoo-Conditioner/dp/B09Z7DT3X9/ref=sr_1_10?keywords=Sebastian+Light+Shampoo+250ml&amp;qid=1695259831&amp;sr=8-10")</f>
        <v>https://www.amazon.com/Sebastian-Professional-Lightweight-Shampoo-Conditioner/dp/B09Z7DT3X9/ref=sr_1_10?keywords=Sebastian+Light+Shampoo+250ml&amp;qid=1695259831&amp;sr=8-10</v>
      </c>
      <c r="F3048" t="s">
        <v>7609</v>
      </c>
      <c r="G3048" t="e">
        <f ca="1">IMAGE("https://richardkroll.com/wp-content/uploads/2021/09/Sebastian-Light-Shampoo-600x800.png")</f>
        <v>#NAME?</v>
      </c>
      <c r="H3048" t="e">
        <f ca="1">IMAGE("https://m.media-amazon.com/images/I/718Pi2SXkDL._AC_UL320_.jpg")</f>
        <v>#NAME?</v>
      </c>
      <c r="I3048" t="s">
        <v>7521</v>
      </c>
      <c r="J3048">
        <v>41</v>
      </c>
      <c r="K3048" s="2" t="s">
        <v>7610</v>
      </c>
      <c r="L3048">
        <v>4.8</v>
      </c>
      <c r="M3048">
        <v>205</v>
      </c>
      <c r="O3048" t="s">
        <v>26</v>
      </c>
      <c r="P3048" t="s">
        <v>39</v>
      </c>
      <c r="Q3048" t="s">
        <v>39</v>
      </c>
    </row>
    <row r="3049" spans="1:17" ht="15.75" x14ac:dyDescent="0.25">
      <c r="A3049" s="3" t="str">
        <f>HYPERLINK("https://richardkroll.com/product/wella-invigo-shampoo-300ml/", "https://richardkroll.com/product/wella-invigo-shampoo-300ml/")</f>
        <v>https://richardkroll.com/product/wella-invigo-shampoo-300ml/</v>
      </c>
      <c r="B3049" s="3" t="str">
        <f>HYPERLINK("https://richardkroll.com/product/wella-invigo-shampoo-300ml/", "https://richardkroll.com/product/wella-invigo-shampoo-300ml/")</f>
        <v>https://richardkroll.com/product/wella-invigo-shampoo-300ml/</v>
      </c>
      <c r="C3049" t="s">
        <v>7513</v>
      </c>
      <c r="D3049" t="s">
        <v>7611</v>
      </c>
      <c r="E3049" s="3" t="str">
        <f>HYPERLINK("https://www.amazon.com/Professionals-Brilliance-Professional-Protecting-Vibrancy/dp/B0BQ3FGHDQ/ref=sr_1_1?keywords=Wella+Invigo+Shampoo+300ml&amp;qid=1695259854&amp;sr=8-1", "https://www.amazon.com/Professionals-Brilliance-Professional-Protecting-Vibrancy/dp/B0BQ3FGHDQ/ref=sr_1_1?keywords=Wella+Invigo+Shampoo+300ml&amp;qid=1695259854&amp;sr=8-1")</f>
        <v>https://www.amazon.com/Professionals-Brilliance-Professional-Protecting-Vibrancy/dp/B0BQ3FGHDQ/ref=sr_1_1?keywords=Wella+Invigo+Shampoo+300ml&amp;qid=1695259854&amp;sr=8-1</v>
      </c>
      <c r="F3049" t="s">
        <v>7612</v>
      </c>
      <c r="G3049" t="e">
        <f ca="1">IMAGE("https://richardkroll.com/wp-content/uploads/2022/04/CD51E0C3-1E5C-4FDC-81A9-942D102BED21-600x800.png")</f>
        <v>#NAME?</v>
      </c>
      <c r="H3049" t="e">
        <f ca="1">IMAGE("https://m.media-amazon.com/images/I/61W2mQFVZ1L._AC_UL320_.jpg")</f>
        <v>#NAME?</v>
      </c>
      <c r="I3049" t="s">
        <v>7516</v>
      </c>
      <c r="J3049">
        <v>38.4</v>
      </c>
      <c r="K3049" s="2" t="s">
        <v>7613</v>
      </c>
      <c r="L3049">
        <v>4.5</v>
      </c>
      <c r="M3049">
        <v>123</v>
      </c>
      <c r="O3049" t="s">
        <v>26</v>
      </c>
      <c r="P3049" t="s">
        <v>39</v>
      </c>
      <c r="Q3049" t="s">
        <v>39</v>
      </c>
    </row>
    <row r="3050" spans="1:17" ht="15.75" x14ac:dyDescent="0.25">
      <c r="A3050" s="3" t="str">
        <f>HYPERLINK("https://richardkroll.com/product/wella-invigo-shampoo-300ml/", "https://richardkroll.com/product/wella-invigo-shampoo-300ml/")</f>
        <v>https://richardkroll.com/product/wella-invigo-shampoo-300ml/</v>
      </c>
      <c r="B3050" s="3" t="str">
        <f>HYPERLINK("https://richardkroll.com/product/wella-invigo-shampoo-300ml/", "https://richardkroll.com/product/wella-invigo-shampoo-300ml/")</f>
        <v>https://richardkroll.com/product/wella-invigo-shampoo-300ml/</v>
      </c>
      <c r="C3050" t="s">
        <v>7513</v>
      </c>
      <c r="D3050" t="s">
        <v>7614</v>
      </c>
      <c r="E3050" s="3" t="str">
        <f>HYPERLINK("https://www.amazon.com/Wella-Invigo-Nutri-Enrich-Nourishing-Shampoo/dp/B08BZXBKFY/ref=sr_1_3?keywords=Wella+Invigo+Shampoo+300ml&amp;qid=1695259854&amp;sr=8-3", "https://www.amazon.com/Wella-Invigo-Nutri-Enrich-Nourishing-Shampoo/dp/B08BZXBKFY/ref=sr_1_3?keywords=Wella+Invigo+Shampoo+300ml&amp;qid=1695259854&amp;sr=8-3")</f>
        <v>https://www.amazon.com/Wella-Invigo-Nutri-Enrich-Nourishing-Shampoo/dp/B08BZXBKFY/ref=sr_1_3?keywords=Wella+Invigo+Shampoo+300ml&amp;qid=1695259854&amp;sr=8-3</v>
      </c>
      <c r="F3050" t="s">
        <v>7615</v>
      </c>
      <c r="G3050" t="e">
        <f ca="1">IMAGE("https://richardkroll.com/wp-content/uploads/2022/04/CD51E0C3-1E5C-4FDC-81A9-942D102BED21-600x800.png")</f>
        <v>#NAME?</v>
      </c>
      <c r="H3050" t="e">
        <f ca="1">IMAGE("https://m.media-amazon.com/images/I/61eUwv2nqUL._AC_UL320_.jpg")</f>
        <v>#NAME?</v>
      </c>
      <c r="I3050" t="s">
        <v>7516</v>
      </c>
      <c r="J3050">
        <v>38.4</v>
      </c>
      <c r="K3050" s="2" t="s">
        <v>7613</v>
      </c>
      <c r="L3050">
        <v>4.5</v>
      </c>
      <c r="M3050">
        <v>357</v>
      </c>
      <c r="O3050" t="s">
        <v>26</v>
      </c>
      <c r="P3050" t="s">
        <v>39</v>
      </c>
      <c r="Q3050" t="s">
        <v>39</v>
      </c>
    </row>
    <row r="3051" spans="1:17" ht="15.75" x14ac:dyDescent="0.25">
      <c r="A3051" s="3" t="str">
        <f>HYPERLINK("https://richardkroll.com/product/sebastian-dark-oil-conditioner-250ml/", "https://richardkroll.com/product/sebastian-dark-oil-conditioner-250ml/")</f>
        <v>https://richardkroll.com/product/sebastian-dark-oil-conditioner-250ml/</v>
      </c>
      <c r="B3051" s="3" t="str">
        <f>HYPERLINK("https://richardkroll.com/product/sebastian-dark-oil-conditioner-250ml/", "https://richardkroll.com/product/sebastian-dark-oil-conditioner-250ml/")</f>
        <v>https://richardkroll.com/product/sebastian-dark-oil-conditioner-250ml/</v>
      </c>
      <c r="C3051" t="s">
        <v>7528</v>
      </c>
      <c r="D3051" t="s">
        <v>7563</v>
      </c>
      <c r="E3051" s="3" t="str">
        <f>HYPERLINK("https://www.amazon.com/Lightweight-Conditioner-Jojoba-Argan-33-79/dp/B07TFVCPBS/ref=sr_1_1?keywords=Sebastian+Dark+Oil+Conditioner+250ml&amp;qid=1695259838&amp;sr=8-1", "https://www.amazon.com/Lightweight-Conditioner-Jojoba-Argan-33-79/dp/B07TFVCPBS/ref=sr_1_1?keywords=Sebastian+Dark+Oil+Conditioner+250ml&amp;qid=1695259838&amp;sr=8-1")</f>
        <v>https://www.amazon.com/Lightweight-Conditioner-Jojoba-Argan-33-79/dp/B07TFVCPBS/ref=sr_1_1?keywords=Sebastian+Dark+Oil+Conditioner+250ml&amp;qid=1695259838&amp;sr=8-1</v>
      </c>
      <c r="F3051" t="s">
        <v>7564</v>
      </c>
      <c r="G3051" t="e">
        <f ca="1">IMAGE("https://richardkroll.com/wp-content/uploads/2022/04/Dark-Oil-Conditioner-600x800.jpg")</f>
        <v>#NAME?</v>
      </c>
      <c r="H3051" t="e">
        <f ca="1">IMAGE("https://m.media-amazon.com/images/I/71L9cznJMfL._AC_UL320_.jpg")</f>
        <v>#NAME?</v>
      </c>
      <c r="I3051" t="s">
        <v>3319</v>
      </c>
      <c r="J3051">
        <v>48</v>
      </c>
      <c r="K3051" s="2" t="s">
        <v>7616</v>
      </c>
      <c r="L3051">
        <v>4.5999999999999996</v>
      </c>
      <c r="M3051">
        <v>411</v>
      </c>
      <c r="O3051" t="s">
        <v>26</v>
      </c>
      <c r="P3051" t="s">
        <v>39</v>
      </c>
      <c r="Q3051" t="s">
        <v>39</v>
      </c>
    </row>
    <row r="3052" spans="1:17" ht="15.75" x14ac:dyDescent="0.25">
      <c r="A3052" s="3" t="str">
        <f>HYPERLINK("https://richardkroll.com/product/sebastian-dark-oil-lightweight-shampoo-250ml/", "https://richardkroll.com/product/sebastian-dark-oil-lightweight-shampoo-250ml/")</f>
        <v>https://richardkroll.com/product/sebastian-dark-oil-lightweight-shampoo-250ml/</v>
      </c>
      <c r="B3052" s="3" t="str">
        <f>HYPERLINK("https://richardkroll.com/product/sebastian-dark-oil-lightweight-shampoo-250ml/", "https://richardkroll.com/product/sebastian-dark-oil-lightweight-shampoo-250ml/")</f>
        <v>https://richardkroll.com/product/sebastian-dark-oil-lightweight-shampoo-250ml/</v>
      </c>
      <c r="C3052" t="s">
        <v>7503</v>
      </c>
      <c r="D3052" t="s">
        <v>7608</v>
      </c>
      <c r="E3052" s="3" t="str">
        <f>HYPERLINK("https://www.amazon.com/Sebastian-Professional-Lightweight-Shampoo-Conditioner/dp/B09Z7DT3X9/ref=sr_1_3?keywords=Sebastian+Dark+Oil+Lightweight+Shampoo+250ml&amp;qid=1695259828&amp;sr=8-3", "https://www.amazon.com/Sebastian-Professional-Lightweight-Shampoo-Conditioner/dp/B09Z7DT3X9/ref=sr_1_3?keywords=Sebastian+Dark+Oil+Lightweight+Shampoo+250ml&amp;qid=1695259828&amp;sr=8-3")</f>
        <v>https://www.amazon.com/Sebastian-Professional-Lightweight-Shampoo-Conditioner/dp/B09Z7DT3X9/ref=sr_1_3?keywords=Sebastian+Dark+Oil+Lightweight+Shampoo+250ml&amp;qid=1695259828&amp;sr=8-3</v>
      </c>
      <c r="F3052" t="s">
        <v>7609</v>
      </c>
      <c r="G3052" t="e">
        <f ca="1">IMAGE("https://richardkroll.com/wp-content/uploads/2022/04/Dark-Oil-Shampoo-600x800.jpg")</f>
        <v>#NAME?</v>
      </c>
      <c r="H3052" t="e">
        <f ca="1">IMAGE("https://m.media-amazon.com/images/I/718Pi2SXkDL._AC_UL320_.jpg")</f>
        <v>#NAME?</v>
      </c>
      <c r="I3052" t="s">
        <v>7506</v>
      </c>
      <c r="J3052">
        <v>41</v>
      </c>
      <c r="K3052" s="2" t="s">
        <v>7617</v>
      </c>
      <c r="L3052">
        <v>4.8</v>
      </c>
      <c r="M3052">
        <v>205</v>
      </c>
      <c r="O3052" t="s">
        <v>26</v>
      </c>
      <c r="P3052" t="s">
        <v>39</v>
      </c>
      <c r="Q3052" t="s">
        <v>39</v>
      </c>
    </row>
    <row r="3053" spans="1:17" ht="15.75" x14ac:dyDescent="0.25">
      <c r="A3053" s="3" t="str">
        <f>HYPERLINK("https://richardkroll.com/product/sebastian-penetraitt-shampoo-250ml/", "https://richardkroll.com/product/sebastian-penetraitt-shampoo-250ml/")</f>
        <v>https://richardkroll.com/product/sebastian-penetraitt-shampoo-250ml/</v>
      </c>
      <c r="B3053" s="3" t="str">
        <f>HYPERLINK("https://richardkroll.com/product/sebastian-penetraitt-shampoo-250ml/", "https://richardkroll.com/product/sebastian-penetraitt-shampoo-250ml/")</f>
        <v>https://richardkroll.com/product/sebastian-penetraitt-shampoo-250ml/</v>
      </c>
      <c r="C3053" t="s">
        <v>7523</v>
      </c>
      <c r="D3053" t="s">
        <v>7618</v>
      </c>
      <c r="E3053" s="3" t="str">
        <f>HYPERLINK("https://www.amazon.com/Sebastian-Penetraitt-Stengthening-and-Repair-Conditioner/dp/B07WZRNRZ2/ref=sr_1_1?keywords=Sebastian+Penetraitt+Shampoo+250ml&amp;qid=1695259846&amp;sr=8-1", "https://www.amazon.com/Sebastian-Penetraitt-Stengthening-and-Repair-Conditioner/dp/B07WZRNRZ2/ref=sr_1_1?keywords=Sebastian+Penetraitt+Shampoo+250ml&amp;qid=1695259846&amp;sr=8-1")</f>
        <v>https://www.amazon.com/Sebastian-Penetraitt-Stengthening-and-Repair-Conditioner/dp/B07WZRNRZ2/ref=sr_1_1?keywords=Sebastian+Penetraitt+Shampoo+250ml&amp;qid=1695259846&amp;sr=8-1</v>
      </c>
      <c r="F3053" t="s">
        <v>7619</v>
      </c>
      <c r="G3053" t="e">
        <f ca="1">IMAGE("https://richardkroll.com/wp-content/uploads/2016/08/sebastian-penetraitt-250g-600x800.jpg")</f>
        <v>#NAME?</v>
      </c>
      <c r="H3053" t="e">
        <f ca="1">IMAGE("https://m.media-amazon.com/images/I/51+-iIqb0bL._AC_UL320_.jpg")</f>
        <v>#NAME?</v>
      </c>
      <c r="I3053" t="s">
        <v>7526</v>
      </c>
      <c r="J3053">
        <v>42</v>
      </c>
      <c r="K3053" s="2" t="s">
        <v>7620</v>
      </c>
      <c r="L3053">
        <v>4.8</v>
      </c>
      <c r="M3053">
        <v>1279</v>
      </c>
      <c r="O3053" t="s">
        <v>26</v>
      </c>
      <c r="P3053" t="s">
        <v>39</v>
      </c>
      <c r="Q3053" t="s">
        <v>39</v>
      </c>
    </row>
    <row r="3054" spans="1:17" ht="15.75" x14ac:dyDescent="0.25">
      <c r="A3054" s="3" t="str">
        <f>HYPERLINK("https://richardkroll.com/product/sebastian-dark-oil-conditioner-250ml/", "https://richardkroll.com/product/sebastian-dark-oil-conditioner-250ml/")</f>
        <v>https://richardkroll.com/product/sebastian-dark-oil-conditioner-250ml/</v>
      </c>
      <c r="B3054" s="3" t="str">
        <f>HYPERLINK("https://richardkroll.com/product/sebastian-dark-oil-conditioner-250ml/", "https://richardkroll.com/product/sebastian-dark-oil-conditioner-250ml/")</f>
        <v>https://richardkroll.com/product/sebastian-dark-oil-conditioner-250ml/</v>
      </c>
      <c r="C3054" t="s">
        <v>7528</v>
      </c>
      <c r="D3054" t="s">
        <v>7575</v>
      </c>
      <c r="E3054" s="3" t="str">
        <f>HYPERLINK("https://www.amazon.com/Lightweight-Shampoo-Jojoba-Argan-33-79/dp/B07TDR1H6H/ref=sr_1_4?keywords=Sebastian+Dark+Oil+Conditioner+250ml&amp;qid=1695259838&amp;sr=8-4", "https://www.amazon.com/Lightweight-Shampoo-Jojoba-Argan-33-79/dp/B07TDR1H6H/ref=sr_1_4?keywords=Sebastian+Dark+Oil+Conditioner+250ml&amp;qid=1695259838&amp;sr=8-4")</f>
        <v>https://www.amazon.com/Lightweight-Shampoo-Jojoba-Argan-33-79/dp/B07TDR1H6H/ref=sr_1_4?keywords=Sebastian+Dark+Oil+Conditioner+250ml&amp;qid=1695259838&amp;sr=8-4</v>
      </c>
      <c r="F3054" t="s">
        <v>7576</v>
      </c>
      <c r="G3054" t="e">
        <f ca="1">IMAGE("https://richardkroll.com/wp-content/uploads/2022/04/Dark-Oil-Conditioner-600x800.jpg")</f>
        <v>#NAME?</v>
      </c>
      <c r="H3054" t="e">
        <f ca="1">IMAGE("https://m.media-amazon.com/images/I/61vs5x1aRAL._AC_UL320_.jpg")</f>
        <v>#NAME?</v>
      </c>
      <c r="I3054" t="s">
        <v>3319</v>
      </c>
      <c r="J3054">
        <v>46</v>
      </c>
      <c r="K3054" s="2" t="s">
        <v>7621</v>
      </c>
      <c r="L3054">
        <v>4.7</v>
      </c>
      <c r="M3054">
        <v>1345</v>
      </c>
      <c r="O3054" t="s">
        <v>26</v>
      </c>
      <c r="P3054" t="s">
        <v>39</v>
      </c>
      <c r="Q3054" t="s">
        <v>39</v>
      </c>
    </row>
    <row r="3055" spans="1:17" ht="15.75" x14ac:dyDescent="0.25">
      <c r="A3055" s="3" t="str">
        <f>HYPERLINK("https://richardkroll.com/product/wella-color-motion-shampoo-250ml/", "https://richardkroll.com/product/wella-color-motion-shampoo-250ml/")</f>
        <v>https://richardkroll.com/product/wella-color-motion-shampoo-250ml/</v>
      </c>
      <c r="B3055" s="3" t="str">
        <f>HYPERLINK("https://richardkroll.com/product/wella-color-motion-shampoo-250ml/", "https://richardkroll.com/product/wella-color-motion-shampoo-250ml/")</f>
        <v>https://richardkroll.com/product/wella-color-motion-shampoo-250ml/</v>
      </c>
      <c r="C3055" t="s">
        <v>7535</v>
      </c>
      <c r="D3055" t="s">
        <v>7622</v>
      </c>
      <c r="E3055" s="3" t="str">
        <f>HYPERLINK("https://www.amazon.com/Professionals-ColorMotion-Conditioner-Strengthening-Moisturizing/dp/B0BZGT2HBB/ref=sr_1_1?keywords=Wella+Color+Motion+Shampoo+250ml&amp;qid=1695259840&amp;sr=8-1", "https://www.amazon.com/Professionals-ColorMotion-Conditioner-Strengthening-Moisturizing/dp/B0BZGT2HBB/ref=sr_1_1?keywords=Wella+Color+Motion+Shampoo+250ml&amp;qid=1695259840&amp;sr=8-1")</f>
        <v>https://www.amazon.com/Professionals-ColorMotion-Conditioner-Strengthening-Moisturizing/dp/B0BZGT2HBB/ref=sr_1_1?keywords=Wella+Color+Motion+Shampoo+250ml&amp;qid=1695259840&amp;sr=8-1</v>
      </c>
      <c r="F3055" t="s">
        <v>7623</v>
      </c>
      <c r="G3055" t="e">
        <f ca="1">IMAGE("https://richardkroll.com/wp-content/uploads/2022/04/74E9BA1C-0B1C-4AAF-981F-58BC4FA77B4B-600x800.png")</f>
        <v>#NAME?</v>
      </c>
      <c r="H3055" t="e">
        <f ca="1">IMAGE("https://m.media-amazon.com/images/I/71izm6fuDlL._AC_UL320_.jpg")</f>
        <v>#NAME?</v>
      </c>
      <c r="I3055" t="s">
        <v>7501</v>
      </c>
      <c r="J3055">
        <v>50</v>
      </c>
      <c r="K3055" s="2" t="s">
        <v>7624</v>
      </c>
      <c r="L3055">
        <v>5</v>
      </c>
      <c r="M3055">
        <v>2</v>
      </c>
      <c r="O3055" t="s">
        <v>26</v>
      </c>
      <c r="P3055" t="s">
        <v>39</v>
      </c>
      <c r="Q3055" t="s">
        <v>39</v>
      </c>
    </row>
    <row r="3056" spans="1:17" ht="15.75" x14ac:dyDescent="0.25">
      <c r="A3056" s="3" t="str">
        <f>HYPERLINK("https://richardkroll.com/product/wella-elements-shampoo-250ml/", "https://richardkroll.com/product/wella-elements-shampoo-250ml/")</f>
        <v>https://richardkroll.com/product/wella-elements-shampoo-250ml/</v>
      </c>
      <c r="B3056" s="3" t="str">
        <f>HYPERLINK("https://richardkroll.com/product/wella-elements-shampoo-250ml/", "https://richardkroll.com/product/wella-elements-shampoo-250ml/")</f>
        <v>https://richardkroll.com/product/wella-elements-shampoo-250ml/</v>
      </c>
      <c r="C3056" t="s">
        <v>7498</v>
      </c>
      <c r="D3056" t="s">
        <v>7625</v>
      </c>
      <c r="E3056" s="3" t="str">
        <f>HYPERLINK("https://www.amazon.com/Professionals-Elements-Renewing-Conditioner-Detangling/dp/B0B92LNJTK/ref=sr_1_4?keywords=Wella+Elements+Shampoo+250ml&amp;qid=1695259844&amp;sr=8-4", "https://www.amazon.com/Professionals-Elements-Renewing-Conditioner-Detangling/dp/B0B92LNJTK/ref=sr_1_4?keywords=Wella+Elements+Shampoo+250ml&amp;qid=1695259844&amp;sr=8-4")</f>
        <v>https://www.amazon.com/Professionals-Elements-Renewing-Conditioner-Detangling/dp/B0B92LNJTK/ref=sr_1_4?keywords=Wella+Elements+Shampoo+250ml&amp;qid=1695259844&amp;sr=8-4</v>
      </c>
      <c r="F3056" t="s">
        <v>7626</v>
      </c>
      <c r="G3056" t="e">
        <f ca="1">IMAGE("https://richardkroll.com/wp-content/uploads/2022/04/62D6864A-36A5-4B22-9191-42BD61F06642-600x800.png")</f>
        <v>#NAME?</v>
      </c>
      <c r="H3056" t="e">
        <f ca="1">IMAGE("https://m.media-amazon.com/images/I/616Uj+atFpL._AC_UL320_.jpg")</f>
        <v>#NAME?</v>
      </c>
      <c r="I3056" t="s">
        <v>7501</v>
      </c>
      <c r="J3056">
        <v>50</v>
      </c>
      <c r="K3056" s="2" t="s">
        <v>7624</v>
      </c>
      <c r="L3056">
        <v>4.4000000000000004</v>
      </c>
      <c r="M3056">
        <v>7</v>
      </c>
      <c r="O3056" t="s">
        <v>26</v>
      </c>
      <c r="P3056" t="s">
        <v>39</v>
      </c>
      <c r="Q3056" t="s">
        <v>39</v>
      </c>
    </row>
    <row r="3057" spans="1:17" ht="15.75" x14ac:dyDescent="0.25">
      <c r="A3057" s="3" t="str">
        <f>HYPERLINK("https://richardkroll.com/product/wella-invigo-conditioner-250ml/", "https://richardkroll.com/product/wella-invigo-conditioner-250ml/")</f>
        <v>https://richardkroll.com/product/wella-invigo-conditioner-250ml/</v>
      </c>
      <c r="B3057" s="3" t="str">
        <f>HYPERLINK("https://richardkroll.com/product/wella-invigo-conditioner-250ml/", "https://richardkroll.com/product/wella-invigo-conditioner-250ml/")</f>
        <v>https://richardkroll.com/product/wella-invigo-conditioner-250ml/</v>
      </c>
      <c r="C3057" t="s">
        <v>7520</v>
      </c>
      <c r="D3057" t="s">
        <v>7627</v>
      </c>
      <c r="E3057" s="3" t="str">
        <f>HYPERLINK("https://www.amazon.com/Professionals-Brilliance-Conditioner-Protecting-Vibrancy/dp/B0BQCHFCKH/ref=sr_1_1?keywords=Wella+Invigo+Conditioner+250ml&amp;qid=1695259847&amp;sr=8-1", "https://www.amazon.com/Professionals-Brilliance-Conditioner-Protecting-Vibrancy/dp/B0BQCHFCKH/ref=sr_1_1?keywords=Wella+Invigo+Conditioner+250ml&amp;qid=1695259847&amp;sr=8-1")</f>
        <v>https://www.amazon.com/Professionals-Brilliance-Conditioner-Protecting-Vibrancy/dp/B0BQCHFCKH/ref=sr_1_1?keywords=Wella+Invigo+Conditioner+250ml&amp;qid=1695259847&amp;sr=8-1</v>
      </c>
      <c r="F3057" t="s">
        <v>7628</v>
      </c>
      <c r="G3057" t="e">
        <f ca="1">IMAGE("https://richardkroll.com/wp-content/uploads/2022/04/022430A8-0823-491B-9268-47802C77086C-600x800.png")</f>
        <v>#NAME?</v>
      </c>
      <c r="H3057" t="e">
        <f ca="1">IMAGE("https://m.media-amazon.com/images/I/61Pg-dxnQKL._AC_UL320_.jpg")</f>
        <v>#NAME?</v>
      </c>
      <c r="I3057" t="s">
        <v>7521</v>
      </c>
      <c r="J3057">
        <v>38.4</v>
      </c>
      <c r="K3057" s="2" t="s">
        <v>7629</v>
      </c>
      <c r="L3057">
        <v>4.5999999999999996</v>
      </c>
      <c r="M3057">
        <v>34</v>
      </c>
      <c r="O3057" t="s">
        <v>26</v>
      </c>
      <c r="P3057" t="s">
        <v>39</v>
      </c>
      <c r="Q3057" t="s">
        <v>39</v>
      </c>
    </row>
    <row r="3058" spans="1:17" ht="15.75" x14ac:dyDescent="0.25">
      <c r="A3058" s="3" t="str">
        <f>HYPERLINK("https://richardkroll.com/product/wella-invigo-conditioner-250ml/", "https://richardkroll.com/product/wella-invigo-conditioner-250ml/")</f>
        <v>https://richardkroll.com/product/wella-invigo-conditioner-250ml/</v>
      </c>
      <c r="B3058" s="3" t="str">
        <f>HYPERLINK("https://richardkroll.com/product/wella-invigo-conditioner-250ml/", "https://richardkroll.com/product/wella-invigo-conditioner-250ml/")</f>
        <v>https://richardkroll.com/product/wella-invigo-conditioner-250ml/</v>
      </c>
      <c r="C3058" t="s">
        <v>7520</v>
      </c>
      <c r="D3058" t="s">
        <v>7630</v>
      </c>
      <c r="E3058" s="3" t="str">
        <f>HYPERLINK("https://www.amazon.com/Professionals-Brilliance-Conditioner-Protecting-Vibrancy/dp/B0BQCJYK9F/ref=sr_1_3?keywords=Wella+Invigo+Conditioner+250ml&amp;qid=1695259847&amp;sr=8-3", "https://www.amazon.com/Professionals-Brilliance-Conditioner-Protecting-Vibrancy/dp/B0BQCJYK9F/ref=sr_1_3?keywords=Wella+Invigo+Conditioner+250ml&amp;qid=1695259847&amp;sr=8-3")</f>
        <v>https://www.amazon.com/Professionals-Brilliance-Conditioner-Protecting-Vibrancy/dp/B0BQCJYK9F/ref=sr_1_3?keywords=Wella+Invigo+Conditioner+250ml&amp;qid=1695259847&amp;sr=8-3</v>
      </c>
      <c r="F3058" t="s">
        <v>7631</v>
      </c>
      <c r="G3058" t="e">
        <f ca="1">IMAGE("https://richardkroll.com/wp-content/uploads/2022/04/022430A8-0823-491B-9268-47802C77086C-600x800.png")</f>
        <v>#NAME?</v>
      </c>
      <c r="H3058" t="e">
        <f ca="1">IMAGE("https://m.media-amazon.com/images/I/619hSqr+sjL._AC_UL320_.jpg")</f>
        <v>#NAME?</v>
      </c>
      <c r="I3058" t="s">
        <v>7521</v>
      </c>
      <c r="J3058">
        <v>38.4</v>
      </c>
      <c r="K3058" s="2" t="s">
        <v>7629</v>
      </c>
      <c r="L3058">
        <v>4.5999999999999996</v>
      </c>
      <c r="M3058">
        <v>96</v>
      </c>
      <c r="O3058" t="s">
        <v>26</v>
      </c>
      <c r="P3058" t="s">
        <v>39</v>
      </c>
      <c r="Q3058" t="s">
        <v>39</v>
      </c>
    </row>
    <row r="3059" spans="1:17" ht="15.75" x14ac:dyDescent="0.25">
      <c r="A3059" s="3" t="str">
        <f>HYPERLINK("https://richardkroll.com/product/sebastian-penetraitt-shampoo-250ml/", "https://richardkroll.com/product/sebastian-penetraitt-shampoo-250ml/")</f>
        <v>https://richardkroll.com/product/sebastian-penetraitt-shampoo-250ml/</v>
      </c>
      <c r="B3059" s="3" t="str">
        <f>HYPERLINK("https://richardkroll.com/product/sebastian-penetraitt-shampoo-250ml/", "https://richardkroll.com/product/sebastian-penetraitt-shampoo-250ml/")</f>
        <v>https://richardkroll.com/product/sebastian-penetraitt-shampoo-250ml/</v>
      </c>
      <c r="C3059" t="s">
        <v>7523</v>
      </c>
      <c r="D3059" t="s">
        <v>7632</v>
      </c>
      <c r="E3059" s="3" t="str">
        <f>HYPERLINK("https://www.amazon.com/Sebastian-Penetraitt-Shampoo-33-8-oz/dp/B001PYO3PI/ref=sr_1_2?keywords=Sebastian+Penetraitt+Shampoo+250ml&amp;qid=1695259846&amp;sr=8-2", "https://www.amazon.com/Sebastian-Penetraitt-Shampoo-33-8-oz/dp/B001PYO3PI/ref=sr_1_2?keywords=Sebastian+Penetraitt+Shampoo+250ml&amp;qid=1695259846&amp;sr=8-2")</f>
        <v>https://www.amazon.com/Sebastian-Penetraitt-Shampoo-33-8-oz/dp/B001PYO3PI/ref=sr_1_2?keywords=Sebastian+Penetraitt+Shampoo+250ml&amp;qid=1695259846&amp;sr=8-2</v>
      </c>
      <c r="F3059" t="s">
        <v>7633</v>
      </c>
      <c r="G3059" t="e">
        <f ca="1">IMAGE("https://richardkroll.com/wp-content/uploads/2016/08/sebastian-penetraitt-250g-600x800.jpg")</f>
        <v>#NAME?</v>
      </c>
      <c r="H3059" t="e">
        <f ca="1">IMAGE("https://m.media-amazon.com/images/I/61Fstexfu9L._AC_UL320_.jpg")</f>
        <v>#NAME?</v>
      </c>
      <c r="I3059" t="s">
        <v>7526</v>
      </c>
      <c r="J3059">
        <v>40</v>
      </c>
      <c r="K3059" s="2" t="s">
        <v>7634</v>
      </c>
      <c r="L3059">
        <v>4.7</v>
      </c>
      <c r="M3059">
        <v>916</v>
      </c>
      <c r="O3059" t="s">
        <v>26</v>
      </c>
      <c r="P3059" t="s">
        <v>39</v>
      </c>
      <c r="Q3059" t="s">
        <v>39</v>
      </c>
    </row>
    <row r="3060" spans="1:17" ht="15.75" x14ac:dyDescent="0.25">
      <c r="A3060" s="3" t="str">
        <f>HYPERLINK("https://richardkroll.com/product/all-nutrient-volumize-conditioner-raspbody/", "https://richardkroll.com/product/all-nutrient-volumize-conditioner-raspbody/")</f>
        <v>https://richardkroll.com/product/all-nutrient-volumize-conditioner-raspbody/</v>
      </c>
      <c r="B3060" s="3" t="str">
        <f>HYPERLINK("https://richardkroll.com/product/all-nutrient-volumize-conditioner-raspbody/", "https://richardkroll.com/product/all-nutrient-volumize-conditioner-raspbody/")</f>
        <v>https://richardkroll.com/product/all-nutrient-volumize-conditioner-raspbody/</v>
      </c>
      <c r="C3060" t="s">
        <v>7538</v>
      </c>
      <c r="D3060" t="s">
        <v>7635</v>
      </c>
      <c r="E3060" s="3" t="str">
        <f>HYPERLINK("https://www.amazon.com/All-Nutrient-Restore-Conditioner-25oz/dp/B014N3QPCG/ref=sr_1_8?keywords=All+Nutrient+Volumize+Conditioner&amp;qid=1695259821&amp;sr=8-8", "https://www.amazon.com/All-Nutrient-Restore-Conditioner-25oz/dp/B014N3QPCG/ref=sr_1_8?keywords=All+Nutrient+Volumize+Conditioner&amp;qid=1695259821&amp;sr=8-8")</f>
        <v>https://www.amazon.com/All-Nutrient-Restore-Conditioner-25oz/dp/B014N3QPCG/ref=sr_1_8?keywords=All+Nutrient+Volumize+Conditioner&amp;qid=1695259821&amp;sr=8-8</v>
      </c>
      <c r="F3060" t="s">
        <v>7636</v>
      </c>
      <c r="G3060" t="e">
        <f ca="1">IMAGE("https://richardkroll.com/wp-content/uploads/2016/08/Volumize-Conditioner-600x800.jpg")</f>
        <v>#NAME?</v>
      </c>
      <c r="H3060" t="e">
        <f ca="1">IMAGE("https://m.media-amazon.com/images/I/21lurHT6OyL._AC_UL320_.jpg")</f>
        <v>#NAME?</v>
      </c>
      <c r="I3060" t="s">
        <v>394</v>
      </c>
      <c r="J3060">
        <v>32.01</v>
      </c>
      <c r="K3060" s="2" t="s">
        <v>7637</v>
      </c>
      <c r="L3060">
        <v>4.8</v>
      </c>
      <c r="M3060">
        <v>23</v>
      </c>
      <c r="O3060" t="s">
        <v>26</v>
      </c>
      <c r="P3060" t="s">
        <v>39</v>
      </c>
      <c r="Q3060" t="s">
        <v>7542</v>
      </c>
    </row>
    <row r="3061" spans="1:17" ht="15.75" x14ac:dyDescent="0.25">
      <c r="A3061" s="3" t="str">
        <f>HYPERLINK("https://richardkroll.com/product/sebastian-penetraitt-repair-masque/", "https://richardkroll.com/product/sebastian-penetraitt-repair-masque/")</f>
        <v>https://richardkroll.com/product/sebastian-penetraitt-repair-masque/</v>
      </c>
      <c r="B3061" s="3" t="str">
        <f>HYPERLINK("https://richardkroll.com/product/sebastian-penetraitt-repair-masque/", "https://richardkroll.com/product/sebastian-penetraitt-repair-masque/")</f>
        <v>https://richardkroll.com/product/sebastian-penetraitt-repair-masque/</v>
      </c>
      <c r="C3061" t="s">
        <v>7553</v>
      </c>
      <c r="D3061" t="s">
        <v>7632</v>
      </c>
      <c r="E3061" s="3" t="str">
        <f>HYPERLINK("https://www.amazon.com/Sebastian-Penetraitt-Shampoo-33-8-oz/dp/B001PYO3PI/ref=sr_1_10?keywords=Sebastian+Penetraitt+Repair+Masque&amp;qid=1695259857&amp;sr=8-10", "https://www.amazon.com/Sebastian-Penetraitt-Shampoo-33-8-oz/dp/B001PYO3PI/ref=sr_1_10?keywords=Sebastian+Penetraitt+Repair+Masque&amp;qid=1695259857&amp;sr=8-10")</f>
        <v>https://www.amazon.com/Sebastian-Penetraitt-Shampoo-33-8-oz/dp/B001PYO3PI/ref=sr_1_10?keywords=Sebastian+Penetraitt+Repair+Masque&amp;qid=1695259857&amp;sr=8-10</v>
      </c>
      <c r="F3061" t="s">
        <v>7633</v>
      </c>
      <c r="G3061" t="e">
        <f ca="1">IMAGE("https://richardkroll.com/wp-content/uploads/2016/08/Penetraitt-Masque-600x800.jpg")</f>
        <v>#NAME?</v>
      </c>
      <c r="H3061" t="e">
        <f ca="1">IMAGE("https://m.media-amazon.com/images/I/61Fstexfu9L._AC_UL320_.jpg")</f>
        <v>#NAME?</v>
      </c>
      <c r="I3061" t="s">
        <v>3680</v>
      </c>
      <c r="J3061">
        <v>40</v>
      </c>
      <c r="K3061" s="2" t="s">
        <v>5284</v>
      </c>
      <c r="L3061">
        <v>4.7</v>
      </c>
      <c r="M3061">
        <v>916</v>
      </c>
      <c r="O3061" t="s">
        <v>26</v>
      </c>
      <c r="P3061" t="s">
        <v>39</v>
      </c>
      <c r="Q3061" t="s">
        <v>7557</v>
      </c>
    </row>
    <row r="3062" spans="1:17" ht="15.75" x14ac:dyDescent="0.25">
      <c r="A3062" s="3" t="str">
        <f>HYPERLINK("https://richardkroll.com/product/nioxin-thickening-spray-gel/", "https://richardkroll.com/product/nioxin-thickening-spray-gel/")</f>
        <v>https://richardkroll.com/product/nioxin-thickening-spray-gel/</v>
      </c>
      <c r="B3062" s="3" t="str">
        <f>HYPERLINK("https://richardkroll.com/product/nioxin-thickening-spray-gel/", "https://richardkroll.com/product/nioxin-thickening-spray-gel/")</f>
        <v>https://richardkroll.com/product/nioxin-thickening-spray-gel/</v>
      </c>
      <c r="C3062" t="s">
        <v>7638</v>
      </c>
      <c r="D3062" t="s">
        <v>7639</v>
      </c>
      <c r="E3062" s="3" t="str">
        <f>HYPERLINK("https://www.amazon.com/Nioxin-Thickening-Spray-Bundle-Texture/dp/B0BF25R5WM/ref=sr_1_2?keywords=Nioxin+Thickening+Spray+Gel&amp;qid=1695259834&amp;sr=8-2", "https://www.amazon.com/Nioxin-Thickening-Spray-Bundle-Texture/dp/B0BF25R5WM/ref=sr_1_2?keywords=Nioxin+Thickening+Spray+Gel&amp;qid=1695259834&amp;sr=8-2")</f>
        <v>https://www.amazon.com/Nioxin-Thickening-Spray-Bundle-Texture/dp/B0BF25R5WM/ref=sr_1_2?keywords=Nioxin+Thickening+Spray+Gel&amp;qid=1695259834&amp;sr=8-2</v>
      </c>
      <c r="F3062" t="s">
        <v>7640</v>
      </c>
      <c r="G3062" t="e">
        <f ca="1">IMAGE("https://richardkroll.com/wp-content/uploads/2016/08/Nioxin-Spray-Gel-600x800.jpg")</f>
        <v>#NAME?</v>
      </c>
      <c r="H3062" t="e">
        <f ca="1">IMAGE("https://m.media-amazon.com/images/I/612YyoqQ8+L._AC_UL320_.jpg")</f>
        <v>#NAME?</v>
      </c>
      <c r="I3062" t="s">
        <v>3319</v>
      </c>
      <c r="J3062">
        <v>42</v>
      </c>
      <c r="K3062" s="2" t="s">
        <v>7641</v>
      </c>
      <c r="L3062">
        <v>4.3</v>
      </c>
      <c r="M3062">
        <v>16</v>
      </c>
      <c r="O3062" t="s">
        <v>26</v>
      </c>
      <c r="P3062" t="s">
        <v>39</v>
      </c>
      <c r="Q3062" t="s">
        <v>7642</v>
      </c>
    </row>
    <row r="3063" spans="1:17" ht="15.75" x14ac:dyDescent="0.25">
      <c r="A3063" s="3" t="str">
        <f>HYPERLINK("https://richardkroll.com/product/all-nutrient-restore-conditioner-kiwi-botanical-12oz/", "https://richardkroll.com/product/all-nutrient-restore-conditioner-kiwi-botanical-12oz/")</f>
        <v>https://richardkroll.com/product/all-nutrient-restore-conditioner-kiwi-botanical-12oz/</v>
      </c>
      <c r="B3063" s="3" t="str">
        <f>HYPERLINK("https://richardkroll.com/product/all-nutrient-restore-conditioner-kiwi-botanical-12oz/", "https://richardkroll.com/product/all-nutrient-restore-conditioner-kiwi-botanical-12oz/")</f>
        <v>https://richardkroll.com/product/all-nutrient-restore-conditioner-kiwi-botanical-12oz/</v>
      </c>
      <c r="C3063" t="s">
        <v>7643</v>
      </c>
      <c r="D3063" t="s">
        <v>7635</v>
      </c>
      <c r="E3063" s="3" t="str">
        <f>HYPERLINK("https://www.amazon.com/All-Nutrient-Restore-Conditioner-25oz/dp/B014N3QPCG/ref=sr_1_7?keywords=All-Nutrient+Restore+Conditioner+12oz&amp;qid=1695259835&amp;sr=8-7", "https://www.amazon.com/All-Nutrient-Restore-Conditioner-25oz/dp/B014N3QPCG/ref=sr_1_7?keywords=All-Nutrient+Restore+Conditioner+12oz&amp;qid=1695259835&amp;sr=8-7")</f>
        <v>https://www.amazon.com/All-Nutrient-Restore-Conditioner-25oz/dp/B014N3QPCG/ref=sr_1_7?keywords=All-Nutrient+Restore+Conditioner+12oz&amp;qid=1695259835&amp;sr=8-7</v>
      </c>
      <c r="F3063" t="s">
        <v>7636</v>
      </c>
      <c r="G3063" t="e">
        <f ca="1">IMAGE("https://richardkroll.com/wp-content/uploads/2021/09/all-nutrient-restore-conditioner-600x800.webp")</f>
        <v>#NAME?</v>
      </c>
      <c r="H3063" t="e">
        <f ca="1">IMAGE("https://m.media-amazon.com/images/I/21lurHT6OyL._AC_UL320_.jpg")</f>
        <v>#NAME?</v>
      </c>
      <c r="I3063" t="s">
        <v>7559</v>
      </c>
      <c r="J3063">
        <v>32.01</v>
      </c>
      <c r="K3063" s="2" t="s">
        <v>7644</v>
      </c>
      <c r="L3063">
        <v>4.8</v>
      </c>
      <c r="M3063">
        <v>23</v>
      </c>
      <c r="O3063" t="s">
        <v>26</v>
      </c>
      <c r="P3063" t="s">
        <v>39</v>
      </c>
      <c r="Q3063" t="s">
        <v>7645</v>
      </c>
    </row>
    <row r="3064" spans="1:17" ht="15.75" x14ac:dyDescent="0.25">
      <c r="A3064" s="3" t="str">
        <f>HYPERLINK("https://richardkroll.com/product/all-nutrient-volumize-conditioner-raspbody/", "https://richardkroll.com/product/all-nutrient-volumize-conditioner-raspbody/")</f>
        <v>https://richardkroll.com/product/all-nutrient-volumize-conditioner-raspbody/</v>
      </c>
      <c r="B3064" s="3" t="str">
        <f>HYPERLINK("https://richardkroll.com/product/all-nutrient-volumize-conditioner-raspbody/", "https://richardkroll.com/product/all-nutrient-volumize-conditioner-raspbody/")</f>
        <v>https://richardkroll.com/product/all-nutrient-volumize-conditioner-raspbody/</v>
      </c>
      <c r="C3064" t="s">
        <v>7538</v>
      </c>
      <c r="D3064" t="s">
        <v>7646</v>
      </c>
      <c r="E3064" s="3" t="str">
        <f>HYPERLINK("https://www.amazon.com/All-Nutrient-Hydrate-Conditioner-25/dp/B01K5LCIH6/ref=sr_1_10?keywords=All+Nutrient+Volumize+Conditioner&amp;qid=1695259821&amp;sr=8-10", "https://www.amazon.com/All-Nutrient-Hydrate-Conditioner-25/dp/B01K5LCIH6/ref=sr_1_10?keywords=All+Nutrient+Volumize+Conditioner&amp;qid=1695259821&amp;sr=8-10")</f>
        <v>https://www.amazon.com/All-Nutrient-Hydrate-Conditioner-25/dp/B01K5LCIH6/ref=sr_1_10?keywords=All+Nutrient+Volumize+Conditioner&amp;qid=1695259821&amp;sr=8-10</v>
      </c>
      <c r="F3064" t="s">
        <v>7647</v>
      </c>
      <c r="G3064" t="e">
        <f ca="1">IMAGE("https://richardkroll.com/wp-content/uploads/2016/08/Volumize-Conditioner-600x800.jpg")</f>
        <v>#NAME?</v>
      </c>
      <c r="H3064" t="e">
        <f ca="1">IMAGE("https://m.media-amazon.com/images/I/51tNKn7a-CL._AC_UL320_.jpg")</f>
        <v>#NAME?</v>
      </c>
      <c r="I3064" t="s">
        <v>394</v>
      </c>
      <c r="J3064">
        <v>29.99</v>
      </c>
      <c r="K3064" s="2" t="s">
        <v>7648</v>
      </c>
      <c r="L3064">
        <v>4.5</v>
      </c>
      <c r="M3064">
        <v>40</v>
      </c>
      <c r="O3064" t="s">
        <v>26</v>
      </c>
      <c r="P3064" t="s">
        <v>39</v>
      </c>
      <c r="Q3064" t="s">
        <v>7542</v>
      </c>
    </row>
    <row r="3065" spans="1:17" ht="15.75" x14ac:dyDescent="0.25">
      <c r="A3065" s="3" t="str">
        <f>HYPERLINK("https://richardkroll.com/product/sebastian-penetraitt-shampoo-250ml/", "https://richardkroll.com/product/sebastian-penetraitt-shampoo-250ml/")</f>
        <v>https://richardkroll.com/product/sebastian-penetraitt-shampoo-250ml/</v>
      </c>
      <c r="B3065" s="3" t="str">
        <f>HYPERLINK("https://richardkroll.com/product/sebastian-penetraitt-shampoo-250ml/", "https://richardkroll.com/product/sebastian-penetraitt-shampoo-250ml/")</f>
        <v>https://richardkroll.com/product/sebastian-penetraitt-shampoo-250ml/</v>
      </c>
      <c r="C3065" t="s">
        <v>7523</v>
      </c>
      <c r="D3065" t="s">
        <v>7649</v>
      </c>
      <c r="E3065" s="3" t="str">
        <f>HYPERLINK("https://www.amazon.com/Sebastian-Professional-Penetraitt-Conditioner-Strengthening/dp/B09Z7G1XJM/ref=sr_1_4?keywords=Sebastian+Penetraitt+Shampoo+250ml&amp;qid=1695259846&amp;sr=8-4", "https://www.amazon.com/Sebastian-Professional-Penetraitt-Conditioner-Strengthening/dp/B09Z7G1XJM/ref=sr_1_4?keywords=Sebastian+Penetraitt+Shampoo+250ml&amp;qid=1695259846&amp;sr=8-4")</f>
        <v>https://www.amazon.com/Sebastian-Professional-Penetraitt-Conditioner-Strengthening/dp/B09Z7G1XJM/ref=sr_1_4?keywords=Sebastian+Penetraitt+Shampoo+250ml&amp;qid=1695259846&amp;sr=8-4</v>
      </c>
      <c r="F3065" t="s">
        <v>7650</v>
      </c>
      <c r="G3065" t="e">
        <f ca="1">IMAGE("https://richardkroll.com/wp-content/uploads/2016/08/sebastian-penetraitt-250g-600x800.jpg")</f>
        <v>#NAME?</v>
      </c>
      <c r="H3065" t="e">
        <f ca="1">IMAGE("https://m.media-amazon.com/images/I/61mPLe8MqoL._AC_UL320_.jpg")</f>
        <v>#NAME?</v>
      </c>
      <c r="I3065" t="s">
        <v>7526</v>
      </c>
      <c r="J3065">
        <v>37</v>
      </c>
      <c r="K3065" s="2" t="s">
        <v>7651</v>
      </c>
      <c r="L3065">
        <v>4.7</v>
      </c>
      <c r="M3065">
        <v>109</v>
      </c>
      <c r="O3065" t="s">
        <v>26</v>
      </c>
      <c r="P3065" t="s">
        <v>39</v>
      </c>
      <c r="Q3065" t="s">
        <v>39</v>
      </c>
    </row>
    <row r="3066" spans="1:17" ht="15.75" x14ac:dyDescent="0.25">
      <c r="A3066" s="3" t="str">
        <f>HYPERLINK("https://richardkroll.com/product/sebastian-penetraitt-repair-masque/", "https://richardkroll.com/product/sebastian-penetraitt-repair-masque/")</f>
        <v>https://richardkroll.com/product/sebastian-penetraitt-repair-masque/</v>
      </c>
      <c r="B3066" s="3" t="str">
        <f>HYPERLINK("https://richardkroll.com/product/sebastian-penetraitt-repair-masque/", "https://richardkroll.com/product/sebastian-penetraitt-repair-masque/")</f>
        <v>https://richardkroll.com/product/sebastian-penetraitt-repair-masque/</v>
      </c>
      <c r="C3066" t="s">
        <v>7553</v>
      </c>
      <c r="D3066" t="s">
        <v>7649</v>
      </c>
      <c r="E3066" s="3" t="str">
        <f>HYPERLINK("https://www.amazon.com/Sebastian-Professional-Penetraitt-Conditioner-Strengthening/dp/B09Z7G1XJM/ref=sr_1_6?keywords=Sebastian+Penetraitt+Repair+Masque&amp;qid=1695259857&amp;sr=8-6", "https://www.amazon.com/Sebastian-Professional-Penetraitt-Conditioner-Strengthening/dp/B09Z7G1XJM/ref=sr_1_6?keywords=Sebastian+Penetraitt+Repair+Masque&amp;qid=1695259857&amp;sr=8-6")</f>
        <v>https://www.amazon.com/Sebastian-Professional-Penetraitt-Conditioner-Strengthening/dp/B09Z7G1XJM/ref=sr_1_6?keywords=Sebastian+Penetraitt+Repair+Masque&amp;qid=1695259857&amp;sr=8-6</v>
      </c>
      <c r="F3066" t="s">
        <v>7650</v>
      </c>
      <c r="G3066" t="e">
        <f ca="1">IMAGE("https://richardkroll.com/wp-content/uploads/2016/08/Penetraitt-Masque-600x800.jpg")</f>
        <v>#NAME?</v>
      </c>
      <c r="H3066" t="e">
        <f ca="1">IMAGE("https://m.media-amazon.com/images/I/61mPLe8MqoL._AC_UL320_.jpg")</f>
        <v>#NAME?</v>
      </c>
      <c r="I3066" t="s">
        <v>3680</v>
      </c>
      <c r="J3066">
        <v>37</v>
      </c>
      <c r="K3066" s="2" t="s">
        <v>7652</v>
      </c>
      <c r="L3066">
        <v>4.7</v>
      </c>
      <c r="M3066">
        <v>109</v>
      </c>
      <c r="O3066" t="s">
        <v>26</v>
      </c>
      <c r="P3066" t="s">
        <v>39</v>
      </c>
      <c r="Q3066" t="s">
        <v>7557</v>
      </c>
    </row>
    <row r="3067" spans="1:17" ht="15.75" x14ac:dyDescent="0.25">
      <c r="A3067" s="3" t="str">
        <f>HYPERLINK("https://richardkroll.com/product/all-nutrient-restore-shampoo-kiwi-botanical-12oz/", "https://richardkroll.com/product/all-nutrient-restore-shampoo-kiwi-botanical-12oz/")</f>
        <v>https://richardkroll.com/product/all-nutrient-restore-shampoo-kiwi-botanical-12oz/</v>
      </c>
      <c r="B3067" s="3" t="str">
        <f>HYPERLINK("https://richardkroll.com/product/all-nutrient-restore-shampoo-kiwi-botanical-12oz/", "https://richardkroll.com/product/all-nutrient-restore-shampoo-kiwi-botanical-12oz/")</f>
        <v>https://richardkroll.com/product/all-nutrient-restore-shampoo-kiwi-botanical-12oz/</v>
      </c>
      <c r="C3067" t="s">
        <v>7586</v>
      </c>
      <c r="D3067" t="s">
        <v>7653</v>
      </c>
      <c r="E3067" s="3" t="str">
        <f>HYPERLINK("https://www.amazon.com/All-Nutrient-Restore-Shampoo-25-oz/dp/B014LQYJ6E/ref=sr_1_1?keywords=All-Nutrient+Restore+Shampoo+350ml&amp;qid=1695259839&amp;sr=8-1", "https://www.amazon.com/All-Nutrient-Restore-Shampoo-25-oz/dp/B014LQYJ6E/ref=sr_1_1?keywords=All-Nutrient+Restore+Shampoo+350ml&amp;qid=1695259839&amp;sr=8-1")</f>
        <v>https://www.amazon.com/All-Nutrient-Restore-Shampoo-25-oz/dp/B014LQYJ6E/ref=sr_1_1?keywords=All-Nutrient+Restore+Shampoo+350ml&amp;qid=1695259839&amp;sr=8-1</v>
      </c>
      <c r="F3067" t="s">
        <v>7654</v>
      </c>
      <c r="G3067" t="e">
        <f ca="1">IMAGE("https://richardkroll.com/wp-content/uploads/2021/09/all-nutrient-restore-shampoo-600x800.webp")</f>
        <v>#NAME?</v>
      </c>
      <c r="H3067" t="e">
        <f ca="1">IMAGE("https://m.media-amazon.com/images/I/21uFuPH3LoL._AC_UL320_.jpg")</f>
        <v>#NAME?</v>
      </c>
      <c r="I3067" t="s">
        <v>7559</v>
      </c>
      <c r="J3067">
        <v>30.99</v>
      </c>
      <c r="K3067" s="2" t="s">
        <v>7655</v>
      </c>
      <c r="L3067">
        <v>4.5999999999999996</v>
      </c>
      <c r="M3067">
        <v>70</v>
      </c>
      <c r="O3067" t="s">
        <v>26</v>
      </c>
      <c r="P3067" t="s">
        <v>39</v>
      </c>
      <c r="Q3067" t="s">
        <v>7588</v>
      </c>
    </row>
    <row r="3068" spans="1:17" ht="15.75" x14ac:dyDescent="0.25">
      <c r="A3068" s="3" t="str">
        <f>HYPERLINK("https://richardkroll.com/product/all-nutrient-protect-conditioner-colorsafe-12oz/", "https://richardkroll.com/product/all-nutrient-protect-conditioner-colorsafe-12oz/")</f>
        <v>https://richardkroll.com/product/all-nutrient-protect-conditioner-colorsafe-12oz/</v>
      </c>
      <c r="B3068" s="3" t="str">
        <f>HYPERLINK("https://richardkroll.com/product/all-nutrient-protect-conditioner-colorsafe-12oz/", "https://richardkroll.com/product/all-nutrient-protect-conditioner-colorsafe-12oz/")</f>
        <v>https://richardkroll.com/product/all-nutrient-protect-conditioner-colorsafe-12oz/</v>
      </c>
      <c r="C3068" t="s">
        <v>7566</v>
      </c>
      <c r="D3068" t="s">
        <v>7601</v>
      </c>
      <c r="E3068" s="3" t="str">
        <f>HYPERLINK("https://www.amazon.com/All-Nutrient-Colorsafe-Nourishing-Shampoo-Conditioner/dp/B0085XI8QW/ref=sr_1_2?keywords=All-Nutrient+Colorsafe+Conditioner+350ml&amp;qid=1695259823&amp;sr=8-2", "https://www.amazon.com/All-Nutrient-Colorsafe-Nourishing-Shampoo-Conditioner/dp/B0085XI8QW/ref=sr_1_2?keywords=All-Nutrient+Colorsafe+Conditioner+350ml&amp;qid=1695259823&amp;sr=8-2")</f>
        <v>https://www.amazon.com/All-Nutrient-Colorsafe-Nourishing-Shampoo-Conditioner/dp/B0085XI8QW/ref=sr_1_2?keywords=All-Nutrient+Colorsafe+Conditioner+350ml&amp;qid=1695259823&amp;sr=8-2</v>
      </c>
      <c r="F3068" t="s">
        <v>7602</v>
      </c>
      <c r="G3068" t="e">
        <f ca="1">IMAGE("https://richardkroll.com/wp-content/uploads/2021/09/all-nutrient-colorsafe-conditioner-600x800.webp")</f>
        <v>#NAME?</v>
      </c>
      <c r="H3068" t="e">
        <f ca="1">IMAGE("https://m.media-amazon.com/images/I/31ba8MCAz1L._AC_UL320_.jpg")</f>
        <v>#NAME?</v>
      </c>
      <c r="I3068" t="s">
        <v>394</v>
      </c>
      <c r="J3068">
        <v>29</v>
      </c>
      <c r="K3068" s="2" t="s">
        <v>7656</v>
      </c>
      <c r="L3068">
        <v>4.3</v>
      </c>
      <c r="M3068">
        <v>46</v>
      </c>
      <c r="O3068" t="s">
        <v>26</v>
      </c>
      <c r="P3068" t="s">
        <v>39</v>
      </c>
      <c r="Q3068" t="s">
        <v>7570</v>
      </c>
    </row>
    <row r="3069" spans="1:17" ht="15.75" x14ac:dyDescent="0.25">
      <c r="A3069" s="3" t="str">
        <f>HYPERLINK("https://richardkroll.com/product/nutrifuse-nourishing-shampoo-300ml/", "https://richardkroll.com/product/nutrifuse-nourishing-shampoo-300ml/")</f>
        <v>https://richardkroll.com/product/nutrifuse-nourishing-shampoo-300ml/</v>
      </c>
      <c r="B3069" s="3" t="str">
        <f>HYPERLINK("https://richardkroll.com/product/nutrifuse-nourishing-shampoo-300ml/", "https://richardkroll.com/product/nutrifuse-nourishing-shampoo-300ml/")</f>
        <v>https://richardkroll.com/product/nutrifuse-nourishing-shampoo-300ml/</v>
      </c>
      <c r="C3069" t="s">
        <v>7508</v>
      </c>
      <c r="D3069" t="s">
        <v>7657</v>
      </c>
      <c r="E3069" s="3" t="str">
        <f>HYPERLINK("https://www.amazon.com/Nutrifuse-Nourishing-Shampoo-10-oz/dp/B078T51QKB/ref=sr_1_9?keywords=Nutrifuse+Nourishing+Shampoo+300ml&amp;qid=1695259832&amp;sr=8-9", "https://www.amazon.com/Nutrifuse-Nourishing-Shampoo-10-oz/dp/B078T51QKB/ref=sr_1_9?keywords=Nutrifuse+Nourishing+Shampoo+300ml&amp;qid=1695259832&amp;sr=8-9")</f>
        <v>https://www.amazon.com/Nutrifuse-Nourishing-Shampoo-10-oz/dp/B078T51QKB/ref=sr_1_9?keywords=Nutrifuse+Nourishing+Shampoo+300ml&amp;qid=1695259832&amp;sr=8-9</v>
      </c>
      <c r="F3069" t="s">
        <v>7658</v>
      </c>
      <c r="G3069" t="e">
        <f ca="1">IMAGE("https://richardkroll.com/wp-content/uploads/2021/09/Nutrifuse-Nourishing-Shampoo-for-Men-600x800.jpg")</f>
        <v>#NAME?</v>
      </c>
      <c r="H3069" t="e">
        <f ca="1">IMAGE("https://m.media-amazon.com/images/I/41CukQx5YqL._AC_UL320_.jpg")</f>
        <v>#NAME?</v>
      </c>
      <c r="I3069" t="s">
        <v>7511</v>
      </c>
      <c r="J3069">
        <v>41.95</v>
      </c>
      <c r="K3069" s="2" t="s">
        <v>7659</v>
      </c>
      <c r="L3069">
        <v>5</v>
      </c>
      <c r="M3069">
        <v>2</v>
      </c>
      <c r="O3069" t="s">
        <v>26</v>
      </c>
      <c r="P3069" t="s">
        <v>39</v>
      </c>
      <c r="Q3069" t="s">
        <v>39</v>
      </c>
    </row>
    <row r="3070" spans="1:17" ht="15.75" x14ac:dyDescent="0.25">
      <c r="A3070" s="3" t="str">
        <f>HYPERLINK("https://richardkroll.com/product/nutrifuse-nourishing-shampoo-300ml/", "https://richardkroll.com/product/nutrifuse-nourishing-shampoo-300ml/")</f>
        <v>https://richardkroll.com/product/nutrifuse-nourishing-shampoo-300ml/</v>
      </c>
      <c r="B3070" s="3" t="str">
        <f>HYPERLINK("https://richardkroll.com/product/nutrifuse-nourishing-shampoo-300ml/", "https://richardkroll.com/product/nutrifuse-nourishing-shampoo-300ml/")</f>
        <v>https://richardkroll.com/product/nutrifuse-nourishing-shampoo-300ml/</v>
      </c>
      <c r="C3070" t="s">
        <v>7508</v>
      </c>
      <c r="D3070" t="s">
        <v>7660</v>
      </c>
      <c r="E3070" s="3" t="str">
        <f>HYPERLINK("https://www.amazon.com/Nutrifuse-Nourishing-Shampoo-10-oz/dp/B078T94T94/ref=sr_1_4?keywords=Nutrifuse+Nourishing+Shampoo+300ml&amp;qid=1695259832&amp;sr=8-4", "https://www.amazon.com/Nutrifuse-Nourishing-Shampoo-10-oz/dp/B078T94T94/ref=sr_1_4?keywords=Nutrifuse+Nourishing+Shampoo+300ml&amp;qid=1695259832&amp;sr=8-4")</f>
        <v>https://www.amazon.com/Nutrifuse-Nourishing-Shampoo-10-oz/dp/B078T94T94/ref=sr_1_4?keywords=Nutrifuse+Nourishing+Shampoo+300ml&amp;qid=1695259832&amp;sr=8-4</v>
      </c>
      <c r="F3070" t="s">
        <v>7661</v>
      </c>
      <c r="G3070" t="e">
        <f ca="1">IMAGE("https://richardkroll.com/wp-content/uploads/2021/09/Nutrifuse-Nourishing-Shampoo-for-Men-600x800.jpg")</f>
        <v>#NAME?</v>
      </c>
      <c r="H3070" t="e">
        <f ca="1">IMAGE("https://m.media-amazon.com/images/I/41k02dwcxYL._AC_UL320_.jpg")</f>
        <v>#NAME?</v>
      </c>
      <c r="I3070" t="s">
        <v>7511</v>
      </c>
      <c r="J3070">
        <v>41.95</v>
      </c>
      <c r="K3070" s="2" t="s">
        <v>7659</v>
      </c>
      <c r="L3070">
        <v>5</v>
      </c>
      <c r="M3070">
        <v>1</v>
      </c>
      <c r="O3070" t="s">
        <v>26</v>
      </c>
      <c r="P3070" t="s">
        <v>39</v>
      </c>
      <c r="Q3070" t="s">
        <v>39</v>
      </c>
    </row>
    <row r="3071" spans="1:17" ht="15.75" x14ac:dyDescent="0.25">
      <c r="A3071" s="3" t="str">
        <f>HYPERLINK("https://richardkroll.com/product/all-nutrient-hydrate-conditioner-350ml/", "https://richardkroll.com/product/all-nutrient-hydrate-conditioner-350ml/")</f>
        <v>https://richardkroll.com/product/all-nutrient-hydrate-conditioner-350ml/</v>
      </c>
      <c r="B3071" s="3" t="str">
        <f>HYPERLINK("https://richardkroll.com/product/all-nutrient-hydrate-conditioner-350ml/", "https://richardkroll.com/product/all-nutrient-hydrate-conditioner-350ml/")</f>
        <v>https://richardkroll.com/product/all-nutrient-hydrate-conditioner-350ml/</v>
      </c>
      <c r="C3071" t="s">
        <v>7662</v>
      </c>
      <c r="D3071" t="s">
        <v>7646</v>
      </c>
      <c r="E3071" s="3" t="str">
        <f>HYPERLINK("https://www.amazon.com/All-Nutrient-Hydrate-Conditioner-25/dp/B01K5LCIH6/ref=sr_1_2?keywords=All+Nutrient+Hydrate+Conditioner+350ml&amp;qid=1695259821&amp;sr=8-2", "https://www.amazon.com/All-Nutrient-Hydrate-Conditioner-25/dp/B01K5LCIH6/ref=sr_1_2?keywords=All+Nutrient+Hydrate+Conditioner+350ml&amp;qid=1695259821&amp;sr=8-2")</f>
        <v>https://www.amazon.com/All-Nutrient-Hydrate-Conditioner-25/dp/B01K5LCIH6/ref=sr_1_2?keywords=All+Nutrient+Hydrate+Conditioner+350ml&amp;qid=1695259821&amp;sr=8-2</v>
      </c>
      <c r="F3071" t="s">
        <v>7647</v>
      </c>
      <c r="G3071" t="e">
        <f ca="1">IMAGE("https://richardkroll.com/wp-content/uploads/2021/09/all-nutrient-hydrate-conditioner-600x800.webp")</f>
        <v>#NAME?</v>
      </c>
      <c r="H3071" t="e">
        <f ca="1">IMAGE("https://m.media-amazon.com/images/I/51tNKn7a-CL._AC_UL320_.jpg")</f>
        <v>#NAME?</v>
      </c>
      <c r="I3071" t="s">
        <v>7559</v>
      </c>
      <c r="J3071">
        <v>29.99</v>
      </c>
      <c r="K3071" s="2" t="s">
        <v>7663</v>
      </c>
      <c r="L3071">
        <v>4.5</v>
      </c>
      <c r="M3071">
        <v>40</v>
      </c>
      <c r="O3071" t="s">
        <v>26</v>
      </c>
      <c r="P3071" t="s">
        <v>39</v>
      </c>
      <c r="Q3071" t="s">
        <v>39</v>
      </c>
    </row>
    <row r="3072" spans="1:17" ht="15.75" x14ac:dyDescent="0.25">
      <c r="A3072" s="3" t="str">
        <f>HYPERLINK("https://richardkroll.com/product/sebastian-penetraitt-repair-masque/", "https://richardkroll.com/product/sebastian-penetraitt-repair-masque/")</f>
        <v>https://richardkroll.com/product/sebastian-penetraitt-repair-masque/</v>
      </c>
      <c r="B3072" s="3" t="str">
        <f>HYPERLINK("https://richardkroll.com/product/sebastian-penetraitt-repair-masque/", "https://richardkroll.com/product/sebastian-penetraitt-repair-masque/")</f>
        <v>https://richardkroll.com/product/sebastian-penetraitt-repair-masque/</v>
      </c>
      <c r="C3072" t="s">
        <v>7553</v>
      </c>
      <c r="D3072" t="s">
        <v>7664</v>
      </c>
      <c r="E3072" s="3" t="str">
        <f>HYPERLINK("https://www.amazon.com/Sebastian-Penetraitt-Strengthening-Repair-Masque-16-89/dp/B07X1WBY7T/ref=sr_1_2?keywords=Sebastian+Penetraitt+Repair+Masque&amp;qid=1695259857&amp;sr=8-2", "https://www.amazon.com/Sebastian-Penetraitt-Strengthening-Repair-Masque-16-89/dp/B07X1WBY7T/ref=sr_1_2?keywords=Sebastian+Penetraitt+Repair+Masque&amp;qid=1695259857&amp;sr=8-2")</f>
        <v>https://www.amazon.com/Sebastian-Penetraitt-Strengthening-Repair-Masque-16-89/dp/B07X1WBY7T/ref=sr_1_2?keywords=Sebastian+Penetraitt+Repair+Masque&amp;qid=1695259857&amp;sr=8-2</v>
      </c>
      <c r="F3072" t="s">
        <v>7665</v>
      </c>
      <c r="G3072" t="e">
        <f ca="1">IMAGE("https://richardkroll.com/wp-content/uploads/2016/08/Penetraitt-Masque-600x800.jpg")</f>
        <v>#NAME?</v>
      </c>
      <c r="H3072" t="e">
        <f ca="1">IMAGE("https://m.media-amazon.com/images/I/51Mx8hALjfL._AC_UL320_.jpg")</f>
        <v>#NAME?</v>
      </c>
      <c r="I3072" t="s">
        <v>3680</v>
      </c>
      <c r="J3072">
        <v>33</v>
      </c>
      <c r="K3072" s="2" t="s">
        <v>7666</v>
      </c>
      <c r="L3072">
        <v>4.8</v>
      </c>
      <c r="M3072">
        <v>1094</v>
      </c>
      <c r="O3072" t="s">
        <v>26</v>
      </c>
      <c r="P3072" t="s">
        <v>39</v>
      </c>
      <c r="Q3072" t="s">
        <v>7557</v>
      </c>
    </row>
    <row r="3073" spans="1:17" ht="15.75" x14ac:dyDescent="0.25">
      <c r="A3073" s="3" t="str">
        <f>HYPERLINK("https://richardkroll.com/product/all-nutrient-volumize-conditioner-raspbody/", "https://richardkroll.com/product/all-nutrient-volumize-conditioner-raspbody/")</f>
        <v>https://richardkroll.com/product/all-nutrient-volumize-conditioner-raspbody/</v>
      </c>
      <c r="B3073" s="3" t="str">
        <f>HYPERLINK("https://richardkroll.com/product/all-nutrient-volumize-conditioner-raspbody/", "https://richardkroll.com/product/all-nutrient-volumize-conditioner-raspbody/")</f>
        <v>https://richardkroll.com/product/all-nutrient-volumize-conditioner-raspbody/</v>
      </c>
      <c r="C3073" t="s">
        <v>7538</v>
      </c>
      <c r="D3073" t="s">
        <v>7667</v>
      </c>
      <c r="E3073" s="3" t="str">
        <f>HYPERLINK("https://www.amazon.com/All-Nutrient-Volumize-Conditioner/dp/B00AY14QXC/ref=sr_1_2?keywords=All+Nutrient+Volumize+Conditioner&amp;qid=1695259821&amp;sr=8-2", "https://www.amazon.com/All-Nutrient-Volumize-Conditioner/dp/B00AY14QXC/ref=sr_1_2?keywords=All+Nutrient+Volumize+Conditioner&amp;qid=1695259821&amp;sr=8-2")</f>
        <v>https://www.amazon.com/All-Nutrient-Volumize-Conditioner/dp/B00AY14QXC/ref=sr_1_2?keywords=All+Nutrient+Volumize+Conditioner&amp;qid=1695259821&amp;sr=8-2</v>
      </c>
      <c r="F3073" t="s">
        <v>7668</v>
      </c>
      <c r="G3073" t="e">
        <f ca="1">IMAGE("https://richardkroll.com/wp-content/uploads/2016/08/Volumize-Conditioner-600x800.jpg")</f>
        <v>#NAME?</v>
      </c>
      <c r="H3073" t="e">
        <f ca="1">IMAGE("https://m.media-amazon.com/images/I/21f+cSREYhL._AC_UL320_.jpg")</f>
        <v>#NAME?</v>
      </c>
      <c r="I3073" t="s">
        <v>394</v>
      </c>
      <c r="J3073">
        <v>22.9</v>
      </c>
      <c r="K3073" s="2" t="s">
        <v>7669</v>
      </c>
      <c r="L3073">
        <v>4.2</v>
      </c>
      <c r="M3073">
        <v>22</v>
      </c>
      <c r="O3073" t="s">
        <v>26</v>
      </c>
      <c r="P3073" t="s">
        <v>39</v>
      </c>
      <c r="Q3073" t="s">
        <v>7542</v>
      </c>
    </row>
    <row r="3074" spans="1:17" ht="15.75" x14ac:dyDescent="0.25">
      <c r="A3074" s="3" t="str">
        <f>HYPERLINK("https://richardkroll.com/product/all-nutrient-sculpt-body-amplifier-instant-volume-250ml/", "https://richardkroll.com/product/all-nutrient-sculpt-body-amplifier-instant-volume-250ml/")</f>
        <v>https://richardkroll.com/product/all-nutrient-sculpt-body-amplifier-instant-volume-250ml/</v>
      </c>
      <c r="B3074" s="3" t="str">
        <f>HYPERLINK("https://richardkroll.com/product/all-nutrient-sculpt-body-amplifier-instant-volume-250ml/", "https://richardkroll.com/product/all-nutrient-sculpt-body-amplifier-instant-volume-250ml/")</f>
        <v>https://richardkroll.com/product/all-nutrient-sculpt-body-amplifier-instant-volume-250ml/</v>
      </c>
      <c r="C3074" t="s">
        <v>7670</v>
      </c>
      <c r="D3074" t="s">
        <v>7671</v>
      </c>
      <c r="E3074" s="3" t="str">
        <f>HYPERLINK("https://www.amazon.com/All-Nutrient-Sculpt-Amplifier-Instant-Protection/dp/B08B5LCKSL/ref=sr_1_1?keywords=All-Nutrient+sculpt%2B+body+amplifier+instant+volume+250ml&amp;qid=1695259821&amp;sr=8-1", "https://www.amazon.com/All-Nutrient-Sculpt-Amplifier-Instant-Protection/dp/B08B5LCKSL/ref=sr_1_1?keywords=All-Nutrient+sculpt%2B+body+amplifier+instant+volume+250ml&amp;qid=1695259821&amp;sr=8-1")</f>
        <v>https://www.amazon.com/All-Nutrient-Sculpt-Amplifier-Instant-Protection/dp/B08B5LCKSL/ref=sr_1_1?keywords=All-Nutrient+sculpt%2B+body+amplifier+instant+volume+250ml&amp;qid=1695259821&amp;sr=8-1</v>
      </c>
      <c r="F3074" t="s">
        <v>7672</v>
      </c>
      <c r="G3074" t="e">
        <f ca="1">IMAGE("https://richardkroll.com/wp-content/uploads/2021/09/all-nutrient-sculpt-body-amplifier-instant-volume-600x801.webp")</f>
        <v>#NAME?</v>
      </c>
      <c r="H3074" t="e">
        <f ca="1">IMAGE("https://m.media-amazon.com/images/I/71aw+qNoFbL._AC_UL320_.jpg")</f>
        <v>#NAME?</v>
      </c>
      <c r="I3074" t="s">
        <v>7673</v>
      </c>
      <c r="J3074">
        <v>17.98</v>
      </c>
      <c r="K3074" s="2" t="s">
        <v>7674</v>
      </c>
      <c r="L3074">
        <v>4.2</v>
      </c>
      <c r="M3074">
        <v>45</v>
      </c>
      <c r="O3074" t="s">
        <v>26</v>
      </c>
      <c r="P3074" t="s">
        <v>39</v>
      </c>
      <c r="Q3074" t="s">
        <v>39</v>
      </c>
    </row>
    <row r="3075" spans="1:17" ht="15.75" x14ac:dyDescent="0.25">
      <c r="A3075" s="3" t="str">
        <f>HYPERLINK("https://richardkroll.com/product/wella-eimi-root-shoot-193g/", "https://richardkroll.com/product/wella-eimi-root-shoot-193g/")</f>
        <v>https://richardkroll.com/product/wella-eimi-root-shoot-193g/</v>
      </c>
      <c r="B3075" s="3" t="str">
        <f>HYPERLINK("https://richardkroll.com/product/wella-eimi-root-shoot-193g/", "https://richardkroll.com/product/wella-eimi-root-shoot-193g/")</f>
        <v>https://richardkroll.com/product/wella-eimi-root-shoot-193g/</v>
      </c>
      <c r="C3075" t="s">
        <v>7675</v>
      </c>
      <c r="D3075" t="s">
        <v>7676</v>
      </c>
      <c r="E3075" s="3" t="str">
        <f>HYPERLINK("https://www.amazon.com/Wella-Shoot-Precise-Mousse-6-8oz/dp/B016AVH0HI/ref=sr_1_1?keywords=Wella+EIMI+Root+Shoot+193g&amp;qid=1695259866&amp;sr=8-1", "https://www.amazon.com/Wella-Shoot-Precise-Mousse-6-8oz/dp/B016AVH0HI/ref=sr_1_1?keywords=Wella+EIMI+Root+Shoot+193g&amp;qid=1695259866&amp;sr=8-1")</f>
        <v>https://www.amazon.com/Wella-Shoot-Precise-Mousse-6-8oz/dp/B016AVH0HI/ref=sr_1_1?keywords=Wella+EIMI+Root+Shoot+193g&amp;qid=1695259866&amp;sr=8-1</v>
      </c>
      <c r="F3075" t="s">
        <v>7677</v>
      </c>
      <c r="G3075" t="e">
        <f ca="1">IMAGE("https://richardkroll.com/wp-content/uploads/2022/04/96AA55DA-C710-4031-87E7-9CE0B294BD48-600x800.png")</f>
        <v>#NAME?</v>
      </c>
      <c r="H3075" t="e">
        <f ca="1">IMAGE("https://m.media-amazon.com/images/I/61HcoPKKnVL._AC_UL320_.jpg")</f>
        <v>#NAME?</v>
      </c>
      <c r="I3075" t="s">
        <v>7678</v>
      </c>
      <c r="J3075">
        <v>29.64</v>
      </c>
      <c r="K3075" s="2" t="s">
        <v>6839</v>
      </c>
      <c r="L3075">
        <v>4.5999999999999996</v>
      </c>
      <c r="M3075">
        <v>720</v>
      </c>
      <c r="O3075" t="s">
        <v>26</v>
      </c>
      <c r="P3075" t="s">
        <v>39</v>
      </c>
      <c r="Q3075" t="s">
        <v>39</v>
      </c>
    </row>
    <row r="3076" spans="1:17" ht="15.75" x14ac:dyDescent="0.25">
      <c r="A3076" s="3" t="str">
        <f>HYPERLINK("https://richardkroll.com/product/keune-silver-savior-shampoo/", "https://richardkroll.com/product/keune-silver-savior-shampoo/")</f>
        <v>https://richardkroll.com/product/keune-silver-savior-shampoo/</v>
      </c>
      <c r="B3076" s="3" t="str">
        <f>HYPERLINK("https://richardkroll.com/product/keune-silver-savior-shampoo/", "https://richardkroll.com/product/keune-silver-savior-shampoo/")</f>
        <v>https://richardkroll.com/product/keune-silver-savior-shampoo/</v>
      </c>
      <c r="C3076" t="s">
        <v>7679</v>
      </c>
      <c r="D3076" t="s">
        <v>7680</v>
      </c>
      <c r="E3076" s="3" t="str">
        <f>HYPERLINK("https://www.amazon.com/KEUNE-Care-Blonde-Savior-Shampoo/dp/B0BFVF6ZGM/ref=sr_1_3?keywords=Keune+Silver+Savior+Shampoo&amp;qid=1695259835&amp;sr=8-3", "https://www.amazon.com/KEUNE-Care-Blonde-Savior-Shampoo/dp/B0BFVF6ZGM/ref=sr_1_3?keywords=Keune+Silver+Savior+Shampoo&amp;qid=1695259835&amp;sr=8-3")</f>
        <v>https://www.amazon.com/KEUNE-Care-Blonde-Savior-Shampoo/dp/B0BFVF6ZGM/ref=sr_1_3?keywords=Keune+Silver+Savior+Shampoo&amp;qid=1695259835&amp;sr=8-3</v>
      </c>
      <c r="F3076" t="s">
        <v>7681</v>
      </c>
      <c r="G3076" t="e">
        <f ca="1">IMAGE("https://richardkroll.com/wp-content/uploads/2021/09/keune-care-silver-savior-shampoo-600x799.webp")</f>
        <v>#NAME?</v>
      </c>
      <c r="H3076" t="e">
        <f ca="1">IMAGE("https://m.media-amazon.com/images/I/61JQ1RcVZUL._AC_UL320_.jpg")</f>
        <v>#NAME?</v>
      </c>
      <c r="I3076" t="s">
        <v>2957</v>
      </c>
      <c r="J3076">
        <v>32</v>
      </c>
      <c r="K3076" s="2" t="s">
        <v>7682</v>
      </c>
      <c r="L3076">
        <v>3.1</v>
      </c>
      <c r="M3076">
        <v>13</v>
      </c>
      <c r="O3076" t="s">
        <v>26</v>
      </c>
      <c r="P3076" t="s">
        <v>39</v>
      </c>
      <c r="Q3076" t="s">
        <v>39</v>
      </c>
    </row>
    <row r="3077" spans="1:17" ht="15.75" x14ac:dyDescent="0.25">
      <c r="A3077" s="3" t="str">
        <f>HYPERLINK("https://richardkroll.com/product/qshi-sulfate-free-moisturizing-shampoo-10-6fl-oz/", "https://richardkroll.com/product/qshi-sulfate-free-moisturizing-shampoo-10-6fl-oz/")</f>
        <v>https://richardkroll.com/product/qshi-sulfate-free-moisturizing-shampoo-10-6fl-oz/</v>
      </c>
      <c r="B3077" s="3" t="str">
        <f>HYPERLINK("https://richardkroll.com/product/qshi-sulfate-free-moisturizing-shampoo-10-6fl-oz/", "https://richardkroll.com/product/qshi-sulfate-free-moisturizing-shampoo-10-6fl-oz/")</f>
        <v>https://richardkroll.com/product/qshi-sulfate-free-moisturizing-shampoo-10-6fl-oz/</v>
      </c>
      <c r="C3077" t="s">
        <v>7683</v>
      </c>
      <c r="D3077" t="s">
        <v>7684</v>
      </c>
      <c r="E3077" s="3"/>
      <c r="F3077" t="s">
        <v>7685</v>
      </c>
      <c r="G3077" t="e">
        <f ca="1">IMAGE("https://richardkroll.com/wp-content/uploads/2022/04/Qshi-Sulfate-Free-Moisturizing-Shampoo-600x800.jpg")</f>
        <v>#NAME?</v>
      </c>
      <c r="H3077" t="e">
        <f ca="1">IMAGE("https://m.media-amazon.com/images/I/81co6wghhJL._AC_UL320_.jpg")</f>
        <v>#NAME?</v>
      </c>
      <c r="I3077" t="s">
        <v>7686</v>
      </c>
      <c r="J3077">
        <v>19.78</v>
      </c>
      <c r="K3077" s="2" t="s">
        <v>7687</v>
      </c>
      <c r="L3077">
        <v>4.4000000000000004</v>
      </c>
      <c r="M3077">
        <v>11569</v>
      </c>
      <c r="O3077" t="s">
        <v>26</v>
      </c>
      <c r="P3077" t="s">
        <v>39</v>
      </c>
      <c r="Q3077" t="s">
        <v>7688</v>
      </c>
    </row>
    <row r="3078" spans="1:17" ht="15.75" x14ac:dyDescent="0.25">
      <c r="A3078" s="3" t="str">
        <f>HYPERLINK("https://richardkroll.com/product/keune-silver-savior-shampoo/", "https://richardkroll.com/product/keune-silver-savior-shampoo/")</f>
        <v>https://richardkroll.com/product/keune-silver-savior-shampoo/</v>
      </c>
      <c r="B3078" s="3" t="str">
        <f>HYPERLINK("https://richardkroll.com/product/keune-silver-savior-shampoo/", "https://richardkroll.com/product/keune-silver-savior-shampoo/")</f>
        <v>https://richardkroll.com/product/keune-silver-savior-shampoo/</v>
      </c>
      <c r="C3078" t="s">
        <v>7679</v>
      </c>
      <c r="D3078" t="s">
        <v>7689</v>
      </c>
      <c r="E3078" s="3" t="str">
        <f>HYPERLINK("https://www.amazon.com/KEUNE-Silver-Savior-Treatment-Blonde/dp/B09HSXYT2M/ref=sr_1_7?keywords=Keune+Silver+Savior+Shampoo&amp;qid=1695259835&amp;sr=8-7", "https://www.amazon.com/KEUNE-Silver-Savior-Treatment-Blonde/dp/B09HSXYT2M/ref=sr_1_7?keywords=Keune+Silver+Savior+Shampoo&amp;qid=1695259835&amp;sr=8-7")</f>
        <v>https://www.amazon.com/KEUNE-Silver-Savior-Treatment-Blonde/dp/B09HSXYT2M/ref=sr_1_7?keywords=Keune+Silver+Savior+Shampoo&amp;qid=1695259835&amp;sr=8-7</v>
      </c>
      <c r="F3078" t="s">
        <v>7690</v>
      </c>
      <c r="G3078" t="e">
        <f ca="1">IMAGE("https://richardkroll.com/wp-content/uploads/2021/09/keune-care-silver-savior-shampoo-600x799.webp")</f>
        <v>#NAME?</v>
      </c>
      <c r="H3078" t="e">
        <f ca="1">IMAGE("https://m.media-amazon.com/images/I/51dV8jINIOL._AC_UL320_.jpg")</f>
        <v>#NAME?</v>
      </c>
      <c r="I3078" t="s">
        <v>2957</v>
      </c>
      <c r="J3078">
        <v>31</v>
      </c>
      <c r="K3078" s="2" t="s">
        <v>7691</v>
      </c>
      <c r="L3078">
        <v>5</v>
      </c>
      <c r="M3078">
        <v>9</v>
      </c>
      <c r="O3078" t="s">
        <v>26</v>
      </c>
      <c r="P3078" t="s">
        <v>39</v>
      </c>
      <c r="Q3078" t="s">
        <v>39</v>
      </c>
    </row>
    <row r="3079" spans="1:17" ht="15.75" x14ac:dyDescent="0.25">
      <c r="A3079" s="3" t="str">
        <f>HYPERLINK("https://richardkroll.com/product/all-nutrient-restore-shampoo-kiwi-botanical-12oz/", "https://richardkroll.com/product/all-nutrient-restore-shampoo-kiwi-botanical-12oz/")</f>
        <v>https://richardkroll.com/product/all-nutrient-restore-shampoo-kiwi-botanical-12oz/</v>
      </c>
      <c r="B3079" s="3" t="str">
        <f>HYPERLINK("https://richardkroll.com/product/all-nutrient-restore-shampoo-kiwi-botanical-12oz/", "https://richardkroll.com/product/all-nutrient-restore-shampoo-kiwi-botanical-12oz/")</f>
        <v>https://richardkroll.com/product/all-nutrient-restore-shampoo-kiwi-botanical-12oz/</v>
      </c>
      <c r="C3079" t="s">
        <v>7586</v>
      </c>
      <c r="D3079" t="s">
        <v>7692</v>
      </c>
      <c r="E3079" s="3" t="str">
        <f>HYPERLINK("https://www.amazon.com/All-Nutrient-RESTORE-Conditioner-Dry-Damaged-Protection/dp/B08B5J36BB/ref=sr_1_2?keywords=All-Nutrient+Restore+Shampoo+350ml&amp;qid=1695259839&amp;sr=8-2", "https://www.amazon.com/All-Nutrient-RESTORE-Conditioner-Dry-Damaged-Protection/dp/B08B5J36BB/ref=sr_1_2?keywords=All-Nutrient+Restore+Shampoo+350ml&amp;qid=1695259839&amp;sr=8-2")</f>
        <v>https://www.amazon.com/All-Nutrient-RESTORE-Conditioner-Dry-Damaged-Protection/dp/B08B5J36BB/ref=sr_1_2?keywords=All-Nutrient+Restore+Shampoo+350ml&amp;qid=1695259839&amp;sr=8-2</v>
      </c>
      <c r="F3079" t="s">
        <v>7693</v>
      </c>
      <c r="G3079" t="e">
        <f ca="1">IMAGE("https://richardkroll.com/wp-content/uploads/2021/09/all-nutrient-restore-shampoo-600x800.webp")</f>
        <v>#NAME?</v>
      </c>
      <c r="H3079" t="e">
        <f ca="1">IMAGE("https://m.media-amazon.com/images/I/71mNNvRWz+L._AC_UL320_.jpg")</f>
        <v>#NAME?</v>
      </c>
      <c r="I3079" t="s">
        <v>7559</v>
      </c>
      <c r="J3079">
        <v>20.98</v>
      </c>
      <c r="K3079" s="2" t="s">
        <v>7694</v>
      </c>
      <c r="L3079">
        <v>4.2</v>
      </c>
      <c r="M3079">
        <v>26</v>
      </c>
      <c r="O3079" t="s">
        <v>26</v>
      </c>
      <c r="P3079" t="s">
        <v>39</v>
      </c>
      <c r="Q3079" t="s">
        <v>7588</v>
      </c>
    </row>
    <row r="3080" spans="1:17" ht="15.75" x14ac:dyDescent="0.25">
      <c r="A3080" s="3" t="str">
        <f>HYPERLINK("https://richardkroll.com/product/all-nutrient-volumize-shampoo/", "https://richardkroll.com/product/all-nutrient-volumize-shampoo/")</f>
        <v>https://richardkroll.com/product/all-nutrient-volumize-shampoo/</v>
      </c>
      <c r="B3080" s="3" t="str">
        <f>HYPERLINK("https://richardkroll.com/product/all-nutrient-volumize-shampoo/", "https://richardkroll.com/product/all-nutrient-volumize-shampoo/")</f>
        <v>https://richardkroll.com/product/all-nutrient-volumize-shampoo/</v>
      </c>
      <c r="C3080" t="s">
        <v>7558</v>
      </c>
      <c r="D3080" t="s">
        <v>7695</v>
      </c>
      <c r="E3080" s="3" t="str">
        <f>HYPERLINK("https://www.amazon.com/All-Nutrient-VOLUMIZE-Conditioner-Dimension-Protection/dp/B08B5GDLCC/ref=sr_1_2?keywords=All+Nutrient+Volumize+Shampoo+%28Raspbody%29&amp;qid=1695259821&amp;sr=8-2", "https://www.amazon.com/All-Nutrient-VOLUMIZE-Conditioner-Dimension-Protection/dp/B08B5GDLCC/ref=sr_1_2?keywords=All+Nutrient+Volumize+Shampoo+%28Raspbody%29&amp;qid=1695259821&amp;sr=8-2")</f>
        <v>https://www.amazon.com/All-Nutrient-VOLUMIZE-Conditioner-Dimension-Protection/dp/B08B5GDLCC/ref=sr_1_2?keywords=All+Nutrient+Volumize+Shampoo+%28Raspbody%29&amp;qid=1695259821&amp;sr=8-2</v>
      </c>
      <c r="F3080" t="s">
        <v>7696</v>
      </c>
      <c r="G3080" t="e">
        <f ca="1">IMAGE("https://richardkroll.com/wp-content/uploads/2016/08/AN-Volumize-Shampoo-600x600.jpg")</f>
        <v>#NAME?</v>
      </c>
      <c r="H3080" t="e">
        <f ca="1">IMAGE("https://m.media-amazon.com/images/I/71FAUgMFoyL._AC_UL320_.jpg")</f>
        <v>#NAME?</v>
      </c>
      <c r="I3080" t="s">
        <v>7559</v>
      </c>
      <c r="J3080">
        <v>20.98</v>
      </c>
      <c r="K3080" s="2" t="s">
        <v>7694</v>
      </c>
      <c r="L3080">
        <v>4.0999999999999996</v>
      </c>
      <c r="M3080">
        <v>19</v>
      </c>
      <c r="O3080" t="s">
        <v>26</v>
      </c>
      <c r="P3080" t="s">
        <v>39</v>
      </c>
      <c r="Q3080" t="s">
        <v>7561</v>
      </c>
    </row>
    <row r="3081" spans="1:17" ht="15.75" x14ac:dyDescent="0.25">
      <c r="A3081" s="3" t="str">
        <f>HYPERLINK("https://richardkroll.com/product/all-nutrient-restore-conditioner-kiwi-botanical-12oz/", "https://richardkroll.com/product/all-nutrient-restore-conditioner-kiwi-botanical-12oz/")</f>
        <v>https://richardkroll.com/product/all-nutrient-restore-conditioner-kiwi-botanical-12oz/</v>
      </c>
      <c r="B3081" s="3" t="str">
        <f>HYPERLINK("https://richardkroll.com/product/all-nutrient-restore-conditioner-kiwi-botanical-12oz/", "https://richardkroll.com/product/all-nutrient-restore-conditioner-kiwi-botanical-12oz/")</f>
        <v>https://richardkroll.com/product/all-nutrient-restore-conditioner-kiwi-botanical-12oz/</v>
      </c>
      <c r="C3081" t="s">
        <v>7643</v>
      </c>
      <c r="D3081" t="s">
        <v>7697</v>
      </c>
      <c r="E3081" s="3" t="str">
        <f>HYPERLINK("https://www.amazon.com/All-Nutrient-Restore-Conditioner-12oz/dp/B014N3D6QO/ref=sr_1_5?keywords=All-Nutrient+Restore+Conditioner+12oz&amp;qid=1695259835&amp;sr=8-5", "https://www.amazon.com/All-Nutrient-Restore-Conditioner-12oz/dp/B014N3D6QO/ref=sr_1_5?keywords=All-Nutrient+Restore+Conditioner+12oz&amp;qid=1695259835&amp;sr=8-5")</f>
        <v>https://www.amazon.com/All-Nutrient-Restore-Conditioner-12oz/dp/B014N3D6QO/ref=sr_1_5?keywords=All-Nutrient+Restore+Conditioner+12oz&amp;qid=1695259835&amp;sr=8-5</v>
      </c>
      <c r="F3081" t="s">
        <v>7698</v>
      </c>
      <c r="G3081" t="e">
        <f ca="1">IMAGE("https://richardkroll.com/wp-content/uploads/2021/09/all-nutrient-restore-conditioner-600x800.webp")</f>
        <v>#NAME?</v>
      </c>
      <c r="H3081" t="e">
        <f ca="1">IMAGE("https://m.media-amazon.com/images/I/71PNF20K-FL._AC_UL320_.jpg")</f>
        <v>#NAME?</v>
      </c>
      <c r="I3081" t="s">
        <v>7559</v>
      </c>
      <c r="J3081">
        <v>20.79</v>
      </c>
      <c r="K3081" s="2" t="s">
        <v>7699</v>
      </c>
      <c r="L3081">
        <v>4.3</v>
      </c>
      <c r="M3081">
        <v>27</v>
      </c>
      <c r="O3081" t="s">
        <v>26</v>
      </c>
      <c r="P3081" t="s">
        <v>39</v>
      </c>
      <c r="Q3081" t="s">
        <v>7645</v>
      </c>
    </row>
    <row r="3082" spans="1:17" ht="15.75" x14ac:dyDescent="0.25">
      <c r="A3082" s="3" t="str">
        <f>HYPERLINK("https://richardkroll.com/product/all-nutrient-colorsafe-leave-in-detangler-250ml/", "https://richardkroll.com/product/all-nutrient-colorsafe-leave-in-detangler-250ml/")</f>
        <v>https://richardkroll.com/product/all-nutrient-colorsafe-leave-in-detangler-250ml/</v>
      </c>
      <c r="B3082" s="3" t="str">
        <f>HYPERLINK("https://richardkroll.com/product/all-nutrient-colorsafe-leave-in-detangler-250ml/", "https://richardkroll.com/product/all-nutrient-colorsafe-leave-in-detangler-250ml/")</f>
        <v>https://richardkroll.com/product/all-nutrient-colorsafe-leave-in-detangler-250ml/</v>
      </c>
      <c r="C3082" t="s">
        <v>7700</v>
      </c>
      <c r="D3082" t="s">
        <v>7701</v>
      </c>
      <c r="E3082" s="3" t="str">
        <f>HYPERLINK("https://www.amazon.com/All-Nutrient-Colorsafe-Leave-Detangler/dp/B01945ZPRO/ref=sr_1_fkmr0_1?keywords=All+Nutrient+Colorsafe+Leave-in+Detangler+250ml&amp;qid=1695259823&amp;sr=8-1-fkmr0", "https://www.amazon.com/All-Nutrient-Colorsafe-Leave-Detangler/dp/B01945ZPRO/ref=sr_1_fkmr0_1?keywords=All+Nutrient+Colorsafe+Leave-in+Detangler+250ml&amp;qid=1695259823&amp;sr=8-1-fkmr0")</f>
        <v>https://www.amazon.com/All-Nutrient-Colorsafe-Leave-Detangler/dp/B01945ZPRO/ref=sr_1_fkmr0_1?keywords=All+Nutrient+Colorsafe+Leave-in+Detangler+250ml&amp;qid=1695259823&amp;sr=8-1-fkmr0</v>
      </c>
      <c r="F3082" t="s">
        <v>7702</v>
      </c>
      <c r="G3082" t="e">
        <f ca="1">IMAGE("https://richardkroll.com/wp-content/uploads/2021/09/all-nutrient-colorsafe-leave-in-detangler-600x800.webp")</f>
        <v>#NAME?</v>
      </c>
      <c r="H3082" t="e">
        <f ca="1">IMAGE("https://m.media-amazon.com/images/I/71f4dWr3zoL._AC_UL320_.jpg")</f>
        <v>#NAME?</v>
      </c>
      <c r="I3082" t="s">
        <v>3664</v>
      </c>
      <c r="J3082">
        <v>18.010000000000002</v>
      </c>
      <c r="K3082" s="2" t="s">
        <v>7703</v>
      </c>
      <c r="L3082">
        <v>3.9</v>
      </c>
      <c r="M3082">
        <v>9</v>
      </c>
      <c r="O3082" t="s">
        <v>26</v>
      </c>
      <c r="P3082" t="s">
        <v>39</v>
      </c>
      <c r="Q3082" t="s">
        <v>39</v>
      </c>
    </row>
    <row r="3083" spans="1:17" ht="15.75" x14ac:dyDescent="0.25">
      <c r="A3083" s="3" t="str">
        <f>HYPERLINK("https://richardkroll.com/product/all-nutrient-straight-smoothing-creme-250ml/", "https://richardkroll.com/product/all-nutrient-straight-smoothing-creme-250ml/")</f>
        <v>https://richardkroll.com/product/all-nutrient-straight-smoothing-creme-250ml/</v>
      </c>
      <c r="B3083" s="3" t="str">
        <f>HYPERLINK("https://richardkroll.com/product/all-nutrient-straight-smoothing-creme-250ml/", "https://richardkroll.com/product/all-nutrient-straight-smoothing-creme-250ml/")</f>
        <v>https://richardkroll.com/product/all-nutrient-straight-smoothing-creme-250ml/</v>
      </c>
      <c r="C3083" t="s">
        <v>7704</v>
      </c>
      <c r="D3083" t="s">
        <v>7705</v>
      </c>
      <c r="E3083" s="3" t="str">
        <f>HYPERLINK("https://www.amazon.com/All-Nutrient-Straight-Smoothing-Frizz-Free-Protection/dp/B08B5LHR18/ref=sr_1_1?keywords=All-Nutrient+Straight+Smoothing+Creme+250ml&amp;qid=1695259830&amp;sr=8-1", "https://www.amazon.com/All-Nutrient-Straight-Smoothing-Frizz-Free-Protection/dp/B08B5LHR18/ref=sr_1_1?keywords=All-Nutrient+Straight+Smoothing+Creme+250ml&amp;qid=1695259830&amp;sr=8-1")</f>
        <v>https://www.amazon.com/All-Nutrient-Straight-Smoothing-Frizz-Free-Protection/dp/B08B5LHR18/ref=sr_1_1?keywords=All-Nutrient+Straight+Smoothing+Creme+250ml&amp;qid=1695259830&amp;sr=8-1</v>
      </c>
      <c r="F3083" t="s">
        <v>7706</v>
      </c>
      <c r="G3083" t="e">
        <f ca="1">IMAGE("https://richardkroll.com/wp-content/uploads/2021/09/all-nutrient-straight-smoothing-creme-600x800.webp")</f>
        <v>#NAME?</v>
      </c>
      <c r="H3083" t="e">
        <f ca="1">IMAGE("https://m.media-amazon.com/images/I/711520rUK3L._AC_UL320_.jpg")</f>
        <v>#NAME?</v>
      </c>
      <c r="I3083" t="s">
        <v>3664</v>
      </c>
      <c r="J3083">
        <v>18</v>
      </c>
      <c r="K3083" s="2" t="s">
        <v>5497</v>
      </c>
      <c r="L3083">
        <v>4.0999999999999996</v>
      </c>
      <c r="M3083">
        <v>39</v>
      </c>
      <c r="O3083" t="s">
        <v>26</v>
      </c>
      <c r="P3083" t="s">
        <v>39</v>
      </c>
      <c r="Q3083" t="s">
        <v>39</v>
      </c>
    </row>
    <row r="3084" spans="1:17" ht="15.75" x14ac:dyDescent="0.25">
      <c r="A3084" s="3" t="str">
        <f>HYPERLINK("https://richardkroll.com/product/all-nutrient-colorsafe-leave-in-detangler-250ml/", "https://richardkroll.com/product/all-nutrient-colorsafe-leave-in-detangler-250ml/")</f>
        <v>https://richardkroll.com/product/all-nutrient-colorsafe-leave-in-detangler-250ml/</v>
      </c>
      <c r="B3084" s="3" t="str">
        <f>HYPERLINK("https://richardkroll.com/product/all-nutrient-colorsafe-leave-in-detangler-250ml/", "https://richardkroll.com/product/all-nutrient-colorsafe-leave-in-detangler-250ml/")</f>
        <v>https://richardkroll.com/product/all-nutrient-colorsafe-leave-in-detangler-250ml/</v>
      </c>
      <c r="C3084" t="s">
        <v>7700</v>
      </c>
      <c r="D3084" t="s">
        <v>7707</v>
      </c>
      <c r="E3084" s="3" t="str">
        <f>HYPERLINK("https://www.amazon.com/All-Nutrient-Colorsafe-Detangler-Conditioner-Protection/dp/B08B5HPCY1/ref=sr_1_1?keywords=All+Nutrient+Colorsafe+Leave-in+Detangler+250ml&amp;qid=1695259823&amp;sr=8-1", "https://www.amazon.com/All-Nutrient-Colorsafe-Detangler-Conditioner-Protection/dp/B08B5HPCY1/ref=sr_1_1?keywords=All+Nutrient+Colorsafe+Leave-in+Detangler+250ml&amp;qid=1695259823&amp;sr=8-1")</f>
        <v>https://www.amazon.com/All-Nutrient-Colorsafe-Detangler-Conditioner-Protection/dp/B08B5HPCY1/ref=sr_1_1?keywords=All+Nutrient+Colorsafe+Leave-in+Detangler+250ml&amp;qid=1695259823&amp;sr=8-1</v>
      </c>
      <c r="F3084" t="s">
        <v>7708</v>
      </c>
      <c r="G3084" t="e">
        <f ca="1">IMAGE("https://richardkroll.com/wp-content/uploads/2021/09/all-nutrient-colorsafe-leave-in-detangler-600x800.webp")</f>
        <v>#NAME?</v>
      </c>
      <c r="H3084" t="e">
        <f ca="1">IMAGE("https://m.media-amazon.com/images/I/71BnGg4z1RL._AC_UL320_.jpg")</f>
        <v>#NAME?</v>
      </c>
      <c r="I3084" t="s">
        <v>3664</v>
      </c>
      <c r="J3084">
        <v>18</v>
      </c>
      <c r="K3084" s="2" t="s">
        <v>5497</v>
      </c>
      <c r="L3084">
        <v>3.7</v>
      </c>
      <c r="M3084">
        <v>4</v>
      </c>
      <c r="O3084" t="s">
        <v>26</v>
      </c>
      <c r="P3084" t="s">
        <v>39</v>
      </c>
      <c r="Q3084" t="s">
        <v>39</v>
      </c>
    </row>
    <row r="3085" spans="1:17" ht="15.75" x14ac:dyDescent="0.25">
      <c r="A3085" s="3" t="str">
        <f>HYPERLINK("https://richardkroll.com/product/all-nutrient-spray-gel-natural-styler-250ml/", "https://richardkroll.com/product/all-nutrient-spray-gel-natural-styler-250ml/")</f>
        <v>https://richardkroll.com/product/all-nutrient-spray-gel-natural-styler-250ml/</v>
      </c>
      <c r="B3085" s="3" t="str">
        <f>HYPERLINK("https://richardkroll.com/product/all-nutrient-spray-gel-natural-styler-250ml/", "https://richardkroll.com/product/all-nutrient-spray-gel-natural-styler-250ml/")</f>
        <v>https://richardkroll.com/product/all-nutrient-spray-gel-natural-styler-250ml/</v>
      </c>
      <c r="C3085" t="s">
        <v>7709</v>
      </c>
      <c r="D3085" t="s">
        <v>7710</v>
      </c>
      <c r="E3085" s="3" t="str">
        <f>HYPERLINK("https://www.amazon.com/All-Nutrient-Natural-Flexible-Hairspray-Protection/dp/B08B5LMMMY/ref=sr_1_1?keywords=All-Nutrient+Spray+Gel+Natural+Styler+250ml&amp;qid=1695259826&amp;sr=8-1", "https://www.amazon.com/All-Nutrient-Natural-Flexible-Hairspray-Protection/dp/B08B5LMMMY/ref=sr_1_1?keywords=All-Nutrient+Spray+Gel+Natural+Styler+250ml&amp;qid=1695259826&amp;sr=8-1")</f>
        <v>https://www.amazon.com/All-Nutrient-Natural-Flexible-Hairspray-Protection/dp/B08B5LMMMY/ref=sr_1_1?keywords=All-Nutrient+Spray+Gel+Natural+Styler+250ml&amp;qid=1695259826&amp;sr=8-1</v>
      </c>
      <c r="F3085" t="s">
        <v>7711</v>
      </c>
      <c r="G3085" t="e">
        <f ca="1">IMAGE("https://richardkroll.com/wp-content/uploads/2021/09/all-nutrient-spray-gel-natural-styler-600x800.webp")</f>
        <v>#NAME?</v>
      </c>
      <c r="H3085" t="e">
        <f ca="1">IMAGE("https://m.media-amazon.com/images/I/71efvSCxqSL._AC_UL320_.jpg")</f>
        <v>#NAME?</v>
      </c>
      <c r="I3085" t="s">
        <v>3664</v>
      </c>
      <c r="J3085">
        <v>17.989999999999998</v>
      </c>
      <c r="K3085" s="2" t="s">
        <v>7712</v>
      </c>
      <c r="L3085">
        <v>4.5</v>
      </c>
      <c r="M3085">
        <v>51</v>
      </c>
      <c r="O3085" t="s">
        <v>26</v>
      </c>
      <c r="P3085" t="s">
        <v>39</v>
      </c>
      <c r="Q3085" t="s">
        <v>39</v>
      </c>
    </row>
    <row r="3086" spans="1:17" ht="15.75" x14ac:dyDescent="0.25">
      <c r="A3086" s="3" t="str">
        <f>HYPERLINK("https://richardkroll.com/product/all-nutrient-volumize-conditioner-raspbody/", "https://richardkroll.com/product/all-nutrient-volumize-conditioner-raspbody/")</f>
        <v>https://richardkroll.com/product/all-nutrient-volumize-conditioner-raspbody/</v>
      </c>
      <c r="B3086" s="3" t="str">
        <f>HYPERLINK("https://richardkroll.com/product/all-nutrient-volumize-conditioner-raspbody/", "https://richardkroll.com/product/all-nutrient-volumize-conditioner-raspbody/")</f>
        <v>https://richardkroll.com/product/all-nutrient-volumize-conditioner-raspbody/</v>
      </c>
      <c r="C3086" t="s">
        <v>7538</v>
      </c>
      <c r="D3086" t="s">
        <v>7713</v>
      </c>
      <c r="E3086" s="3" t="str">
        <f>HYPERLINK("https://www.amazon.com/All-Nutrient-Volumize-Shampoo-Ounce/dp/B00918DQVC/ref=sr_1_4?keywords=All+Nutrient+Volumize+Conditioner&amp;qid=1695259821&amp;sr=8-4", "https://www.amazon.com/All-Nutrient-Volumize-Shampoo-Ounce/dp/B00918DQVC/ref=sr_1_4?keywords=All+Nutrient+Volumize+Conditioner&amp;qid=1695259821&amp;sr=8-4")</f>
        <v>https://www.amazon.com/All-Nutrient-Volumize-Shampoo-Ounce/dp/B00918DQVC/ref=sr_1_4?keywords=All+Nutrient+Volumize+Conditioner&amp;qid=1695259821&amp;sr=8-4</v>
      </c>
      <c r="F3086" t="s">
        <v>7714</v>
      </c>
      <c r="G3086" t="e">
        <f ca="1">IMAGE("https://richardkroll.com/wp-content/uploads/2016/08/Volumize-Conditioner-600x800.jpg")</f>
        <v>#NAME?</v>
      </c>
      <c r="H3086" t="e">
        <f ca="1">IMAGE("https://m.media-amazon.com/images/I/219pL2LdLnL._AC_UL320_.jpg")</f>
        <v>#NAME?</v>
      </c>
      <c r="I3086" t="s">
        <v>394</v>
      </c>
      <c r="J3086">
        <v>18.989999999999998</v>
      </c>
      <c r="K3086" s="2" t="s">
        <v>7715</v>
      </c>
      <c r="L3086">
        <v>4.5</v>
      </c>
      <c r="M3086">
        <v>50</v>
      </c>
      <c r="O3086" t="s">
        <v>26</v>
      </c>
      <c r="P3086" t="s">
        <v>39</v>
      </c>
      <c r="Q3086" t="s">
        <v>7542</v>
      </c>
    </row>
    <row r="3087" spans="1:17" ht="15.75" x14ac:dyDescent="0.25">
      <c r="A3087" s="3" t="str">
        <f>HYPERLINK("https://richardkroll.com/product/all-nutrient-volumize-conditioner-raspbody/", "https://richardkroll.com/product/all-nutrient-volumize-conditioner-raspbody/")</f>
        <v>https://richardkroll.com/product/all-nutrient-volumize-conditioner-raspbody/</v>
      </c>
      <c r="B3087" s="3" t="str">
        <f>HYPERLINK("https://richardkroll.com/product/all-nutrient-volumize-conditioner-raspbody/", "https://richardkroll.com/product/all-nutrient-volumize-conditioner-raspbody/")</f>
        <v>https://richardkroll.com/product/all-nutrient-volumize-conditioner-raspbody/</v>
      </c>
      <c r="C3087" t="s">
        <v>7538</v>
      </c>
      <c r="D3087" t="s">
        <v>7716</v>
      </c>
      <c r="E3087" s="3" t="str">
        <f>HYPERLINK("https://www.amazon.com/All-Nutrient-Restore-Conditioner-12/dp/B09NMLPHQM/ref=sr_1_6?keywords=All+Nutrient+Volumize+Conditioner&amp;qid=1695259821&amp;sr=8-6", "https://www.amazon.com/All-Nutrient-Restore-Conditioner-12/dp/B09NMLPHQM/ref=sr_1_6?keywords=All+Nutrient+Volumize+Conditioner&amp;qid=1695259821&amp;sr=8-6")</f>
        <v>https://www.amazon.com/All-Nutrient-Restore-Conditioner-12/dp/B09NMLPHQM/ref=sr_1_6?keywords=All+Nutrient+Volumize+Conditioner&amp;qid=1695259821&amp;sr=8-6</v>
      </c>
      <c r="F3087" t="s">
        <v>7717</v>
      </c>
      <c r="G3087" t="e">
        <f ca="1">IMAGE("https://richardkroll.com/wp-content/uploads/2016/08/Volumize-Conditioner-600x800.jpg")</f>
        <v>#NAME?</v>
      </c>
      <c r="H3087" t="e">
        <f ca="1">IMAGE("https://m.media-amazon.com/images/I/31NAFw1LBgL._AC_UL320_.jpg")</f>
        <v>#NAME?</v>
      </c>
      <c r="I3087" t="s">
        <v>394</v>
      </c>
      <c r="J3087">
        <v>18.989999999999998</v>
      </c>
      <c r="K3087" s="2" t="s">
        <v>7715</v>
      </c>
      <c r="L3087">
        <v>5</v>
      </c>
      <c r="M3087">
        <v>2</v>
      </c>
      <c r="O3087" t="s">
        <v>26</v>
      </c>
      <c r="P3087" t="s">
        <v>39</v>
      </c>
      <c r="Q3087" t="s">
        <v>7542</v>
      </c>
    </row>
    <row r="3088" spans="1:17" ht="15.75" x14ac:dyDescent="0.25">
      <c r="A3088" s="3" t="str">
        <f>HYPERLINK("https://richardkroll.com/product/keune-silver-savior-shampoo/", "https://richardkroll.com/product/keune-silver-savior-shampoo/")</f>
        <v>https://richardkroll.com/product/keune-silver-savior-shampoo/</v>
      </c>
      <c r="B3088" s="3" t="str">
        <f>HYPERLINK("https://richardkroll.com/product/keune-silver-savior-shampoo/", "https://richardkroll.com/product/keune-silver-savior-shampoo/")</f>
        <v>https://richardkroll.com/product/keune-silver-savior-shampoo/</v>
      </c>
      <c r="C3088" t="s">
        <v>7679</v>
      </c>
      <c r="D3088" t="s">
        <v>7718</v>
      </c>
      <c r="E3088" s="3" t="str">
        <f>HYPERLINK("https://www.amazon.com/Keune-Silver-Savior-Conditioner-250ml/dp/B07FTFWP9Z/ref=sr_1_2?keywords=Keune+Silver+Savior+Shampoo&amp;qid=1695259835&amp;sr=8-2", "https://www.amazon.com/Keune-Silver-Savior-Conditioner-250ml/dp/B07FTFWP9Z/ref=sr_1_2?keywords=Keune+Silver+Savior+Shampoo&amp;qid=1695259835&amp;sr=8-2")</f>
        <v>https://www.amazon.com/Keune-Silver-Savior-Conditioner-250ml/dp/B07FTFWP9Z/ref=sr_1_2?keywords=Keune+Silver+Savior+Shampoo&amp;qid=1695259835&amp;sr=8-2</v>
      </c>
      <c r="F3088" t="s">
        <v>7719</v>
      </c>
      <c r="G3088" t="e">
        <f ca="1">IMAGE("https://richardkroll.com/wp-content/uploads/2021/09/keune-care-silver-savior-shampoo-600x799.webp")</f>
        <v>#NAME?</v>
      </c>
      <c r="H3088" t="e">
        <f ca="1">IMAGE("https://m.media-amazon.com/images/I/51UUCdoruIL._AC_UL320_.jpg")</f>
        <v>#NAME?</v>
      </c>
      <c r="I3088" t="s">
        <v>2957</v>
      </c>
      <c r="J3088">
        <v>29</v>
      </c>
      <c r="K3088" s="2" t="s">
        <v>7720</v>
      </c>
      <c r="L3088">
        <v>4.5999999999999996</v>
      </c>
      <c r="M3088">
        <v>201</v>
      </c>
      <c r="O3088" t="s">
        <v>26</v>
      </c>
      <c r="P3088" t="s">
        <v>39</v>
      </c>
      <c r="Q3088" t="s">
        <v>39</v>
      </c>
    </row>
    <row r="3089" spans="1:17" ht="15.75" x14ac:dyDescent="0.25">
      <c r="A3089" s="3" t="str">
        <f>HYPERLINK("https://richardkroll.com/product/keune-color-brillianz-conditioner-250ml/", "https://richardkroll.com/product/keune-color-brillianz-conditioner-250ml/")</f>
        <v>https://richardkroll.com/product/keune-color-brillianz-conditioner-250ml/</v>
      </c>
      <c r="B3089" s="3" t="str">
        <f>HYPERLINK("https://richardkroll.com/product/keune-color-brillianz-conditioner-250ml/", "https://richardkroll.com/product/keune-color-brillianz-conditioner-250ml/")</f>
        <v>https://richardkroll.com/product/keune-color-brillianz-conditioner-250ml/</v>
      </c>
      <c r="C3089" t="s">
        <v>7721</v>
      </c>
      <c r="D3089" t="s">
        <v>7722</v>
      </c>
      <c r="E3089" s="3" t="str">
        <f>HYPERLINK("https://www.amazon.com/KEUNE-Derma-Sensitive-Shampoo-Scalp/dp/B01MRY6MMH/ref=sr_1_1?keywords=Keune+Color+Brillianz+Conditioner+250ml&amp;qid=1695259822&amp;sr=8-1", "https://www.amazon.com/KEUNE-Derma-Sensitive-Shampoo-Scalp/dp/B01MRY6MMH/ref=sr_1_1?keywords=Keune+Color+Brillianz+Conditioner+250ml&amp;qid=1695259822&amp;sr=8-1")</f>
        <v>https://www.amazon.com/KEUNE-Derma-Sensitive-Shampoo-Scalp/dp/B01MRY6MMH/ref=sr_1_1?keywords=Keune+Color+Brillianz+Conditioner+250ml&amp;qid=1695259822&amp;sr=8-1</v>
      </c>
      <c r="F3089" t="s">
        <v>7723</v>
      </c>
      <c r="G3089" t="e">
        <f ca="1">IMAGE("https://richardkroll.com/wp-content/uploads/2021/09/keune-care-color-brazillianz-conditioner-600x800.webp")</f>
        <v>#NAME?</v>
      </c>
      <c r="H3089" t="e">
        <f ca="1">IMAGE("https://m.media-amazon.com/images/I/51NRu1Iit7L._AC_UL320_.jpg")</f>
        <v>#NAME?</v>
      </c>
      <c r="I3089" t="s">
        <v>748</v>
      </c>
      <c r="J3089">
        <v>31</v>
      </c>
      <c r="K3089" s="2" t="s">
        <v>6895</v>
      </c>
      <c r="L3089">
        <v>4.7</v>
      </c>
      <c r="M3089">
        <v>36</v>
      </c>
      <c r="O3089" t="s">
        <v>26</v>
      </c>
      <c r="P3089" t="s">
        <v>39</v>
      </c>
      <c r="Q3089" t="s">
        <v>39</v>
      </c>
    </row>
    <row r="3090" spans="1:17" ht="15.75" x14ac:dyDescent="0.25">
      <c r="A3090" s="3" t="str">
        <f t="shared" ref="A3090:B3092" si="37">HYPERLINK("https://richardkroll.com/product/wella-invigo-shampoo-300ml/", "https://richardkroll.com/product/wella-invigo-shampoo-300ml/")</f>
        <v>https://richardkroll.com/product/wella-invigo-shampoo-300ml/</v>
      </c>
      <c r="B3090" s="3" t="str">
        <f t="shared" si="37"/>
        <v>https://richardkroll.com/product/wella-invigo-shampoo-300ml/</v>
      </c>
      <c r="C3090" t="s">
        <v>7513</v>
      </c>
      <c r="D3090" t="s">
        <v>7724</v>
      </c>
      <c r="E3090" s="3" t="str">
        <f>HYPERLINK("https://www.amazon.com/Wella-Invigo-Boost-Bodifying-Shampoo/dp/B07N1XWFQP/ref=sr_1_10?keywords=Wella+Invigo+Shampoo+300ml&amp;qid=1695259854&amp;sr=8-10", "https://www.amazon.com/Wella-Invigo-Boost-Bodifying-Shampoo/dp/B07N1XWFQP/ref=sr_1_10?keywords=Wella+Invigo+Shampoo+300ml&amp;qid=1695259854&amp;sr=8-10")</f>
        <v>https://www.amazon.com/Wella-Invigo-Boost-Bodifying-Shampoo/dp/B07N1XWFQP/ref=sr_1_10?keywords=Wella+Invigo+Shampoo+300ml&amp;qid=1695259854&amp;sr=8-10</v>
      </c>
      <c r="F3090" t="s">
        <v>7725</v>
      </c>
      <c r="G3090" t="e">
        <f ca="1">IMAGE("https://richardkroll.com/wp-content/uploads/2022/04/CD51E0C3-1E5C-4FDC-81A9-942D102BED21-600x800.png")</f>
        <v>#NAME?</v>
      </c>
      <c r="H3090" t="e">
        <f ca="1">IMAGE("https://m.media-amazon.com/images/I/61vLaAzy3aL._AC_UL320_.jpg")</f>
        <v>#NAME?</v>
      </c>
      <c r="I3090" t="s">
        <v>7516</v>
      </c>
      <c r="J3090">
        <v>19.899999999999999</v>
      </c>
      <c r="K3090" s="2" t="s">
        <v>7726</v>
      </c>
      <c r="L3090">
        <v>4.5</v>
      </c>
      <c r="M3090">
        <v>508</v>
      </c>
      <c r="O3090" t="s">
        <v>26</v>
      </c>
      <c r="P3090" t="s">
        <v>39</v>
      </c>
      <c r="Q3090" t="s">
        <v>39</v>
      </c>
    </row>
    <row r="3091" spans="1:17" ht="15.75" x14ac:dyDescent="0.25">
      <c r="A3091" s="3" t="str">
        <f t="shared" si="37"/>
        <v>https://richardkroll.com/product/wella-invigo-shampoo-300ml/</v>
      </c>
      <c r="B3091" s="3" t="str">
        <f t="shared" si="37"/>
        <v>https://richardkroll.com/product/wella-invigo-shampoo-300ml/</v>
      </c>
      <c r="C3091" t="s">
        <v>7513</v>
      </c>
      <c r="D3091" t="s">
        <v>7727</v>
      </c>
      <c r="E3091" s="3" t="str">
        <f>HYPERLINK("https://www.amazon.com/Wella-Professionals-Brilliance-Protection-Vibrancy/dp/B0B64J3TBF/ref=sr_1_6?keywords=Wella+Invigo+Shampoo+300ml&amp;qid=1695259854&amp;sr=8-6", "https://www.amazon.com/Wella-Professionals-Brilliance-Protection-Vibrancy/dp/B0B64J3TBF/ref=sr_1_6?keywords=Wella+Invigo+Shampoo+300ml&amp;qid=1695259854&amp;sr=8-6")</f>
        <v>https://www.amazon.com/Wella-Professionals-Brilliance-Protection-Vibrancy/dp/B0B64J3TBF/ref=sr_1_6?keywords=Wella+Invigo+Shampoo+300ml&amp;qid=1695259854&amp;sr=8-6</v>
      </c>
      <c r="F3091" t="s">
        <v>7728</v>
      </c>
      <c r="G3091" t="e">
        <f ca="1">IMAGE("https://richardkroll.com/wp-content/uploads/2022/04/CD51E0C3-1E5C-4FDC-81A9-942D102BED21-600x800.png")</f>
        <v>#NAME?</v>
      </c>
      <c r="H3091" t="e">
        <f ca="1">IMAGE("https://m.media-amazon.com/images/I/61U0ZyVoMLL._AC_UL320_.jpg")</f>
        <v>#NAME?</v>
      </c>
      <c r="I3091" t="s">
        <v>7516</v>
      </c>
      <c r="J3091">
        <v>19.899999999999999</v>
      </c>
      <c r="K3091" s="2" t="s">
        <v>7726</v>
      </c>
      <c r="L3091">
        <v>4.5</v>
      </c>
      <c r="M3091">
        <v>225</v>
      </c>
      <c r="O3091" t="s">
        <v>26</v>
      </c>
      <c r="P3091" t="s">
        <v>39</v>
      </c>
      <c r="Q3091" t="s">
        <v>39</v>
      </c>
    </row>
    <row r="3092" spans="1:17" ht="15.75" x14ac:dyDescent="0.25">
      <c r="A3092" s="3" t="str">
        <f t="shared" si="37"/>
        <v>https://richardkroll.com/product/wella-invigo-shampoo-300ml/</v>
      </c>
      <c r="B3092" s="3" t="str">
        <f t="shared" si="37"/>
        <v>https://richardkroll.com/product/wella-invigo-shampoo-300ml/</v>
      </c>
      <c r="C3092" t="s">
        <v>7513</v>
      </c>
      <c r="D3092" t="s">
        <v>7729</v>
      </c>
      <c r="E3092" s="3" t="str">
        <f>HYPERLINK("https://www.amazon.com/Wella-Professionals-Brilliance-Protection-Vibrancy/dp/B0B64CTSZR/ref=sr_1_8?keywords=Wella+Invigo+Shampoo+300ml&amp;qid=1695259854&amp;sr=8-8", "https://www.amazon.com/Wella-Professionals-Brilliance-Protection-Vibrancy/dp/B0B64CTSZR/ref=sr_1_8?keywords=Wella+Invigo+Shampoo+300ml&amp;qid=1695259854&amp;sr=8-8")</f>
        <v>https://www.amazon.com/Wella-Professionals-Brilliance-Protection-Vibrancy/dp/B0B64CTSZR/ref=sr_1_8?keywords=Wella+Invigo+Shampoo+300ml&amp;qid=1695259854&amp;sr=8-8</v>
      </c>
      <c r="F3092" t="s">
        <v>7730</v>
      </c>
      <c r="G3092" t="e">
        <f ca="1">IMAGE("https://richardkroll.com/wp-content/uploads/2022/04/CD51E0C3-1E5C-4FDC-81A9-942D102BED21-600x800.png")</f>
        <v>#NAME?</v>
      </c>
      <c r="H3092" t="e">
        <f ca="1">IMAGE("https://m.media-amazon.com/images/I/61TDazQ-YML._AC_UL320_.jpg")</f>
        <v>#NAME?</v>
      </c>
      <c r="I3092" t="s">
        <v>7516</v>
      </c>
      <c r="J3092">
        <v>19.899999999999999</v>
      </c>
      <c r="K3092" s="2" t="s">
        <v>7726</v>
      </c>
      <c r="L3092">
        <v>4.5999999999999996</v>
      </c>
      <c r="M3092">
        <v>160</v>
      </c>
      <c r="O3092" t="s">
        <v>26</v>
      </c>
      <c r="P3092" t="s">
        <v>39</v>
      </c>
      <c r="Q3092" t="s">
        <v>39</v>
      </c>
    </row>
    <row r="3093" spans="1:17" ht="15.75" x14ac:dyDescent="0.25">
      <c r="A3093" s="3" t="str">
        <f>HYPERLINK("https://richardkroll.com/product/sebastian-light-conditioner-250ml/", "https://richardkroll.com/product/sebastian-light-conditioner-250ml/")</f>
        <v>https://richardkroll.com/product/sebastian-light-conditioner-250ml/</v>
      </c>
      <c r="B3093" s="3" t="str">
        <f>HYPERLINK("https://richardkroll.com/product/sebastian-light-conditioner-250ml/", "https://richardkroll.com/product/sebastian-light-conditioner-250ml/")</f>
        <v>https://richardkroll.com/product/sebastian-light-conditioner-250ml/</v>
      </c>
      <c r="C3093" t="s">
        <v>7562</v>
      </c>
      <c r="D3093" t="s">
        <v>7731</v>
      </c>
      <c r="E3093" s="3" t="str">
        <f>HYPERLINK("https://www.amazon.com/Dark-Lightweight-Conditioner-Jojoba-Argan/dp/B07T8G5RV5/ref=sr_1_3?keywords=Sebastian+Light+Conditioner+250ml&amp;qid=1695259866&amp;sr=8-3", "https://www.amazon.com/Dark-Lightweight-Conditioner-Jojoba-Argan/dp/B07T8G5RV5/ref=sr_1_3?keywords=Sebastian+Light+Conditioner+250ml&amp;qid=1695259866&amp;sr=8-3")</f>
        <v>https://www.amazon.com/Dark-Lightweight-Conditioner-Jojoba-Argan/dp/B07T8G5RV5/ref=sr_1_3?keywords=Sebastian+Light+Conditioner+250ml&amp;qid=1695259866&amp;sr=8-3</v>
      </c>
      <c r="F3093" t="s">
        <v>7732</v>
      </c>
      <c r="G3093" t="e">
        <f ca="1">IMAGE("https://richardkroll.com/wp-content/uploads/2021/08/sebastian-light-conditoner-250ml-600x775.jpg")</f>
        <v>#NAME?</v>
      </c>
      <c r="H3093" t="e">
        <f ca="1">IMAGE("https://m.media-amazon.com/images/I/71wGdvaJ9NL._AC_UL320_.jpg")</f>
        <v>#NAME?</v>
      </c>
      <c r="I3093" t="s">
        <v>7521</v>
      </c>
      <c r="J3093">
        <v>21</v>
      </c>
      <c r="K3093" s="2" t="s">
        <v>7733</v>
      </c>
      <c r="L3093">
        <v>4.8</v>
      </c>
      <c r="M3093">
        <v>755</v>
      </c>
      <c r="O3093" t="s">
        <v>26</v>
      </c>
      <c r="P3093" t="s">
        <v>39</v>
      </c>
      <c r="Q3093" t="s">
        <v>39</v>
      </c>
    </row>
    <row r="3094" spans="1:17" ht="15.75" x14ac:dyDescent="0.25">
      <c r="A3094" s="3" t="str">
        <f>HYPERLINK("https://richardkroll.com/product/all-nutrient-name-this-stuff-styling-treatment-100ml/", "https://richardkroll.com/product/all-nutrient-name-this-stuff-styling-treatment-100ml/")</f>
        <v>https://richardkroll.com/product/all-nutrient-name-this-stuff-styling-treatment-100ml/</v>
      </c>
      <c r="B3094" s="3" t="str">
        <f>HYPERLINK("https://richardkroll.com/product/all-nutrient-name-this-stuff-styling-treatment-100ml/", "https://richardkroll.com/product/all-nutrient-name-this-stuff-styling-treatment-100ml/")</f>
        <v>https://richardkroll.com/product/all-nutrient-name-this-stuff-styling-treatment-100ml/</v>
      </c>
      <c r="C3094" t="s">
        <v>7734</v>
      </c>
      <c r="D3094" t="s">
        <v>7735</v>
      </c>
      <c r="E3094" s="3" t="str">
        <f>HYPERLINK("https://www.amazon.com/All-Nutrient-Styling-Treatment-Softens-Protection/dp/B08BXBG6J1/ref=sr_1_1?keywords=All-Nutrient+Name+This+Stuff+Styling+Treatment+100ml&amp;qid=1695259825&amp;sr=8-1", "https://www.amazon.com/All-Nutrient-Styling-Treatment-Softens-Protection/dp/B08BXBG6J1/ref=sr_1_1?keywords=All-Nutrient+Name+This+Stuff+Styling+Treatment+100ml&amp;qid=1695259825&amp;sr=8-1")</f>
        <v>https://www.amazon.com/All-Nutrient-Styling-Treatment-Softens-Protection/dp/B08BXBG6J1/ref=sr_1_1?keywords=All-Nutrient+Name+This+Stuff+Styling+Treatment+100ml&amp;qid=1695259825&amp;sr=8-1</v>
      </c>
      <c r="F3094" t="s">
        <v>7736</v>
      </c>
      <c r="G3094" t="e">
        <f ca="1">IMAGE("https://richardkroll.com/wp-content/uploads/2021/09/all-nutrient-name-this-stuff-styling-treatment-600x800.webp")</f>
        <v>#NAME?</v>
      </c>
      <c r="H3094" t="e">
        <f ca="1">IMAGE("https://m.media-amazon.com/images/I/71DPeAU-bpL._AC_UL320_.jpg")</f>
        <v>#NAME?</v>
      </c>
      <c r="I3094" t="s">
        <v>7737</v>
      </c>
      <c r="J3094">
        <v>34.99</v>
      </c>
      <c r="K3094" s="2" t="s">
        <v>7738</v>
      </c>
      <c r="L3094">
        <v>5</v>
      </c>
      <c r="M3094">
        <v>11</v>
      </c>
      <c r="O3094" t="s">
        <v>26</v>
      </c>
      <c r="P3094" t="s">
        <v>39</v>
      </c>
      <c r="Q3094" t="s">
        <v>39</v>
      </c>
    </row>
    <row r="3095" spans="1:17" ht="15.75" x14ac:dyDescent="0.25">
      <c r="A3095" s="3" t="str">
        <f>HYPERLINK("https://richardkroll.com/product/all-nutrient-protect-conditioner-colorsafe-12oz/", "https://richardkroll.com/product/all-nutrient-protect-conditioner-colorsafe-12oz/")</f>
        <v>https://richardkroll.com/product/all-nutrient-protect-conditioner-colorsafe-12oz/</v>
      </c>
      <c r="B3095" s="3" t="str">
        <f>HYPERLINK("https://richardkroll.com/product/all-nutrient-protect-conditioner-colorsafe-12oz/", "https://richardkroll.com/product/all-nutrient-protect-conditioner-colorsafe-12oz/")</f>
        <v>https://richardkroll.com/product/all-nutrient-protect-conditioner-colorsafe-12oz/</v>
      </c>
      <c r="C3095" t="s">
        <v>7566</v>
      </c>
      <c r="D3095" t="s">
        <v>7707</v>
      </c>
      <c r="E3095" s="3" t="str">
        <f>HYPERLINK("https://www.amazon.com/All-Nutrient-Colorsafe-Detangler-Conditioner-Protection/dp/B08B5HPCY1/ref=sr_1_3?keywords=All-Nutrient+Colorsafe+Conditioner+350ml&amp;qid=1695259823&amp;sr=8-3", "https://www.amazon.com/All-Nutrient-Colorsafe-Detangler-Conditioner-Protection/dp/B08B5HPCY1/ref=sr_1_3?keywords=All-Nutrient+Colorsafe+Conditioner+350ml&amp;qid=1695259823&amp;sr=8-3")</f>
        <v>https://www.amazon.com/All-Nutrient-Colorsafe-Detangler-Conditioner-Protection/dp/B08B5HPCY1/ref=sr_1_3?keywords=All-Nutrient+Colorsafe+Conditioner+350ml&amp;qid=1695259823&amp;sr=8-3</v>
      </c>
      <c r="F3095" t="s">
        <v>7708</v>
      </c>
      <c r="G3095" t="e">
        <f ca="1">IMAGE("https://richardkroll.com/wp-content/uploads/2021/09/all-nutrient-colorsafe-conditioner-600x800.webp")</f>
        <v>#NAME?</v>
      </c>
      <c r="H3095" t="e">
        <f ca="1">IMAGE("https://m.media-amazon.com/images/I/71BnGg4z1RL._AC_UL320_.jpg")</f>
        <v>#NAME?</v>
      </c>
      <c r="I3095" t="s">
        <v>394</v>
      </c>
      <c r="J3095">
        <v>18</v>
      </c>
      <c r="K3095" s="2" t="s">
        <v>7739</v>
      </c>
      <c r="L3095">
        <v>3.7</v>
      </c>
      <c r="M3095">
        <v>4</v>
      </c>
      <c r="O3095" t="s">
        <v>26</v>
      </c>
      <c r="P3095" t="s">
        <v>39</v>
      </c>
      <c r="Q3095" t="s">
        <v>7570</v>
      </c>
    </row>
    <row r="3096" spans="1:17" ht="15.75" x14ac:dyDescent="0.25">
      <c r="A3096" s="3" t="str">
        <f>HYPERLINK("https://richardkroll.com/product/all-nutrient-volumize-shampoo/", "https://richardkroll.com/product/all-nutrient-volumize-shampoo/")</f>
        <v>https://richardkroll.com/product/all-nutrient-volumize-shampoo/</v>
      </c>
      <c r="B3096" s="3" t="str">
        <f>HYPERLINK("https://richardkroll.com/product/all-nutrient-volumize-shampoo/", "https://richardkroll.com/product/all-nutrient-volumize-shampoo/")</f>
        <v>https://richardkroll.com/product/all-nutrient-volumize-shampoo/</v>
      </c>
      <c r="C3096" t="s">
        <v>7558</v>
      </c>
      <c r="D3096" t="s">
        <v>7740</v>
      </c>
      <c r="E3096" s="3" t="str">
        <f>HYPERLINK("https://www.amazon.com/All-Nutrient-Volumize-Shampoo-12-oz/dp/B09HY33G1H/ref=sr_1_3?keywords=All+Nutrient+Volumize+Shampoo+%28Raspbody%29&amp;qid=1695259821&amp;sr=8-3", "https://www.amazon.com/All-Nutrient-Volumize-Shampoo-12-oz/dp/B09HY33G1H/ref=sr_1_3?keywords=All+Nutrient+Volumize+Shampoo+%28Raspbody%29&amp;qid=1695259821&amp;sr=8-3")</f>
        <v>https://www.amazon.com/All-Nutrient-Volumize-Shampoo-12-oz/dp/B09HY33G1H/ref=sr_1_3?keywords=All+Nutrient+Volumize+Shampoo+%28Raspbody%29&amp;qid=1695259821&amp;sr=8-3</v>
      </c>
      <c r="F3096" t="s">
        <v>7741</v>
      </c>
      <c r="G3096" t="e">
        <f ca="1">IMAGE("https://richardkroll.com/wp-content/uploads/2016/08/AN-Volumize-Shampoo-600x600.jpg")</f>
        <v>#NAME?</v>
      </c>
      <c r="H3096" t="e">
        <f ca="1">IMAGE("https://m.media-amazon.com/images/I/31ZwsGhic-L._AC_UL320_.jpg")</f>
        <v>#NAME?</v>
      </c>
      <c r="I3096" t="s">
        <v>7559</v>
      </c>
      <c r="J3096">
        <v>18.989999999999998</v>
      </c>
      <c r="K3096" s="2" t="s">
        <v>7742</v>
      </c>
      <c r="L3096">
        <v>5</v>
      </c>
      <c r="M3096">
        <v>2</v>
      </c>
      <c r="O3096" t="s">
        <v>26</v>
      </c>
      <c r="P3096" t="s">
        <v>39</v>
      </c>
      <c r="Q3096" t="s">
        <v>7561</v>
      </c>
    </row>
    <row r="3097" spans="1:17" ht="15.75" x14ac:dyDescent="0.25">
      <c r="A3097" s="3" t="str">
        <f>HYPERLINK("https://richardkroll.com/product/all-nutrient-volumize-shampoo/", "https://richardkroll.com/product/all-nutrient-volumize-shampoo/")</f>
        <v>https://richardkroll.com/product/all-nutrient-volumize-shampoo/</v>
      </c>
      <c r="B3097" s="3" t="str">
        <f>HYPERLINK("https://richardkroll.com/product/all-nutrient-volumize-shampoo/", "https://richardkroll.com/product/all-nutrient-volumize-shampoo/")</f>
        <v>https://richardkroll.com/product/all-nutrient-volumize-shampoo/</v>
      </c>
      <c r="C3097" t="s">
        <v>7558</v>
      </c>
      <c r="D3097" t="s">
        <v>7713</v>
      </c>
      <c r="E3097" s="3" t="str">
        <f>HYPERLINK("https://www.amazon.com/All-Nutrient-Volumize-Shampoo-Ounce/dp/B00918DQVC/ref=sr_1_1?keywords=All+Nutrient+Volumize+Shampoo+%28Raspbody%29&amp;qid=1695259821&amp;sr=8-1", "https://www.amazon.com/All-Nutrient-Volumize-Shampoo-Ounce/dp/B00918DQVC/ref=sr_1_1?keywords=All+Nutrient+Volumize+Shampoo+%28Raspbody%29&amp;qid=1695259821&amp;sr=8-1")</f>
        <v>https://www.amazon.com/All-Nutrient-Volumize-Shampoo-Ounce/dp/B00918DQVC/ref=sr_1_1?keywords=All+Nutrient+Volumize+Shampoo+%28Raspbody%29&amp;qid=1695259821&amp;sr=8-1</v>
      </c>
      <c r="F3097" t="s">
        <v>7714</v>
      </c>
      <c r="G3097" t="e">
        <f ca="1">IMAGE("https://richardkroll.com/wp-content/uploads/2016/08/AN-Volumize-Shampoo-600x600.jpg")</f>
        <v>#NAME?</v>
      </c>
      <c r="H3097" t="e">
        <f ca="1">IMAGE("https://m.media-amazon.com/images/I/219pL2LdLnL._AC_UL320_.jpg")</f>
        <v>#NAME?</v>
      </c>
      <c r="I3097" t="s">
        <v>7559</v>
      </c>
      <c r="J3097">
        <v>18.989999999999998</v>
      </c>
      <c r="K3097" s="2" t="s">
        <v>7742</v>
      </c>
      <c r="L3097">
        <v>4.5</v>
      </c>
      <c r="M3097">
        <v>50</v>
      </c>
      <c r="O3097" t="s">
        <v>26</v>
      </c>
      <c r="P3097" t="s">
        <v>39</v>
      </c>
      <c r="Q3097" t="s">
        <v>7561</v>
      </c>
    </row>
    <row r="3098" spans="1:17" ht="15.75" x14ac:dyDescent="0.25">
      <c r="A3098" s="3" t="str">
        <f>HYPERLINK("https://richardkroll.com/product/all-nutrient-restore-conditioner-kiwi-botanical-12oz/", "https://richardkroll.com/product/all-nutrient-restore-conditioner-kiwi-botanical-12oz/")</f>
        <v>https://richardkroll.com/product/all-nutrient-restore-conditioner-kiwi-botanical-12oz/</v>
      </c>
      <c r="B3098" s="3" t="str">
        <f>HYPERLINK("https://richardkroll.com/product/all-nutrient-restore-conditioner-kiwi-botanical-12oz/", "https://richardkroll.com/product/all-nutrient-restore-conditioner-kiwi-botanical-12oz/")</f>
        <v>https://richardkroll.com/product/all-nutrient-restore-conditioner-kiwi-botanical-12oz/</v>
      </c>
      <c r="C3098" t="s">
        <v>7643</v>
      </c>
      <c r="D3098" t="s">
        <v>7716</v>
      </c>
      <c r="E3098" s="3" t="str">
        <f>HYPERLINK("https://www.amazon.com/All-Nutrient-Restore-Conditioner-12/dp/B09NMLPHQM/ref=sr_1_6?keywords=All-Nutrient+Restore+Conditioner+12oz&amp;qid=1695259835&amp;sr=8-6", "https://www.amazon.com/All-Nutrient-Restore-Conditioner-12/dp/B09NMLPHQM/ref=sr_1_6?keywords=All-Nutrient+Restore+Conditioner+12oz&amp;qid=1695259835&amp;sr=8-6")</f>
        <v>https://www.amazon.com/All-Nutrient-Restore-Conditioner-12/dp/B09NMLPHQM/ref=sr_1_6?keywords=All-Nutrient+Restore+Conditioner+12oz&amp;qid=1695259835&amp;sr=8-6</v>
      </c>
      <c r="F3098" t="s">
        <v>7717</v>
      </c>
      <c r="G3098" t="e">
        <f ca="1">IMAGE("https://richardkroll.com/wp-content/uploads/2021/09/all-nutrient-restore-conditioner-600x800.webp")</f>
        <v>#NAME?</v>
      </c>
      <c r="H3098" t="e">
        <f ca="1">IMAGE("https://m.media-amazon.com/images/I/31NAFw1LBgL._AC_UL320_.jpg")</f>
        <v>#NAME?</v>
      </c>
      <c r="I3098" t="s">
        <v>7559</v>
      </c>
      <c r="J3098">
        <v>18.989999999999998</v>
      </c>
      <c r="K3098" s="2" t="s">
        <v>7742</v>
      </c>
      <c r="L3098">
        <v>5</v>
      </c>
      <c r="M3098">
        <v>2</v>
      </c>
      <c r="O3098" t="s">
        <v>26</v>
      </c>
      <c r="P3098" t="s">
        <v>39</v>
      </c>
      <c r="Q3098" t="s">
        <v>7645</v>
      </c>
    </row>
    <row r="3099" spans="1:17" ht="15.75" x14ac:dyDescent="0.25">
      <c r="A3099" s="3" t="str">
        <f>HYPERLINK("https://richardkroll.com/product/all-nutrient-hydrate-conditioner-350ml/", "https://richardkroll.com/product/all-nutrient-hydrate-conditioner-350ml/")</f>
        <v>https://richardkroll.com/product/all-nutrient-hydrate-conditioner-350ml/</v>
      </c>
      <c r="B3099" s="3" t="str">
        <f>HYPERLINK("https://richardkroll.com/product/all-nutrient-hydrate-conditioner-350ml/", "https://richardkroll.com/product/all-nutrient-hydrate-conditioner-350ml/")</f>
        <v>https://richardkroll.com/product/all-nutrient-hydrate-conditioner-350ml/</v>
      </c>
      <c r="C3099" t="s">
        <v>7662</v>
      </c>
      <c r="D3099" t="s">
        <v>7743</v>
      </c>
      <c r="E3099" s="3" t="str">
        <f>HYPERLINK("https://www.amazon.com/All-Nutrient-Hydrate-Conditioner-All-Nutrient/dp/B01N5DS26W/ref=sr_1_3?keywords=All+Nutrient+Hydrate+Conditioner+350ml&amp;qid=1695259821&amp;sr=8-3", "https://www.amazon.com/All-Nutrient-Hydrate-Conditioner-All-Nutrient/dp/B01N5DS26W/ref=sr_1_3?keywords=All+Nutrient+Hydrate+Conditioner+350ml&amp;qid=1695259821&amp;sr=8-3")</f>
        <v>https://www.amazon.com/All-Nutrient-Hydrate-Conditioner-All-Nutrient/dp/B01N5DS26W/ref=sr_1_3?keywords=All+Nutrient+Hydrate+Conditioner+350ml&amp;qid=1695259821&amp;sr=8-3</v>
      </c>
      <c r="F3099" t="s">
        <v>7744</v>
      </c>
      <c r="G3099" t="e">
        <f ca="1">IMAGE("https://richardkroll.com/wp-content/uploads/2021/09/all-nutrient-hydrate-conditioner-600x800.webp")</f>
        <v>#NAME?</v>
      </c>
      <c r="H3099" t="e">
        <f ca="1">IMAGE("https://m.media-amazon.com/images/I/81X5Vykb5cL._AC_UL320_.jpg")</f>
        <v>#NAME?</v>
      </c>
      <c r="I3099" t="s">
        <v>7559</v>
      </c>
      <c r="J3099">
        <v>18.989999999999998</v>
      </c>
      <c r="K3099" s="2" t="s">
        <v>7742</v>
      </c>
      <c r="L3099">
        <v>4.0999999999999996</v>
      </c>
      <c r="M3099">
        <v>15</v>
      </c>
      <c r="O3099" t="s">
        <v>26</v>
      </c>
      <c r="P3099" t="s">
        <v>39</v>
      </c>
      <c r="Q3099" t="s">
        <v>39</v>
      </c>
    </row>
    <row r="3100" spans="1:17" ht="15.75" x14ac:dyDescent="0.25">
      <c r="A3100" s="3" t="str">
        <f>HYPERLINK("https://richardkroll.com/product/kms-anti-humidity-seal-spray/", "https://richardkroll.com/product/kms-anti-humidity-seal-spray/")</f>
        <v>https://richardkroll.com/product/kms-anti-humidity-seal-spray/</v>
      </c>
      <c r="B3100" s="3" t="str">
        <f>HYPERLINK("https://richardkroll.com/product/kms-anti-humidity-seal-spray/", "https://richardkroll.com/product/kms-anti-humidity-seal-spray/")</f>
        <v>https://richardkroll.com/product/kms-anti-humidity-seal-spray/</v>
      </c>
      <c r="C3100" t="s">
        <v>7745</v>
      </c>
      <c r="D3100" t="s">
        <v>7746</v>
      </c>
      <c r="E3100" s="3" t="str">
        <f>HYPERLINK("https://www.amazon.com/HAIRSTAY-KMS-Anti-Humidity-Seal-4-1/dp/B06XT7GXM8/ref=sr_1_1?keywords=KMS+Anti-humidity+seal+spray&amp;qid=1695259821&amp;sr=8-1", "https://www.amazon.com/HAIRSTAY-KMS-Anti-Humidity-Seal-4-1/dp/B06XT7GXM8/ref=sr_1_1?keywords=KMS+Anti-humidity+seal+spray&amp;qid=1695259821&amp;sr=8-1")</f>
        <v>https://www.amazon.com/HAIRSTAY-KMS-Anti-Humidity-Seal-4-1/dp/B06XT7GXM8/ref=sr_1_1?keywords=KMS+Anti-humidity+seal+spray&amp;qid=1695259821&amp;sr=8-1</v>
      </c>
      <c r="F3100" t="s">
        <v>7747</v>
      </c>
      <c r="G3100" t="e">
        <f ca="1">IMAGE("https://richardkroll.com/wp-content/uploads/2020/09/kmsantihumidity-600x800.jpg")</f>
        <v>#NAME?</v>
      </c>
      <c r="H3100" t="e">
        <f ca="1">IMAGE("https://m.media-amazon.com/images/I/61RGfQntOCL._AC_UL320_.jpg")</f>
        <v>#NAME?</v>
      </c>
      <c r="I3100" t="s">
        <v>7581</v>
      </c>
      <c r="J3100">
        <v>25.5</v>
      </c>
      <c r="K3100" s="2" t="s">
        <v>7748</v>
      </c>
      <c r="L3100">
        <v>4.4000000000000004</v>
      </c>
      <c r="M3100">
        <v>1474</v>
      </c>
      <c r="O3100" t="s">
        <v>26</v>
      </c>
      <c r="P3100" t="s">
        <v>39</v>
      </c>
      <c r="Q3100" t="s">
        <v>39</v>
      </c>
    </row>
    <row r="3101" spans="1:17" ht="15.75" x14ac:dyDescent="0.25">
      <c r="A3101" s="3" t="str">
        <f>HYPERLINK("https://richardkroll.com/product/keune-absolute-volume-thermal-protector-200ml/", "https://richardkroll.com/product/keune-absolute-volume-thermal-protector-200ml/")</f>
        <v>https://richardkroll.com/product/keune-absolute-volume-thermal-protector-200ml/</v>
      </c>
      <c r="B3101" s="3" t="str">
        <f>HYPERLINK("https://richardkroll.com/product/keune-absolute-volume-thermal-protector-200ml/", "https://richardkroll.com/product/keune-absolute-volume-thermal-protector-200ml/")</f>
        <v>https://richardkroll.com/product/keune-absolute-volume-thermal-protector-200ml/</v>
      </c>
      <c r="C3101" t="s">
        <v>7749</v>
      </c>
      <c r="D3101" t="s">
        <v>7750</v>
      </c>
      <c r="E3101" s="3" t="str">
        <f>HYPERLINK("https://www.amazon.com/Keune-Absolute-Thermal-Protector-6-8oz/dp/B01MQWRLC5/ref=sr_1_1?keywords=Keune+Absolute+Volume+Thermal+Protector+200ml&amp;qid=1695259836&amp;sr=8-1", "https://www.amazon.com/Keune-Absolute-Thermal-Protector-6-8oz/dp/B01MQWRLC5/ref=sr_1_1?keywords=Keune+Absolute+Volume+Thermal+Protector+200ml&amp;qid=1695259836&amp;sr=8-1")</f>
        <v>https://www.amazon.com/Keune-Absolute-Thermal-Protector-6-8oz/dp/B01MQWRLC5/ref=sr_1_1?keywords=Keune+Absolute+Volume+Thermal+Protector+200ml&amp;qid=1695259836&amp;sr=8-1</v>
      </c>
      <c r="F3101" t="s">
        <v>7751</v>
      </c>
      <c r="G3101" t="e">
        <f ca="1">IMAGE("https://richardkroll.com/wp-content/uploads/2021/09/keune-care-absolute-volume-thermal-protector-600x800.webp")</f>
        <v>#NAME?</v>
      </c>
      <c r="H3101" t="e">
        <f ca="1">IMAGE("https://m.media-amazon.com/images/I/51BCR7xvGHL._AC_UL320_.jpg")</f>
        <v>#NAME?</v>
      </c>
      <c r="I3101" t="s">
        <v>2461</v>
      </c>
      <c r="J3101">
        <v>35</v>
      </c>
      <c r="K3101" s="2" t="s">
        <v>7752</v>
      </c>
      <c r="L3101">
        <v>4.4000000000000004</v>
      </c>
      <c r="M3101">
        <v>65</v>
      </c>
      <c r="O3101" t="s">
        <v>26</v>
      </c>
      <c r="P3101" t="s">
        <v>39</v>
      </c>
      <c r="Q3101" t="s">
        <v>39</v>
      </c>
    </row>
    <row r="3102" spans="1:17" ht="15.75" x14ac:dyDescent="0.25">
      <c r="A3102" s="3" t="str">
        <f>HYPERLINK("https://richardkroll.com/product/wella-color-motion-conditioner-200ml/", "https://richardkroll.com/product/wella-color-motion-conditioner-200ml/")</f>
        <v>https://richardkroll.com/product/wella-color-motion-conditioner-200ml/</v>
      </c>
      <c r="B3102" s="3" t="str">
        <f>HYPERLINK("https://richardkroll.com/product/wella-color-motion-conditioner-200ml/", "https://richardkroll.com/product/wella-color-motion-conditioner-200ml/")</f>
        <v>https://richardkroll.com/product/wella-color-motion-conditioner-200ml/</v>
      </c>
      <c r="C3102" t="s">
        <v>7583</v>
      </c>
      <c r="D3102" t="s">
        <v>7753</v>
      </c>
      <c r="E3102" s="3" t="str">
        <f>HYPERLINK("https://www.amazon.com/Professionals-ColorMotion-Moisturizing-Conditioner-Nourishment/dp/B0BYBQNCH9/ref=sr_1_1?keywords=Wella+Color+Motion+Conditioner+200ml&amp;qid=1695259863&amp;sr=8-1", "https://www.amazon.com/Professionals-ColorMotion-Moisturizing-Conditioner-Nourishment/dp/B0BYBQNCH9/ref=sr_1_1?keywords=Wella+Color+Motion+Conditioner+200ml&amp;qid=1695259863&amp;sr=8-1")</f>
        <v>https://www.amazon.com/Professionals-ColorMotion-Moisturizing-Conditioner-Nourishment/dp/B0BYBQNCH9/ref=sr_1_1?keywords=Wella+Color+Motion+Conditioner+200ml&amp;qid=1695259863&amp;sr=8-1</v>
      </c>
      <c r="F3102" t="s">
        <v>7754</v>
      </c>
      <c r="G3102" t="e">
        <f ca="1">IMAGE("https://richardkroll.com/wp-content/uploads/2022/04/F00F4F8F-3005-44A0-BBCB-276161396FED-600x800.png")</f>
        <v>#NAME?</v>
      </c>
      <c r="H3102" t="e">
        <f ca="1">IMAGE("https://m.media-amazon.com/images/I/61vL9YKy+mL._AC_UL320_.jpg")</f>
        <v>#NAME?</v>
      </c>
      <c r="I3102" t="s">
        <v>7581</v>
      </c>
      <c r="J3102">
        <v>25</v>
      </c>
      <c r="K3102" s="2" t="s">
        <v>7755</v>
      </c>
      <c r="L3102">
        <v>4.4000000000000004</v>
      </c>
      <c r="M3102">
        <v>25</v>
      </c>
      <c r="O3102" t="s">
        <v>26</v>
      </c>
      <c r="P3102" t="s">
        <v>39</v>
      </c>
      <c r="Q3102" t="s">
        <v>39</v>
      </c>
    </row>
    <row r="3103" spans="1:17" ht="15.75" x14ac:dyDescent="0.25">
      <c r="A3103" s="3" t="str">
        <f>HYPERLINK("https://richardkroll.com/product/wella-elements-renewing-mask-150ml/", "https://richardkroll.com/product/wella-elements-renewing-mask-150ml/")</f>
        <v>https://richardkroll.com/product/wella-elements-renewing-mask-150ml/</v>
      </c>
      <c r="B3103" s="3" t="str">
        <f>HYPERLINK("https://richardkroll.com/product/wella-elements-renewing-mask-150ml/", "https://richardkroll.com/product/wella-elements-renewing-mask-150ml/")</f>
        <v>https://richardkroll.com/product/wella-elements-renewing-mask-150ml/</v>
      </c>
      <c r="C3103" t="s">
        <v>7756</v>
      </c>
      <c r="D3103" t="s">
        <v>7757</v>
      </c>
      <c r="E3103" s="3" t="str">
        <f>HYPERLINK("https://www.amazon.com/Bundle-Elements-Renewing-Designs-Detangling/dp/B094GLZHZW/ref=sr_1_1?keywords=Wella+Elements+Renewing+Mask+150ml&amp;qid=1695259853&amp;sr=8-1", "https://www.amazon.com/Bundle-Elements-Renewing-Designs-Detangling/dp/B094GLZHZW/ref=sr_1_1?keywords=Wella+Elements+Renewing+Mask+150ml&amp;qid=1695259853&amp;sr=8-1")</f>
        <v>https://www.amazon.com/Bundle-Elements-Renewing-Designs-Detangling/dp/B094GLZHZW/ref=sr_1_1?keywords=Wella+Elements+Renewing+Mask+150ml&amp;qid=1695259853&amp;sr=8-1</v>
      </c>
      <c r="F3103" t="s">
        <v>7758</v>
      </c>
      <c r="G3103" t="e">
        <f ca="1">IMAGE("https://richardkroll.com/wp-content/uploads/2022/04/DC137089-64EE-4A00-81A3-6CCD2B6D6837-600x800.png")</f>
        <v>#NAME?</v>
      </c>
      <c r="H3103" t="e">
        <f ca="1">IMAGE("https://m.media-amazon.com/images/I/51gli+-VekL._AC_UL320_.jpg")</f>
        <v>#NAME?</v>
      </c>
      <c r="I3103" t="s">
        <v>7581</v>
      </c>
      <c r="J3103">
        <v>25</v>
      </c>
      <c r="K3103" s="2" t="s">
        <v>7755</v>
      </c>
      <c r="L3103">
        <v>4.5999999999999996</v>
      </c>
      <c r="M3103">
        <v>16</v>
      </c>
      <c r="O3103" t="s">
        <v>26</v>
      </c>
      <c r="P3103" t="s">
        <v>39</v>
      </c>
      <c r="Q3103" t="s">
        <v>39</v>
      </c>
    </row>
    <row r="3104" spans="1:17" ht="15.75" x14ac:dyDescent="0.25">
      <c r="A3104" s="3" t="str">
        <f>HYPERLINK("https://richardkroll.com/product/wella-elements-renewing-conditioner-200ml/", "https://richardkroll.com/product/wella-elements-renewing-conditioner-200ml/")</f>
        <v>https://richardkroll.com/product/wella-elements-renewing-conditioner-200ml/</v>
      </c>
      <c r="B3104" s="3" t="str">
        <f>HYPERLINK("https://richardkroll.com/product/wella-elements-renewing-conditioner-200ml/", "https://richardkroll.com/product/wella-elements-renewing-conditioner-200ml/")</f>
        <v>https://richardkroll.com/product/wella-elements-renewing-conditioner-200ml/</v>
      </c>
      <c r="C3104" t="s">
        <v>7578</v>
      </c>
      <c r="D3104" t="s">
        <v>7759</v>
      </c>
      <c r="E3104" s="3" t="str">
        <f>HYPERLINK("https://www.amazon.com/Wella-Professionals-Elements-Conditioner-Detangling/dp/B0B64DD4QV/ref=sr_1_2?keywords=Wella+Elements+Renewing+Conditioner+200ml&amp;qid=1695259843&amp;sr=8-2", "https://www.amazon.com/Wella-Professionals-Elements-Conditioner-Detangling/dp/B0B64DD4QV/ref=sr_1_2?keywords=Wella+Elements+Renewing+Conditioner+200ml&amp;qid=1695259843&amp;sr=8-2")</f>
        <v>https://www.amazon.com/Wella-Professionals-Elements-Conditioner-Detangling/dp/B0B64DD4QV/ref=sr_1_2?keywords=Wella+Elements+Renewing+Conditioner+200ml&amp;qid=1695259843&amp;sr=8-2</v>
      </c>
      <c r="F3104" t="s">
        <v>7760</v>
      </c>
      <c r="G3104" t="e">
        <f ca="1">IMAGE("https://richardkroll.com/wp-content/uploads/2022/04/79CD8322-8F41-4718-8D2E-9BAA3422A4F4-600x800.png")</f>
        <v>#NAME?</v>
      </c>
      <c r="H3104" t="e">
        <f ca="1">IMAGE("https://m.media-amazon.com/images/I/51Y0eyWDnNL._AC_UL320_.jpg")</f>
        <v>#NAME?</v>
      </c>
      <c r="I3104" t="s">
        <v>7581</v>
      </c>
      <c r="J3104">
        <v>25</v>
      </c>
      <c r="K3104" s="2" t="s">
        <v>7755</v>
      </c>
      <c r="L3104">
        <v>4.3</v>
      </c>
      <c r="M3104">
        <v>57</v>
      </c>
      <c r="O3104" t="s">
        <v>26</v>
      </c>
      <c r="P3104" t="s">
        <v>39</v>
      </c>
      <c r="Q3104" t="s">
        <v>39</v>
      </c>
    </row>
    <row r="3105" spans="1:17" ht="15.75" x14ac:dyDescent="0.25">
      <c r="A3105" s="3" t="str">
        <f>HYPERLINK("https://richardkroll.com/product/wella-nutricurls-milky-waves-150ml/", "https://richardkroll.com/product/wella-nutricurls-milky-waves-150ml/")</f>
        <v>https://richardkroll.com/product/wella-nutricurls-milky-waves-150ml/</v>
      </c>
      <c r="B3105" s="3" t="str">
        <f>HYPERLINK("https://richardkroll.com/product/wella-nutricurls-milky-waves-150ml/", "https://richardkroll.com/product/wella-nutricurls-milky-waves-150ml/")</f>
        <v>https://richardkroll.com/product/wella-nutricurls-milky-waves-150ml/</v>
      </c>
      <c r="C3105" t="s">
        <v>7761</v>
      </c>
      <c r="D3105" t="s">
        <v>7762</v>
      </c>
      <c r="E3105" s="3" t="str">
        <f>HYPERLINK("https://www.amazon.com/WELLA-PROFESSIONALS-Nutricurls-Leave-5-07oz/dp/B07YNZMW4G/ref=sr_1_1?keywords=Wella+NutriCurls+Milky+Waves+150ml&amp;qid=1695259850&amp;sr=8-1", "https://www.amazon.com/WELLA-PROFESSIONALS-Nutricurls-Leave-5-07oz/dp/B07YNZMW4G/ref=sr_1_1?keywords=Wella+NutriCurls+Milky+Waves+150ml&amp;qid=1695259850&amp;sr=8-1")</f>
        <v>https://www.amazon.com/WELLA-PROFESSIONALS-Nutricurls-Leave-5-07oz/dp/B07YNZMW4G/ref=sr_1_1?keywords=Wella+NutriCurls+Milky+Waves+150ml&amp;qid=1695259850&amp;sr=8-1</v>
      </c>
      <c r="F3105" t="s">
        <v>7763</v>
      </c>
      <c r="G3105" t="e">
        <f ca="1">IMAGE("https://richardkroll.com/wp-content/uploads/2022/04/BD3B8D7C-8A9C-4DA1-A561-3B4E38F28789-600x800.png")</f>
        <v>#NAME?</v>
      </c>
      <c r="H3105" t="e">
        <f ca="1">IMAGE("https://m.media-amazon.com/images/I/41s1MM+PmTL._AC_UL320_.jpg")</f>
        <v>#NAME?</v>
      </c>
      <c r="I3105" t="s">
        <v>7581</v>
      </c>
      <c r="J3105">
        <v>25</v>
      </c>
      <c r="K3105" s="2" t="s">
        <v>7755</v>
      </c>
      <c r="L3105">
        <v>4.5</v>
      </c>
      <c r="M3105">
        <v>23</v>
      </c>
      <c r="O3105" t="s">
        <v>26</v>
      </c>
      <c r="P3105" t="s">
        <v>39</v>
      </c>
      <c r="Q3105" t="s">
        <v>39</v>
      </c>
    </row>
    <row r="3106" spans="1:17" ht="15.75" x14ac:dyDescent="0.25">
      <c r="A3106" s="3" t="str">
        <f>HYPERLINK("https://richardkroll.com/product/sebastian-light-shampoo-250ml/", "https://richardkroll.com/product/sebastian-light-shampoo-250ml/")</f>
        <v>https://richardkroll.com/product/sebastian-light-shampoo-250ml/</v>
      </c>
      <c r="B3106" s="3" t="str">
        <f>HYPERLINK("https://richardkroll.com/product/sebastian-light-shampoo-250ml/", "https://richardkroll.com/product/sebastian-light-shampoo-250ml/")</f>
        <v>https://richardkroll.com/product/sebastian-light-shampoo-250ml/</v>
      </c>
      <c r="C3106" t="s">
        <v>7607</v>
      </c>
      <c r="D3106" t="s">
        <v>7575</v>
      </c>
      <c r="E3106" s="3" t="str">
        <f>HYPERLINK("https://www.amazon.com/Dark-Lightweight-Shampoo-Jojoba-Argan/dp/B07T9KT26P/ref=sr_1_5?keywords=Sebastian+Light+Shampoo+250ml&amp;qid=1695259831&amp;sr=8-5", "https://www.amazon.com/Dark-Lightweight-Shampoo-Jojoba-Argan/dp/B07T9KT26P/ref=sr_1_5?keywords=Sebastian+Light+Shampoo+250ml&amp;qid=1695259831&amp;sr=8-5")</f>
        <v>https://www.amazon.com/Dark-Lightweight-Shampoo-Jojoba-Argan/dp/B07T9KT26P/ref=sr_1_5?keywords=Sebastian+Light+Shampoo+250ml&amp;qid=1695259831&amp;sr=8-5</v>
      </c>
      <c r="F3106" t="s">
        <v>7764</v>
      </c>
      <c r="G3106" t="e">
        <f ca="1">IMAGE("https://richardkroll.com/wp-content/uploads/2021/09/Sebastian-Light-Shampoo-600x800.png")</f>
        <v>#NAME?</v>
      </c>
      <c r="H3106" t="e">
        <f ca="1">IMAGE("https://m.media-amazon.com/images/I/61Su4O2hjzL._AC_UL320_.jpg")</f>
        <v>#NAME?</v>
      </c>
      <c r="I3106" t="s">
        <v>7521</v>
      </c>
      <c r="J3106">
        <v>20</v>
      </c>
      <c r="K3106" s="2" t="s">
        <v>7765</v>
      </c>
      <c r="L3106">
        <v>4.7</v>
      </c>
      <c r="M3106">
        <v>1345</v>
      </c>
      <c r="O3106" t="s">
        <v>26</v>
      </c>
      <c r="P3106" t="s">
        <v>39</v>
      </c>
      <c r="Q3106" t="s">
        <v>39</v>
      </c>
    </row>
    <row r="3107" spans="1:17" ht="15.75" x14ac:dyDescent="0.25">
      <c r="A3107" s="3" t="str">
        <f>HYPERLINK("https://richardkroll.com/product/keune-satin-oil-shampoo-300ml/", "https://richardkroll.com/product/keune-satin-oil-shampoo-300ml/")</f>
        <v>https://richardkroll.com/product/keune-satin-oil-shampoo-300ml/</v>
      </c>
      <c r="B3107" s="3" t="str">
        <f>HYPERLINK("https://richardkroll.com/product/keune-satin-oil-shampoo-300ml/", "https://richardkroll.com/product/keune-satin-oil-shampoo-300ml/")</f>
        <v>https://richardkroll.com/product/keune-satin-oil-shampoo-300ml/</v>
      </c>
      <c r="C3107" t="s">
        <v>7766</v>
      </c>
      <c r="D3107" t="s">
        <v>7767</v>
      </c>
      <c r="E3107" s="3" t="str">
        <f>HYPERLINK("https://www.amazon.com/Keune-Satin-Oil-Shampoo-New/dp/B01NAPUTE5/ref=sr_1_1?keywords=Keune+Satin+Oil+Shampoo+300ml&amp;qid=1695259837&amp;sr=8-1", "https://www.amazon.com/Keune-Satin-Oil-Shampoo-New/dp/B01NAPUTE5/ref=sr_1_1?keywords=Keune+Satin+Oil+Shampoo+300ml&amp;qid=1695259837&amp;sr=8-1")</f>
        <v>https://www.amazon.com/Keune-Satin-Oil-Shampoo-New/dp/B01NAPUTE5/ref=sr_1_1?keywords=Keune+Satin+Oil+Shampoo+300ml&amp;qid=1695259837&amp;sr=8-1</v>
      </c>
      <c r="F3107" t="s">
        <v>7768</v>
      </c>
      <c r="G3107" t="e">
        <f ca="1">IMAGE("https://richardkroll.com/wp-content/uploads/2021/09/keune-care-satin-oil-shampoo-600x801.webp")</f>
        <v>#NAME?</v>
      </c>
      <c r="H3107" t="e">
        <f ca="1">IMAGE("https://m.media-amazon.com/images/I/71ZGXyL022L._AC_UL320_.jpg")</f>
        <v>#NAME?</v>
      </c>
      <c r="I3107" t="s">
        <v>2957</v>
      </c>
      <c r="J3107">
        <v>27</v>
      </c>
      <c r="K3107" s="2" t="s">
        <v>7769</v>
      </c>
      <c r="L3107">
        <v>4.5</v>
      </c>
      <c r="M3107">
        <v>143</v>
      </c>
      <c r="O3107" t="s">
        <v>26</v>
      </c>
      <c r="P3107" t="s">
        <v>39</v>
      </c>
      <c r="Q3107" t="s">
        <v>39</v>
      </c>
    </row>
    <row r="3108" spans="1:17" ht="15.75" x14ac:dyDescent="0.25">
      <c r="A3108" s="3" t="str">
        <f>HYPERLINK("https://richardkroll.com/product/keune-silver-savior-shampoo/", "https://richardkroll.com/product/keune-silver-savior-shampoo/")</f>
        <v>https://richardkroll.com/product/keune-silver-savior-shampoo/</v>
      </c>
      <c r="B3108" s="3" t="str">
        <f>HYPERLINK("https://richardkroll.com/product/keune-silver-savior-shampoo/", "https://richardkroll.com/product/keune-silver-savior-shampoo/")</f>
        <v>https://richardkroll.com/product/keune-silver-savior-shampoo/</v>
      </c>
      <c r="C3108" t="s">
        <v>7679</v>
      </c>
      <c r="D3108" t="s">
        <v>7770</v>
      </c>
      <c r="E3108" s="3" t="str">
        <f>HYPERLINK("https://www.amazon.com/Keune-Silver-Savior-Shampoo-300ml/dp/B07FTLYSZM/ref=sr_1_1?keywords=Keune+Silver+Savior+Shampoo&amp;qid=1695259835&amp;sr=8-1", "https://www.amazon.com/Keune-Silver-Savior-Shampoo-300ml/dp/B07FTLYSZM/ref=sr_1_1?keywords=Keune+Silver+Savior+Shampoo&amp;qid=1695259835&amp;sr=8-1")</f>
        <v>https://www.amazon.com/Keune-Silver-Savior-Shampoo-300ml/dp/B07FTLYSZM/ref=sr_1_1?keywords=Keune+Silver+Savior+Shampoo&amp;qid=1695259835&amp;sr=8-1</v>
      </c>
      <c r="F3108" t="s">
        <v>7771</v>
      </c>
      <c r="G3108" t="e">
        <f ca="1">IMAGE("https://richardkroll.com/wp-content/uploads/2021/09/keune-care-silver-savior-shampoo-600x799.webp")</f>
        <v>#NAME?</v>
      </c>
      <c r="H3108" t="e">
        <f ca="1">IMAGE("https://m.media-amazon.com/images/I/51cW-tcAAhL._AC_UL320_.jpg")</f>
        <v>#NAME?</v>
      </c>
      <c r="I3108" t="s">
        <v>2957</v>
      </c>
      <c r="J3108">
        <v>27</v>
      </c>
      <c r="K3108" s="2" t="s">
        <v>7769</v>
      </c>
      <c r="L3108">
        <v>4.5999999999999996</v>
      </c>
      <c r="M3108">
        <v>581</v>
      </c>
      <c r="O3108" t="s">
        <v>26</v>
      </c>
      <c r="P3108" t="s">
        <v>39</v>
      </c>
      <c r="Q3108" t="s">
        <v>39</v>
      </c>
    </row>
    <row r="3109" spans="1:17" ht="15.75" x14ac:dyDescent="0.25">
      <c r="A3109" s="3" t="str">
        <f>HYPERLINK("https://richardkroll.com/product/wella-eimi-just-brilliant-pomade-2-50oz/", "https://richardkroll.com/product/wella-eimi-just-brilliant-pomade-2-50oz/")</f>
        <v>https://richardkroll.com/product/wella-eimi-just-brilliant-pomade-2-50oz/</v>
      </c>
      <c r="B3109" s="3" t="str">
        <f>HYPERLINK("https://richardkroll.com/product/wella-eimi-just-brilliant-pomade-2-50oz/", "https://richardkroll.com/product/wella-eimi-just-brilliant-pomade-2-50oz/")</f>
        <v>https://richardkroll.com/product/wella-eimi-just-brilliant-pomade-2-50oz/</v>
      </c>
      <c r="C3109" t="s">
        <v>7772</v>
      </c>
      <c r="D3109" t="s">
        <v>7773</v>
      </c>
      <c r="E3109" s="3" t="str">
        <f>HYPERLINK("https://www.amazon.com/EIMI-Flowing-Anti-Frizz-Smoothing-Provides/dp/B01FYKYBWS/ref=sr_1_1?keywords=Wella+EIMI+Just+Brilliant+Pomade+2.50oz&amp;qid=1695259841&amp;sr=8-1", "https://www.amazon.com/EIMI-Flowing-Anti-Frizz-Smoothing-Provides/dp/B01FYKYBWS/ref=sr_1_1?keywords=Wella+EIMI+Just+Brilliant+Pomade+2.50oz&amp;qid=1695259841&amp;sr=8-1")</f>
        <v>https://www.amazon.com/EIMI-Flowing-Anti-Frizz-Smoothing-Provides/dp/B01FYKYBWS/ref=sr_1_1?keywords=Wella+EIMI+Just+Brilliant+Pomade+2.50oz&amp;qid=1695259841&amp;sr=8-1</v>
      </c>
      <c r="F3109" t="s">
        <v>7774</v>
      </c>
      <c r="G3109" t="e">
        <f ca="1">IMAGE("https://richardkroll.com/wp-content/uploads/2022/04/8A0420F9-688F-496D-A057-34DDE314BFB5-600x800.png")</f>
        <v>#NAME?</v>
      </c>
      <c r="H3109" t="e">
        <f ca="1">IMAGE("https://m.media-amazon.com/images/I/71JK2YFdcgL._AC_UL320_.jpg")</f>
        <v>#NAME?</v>
      </c>
      <c r="I3109" t="s">
        <v>7775</v>
      </c>
      <c r="J3109">
        <v>22.1</v>
      </c>
      <c r="K3109" s="2" t="s">
        <v>7776</v>
      </c>
      <c r="L3109">
        <v>4.2</v>
      </c>
      <c r="M3109">
        <v>102</v>
      </c>
      <c r="O3109" t="s">
        <v>26</v>
      </c>
      <c r="P3109" t="s">
        <v>39</v>
      </c>
      <c r="Q3109" t="s">
        <v>39</v>
      </c>
    </row>
    <row r="3110" spans="1:17" ht="15.75" x14ac:dyDescent="0.25">
      <c r="A3110" s="3" t="str">
        <f>HYPERLINK("https://richardkroll.com/product/wella-eimi-perfect-me-beauty-balm-3-38oz/", "https://richardkroll.com/product/wella-eimi-perfect-me-beauty-balm-3-38oz/")</f>
        <v>https://richardkroll.com/product/wella-eimi-perfect-me-beauty-balm-3-38oz/</v>
      </c>
      <c r="B3110" s="3" t="str">
        <f>HYPERLINK("https://richardkroll.com/product/wella-eimi-perfect-me-beauty-balm-3-38oz/", "https://richardkroll.com/product/wella-eimi-perfect-me-beauty-balm-3-38oz/")</f>
        <v>https://richardkroll.com/product/wella-eimi-perfect-me-beauty-balm-3-38oz/</v>
      </c>
      <c r="C3110" t="s">
        <v>7777</v>
      </c>
      <c r="D3110" t="s">
        <v>7778</v>
      </c>
      <c r="E3110" s="3" t="str">
        <f>HYPERLINK("https://www.amazon.com/Wella-Perfect-Lightweight-Beauty-Lotion/dp/B0175D5Z6I/ref=sr_1_1?keywords=Wella+EIMI+Perfect+Me+Beauty+Balm+3.38oz&amp;qid=1695259857&amp;sr=8-1", "https://www.amazon.com/Wella-Perfect-Lightweight-Beauty-Lotion/dp/B0175D5Z6I/ref=sr_1_1?keywords=Wella+EIMI+Perfect+Me+Beauty+Balm+3.38oz&amp;qid=1695259857&amp;sr=8-1")</f>
        <v>https://www.amazon.com/Wella-Perfect-Lightweight-Beauty-Lotion/dp/B0175D5Z6I/ref=sr_1_1?keywords=Wella+EIMI+Perfect+Me+Beauty+Balm+3.38oz&amp;qid=1695259857&amp;sr=8-1</v>
      </c>
      <c r="F3110" t="s">
        <v>7779</v>
      </c>
      <c r="G3110" t="e">
        <f ca="1">IMAGE("https://richardkroll.com/wp-content/uploads/2022/04/BEECF97C-1A3B-4B81-92AE-8E5A5D1D9BE9-600x800.png")</f>
        <v>#NAME?</v>
      </c>
      <c r="H3110" t="e">
        <f ca="1">IMAGE("https://m.media-amazon.com/images/I/71Wn2Ai15rL._AC_UL320_.jpg")</f>
        <v>#NAME?</v>
      </c>
      <c r="I3110" t="s">
        <v>7775</v>
      </c>
      <c r="J3110">
        <v>22.1</v>
      </c>
      <c r="K3110" s="2" t="s">
        <v>7776</v>
      </c>
      <c r="L3110">
        <v>4.5</v>
      </c>
      <c r="M3110">
        <v>379</v>
      </c>
      <c r="O3110" t="s">
        <v>26</v>
      </c>
      <c r="P3110" t="s">
        <v>39</v>
      </c>
      <c r="Q3110" t="s">
        <v>39</v>
      </c>
    </row>
    <row r="3111" spans="1:17" ht="15.75" x14ac:dyDescent="0.25">
      <c r="A3111" s="3" t="str">
        <f t="shared" ref="A3111:B3115" si="38">HYPERLINK("https://richardkroll.com/product/wella-invigo-conditioner-250ml/", "https://richardkroll.com/product/wella-invigo-conditioner-250ml/")</f>
        <v>https://richardkroll.com/product/wella-invigo-conditioner-250ml/</v>
      </c>
      <c r="B3111" s="3" t="str">
        <f t="shared" si="38"/>
        <v>https://richardkroll.com/product/wella-invigo-conditioner-250ml/</v>
      </c>
      <c r="C3111" t="s">
        <v>7520</v>
      </c>
      <c r="D3111" t="s">
        <v>7780</v>
      </c>
      <c r="E3111" s="3" t="str">
        <f>HYPERLINK("https://www.amazon.com/Wella-Professionals-Brilliance-Conditioner-Moisturizing/dp/B0B64FTW2J/ref=sr_1_2?keywords=Wella+Invigo+Conditioner+250ml&amp;qid=1695259847&amp;sr=8-2", "https://www.amazon.com/Wella-Professionals-Brilliance-Conditioner-Moisturizing/dp/B0B64FTW2J/ref=sr_1_2?keywords=Wella+Invigo+Conditioner+250ml&amp;qid=1695259847&amp;sr=8-2")</f>
        <v>https://www.amazon.com/Wella-Professionals-Brilliance-Conditioner-Moisturizing/dp/B0B64FTW2J/ref=sr_1_2?keywords=Wella+Invigo+Conditioner+250ml&amp;qid=1695259847&amp;sr=8-2</v>
      </c>
      <c r="F3111" t="s">
        <v>7781</v>
      </c>
      <c r="G3111" t="e">
        <f ca="1">IMAGE("https://richardkroll.com/wp-content/uploads/2022/04/022430A8-0823-491B-9268-47802C77086C-600x800.png")</f>
        <v>#NAME?</v>
      </c>
      <c r="H3111" t="e">
        <f ca="1">IMAGE("https://m.media-amazon.com/images/I/61JoJjKT6OL._AC_UL320_.jpg")</f>
        <v>#NAME?</v>
      </c>
      <c r="I3111" t="s">
        <v>7521</v>
      </c>
      <c r="J3111">
        <v>19.899999999999999</v>
      </c>
      <c r="K3111" s="2" t="s">
        <v>7782</v>
      </c>
      <c r="L3111">
        <v>4.5999999999999996</v>
      </c>
      <c r="M3111">
        <v>177</v>
      </c>
      <c r="O3111" t="s">
        <v>26</v>
      </c>
      <c r="P3111" t="s">
        <v>39</v>
      </c>
      <c r="Q3111" t="s">
        <v>39</v>
      </c>
    </row>
    <row r="3112" spans="1:17" ht="15.75" x14ac:dyDescent="0.25">
      <c r="A3112" s="3" t="str">
        <f t="shared" si="38"/>
        <v>https://richardkroll.com/product/wella-invigo-conditioner-250ml/</v>
      </c>
      <c r="B3112" s="3" t="str">
        <f t="shared" si="38"/>
        <v>https://richardkroll.com/product/wella-invigo-conditioner-250ml/</v>
      </c>
      <c r="C3112" t="s">
        <v>7520</v>
      </c>
      <c r="D3112" t="s">
        <v>7783</v>
      </c>
      <c r="E3112" s="3" t="str">
        <f>HYPERLINK("https://www.amazon.com/Wella-Professionals-Nutri-Enrich-Conditioner-Moisturizing/dp/B0B64F1DRW/ref=sr_1_4?keywords=Wella+Invigo+Conditioner+250ml&amp;qid=1695259847&amp;sr=8-4", "https://www.amazon.com/Wella-Professionals-Nutri-Enrich-Conditioner-Moisturizing/dp/B0B64F1DRW/ref=sr_1_4?keywords=Wella+Invigo+Conditioner+250ml&amp;qid=1695259847&amp;sr=8-4")</f>
        <v>https://www.amazon.com/Wella-Professionals-Nutri-Enrich-Conditioner-Moisturizing/dp/B0B64F1DRW/ref=sr_1_4?keywords=Wella+Invigo+Conditioner+250ml&amp;qid=1695259847&amp;sr=8-4</v>
      </c>
      <c r="F3112" t="s">
        <v>7784</v>
      </c>
      <c r="G3112" t="e">
        <f ca="1">IMAGE("https://richardkroll.com/wp-content/uploads/2022/04/022430A8-0823-491B-9268-47802C77086C-600x800.png")</f>
        <v>#NAME?</v>
      </c>
      <c r="H3112" t="e">
        <f ca="1">IMAGE("https://m.media-amazon.com/images/I/61jobVXw6zL._AC_UL320_.jpg")</f>
        <v>#NAME?</v>
      </c>
      <c r="I3112" t="s">
        <v>7521</v>
      </c>
      <c r="J3112">
        <v>19.899999999999999</v>
      </c>
      <c r="K3112" s="2" t="s">
        <v>7782</v>
      </c>
      <c r="L3112">
        <v>4.5999999999999996</v>
      </c>
      <c r="M3112">
        <v>241</v>
      </c>
      <c r="O3112" t="s">
        <v>26</v>
      </c>
      <c r="P3112" t="s">
        <v>39</v>
      </c>
      <c r="Q3112" t="s">
        <v>39</v>
      </c>
    </row>
    <row r="3113" spans="1:17" ht="15.75" x14ac:dyDescent="0.25">
      <c r="A3113" s="3" t="str">
        <f t="shared" si="38"/>
        <v>https://richardkroll.com/product/wella-invigo-conditioner-250ml/</v>
      </c>
      <c r="B3113" s="3" t="str">
        <f t="shared" si="38"/>
        <v>https://richardkroll.com/product/wella-invigo-conditioner-250ml/</v>
      </c>
      <c r="C3113" t="s">
        <v>7520</v>
      </c>
      <c r="D3113" t="s">
        <v>7785</v>
      </c>
      <c r="E3113" s="3" t="str">
        <f>HYPERLINK("https://www.amazon.com/Wella-Professionals-Brilliance-Conditioner-Moisturizing/dp/B0B64CBYH4/ref=sr_1_6?keywords=Wella+Invigo+Conditioner+250ml&amp;qid=1695259847&amp;sr=8-6", "https://www.amazon.com/Wella-Professionals-Brilliance-Conditioner-Moisturizing/dp/B0B64CBYH4/ref=sr_1_6?keywords=Wella+Invigo+Conditioner+250ml&amp;qid=1695259847&amp;sr=8-6")</f>
        <v>https://www.amazon.com/Wella-Professionals-Brilliance-Conditioner-Moisturizing/dp/B0B64CBYH4/ref=sr_1_6?keywords=Wella+Invigo+Conditioner+250ml&amp;qid=1695259847&amp;sr=8-6</v>
      </c>
      <c r="F3113" t="s">
        <v>7786</v>
      </c>
      <c r="G3113" t="e">
        <f ca="1">IMAGE("https://richardkroll.com/wp-content/uploads/2022/04/022430A8-0823-491B-9268-47802C77086C-600x800.png")</f>
        <v>#NAME?</v>
      </c>
      <c r="H3113" t="e">
        <f ca="1">IMAGE("https://m.media-amazon.com/images/I/61SnHyfbvAL._AC_UL320_.jpg")</f>
        <v>#NAME?</v>
      </c>
      <c r="I3113" t="s">
        <v>7521</v>
      </c>
      <c r="J3113">
        <v>19.899999999999999</v>
      </c>
      <c r="K3113" s="2" t="s">
        <v>7782</v>
      </c>
      <c r="L3113">
        <v>4.4000000000000004</v>
      </c>
      <c r="M3113">
        <v>112</v>
      </c>
      <c r="O3113" t="s">
        <v>26</v>
      </c>
      <c r="P3113" t="s">
        <v>39</v>
      </c>
      <c r="Q3113" t="s">
        <v>39</v>
      </c>
    </row>
    <row r="3114" spans="1:17" ht="15.75" x14ac:dyDescent="0.25">
      <c r="A3114" s="3" t="str">
        <f t="shared" si="38"/>
        <v>https://richardkroll.com/product/wella-invigo-conditioner-250ml/</v>
      </c>
      <c r="B3114" s="3" t="str">
        <f t="shared" si="38"/>
        <v>https://richardkroll.com/product/wella-invigo-conditioner-250ml/</v>
      </c>
      <c r="C3114" t="s">
        <v>7520</v>
      </c>
      <c r="D3114" t="s">
        <v>7787</v>
      </c>
      <c r="E3114" s="3" t="str">
        <f>HYPERLINK("https://www.amazon.com/Wella-Recharge-Refreshing-Conditioner-Blondes/dp/B07PJ51NXZ/ref=sr_1_8?keywords=Wella+Invigo+Conditioner+250ml&amp;qid=1695259847&amp;sr=8-8", "https://www.amazon.com/Wella-Recharge-Refreshing-Conditioner-Blondes/dp/B07PJ51NXZ/ref=sr_1_8?keywords=Wella+Invigo+Conditioner+250ml&amp;qid=1695259847&amp;sr=8-8")</f>
        <v>https://www.amazon.com/Wella-Recharge-Refreshing-Conditioner-Blondes/dp/B07PJ51NXZ/ref=sr_1_8?keywords=Wella+Invigo+Conditioner+250ml&amp;qid=1695259847&amp;sr=8-8</v>
      </c>
      <c r="F3114" t="s">
        <v>7788</v>
      </c>
      <c r="G3114" t="e">
        <f ca="1">IMAGE("https://richardkroll.com/wp-content/uploads/2022/04/022430A8-0823-491B-9268-47802C77086C-600x800.png")</f>
        <v>#NAME?</v>
      </c>
      <c r="H3114" t="e">
        <f ca="1">IMAGE("https://m.media-amazon.com/images/I/613Bs4yjHYL._AC_UL320_.jpg")</f>
        <v>#NAME?</v>
      </c>
      <c r="I3114" t="s">
        <v>7521</v>
      </c>
      <c r="J3114">
        <v>19.899999999999999</v>
      </c>
      <c r="K3114" s="2" t="s">
        <v>7782</v>
      </c>
      <c r="L3114">
        <v>4</v>
      </c>
      <c r="M3114">
        <v>16</v>
      </c>
      <c r="O3114" t="s">
        <v>26</v>
      </c>
      <c r="P3114" t="s">
        <v>39</v>
      </c>
      <c r="Q3114" t="s">
        <v>39</v>
      </c>
    </row>
    <row r="3115" spans="1:17" ht="15.75" x14ac:dyDescent="0.25">
      <c r="A3115" s="3" t="str">
        <f t="shared" si="38"/>
        <v>https://richardkroll.com/product/wella-invigo-conditioner-250ml/</v>
      </c>
      <c r="B3115" s="3" t="str">
        <f t="shared" si="38"/>
        <v>https://richardkroll.com/product/wella-invigo-conditioner-250ml/</v>
      </c>
      <c r="C3115" t="s">
        <v>7520</v>
      </c>
      <c r="D3115" t="s">
        <v>7789</v>
      </c>
      <c r="E3115" s="3" t="str">
        <f>HYPERLINK("https://www.amazon.com/Wella-Recharge-Refreshing-Conditioner-Blondes/dp/B07GYX8QRJ/ref=sr_1_9?keywords=Wella+Invigo+Conditioner+250ml&amp;qid=1695259847&amp;sr=8-9", "https://www.amazon.com/Wella-Recharge-Refreshing-Conditioner-Blondes/dp/B07GYX8QRJ/ref=sr_1_9?keywords=Wella+Invigo+Conditioner+250ml&amp;qid=1695259847&amp;sr=8-9")</f>
        <v>https://www.amazon.com/Wella-Recharge-Refreshing-Conditioner-Blondes/dp/B07GYX8QRJ/ref=sr_1_9?keywords=Wella+Invigo+Conditioner+250ml&amp;qid=1695259847&amp;sr=8-9</v>
      </c>
      <c r="F3115" t="s">
        <v>7790</v>
      </c>
      <c r="G3115" t="e">
        <f ca="1">IMAGE("https://richardkroll.com/wp-content/uploads/2022/04/022430A8-0823-491B-9268-47802C77086C-600x800.png")</f>
        <v>#NAME?</v>
      </c>
      <c r="H3115" t="e">
        <f ca="1">IMAGE("https://m.media-amazon.com/images/I/61NWGy64uHL._AC_UL320_.jpg")</f>
        <v>#NAME?</v>
      </c>
      <c r="I3115" t="s">
        <v>7521</v>
      </c>
      <c r="J3115">
        <v>19.899999999999999</v>
      </c>
      <c r="K3115" s="2" t="s">
        <v>7782</v>
      </c>
      <c r="L3115">
        <v>4.5999999999999996</v>
      </c>
      <c r="M3115">
        <v>279</v>
      </c>
      <c r="O3115" t="s">
        <v>26</v>
      </c>
      <c r="P3115" t="s">
        <v>39</v>
      </c>
      <c r="Q3115" t="s">
        <v>39</v>
      </c>
    </row>
    <row r="3116" spans="1:17" ht="15.75" x14ac:dyDescent="0.25">
      <c r="A3116" s="3" t="str">
        <f>HYPERLINK("https://richardkroll.com/product/keune-satin-oil-conditioner-250ml/", "https://richardkroll.com/product/keune-satin-oil-conditioner-250ml/")</f>
        <v>https://richardkroll.com/product/keune-satin-oil-conditioner-250ml/</v>
      </c>
      <c r="B3116" s="3" t="str">
        <f>HYPERLINK("https://richardkroll.com/product/keune-satin-oil-conditioner-250ml/", "https://richardkroll.com/product/keune-satin-oil-conditioner-250ml/")</f>
        <v>https://richardkroll.com/product/keune-satin-oil-conditioner-250ml/</v>
      </c>
      <c r="C3116" t="s">
        <v>7791</v>
      </c>
      <c r="D3116" t="s">
        <v>7792</v>
      </c>
      <c r="E3116" s="3" t="str">
        <f>HYPERLINK("https://www.amazon.com/KEUNE-CARE-Vital-Nutrition-Shampoo/dp/B01MU1E7FT/ref=sr_1_1?keywords=Keune+Satin+Oil+Conditioner+250ml&amp;qid=1695259821&amp;sr=8-1", "https://www.amazon.com/KEUNE-CARE-Vital-Nutrition-Shampoo/dp/B01MU1E7FT/ref=sr_1_1?keywords=Keune+Satin+Oil+Conditioner+250ml&amp;qid=1695259821&amp;sr=8-1")</f>
        <v>https://www.amazon.com/KEUNE-CARE-Vital-Nutrition-Shampoo/dp/B01MU1E7FT/ref=sr_1_1?keywords=Keune+Satin+Oil+Conditioner+250ml&amp;qid=1695259821&amp;sr=8-1</v>
      </c>
      <c r="F3116" t="s">
        <v>7793</v>
      </c>
      <c r="G3116" t="e">
        <f ca="1">IMAGE("https://richardkroll.com/wp-content/uploads/2021/09/keune-care-satin-oil-conditioner-600x800.webp")</f>
        <v>#NAME?</v>
      </c>
      <c r="H3116" t="e">
        <f ca="1">IMAGE("https://m.media-amazon.com/images/I/51UYDojme5L._AC_UL320_.jpg")</f>
        <v>#NAME?</v>
      </c>
      <c r="I3116" t="s">
        <v>748</v>
      </c>
      <c r="J3116">
        <v>29</v>
      </c>
      <c r="K3116" s="2" t="s">
        <v>7794</v>
      </c>
      <c r="L3116">
        <v>4.5999999999999996</v>
      </c>
      <c r="M3116">
        <v>125</v>
      </c>
      <c r="O3116" t="s">
        <v>26</v>
      </c>
      <c r="P3116" t="s">
        <v>39</v>
      </c>
      <c r="Q3116" t="s">
        <v>39</v>
      </c>
    </row>
    <row r="3117" spans="1:17" ht="15.75" x14ac:dyDescent="0.25">
      <c r="A3117" s="3" t="str">
        <f>HYPERLINK("https://richardkroll.com/product/keune-care-silver-savior-conditioner-250ml/", "https://richardkroll.com/product/keune-care-silver-savior-conditioner-250ml/")</f>
        <v>https://richardkroll.com/product/keune-care-silver-savior-conditioner-250ml/</v>
      </c>
      <c r="B3117" s="3" t="str">
        <f>HYPERLINK("https://richardkroll.com/product/keune-care-silver-savior-conditioner-250ml/", "https://richardkroll.com/product/keune-care-silver-savior-conditioner-250ml/")</f>
        <v>https://richardkroll.com/product/keune-care-silver-savior-conditioner-250ml/</v>
      </c>
      <c r="C3117" t="s">
        <v>7795</v>
      </c>
      <c r="D3117" t="s">
        <v>7718</v>
      </c>
      <c r="E3117" s="3" t="str">
        <f>HYPERLINK("https://www.amazon.com/Keune-Silver-Savior-Conditioner-250ml/dp/B07FTFWP9Z/ref=sr_1_1?keywords=Keune+Care+Silver+Savior+Conditioner+250ml&amp;qid=1695259834&amp;sr=8-1", "https://www.amazon.com/Keune-Silver-Savior-Conditioner-250ml/dp/B07FTFWP9Z/ref=sr_1_1?keywords=Keune+Care+Silver+Savior+Conditioner+250ml&amp;qid=1695259834&amp;sr=8-1")</f>
        <v>https://www.amazon.com/Keune-Silver-Savior-Conditioner-250ml/dp/B07FTFWP9Z/ref=sr_1_1?keywords=Keune+Care+Silver+Savior+Conditioner+250ml&amp;qid=1695259834&amp;sr=8-1</v>
      </c>
      <c r="F3117" t="s">
        <v>7719</v>
      </c>
      <c r="G3117" t="e">
        <f ca="1">IMAGE("https://richardkroll.com/wp-content/uploads/2021/09/keune-care-silver-savior-conditioner-600x801.webp")</f>
        <v>#NAME?</v>
      </c>
      <c r="H3117" t="e">
        <f ca="1">IMAGE("https://m.media-amazon.com/images/I/51UUCdoruIL._AC_UL320_.jpg")</f>
        <v>#NAME?</v>
      </c>
      <c r="I3117" t="s">
        <v>748</v>
      </c>
      <c r="J3117">
        <v>29</v>
      </c>
      <c r="K3117" s="2" t="s">
        <v>7794</v>
      </c>
      <c r="L3117">
        <v>4.5999999999999996</v>
      </c>
      <c r="M3117">
        <v>201</v>
      </c>
      <c r="O3117" t="s">
        <v>26</v>
      </c>
      <c r="P3117" t="s">
        <v>39</v>
      </c>
      <c r="Q3117" t="s">
        <v>39</v>
      </c>
    </row>
    <row r="3118" spans="1:17" ht="15.75" x14ac:dyDescent="0.25">
      <c r="A3118" s="3" t="str">
        <f>HYPERLINK("https://richardkroll.com/product/sebastian-re-shaper-strong-hold-hairspray/", "https://richardkroll.com/product/sebastian-re-shaper-strong-hold-hairspray/")</f>
        <v>https://richardkroll.com/product/sebastian-re-shaper-strong-hold-hairspray/</v>
      </c>
      <c r="B3118" s="3" t="str">
        <f>HYPERLINK("https://richardkroll.com/product/sebastian-re-shaper-strong-hold-hairspray/", "https://richardkroll.com/product/sebastian-re-shaper-strong-hold-hairspray/")</f>
        <v>https://richardkroll.com/product/sebastian-re-shaper-strong-hold-hairspray/</v>
      </c>
      <c r="C3118" t="s">
        <v>7796</v>
      </c>
      <c r="D3118" t="s">
        <v>7797</v>
      </c>
      <c r="E3118" s="3" t="str">
        <f>HYPERLINK("https://www.amazon.com/Sebastian-Professional-Hairspray-Non-Sticky-Lightweight/dp/B000GCUPIE/ref=sr_1_2?keywords=Sebastian+Re-Shaper+Strong+Hold+Hairspray&amp;qid=1695259845&amp;sr=8-2", "https://www.amazon.com/Sebastian-Professional-Hairspray-Non-Sticky-Lightweight/dp/B000GCUPIE/ref=sr_1_2?keywords=Sebastian+Re-Shaper+Strong+Hold+Hairspray&amp;qid=1695259845&amp;sr=8-2")</f>
        <v>https://www.amazon.com/Sebastian-Professional-Hairspray-Non-Sticky-Lightweight/dp/B000GCUPIE/ref=sr_1_2?keywords=Sebastian+Re-Shaper+Strong+Hold+Hairspray&amp;qid=1695259845&amp;sr=8-2</v>
      </c>
      <c r="F3118" t="s">
        <v>7798</v>
      </c>
      <c r="G3118" t="e">
        <f ca="1">IMAGE("https://richardkroll.com/wp-content/uploads/2016/08/Sebastian-Reshaper-300g-600x800.png")</f>
        <v>#NAME?</v>
      </c>
      <c r="H3118" t="e">
        <f ca="1">IMAGE("https://m.media-amazon.com/images/I/61X5DLk1I-L._AC_UL320_.jpg")</f>
        <v>#NAME?</v>
      </c>
      <c r="I3118" t="s">
        <v>7799</v>
      </c>
      <c r="J3118">
        <v>22.5</v>
      </c>
      <c r="K3118" s="2" t="s">
        <v>7800</v>
      </c>
      <c r="L3118">
        <v>4.5999999999999996</v>
      </c>
      <c r="M3118">
        <v>11258</v>
      </c>
      <c r="O3118" t="s">
        <v>26</v>
      </c>
      <c r="P3118" t="s">
        <v>39</v>
      </c>
      <c r="Q3118" t="s">
        <v>7801</v>
      </c>
    </row>
    <row r="3119" spans="1:17" ht="15.75" x14ac:dyDescent="0.25">
      <c r="A3119" s="3" t="str">
        <f>HYPERLINK("https://richardkroll.com/product/wella-invigo-brilliance-miracle-bb-spray-150ml/", "https://richardkroll.com/product/wella-invigo-brilliance-miracle-bb-spray-150ml/")</f>
        <v>https://richardkroll.com/product/wella-invigo-brilliance-miracle-bb-spray-150ml/</v>
      </c>
      <c r="B3119" s="3" t="str">
        <f>HYPERLINK("https://richardkroll.com/product/wella-invigo-brilliance-miracle-bb-spray-150ml/", "https://richardkroll.com/product/wella-invigo-brilliance-miracle-bb-spray-150ml/")</f>
        <v>https://richardkroll.com/product/wella-invigo-brilliance-miracle-bb-spray-150ml/</v>
      </c>
      <c r="C3119" t="s">
        <v>7802</v>
      </c>
      <c r="D3119" t="s">
        <v>7803</v>
      </c>
      <c r="E3119" s="3" t="str">
        <f>HYPERLINK("https://www.amazon.com/Wella-INVIGO-Brilliance-Miracle-Spray/dp/B07PKS2GJ2/ref=sr_1_1?keywords=Wella+Invigo+Brilliance+Miracle+BB+Spray+150ml&amp;qid=1695259861&amp;sr=8-1", "https://www.amazon.com/Wella-INVIGO-Brilliance-Miracle-Spray/dp/B07PKS2GJ2/ref=sr_1_1?keywords=Wella+Invigo+Brilliance+Miracle+BB+Spray+150ml&amp;qid=1695259861&amp;sr=8-1")</f>
        <v>https://www.amazon.com/Wella-INVIGO-Brilliance-Miracle-Spray/dp/B07PKS2GJ2/ref=sr_1_1?keywords=Wella+Invigo+Brilliance+Miracle+BB+Spray+150ml&amp;qid=1695259861&amp;sr=8-1</v>
      </c>
      <c r="F3119" t="s">
        <v>7804</v>
      </c>
      <c r="G3119" t="e">
        <f ca="1">IMAGE("https://richardkroll.com/wp-content/uploads/2022/04/E3595C69-A185-4929-9DF1-672070AFA4B9-600x800.png")</f>
        <v>#NAME?</v>
      </c>
      <c r="H3119" t="e">
        <f ca="1">IMAGE("https://m.media-amazon.com/images/I/51Y6S3nE27L._AC_UL320_.jpg")</f>
        <v>#NAME?</v>
      </c>
      <c r="I3119" t="s">
        <v>3890</v>
      </c>
      <c r="J3119">
        <v>19.010000000000002</v>
      </c>
      <c r="K3119" s="2" t="s">
        <v>7805</v>
      </c>
      <c r="L3119">
        <v>4.5</v>
      </c>
      <c r="M3119">
        <v>184</v>
      </c>
      <c r="O3119" t="s">
        <v>26</v>
      </c>
      <c r="P3119" t="s">
        <v>39</v>
      </c>
      <c r="Q3119" t="s">
        <v>39</v>
      </c>
    </row>
    <row r="3120" spans="1:17" ht="15.75" x14ac:dyDescent="0.25">
      <c r="A3120" s="3" t="str">
        <f>HYPERLINK("https://richardkroll.com/product/wella-invigo-frizz-control-cream-5-1fl-oz/", "https://richardkroll.com/product/wella-invigo-frizz-control-cream-5-1fl-oz/")</f>
        <v>https://richardkroll.com/product/wella-invigo-frizz-control-cream-5-1fl-oz/</v>
      </c>
      <c r="B3120" s="3" t="str">
        <f>HYPERLINK("https://richardkroll.com/product/wella-invigo-frizz-control-cream-5-1fl-oz/", "https://richardkroll.com/product/wella-invigo-frizz-control-cream-5-1fl-oz/")</f>
        <v>https://richardkroll.com/product/wella-invigo-frizz-control-cream-5-1fl-oz/</v>
      </c>
      <c r="C3120" t="s">
        <v>7806</v>
      </c>
      <c r="D3120" t="s">
        <v>7807</v>
      </c>
      <c r="E3120" s="3" t="str">
        <f>HYPERLINK("https://www.amazon.com/Wella-Professionals-Nutri-Enrich-Control-Nourishing/dp/B0B64FD9KX/ref=sr_1_1?keywords=Wella+Invigo+Frizz+Control+Cream+5.1fl+oz&amp;qid=1695259850&amp;sr=8-1", "https://www.amazon.com/Wella-Professionals-Nutri-Enrich-Control-Nourishing/dp/B0B64FD9KX/ref=sr_1_1?keywords=Wella+Invigo+Frizz+Control+Cream+5.1fl+oz&amp;qid=1695259850&amp;sr=8-1")</f>
        <v>https://www.amazon.com/Wella-Professionals-Nutri-Enrich-Control-Nourishing/dp/B0B64FD9KX/ref=sr_1_1?keywords=Wella+Invigo+Frizz+Control+Cream+5.1fl+oz&amp;qid=1695259850&amp;sr=8-1</v>
      </c>
      <c r="F3120" t="s">
        <v>7808</v>
      </c>
      <c r="G3120" t="e">
        <f ca="1">IMAGE("https://richardkroll.com/wp-content/uploads/2022/04/BB2C1517-6426-48D9-BDD8-42C585444CC7-600x800.png")</f>
        <v>#NAME?</v>
      </c>
      <c r="H3120" t="e">
        <f ca="1">IMAGE("https://m.media-amazon.com/images/I/61wgSgINNsL._AC_UL320_.jpg")</f>
        <v>#NAME?</v>
      </c>
      <c r="I3120" t="s">
        <v>3890</v>
      </c>
      <c r="J3120">
        <v>19</v>
      </c>
      <c r="K3120" s="2" t="s">
        <v>7809</v>
      </c>
      <c r="L3120">
        <v>4.3</v>
      </c>
      <c r="M3120">
        <v>80</v>
      </c>
      <c r="O3120" t="s">
        <v>26</v>
      </c>
      <c r="P3120" t="s">
        <v>39</v>
      </c>
      <c r="Q3120" t="s">
        <v>39</v>
      </c>
    </row>
    <row r="3121" spans="1:17" ht="15.75" x14ac:dyDescent="0.25">
      <c r="A3121" s="3" t="str">
        <f>HYPERLINK("https://richardkroll.com/product/wella-eimi-sugar-lift-150ml/", "https://richardkroll.com/product/wella-eimi-sugar-lift-150ml/")</f>
        <v>https://richardkroll.com/product/wella-eimi-sugar-lift-150ml/</v>
      </c>
      <c r="B3121" s="3" t="str">
        <f>HYPERLINK("https://richardkroll.com/product/wella-eimi-sugar-lift-150ml/", "https://richardkroll.com/product/wella-eimi-sugar-lift-150ml/")</f>
        <v>https://richardkroll.com/product/wella-eimi-sugar-lift-150ml/</v>
      </c>
      <c r="C3121" t="s">
        <v>7810</v>
      </c>
      <c r="D3121" t="s">
        <v>7811</v>
      </c>
      <c r="E3121" s="3" t="str">
        <f>HYPERLINK("https://www.amazon.com/Wella-Professionals-Natural-Obtain-Finish/dp/B0175D5XSI/ref=sr_1_1?keywords=Wella+EIMI+Sugar+Lift+150ml&amp;qid=1695259845&amp;sr=8-1", "https://www.amazon.com/Wella-Professionals-Natural-Obtain-Finish/dp/B0175D5XSI/ref=sr_1_1?keywords=Wella+EIMI+Sugar+Lift+150ml&amp;qid=1695259845&amp;sr=8-1")</f>
        <v>https://www.amazon.com/Wella-Professionals-Natural-Obtain-Finish/dp/B0175D5XSI/ref=sr_1_1?keywords=Wella+EIMI+Sugar+Lift+150ml&amp;qid=1695259845&amp;sr=8-1</v>
      </c>
      <c r="F3121" t="s">
        <v>7812</v>
      </c>
      <c r="G3121" t="e">
        <f ca="1">IMAGE("https://richardkroll.com/wp-content/uploads/2022/04/037CF57F-F6FA-4AF6-95EA-F28AE5B9C35A-600x800.png")</f>
        <v>#NAME?</v>
      </c>
      <c r="H3121" t="e">
        <f ca="1">IMAGE("https://m.media-amazon.com/images/I/71z-DQ3QTQL._AC_UL320_.jpg")</f>
        <v>#NAME?</v>
      </c>
      <c r="I3121" t="s">
        <v>7799</v>
      </c>
      <c r="J3121">
        <v>22.1</v>
      </c>
      <c r="K3121" s="2" t="s">
        <v>7813</v>
      </c>
      <c r="L3121">
        <v>4.4000000000000004</v>
      </c>
      <c r="M3121">
        <v>922</v>
      </c>
      <c r="O3121" t="s">
        <v>26</v>
      </c>
      <c r="P3121" t="s">
        <v>39</v>
      </c>
      <c r="Q3121" t="s">
        <v>39</v>
      </c>
    </row>
    <row r="3122" spans="1:17" ht="15.75" x14ac:dyDescent="0.25">
      <c r="A3122" s="3" t="str">
        <f>HYPERLINK("https://richardkroll.com/product/sebastian-shaper-fierce-hairspray/", "https://richardkroll.com/product/sebastian-shaper-fierce-hairspray/")</f>
        <v>https://richardkroll.com/product/sebastian-shaper-fierce-hairspray/</v>
      </c>
      <c r="B3122" s="3" t="str">
        <f>HYPERLINK("https://richardkroll.com/product/sebastian-shaper-fierce-hairspray/", "https://richardkroll.com/product/sebastian-shaper-fierce-hairspray/")</f>
        <v>https://richardkroll.com/product/sebastian-shaper-fierce-hairspray/</v>
      </c>
      <c r="C3122" t="s">
        <v>7814</v>
      </c>
      <c r="D3122" t="s">
        <v>7815</v>
      </c>
      <c r="E3122" s="3" t="str">
        <f>HYPERLINK("https://www.amazon.com/Sebastian-Professional-Ultra-Firm-Finishing-Hairspray/dp/B002RT71CW/ref=sr_1_3?keywords=Sebastian+Shaper+Fierce+Hairspray&amp;qid=1695259857&amp;sr=8-3", "https://www.amazon.com/Sebastian-Professional-Ultra-Firm-Finishing-Hairspray/dp/B002RT71CW/ref=sr_1_3?keywords=Sebastian+Shaper+Fierce+Hairspray&amp;qid=1695259857&amp;sr=8-3")</f>
        <v>https://www.amazon.com/Sebastian-Professional-Ultra-Firm-Finishing-Hairspray/dp/B002RT71CW/ref=sr_1_3?keywords=Sebastian+Shaper+Fierce+Hairspray&amp;qid=1695259857&amp;sr=8-3</v>
      </c>
      <c r="F3122" t="s">
        <v>7816</v>
      </c>
      <c r="G3122" t="e">
        <f ca="1">IMAGE("https://richardkroll.com/wp-content/uploads/2022/04/Sebastian-Shaper-Fierce-300g-600x800.png")</f>
        <v>#NAME?</v>
      </c>
      <c r="H3122" t="e">
        <f ca="1">IMAGE("https://m.media-amazon.com/images/I/61zF9oe6GHL._AC_UL320_.jpg")</f>
        <v>#NAME?</v>
      </c>
      <c r="I3122" t="s">
        <v>3319</v>
      </c>
      <c r="J3122">
        <v>23</v>
      </c>
      <c r="K3122" s="2" t="s">
        <v>6187</v>
      </c>
      <c r="L3122">
        <v>4.5</v>
      </c>
      <c r="M3122">
        <v>517</v>
      </c>
      <c r="O3122" t="s">
        <v>26</v>
      </c>
      <c r="P3122" t="s">
        <v>39</v>
      </c>
      <c r="Q3122" t="s">
        <v>39</v>
      </c>
    </row>
    <row r="3123" spans="1:17" ht="15.75" x14ac:dyDescent="0.25">
      <c r="A3123" s="3" t="str">
        <f>HYPERLINK("https://richardkroll.com/product/wella-color-fresh-mask-rose-blaze-150ml/", "https://richardkroll.com/product/wella-color-fresh-mask-rose-blaze-150ml/")</f>
        <v>https://richardkroll.com/product/wella-color-fresh-mask-rose-blaze-150ml/</v>
      </c>
      <c r="B3123" s="3" t="str">
        <f>HYPERLINK("https://richardkroll.com/product/wella-color-fresh-mask-rose-blaze-150ml/", "https://richardkroll.com/product/wella-color-fresh-mask-rose-blaze-150ml/")</f>
        <v>https://richardkroll.com/product/wella-color-fresh-mask-rose-blaze-150ml/</v>
      </c>
      <c r="C3123" t="s">
        <v>7817</v>
      </c>
      <c r="D3123" t="s">
        <v>7818</v>
      </c>
      <c r="E3123" s="3" t="str">
        <f>HYPERLINK("https://www.amazon.com/Wella-Color-Fresh-Semi-Permanent-150ml/dp/B08P6LZHWC/ref=sr_1_1?keywords=Wella+Color+Fresh+Mask+%E2%80%93+Rose+Blaze+150ml&amp;qid=1695259838&amp;sr=8-1", "https://www.amazon.com/Wella-Color-Fresh-Semi-Permanent-150ml/dp/B08P6LZHWC/ref=sr_1_1?keywords=Wella+Color+Fresh+Mask+%E2%80%93+Rose+Blaze+150ml&amp;qid=1695259838&amp;sr=8-1")</f>
        <v>https://www.amazon.com/Wella-Color-Fresh-Semi-Permanent-150ml/dp/B08P6LZHWC/ref=sr_1_1?keywords=Wella+Color+Fresh+Mask+%E2%80%93+Rose+Blaze+150ml&amp;qid=1695259838&amp;sr=8-1</v>
      </c>
      <c r="F3123" t="s">
        <v>7819</v>
      </c>
      <c r="G3123" t="e">
        <f ca="1">IMAGE("https://richardkroll.com/wp-content/uploads/2022/04/7E6A1C08-FBA1-4FA5-9F87-B2EEA951C638-600x800.png")</f>
        <v>#NAME?</v>
      </c>
      <c r="H3123" t="e">
        <f ca="1">IMAGE("https://m.media-amazon.com/images/I/715f0DkA11L._AC_UL320_.jpg")</f>
        <v>#NAME?</v>
      </c>
      <c r="I3123" t="s">
        <v>7820</v>
      </c>
      <c r="J3123">
        <v>26.6</v>
      </c>
      <c r="K3123" s="2" t="s">
        <v>7821</v>
      </c>
      <c r="L3123">
        <v>4.2</v>
      </c>
      <c r="M3123">
        <v>167</v>
      </c>
      <c r="O3123" t="s">
        <v>26</v>
      </c>
      <c r="P3123" t="s">
        <v>39</v>
      </c>
      <c r="Q3123" t="s">
        <v>39</v>
      </c>
    </row>
    <row r="3124" spans="1:17" ht="15.75" x14ac:dyDescent="0.25">
      <c r="A3124" s="3" t="str">
        <f>HYPERLINK("https://richardkroll.com/product/wella-color-fresh-mask-blue-150ml/", "https://richardkroll.com/product/wella-color-fresh-mask-blue-150ml/")</f>
        <v>https://richardkroll.com/product/wella-color-fresh-mask-blue-150ml/</v>
      </c>
      <c r="B3124" s="3" t="str">
        <f>HYPERLINK("https://richardkroll.com/product/wella-color-fresh-mask-blue-150ml/", "https://richardkroll.com/product/wella-color-fresh-mask-blue-150ml/")</f>
        <v>https://richardkroll.com/product/wella-color-fresh-mask-blue-150ml/</v>
      </c>
      <c r="C3124" t="s">
        <v>7822</v>
      </c>
      <c r="D3124" t="s">
        <v>7823</v>
      </c>
      <c r="E3124" s="3" t="str">
        <f>HYPERLINK("https://www.amazon.com/Wella-Color-Fresh-Semi-Permanent-150ml/dp/B08NY5GK6R/ref=sr_1_1?keywords=Wella+Color+Fresh+Mask+%E2%80%93+Blue+150ml&amp;qid=1695259835&amp;sr=8-1", "https://www.amazon.com/Wella-Color-Fresh-Semi-Permanent-150ml/dp/B08NY5GK6R/ref=sr_1_1?keywords=Wella+Color+Fresh+Mask+%E2%80%93+Blue+150ml&amp;qid=1695259835&amp;sr=8-1")</f>
        <v>https://www.amazon.com/Wella-Color-Fresh-Semi-Permanent-150ml/dp/B08NY5GK6R/ref=sr_1_1?keywords=Wella+Color+Fresh+Mask+%E2%80%93+Blue+150ml&amp;qid=1695259835&amp;sr=8-1</v>
      </c>
      <c r="F3124" t="s">
        <v>7824</v>
      </c>
      <c r="G3124" t="e">
        <f ca="1">IMAGE("https://richardkroll.com/wp-content/uploads/2022/04/D6A94E13-F473-4BCB-BD08-10DDB13EBEF8-600x800.png")</f>
        <v>#NAME?</v>
      </c>
      <c r="H3124" t="e">
        <f ca="1">IMAGE("https://m.media-amazon.com/images/I/41BZya3JvmL._AC_UL320_.jpg")</f>
        <v>#NAME?</v>
      </c>
      <c r="I3124" t="s">
        <v>7820</v>
      </c>
      <c r="J3124">
        <v>26.6</v>
      </c>
      <c r="K3124" s="2" t="s">
        <v>7821</v>
      </c>
      <c r="L3124">
        <v>4.3</v>
      </c>
      <c r="M3124">
        <v>392</v>
      </c>
      <c r="O3124" t="s">
        <v>26</v>
      </c>
      <c r="P3124" t="s">
        <v>39</v>
      </c>
      <c r="Q3124" t="s">
        <v>39</v>
      </c>
    </row>
    <row r="3125" spans="1:17" ht="15.75" x14ac:dyDescent="0.25">
      <c r="A3125" s="3" t="str">
        <f>HYPERLINK("https://richardkroll.com/product/wella-color-fresh-mask-blue-150ml/", "https://richardkroll.com/product/wella-color-fresh-mask-blue-150ml/")</f>
        <v>https://richardkroll.com/product/wella-color-fresh-mask-blue-150ml/</v>
      </c>
      <c r="B3125" s="3" t="str">
        <f>HYPERLINK("https://richardkroll.com/product/wella-color-fresh-mask-blue-150ml/", "https://richardkroll.com/product/wella-color-fresh-mask-blue-150ml/")</f>
        <v>https://richardkroll.com/product/wella-color-fresh-mask-blue-150ml/</v>
      </c>
      <c r="C3125" t="s">
        <v>7822</v>
      </c>
      <c r="D3125" t="s">
        <v>7818</v>
      </c>
      <c r="E3125" s="3" t="str">
        <f>HYPERLINK("https://www.amazon.com/Wella-Color-Fresh-Semi-Permanent-150ml/dp/B08P6LZHWC/ref=sr_1_4?keywords=Wella+Color+Fresh+Mask+%E2%80%93+Blue+150ml&amp;qid=1695259835&amp;sr=8-4", "https://www.amazon.com/Wella-Color-Fresh-Semi-Permanent-150ml/dp/B08P6LZHWC/ref=sr_1_4?keywords=Wella+Color+Fresh+Mask+%E2%80%93+Blue+150ml&amp;qid=1695259835&amp;sr=8-4")</f>
        <v>https://www.amazon.com/Wella-Color-Fresh-Semi-Permanent-150ml/dp/B08P6LZHWC/ref=sr_1_4?keywords=Wella+Color+Fresh+Mask+%E2%80%93+Blue+150ml&amp;qid=1695259835&amp;sr=8-4</v>
      </c>
      <c r="F3125" t="s">
        <v>7819</v>
      </c>
      <c r="G3125" t="e">
        <f ca="1">IMAGE("https://richardkroll.com/wp-content/uploads/2022/04/D6A94E13-F473-4BCB-BD08-10DDB13EBEF8-600x800.png")</f>
        <v>#NAME?</v>
      </c>
      <c r="H3125" t="e">
        <f ca="1">IMAGE("https://m.media-amazon.com/images/I/715f0DkA11L._AC_UL320_.jpg")</f>
        <v>#NAME?</v>
      </c>
      <c r="I3125" t="s">
        <v>7820</v>
      </c>
      <c r="J3125">
        <v>26.6</v>
      </c>
      <c r="K3125" s="2" t="s">
        <v>7821</v>
      </c>
      <c r="L3125">
        <v>4.2</v>
      </c>
      <c r="M3125">
        <v>167</v>
      </c>
      <c r="O3125" t="s">
        <v>26</v>
      </c>
      <c r="P3125" t="s">
        <v>39</v>
      </c>
      <c r="Q3125" t="s">
        <v>39</v>
      </c>
    </row>
    <row r="3126" spans="1:17" ht="15.75" x14ac:dyDescent="0.25">
      <c r="A3126" s="3" t="str">
        <f>HYPERLINK("https://richardkroll.com/product/wella-color-refresh-mask-caramel-glaze-150ml/", "https://richardkroll.com/product/wella-color-refresh-mask-caramel-glaze-150ml/")</f>
        <v>https://richardkroll.com/product/wella-color-refresh-mask-caramel-glaze-150ml/</v>
      </c>
      <c r="B3126" s="3" t="str">
        <f>HYPERLINK("https://richardkroll.com/product/wella-color-refresh-mask-caramel-glaze-150ml/", "https://richardkroll.com/product/wella-color-refresh-mask-caramel-glaze-150ml/")</f>
        <v>https://richardkroll.com/product/wella-color-refresh-mask-caramel-glaze-150ml/</v>
      </c>
      <c r="C3126" t="s">
        <v>7825</v>
      </c>
      <c r="D3126" t="s">
        <v>7823</v>
      </c>
      <c r="E3126" s="3" t="str">
        <f>HYPERLINK("https://www.amazon.com/Wella-Color-Fresh-Semi-Permanent-150ml/dp/B08NY5GK6R/ref=sr_1_1?keywords=Wella+Color+Refresh+Mask+%E2%80%93+Caramel+Glaze+150ml&amp;qid=1695259879&amp;sr=8-1", "https://www.amazon.com/Wella-Color-Fresh-Semi-Permanent-150ml/dp/B08NY5GK6R/ref=sr_1_1?keywords=Wella+Color+Refresh+Mask+%E2%80%93+Caramel+Glaze+150ml&amp;qid=1695259879&amp;sr=8-1")</f>
        <v>https://www.amazon.com/Wella-Color-Fresh-Semi-Permanent-150ml/dp/B08NY5GK6R/ref=sr_1_1?keywords=Wella+Color+Refresh+Mask+%E2%80%93+Caramel+Glaze+150ml&amp;qid=1695259879&amp;sr=8-1</v>
      </c>
      <c r="F3126" t="s">
        <v>7824</v>
      </c>
      <c r="G3126" t="e">
        <f ca="1">IMAGE("https://richardkroll.com/wp-content/uploads/2022/04/351694F1-E9D6-4691-B1F8-F44D30119AC2-600x800.png")</f>
        <v>#NAME?</v>
      </c>
      <c r="H3126" t="e">
        <f ca="1">IMAGE("https://m.media-amazon.com/images/I/41BZya3JvmL._AC_UL320_.jpg")</f>
        <v>#NAME?</v>
      </c>
      <c r="I3126" t="s">
        <v>7820</v>
      </c>
      <c r="J3126">
        <v>26.6</v>
      </c>
      <c r="K3126" s="2" t="s">
        <v>7821</v>
      </c>
      <c r="L3126">
        <v>4.3</v>
      </c>
      <c r="M3126">
        <v>392</v>
      </c>
      <c r="O3126" t="s">
        <v>26</v>
      </c>
      <c r="P3126" t="s">
        <v>39</v>
      </c>
      <c r="Q3126" t="s">
        <v>39</v>
      </c>
    </row>
    <row r="3127" spans="1:17" ht="15.75" x14ac:dyDescent="0.25">
      <c r="A3127" s="3" t="str">
        <f>HYPERLINK("https://richardkroll.com/product/wella-elements-shampoo-250ml/", "https://richardkroll.com/product/wella-elements-shampoo-250ml/")</f>
        <v>https://richardkroll.com/product/wella-elements-shampoo-250ml/</v>
      </c>
      <c r="B3127" s="3" t="str">
        <f>HYPERLINK("https://richardkroll.com/product/wella-elements-shampoo-250ml/", "https://richardkroll.com/product/wella-elements-shampoo-250ml/")</f>
        <v>https://richardkroll.com/product/wella-elements-shampoo-250ml/</v>
      </c>
      <c r="C3127" t="s">
        <v>7498</v>
      </c>
      <c r="D3127" t="s">
        <v>7826</v>
      </c>
      <c r="E3127" s="3" t="str">
        <f>HYPERLINK("https://www.amazon.com/Wella-Professionals-Elements-Renewing-Silicone/dp/B09YKK49JL/ref=sr_1_5?keywords=Wella+Elements+Shampoo+250ml&amp;qid=1695259844&amp;sr=8-5", "https://www.amazon.com/Wella-Professionals-Elements-Renewing-Silicone/dp/B09YKK49JL/ref=sr_1_5?keywords=Wella+Elements+Shampoo+250ml&amp;qid=1695259844&amp;sr=8-5")</f>
        <v>https://www.amazon.com/Wella-Professionals-Elements-Renewing-Silicone/dp/B09YKK49JL/ref=sr_1_5?keywords=Wella+Elements+Shampoo+250ml&amp;qid=1695259844&amp;sr=8-5</v>
      </c>
      <c r="F3127" t="s">
        <v>7827</v>
      </c>
      <c r="G3127" t="e">
        <f ca="1">IMAGE("https://richardkroll.com/wp-content/uploads/2022/04/62D6864A-36A5-4B22-9191-42BD61F06642-600x800.png")</f>
        <v>#NAME?</v>
      </c>
      <c r="H3127" t="e">
        <f ca="1">IMAGE("https://m.media-amazon.com/images/I/51E3fOF2KWL._AC_UL320_.jpg")</f>
        <v>#NAME?</v>
      </c>
      <c r="I3127" t="s">
        <v>7501</v>
      </c>
      <c r="J3127">
        <v>25</v>
      </c>
      <c r="K3127" s="2" t="s">
        <v>5542</v>
      </c>
      <c r="L3127">
        <v>4.4000000000000004</v>
      </c>
      <c r="M3127">
        <v>64</v>
      </c>
      <c r="O3127" t="s">
        <v>26</v>
      </c>
      <c r="P3127" t="s">
        <v>39</v>
      </c>
      <c r="Q3127" t="s">
        <v>39</v>
      </c>
    </row>
    <row r="3128" spans="1:17" ht="15.75" x14ac:dyDescent="0.25">
      <c r="A3128" s="3" t="str">
        <f>HYPERLINK("https://richardkroll.com/product/sebastian-trilliant-thermal-protection/", "https://richardkroll.com/product/sebastian-trilliant-thermal-protection/")</f>
        <v>https://richardkroll.com/product/sebastian-trilliant-thermal-protection/</v>
      </c>
      <c r="B3128" s="3" t="str">
        <f>HYPERLINK("https://richardkroll.com/product/sebastian-trilliant-thermal-protection/", "https://richardkroll.com/product/sebastian-trilliant-thermal-protection/")</f>
        <v>https://richardkroll.com/product/sebastian-trilliant-thermal-protection/</v>
      </c>
      <c r="C3128" t="s">
        <v>7828</v>
      </c>
      <c r="D3128" t="s">
        <v>7829</v>
      </c>
      <c r="E3128" s="3" t="str">
        <f>HYPERLINK("https://www.amazon.com/Sebastian-Trilliant-Thermal-Protection-Shimmer-Complex/dp/B00BILZMZ8/ref=sr_1_1?keywords=Sebastian+Trilliant+Thermal+Protection&amp;qid=1695259840&amp;sr=8-1", "https://www.amazon.com/Sebastian-Trilliant-Thermal-Protection-Shimmer-Complex/dp/B00BILZMZ8/ref=sr_1_1?keywords=Sebastian+Trilliant+Thermal+Protection&amp;qid=1695259840&amp;sr=8-1")</f>
        <v>https://www.amazon.com/Sebastian-Trilliant-Thermal-Protection-Shimmer-Complex/dp/B00BILZMZ8/ref=sr_1_1?keywords=Sebastian+Trilliant+Thermal+Protection&amp;qid=1695259840&amp;sr=8-1</v>
      </c>
      <c r="F3128" t="s">
        <v>7830</v>
      </c>
      <c r="G3128" t="e">
        <f ca="1">IMAGE("https://richardkroll.com/wp-content/uploads/2016/08/Sebastian-Trilliant-150ml-600x800.jpg")</f>
        <v>#NAME?</v>
      </c>
      <c r="H3128" t="e">
        <f ca="1">IMAGE("https://m.media-amazon.com/images/I/71JILOFX9oL._AC_UL320_.jpg")</f>
        <v>#NAME?</v>
      </c>
      <c r="I3128" t="s">
        <v>484</v>
      </c>
      <c r="J3128">
        <v>21.8</v>
      </c>
      <c r="K3128" s="2" t="s">
        <v>7831</v>
      </c>
      <c r="L3128">
        <v>4.5</v>
      </c>
      <c r="M3128">
        <v>1800</v>
      </c>
      <c r="O3128" t="s">
        <v>26</v>
      </c>
      <c r="P3128" t="s">
        <v>39</v>
      </c>
      <c r="Q3128" t="s">
        <v>7832</v>
      </c>
    </row>
    <row r="3129" spans="1:17" ht="15.75" x14ac:dyDescent="0.25">
      <c r="A3129" s="3" t="str">
        <f>HYPERLINK("https://richardkroll.com/product/pure-nv-balancing-conditioner-250ml/", "https://richardkroll.com/product/pure-nv-balancing-conditioner-250ml/")</f>
        <v>https://richardkroll.com/product/pure-nv-balancing-conditioner-250ml/</v>
      </c>
      <c r="B3129" s="3" t="str">
        <f>HYPERLINK("https://richardkroll.com/product/pure-nv-balancing-conditioner-250ml/", "https://richardkroll.com/product/pure-nv-balancing-conditioner-250ml/")</f>
        <v>https://richardkroll.com/product/pure-nv-balancing-conditioner-250ml/</v>
      </c>
      <c r="C3129" t="s">
        <v>7497</v>
      </c>
      <c r="D3129" t="s">
        <v>7833</v>
      </c>
      <c r="E3129" s="3" t="str">
        <f>HYPERLINK("https://www.amazon.com/Pure-NV-BKT-Balancing-Conditioner/dp/B00J4QGQ68/ref=sr_1_1?keywords=Pure+NV+Balancing+Conditioner+250ml&amp;qid=1695259829&amp;sr=8-1", "https://www.amazon.com/Pure-NV-BKT-Balancing-Conditioner/dp/B00J4QGQ68/ref=sr_1_1?keywords=Pure+NV+Balancing+Conditioner+250ml&amp;qid=1695259829&amp;sr=8-1")</f>
        <v>https://www.amazon.com/Pure-NV-BKT-Balancing-Conditioner/dp/B00J4QGQ68/ref=sr_1_1?keywords=Pure+NV+Balancing+Conditioner+250ml&amp;qid=1695259829&amp;sr=8-1</v>
      </c>
      <c r="F3129" t="s">
        <v>7834</v>
      </c>
      <c r="G3129" t="e">
        <f ca="1">IMAGE("https://richardkroll.com/wp-content/uploads/2021/09/Pure-NV-Balancing-Conditioner-600x800.jpg")</f>
        <v>#NAME?</v>
      </c>
      <c r="H3129" t="e">
        <f ca="1">IMAGE("https://m.media-amazon.com/images/I/61otphUhgFL._AC_UL320_.jpg")</f>
        <v>#NAME?</v>
      </c>
      <c r="I3129" t="s">
        <v>7495</v>
      </c>
      <c r="J3129">
        <v>27</v>
      </c>
      <c r="K3129" s="2" t="s">
        <v>7835</v>
      </c>
      <c r="L3129">
        <v>4.5</v>
      </c>
      <c r="M3129">
        <v>32</v>
      </c>
      <c r="O3129" t="s">
        <v>26</v>
      </c>
      <c r="P3129" t="s">
        <v>39</v>
      </c>
      <c r="Q3129" t="s">
        <v>39</v>
      </c>
    </row>
    <row r="3130" spans="1:17" ht="15.75" x14ac:dyDescent="0.25">
      <c r="A3130" s="3" t="str">
        <f>HYPERLINK("https://richardkroll.com/product/pure-nv-balancing-shampoo-250ml/", "https://richardkroll.com/product/pure-nv-balancing-shampoo-250ml/")</f>
        <v>https://richardkroll.com/product/pure-nv-balancing-shampoo-250ml/</v>
      </c>
      <c r="B3130" s="3" t="str">
        <f>HYPERLINK("https://richardkroll.com/product/pure-nv-balancing-shampoo-250ml/", "https://richardkroll.com/product/pure-nv-balancing-shampoo-250ml/")</f>
        <v>https://richardkroll.com/product/pure-nv-balancing-shampoo-250ml/</v>
      </c>
      <c r="C3130" t="s">
        <v>7492</v>
      </c>
      <c r="D3130" t="s">
        <v>7836</v>
      </c>
      <c r="E3130" s="3" t="str">
        <f>HYPERLINK("https://www.amazon.com/Pure-NV-BKT-Balancing-Shampoo/dp/B00J4QFXT4/ref=sr_1_2?keywords=Pure+NV+Balancing+Shampoo+250ml&amp;qid=1695259830&amp;sr=8-2", "https://www.amazon.com/Pure-NV-BKT-Balancing-Shampoo/dp/B00J4QFXT4/ref=sr_1_2?keywords=Pure+NV+Balancing+Shampoo+250ml&amp;qid=1695259830&amp;sr=8-2")</f>
        <v>https://www.amazon.com/Pure-NV-BKT-Balancing-Shampoo/dp/B00J4QFXT4/ref=sr_1_2?keywords=Pure+NV+Balancing+Shampoo+250ml&amp;qid=1695259830&amp;sr=8-2</v>
      </c>
      <c r="F3130" t="s">
        <v>7837</v>
      </c>
      <c r="G3130" t="e">
        <f ca="1">IMAGE("https://richardkroll.com/wp-content/uploads/2021/09/pure-nv-balancing-shampoo-600x800.webp")</f>
        <v>#NAME?</v>
      </c>
      <c r="H3130" t="e">
        <f ca="1">IMAGE("https://m.media-amazon.com/images/I/61JyyjTeIhL._AC_UL320_.jpg")</f>
        <v>#NAME?</v>
      </c>
      <c r="I3130" t="s">
        <v>7495</v>
      </c>
      <c r="J3130">
        <v>27</v>
      </c>
      <c r="K3130" s="2" t="s">
        <v>7835</v>
      </c>
      <c r="L3130">
        <v>4.5999999999999996</v>
      </c>
      <c r="M3130">
        <v>6</v>
      </c>
      <c r="O3130" t="s">
        <v>26</v>
      </c>
      <c r="P3130" t="s">
        <v>39</v>
      </c>
      <c r="Q3130" t="s">
        <v>39</v>
      </c>
    </row>
    <row r="3131" spans="1:17" ht="15.75" x14ac:dyDescent="0.25">
      <c r="A3131" s="3" t="str">
        <f>HYPERLINK("https://richardkroll.com/product/pure-nv-hydrating-conditioner-250ml/", "https://richardkroll.com/product/pure-nv-hydrating-conditioner-250ml/")</f>
        <v>https://richardkroll.com/product/pure-nv-hydrating-conditioner-250ml/</v>
      </c>
      <c r="B3131" s="3" t="str">
        <f>HYPERLINK("https://richardkroll.com/product/pure-nv-hydrating-conditioner-250ml/", "https://richardkroll.com/product/pure-nv-hydrating-conditioner-250ml/")</f>
        <v>https://richardkroll.com/product/pure-nv-hydrating-conditioner-250ml/</v>
      </c>
      <c r="C3131" t="s">
        <v>7548</v>
      </c>
      <c r="D3131" t="s">
        <v>7838</v>
      </c>
      <c r="E3131" s="3" t="str">
        <f>HYPERLINK("https://www.amazon.com/Pure-NV-BKT-Hydrating-Conditioner/dp/B018ZI0BPW/ref=sr_1_2?keywords=Pure+NV+Hydrating+Conditioner+250ml&amp;qid=1695259832&amp;sr=8-2", "https://www.amazon.com/Pure-NV-BKT-Hydrating-Conditioner/dp/B018ZI0BPW/ref=sr_1_2?keywords=Pure+NV+Hydrating+Conditioner+250ml&amp;qid=1695259832&amp;sr=8-2")</f>
        <v>https://www.amazon.com/Pure-NV-BKT-Hydrating-Conditioner/dp/B018ZI0BPW/ref=sr_1_2?keywords=Pure+NV+Hydrating+Conditioner+250ml&amp;qid=1695259832&amp;sr=8-2</v>
      </c>
      <c r="F3131" t="s">
        <v>7839</v>
      </c>
      <c r="G3131" t="e">
        <f ca="1">IMAGE("https://richardkroll.com/wp-content/uploads/2021/09/Pure-NV-Hydrating-Conditioner-600x800.jpg")</f>
        <v>#NAME?</v>
      </c>
      <c r="H3131" t="e">
        <f ca="1">IMAGE("https://m.media-amazon.com/images/I/61de18V8bXL._AC_UL320_.jpg")</f>
        <v>#NAME?</v>
      </c>
      <c r="I3131" t="s">
        <v>7551</v>
      </c>
      <c r="J3131">
        <v>27</v>
      </c>
      <c r="K3131" s="2" t="s">
        <v>7840</v>
      </c>
      <c r="L3131">
        <v>4.5999999999999996</v>
      </c>
      <c r="M3131">
        <v>11</v>
      </c>
      <c r="O3131" t="s">
        <v>26</v>
      </c>
      <c r="P3131" t="s">
        <v>39</v>
      </c>
      <c r="Q3131" t="s">
        <v>39</v>
      </c>
    </row>
    <row r="3132" spans="1:17" ht="15.75" x14ac:dyDescent="0.25">
      <c r="A3132" s="3" t="str">
        <f>HYPERLINK("https://richardkroll.com/product/wella-glam-mist-4-86oz/", "https://richardkroll.com/product/wella-glam-mist-4-86oz/")</f>
        <v>https://richardkroll.com/product/wella-glam-mist-4-86oz/</v>
      </c>
      <c r="B3132" s="3" t="str">
        <f>HYPERLINK("https://richardkroll.com/product/wella-glam-mist-4-86oz/", "https://richardkroll.com/product/wella-glam-mist-4-86oz/")</f>
        <v>https://richardkroll.com/product/wella-glam-mist-4-86oz/</v>
      </c>
      <c r="C3132" t="s">
        <v>7841</v>
      </c>
      <c r="D3132" t="s">
        <v>7842</v>
      </c>
      <c r="E3132" s="3" t="str">
        <f>HYPERLINK("https://www.amazon.com/EIMI-81524311-Glam-Mist/dp/B01783RFXQ/ref=sr_1_1?keywords=Wella+Glam+Mist+4.86oz&amp;qid=1695259850&amp;sr=8-1", "https://www.amazon.com/EIMI-81524311-Glam-Mist/dp/B01783RFXQ/ref=sr_1_1?keywords=Wella+Glam+Mist+4.86oz&amp;qid=1695259850&amp;sr=8-1")</f>
        <v>https://www.amazon.com/EIMI-81524311-Glam-Mist/dp/B01783RFXQ/ref=sr_1_1?keywords=Wella+Glam+Mist+4.86oz&amp;qid=1695259850&amp;sr=8-1</v>
      </c>
      <c r="F3132" t="s">
        <v>7843</v>
      </c>
      <c r="G3132" t="e">
        <f ca="1">IMAGE("https://richardkroll.com/wp-content/uploads/2022/04/0AAB04A5-6F9E-4728-85A6-19AA330BF9D0-600x800.png")</f>
        <v>#NAME?</v>
      </c>
      <c r="H3132" t="e">
        <f ca="1">IMAGE("https://m.media-amazon.com/images/I/51bv81-z+PL._AC_UL320_.jpg")</f>
        <v>#NAME?</v>
      </c>
      <c r="I3132" t="s">
        <v>7678</v>
      </c>
      <c r="J3132">
        <v>22.1</v>
      </c>
      <c r="K3132" s="2" t="s">
        <v>7844</v>
      </c>
      <c r="L3132">
        <v>4.5</v>
      </c>
      <c r="M3132">
        <v>230</v>
      </c>
      <c r="O3132" t="s">
        <v>26</v>
      </c>
      <c r="P3132" t="s">
        <v>39</v>
      </c>
      <c r="Q3132" t="s">
        <v>39</v>
      </c>
    </row>
    <row r="3133" spans="1:17" ht="15.75" x14ac:dyDescent="0.25">
      <c r="A3133" s="3" t="str">
        <f>HYPERLINK("https://richardkroll.com/product/sebastian-preset-conditioner-250ml/", "https://richardkroll.com/product/sebastian-preset-conditioner-250ml/")</f>
        <v>https://richardkroll.com/product/sebastian-preset-conditioner-250ml/</v>
      </c>
      <c r="B3133" s="3" t="str">
        <f>HYPERLINK("https://richardkroll.com/product/sebastian-preset-conditioner-250ml/", "https://richardkroll.com/product/sebastian-preset-conditioner-250ml/")</f>
        <v>https://richardkroll.com/product/sebastian-preset-conditioner-250ml/</v>
      </c>
      <c r="C3133" t="s">
        <v>7845</v>
      </c>
      <c r="D3133" t="s">
        <v>7846</v>
      </c>
      <c r="E3133" s="3" t="str">
        <f>HYPERLINK("https://www.amazon.com/Sebastian-Preset-Conditioner-8-4-oz/dp/B07F51FFLZ/ref=sr_1_4?keywords=Sebastian+Preset+Conditioner+250ml&amp;qid=1695259847&amp;sr=8-4", "https://www.amazon.com/Sebastian-Preset-Conditioner-8-4-oz/dp/B07F51FFLZ/ref=sr_1_4?keywords=Sebastian+Preset+Conditioner+250ml&amp;qid=1695259847&amp;sr=8-4")</f>
        <v>https://www.amazon.com/Sebastian-Preset-Conditioner-8-4-oz/dp/B07F51FFLZ/ref=sr_1_4?keywords=Sebastian+Preset+Conditioner+250ml&amp;qid=1695259847&amp;sr=8-4</v>
      </c>
      <c r="F3133" t="s">
        <v>7847</v>
      </c>
      <c r="G3133" t="e">
        <f ca="1">IMAGE("https://richardkroll.com/wp-content/uploads/2021/09/Sebastian-Preset-Conditioner-250ml-600x800.png")</f>
        <v>#NAME?</v>
      </c>
      <c r="H3133" t="e">
        <f ca="1">IMAGE("https://m.media-amazon.com/images/I/51LpuzwPsdL._AC_UL320_.jpg")</f>
        <v>#NAME?</v>
      </c>
      <c r="I3133" t="s">
        <v>7521</v>
      </c>
      <c r="J3133">
        <v>19</v>
      </c>
      <c r="K3133" s="2" t="s">
        <v>7848</v>
      </c>
      <c r="L3133">
        <v>3.8</v>
      </c>
      <c r="M3133">
        <v>67</v>
      </c>
      <c r="O3133" t="s">
        <v>26</v>
      </c>
      <c r="P3133" t="s">
        <v>39</v>
      </c>
      <c r="Q3133" t="s">
        <v>39</v>
      </c>
    </row>
    <row r="3134" spans="1:17" ht="15.75" x14ac:dyDescent="0.25">
      <c r="A3134" s="3" t="str">
        <f>HYPERLINK("https://richardkroll.com/product/sebastian-shaper-fierce-hairspray/", "https://richardkroll.com/product/sebastian-shaper-fierce-hairspray/")</f>
        <v>https://richardkroll.com/product/sebastian-shaper-fierce-hairspray/</v>
      </c>
      <c r="B3134" s="3" t="str">
        <f>HYPERLINK("https://richardkroll.com/product/sebastian-shaper-fierce-hairspray/", "https://richardkroll.com/product/sebastian-shaper-fierce-hairspray/")</f>
        <v>https://richardkroll.com/product/sebastian-shaper-fierce-hairspray/</v>
      </c>
      <c r="C3134" t="s">
        <v>7814</v>
      </c>
      <c r="D3134" t="s">
        <v>7797</v>
      </c>
      <c r="E3134" s="3" t="str">
        <f>HYPERLINK("https://www.amazon.com/Sebastian-Professional-Hairspray-Non-Sticky-Lightweight/dp/B000GCUPIE/ref=sr_1_5?keywords=Sebastian+Shaper+Fierce+Hairspray&amp;qid=1695259857&amp;sr=8-5", "https://www.amazon.com/Sebastian-Professional-Hairspray-Non-Sticky-Lightweight/dp/B000GCUPIE/ref=sr_1_5?keywords=Sebastian+Shaper+Fierce+Hairspray&amp;qid=1695259857&amp;sr=8-5")</f>
        <v>https://www.amazon.com/Sebastian-Professional-Hairspray-Non-Sticky-Lightweight/dp/B000GCUPIE/ref=sr_1_5?keywords=Sebastian+Shaper+Fierce+Hairspray&amp;qid=1695259857&amp;sr=8-5</v>
      </c>
      <c r="F3134" t="s">
        <v>7798</v>
      </c>
      <c r="G3134" t="e">
        <f ca="1">IMAGE("https://richardkroll.com/wp-content/uploads/2022/04/Sebastian-Shaper-Fierce-300g-600x800.png")</f>
        <v>#NAME?</v>
      </c>
      <c r="H3134" t="e">
        <f ca="1">IMAGE("https://m.media-amazon.com/images/I/61X5DLk1I-L._AC_UL320_.jpg")</f>
        <v>#NAME?</v>
      </c>
      <c r="I3134" t="s">
        <v>3319</v>
      </c>
      <c r="J3134">
        <v>22.5</v>
      </c>
      <c r="K3134" s="2" t="s">
        <v>7849</v>
      </c>
      <c r="L3134">
        <v>4.5999999999999996</v>
      </c>
      <c r="M3134">
        <v>11258</v>
      </c>
      <c r="O3134" t="s">
        <v>26</v>
      </c>
      <c r="P3134" t="s">
        <v>39</v>
      </c>
      <c r="Q3134" t="s">
        <v>39</v>
      </c>
    </row>
    <row r="3135" spans="1:17" ht="15.75" x14ac:dyDescent="0.25">
      <c r="A3135" s="3" t="str">
        <f>HYPERLINK("https://richardkroll.com/product/sebastian-gel-forte-strong-hold/", "https://richardkroll.com/product/sebastian-gel-forte-strong-hold/")</f>
        <v>https://richardkroll.com/product/sebastian-gel-forte-strong-hold/</v>
      </c>
      <c r="B3135" s="3" t="str">
        <f>HYPERLINK("https://richardkroll.com/product/sebastian-gel-forte-strong-hold/", "https://richardkroll.com/product/sebastian-gel-forte-strong-hold/")</f>
        <v>https://richardkroll.com/product/sebastian-gel-forte-strong-hold/</v>
      </c>
      <c r="C3135" t="s">
        <v>7850</v>
      </c>
      <c r="D3135" t="s">
        <v>7851</v>
      </c>
      <c r="E3135" s="3" t="str">
        <f>HYPERLINK("https://www.amazon.com/Sebastian-Gel-Forte-6-8-Oz/dp/B002RS6KIE/ref=sr_1_1?keywords=Sebastian+Gel+Forte+200ml&amp;qid=1695259875&amp;sr=8-1", "https://www.amazon.com/Sebastian-Gel-Forte-6-8-Oz/dp/B002RS6KIE/ref=sr_1_1?keywords=Sebastian+Gel+Forte+200ml&amp;qid=1695259875&amp;sr=8-1")</f>
        <v>https://www.amazon.com/Sebastian-Gel-Forte-6-8-Oz/dp/B002RS6KIE/ref=sr_1_1?keywords=Sebastian+Gel+Forte+200ml&amp;qid=1695259875&amp;sr=8-1</v>
      </c>
      <c r="F3135" t="s">
        <v>7852</v>
      </c>
      <c r="G3135" t="e">
        <f ca="1">IMAGE("https://richardkroll.com/wp-content/uploads/2016/08/Sebastian-Gel-Forte-200ml-600x800.png")</f>
        <v>#NAME?</v>
      </c>
      <c r="H3135" t="e">
        <f ca="1">IMAGE("https://m.media-amazon.com/images/I/51R7+76RtCL._AC_UL320_.jpg")</f>
        <v>#NAME?</v>
      </c>
      <c r="I3135" t="s">
        <v>803</v>
      </c>
      <c r="J3135">
        <v>20</v>
      </c>
      <c r="K3135" s="2" t="s">
        <v>7853</v>
      </c>
      <c r="L3135">
        <v>4.5</v>
      </c>
      <c r="M3135">
        <v>723</v>
      </c>
      <c r="O3135" t="s">
        <v>26</v>
      </c>
      <c r="P3135" t="s">
        <v>39</v>
      </c>
      <c r="Q3135" t="s">
        <v>7854</v>
      </c>
    </row>
    <row r="3136" spans="1:17" ht="15.75" x14ac:dyDescent="0.25">
      <c r="A3136" s="3" t="str">
        <f>HYPERLINK("https://richardkroll.com/product/sebastian-volupt-spray-150ml/", "https://richardkroll.com/product/sebastian-volupt-spray-150ml/")</f>
        <v>https://richardkroll.com/product/sebastian-volupt-spray-150ml/</v>
      </c>
      <c r="B3136" s="3" t="str">
        <f>HYPERLINK("https://richardkroll.com/product/sebastian-volupt-spray-150ml/", "https://richardkroll.com/product/sebastian-volupt-spray-150ml/")</f>
        <v>https://richardkroll.com/product/sebastian-volupt-spray-150ml/</v>
      </c>
      <c r="C3136" t="s">
        <v>7855</v>
      </c>
      <c r="D3136" t="s">
        <v>7856</v>
      </c>
      <c r="E3136" s="3" t="str">
        <f>HYPERLINK("https://www.amazon.com/Sebastian-Volupt-Spray-5-1-oz/dp/B0037IESXC/ref=sr_1_1?keywords=Sebastian+Volupt+Spray+150ml&amp;qid=1695259834&amp;sr=8-1", "https://www.amazon.com/Sebastian-Volupt-Spray-5-1-oz/dp/B0037IESXC/ref=sr_1_1?keywords=Sebastian+Volupt+Spray+150ml&amp;qid=1695259834&amp;sr=8-1")</f>
        <v>https://www.amazon.com/Sebastian-Volupt-Spray-5-1-oz/dp/B0037IESXC/ref=sr_1_1?keywords=Sebastian+Volupt+Spray+150ml&amp;qid=1695259834&amp;sr=8-1</v>
      </c>
      <c r="F3136" t="s">
        <v>7857</v>
      </c>
      <c r="G3136" t="e">
        <f ca="1">IMAGE("https://richardkroll.com/wp-content/uploads/2021/09/Volupt-Spray-Gel-600x800.jpg")</f>
        <v>#NAME?</v>
      </c>
      <c r="H3136" t="e">
        <f ca="1">IMAGE("https://m.media-amazon.com/images/I/61op4eyVVGL._AC_UL320_.jpg")</f>
        <v>#NAME?</v>
      </c>
      <c r="I3136" t="s">
        <v>484</v>
      </c>
      <c r="J3136">
        <v>21</v>
      </c>
      <c r="K3136" s="2" t="s">
        <v>7858</v>
      </c>
      <c r="L3136">
        <v>4.5999999999999996</v>
      </c>
      <c r="M3136">
        <v>1413</v>
      </c>
      <c r="O3136" t="s">
        <v>26</v>
      </c>
      <c r="P3136" t="s">
        <v>39</v>
      </c>
      <c r="Q3136" t="s">
        <v>39</v>
      </c>
    </row>
    <row r="3137" spans="1:17" ht="15.75" x14ac:dyDescent="0.25">
      <c r="A3137" s="3" t="str">
        <f>HYPERLINK("https://richardkroll.com/product/wella-nutri-enrich-wonder-balm-5-1fl-oz/", "https://richardkroll.com/product/wella-nutri-enrich-wonder-balm-5-1fl-oz/")</f>
        <v>https://richardkroll.com/product/wella-nutri-enrich-wonder-balm-5-1fl-oz/</v>
      </c>
      <c r="B3137" s="3" t="str">
        <f>HYPERLINK("https://richardkroll.com/product/wella-nutri-enrich-wonder-balm-5-1fl-oz/", "https://richardkroll.com/product/wella-nutri-enrich-wonder-balm-5-1fl-oz/")</f>
        <v>https://richardkroll.com/product/wella-nutri-enrich-wonder-balm-5-1fl-oz/</v>
      </c>
      <c r="C3137" t="s">
        <v>7859</v>
      </c>
      <c r="D3137" t="s">
        <v>7860</v>
      </c>
      <c r="E3137" s="3" t="str">
        <f>HYPERLINK("https://www.amazon.com/Nutri-Enrich-Wonder-Wella-Unisex/dp/B07PSQ56PG/ref=sr_1_1?keywords=Wella+Nutri-Enrich+Wonder+Balm+5.1fl+oz&amp;qid=1695259852&amp;sr=8-1", "https://www.amazon.com/Nutri-Enrich-Wonder-Wella-Unisex/dp/B07PSQ56PG/ref=sr_1_1?keywords=Wella+Nutri-Enrich+Wonder+Balm+5.1fl+oz&amp;qid=1695259852&amp;sr=8-1")</f>
        <v>https://www.amazon.com/Nutri-Enrich-Wonder-Wella-Unisex/dp/B07PSQ56PG/ref=sr_1_1?keywords=Wella+Nutri-Enrich+Wonder+Balm+5.1fl+oz&amp;qid=1695259852&amp;sr=8-1</v>
      </c>
      <c r="F3137" t="s">
        <v>7861</v>
      </c>
      <c r="G3137" t="e">
        <f ca="1">IMAGE("https://richardkroll.com/wp-content/uploads/2022/04/6F694775-24F2-4C02-ADF7-493B7E37AEA7-600x800.png")</f>
        <v>#NAME?</v>
      </c>
      <c r="H3137" t="e">
        <f ca="1">IMAGE("https://m.media-amazon.com/images/I/619RISYc2TL._AC_UL320_.jpg")</f>
        <v>#NAME?</v>
      </c>
      <c r="I3137" t="s">
        <v>7506</v>
      </c>
      <c r="J3137">
        <v>19.010000000000002</v>
      </c>
      <c r="K3137" s="2" t="s">
        <v>7862</v>
      </c>
      <c r="L3137">
        <v>4.4000000000000004</v>
      </c>
      <c r="M3137">
        <v>76</v>
      </c>
      <c r="O3137" t="s">
        <v>26</v>
      </c>
      <c r="P3137" t="s">
        <v>39</v>
      </c>
      <c r="Q3137" t="s">
        <v>39</v>
      </c>
    </row>
    <row r="3138" spans="1:17" ht="15.75" x14ac:dyDescent="0.25">
      <c r="A3138" s="3" t="str">
        <f>HYPERLINK("https://richardkroll.com/product/keune-color-brillianz-shampoo-300ml/", "https://richardkroll.com/product/keune-color-brillianz-shampoo-300ml/")</f>
        <v>https://richardkroll.com/product/keune-color-brillianz-shampoo-300ml/</v>
      </c>
      <c r="B3138" s="3" t="str">
        <f>HYPERLINK("https://richardkroll.com/product/keune-color-brillianz-shampoo-300ml/", "https://richardkroll.com/product/keune-color-brillianz-shampoo-300ml/")</f>
        <v>https://richardkroll.com/product/keune-color-brillianz-shampoo-300ml/</v>
      </c>
      <c r="C3138" t="s">
        <v>7863</v>
      </c>
      <c r="D3138" t="s">
        <v>7864</v>
      </c>
      <c r="E3138" s="3" t="str">
        <f>HYPERLINK("https://www.amazon.com/KEUNE-CARE-Keratin-Smoothing-Conditioner/dp/B01MXYYRDE/ref=sr_1_1?keywords=Keune+Color+Brillianz+Shampoo+300ml&amp;qid=1695259822&amp;sr=8-1", "https://www.amazon.com/KEUNE-CARE-Keratin-Smoothing-Conditioner/dp/B01MXYYRDE/ref=sr_1_1?keywords=Keune+Color+Brillianz+Shampoo+300ml&amp;qid=1695259822&amp;sr=8-1")</f>
        <v>https://www.amazon.com/KEUNE-CARE-Keratin-Smoothing-Conditioner/dp/B01MXYYRDE/ref=sr_1_1?keywords=Keune+Color+Brillianz+Shampoo+300ml&amp;qid=1695259822&amp;sr=8-1</v>
      </c>
      <c r="F3138" t="s">
        <v>7865</v>
      </c>
      <c r="G3138" t="e">
        <f ca="1">IMAGE("https://richardkroll.com/wp-content/uploads/2021/09/keune-care-color-brazillianz-shampoo-600x800.webp")</f>
        <v>#NAME?</v>
      </c>
      <c r="H3138" t="e">
        <f ca="1">IMAGE("https://m.media-amazon.com/images/I/51Fgy17Z36L._AC_UL320_.jpg")</f>
        <v>#NAME?</v>
      </c>
      <c r="I3138" t="s">
        <v>748</v>
      </c>
      <c r="J3138">
        <v>27</v>
      </c>
      <c r="K3138" s="2" t="s">
        <v>3459</v>
      </c>
      <c r="L3138">
        <v>4.7</v>
      </c>
      <c r="M3138">
        <v>483</v>
      </c>
      <c r="O3138" t="s">
        <v>26</v>
      </c>
      <c r="P3138" t="s">
        <v>39</v>
      </c>
      <c r="Q3138" t="s">
        <v>39</v>
      </c>
    </row>
    <row r="3139" spans="1:17" ht="15.75" x14ac:dyDescent="0.25">
      <c r="A3139" s="3" t="str">
        <f>HYPERLINK("https://richardkroll.com/product/sebastian-shine-define-200ml/", "https://richardkroll.com/product/sebastian-shine-define-200ml/")</f>
        <v>https://richardkroll.com/product/sebastian-shine-define-200ml/</v>
      </c>
      <c r="B3139" s="3" t="str">
        <f>HYPERLINK("https://richardkroll.com/product/sebastian-shine-define-200ml/", "https://richardkroll.com/product/sebastian-shine-define-200ml/")</f>
        <v>https://richardkroll.com/product/sebastian-shine-define-200ml/</v>
      </c>
      <c r="C3139" t="s">
        <v>7866</v>
      </c>
      <c r="D3139" t="s">
        <v>7867</v>
      </c>
      <c r="E3139" s="3" t="str">
        <f>HYPERLINK("https://www.amazon.com/Sebastian-Shine-Define-Hairspray-6-8/dp/B001PRSFZ4/ref=sr_1_2?keywords=Sebastian+Shine+Define+200ml&amp;qid=1695259843&amp;sr=8-2", "https://www.amazon.com/Sebastian-Shine-Define-Hairspray-6-8/dp/B001PRSFZ4/ref=sr_1_2?keywords=Sebastian+Shine+Define+200ml&amp;qid=1695259843&amp;sr=8-2")</f>
        <v>https://www.amazon.com/Sebastian-Shine-Define-Hairspray-6-8/dp/B001PRSFZ4/ref=sr_1_2?keywords=Sebastian+Shine+Define+200ml&amp;qid=1695259843&amp;sr=8-2</v>
      </c>
      <c r="F3139" t="s">
        <v>7868</v>
      </c>
      <c r="G3139" t="e">
        <f ca="1">IMAGE("https://richardkroll.com/wp-content/uploads/2021/09/Sebastian-Shine-Define-200ml-600x800.png")</f>
        <v>#NAME?</v>
      </c>
      <c r="H3139" t="e">
        <f ca="1">IMAGE("https://m.media-amazon.com/images/I/61dsxFQfH9L._AC_UL320_.jpg")</f>
        <v>#NAME?</v>
      </c>
      <c r="I3139" t="s">
        <v>3680</v>
      </c>
      <c r="J3139">
        <v>20</v>
      </c>
      <c r="K3139" s="2" t="s">
        <v>3459</v>
      </c>
      <c r="L3139">
        <v>4.5</v>
      </c>
      <c r="M3139">
        <v>685</v>
      </c>
      <c r="O3139" t="s">
        <v>26</v>
      </c>
      <c r="P3139" t="s">
        <v>39</v>
      </c>
      <c r="Q3139" t="s">
        <v>39</v>
      </c>
    </row>
    <row r="3140" spans="1:17" ht="15.75" x14ac:dyDescent="0.25">
      <c r="A3140" s="3" t="str">
        <f>HYPERLINK("https://richardkroll.com/product/nioxin-thickening-spray-gel/", "https://richardkroll.com/product/nioxin-thickening-spray-gel/")</f>
        <v>https://richardkroll.com/product/nioxin-thickening-spray-gel/</v>
      </c>
      <c r="B3140" s="3" t="str">
        <f>HYPERLINK("https://richardkroll.com/product/nioxin-thickening-spray-gel/", "https://richardkroll.com/product/nioxin-thickening-spray-gel/")</f>
        <v>https://richardkroll.com/product/nioxin-thickening-spray-gel/</v>
      </c>
      <c r="C3140" t="s">
        <v>7638</v>
      </c>
      <c r="D3140" t="s">
        <v>7869</v>
      </c>
      <c r="E3140" s="3" t="str">
        <f>HYPERLINK("https://www.amazon.com/AQUAGE-Thickening-Spraygel-8-oz/dp/B07NXTBPQ3/ref=sr_1_6?keywords=Nioxin+Thickening+Spray+Gel&amp;qid=1695259834&amp;sr=8-6", "https://www.amazon.com/AQUAGE-Thickening-Spraygel-8-oz/dp/B07NXTBPQ3/ref=sr_1_6?keywords=Nioxin+Thickening+Spray+Gel&amp;qid=1695259834&amp;sr=8-6")</f>
        <v>https://www.amazon.com/AQUAGE-Thickening-Spraygel-8-oz/dp/B07NXTBPQ3/ref=sr_1_6?keywords=Nioxin+Thickening+Spray+Gel&amp;qid=1695259834&amp;sr=8-6</v>
      </c>
      <c r="F3140" t="s">
        <v>7870</v>
      </c>
      <c r="G3140" t="e">
        <f ca="1">IMAGE("https://richardkroll.com/wp-content/uploads/2016/08/Nioxin-Spray-Gel-600x800.jpg")</f>
        <v>#NAME?</v>
      </c>
      <c r="H3140" t="e">
        <f ca="1">IMAGE("https://m.media-amazon.com/images/I/61X53In4NkL._AC_UL320_.jpg")</f>
        <v>#NAME?</v>
      </c>
      <c r="I3140" t="s">
        <v>3319</v>
      </c>
      <c r="J3140">
        <v>22</v>
      </c>
      <c r="K3140" s="2" t="s">
        <v>3459</v>
      </c>
      <c r="L3140">
        <v>4.5</v>
      </c>
      <c r="M3140">
        <v>1259</v>
      </c>
      <c r="O3140" t="s">
        <v>26</v>
      </c>
      <c r="P3140" t="s">
        <v>39</v>
      </c>
      <c r="Q3140" t="s">
        <v>7642</v>
      </c>
    </row>
    <row r="3141" spans="1:17" ht="15.75" x14ac:dyDescent="0.25">
      <c r="A3141" s="3" t="str">
        <f>HYPERLINK("https://richardkroll.com/product/sebastian-dark-oil-silkening-mist-4-5oz/", "https://richardkroll.com/product/sebastian-dark-oil-silkening-mist-4-5oz/")</f>
        <v>https://richardkroll.com/product/sebastian-dark-oil-silkening-mist-4-5oz/</v>
      </c>
      <c r="B3141" s="3" t="str">
        <f>HYPERLINK("https://richardkroll.com/product/sebastian-dark-oil-silkening-mist-4-5oz/", "https://richardkroll.com/product/sebastian-dark-oil-silkening-mist-4-5oz/")</f>
        <v>https://richardkroll.com/product/sebastian-dark-oil-silkening-mist-4-5oz/</v>
      </c>
      <c r="C3141" t="s">
        <v>7871</v>
      </c>
      <c r="D3141" t="s">
        <v>7872</v>
      </c>
      <c r="E3141" s="3" t="str">
        <f>HYPERLINK("https://www.amazon.com/Sebastian-Silkening-Fragrant-Jojoba-Argan/dp/B07T9KT5B5/ref=sr_1_1?keywords=Sebastian+Dark+Oil+Silkening+Mist+4.5oz&amp;qid=1695259852&amp;sr=8-1", "https://www.amazon.com/Sebastian-Silkening-Fragrant-Jojoba-Argan/dp/B07T9KT5B5/ref=sr_1_1?keywords=Sebastian+Dark+Oil+Silkening+Mist+4.5oz&amp;qid=1695259852&amp;sr=8-1")</f>
        <v>https://www.amazon.com/Sebastian-Silkening-Fragrant-Jojoba-Argan/dp/B07T9KT5B5/ref=sr_1_1?keywords=Sebastian+Dark+Oil+Silkening+Mist+4.5oz&amp;qid=1695259852&amp;sr=8-1</v>
      </c>
      <c r="F3141" t="s">
        <v>7873</v>
      </c>
      <c r="G3141" t="e">
        <f ca="1">IMAGE("https://richardkroll.com/wp-content/uploads/2021/08/Dark-Oil-Mist-600x800.jpg")</f>
        <v>#NAME?</v>
      </c>
      <c r="H3141" t="e">
        <f ca="1">IMAGE("https://m.media-amazon.com/images/I/71CeZ42eKBL._AC_UL320_.jpg")</f>
        <v>#NAME?</v>
      </c>
      <c r="I3141" t="s">
        <v>3319</v>
      </c>
      <c r="J3141">
        <v>21</v>
      </c>
      <c r="K3141" s="2" t="s">
        <v>7874</v>
      </c>
      <c r="L3141">
        <v>4.5</v>
      </c>
      <c r="M3141">
        <v>307</v>
      </c>
      <c r="O3141" t="s">
        <v>26</v>
      </c>
      <c r="P3141" t="s">
        <v>39</v>
      </c>
      <c r="Q3141" t="s">
        <v>39</v>
      </c>
    </row>
    <row r="3142" spans="1:17" ht="15.75" x14ac:dyDescent="0.25">
      <c r="A3142" s="3" t="str">
        <f>HYPERLINK("https://richardkroll.com/product/nioxin-thickening-spray-gel/", "https://richardkroll.com/product/nioxin-thickening-spray-gel/")</f>
        <v>https://richardkroll.com/product/nioxin-thickening-spray-gel/</v>
      </c>
      <c r="B3142" s="3" t="str">
        <f>HYPERLINK("https://richardkroll.com/product/nioxin-thickening-spray-gel/", "https://richardkroll.com/product/nioxin-thickening-spray-gel/")</f>
        <v>https://richardkroll.com/product/nioxin-thickening-spray-gel/</v>
      </c>
      <c r="C3142" t="s">
        <v>7638</v>
      </c>
      <c r="D3142" t="s">
        <v>7875</v>
      </c>
      <c r="E3142" s="3" t="str">
        <f>HYPERLINK("https://www.amazon.com/Nioxin-Styling-Thickening-Spray-5-1/dp/B015NKDPXA/ref=sr_1_1?keywords=Nioxin+Thickening+Spray+Gel&amp;qid=1695259834&amp;sr=8-1", "https://www.amazon.com/Nioxin-Styling-Thickening-Spray-5-1/dp/B015NKDPXA/ref=sr_1_1?keywords=Nioxin+Thickening+Spray+Gel&amp;qid=1695259834&amp;sr=8-1")</f>
        <v>https://www.amazon.com/Nioxin-Styling-Thickening-Spray-5-1/dp/B015NKDPXA/ref=sr_1_1?keywords=Nioxin+Thickening+Spray+Gel&amp;qid=1695259834&amp;sr=8-1</v>
      </c>
      <c r="F3142" t="s">
        <v>7876</v>
      </c>
      <c r="G3142" t="e">
        <f ca="1">IMAGE("https://richardkroll.com/wp-content/uploads/2016/08/Nioxin-Spray-Gel-600x800.jpg")</f>
        <v>#NAME?</v>
      </c>
      <c r="H3142" t="e">
        <f ca="1">IMAGE("https://m.media-amazon.com/images/I/61JMH9HNscL._AC_UL320_.jpg")</f>
        <v>#NAME?</v>
      </c>
      <c r="I3142" t="s">
        <v>3319</v>
      </c>
      <c r="J3142">
        <v>21</v>
      </c>
      <c r="K3142" s="2" t="s">
        <v>7874</v>
      </c>
      <c r="L3142">
        <v>4.3</v>
      </c>
      <c r="M3142">
        <v>4852</v>
      </c>
      <c r="O3142" t="s">
        <v>26</v>
      </c>
      <c r="P3142" t="s">
        <v>39</v>
      </c>
      <c r="Q3142" t="s">
        <v>7642</v>
      </c>
    </row>
    <row r="3143" spans="1:17" ht="15.75" x14ac:dyDescent="0.25">
      <c r="A3143" s="3" t="str">
        <f>HYPERLINK("https://richardkroll.com/product/nioxin-thickening-spray-gel/", "https://richardkroll.com/product/nioxin-thickening-spray-gel/")</f>
        <v>https://richardkroll.com/product/nioxin-thickening-spray-gel/</v>
      </c>
      <c r="B3143" s="3" t="str">
        <f>HYPERLINK("https://richardkroll.com/product/nioxin-thickening-spray-gel/", "https://richardkroll.com/product/nioxin-thickening-spray-gel/")</f>
        <v>https://richardkroll.com/product/nioxin-thickening-spray-gel/</v>
      </c>
      <c r="C3143" t="s">
        <v>7638</v>
      </c>
      <c r="D3143" t="s">
        <v>7877</v>
      </c>
      <c r="E3143" s="3" t="str">
        <f>HYPERLINK("https://www.amazon.com/Nioxin-Thickening-Pro-Thick-Unisex-5-13/dp/B00DP3DJX4/ref=sr_1_3?keywords=Nioxin+Thickening+Spray+Gel&amp;qid=1695259834&amp;sr=8-3", "https://www.amazon.com/Nioxin-Thickening-Pro-Thick-Unisex-5-13/dp/B00DP3DJX4/ref=sr_1_3?keywords=Nioxin+Thickening+Spray+Gel&amp;qid=1695259834&amp;sr=8-3")</f>
        <v>https://www.amazon.com/Nioxin-Thickening-Pro-Thick-Unisex-5-13/dp/B00DP3DJX4/ref=sr_1_3?keywords=Nioxin+Thickening+Spray+Gel&amp;qid=1695259834&amp;sr=8-3</v>
      </c>
      <c r="F3143" t="s">
        <v>7878</v>
      </c>
      <c r="G3143" t="e">
        <f ca="1">IMAGE("https://richardkroll.com/wp-content/uploads/2016/08/Nioxin-Spray-Gel-600x800.jpg")</f>
        <v>#NAME?</v>
      </c>
      <c r="H3143" t="e">
        <f ca="1">IMAGE("https://m.media-amazon.com/images/I/61F5worNcDL._AC_UL320_.jpg")</f>
        <v>#NAME?</v>
      </c>
      <c r="I3143" t="s">
        <v>3319</v>
      </c>
      <c r="J3143">
        <v>21</v>
      </c>
      <c r="K3143" s="2" t="s">
        <v>7874</v>
      </c>
      <c r="L3143">
        <v>4.4000000000000004</v>
      </c>
      <c r="M3143">
        <v>3717</v>
      </c>
      <c r="O3143" t="s">
        <v>26</v>
      </c>
      <c r="P3143" t="s">
        <v>39</v>
      </c>
      <c r="Q3143" t="s">
        <v>7642</v>
      </c>
    </row>
    <row r="3144" spans="1:17" ht="15.75" x14ac:dyDescent="0.25">
      <c r="A3144" s="3" t="str">
        <f>HYPERLINK("https://richardkroll.com/product/sebastian-dark-oil-conditioner-250ml/", "https://richardkroll.com/product/sebastian-dark-oil-conditioner-250ml/")</f>
        <v>https://richardkroll.com/product/sebastian-dark-oil-conditioner-250ml/</v>
      </c>
      <c r="B3144" s="3" t="str">
        <f>HYPERLINK("https://richardkroll.com/product/sebastian-dark-oil-conditioner-250ml/", "https://richardkroll.com/product/sebastian-dark-oil-conditioner-250ml/")</f>
        <v>https://richardkroll.com/product/sebastian-dark-oil-conditioner-250ml/</v>
      </c>
      <c r="C3144" t="s">
        <v>7528</v>
      </c>
      <c r="D3144" t="s">
        <v>7731</v>
      </c>
      <c r="E3144" s="3" t="str">
        <f>HYPERLINK("https://www.amazon.com/Dark-Lightweight-Conditioner-Jojoba-Argan/dp/B07T8G5RV5/ref=sr_1_2?keywords=Sebastian+Dark+Oil+Conditioner+250ml&amp;qid=1695259838&amp;sr=8-2", "https://www.amazon.com/Dark-Lightweight-Conditioner-Jojoba-Argan/dp/B07T8G5RV5/ref=sr_1_2?keywords=Sebastian+Dark+Oil+Conditioner+250ml&amp;qid=1695259838&amp;sr=8-2")</f>
        <v>https://www.amazon.com/Dark-Lightweight-Conditioner-Jojoba-Argan/dp/B07T8G5RV5/ref=sr_1_2?keywords=Sebastian+Dark+Oil+Conditioner+250ml&amp;qid=1695259838&amp;sr=8-2</v>
      </c>
      <c r="F3144" t="s">
        <v>7732</v>
      </c>
      <c r="G3144" t="e">
        <f ca="1">IMAGE("https://richardkroll.com/wp-content/uploads/2022/04/Dark-Oil-Conditioner-600x800.jpg")</f>
        <v>#NAME?</v>
      </c>
      <c r="H3144" t="e">
        <f ca="1">IMAGE("https://m.media-amazon.com/images/I/71wGdvaJ9NL._AC_UL320_.jpg")</f>
        <v>#NAME?</v>
      </c>
      <c r="I3144" t="s">
        <v>3319</v>
      </c>
      <c r="J3144">
        <v>21</v>
      </c>
      <c r="K3144" s="2" t="s">
        <v>7874</v>
      </c>
      <c r="L3144">
        <v>4.8</v>
      </c>
      <c r="M3144">
        <v>755</v>
      </c>
      <c r="O3144" t="s">
        <v>26</v>
      </c>
      <c r="P3144" t="s">
        <v>39</v>
      </c>
      <c r="Q3144" t="s">
        <v>39</v>
      </c>
    </row>
    <row r="3145" spans="1:17" ht="15.75" x14ac:dyDescent="0.25">
      <c r="A3145" s="3" t="str">
        <f>HYPERLINK("https://richardkroll.com/product/sebastian-penetraitt-repair-masque/", "https://richardkroll.com/product/sebastian-penetraitt-repair-masque/")</f>
        <v>https://richardkroll.com/product/sebastian-penetraitt-repair-masque/</v>
      </c>
      <c r="B3145" s="3" t="str">
        <f>HYPERLINK("https://richardkroll.com/product/sebastian-penetraitt-repair-masque/", "https://richardkroll.com/product/sebastian-penetraitt-repair-masque/")</f>
        <v>https://richardkroll.com/product/sebastian-penetraitt-repair-masque/</v>
      </c>
      <c r="C3145" t="s">
        <v>7553</v>
      </c>
      <c r="D3145" t="s">
        <v>7618</v>
      </c>
      <c r="E3145" s="3" t="str">
        <f>HYPERLINK("https://www.amazon.com/Sebastian-Penetraitt-Stengthening-Repair-Conditioner-8-4/dp/B07X2W5GG1/ref=sr_1_3?keywords=Sebastian+Penetraitt+Repair+Masque&amp;qid=1695259857&amp;sr=8-3", "https://www.amazon.com/Sebastian-Penetraitt-Stengthening-Repair-Conditioner-8-4/dp/B07X2W5GG1/ref=sr_1_3?keywords=Sebastian+Penetraitt+Repair+Masque&amp;qid=1695259857&amp;sr=8-3")</f>
        <v>https://www.amazon.com/Sebastian-Penetraitt-Stengthening-Repair-Conditioner-8-4/dp/B07X2W5GG1/ref=sr_1_3?keywords=Sebastian+Penetraitt+Repair+Masque&amp;qid=1695259857&amp;sr=8-3</v>
      </c>
      <c r="F3145" t="s">
        <v>7879</v>
      </c>
      <c r="G3145" t="e">
        <f ca="1">IMAGE("https://richardkroll.com/wp-content/uploads/2016/08/Penetraitt-Masque-600x800.jpg")</f>
        <v>#NAME?</v>
      </c>
      <c r="H3145" t="e">
        <f ca="1">IMAGE("https://m.media-amazon.com/images/I/51ytV9tsWdL._AC_UL320_.jpg")</f>
        <v>#NAME?</v>
      </c>
      <c r="I3145" t="s">
        <v>3680</v>
      </c>
      <c r="J3145">
        <v>19</v>
      </c>
      <c r="K3145" s="2" t="s">
        <v>7880</v>
      </c>
      <c r="L3145">
        <v>4.8</v>
      </c>
      <c r="M3145">
        <v>1279</v>
      </c>
      <c r="O3145" t="s">
        <v>26</v>
      </c>
      <c r="P3145" t="s">
        <v>39</v>
      </c>
      <c r="Q3145" t="s">
        <v>7557</v>
      </c>
    </row>
    <row r="3146" spans="1:17" ht="15.75" x14ac:dyDescent="0.25">
      <c r="A3146" s="3" t="str">
        <f>HYPERLINK("https://richardkroll.com/product/sebastian-penetraitt-shampoo-250ml/", "https://richardkroll.com/product/sebastian-penetraitt-shampoo-250ml/")</f>
        <v>https://richardkroll.com/product/sebastian-penetraitt-shampoo-250ml/</v>
      </c>
      <c r="B3146" s="3" t="str">
        <f>HYPERLINK("https://richardkroll.com/product/sebastian-penetraitt-shampoo-250ml/", "https://richardkroll.com/product/sebastian-penetraitt-shampoo-250ml/")</f>
        <v>https://richardkroll.com/product/sebastian-penetraitt-shampoo-250ml/</v>
      </c>
      <c r="C3146" t="s">
        <v>7523</v>
      </c>
      <c r="D3146" t="s">
        <v>7881</v>
      </c>
      <c r="E3146" s="3" t="str">
        <f>HYPERLINK("https://www.amazon.com/Sebastian-Penetraitt-Shampoo-8-4-Oz/dp/B0034EA60I/ref=sr_1_3?keywords=Sebastian+Penetraitt+Shampoo+250ml&amp;qid=1695259846&amp;sr=8-3", "https://www.amazon.com/Sebastian-Penetraitt-Shampoo-8-4-Oz/dp/B0034EA60I/ref=sr_1_3?keywords=Sebastian+Penetraitt+Shampoo+250ml&amp;qid=1695259846&amp;sr=8-3")</f>
        <v>https://www.amazon.com/Sebastian-Penetraitt-Shampoo-8-4-Oz/dp/B0034EA60I/ref=sr_1_3?keywords=Sebastian+Penetraitt+Shampoo+250ml&amp;qid=1695259846&amp;sr=8-3</v>
      </c>
      <c r="F3146" t="s">
        <v>7882</v>
      </c>
      <c r="G3146" t="e">
        <f ca="1">IMAGE("https://richardkroll.com/wp-content/uploads/2016/08/sebastian-penetraitt-250g-600x800.jpg")</f>
        <v>#NAME?</v>
      </c>
      <c r="H3146" t="e">
        <f ca="1">IMAGE("https://m.media-amazon.com/images/I/61qjRPtbpLL._AC_UL320_.jpg")</f>
        <v>#NAME?</v>
      </c>
      <c r="I3146" t="s">
        <v>7526</v>
      </c>
      <c r="J3146">
        <v>18</v>
      </c>
      <c r="K3146" s="2" t="s">
        <v>7883</v>
      </c>
      <c r="L3146">
        <v>4.7</v>
      </c>
      <c r="M3146">
        <v>849</v>
      </c>
      <c r="O3146" t="s">
        <v>26</v>
      </c>
      <c r="P3146" t="s">
        <v>39</v>
      </c>
      <c r="Q3146" t="s">
        <v>39</v>
      </c>
    </row>
    <row r="3147" spans="1:17" ht="15.75" x14ac:dyDescent="0.25">
      <c r="A3147" s="3" t="str">
        <f>HYPERLINK("https://richardkroll.com/product/all-nutrient-volumize-conditioner-raspbody/", "https://richardkroll.com/product/all-nutrient-volumize-conditioner-raspbody/")</f>
        <v>https://richardkroll.com/product/all-nutrient-volumize-conditioner-raspbody/</v>
      </c>
      <c r="B3147" s="3" t="str">
        <f>HYPERLINK("https://richardkroll.com/product/all-nutrient-volumize-conditioner-raspbody/", "https://richardkroll.com/product/all-nutrient-volumize-conditioner-raspbody/")</f>
        <v>https://richardkroll.com/product/all-nutrient-volumize-conditioner-raspbody/</v>
      </c>
      <c r="C3147" t="s">
        <v>7538</v>
      </c>
      <c r="D3147" t="s">
        <v>7884</v>
      </c>
      <c r="E3147" s="3" t="str">
        <f>HYPERLINK("https://www.amazon.com/All-Nutrient-Conditioner-replenishes-moisture/dp/B08B5J6RFK/ref=sr_1_5?keywords=All+Nutrient+Volumize+Conditioner&amp;qid=1695259821&amp;sr=8-5", "https://www.amazon.com/All-Nutrient-Conditioner-replenishes-moisture/dp/B08B5J6RFK/ref=sr_1_5?keywords=All+Nutrient+Volumize+Conditioner&amp;qid=1695259821&amp;sr=8-5")</f>
        <v>https://www.amazon.com/All-Nutrient-Conditioner-replenishes-moisture/dp/B08B5J6RFK/ref=sr_1_5?keywords=All+Nutrient+Volumize+Conditioner&amp;qid=1695259821&amp;sr=8-5</v>
      </c>
      <c r="F3147" t="s">
        <v>7885</v>
      </c>
      <c r="G3147" t="e">
        <f ca="1">IMAGE("https://richardkroll.com/wp-content/uploads/2016/08/Volumize-Conditioner-600x800.jpg")</f>
        <v>#NAME?</v>
      </c>
      <c r="H3147" t="e">
        <f ca="1">IMAGE("https://m.media-amazon.com/images/I/71+xZMOB+8L._AC_UL320_.jpg")</f>
        <v>#NAME?</v>
      </c>
      <c r="I3147" t="s">
        <v>394</v>
      </c>
      <c r="J3147">
        <v>13.99</v>
      </c>
      <c r="K3147" s="2" t="s">
        <v>7886</v>
      </c>
      <c r="L3147">
        <v>4.4000000000000004</v>
      </c>
      <c r="M3147">
        <v>85</v>
      </c>
      <c r="O3147" t="s">
        <v>26</v>
      </c>
      <c r="P3147" t="s">
        <v>39</v>
      </c>
      <c r="Q3147" t="s">
        <v>7542</v>
      </c>
    </row>
    <row r="3148" spans="1:17" ht="15.75" x14ac:dyDescent="0.25">
      <c r="A3148" s="3" t="str">
        <f>HYPERLINK("https://richardkroll.com/product/wella-elements-shampoo-250ml/", "https://richardkroll.com/product/wella-elements-shampoo-250ml/")</f>
        <v>https://richardkroll.com/product/wella-elements-shampoo-250ml/</v>
      </c>
      <c r="B3148" s="3" t="str">
        <f>HYPERLINK("https://richardkroll.com/product/wella-elements-shampoo-250ml/", "https://richardkroll.com/product/wella-elements-shampoo-250ml/")</f>
        <v>https://richardkroll.com/product/wella-elements-shampoo-250ml/</v>
      </c>
      <c r="C3148" t="s">
        <v>7498</v>
      </c>
      <c r="D3148" t="s">
        <v>7887</v>
      </c>
      <c r="E3148" s="3" t="str">
        <f>HYPERLINK("https://www.amazon.com/Professional-Wella-Elements-Calming-Shampoo/dp/B094GLDQVL/ref=sr_1_2?keywords=Wella+Elements+Shampoo+250ml&amp;qid=1695259844&amp;sr=8-2", "https://www.amazon.com/Professional-Wella-Elements-Calming-Shampoo/dp/B094GLDQVL/ref=sr_1_2?keywords=Wella+Elements+Shampoo+250ml&amp;qid=1695259844&amp;sr=8-2")</f>
        <v>https://www.amazon.com/Professional-Wella-Elements-Calming-Shampoo/dp/B094GLDQVL/ref=sr_1_2?keywords=Wella+Elements+Shampoo+250ml&amp;qid=1695259844&amp;sr=8-2</v>
      </c>
      <c r="F3148" t="s">
        <v>7888</v>
      </c>
      <c r="G3148" t="e">
        <f ca="1">IMAGE("https://richardkroll.com/wp-content/uploads/2022/04/62D6864A-36A5-4B22-9191-42BD61F06642-600x800.png")</f>
        <v>#NAME?</v>
      </c>
      <c r="H3148" t="e">
        <f ca="1">IMAGE("https://m.media-amazon.com/images/I/41S2CNe1D5S._AC_UL320_.jpg")</f>
        <v>#NAME?</v>
      </c>
      <c r="I3148" t="s">
        <v>7501</v>
      </c>
      <c r="J3148">
        <v>15.99</v>
      </c>
      <c r="K3148" s="2" t="s">
        <v>7889</v>
      </c>
      <c r="L3148">
        <v>4.4000000000000004</v>
      </c>
      <c r="M3148">
        <v>12</v>
      </c>
      <c r="O3148" t="s">
        <v>26</v>
      </c>
      <c r="P3148" t="s">
        <v>39</v>
      </c>
      <c r="Q3148" t="s">
        <v>39</v>
      </c>
    </row>
    <row r="3149" spans="1:17" ht="15.75" x14ac:dyDescent="0.25">
      <c r="A3149" s="3" t="str">
        <f>HYPERLINK("https://richardkroll.com/product/all-nutrient-proteinizer/", "https://richardkroll.com/product/all-nutrient-proteinizer/")</f>
        <v>https://richardkroll.com/product/all-nutrient-proteinizer/</v>
      </c>
      <c r="B3149" s="3" t="str">
        <f>HYPERLINK("https://richardkroll.com/product/all-nutrient-proteinizer/", "https://richardkroll.com/product/all-nutrient-proteinizer/")</f>
        <v>https://richardkroll.com/product/all-nutrient-proteinizer/</v>
      </c>
      <c r="C3149" t="s">
        <v>7890</v>
      </c>
      <c r="D3149" t="s">
        <v>7891</v>
      </c>
      <c r="E3149" s="3" t="str">
        <f>HYPERLINK("https://www.amazon.com/All-Nutrient-Proteinizer-Reconstructor-Conditioner-Protection/dp/B08B5H2PFD/ref=sr_1_1?keywords=All-Nutrient+Hair+Proteinizer+Leave-in+Reconstructor+8.4oz&amp;qid=1695259821&amp;sr=8-1", "https://www.amazon.com/All-Nutrient-Proteinizer-Reconstructor-Conditioner-Protection/dp/B08B5H2PFD/ref=sr_1_1?keywords=All-Nutrient+Hair+Proteinizer+Leave-in+Reconstructor+8.4oz&amp;qid=1695259821&amp;sr=8-1")</f>
        <v>https://www.amazon.com/All-Nutrient-Proteinizer-Reconstructor-Conditioner-Protection/dp/B08B5H2PFD/ref=sr_1_1?keywords=All-Nutrient+Hair+Proteinizer+Leave-in+Reconstructor+8.4oz&amp;qid=1695259821&amp;sr=8-1</v>
      </c>
      <c r="F3149" t="s">
        <v>7892</v>
      </c>
      <c r="G3149" t="e">
        <f ca="1">IMAGE("https://richardkroll.com/wp-content/uploads/2021/09/all-nutrient-hair-protienizer-leave-in-reconstructor-600x800.webp")</f>
        <v>#NAME?</v>
      </c>
      <c r="H3149" t="e">
        <f ca="1">IMAGE("https://m.media-amazon.com/images/I/71otUVe5NcL._AC_UL320_.jpg")</f>
        <v>#NAME?</v>
      </c>
      <c r="I3149" t="s">
        <v>394</v>
      </c>
      <c r="J3149">
        <v>7.99</v>
      </c>
      <c r="K3149" s="2" t="s">
        <v>3720</v>
      </c>
      <c r="L3149">
        <v>4.7</v>
      </c>
      <c r="M3149">
        <v>7</v>
      </c>
      <c r="O3149" t="s">
        <v>26</v>
      </c>
      <c r="P3149" t="s">
        <v>39</v>
      </c>
      <c r="Q3149" t="s">
        <v>39</v>
      </c>
    </row>
    <row r="3150" spans="1:17" ht="15.75" x14ac:dyDescent="0.25">
      <c r="A3150" s="3" t="str">
        <f>HYPERLINK("https://shop.onetouch.com/onetouch-ultra-plus-flex-sup-trade-sup-meter/product/OTSUS05_0021", "https://shop.onetouch.com/onetouch-ultra-plus-flex-sup-trade-sup-meter/product/OTSUS05_0021")</f>
        <v>https://shop.onetouch.com/onetouch-ultra-plus-flex-sup-trade-sup-meter/product/OTSUS05_0021</v>
      </c>
      <c r="B3150" s="3" t="str">
        <f>HYPERLINK("https://shop.onetouch.com/onetouch-ultra-plus-flex-sup-trade-sup-meter/product/OTSUS05_0021", "https://shop.onetouch.com/onetouch-ultra-plus-flex-sup-trade-sup-meter/product/OTSUS05_0021")</f>
        <v>https://shop.onetouch.com/onetouch-ultra-plus-flex-sup-trade-sup-meter/product/OTSUS05_0021</v>
      </c>
      <c r="C3150" t="s">
        <v>7893</v>
      </c>
      <c r="D3150" t="s">
        <v>7894</v>
      </c>
      <c r="E3150" s="3" t="str">
        <f>HYPERLINK("https://www.amazon.com/OneTouch-Diabetes-Testing-Diabetic-Carrying/dp/B0BGQRD5QM/ref=sr_1_1?keywords=OneTouch+Ultra+Plus+Flex%E2%84%A2+meter&amp;qid=1695259898&amp;sr=8-1", "https://www.amazon.com/OneTouch-Diabetes-Testing-Diabetic-Carrying/dp/B0BGQRD5QM/ref=sr_1_1?keywords=OneTouch+Ultra+Plus+Flex%E2%84%A2+meter&amp;qid=1695259898&amp;sr=8-1")</f>
        <v>https://www.amazon.com/OneTouch-Diabetes-Testing-Diabetic-Carrying/dp/B0BGQRD5QM/ref=sr_1_1?keywords=OneTouch+Ultra+Plus+Flex%E2%84%A2+meter&amp;qid=1695259898&amp;sr=8-1</v>
      </c>
      <c r="F3150" t="s">
        <v>7895</v>
      </c>
      <c r="G3150" t="e">
        <f ca="1">IMAGE("https://shop.onetouch.com/ccstore/v1/images/?source=/file/v4962284518303406455/products/OSFUS-PDP-OTSUS05_0021-01-OTUPFlexMeterBox.jpg&amp;height=475&amp;width=475")</f>
        <v>#NAME?</v>
      </c>
      <c r="H3150" t="e">
        <f ca="1">IMAGE("https://m.media-amazon.com/images/I/81jWuYXtXxL._AC_UL320_.jpg")</f>
        <v>#NAME?</v>
      </c>
      <c r="I3150" t="s">
        <v>3319</v>
      </c>
      <c r="J3150">
        <v>49.99</v>
      </c>
      <c r="K3150" s="2" t="s">
        <v>7896</v>
      </c>
      <c r="L3150">
        <v>4.3</v>
      </c>
      <c r="M3150">
        <v>86</v>
      </c>
      <c r="O3150" t="s">
        <v>26</v>
      </c>
      <c r="P3150" t="s">
        <v>39</v>
      </c>
      <c r="Q3150" t="s">
        <v>7897</v>
      </c>
    </row>
    <row r="3151" spans="1:17" ht="15.75" x14ac:dyDescent="0.25">
      <c r="A3151" s="3" t="str">
        <f>HYPERLINK("https://shop.onetouch.com/onetouch-ultra-plus-flex-sup-trade-sup-meter/product/OTSUS05_0021", "https://shop.onetouch.com/onetouch-ultra-plus-flex-sup-trade-sup-meter/product/OTSUS05_0021")</f>
        <v>https://shop.onetouch.com/onetouch-ultra-plus-flex-sup-trade-sup-meter/product/OTSUS05_0021</v>
      </c>
      <c r="B3151" s="3" t="str">
        <f>HYPERLINK("https://shop.onetouch.com/onetouch-ultra-plus-flex-sup-trade-sup-meter/product/OTSUS05_0021", "https://shop.onetouch.com/onetouch-ultra-plus-flex-sup-trade-sup-meter/product/OTSUS05_0021")</f>
        <v>https://shop.onetouch.com/onetouch-ultra-plus-flex-sup-trade-sup-meter/product/OTSUS05_0021</v>
      </c>
      <c r="C3151" t="s">
        <v>7893</v>
      </c>
      <c r="D3151" t="s">
        <v>7898</v>
      </c>
      <c r="E3151" s="3" t="str">
        <f>HYPERLINK("https://www.amazon.com/OneTouch-Ultra-Strips-Diabetes-Value/dp/B0BGQN3SW7/ref=sr_1_3?keywords=OneTouch+Ultra+Plus+Flex%E2%84%A2+meter&amp;qid=1695259898&amp;sr=8-3", "https://www.amazon.com/OneTouch-Ultra-Strips-Diabetes-Value/dp/B0BGQN3SW7/ref=sr_1_3?keywords=OneTouch+Ultra+Plus+Flex%E2%84%A2+meter&amp;qid=1695259898&amp;sr=8-3")</f>
        <v>https://www.amazon.com/OneTouch-Ultra-Strips-Diabetes-Value/dp/B0BGQN3SW7/ref=sr_1_3?keywords=OneTouch+Ultra+Plus+Flex%E2%84%A2+meter&amp;qid=1695259898&amp;sr=8-3</v>
      </c>
      <c r="F3151" t="s">
        <v>7899</v>
      </c>
      <c r="G3151" t="e">
        <f ca="1">IMAGE("https://shop.onetouch.com/ccstore/v1/images/?source=/file/v4962284518303406455/products/OSFUS-PDP-OTSUS05_0021-01-OTUPFlexMeterBox.jpg&amp;height=475&amp;width=475")</f>
        <v>#NAME?</v>
      </c>
      <c r="H3151" t="e">
        <f ca="1">IMAGE("https://m.media-amazon.com/images/I/81dUC6KqpfL._AC_UL320_.jpg")</f>
        <v>#NAME?</v>
      </c>
      <c r="I3151" t="s">
        <v>3319</v>
      </c>
      <c r="J3151">
        <v>28.99</v>
      </c>
      <c r="K3151" s="2" t="s">
        <v>7900</v>
      </c>
      <c r="L3151">
        <v>4.4000000000000004</v>
      </c>
      <c r="M3151">
        <v>178</v>
      </c>
      <c r="O3151" t="s">
        <v>26</v>
      </c>
      <c r="P3151" t="s">
        <v>39</v>
      </c>
      <c r="Q3151" t="s">
        <v>7897</v>
      </c>
    </row>
    <row r="3152" spans="1:17" ht="15.75" x14ac:dyDescent="0.25">
      <c r="A3152" s="3" t="str">
        <f t="shared" ref="A3152:B3154" si="39">HYPERLINK("https://shop.onetouch.com/verio-flex-meter/product/OTSUS05_0004", "https://shop.onetouch.com/verio-flex-meter/product/OTSUS05_0004")</f>
        <v>https://shop.onetouch.com/verio-flex-meter/product/OTSUS05_0004</v>
      </c>
      <c r="B3152" s="3" t="str">
        <f t="shared" si="39"/>
        <v>https://shop.onetouch.com/verio-flex-meter/product/OTSUS05_0004</v>
      </c>
      <c r="C3152" t="s">
        <v>7901</v>
      </c>
      <c r="D3152" t="s">
        <v>7902</v>
      </c>
      <c r="E3152" s="3" t="str">
        <f>HYPERLINK("https://www.amazon.com/OneTouch-Verio-Blood-Glucose-System/dp/B07G1SQ35B/ref=sr_1_3?keywords=OneTouch+Verio+Flex%C2%AE+meter&amp;qid=1695259889&amp;sr=8-3", "https://www.amazon.com/OneTouch-Verio-Blood-Glucose-System/dp/B07G1SQ35B/ref=sr_1_3?keywords=OneTouch+Verio+Flex%C2%AE+meter&amp;qid=1695259889&amp;sr=8-3")</f>
        <v>https://www.amazon.com/OneTouch-Verio-Blood-Glucose-System/dp/B07G1SQ35B/ref=sr_1_3?keywords=OneTouch+Verio+Flex%C2%AE+meter&amp;qid=1695259889&amp;sr=8-3</v>
      </c>
      <c r="F3152" t="s">
        <v>7903</v>
      </c>
      <c r="G3152" t="e">
        <f ca="1">IMAGE("https://shop.onetouch.com/ccstore/v1/images/?source=/file/v6564813239365674658/products/OSFUS-PDP-OTSUS05_0004-03-VerioFlexBox.jpg&amp;height=475&amp;width=475")</f>
        <v>#NAME?</v>
      </c>
      <c r="H3152" t="e">
        <f ca="1">IMAGE("https://m.media-amazon.com/images/I/41n2rzqE+4L._AC_UL320_.jpg")</f>
        <v>#NAME?</v>
      </c>
      <c r="I3152" t="s">
        <v>7551</v>
      </c>
      <c r="J3152">
        <v>30.98</v>
      </c>
      <c r="K3152" s="2" t="s">
        <v>7904</v>
      </c>
      <c r="L3152">
        <v>4.5</v>
      </c>
      <c r="M3152">
        <v>496</v>
      </c>
      <c r="O3152" t="s">
        <v>26</v>
      </c>
      <c r="P3152" t="s">
        <v>39</v>
      </c>
      <c r="Q3152" t="s">
        <v>7905</v>
      </c>
    </row>
    <row r="3153" spans="1:17" ht="15.75" x14ac:dyDescent="0.25">
      <c r="A3153" s="3" t="str">
        <f t="shared" si="39"/>
        <v>https://shop.onetouch.com/verio-flex-meter/product/OTSUS05_0004</v>
      </c>
      <c r="B3153" s="3" t="str">
        <f t="shared" si="39"/>
        <v>https://shop.onetouch.com/verio-flex-meter/product/OTSUS05_0004</v>
      </c>
      <c r="C3153" t="s">
        <v>7901</v>
      </c>
      <c r="D3153" t="s">
        <v>7906</v>
      </c>
      <c r="E3153" s="3" t="str">
        <f>HYPERLINK("https://www.amazon.com/OneTouch-Verio-Reflect-Blood-Glucose/dp/B08FXTPCGG/ref=sr_1_9?keywords=OneTouch+Verio+Flex%C2%AE+meter&amp;qid=1695259889&amp;sr=8-9", "https://www.amazon.com/OneTouch-Verio-Reflect-Blood-Glucose/dp/B08FXTPCGG/ref=sr_1_9?keywords=OneTouch+Verio+Flex%C2%AE+meter&amp;qid=1695259889&amp;sr=8-9")</f>
        <v>https://www.amazon.com/OneTouch-Verio-Reflect-Blood-Glucose/dp/B08FXTPCGG/ref=sr_1_9?keywords=OneTouch+Verio+Flex%C2%AE+meter&amp;qid=1695259889&amp;sr=8-9</v>
      </c>
      <c r="F3153" t="s">
        <v>7907</v>
      </c>
      <c r="G3153" t="e">
        <f ca="1">IMAGE("https://shop.onetouch.com/ccstore/v1/images/?source=/file/v6564813239365674658/products/OSFUS-PDP-OTSUS05_0004-03-VerioFlexBox.jpg&amp;height=475&amp;width=475")</f>
        <v>#NAME?</v>
      </c>
      <c r="H3153" t="e">
        <f ca="1">IMAGE("https://m.media-amazon.com/images/I/71H8gArTZjL._AC_UL320_.jpg")</f>
        <v>#NAME?</v>
      </c>
      <c r="I3153" t="s">
        <v>7551</v>
      </c>
      <c r="J3153">
        <v>29.99</v>
      </c>
      <c r="K3153" s="2" t="s">
        <v>7908</v>
      </c>
      <c r="L3153">
        <v>4.5</v>
      </c>
      <c r="M3153">
        <v>1233</v>
      </c>
      <c r="O3153" t="s">
        <v>26</v>
      </c>
      <c r="P3153" t="s">
        <v>39</v>
      </c>
      <c r="Q3153" t="s">
        <v>7905</v>
      </c>
    </row>
    <row r="3154" spans="1:17" ht="15.75" x14ac:dyDescent="0.25">
      <c r="A3154" s="3" t="str">
        <f t="shared" si="39"/>
        <v>https://shop.onetouch.com/verio-flex-meter/product/OTSUS05_0004</v>
      </c>
      <c r="B3154" s="3" t="str">
        <f t="shared" si="39"/>
        <v>https://shop.onetouch.com/verio-flex-meter/product/OTSUS05_0004</v>
      </c>
      <c r="C3154" t="s">
        <v>7901</v>
      </c>
      <c r="D3154" t="s">
        <v>7909</v>
      </c>
      <c r="E3154" s="3" t="str">
        <f>HYPERLINK("https://www.amazon.com/ONETOUCH-OneTouch-Verio-Flex-Meter/dp/B08DGZCPSW/ref=sr_1_1?keywords=OneTouch+Verio+Flex%C2%AE+meter&amp;qid=1695259889&amp;sr=8-1", "https://www.amazon.com/ONETOUCH-OneTouch-Verio-Flex-Meter/dp/B08DGZCPSW/ref=sr_1_1?keywords=OneTouch+Verio+Flex%C2%AE+meter&amp;qid=1695259889&amp;sr=8-1")</f>
        <v>https://www.amazon.com/ONETOUCH-OneTouch-Verio-Flex-Meter/dp/B08DGZCPSW/ref=sr_1_1?keywords=OneTouch+Verio+Flex%C2%AE+meter&amp;qid=1695259889&amp;sr=8-1</v>
      </c>
      <c r="F3154" t="s">
        <v>7910</v>
      </c>
      <c r="G3154" t="e">
        <f ca="1">IMAGE("https://shop.onetouch.com/ccstore/v1/images/?source=/file/v6564813239365674658/products/OSFUS-PDP-OTSUS05_0004-03-VerioFlexBox.jpg&amp;height=475&amp;width=475")</f>
        <v>#NAME?</v>
      </c>
      <c r="H3154" t="e">
        <f ca="1">IMAGE("https://m.media-amazon.com/images/I/71TLsmZ83-L._AC_UL320_.jpg")</f>
        <v>#NAME?</v>
      </c>
      <c r="I3154" t="s">
        <v>7551</v>
      </c>
      <c r="J3154">
        <v>28.99</v>
      </c>
      <c r="K3154" s="2" t="s">
        <v>7911</v>
      </c>
      <c r="L3154">
        <v>4.5</v>
      </c>
      <c r="M3154">
        <v>1136</v>
      </c>
      <c r="O3154" t="s">
        <v>26</v>
      </c>
      <c r="P3154" t="s">
        <v>39</v>
      </c>
      <c r="Q3154" t="s">
        <v>7905</v>
      </c>
    </row>
    <row r="3155" spans="1:17" ht="15.75" x14ac:dyDescent="0.25">
      <c r="A3155" s="3" t="str">
        <f>HYPERLINK("https://shop.onetouch.com/onetouch-verio-supplies-kit/product/OTSUS05_0020", "https://shop.onetouch.com/onetouch-verio-supplies-kit/product/OTSUS05_0020")</f>
        <v>https://shop.onetouch.com/onetouch-verio-supplies-kit/product/OTSUS05_0020</v>
      </c>
      <c r="B3155" s="3" t="str">
        <f>HYPERLINK("https://shop.onetouch.com/onetouch-verio-supplies-kit/product/OTSUS05_0020", "https://shop.onetouch.com/onetouch-verio-supplies-kit/product/OTSUS05_0020")</f>
        <v>https://shop.onetouch.com/onetouch-verio-supplies-kit/product/OTSUS05_0020</v>
      </c>
      <c r="C3155" t="s">
        <v>7912</v>
      </c>
      <c r="D3155" t="s">
        <v>7913</v>
      </c>
      <c r="E3155" s="3" t="str">
        <f>HYPERLINK("https://www.amazon.com/OneTouch-Diabetes-60-Count-Diabetic-Supplies/dp/B08PVZKVL4/ref=sr_1_2?keywords=OneTouch+Verio%C2%AE+Supplies+Kit&amp;qid=1695259900&amp;sr=8-2", "https://www.amazon.com/OneTouch-Diabetes-60-Count-Diabetic-Supplies/dp/B08PVZKVL4/ref=sr_1_2?keywords=OneTouch+Verio%C2%AE+Supplies+Kit&amp;qid=1695259900&amp;sr=8-2")</f>
        <v>https://www.amazon.com/OneTouch-Diabetes-60-Count-Diabetic-Supplies/dp/B08PVZKVL4/ref=sr_1_2?keywords=OneTouch+Verio%C2%AE+Supplies+Kit&amp;qid=1695259900&amp;sr=8-2</v>
      </c>
      <c r="F3155" t="s">
        <v>7914</v>
      </c>
      <c r="G3155" t="e">
        <f ca="1">IMAGE("https://shop.onetouch.com/ccstore/v1/images/?source=/file/v5825452812261813263/products/OSFUS-PDP-OTSUS05_0020-03-SuppliesKit.png&amp;height=475&amp;width=475")</f>
        <v>#NAME?</v>
      </c>
      <c r="H3155" t="e">
        <f ca="1">IMAGE("https://m.media-amazon.com/images/I/711wXsj0gRL._AC_UL320_.jpg")</f>
        <v>#NAME?</v>
      </c>
      <c r="I3155" t="s">
        <v>4911</v>
      </c>
      <c r="J3155">
        <v>28.74</v>
      </c>
      <c r="K3155" s="2" t="s">
        <v>7915</v>
      </c>
      <c r="L3155">
        <v>4.8</v>
      </c>
      <c r="M3155">
        <v>872</v>
      </c>
      <c r="O3155" t="s">
        <v>26</v>
      </c>
      <c r="P3155" t="s">
        <v>39</v>
      </c>
      <c r="Q3155" t="s">
        <v>7916</v>
      </c>
    </row>
    <row r="3156" spans="1:17" ht="15.75" x14ac:dyDescent="0.25">
      <c r="A3156" s="3" t="str">
        <f>HYPERLINK("https://shop.onetouch.com/verio-flex-meter/product/OTSUS05_0004", "https://shop.onetouch.com/verio-flex-meter/product/OTSUS05_0004")</f>
        <v>https://shop.onetouch.com/verio-flex-meter/product/OTSUS05_0004</v>
      </c>
      <c r="B3156" s="3" t="str">
        <f>HYPERLINK("https://shop.onetouch.com/verio-flex-meter/product/OTSUS05_0004", "https://shop.onetouch.com/verio-flex-meter/product/OTSUS05_0004")</f>
        <v>https://shop.onetouch.com/verio-flex-meter/product/OTSUS05_0004</v>
      </c>
      <c r="C3156" t="s">
        <v>7901</v>
      </c>
      <c r="D3156" t="s">
        <v>7917</v>
      </c>
      <c r="E3156" s="3" t="str">
        <f>HYPERLINK("https://www.amazon.com/Replacement-Charging-OneTouch-Monitoring-Freestyle/dp/B0CFR1VLFJ/ref=sr_1_8?keywords=OneTouch+Verio+Flex%C2%AE+meter&amp;qid=1695259889&amp;sr=8-8", "https://www.amazon.com/Replacement-Charging-OneTouch-Monitoring-Freestyle/dp/B0CFR1VLFJ/ref=sr_1_8?keywords=OneTouch+Verio+Flex%C2%AE+meter&amp;qid=1695259889&amp;sr=8-8")</f>
        <v>https://www.amazon.com/Replacement-Charging-OneTouch-Monitoring-Freestyle/dp/B0CFR1VLFJ/ref=sr_1_8?keywords=OneTouch+Verio+Flex%C2%AE+meter&amp;qid=1695259889&amp;sr=8-8</v>
      </c>
      <c r="F3156" t="s">
        <v>7918</v>
      </c>
      <c r="G3156" t="e">
        <f ca="1">IMAGE("https://shop.onetouch.com/ccstore/v1/images/?source=/file/v6564813239365674658/products/OSFUS-PDP-OTSUS05_0004-03-VerioFlexBox.jpg&amp;height=475&amp;width=475")</f>
        <v>#NAME?</v>
      </c>
      <c r="H3156" t="e">
        <f ca="1">IMAGE("https://m.media-amazon.com/images/I/517-I9-7j6L._AC_UL320_.jpg")</f>
        <v>#NAME?</v>
      </c>
      <c r="I3156" t="s">
        <v>7551</v>
      </c>
      <c r="J3156">
        <v>10.99</v>
      </c>
      <c r="K3156" s="2" t="s">
        <v>7919</v>
      </c>
      <c r="L3156">
        <v>4.3</v>
      </c>
      <c r="M3156">
        <v>59</v>
      </c>
      <c r="O3156" t="s">
        <v>26</v>
      </c>
      <c r="P3156" t="s">
        <v>39</v>
      </c>
      <c r="Q3156" t="s">
        <v>7905</v>
      </c>
    </row>
    <row r="3157" spans="1:17" ht="15.75" x14ac:dyDescent="0.25">
      <c r="A3157" s="3" t="str">
        <f t="shared" ref="A3157:B3159" si="40">HYPERLINK("https://shop.sonapharmacy.com/products/covidien-curity-abdominal-pad", "https://shop.sonapharmacy.com/products/covidien-curity-abdominal-pad")</f>
        <v>https://shop.sonapharmacy.com/products/covidien-curity-abdominal-pad</v>
      </c>
      <c r="B3157" s="3" t="str">
        <f t="shared" si="40"/>
        <v>https://shop.sonapharmacy.com/products/covidien-curity-abdominal-pad</v>
      </c>
      <c r="C3157" t="s">
        <v>7920</v>
      </c>
      <c r="D3157" t="s">
        <v>7921</v>
      </c>
      <c r="E3157" s="3" t="str">
        <f>HYPERLINK("https://www.amazon.com/Covidien-Abdominal-Barrier-Sterile-18-Count/dp/B00L4XM172/ref=sr_1_9?keywords=Covidien%C2%AE+Curity+Abdominal+Pad&amp;qid=1695260163&amp;sr=8-9", "https://www.amazon.com/Covidien-Abdominal-Barrier-Sterile-18-Count/dp/B00L4XM172/ref=sr_1_9?keywords=Covidien%C2%AE+Curity+Abdominal+Pad&amp;qid=1695260163&amp;sr=8-9")</f>
        <v>https://www.amazon.com/Covidien-Abdominal-Barrier-Sterile-18-Count/dp/B00L4XM172/ref=sr_1_9?keywords=Covidien%C2%AE+Curity+Abdominal+Pad&amp;qid=1695260163&amp;sr=8-9</v>
      </c>
      <c r="F3157" t="s">
        <v>7922</v>
      </c>
      <c r="G3157" t="e">
        <f ca="1">IMAGE("https://shop.sonapharmacy.com/cdn/shop/products/5x9.jpg?v=1608146174")</f>
        <v>#NAME?</v>
      </c>
      <c r="H3157" t="e">
        <f ca="1">IMAGE("https://m.media-amazon.com/images/I/51Zo4K0AO6L._AC_UL320_.jpg")</f>
        <v>#NAME?</v>
      </c>
      <c r="I3157" t="s">
        <v>7923</v>
      </c>
      <c r="J3157">
        <v>104.47</v>
      </c>
      <c r="K3157" s="2" t="s">
        <v>7924</v>
      </c>
      <c r="L3157">
        <v>5</v>
      </c>
      <c r="M3157">
        <v>2</v>
      </c>
      <c r="O3157" t="s">
        <v>26</v>
      </c>
      <c r="P3157" t="s">
        <v>39</v>
      </c>
      <c r="Q3157" t="s">
        <v>7925</v>
      </c>
    </row>
    <row r="3158" spans="1:17" ht="15.75" x14ac:dyDescent="0.25">
      <c r="A3158" s="3" t="str">
        <f t="shared" si="40"/>
        <v>https://shop.sonapharmacy.com/products/covidien-curity-abdominal-pad</v>
      </c>
      <c r="B3158" s="3" t="str">
        <f t="shared" si="40"/>
        <v>https://shop.sonapharmacy.com/products/covidien-curity-abdominal-pad</v>
      </c>
      <c r="C3158" t="s">
        <v>7920</v>
      </c>
      <c r="D3158" t="s">
        <v>7926</v>
      </c>
      <c r="E3158" s="3" t="str">
        <f>HYPERLINK("https://www.amazon.com/Covidien-Curity-Abdominal-Barrier-Sterile/dp/B00IODXZF2/ref=sr_1_6?keywords=Covidien%C2%AE+Curity+Abdominal+Pad&amp;qid=1695260163&amp;sr=8-6", "https://www.amazon.com/Covidien-Curity-Abdominal-Barrier-Sterile/dp/B00IODXZF2/ref=sr_1_6?keywords=Covidien%C2%AE+Curity+Abdominal+Pad&amp;qid=1695260163&amp;sr=8-6")</f>
        <v>https://www.amazon.com/Covidien-Curity-Abdominal-Barrier-Sterile/dp/B00IODXZF2/ref=sr_1_6?keywords=Covidien%C2%AE+Curity+Abdominal+Pad&amp;qid=1695260163&amp;sr=8-6</v>
      </c>
      <c r="F3158" t="s">
        <v>7927</v>
      </c>
      <c r="G3158" t="e">
        <f ca="1">IMAGE("https://shop.sonapharmacy.com/cdn/shop/products/5x9.jpg?v=1608146174")</f>
        <v>#NAME?</v>
      </c>
      <c r="H3158" t="e">
        <f ca="1">IMAGE("https://m.media-amazon.com/images/I/51Zo4K0AO6L._AC_UL320_.jpg")</f>
        <v>#NAME?</v>
      </c>
      <c r="I3158" t="s">
        <v>7923</v>
      </c>
      <c r="J3158">
        <v>88.38</v>
      </c>
      <c r="K3158" s="2" t="s">
        <v>7928</v>
      </c>
      <c r="L3158">
        <v>4.5</v>
      </c>
      <c r="M3158">
        <v>10</v>
      </c>
      <c r="O3158" t="s">
        <v>26</v>
      </c>
      <c r="P3158" t="s">
        <v>39</v>
      </c>
      <c r="Q3158" t="s">
        <v>7925</v>
      </c>
    </row>
    <row r="3159" spans="1:17" ht="15.75" x14ac:dyDescent="0.25">
      <c r="A3159" s="3" t="str">
        <f t="shared" si="40"/>
        <v>https://shop.sonapharmacy.com/products/covidien-curity-abdominal-pad</v>
      </c>
      <c r="B3159" s="3" t="str">
        <f t="shared" si="40"/>
        <v>https://shop.sonapharmacy.com/products/covidien-curity-abdominal-pad</v>
      </c>
      <c r="C3159" t="s">
        <v>7920</v>
      </c>
      <c r="D3159" t="s">
        <v>7929</v>
      </c>
      <c r="E3159" s="3" t="str">
        <f>HYPERLINK("https://www.amazon.com/Covidien-9192A-Abdominal-Barrier-Sterile/dp/B01BQA2BGS/ref=sr_1_7?keywords=Covidien%C2%AE+Curity+Abdominal+Pad&amp;qid=1695260163&amp;sr=8-7", "https://www.amazon.com/Covidien-9192A-Abdominal-Barrier-Sterile/dp/B01BQA2BGS/ref=sr_1_7?keywords=Covidien%C2%AE+Curity+Abdominal+Pad&amp;qid=1695260163&amp;sr=8-7")</f>
        <v>https://www.amazon.com/Covidien-9192A-Abdominal-Barrier-Sterile/dp/B01BQA2BGS/ref=sr_1_7?keywords=Covidien%C2%AE+Curity+Abdominal+Pad&amp;qid=1695260163&amp;sr=8-7</v>
      </c>
      <c r="F3159" t="s">
        <v>7930</v>
      </c>
      <c r="G3159" t="e">
        <f ca="1">IMAGE("https://shop.sonapharmacy.com/cdn/shop/products/5x9.jpg?v=1608146174")</f>
        <v>#NAME?</v>
      </c>
      <c r="H3159" t="e">
        <f ca="1">IMAGE("https://m.media-amazon.com/images/I/41iiVUw-sfL._AC_UL320_.jpg")</f>
        <v>#NAME?</v>
      </c>
      <c r="I3159" t="s">
        <v>7923</v>
      </c>
      <c r="J3159">
        <v>53.7</v>
      </c>
      <c r="K3159" s="2" t="s">
        <v>7931</v>
      </c>
      <c r="L3159">
        <v>4.8</v>
      </c>
      <c r="M3159">
        <v>15</v>
      </c>
      <c r="O3159" t="s">
        <v>26</v>
      </c>
      <c r="P3159" t="s">
        <v>39</v>
      </c>
      <c r="Q3159" t="s">
        <v>7925</v>
      </c>
    </row>
    <row r="3160" spans="1:17" ht="15.75" x14ac:dyDescent="0.25">
      <c r="A3160" s="3" t="str">
        <f>HYPERLINK("https://shop.sonapharmacy.com/products/covidien-telfa-adhesive-island-dressing-2-x-3-75in", "https://shop.sonapharmacy.com/products/covidien-telfa-adhesive-island-dressing-2-x-3-75in")</f>
        <v>https://shop.sonapharmacy.com/products/covidien-telfa-adhesive-island-dressing-2-x-3-75in</v>
      </c>
      <c r="B3160" s="3" t="str">
        <f>HYPERLINK("https://shop.sonapharmacy.com/products/covidien-telfa-adhesive-island-dressing-2-x-3-75in", "https://shop.sonapharmacy.com/products/covidien-telfa-adhesive-island-dressing-2-x-3-75in")</f>
        <v>https://shop.sonapharmacy.com/products/covidien-telfa-adhesive-island-dressing-2-x-3-75in</v>
      </c>
      <c r="C3160" t="s">
        <v>7932</v>
      </c>
      <c r="D3160" t="s">
        <v>7933</v>
      </c>
      <c r="E3160" s="3" t="str">
        <f>HYPERLINK("https://www.amazon.com/Kendall-Healthcare-Adhesive-Island-Dressing/dp/B00JWS6UEG/ref=sr_1_8?keywords=Covidien%C2%AE+Telfa+Adhesive+Island+Dressing+2+x+3.75in&amp;qid=1695260161&amp;sr=8-8", "https://www.amazon.com/Kendall-Healthcare-Adhesive-Island-Dressing/dp/B00JWS6UEG/ref=sr_1_8?keywords=Covidien%C2%AE+Telfa+Adhesive+Island+Dressing+2+x+3.75in&amp;qid=1695260161&amp;sr=8-8")</f>
        <v>https://www.amazon.com/Kendall-Healthcare-Adhesive-Island-Dressing/dp/B00JWS6UEG/ref=sr_1_8?keywords=Covidien%C2%AE+Telfa+Adhesive+Island+Dressing+2+x+3.75in&amp;qid=1695260161&amp;sr=8-8</v>
      </c>
      <c r="F3160" t="s">
        <v>7934</v>
      </c>
      <c r="G3160" t="e">
        <f ca="1">IMAGE("https://shop.sonapharmacy.com/cdn/shop/products/covidien-telfa-adhesive-island-dressing-7539lf.jpg?v=1608135470")</f>
        <v>#NAME?</v>
      </c>
      <c r="H3160" t="e">
        <f ca="1">IMAGE("https://m.media-amazon.com/images/I/413YoS6echL._AC_UL320_.jpg")</f>
        <v>#NAME?</v>
      </c>
      <c r="I3160" t="s">
        <v>7935</v>
      </c>
      <c r="J3160">
        <v>38.19</v>
      </c>
      <c r="K3160" s="2" t="s">
        <v>7936</v>
      </c>
      <c r="L3160">
        <v>4.5</v>
      </c>
      <c r="M3160">
        <v>26</v>
      </c>
      <c r="O3160" t="s">
        <v>136</v>
      </c>
      <c r="P3160" t="s">
        <v>39</v>
      </c>
      <c r="Q3160" t="s">
        <v>7937</v>
      </c>
    </row>
    <row r="3161" spans="1:17" ht="15.75" x14ac:dyDescent="0.25">
      <c r="A3161" s="3" t="str">
        <f>HYPERLINK("https://shop.sonapharmacy.com/products/covidien-telfa-adhesive-dressing-2-x-3in", "https://shop.sonapharmacy.com/products/covidien-telfa-adhesive-dressing-2-x-3in")</f>
        <v>https://shop.sonapharmacy.com/products/covidien-telfa-adhesive-dressing-2-x-3in</v>
      </c>
      <c r="B3161" s="3" t="str">
        <f>HYPERLINK("https://shop.sonapharmacy.com/products/covidien-telfa-adhesive-dressing-2-x-3in", "https://shop.sonapharmacy.com/products/covidien-telfa-adhesive-dressing-2-x-3in")</f>
        <v>https://shop.sonapharmacy.com/products/covidien-telfa-adhesive-dressing-2-x-3in</v>
      </c>
      <c r="C3161" t="s">
        <v>7938</v>
      </c>
      <c r="D3161" t="s">
        <v>7939</v>
      </c>
      <c r="E3161" s="3" t="str">
        <f>HYPERLINK("https://www.amazon.com/Covidien-7541-Adhesive-Dressing-Peel-Back/dp/B00KJ75ISS/ref=sr_1_9?keywords=Covidien%C2%AE+Telfa+Adhesive+Dressing+2+x+3in&amp;qid=1695260167&amp;sr=8-9", "https://www.amazon.com/Covidien-7541-Adhesive-Dressing-Peel-Back/dp/B00KJ75ISS/ref=sr_1_9?keywords=Covidien%C2%AE+Telfa+Adhesive+Dressing+2+x+3in&amp;qid=1695260167&amp;sr=8-9")</f>
        <v>https://www.amazon.com/Covidien-7541-Adhesive-Dressing-Peel-Back/dp/B00KJ75ISS/ref=sr_1_9?keywords=Covidien%C2%AE+Telfa+Adhesive+Dressing+2+x+3in&amp;qid=1695260167&amp;sr=8-9</v>
      </c>
      <c r="F3161" t="s">
        <v>7940</v>
      </c>
      <c r="G3161" t="e">
        <f ca="1">IMAGE("https://shop.sonapharmacy.com/cdn/shop/products/8101KIzjT7L._AC_SL1500.jpg?v=1608135000")</f>
        <v>#NAME?</v>
      </c>
      <c r="H3161" t="e">
        <f ca="1">IMAGE("https://m.media-amazon.com/images/I/81VJtiA7Y4L._AC_UL320_.jpg")</f>
        <v>#NAME?</v>
      </c>
      <c r="I3161" t="s">
        <v>7935</v>
      </c>
      <c r="J3161">
        <v>29.78</v>
      </c>
      <c r="K3161" s="2" t="s">
        <v>7941</v>
      </c>
      <c r="L3161">
        <v>4.7</v>
      </c>
      <c r="M3161">
        <v>623</v>
      </c>
      <c r="O3161" t="s">
        <v>26</v>
      </c>
      <c r="P3161" t="s">
        <v>39</v>
      </c>
      <c r="Q3161" t="s">
        <v>7942</v>
      </c>
    </row>
    <row r="3162" spans="1:17" ht="15.75" x14ac:dyDescent="0.25">
      <c r="A3162" s="3" t="str">
        <f>HYPERLINK("https://shop.sonapharmacy.com/products/covidien-telfa-adhesive-dressing-2-x-3in", "https://shop.sonapharmacy.com/products/covidien-telfa-adhesive-dressing-2-x-3in")</f>
        <v>https://shop.sonapharmacy.com/products/covidien-telfa-adhesive-dressing-2-x-3in</v>
      </c>
      <c r="B3162" s="3" t="str">
        <f>HYPERLINK("https://shop.sonapharmacy.com/products/covidien-telfa-adhesive-dressing-2-x-3in", "https://shop.sonapharmacy.com/products/covidien-telfa-adhesive-dressing-2-x-3in")</f>
        <v>https://shop.sonapharmacy.com/products/covidien-telfa-adhesive-dressing-2-x-3in</v>
      </c>
      <c r="C3162" t="s">
        <v>7938</v>
      </c>
      <c r="D3162" t="s">
        <v>7943</v>
      </c>
      <c r="E3162" s="3" t="str">
        <f>HYPERLINK("https://www.amazon.com/MCK60172000-Adhesive-Dressing-Rectangle-Sterile/dp/B000SOX97E/ref=sr_1_4?keywords=Covidien%C2%AE+Telfa+Adhesive+Dressing+2+x+3in&amp;qid=1695260167&amp;sr=8-4", "https://www.amazon.com/MCK60172000-Adhesive-Dressing-Rectangle-Sterile/dp/B000SOX97E/ref=sr_1_4?keywords=Covidien%C2%AE+Telfa+Adhesive+Dressing+2+x+3in&amp;qid=1695260167&amp;sr=8-4")</f>
        <v>https://www.amazon.com/MCK60172000-Adhesive-Dressing-Rectangle-Sterile/dp/B000SOX97E/ref=sr_1_4?keywords=Covidien%C2%AE+Telfa+Adhesive+Dressing+2+x+3in&amp;qid=1695260167&amp;sr=8-4</v>
      </c>
      <c r="F3162" t="s">
        <v>7944</v>
      </c>
      <c r="G3162" t="e">
        <f ca="1">IMAGE("https://shop.sonapharmacy.com/cdn/shop/products/8101KIzjT7L._AC_SL1500.jpg?v=1608135000")</f>
        <v>#NAME?</v>
      </c>
      <c r="H3162" t="e">
        <f ca="1">IMAGE("https://m.media-amazon.com/images/I/61QnarvWHiL._AC_UL320_.jpg")</f>
        <v>#NAME?</v>
      </c>
      <c r="I3162" t="s">
        <v>7935</v>
      </c>
      <c r="J3162">
        <v>23.13</v>
      </c>
      <c r="K3162" s="2" t="s">
        <v>7945</v>
      </c>
      <c r="L3162">
        <v>4.4000000000000004</v>
      </c>
      <c r="M3162">
        <v>229</v>
      </c>
      <c r="O3162" t="s">
        <v>26</v>
      </c>
      <c r="P3162" t="s">
        <v>39</v>
      </c>
      <c r="Q3162" t="s">
        <v>7942</v>
      </c>
    </row>
    <row r="3163" spans="1:17" ht="15.75" x14ac:dyDescent="0.25">
      <c r="A3163" s="3" t="str">
        <f>HYPERLINK("https://shop.sonapharmacy.com/products/covidien-telfa-adhesive-island-dressing-2-x-3-75in", "https://shop.sonapharmacy.com/products/covidien-telfa-adhesive-island-dressing-2-x-3-75in")</f>
        <v>https://shop.sonapharmacy.com/products/covidien-telfa-adhesive-island-dressing-2-x-3-75in</v>
      </c>
      <c r="B3163" s="3" t="str">
        <f>HYPERLINK("https://shop.sonapharmacy.com/products/covidien-telfa-adhesive-island-dressing-2-x-3-75in", "https://shop.sonapharmacy.com/products/covidien-telfa-adhesive-island-dressing-2-x-3-75in")</f>
        <v>https://shop.sonapharmacy.com/products/covidien-telfa-adhesive-island-dressing-2-x-3-75in</v>
      </c>
      <c r="C3163" t="s">
        <v>7932</v>
      </c>
      <c r="D3163" t="s">
        <v>7946</v>
      </c>
      <c r="E3163" s="3" t="str">
        <f>HYPERLINK("https://www.amazon.com/Telfa-Adhesive-Island-Wound-Dressing/dp/B00JJOE6J4/ref=sr_1_fkmr0_1?keywords=Covidien%C2%AE+Telfa+Adhesive+Island+Dressing+2+x+3.75in&amp;qid=1695260161&amp;sr=8-1-fkmr0", "https://www.amazon.com/Telfa-Adhesive-Island-Wound-Dressing/dp/B00JJOE6J4/ref=sr_1_fkmr0_1?keywords=Covidien%C2%AE+Telfa+Adhesive+Island+Dressing+2+x+3.75in&amp;qid=1695260161&amp;sr=8-1-fkmr0")</f>
        <v>https://www.amazon.com/Telfa-Adhesive-Island-Wound-Dressing/dp/B00JJOE6J4/ref=sr_1_fkmr0_1?keywords=Covidien%C2%AE+Telfa+Adhesive+Island+Dressing+2+x+3.75in&amp;qid=1695260161&amp;sr=8-1-fkmr0</v>
      </c>
      <c r="F3163" t="s">
        <v>7947</v>
      </c>
      <c r="G3163" t="e">
        <f ca="1">IMAGE("https://shop.sonapharmacy.com/cdn/shop/products/covidien-telfa-adhesive-island-dressing-7539lf.jpg?v=1608135470")</f>
        <v>#NAME?</v>
      </c>
      <c r="H3163" t="e">
        <f ca="1">IMAGE("https://m.media-amazon.com/images/I/61eRTZmx+rL._AC_UL320_.jpg")</f>
        <v>#NAME?</v>
      </c>
      <c r="I3163" t="s">
        <v>7935</v>
      </c>
      <c r="J3163">
        <v>22.93</v>
      </c>
      <c r="K3163" s="2" t="s">
        <v>7948</v>
      </c>
      <c r="L3163">
        <v>4.5</v>
      </c>
      <c r="M3163">
        <v>51</v>
      </c>
      <c r="O3163" t="s">
        <v>136</v>
      </c>
      <c r="P3163" t="s">
        <v>39</v>
      </c>
      <c r="Q3163" t="s">
        <v>7937</v>
      </c>
    </row>
    <row r="3164" spans="1:17" ht="15.75" x14ac:dyDescent="0.25">
      <c r="A3164" s="3" t="str">
        <f>HYPERLINK("https://shop.sonapharmacy.com/products/macks%C2%AE-pillow-soft%C2%AE-silicone-putty-ear-plugs", "https://shop.sonapharmacy.com/products/macks%C2%AE-pillow-soft%C2%AE-silicone-putty-ear-plugs")</f>
        <v>https://shop.sonapharmacy.com/products/macks%C2%AE-pillow-soft%C2%AE-silicone-putty-ear-plugs</v>
      </c>
      <c r="B3164" s="3" t="str">
        <f>HYPERLINK("https://shop.sonapharmacy.com/products/macks%c2%ae-pillow-soft%c2%ae-silicone-putty-ear-plugs", "https://shop.sonapharmacy.com/products/macks%c2%ae-pillow-soft%c2%ae-silicone-putty-ear-plugs")</f>
        <v>https://shop.sonapharmacy.com/products/macks%c2%ae-pillow-soft%c2%ae-silicone-putty-ear-plugs</v>
      </c>
      <c r="C3164" t="s">
        <v>7949</v>
      </c>
      <c r="D3164" t="s">
        <v>7950</v>
      </c>
      <c r="E3164" s="3" t="str">
        <f>HYPERLINK("https://www.amazon.com/Macks-Pillow-Soft-Plugs-Pair/dp/B00MHPOK02/ref=sr_1_9?keywords=Mack%27s%C2%AE+Pillow+Soft%C2%AE+Silicone+Putty+Ear+Plugs&amp;qid=1695260450&amp;sr=8-9", "https://www.amazon.com/Macks-Pillow-Soft-Plugs-Pair/dp/B00MHPOK02/ref=sr_1_9?keywords=Mack%27s%C2%AE+Pillow+Soft%C2%AE+Silicone+Putty+Ear+Plugs&amp;qid=1695260450&amp;sr=8-9")</f>
        <v>https://www.amazon.com/Macks-Pillow-Soft-Plugs-Pair/dp/B00MHPOK02/ref=sr_1_9?keywords=Mack%27s%C2%AE+Pillow+Soft%C2%AE+Silicone+Putty+Ear+Plugs&amp;qid=1695260450&amp;sr=8-9</v>
      </c>
      <c r="F3164" t="s">
        <v>7951</v>
      </c>
      <c r="G3164" t="e">
        <f ca="1">IMAGE("https://shop.sonapharmacy.com/cdn/shop/products/71Rta0uAlwL._AC_SL1500.jpg?v=1609171871")</f>
        <v>#NAME?</v>
      </c>
      <c r="H3164" t="e">
        <f ca="1">IMAGE("https://m.media-amazon.com/images/I/71JSlZmTR0S._AC_UL320_.jpg")</f>
        <v>#NAME?</v>
      </c>
      <c r="I3164" t="s">
        <v>7952</v>
      </c>
      <c r="J3164">
        <v>149.97</v>
      </c>
      <c r="K3164" s="2" t="s">
        <v>7953</v>
      </c>
      <c r="L3164">
        <v>5</v>
      </c>
      <c r="M3164">
        <v>2</v>
      </c>
      <c r="O3164" t="s">
        <v>26</v>
      </c>
      <c r="P3164" t="s">
        <v>39</v>
      </c>
      <c r="Q3164" t="s">
        <v>7954</v>
      </c>
    </row>
    <row r="3165" spans="1:17" ht="15.75" x14ac:dyDescent="0.25">
      <c r="A3165" s="3" t="str">
        <f>HYPERLINK("https://shop.sonapharmacy.com/products/macks%C2%AE-pillow-soft%C2%AE-silicone-putty-ear-plugs", "https://shop.sonapharmacy.com/products/macks%C2%AE-pillow-soft%C2%AE-silicone-putty-ear-plugs")</f>
        <v>https://shop.sonapharmacy.com/products/macks%C2%AE-pillow-soft%C2%AE-silicone-putty-ear-plugs</v>
      </c>
      <c r="B3165" s="3" t="str">
        <f>HYPERLINK("https://shop.sonapharmacy.com/products/macks%c2%ae-pillow-soft%c2%ae-silicone-putty-ear-plugs", "https://shop.sonapharmacy.com/products/macks%c2%ae-pillow-soft%c2%ae-silicone-putty-ear-plugs")</f>
        <v>https://shop.sonapharmacy.com/products/macks%c2%ae-pillow-soft%c2%ae-silicone-putty-ear-plugs</v>
      </c>
      <c r="C3165" t="s">
        <v>7949</v>
      </c>
      <c r="D3165" t="s">
        <v>7955</v>
      </c>
      <c r="E3165" s="3" t="str">
        <f>HYPERLINK("https://www.amazon.com/Macks%C2%AE-Pillow-Soft%C2%AE-Earplugs-Individual/dp/B002MYE2OM/ref=sr_1_8?keywords=Mack%27s%C2%AE+Pillow+Soft%C2%AE+Silicone+Putty+Ear+Plugs&amp;qid=1695260450&amp;sr=8-8", "https://www.amazon.com/Macks%C2%AE-Pillow-Soft%C2%AE-Earplugs-Individual/dp/B002MYE2OM/ref=sr_1_8?keywords=Mack%27s%C2%AE+Pillow+Soft%C2%AE+Silicone+Putty+Ear+Plugs&amp;qid=1695260450&amp;sr=8-8")</f>
        <v>https://www.amazon.com/Macks%C2%AE-Pillow-Soft%C2%AE-Earplugs-Individual/dp/B002MYE2OM/ref=sr_1_8?keywords=Mack%27s%C2%AE+Pillow+Soft%C2%AE+Silicone+Putty+Ear+Plugs&amp;qid=1695260450&amp;sr=8-8</v>
      </c>
      <c r="F3165" t="s">
        <v>7956</v>
      </c>
      <c r="G3165" t="e">
        <f ca="1">IMAGE("https://shop.sonapharmacy.com/cdn/shop/products/71Rta0uAlwL._AC_SL1500.jpg?v=1609171871")</f>
        <v>#NAME?</v>
      </c>
      <c r="H3165" t="e">
        <f ca="1">IMAGE("https://m.media-amazon.com/images/I/71DPkPq+jJS._AC_UL320_.jpg")</f>
        <v>#NAME?</v>
      </c>
      <c r="I3165" t="s">
        <v>7952</v>
      </c>
      <c r="J3165">
        <v>149.96</v>
      </c>
      <c r="K3165" s="2" t="s">
        <v>7957</v>
      </c>
      <c r="L3165">
        <v>4</v>
      </c>
      <c r="M3165">
        <v>10</v>
      </c>
      <c r="O3165" t="s">
        <v>26</v>
      </c>
      <c r="P3165" t="s">
        <v>39</v>
      </c>
      <c r="Q3165" t="s">
        <v>7954</v>
      </c>
    </row>
    <row r="3166" spans="1:17" ht="15.75" x14ac:dyDescent="0.25">
      <c r="A3166" s="3" t="str">
        <f>HYPERLINK("https://shop.sonapharmacy.com/products/covidien-telfa-adhesive-dressing-2-x-3in", "https://shop.sonapharmacy.com/products/covidien-telfa-adhesive-dressing-2-x-3in")</f>
        <v>https://shop.sonapharmacy.com/products/covidien-telfa-adhesive-dressing-2-x-3in</v>
      </c>
      <c r="B3166" s="3" t="str">
        <f>HYPERLINK("https://shop.sonapharmacy.com/products/covidien-telfa-adhesive-dressing-2-x-3in", "https://shop.sonapharmacy.com/products/covidien-telfa-adhesive-dressing-2-x-3in")</f>
        <v>https://shop.sonapharmacy.com/products/covidien-telfa-adhesive-dressing-2-x-3in</v>
      </c>
      <c r="C3166" t="s">
        <v>7938</v>
      </c>
      <c r="D3166" t="s">
        <v>7958</v>
      </c>
      <c r="E3166" s="3" t="str">
        <f>HYPERLINK("https://www.amazon.com/Covidien-7540-Adhesive-Dressing-Peel-Back/dp/B00KJ75HVG/ref=sr_1_8?keywords=Covidien%C2%AE+Telfa+Adhesive+Dressing+2+x+3in&amp;qid=1695260167&amp;sr=8-8", "https://www.amazon.com/Covidien-7540-Adhesive-Dressing-Peel-Back/dp/B00KJ75HVG/ref=sr_1_8?keywords=Covidien%C2%AE+Telfa+Adhesive+Dressing+2+x+3in&amp;qid=1695260167&amp;sr=8-8")</f>
        <v>https://www.amazon.com/Covidien-7540-Adhesive-Dressing-Peel-Back/dp/B00KJ75HVG/ref=sr_1_8?keywords=Covidien%C2%AE+Telfa+Adhesive+Dressing+2+x+3in&amp;qid=1695260167&amp;sr=8-8</v>
      </c>
      <c r="F3166" t="s">
        <v>7959</v>
      </c>
      <c r="G3166" t="e">
        <f ca="1">IMAGE("https://shop.sonapharmacy.com/cdn/shop/products/8101KIzjT7L._AC_SL1500.jpg?v=1608135000")</f>
        <v>#NAME?</v>
      </c>
      <c r="H3166" t="e">
        <f ca="1">IMAGE("https://m.media-amazon.com/images/I/71Qoc+y+4JL._AC_UL320_.jpg")</f>
        <v>#NAME?</v>
      </c>
      <c r="I3166" t="s">
        <v>7935</v>
      </c>
      <c r="J3166">
        <v>20.82</v>
      </c>
      <c r="K3166" s="2" t="s">
        <v>7960</v>
      </c>
      <c r="L3166">
        <v>4.7</v>
      </c>
      <c r="M3166">
        <v>1303</v>
      </c>
      <c r="O3166" t="s">
        <v>26</v>
      </c>
      <c r="P3166" t="s">
        <v>39</v>
      </c>
      <c r="Q3166" t="s">
        <v>7942</v>
      </c>
    </row>
    <row r="3167" spans="1:17" ht="15.75" x14ac:dyDescent="0.25">
      <c r="A3167" s="3" t="str">
        <f>HYPERLINK("https://shop.sonapharmacy.com/products/covidien-telfa-adhesive-island-dressing-2-x-3-75in", "https://shop.sonapharmacy.com/products/covidien-telfa-adhesive-island-dressing-2-x-3-75in")</f>
        <v>https://shop.sonapharmacy.com/products/covidien-telfa-adhesive-island-dressing-2-x-3-75in</v>
      </c>
      <c r="B3167" s="3" t="str">
        <f>HYPERLINK("https://shop.sonapharmacy.com/products/covidien-telfa-adhesive-island-dressing-2-x-3-75in", "https://shop.sonapharmacy.com/products/covidien-telfa-adhesive-island-dressing-2-x-3-75in")</f>
        <v>https://shop.sonapharmacy.com/products/covidien-telfa-adhesive-island-dressing-2-x-3-75in</v>
      </c>
      <c r="C3167" t="s">
        <v>7932</v>
      </c>
      <c r="D3167" t="s">
        <v>7958</v>
      </c>
      <c r="E3167" s="3" t="str">
        <f>HYPERLINK("https://www.amazon.com/Covidien-7540-Adhesive-Dressing-Peel-Back/dp/B00KJ75HVG/ref=sr_1_5?keywords=Covidien%C2%AE+Telfa+Adhesive+Island+Dressing+2+x+3.75in&amp;qid=1695260161&amp;sr=8-5", "https://www.amazon.com/Covidien-7540-Adhesive-Dressing-Peel-Back/dp/B00KJ75HVG/ref=sr_1_5?keywords=Covidien%C2%AE+Telfa+Adhesive+Island+Dressing+2+x+3.75in&amp;qid=1695260161&amp;sr=8-5")</f>
        <v>https://www.amazon.com/Covidien-7540-Adhesive-Dressing-Peel-Back/dp/B00KJ75HVG/ref=sr_1_5?keywords=Covidien%C2%AE+Telfa+Adhesive+Island+Dressing+2+x+3.75in&amp;qid=1695260161&amp;sr=8-5</v>
      </c>
      <c r="F3167" t="s">
        <v>7959</v>
      </c>
      <c r="G3167" t="e">
        <f ca="1">IMAGE("https://shop.sonapharmacy.com/cdn/shop/products/covidien-telfa-adhesive-island-dressing-7539lf.jpg?v=1608135470")</f>
        <v>#NAME?</v>
      </c>
      <c r="H3167" t="e">
        <f ca="1">IMAGE("https://m.media-amazon.com/images/I/71Qoc+y+4JL._AC_UL320_.jpg")</f>
        <v>#NAME?</v>
      </c>
      <c r="I3167" t="s">
        <v>7935</v>
      </c>
      <c r="J3167">
        <v>20.82</v>
      </c>
      <c r="K3167" s="2" t="s">
        <v>7960</v>
      </c>
      <c r="L3167">
        <v>4.7</v>
      </c>
      <c r="M3167">
        <v>1303</v>
      </c>
      <c r="O3167" t="s">
        <v>136</v>
      </c>
      <c r="P3167" t="s">
        <v>39</v>
      </c>
      <c r="Q3167" t="s">
        <v>7937</v>
      </c>
    </row>
    <row r="3168" spans="1:17" ht="15.75" x14ac:dyDescent="0.25">
      <c r="A3168" s="3" t="str">
        <f>HYPERLINK("https://shop.sonapharmacy.com/products/covidien-telfa-adhesive-island-dressing-2-x-3-75in", "https://shop.sonapharmacy.com/products/covidien-telfa-adhesive-island-dressing-2-x-3-75in")</f>
        <v>https://shop.sonapharmacy.com/products/covidien-telfa-adhesive-island-dressing-2-x-3-75in</v>
      </c>
      <c r="B3168" s="3" t="str">
        <f>HYPERLINK("https://shop.sonapharmacy.com/products/covidien-telfa-adhesive-island-dressing-2-x-3-75in", "https://shop.sonapharmacy.com/products/covidien-telfa-adhesive-island-dressing-2-x-3-75in")</f>
        <v>https://shop.sonapharmacy.com/products/covidien-telfa-adhesive-island-dressing-2-x-3-75in</v>
      </c>
      <c r="C3168" t="s">
        <v>7932</v>
      </c>
      <c r="D3168" t="s">
        <v>7961</v>
      </c>
      <c r="E3168" s="3" t="str">
        <f>HYPERLINK("https://www.amazon.com/Dressing-Island-Adhesive-Kendall-Company/dp/B004YNPAIQ/ref=sr_1_7?keywords=Covidien%C2%AE+Telfa+Adhesive+Island+Dressing+2+x+3.75in&amp;qid=1695260161&amp;sr=8-7", "https://www.amazon.com/Dressing-Island-Adhesive-Kendall-Company/dp/B004YNPAIQ/ref=sr_1_7?keywords=Covidien%C2%AE+Telfa+Adhesive+Island+Dressing+2+x+3.75in&amp;qid=1695260161&amp;sr=8-7")</f>
        <v>https://www.amazon.com/Dressing-Island-Adhesive-Kendall-Company/dp/B004YNPAIQ/ref=sr_1_7?keywords=Covidien%C2%AE+Telfa+Adhesive+Island+Dressing+2+x+3.75in&amp;qid=1695260161&amp;sr=8-7</v>
      </c>
      <c r="F3168" t="s">
        <v>7962</v>
      </c>
      <c r="G3168" t="e">
        <f ca="1">IMAGE("https://shop.sonapharmacy.com/cdn/shop/products/covidien-telfa-adhesive-island-dressing-7539lf.jpg?v=1608135470")</f>
        <v>#NAME?</v>
      </c>
      <c r="H3168" t="e">
        <f ca="1">IMAGE("https://m.media-amazon.com/images/I/31t4iF8XF5L._AC_UL320_.jpg")</f>
        <v>#NAME?</v>
      </c>
      <c r="I3168" t="s">
        <v>7935</v>
      </c>
      <c r="J3168">
        <v>20.81</v>
      </c>
      <c r="K3168" s="2" t="s">
        <v>7963</v>
      </c>
      <c r="L3168">
        <v>4.7</v>
      </c>
      <c r="M3168">
        <v>215</v>
      </c>
      <c r="O3168" t="s">
        <v>136</v>
      </c>
      <c r="P3168" t="s">
        <v>39</v>
      </c>
      <c r="Q3168" t="s">
        <v>7937</v>
      </c>
    </row>
    <row r="3169" spans="1:17" ht="15.75" x14ac:dyDescent="0.25">
      <c r="A3169" s="3" t="str">
        <f>HYPERLINK("https://shop.sonapharmacy.com/products/baby-love%C2%AE-baby-wipes-soothing-aloe-vera-80ct", "https://shop.sonapharmacy.com/products/baby-love%C2%AE-baby-wipes-soothing-aloe-vera-80ct")</f>
        <v>https://shop.sonapharmacy.com/products/baby-love%C2%AE-baby-wipes-soothing-aloe-vera-80ct</v>
      </c>
      <c r="B3169" s="3" t="str">
        <f>HYPERLINK("https://shop.sonapharmacy.com/products/baby-love%c2%ae-baby-wipes-soothing-aloe-vera-80ct", "https://shop.sonapharmacy.com/products/baby-love%c2%ae-baby-wipes-soothing-aloe-vera-80ct")</f>
        <v>https://shop.sonapharmacy.com/products/baby-love%c2%ae-baby-wipes-soothing-aloe-vera-80ct</v>
      </c>
      <c r="C3169" t="s">
        <v>7964</v>
      </c>
      <c r="D3169" t="s">
        <v>7965</v>
      </c>
      <c r="E3169" s="3" t="str">
        <f>HYPERLINK("https://www.amazon.com/MED-PRIDE-Alcohol-Free-Paraben-Free-Non-Irritating/dp/B06XVMBSSR/ref=sr_1_1?keywords=Baby+Love%C2%AE+Baby+Wipes+Soothing+Aloe+Vera+72ct&amp;qid=1695260054&amp;sr=8-1", "https://www.amazon.com/MED-PRIDE-Alcohol-Free-Paraben-Free-Non-Irritating/dp/B06XVMBSSR/ref=sr_1_1?keywords=Baby+Love%C2%AE+Baby+Wipes+Soothing+Aloe+Vera+72ct&amp;qid=1695260054&amp;sr=8-1")</f>
        <v>https://www.amazon.com/MED-PRIDE-Alcohol-Free-Paraben-Free-Non-Irritating/dp/B06XVMBSSR/ref=sr_1_1?keywords=Baby+Love%C2%AE+Baby+Wipes+Soothing+Aloe+Vera+72ct&amp;qid=1695260054&amp;sr=8-1</v>
      </c>
      <c r="F3169" t="s">
        <v>7966</v>
      </c>
      <c r="G3169" t="e">
        <f ca="1">IMAGE("https://shop.sonapharmacy.com/cdn/shop/products/694133.jpg?v=1609338485")</f>
        <v>#NAME?</v>
      </c>
      <c r="H3169" t="e">
        <f ca="1">IMAGE("https://m.media-amazon.com/images/I/61pxnHNxOGL._AC_UL320_.jpg")</f>
        <v>#NAME?</v>
      </c>
      <c r="I3169" t="s">
        <v>7967</v>
      </c>
      <c r="J3169">
        <v>49.99</v>
      </c>
      <c r="K3169" s="2" t="s">
        <v>7968</v>
      </c>
      <c r="L3169">
        <v>4.5</v>
      </c>
      <c r="M3169">
        <v>20</v>
      </c>
      <c r="O3169" t="s">
        <v>136</v>
      </c>
      <c r="P3169" t="s">
        <v>39</v>
      </c>
      <c r="Q3169" t="s">
        <v>7969</v>
      </c>
    </row>
    <row r="3170" spans="1:17" ht="15.75" x14ac:dyDescent="0.25">
      <c r="A3170" s="3" t="str">
        <f>HYPERLINK("https://shop.sonapharmacy.com/products/covidien-telfa-adhesive-dressing-2-x-3in", "https://shop.sonapharmacy.com/products/covidien-telfa-adhesive-dressing-2-x-3in")</f>
        <v>https://shop.sonapharmacy.com/products/covidien-telfa-adhesive-dressing-2-x-3in</v>
      </c>
      <c r="B3170" s="3" t="str">
        <f>HYPERLINK("https://shop.sonapharmacy.com/products/covidien-telfa-adhesive-dressing-2-x-3in", "https://shop.sonapharmacy.com/products/covidien-telfa-adhesive-dressing-2-x-3in")</f>
        <v>https://shop.sonapharmacy.com/products/covidien-telfa-adhesive-dressing-2-x-3in</v>
      </c>
      <c r="C3170" t="s">
        <v>7938</v>
      </c>
      <c r="D3170" t="s">
        <v>7970</v>
      </c>
      <c r="E3170" s="3" t="str">
        <f>HYPERLINK("https://www.amazon.com/COVIDIEN-Adhesive-Dressing-Cotton-Rectangle/dp/B00YWJODJE/ref=sr_1_2?keywords=Covidien%C2%AE+Telfa+Adhesive+Dressing+2+x+3in&amp;qid=1695260167&amp;sr=8-2", "https://www.amazon.com/COVIDIEN-Adhesive-Dressing-Cotton-Rectangle/dp/B00YWJODJE/ref=sr_1_2?keywords=Covidien%C2%AE+Telfa+Adhesive+Dressing+2+x+3in&amp;qid=1695260167&amp;sr=8-2")</f>
        <v>https://www.amazon.com/COVIDIEN-Adhesive-Dressing-Cotton-Rectangle/dp/B00YWJODJE/ref=sr_1_2?keywords=Covidien%C2%AE+Telfa+Adhesive+Dressing+2+x+3in&amp;qid=1695260167&amp;sr=8-2</v>
      </c>
      <c r="F3170" t="s">
        <v>7971</v>
      </c>
      <c r="G3170" t="e">
        <f ca="1">IMAGE("https://shop.sonapharmacy.com/cdn/shop/products/8101KIzjT7L._AC_SL1500.jpg?v=1608135000")</f>
        <v>#NAME?</v>
      </c>
      <c r="H3170" t="e">
        <f ca="1">IMAGE("https://m.media-amazon.com/images/I/41DyO3PG3wL._AC_UL320_.jpg")</f>
        <v>#NAME?</v>
      </c>
      <c r="I3170" t="s">
        <v>7935</v>
      </c>
      <c r="J3170">
        <v>19.149999999999999</v>
      </c>
      <c r="K3170" s="2" t="s">
        <v>7972</v>
      </c>
      <c r="L3170">
        <v>4.5</v>
      </c>
      <c r="M3170">
        <v>174</v>
      </c>
      <c r="O3170" t="s">
        <v>26</v>
      </c>
      <c r="P3170" t="s">
        <v>39</v>
      </c>
      <c r="Q3170" t="s">
        <v>7942</v>
      </c>
    </row>
    <row r="3171" spans="1:17" ht="15.75" x14ac:dyDescent="0.25">
      <c r="A3171" s="3" t="str">
        <f>HYPERLINK("https://shop.sonapharmacy.com/products/covidien-telfa-adhesive-dressing-2-x-3in", "https://shop.sonapharmacy.com/products/covidien-telfa-adhesive-dressing-2-x-3in")</f>
        <v>https://shop.sonapharmacy.com/products/covidien-telfa-adhesive-dressing-2-x-3in</v>
      </c>
      <c r="B3171" s="3" t="str">
        <f>HYPERLINK("https://shop.sonapharmacy.com/products/covidien-telfa-adhesive-dressing-2-x-3in", "https://shop.sonapharmacy.com/products/covidien-telfa-adhesive-dressing-2-x-3in")</f>
        <v>https://shop.sonapharmacy.com/products/covidien-telfa-adhesive-dressing-2-x-3in</v>
      </c>
      <c r="C3171" t="s">
        <v>7938</v>
      </c>
      <c r="D3171" t="s">
        <v>7973</v>
      </c>
      <c r="E3171" s="3" t="str">
        <f>HYPERLINK("https://www.amazon.com/Covidien-Adhesive-Dressing-Rectangle-Sterile/dp/B014I0XV4O/ref=sr_1_3?keywords=Covidien%C2%AE+Telfa+Adhesive+Dressing+2+x+3in&amp;qid=1695260167&amp;sr=8-3", "https://www.amazon.com/Covidien-Adhesive-Dressing-Rectangle-Sterile/dp/B014I0XV4O/ref=sr_1_3?keywords=Covidien%C2%AE+Telfa+Adhesive+Dressing+2+x+3in&amp;qid=1695260167&amp;sr=8-3")</f>
        <v>https://www.amazon.com/Covidien-Adhesive-Dressing-Rectangle-Sterile/dp/B014I0XV4O/ref=sr_1_3?keywords=Covidien%C2%AE+Telfa+Adhesive+Dressing+2+x+3in&amp;qid=1695260167&amp;sr=8-3</v>
      </c>
      <c r="F3171" t="s">
        <v>7974</v>
      </c>
      <c r="G3171" t="e">
        <f ca="1">IMAGE("https://shop.sonapharmacy.com/cdn/shop/products/8101KIzjT7L._AC_SL1500.jpg?v=1608135000")</f>
        <v>#NAME?</v>
      </c>
      <c r="H3171" t="e">
        <f ca="1">IMAGE("https://m.media-amazon.com/images/I/310kcnkTrXL._AC_UL320_.jpg")</f>
        <v>#NAME?</v>
      </c>
      <c r="I3171" t="s">
        <v>7935</v>
      </c>
      <c r="J3171">
        <v>19.149999999999999</v>
      </c>
      <c r="K3171" s="2" t="s">
        <v>7972</v>
      </c>
      <c r="L3171">
        <v>4.0999999999999996</v>
      </c>
      <c r="M3171">
        <v>22</v>
      </c>
      <c r="O3171" t="s">
        <v>26</v>
      </c>
      <c r="P3171" t="s">
        <v>39</v>
      </c>
      <c r="Q3171" t="s">
        <v>7942</v>
      </c>
    </row>
    <row r="3172" spans="1:17" ht="15.75" x14ac:dyDescent="0.25">
      <c r="A3172" s="3" t="str">
        <f>HYPERLINK("https://shop.sonapharmacy.com/products/covidien-curity-abdominal-pad", "https://shop.sonapharmacy.com/products/covidien-curity-abdominal-pad")</f>
        <v>https://shop.sonapharmacy.com/products/covidien-curity-abdominal-pad</v>
      </c>
      <c r="B3172" s="3" t="str">
        <f>HYPERLINK("https://shop.sonapharmacy.com/products/covidien-curity-abdominal-pad", "https://shop.sonapharmacy.com/products/covidien-curity-abdominal-pad")</f>
        <v>https://shop.sonapharmacy.com/products/covidien-curity-abdominal-pad</v>
      </c>
      <c r="C3172" t="s">
        <v>7920</v>
      </c>
      <c r="D3172" t="s">
        <v>7975</v>
      </c>
      <c r="E3172" s="3" t="str">
        <f>HYPERLINK("https://www.amazon.com/Covidien-9190A-Curity-Abdominal-Sterile/dp/B01MFGZHQO/ref=sr_1_3?keywords=Covidien%C2%AE+Curity+Abdominal+Pad&amp;qid=1695260163&amp;sr=8-3", "https://www.amazon.com/Covidien-9190A-Curity-Abdominal-Sterile/dp/B01MFGZHQO/ref=sr_1_3?keywords=Covidien%C2%AE+Curity+Abdominal+Pad&amp;qid=1695260163&amp;sr=8-3")</f>
        <v>https://www.amazon.com/Covidien-9190A-Curity-Abdominal-Sterile/dp/B01MFGZHQO/ref=sr_1_3?keywords=Covidien%C2%AE+Curity+Abdominal+Pad&amp;qid=1695260163&amp;sr=8-3</v>
      </c>
      <c r="F3172" t="s">
        <v>7976</v>
      </c>
      <c r="G3172" t="e">
        <f ca="1">IMAGE("https://shop.sonapharmacy.com/cdn/shop/products/5x9.jpg?v=1608146174")</f>
        <v>#NAME?</v>
      </c>
      <c r="H3172" t="e">
        <f ca="1">IMAGE("https://m.media-amazon.com/images/I/51d4E0RwcaL._AC_UL320_.jpg")</f>
        <v>#NAME?</v>
      </c>
      <c r="I3172" t="s">
        <v>7923</v>
      </c>
      <c r="J3172">
        <v>18.3</v>
      </c>
      <c r="K3172" s="2" t="s">
        <v>7977</v>
      </c>
      <c r="L3172">
        <v>4.7</v>
      </c>
      <c r="M3172">
        <v>103</v>
      </c>
      <c r="O3172" t="s">
        <v>26</v>
      </c>
      <c r="P3172" t="s">
        <v>39</v>
      </c>
      <c r="Q3172" t="s">
        <v>7925</v>
      </c>
    </row>
    <row r="3173" spans="1:17" ht="15.75" x14ac:dyDescent="0.25">
      <c r="A3173" s="3" t="str">
        <f>HYPERLINK("https://shop.sonapharmacy.com/products/covidien-telfa-adhesive-dressing-2-x-3in", "https://shop.sonapharmacy.com/products/covidien-telfa-adhesive-dressing-2-x-3in")</f>
        <v>https://shop.sonapharmacy.com/products/covidien-telfa-adhesive-dressing-2-x-3in</v>
      </c>
      <c r="B3173" s="3" t="str">
        <f>HYPERLINK("https://shop.sonapharmacy.com/products/covidien-telfa-adhesive-dressing-2-x-3in", "https://shop.sonapharmacy.com/products/covidien-telfa-adhesive-dressing-2-x-3in")</f>
        <v>https://shop.sonapharmacy.com/products/covidien-telfa-adhesive-dressing-2-x-3in</v>
      </c>
      <c r="C3173" t="s">
        <v>7938</v>
      </c>
      <c r="D3173" t="s">
        <v>7978</v>
      </c>
      <c r="E3173" s="3" t="str">
        <f>HYPERLINK("https://www.amazon.com/Covidien-6017-Adhesive-Dressing-Peel-Back/dp/B00KJ6WXX2/ref=sr_1_1?keywords=Covidien%C2%AE+Telfa+Adhesive+Dressing+2+x+3in&amp;qid=1695260167&amp;sr=8-1", "https://www.amazon.com/Covidien-6017-Adhesive-Dressing-Peel-Back/dp/B00KJ6WXX2/ref=sr_1_1?keywords=Covidien%C2%AE+Telfa+Adhesive+Dressing+2+x+3in&amp;qid=1695260167&amp;sr=8-1")</f>
        <v>https://www.amazon.com/Covidien-6017-Adhesive-Dressing-Peel-Back/dp/B00KJ6WXX2/ref=sr_1_1?keywords=Covidien%C2%AE+Telfa+Adhesive+Dressing+2+x+3in&amp;qid=1695260167&amp;sr=8-1</v>
      </c>
      <c r="F3173" t="s">
        <v>7979</v>
      </c>
      <c r="G3173" t="e">
        <f ca="1">IMAGE("https://shop.sonapharmacy.com/cdn/shop/products/8101KIzjT7L._AC_SL1500.jpg?v=1608135000")</f>
        <v>#NAME?</v>
      </c>
      <c r="H3173" t="e">
        <f ca="1">IMAGE("https://m.media-amazon.com/images/I/8101KIzjT7L._AC_UL320_.jpg")</f>
        <v>#NAME?</v>
      </c>
      <c r="I3173" t="s">
        <v>7935</v>
      </c>
      <c r="J3173">
        <v>17.22</v>
      </c>
      <c r="K3173" s="2" t="s">
        <v>7980</v>
      </c>
      <c r="L3173">
        <v>4.7</v>
      </c>
      <c r="M3173">
        <v>1264</v>
      </c>
      <c r="O3173" t="s">
        <v>26</v>
      </c>
      <c r="P3173" t="s">
        <v>39</v>
      </c>
      <c r="Q3173" t="s">
        <v>7942</v>
      </c>
    </row>
    <row r="3174" spans="1:17" ht="15.75" x14ac:dyDescent="0.25">
      <c r="A3174" s="3" t="str">
        <f>HYPERLINK("https://shop.sonapharmacy.com/products/purell%C2%AE-advanced-hand-sanitizer-refreshing-gel-2fl-oz", "https://shop.sonapharmacy.com/products/purell%C2%AE-advanced-hand-sanitizer-refreshing-gel-2fl-oz")</f>
        <v>https://shop.sonapharmacy.com/products/purell%C2%AE-advanced-hand-sanitizer-refreshing-gel-2fl-oz</v>
      </c>
      <c r="B3174" s="3" t="str">
        <f>HYPERLINK("https://shop.sonapharmacy.com/products/purell%c2%ae-advanced-hand-sanitizer-refreshing-gel-2fl-oz", "https://shop.sonapharmacy.com/products/purell%c2%ae-advanced-hand-sanitizer-refreshing-gel-2fl-oz")</f>
        <v>https://shop.sonapharmacy.com/products/purell%c2%ae-advanced-hand-sanitizer-refreshing-gel-2fl-oz</v>
      </c>
      <c r="C3174" t="s">
        <v>7981</v>
      </c>
      <c r="D3174" t="s">
        <v>7982</v>
      </c>
      <c r="E3174" s="3"/>
      <c r="F3174" t="s">
        <v>7983</v>
      </c>
      <c r="G3174" t="e">
        <f ca="1">IMAGE("https://shop.sonapharmacy.com/cdn/shop/products/71UqyQSibqL._SL1500.jpg?v=1610731509")</f>
        <v>#NAME?</v>
      </c>
      <c r="H3174" t="e">
        <f ca="1">IMAGE("https://m.media-amazon.com/images/I/81DsILF0knL._AC_UL320_.jpg")</f>
        <v>#NAME?</v>
      </c>
      <c r="I3174" t="s">
        <v>7984</v>
      </c>
      <c r="J3174">
        <v>71.34</v>
      </c>
      <c r="K3174" s="2" t="s">
        <v>7985</v>
      </c>
      <c r="L3174">
        <v>4.8</v>
      </c>
      <c r="M3174">
        <v>993</v>
      </c>
      <c r="O3174" t="s">
        <v>26</v>
      </c>
      <c r="P3174" t="s">
        <v>39</v>
      </c>
      <c r="Q3174" t="s">
        <v>7986</v>
      </c>
    </row>
    <row r="3175" spans="1:17" ht="15.75" x14ac:dyDescent="0.25">
      <c r="A3175" s="3" t="str">
        <f t="shared" ref="A3175:B3178" si="41">HYPERLINK("https://shop.sonapharmacy.com/products/covidien-curity-abdominal-pad", "https://shop.sonapharmacy.com/products/covidien-curity-abdominal-pad")</f>
        <v>https://shop.sonapharmacy.com/products/covidien-curity-abdominal-pad</v>
      </c>
      <c r="B3175" s="3" t="str">
        <f t="shared" si="41"/>
        <v>https://shop.sonapharmacy.com/products/covidien-curity-abdominal-pad</v>
      </c>
      <c r="C3175" t="s">
        <v>7920</v>
      </c>
      <c r="D3175" t="s">
        <v>7987</v>
      </c>
      <c r="E3175" s="3" t="str">
        <f>HYPERLINK("https://www.amazon.com/Covidien-9194A-Curity-Abdominal-Sterile/dp/B00NSPKY46/ref=sr_1_4?keywords=Covidien%C2%AE+Curity+Abdominal+Pad&amp;qid=1695260163&amp;sr=8-4", "https://www.amazon.com/Covidien-9194A-Curity-Abdominal-Sterile/dp/B00NSPKY46/ref=sr_1_4?keywords=Covidien%C2%AE+Curity+Abdominal+Pad&amp;qid=1695260163&amp;sr=8-4")</f>
        <v>https://www.amazon.com/Covidien-9194A-Curity-Abdominal-Sterile/dp/B00NSPKY46/ref=sr_1_4?keywords=Covidien%C2%AE+Curity+Abdominal+Pad&amp;qid=1695260163&amp;sr=8-4</v>
      </c>
      <c r="F3175" t="s">
        <v>7988</v>
      </c>
      <c r="G3175" t="e">
        <f ca="1">IMAGE("https://shop.sonapharmacy.com/cdn/shop/products/5x9.jpg?v=1608146174")</f>
        <v>#NAME?</v>
      </c>
      <c r="H3175" t="e">
        <f ca="1">IMAGE("https://m.media-amazon.com/images/I/41cEZFR26vL._AC_UL320_.jpg")</f>
        <v>#NAME?</v>
      </c>
      <c r="I3175" t="s">
        <v>7923</v>
      </c>
      <c r="J3175">
        <v>13.54</v>
      </c>
      <c r="K3175" s="2" t="s">
        <v>7989</v>
      </c>
      <c r="L3175">
        <v>4.5999999999999996</v>
      </c>
      <c r="M3175">
        <v>241</v>
      </c>
      <c r="O3175" t="s">
        <v>26</v>
      </c>
      <c r="P3175" t="s">
        <v>39</v>
      </c>
      <c r="Q3175" t="s">
        <v>7925</v>
      </c>
    </row>
    <row r="3176" spans="1:17" ht="15.75" x14ac:dyDescent="0.25">
      <c r="A3176" s="3" t="str">
        <f t="shared" si="41"/>
        <v>https://shop.sonapharmacy.com/products/covidien-curity-abdominal-pad</v>
      </c>
      <c r="B3176" s="3" t="str">
        <f t="shared" si="41"/>
        <v>https://shop.sonapharmacy.com/products/covidien-curity-abdominal-pad</v>
      </c>
      <c r="C3176" t="s">
        <v>7920</v>
      </c>
      <c r="D3176" t="s">
        <v>7990</v>
      </c>
      <c r="E3176" s="3" t="str">
        <f>HYPERLINK("https://www.amazon.com/Covidien-9190A-Curity-Abdominal-Sterile/dp/B00NSPKYQE/ref=sr_1_2?keywords=Covidien%C2%AE+Curity+Abdominal+Pad&amp;qid=1695260163&amp;sr=8-2", "https://www.amazon.com/Covidien-9190A-Curity-Abdominal-Sterile/dp/B00NSPKYQE/ref=sr_1_2?keywords=Covidien%C2%AE+Curity+Abdominal+Pad&amp;qid=1695260163&amp;sr=8-2")</f>
        <v>https://www.amazon.com/Covidien-9190A-Curity-Abdominal-Sterile/dp/B00NSPKYQE/ref=sr_1_2?keywords=Covidien%C2%AE+Curity+Abdominal+Pad&amp;qid=1695260163&amp;sr=8-2</v>
      </c>
      <c r="F3176" t="s">
        <v>7991</v>
      </c>
      <c r="G3176" t="e">
        <f ca="1">IMAGE("https://shop.sonapharmacy.com/cdn/shop/products/5x9.jpg?v=1608146174")</f>
        <v>#NAME?</v>
      </c>
      <c r="H3176" t="e">
        <f ca="1">IMAGE("https://m.media-amazon.com/images/I/81smvRFYVTL._AC_UL320_.jpg")</f>
        <v>#NAME?</v>
      </c>
      <c r="I3176" t="s">
        <v>7923</v>
      </c>
      <c r="J3176">
        <v>12.86</v>
      </c>
      <c r="K3176" s="2" t="s">
        <v>7992</v>
      </c>
      <c r="L3176">
        <v>4.7</v>
      </c>
      <c r="M3176">
        <v>588</v>
      </c>
      <c r="O3176" t="s">
        <v>26</v>
      </c>
      <c r="P3176" t="s">
        <v>39</v>
      </c>
      <c r="Q3176" t="s">
        <v>7925</v>
      </c>
    </row>
    <row r="3177" spans="1:17" ht="15.75" x14ac:dyDescent="0.25">
      <c r="A3177" s="3" t="str">
        <f t="shared" si="41"/>
        <v>https://shop.sonapharmacy.com/products/covidien-curity-abdominal-pad</v>
      </c>
      <c r="B3177" s="3" t="str">
        <f t="shared" si="41"/>
        <v>https://shop.sonapharmacy.com/products/covidien-curity-abdominal-pad</v>
      </c>
      <c r="C3177" t="s">
        <v>7920</v>
      </c>
      <c r="D3177" t="s">
        <v>7993</v>
      </c>
      <c r="E3177" s="3" t="str">
        <f>HYPERLINK("https://www.amazon.com/CURITY-Abdominal-Pads-Curity-Strl/dp/B007AZ4IP6/ref=sr_1_5?keywords=Covidien%C2%AE+Curity+Abdominal+Pad&amp;qid=1695260163&amp;sr=8-5", "https://www.amazon.com/CURITY-Abdominal-Pads-Curity-Strl/dp/B007AZ4IP6/ref=sr_1_5?keywords=Covidien%C2%AE+Curity+Abdominal+Pad&amp;qid=1695260163&amp;sr=8-5")</f>
        <v>https://www.amazon.com/CURITY-Abdominal-Pads-Curity-Strl/dp/B007AZ4IP6/ref=sr_1_5?keywords=Covidien%C2%AE+Curity+Abdominal+Pad&amp;qid=1695260163&amp;sr=8-5</v>
      </c>
      <c r="F3177" t="s">
        <v>7994</v>
      </c>
      <c r="G3177" t="e">
        <f ca="1">IMAGE("https://shop.sonapharmacy.com/cdn/shop/products/5x9.jpg?v=1608146174")</f>
        <v>#NAME?</v>
      </c>
      <c r="H3177" t="e">
        <f ca="1">IMAGE("https://m.media-amazon.com/images/I/91s9RboL2TL._AC_UL320_.jpg")</f>
        <v>#NAME?</v>
      </c>
      <c r="I3177" t="s">
        <v>7923</v>
      </c>
      <c r="J3177">
        <v>12.36</v>
      </c>
      <c r="K3177" s="2" t="s">
        <v>7995</v>
      </c>
      <c r="L3177">
        <v>4.8</v>
      </c>
      <c r="M3177">
        <v>595</v>
      </c>
      <c r="O3177" t="s">
        <v>26</v>
      </c>
      <c r="P3177" t="s">
        <v>39</v>
      </c>
      <c r="Q3177" t="s">
        <v>7925</v>
      </c>
    </row>
    <row r="3178" spans="1:17" ht="15.75" x14ac:dyDescent="0.25">
      <c r="A3178" s="3" t="str">
        <f t="shared" si="41"/>
        <v>https://shop.sonapharmacy.com/products/covidien-curity-abdominal-pad</v>
      </c>
      <c r="B3178" s="3" t="str">
        <f t="shared" si="41"/>
        <v>https://shop.sonapharmacy.com/products/covidien-curity-abdominal-pad</v>
      </c>
      <c r="C3178" t="s">
        <v>7920</v>
      </c>
      <c r="D3178" t="s">
        <v>7996</v>
      </c>
      <c r="E3178" s="3" t="str">
        <f>HYPERLINK("https://www.amazon.com/COVIDIEN-Abdominal-Pad-Curity-7197D/dp/B00YWJOD8A/ref=sr_1_10?keywords=Covidien%C2%AE+Curity+Abdominal+Pad&amp;qid=1695260163&amp;sr=8-10", "https://www.amazon.com/COVIDIEN-Abdominal-Pad-Curity-7197D/dp/B00YWJOD8A/ref=sr_1_10?keywords=Covidien%C2%AE+Curity+Abdominal+Pad&amp;qid=1695260163&amp;sr=8-10")</f>
        <v>https://www.amazon.com/COVIDIEN-Abdominal-Pad-Curity-7197D/dp/B00YWJOD8A/ref=sr_1_10?keywords=Covidien%C2%AE+Curity+Abdominal+Pad&amp;qid=1695260163&amp;sr=8-10</v>
      </c>
      <c r="F3178" t="s">
        <v>7997</v>
      </c>
      <c r="G3178" t="e">
        <f ca="1">IMAGE("https://shop.sonapharmacy.com/cdn/shop/products/5x9.jpg?v=1608146174")</f>
        <v>#NAME?</v>
      </c>
      <c r="H3178" t="e">
        <f ca="1">IMAGE("https://m.media-amazon.com/images/I/31mDLkeQtjL._AC_UL320_.jpg")</f>
        <v>#NAME?</v>
      </c>
      <c r="I3178" t="s">
        <v>7923</v>
      </c>
      <c r="J3178">
        <v>12.29</v>
      </c>
      <c r="K3178" s="2" t="s">
        <v>7998</v>
      </c>
      <c r="L3178">
        <v>4.5</v>
      </c>
      <c r="M3178">
        <v>3</v>
      </c>
      <c r="O3178" t="s">
        <v>26</v>
      </c>
      <c r="P3178" t="s">
        <v>39</v>
      </c>
      <c r="Q3178" t="s">
        <v>7925</v>
      </c>
    </row>
    <row r="3179" spans="1:17" ht="15.75" x14ac:dyDescent="0.25">
      <c r="A3179" s="3" t="str">
        <f>HYPERLINK("https://shop.sonapharmacy.com/products/covidien-telfa-adhesive-island-dressing-2-x-3-75in", "https://shop.sonapharmacy.com/products/covidien-telfa-adhesive-island-dressing-2-x-3-75in")</f>
        <v>https://shop.sonapharmacy.com/products/covidien-telfa-adhesive-island-dressing-2-x-3-75in</v>
      </c>
      <c r="B3179" s="3" t="str">
        <f>HYPERLINK("https://shop.sonapharmacy.com/products/covidien-telfa-adhesive-island-dressing-2-x-3-75in", "https://shop.sonapharmacy.com/products/covidien-telfa-adhesive-island-dressing-2-x-3-75in")</f>
        <v>https://shop.sonapharmacy.com/products/covidien-telfa-adhesive-island-dressing-2-x-3-75in</v>
      </c>
      <c r="C3179" t="s">
        <v>7932</v>
      </c>
      <c r="D3179" t="s">
        <v>7999</v>
      </c>
      <c r="E3179" s="3" t="str">
        <f>HYPERLINK("https://www.amazon.com/Adhesive-Island-Dressings-2x3-75-Sterile/dp/B00BCOIWX0/ref=sr_1_3?keywords=Covidien%C2%AE+Telfa+Adhesive+Island+Dressing+2+x+3.75in&amp;qid=1695260161&amp;sr=8-3", "https://www.amazon.com/Adhesive-Island-Dressings-2x3-75-Sterile/dp/B00BCOIWX0/ref=sr_1_3?keywords=Covidien%C2%AE+Telfa+Adhesive+Island+Dressing+2+x+3.75in&amp;qid=1695260161&amp;sr=8-3")</f>
        <v>https://www.amazon.com/Adhesive-Island-Dressings-2x3-75-Sterile/dp/B00BCOIWX0/ref=sr_1_3?keywords=Covidien%C2%AE+Telfa+Adhesive+Island+Dressing+2+x+3.75in&amp;qid=1695260161&amp;sr=8-3</v>
      </c>
      <c r="F3179" t="s">
        <v>8000</v>
      </c>
      <c r="G3179" t="e">
        <f ca="1">IMAGE("https://shop.sonapharmacy.com/cdn/shop/products/covidien-telfa-adhesive-island-dressing-7539lf.jpg?v=1608135470")</f>
        <v>#NAME?</v>
      </c>
      <c r="H3179" t="e">
        <f ca="1">IMAGE("https://m.media-amazon.com/images/I/41yIeuB722L._AC_UL320_.jpg")</f>
        <v>#NAME?</v>
      </c>
      <c r="I3179" t="s">
        <v>7935</v>
      </c>
      <c r="J3179">
        <v>11.99</v>
      </c>
      <c r="K3179" s="2" t="s">
        <v>8001</v>
      </c>
      <c r="L3179">
        <v>4.8</v>
      </c>
      <c r="M3179">
        <v>886</v>
      </c>
      <c r="O3179" t="s">
        <v>136</v>
      </c>
      <c r="P3179" t="s">
        <v>39</v>
      </c>
      <c r="Q3179" t="s">
        <v>7937</v>
      </c>
    </row>
    <row r="3180" spans="1:17" ht="15.75" x14ac:dyDescent="0.25">
      <c r="A3180" s="3" t="str">
        <f>HYPERLINK("https://shop.sonapharmacy.com/products/purell%C2%AE-advanced-hand-sanitizer-refreshing-gel-2fl-oz", "https://shop.sonapharmacy.com/products/purell%C2%AE-advanced-hand-sanitizer-refreshing-gel-2fl-oz")</f>
        <v>https://shop.sonapharmacy.com/products/purell%C2%AE-advanced-hand-sanitizer-refreshing-gel-2fl-oz</v>
      </c>
      <c r="B3180" s="3" t="str">
        <f>HYPERLINK("https://shop.sonapharmacy.com/products/purell%c2%ae-advanced-hand-sanitizer-refreshing-gel-2fl-oz", "https://shop.sonapharmacy.com/products/purell%c2%ae-advanced-hand-sanitizer-refreshing-gel-2fl-oz")</f>
        <v>https://shop.sonapharmacy.com/products/purell%c2%ae-advanced-hand-sanitizer-refreshing-gel-2fl-oz</v>
      </c>
      <c r="C3180" t="s">
        <v>7981</v>
      </c>
      <c r="D3180" t="s">
        <v>8002</v>
      </c>
      <c r="E3180" s="3" t="str">
        <f>HYPERLINK("https://www.amazon.com/PURELL-Advanced-Sanitizer-Refreshing-Bottle/dp/B0036Z0YO8/ref=sr_1_7?keywords=Purell%C2%AE+Advanced+Hand+Sanitizer+Refreshing+Gel+2fl.+oz.&amp;qid=1695260680&amp;sr=8-7", "https://www.amazon.com/PURELL-Advanced-Sanitizer-Refreshing-Bottle/dp/B0036Z0YO8/ref=sr_1_7?keywords=Purell%C2%AE+Advanced+Hand+Sanitizer+Refreshing+Gel+2fl.+oz.&amp;qid=1695260680&amp;sr=8-7")</f>
        <v>https://www.amazon.com/PURELL-Advanced-Sanitizer-Refreshing-Bottle/dp/B0036Z0YO8/ref=sr_1_7?keywords=Purell%C2%AE+Advanced+Hand+Sanitizer+Refreshing+Gel+2fl.+oz.&amp;qid=1695260680&amp;sr=8-7</v>
      </c>
      <c r="F3180" t="s">
        <v>8003</v>
      </c>
      <c r="G3180" t="e">
        <f ca="1">IMAGE("https://shop.sonapharmacy.com/cdn/shop/products/71UqyQSibqL._SL1500.jpg?v=1610731509")</f>
        <v>#NAME?</v>
      </c>
      <c r="H3180" t="e">
        <f ca="1">IMAGE("https://m.media-amazon.com/images/I/81DQuomG9XL._AC_UL320_.jpg")</f>
        <v>#NAME?</v>
      </c>
      <c r="I3180" t="s">
        <v>7984</v>
      </c>
      <c r="J3180">
        <v>60.52</v>
      </c>
      <c r="K3180" s="2" t="s">
        <v>8004</v>
      </c>
      <c r="L3180">
        <v>4.7</v>
      </c>
      <c r="M3180">
        <v>471</v>
      </c>
      <c r="O3180" t="s">
        <v>26</v>
      </c>
      <c r="P3180" t="s">
        <v>39</v>
      </c>
      <c r="Q3180" t="s">
        <v>7986</v>
      </c>
    </row>
    <row r="3181" spans="1:17" ht="15.75" x14ac:dyDescent="0.25">
      <c r="A3181" s="3" t="str">
        <f>HYPERLINK("https://shop.sonapharmacy.com/products/purell%C2%AE-advanced-hand-sanitizer-refreshing-gel-2fl-oz", "https://shop.sonapharmacy.com/products/purell%C2%AE-advanced-hand-sanitizer-refreshing-gel-2fl-oz")</f>
        <v>https://shop.sonapharmacy.com/products/purell%C2%AE-advanced-hand-sanitizer-refreshing-gel-2fl-oz</v>
      </c>
      <c r="B3181" s="3" t="str">
        <f>HYPERLINK("https://shop.sonapharmacy.com/products/purell%c2%ae-advanced-hand-sanitizer-refreshing-gel-2fl-oz", "https://shop.sonapharmacy.com/products/purell%c2%ae-advanced-hand-sanitizer-refreshing-gel-2fl-oz")</f>
        <v>https://shop.sonapharmacy.com/products/purell%c2%ae-advanced-hand-sanitizer-refreshing-gel-2fl-oz</v>
      </c>
      <c r="C3181" t="s">
        <v>7981</v>
      </c>
      <c r="D3181" t="s">
        <v>8005</v>
      </c>
      <c r="E3181" s="3" t="str">
        <f>HYPERLINK("https://www.amazon.com/Advanced-Sanitizer-Refreshing-Fragrance-Portable/dp/B00CX21P70/ref=sr_1_10?keywords=Purell%C2%AE+Advanced+Hand+Sanitizer+Refreshing+Gel+2fl.+oz.&amp;qid=1695260680&amp;sr=8-10", "https://www.amazon.com/Advanced-Sanitizer-Refreshing-Fragrance-Portable/dp/B00CX21P70/ref=sr_1_10?keywords=Purell%C2%AE+Advanced+Hand+Sanitizer+Refreshing+Gel+2fl.+oz.&amp;qid=1695260680&amp;sr=8-10")</f>
        <v>https://www.amazon.com/Advanced-Sanitizer-Refreshing-Fragrance-Portable/dp/B00CX21P70/ref=sr_1_10?keywords=Purell%C2%AE+Advanced+Hand+Sanitizer+Refreshing+Gel+2fl.+oz.&amp;qid=1695260680&amp;sr=8-10</v>
      </c>
      <c r="F3181" t="s">
        <v>8006</v>
      </c>
      <c r="G3181" t="e">
        <f ca="1">IMAGE("https://shop.sonapharmacy.com/cdn/shop/products/71UqyQSibqL._SL1500.jpg?v=1610731509")</f>
        <v>#NAME?</v>
      </c>
      <c r="H3181" t="e">
        <f ca="1">IMAGE("https://m.media-amazon.com/images/I/81jHRB+EHML._AC_UL320_.jpg")</f>
        <v>#NAME?</v>
      </c>
      <c r="I3181" t="s">
        <v>7984</v>
      </c>
      <c r="J3181">
        <v>58.99</v>
      </c>
      <c r="K3181" s="2" t="s">
        <v>8007</v>
      </c>
      <c r="L3181">
        <v>4.3</v>
      </c>
      <c r="M3181">
        <v>40</v>
      </c>
      <c r="O3181" t="s">
        <v>26</v>
      </c>
      <c r="P3181" t="s">
        <v>39</v>
      </c>
      <c r="Q3181" t="s">
        <v>7986</v>
      </c>
    </row>
    <row r="3182" spans="1:17" ht="15.75" x14ac:dyDescent="0.25">
      <c r="A3182" s="3" t="str">
        <f>HYPERLINK("https://shop.sonapharmacy.com/products/pedia-lax%C2%AE-glycerin-suppositories", "https://shop.sonapharmacy.com/products/pedia-lax%C2%AE-glycerin-suppositories")</f>
        <v>https://shop.sonapharmacy.com/products/pedia-lax%C2%AE-glycerin-suppositories</v>
      </c>
      <c r="B3182" s="3" t="str">
        <f>HYPERLINK("https://shop.sonapharmacy.com/products/pedia-lax%c2%ae-glycerin-suppositories", "https://shop.sonapharmacy.com/products/pedia-lax%c2%ae-glycerin-suppositories")</f>
        <v>https://shop.sonapharmacy.com/products/pedia-lax%c2%ae-glycerin-suppositories</v>
      </c>
      <c r="C3182" t="s">
        <v>8008</v>
      </c>
      <c r="D3182" t="s">
        <v>8009</v>
      </c>
      <c r="E3182" s="3" t="str">
        <f>HYPERLINK("https://www.amazon.com/Fleet-Pedia-Lax-Liquid-Glycerin-Suppositories/dp/B01IAI4QQ2/ref=sr_1_8?keywords=Pedia-Lax%C2%AE+Glycerin+Suppositories&amp;qid=1695260628&amp;sr=8-8", "https://www.amazon.com/Fleet-Pedia-Lax-Liquid-Glycerin-Suppositories/dp/B01IAI4QQ2/ref=sr_1_8?keywords=Pedia-Lax%C2%AE+Glycerin+Suppositories&amp;qid=1695260628&amp;sr=8-8")</f>
        <v>https://www.amazon.com/Fleet-Pedia-Lax-Liquid-Glycerin-Suppositories/dp/B01IAI4QQ2/ref=sr_1_8?keywords=Pedia-Lax%C2%AE+Glycerin+Suppositories&amp;qid=1695260628&amp;sr=8-8</v>
      </c>
      <c r="F3182" t="s">
        <v>8010</v>
      </c>
      <c r="G3182" t="e">
        <f ca="1">IMAGE("https://shop.sonapharmacy.com/cdn/shop/products/pedialaxresized.jpg?v=1592422726")</f>
        <v>#NAME?</v>
      </c>
      <c r="H3182" t="e">
        <f ca="1">IMAGE("https://m.media-amazon.com/images/I/71eIfoE6BkL._AC_UL320_.jpg")</f>
        <v>#NAME?</v>
      </c>
      <c r="I3182" t="s">
        <v>7952</v>
      </c>
      <c r="J3182">
        <v>76.760000000000005</v>
      </c>
      <c r="K3182" s="2" t="s">
        <v>8011</v>
      </c>
      <c r="L3182">
        <v>5</v>
      </c>
      <c r="M3182">
        <v>6</v>
      </c>
      <c r="O3182" t="s">
        <v>26</v>
      </c>
      <c r="P3182" t="s">
        <v>39</v>
      </c>
      <c r="Q3182" t="s">
        <v>8012</v>
      </c>
    </row>
    <row r="3183" spans="1:17" ht="15.75" x14ac:dyDescent="0.25">
      <c r="A3183" s="3" t="str">
        <f>HYPERLINK("https://shop.sonapharmacy.com/products/preservision-areds-formula-soft-gels", "https://shop.sonapharmacy.com/products/preservision-areds-formula-soft-gels")</f>
        <v>https://shop.sonapharmacy.com/products/preservision-areds-formula-soft-gels</v>
      </c>
      <c r="B3183" s="3" t="str">
        <f>HYPERLINK("https://shop.sonapharmacy.com/products/preservision-areds-formula-soft-gels", "https://shop.sonapharmacy.com/products/preservision-areds-formula-soft-gels")</f>
        <v>https://shop.sonapharmacy.com/products/preservision-areds-formula-soft-gels</v>
      </c>
      <c r="C3183" t="s">
        <v>8013</v>
      </c>
      <c r="D3183" t="s">
        <v>8014</v>
      </c>
      <c r="E3183" s="3" t="str">
        <f>HYPERLINK("https://www.amazon.com/PreserVision-AREDS-Vitamin-Mineral-Supplement/dp/B01IAINANW/ref=sr_1_4?keywords=PreserVision+AREDS+Formula+Soft+Gels&amp;qid=1695260640&amp;sr=8-4", "https://www.amazon.com/PreserVision-AREDS-Vitamin-Mineral-Supplement/dp/B01IAINANW/ref=sr_1_4?keywords=PreserVision+AREDS+Formula+Soft+Gels&amp;qid=1695260640&amp;sr=8-4")</f>
        <v>https://www.amazon.com/PreserVision-AREDS-Vitamin-Mineral-Supplement/dp/B01IAINANW/ref=sr_1_4?keywords=PreserVision+AREDS+Formula+Soft+Gels&amp;qid=1695260640&amp;sr=8-4</v>
      </c>
      <c r="F3183" t="s">
        <v>8015</v>
      </c>
      <c r="G3183" t="e">
        <f ca="1">IMAGE("https://shop.sonapharmacy.com/cdn/shop/products/PreserVisionAREDSFormulaSoftGels3.jpg?v=1594926297")</f>
        <v>#NAME?</v>
      </c>
      <c r="H3183" t="e">
        <f ca="1">IMAGE("https://m.media-amazon.com/images/I/61HKMqbpqbL._AC_UL320_.jpg")</f>
        <v>#NAME?</v>
      </c>
      <c r="I3183" t="s">
        <v>8016</v>
      </c>
      <c r="J3183">
        <v>540.76</v>
      </c>
      <c r="K3183" s="2" t="s">
        <v>8017</v>
      </c>
      <c r="L3183">
        <v>5</v>
      </c>
      <c r="M3183">
        <v>1</v>
      </c>
      <c r="O3183" t="s">
        <v>26</v>
      </c>
      <c r="P3183" t="s">
        <v>39</v>
      </c>
      <c r="Q3183" t="s">
        <v>8018</v>
      </c>
    </row>
    <row r="3184" spans="1:17" ht="15.75" x14ac:dyDescent="0.25">
      <c r="A3184" s="3" t="str">
        <f>HYPERLINK("https://shop.sonapharmacy.com/products/kleenex%C2%AE-anti-viral-3-ply-tissue-60ct", "https://shop.sonapharmacy.com/products/kleenex%C2%AE-anti-viral-3-ply-tissue-60ct")</f>
        <v>https://shop.sonapharmacy.com/products/kleenex%C2%AE-anti-viral-3-ply-tissue-60ct</v>
      </c>
      <c r="B3184" s="3" t="str">
        <f>HYPERLINK("https://shop.sonapharmacy.com/products/kleenex%c2%ae-anti-viral-3-ply-tissue-60ct", "https://shop.sonapharmacy.com/products/kleenex%c2%ae-anti-viral-3-ply-tissue-60ct")</f>
        <v>https://shop.sonapharmacy.com/products/kleenex%c2%ae-anti-viral-3-ply-tissue-60ct</v>
      </c>
      <c r="C3184" t="s">
        <v>8019</v>
      </c>
      <c r="D3184" t="s">
        <v>8020</v>
      </c>
      <c r="E3184" s="3" t="str">
        <f>HYPERLINK("https://www.amazon.com/Kleenex-25836CT-Anti-Viral-Facial-Tissue/dp/B0068IUH9C/ref=sr_1_6?keywords=Kleenex%C2%AE+Anti-Viral+3-Ply+Tissue+60ct.&amp;qid=1695260456&amp;sr=8-6", "https://www.amazon.com/Kleenex-25836CT-Anti-Viral-Facial-Tissue/dp/B0068IUH9C/ref=sr_1_6?keywords=Kleenex%C2%AE+Anti-Viral+3-Ply+Tissue+60ct.&amp;qid=1695260456&amp;sr=8-6")</f>
        <v>https://www.amazon.com/Kleenex-25836CT-Anti-Viral-Facial-Tissue/dp/B0068IUH9C/ref=sr_1_6?keywords=Kleenex%C2%AE+Anti-Viral+3-Ply+Tissue+60ct.&amp;qid=1695260456&amp;sr=8-6</v>
      </c>
      <c r="F3184" t="s">
        <v>8021</v>
      </c>
      <c r="G3184" t="e">
        <f ca="1">IMAGE("https://shop.sonapharmacy.com/cdn/shop/products/d4023af1-9015-431e-a28c-024272d40afc_1.6559ffb226f59eebfd05eb63ba294f00.jpg?v=1610729260")</f>
        <v>#NAME?</v>
      </c>
      <c r="H3184" t="e">
        <f ca="1">IMAGE("https://m.media-amazon.com/images/I/71EMi5MiGUL._AC_UL320_.jpg")</f>
        <v>#NAME?</v>
      </c>
      <c r="I3184" t="s">
        <v>8022</v>
      </c>
      <c r="J3184">
        <v>68.91</v>
      </c>
      <c r="K3184" s="2" t="s">
        <v>8023</v>
      </c>
      <c r="L3184">
        <v>4.0999999999999996</v>
      </c>
      <c r="M3184">
        <v>18</v>
      </c>
      <c r="O3184" t="s">
        <v>26</v>
      </c>
      <c r="P3184" t="s">
        <v>39</v>
      </c>
      <c r="Q3184" t="s">
        <v>8024</v>
      </c>
    </row>
    <row r="3185" spans="1:17" ht="15.75" x14ac:dyDescent="0.25">
      <c r="A3185" s="3" t="str">
        <f>HYPERLINK("https://shop.sonapharmacy.com/products/bulkee-ii-sterile-super-fluff-sponge-6-x-6-75in", "https://shop.sonapharmacy.com/products/bulkee-ii-sterile-super-fluff-sponge-6-x-6-75in")</f>
        <v>https://shop.sonapharmacy.com/products/bulkee-ii-sterile-super-fluff-sponge-6-x-6-75in</v>
      </c>
      <c r="B3185" s="3" t="str">
        <f>HYPERLINK("https://shop.sonapharmacy.com/products/bulkee-ii-sterile-super-fluff-sponge-6-x-6-75in", "https://shop.sonapharmacy.com/products/bulkee-ii-sterile-super-fluff-sponge-6-x-6-75in")</f>
        <v>https://shop.sonapharmacy.com/products/bulkee-ii-sterile-super-fluff-sponge-6-x-6-75in</v>
      </c>
      <c r="C3185" t="s">
        <v>8025</v>
      </c>
      <c r="D3185" t="s">
        <v>8026</v>
      </c>
      <c r="E3185" s="3" t="str">
        <f>HYPERLINK("https://www.amazon.com/Medline-NON25856-Bulkee-Sterile-Diagonal/dp/B00LOL31KU/ref=sr_1_3?keywords=Bulkee+II+Sterile+Super+Fluff+Sponge+6+x+6.75in&amp;qid=1695260103&amp;sr=8-3", "https://www.amazon.com/Medline-NON25856-Bulkee-Sterile-Diagonal/dp/B00LOL31KU/ref=sr_1_3?keywords=Bulkee+II+Sterile+Super+Fluff+Sponge+6+x+6.75in&amp;qid=1695260103&amp;sr=8-3")</f>
        <v>https://www.amazon.com/Medline-NON25856-Bulkee-Sterile-Diagonal/dp/B00LOL31KU/ref=sr_1_3?keywords=Bulkee+II+Sterile+Super+Fluff+Sponge+6+x+6.75in&amp;qid=1695260103&amp;sr=8-3</v>
      </c>
      <c r="F3185" t="s">
        <v>8027</v>
      </c>
      <c r="G3185" t="e">
        <f ca="1">IMAGE("https://shop.sonapharmacy.com/cdn/shop/products/61gPlC92fcL._SL1200.jpg?v=1608133932")</f>
        <v>#NAME?</v>
      </c>
      <c r="H3185" t="e">
        <f ca="1">IMAGE("https://m.media-amazon.com/images/I/61AzLpY6+QL._AC_UY218_.jpg")</f>
        <v>#NAME?</v>
      </c>
      <c r="I3185" t="s">
        <v>8028</v>
      </c>
      <c r="J3185">
        <v>215.29</v>
      </c>
      <c r="K3185" s="2" t="s">
        <v>8029</v>
      </c>
      <c r="L3185">
        <v>5</v>
      </c>
      <c r="M3185">
        <v>1</v>
      </c>
      <c r="O3185" t="s">
        <v>26</v>
      </c>
      <c r="P3185" t="s">
        <v>39</v>
      </c>
      <c r="Q3185" t="s">
        <v>8030</v>
      </c>
    </row>
    <row r="3186" spans="1:17" ht="15.75" x14ac:dyDescent="0.25">
      <c r="A3186" s="3" t="str">
        <f>HYPERLINK("https://shop.sonapharmacy.com/products/halls-relief-honey-lemon-cough-drops", "https://shop.sonapharmacy.com/products/halls-relief-honey-lemon-cough-drops")</f>
        <v>https://shop.sonapharmacy.com/products/halls-relief-honey-lemon-cough-drops</v>
      </c>
      <c r="B3186" s="3" t="str">
        <f>HYPERLINK("https://shop.sonapharmacy.com/products/halls-relief-honey-lemon-cough-drops", "https://shop.sonapharmacy.com/products/halls-relief-honey-lemon-cough-drops")</f>
        <v>https://shop.sonapharmacy.com/products/halls-relief-honey-lemon-cough-drops</v>
      </c>
      <c r="C3186" t="s">
        <v>8031</v>
      </c>
      <c r="D3186" t="s">
        <v>8032</v>
      </c>
      <c r="E3186" s="3" t="str">
        <f>HYPERLINK("https://www.amazon.com/Halls-Honey-Lemon-Sugar-Cough/dp/B079HF9B43/ref=sr_1_10?keywords=Halls%C2%AE+Relief+Honey+Lemon+Cough+Drops&amp;qid=1695260411&amp;sr=8-10", "https://www.amazon.com/Halls-Honey-Lemon-Sugar-Cough/dp/B079HF9B43/ref=sr_1_10?keywords=Halls%C2%AE+Relief+Honey+Lemon+Cough+Drops&amp;qid=1695260411&amp;sr=8-10")</f>
        <v>https://www.amazon.com/Halls-Honey-Lemon-Sugar-Cough/dp/B079HF9B43/ref=sr_1_10?keywords=Halls%C2%AE+Relief+Honey+Lemon+Cough+Drops&amp;qid=1695260411&amp;sr=8-10</v>
      </c>
      <c r="F3186" t="s">
        <v>8033</v>
      </c>
      <c r="G3186" t="e">
        <f ca="1">IMAGE("https://shop.sonapharmacy.com/cdn/shop/products/HALLS_Menthol_HoneyLemon_30ct.png?v=1608215589")</f>
        <v>#NAME?</v>
      </c>
      <c r="H3186" t="e">
        <f ca="1">IMAGE("https://m.media-amazon.com/images/I/71K-YxEgRTL._AC_UL320_.jpg")</f>
        <v>#NAME?</v>
      </c>
      <c r="I3186" t="s">
        <v>8034</v>
      </c>
      <c r="J3186">
        <v>61.33</v>
      </c>
      <c r="K3186" s="2" t="s">
        <v>8035</v>
      </c>
      <c r="L3186">
        <v>4.5999999999999996</v>
      </c>
      <c r="M3186">
        <v>18</v>
      </c>
      <c r="O3186" t="s">
        <v>26</v>
      </c>
      <c r="P3186" t="s">
        <v>39</v>
      </c>
      <c r="Q3186" t="s">
        <v>8036</v>
      </c>
    </row>
    <row r="3187" spans="1:17" ht="15.75" x14ac:dyDescent="0.25">
      <c r="A3187" s="3" t="str">
        <f>HYPERLINK("https://shop.sonapharmacy.com/products/baby-love%C2%AE-baby-wipes-soothing-aloe-vera-80ct", "https://shop.sonapharmacy.com/products/baby-love%C2%AE-baby-wipes-soothing-aloe-vera-80ct")</f>
        <v>https://shop.sonapharmacy.com/products/baby-love%C2%AE-baby-wipes-soothing-aloe-vera-80ct</v>
      </c>
      <c r="B3187" s="3" t="str">
        <f>HYPERLINK("https://shop.sonapharmacy.com/products/baby-love%c2%ae-baby-wipes-soothing-aloe-vera-80ct", "https://shop.sonapharmacy.com/products/baby-love%c2%ae-baby-wipes-soothing-aloe-vera-80ct")</f>
        <v>https://shop.sonapharmacy.com/products/baby-love%c2%ae-baby-wipes-soothing-aloe-vera-80ct</v>
      </c>
      <c r="C3187" t="s">
        <v>7964</v>
      </c>
      <c r="D3187" t="s">
        <v>8037</v>
      </c>
      <c r="E3187" s="3" t="str">
        <f>HYPERLINK("https://www.amazon.com/Mom-World-Soothing-Calendula-Cucumber/dp/B09VDBCF2Z/ref=sr_1_8?keywords=Baby+Love%C2%AE+Baby+Wipes+Soothing+Aloe+Vera+72ct&amp;qid=1695260054&amp;sr=8-8", "https://www.amazon.com/Mom-World-Soothing-Calendula-Cucumber/dp/B09VDBCF2Z/ref=sr_1_8?keywords=Baby+Love%C2%AE+Baby+Wipes+Soothing+Aloe+Vera+72ct&amp;qid=1695260054&amp;sr=8-8")</f>
        <v>https://www.amazon.com/Mom-World-Soothing-Calendula-Cucumber/dp/B09VDBCF2Z/ref=sr_1_8?keywords=Baby+Love%C2%AE+Baby+Wipes+Soothing+Aloe+Vera+72ct&amp;qid=1695260054&amp;sr=8-8</v>
      </c>
      <c r="F3187" t="s">
        <v>8038</v>
      </c>
      <c r="G3187" t="e">
        <f ca="1">IMAGE("https://shop.sonapharmacy.com/cdn/shop/products/694133.jpg?v=1609338485")</f>
        <v>#NAME?</v>
      </c>
      <c r="H3187" t="e">
        <f ca="1">IMAGE("https://m.media-amazon.com/images/I/61zglUuLPNL._AC_UL320_.jpg")</f>
        <v>#NAME?</v>
      </c>
      <c r="I3187" t="s">
        <v>7967</v>
      </c>
      <c r="J3187">
        <v>19.399999999999999</v>
      </c>
      <c r="K3187" s="2" t="s">
        <v>8039</v>
      </c>
      <c r="L3187">
        <v>4.5999999999999996</v>
      </c>
      <c r="M3187">
        <v>5</v>
      </c>
      <c r="O3187" t="s">
        <v>136</v>
      </c>
      <c r="P3187" t="s">
        <v>39</v>
      </c>
      <c r="Q3187" t="s">
        <v>7969</v>
      </c>
    </row>
    <row r="3188" spans="1:17" ht="15.75" x14ac:dyDescent="0.25">
      <c r="A3188"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B3188"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C3188" t="s">
        <v>8040</v>
      </c>
      <c r="D3188" t="s">
        <v>8041</v>
      </c>
      <c r="E3188" s="3" t="str">
        <f>HYPERLINK("https://www.amazon.com/Colgate-Cavity-Protection-Toothpaste-Fluoride/dp/B01BNE0HBS/ref=sr_1_2?keywords=Colgate%C2%AE+Regular+Flavor+Cavity+Protection+Toothpaste+1oz.&amp;qid=1695260151&amp;sr=8-2", "https://www.amazon.com/Colgate-Cavity-Protection-Toothpaste-Fluoride/dp/B01BNE0HBS/ref=sr_1_2?keywords=Colgate%C2%AE+Regular+Flavor+Cavity+Protection+Toothpaste+1oz.&amp;qid=1695260151&amp;sr=8-2")</f>
        <v>https://www.amazon.com/Colgate-Cavity-Protection-Toothpaste-Fluoride/dp/B01BNE0HBS/ref=sr_1_2?keywords=Colgate%C2%AE+Regular+Flavor+Cavity+Protection+Toothpaste+1oz.&amp;qid=1695260151&amp;sr=8-2</v>
      </c>
      <c r="F3188" t="s">
        <v>8042</v>
      </c>
      <c r="G3188" t="e">
        <f ca="1">IMAGE("https://shop.sonapharmacy.com/cdn/shop/products/22e7c50a-9344-4f9c-96af-3a2549d6ce02_7.1d4f47662a946d4e424dc54f6c6c8eed.png?v=1608651728")</f>
        <v>#NAME?</v>
      </c>
      <c r="H3188" t="e">
        <f ca="1">IMAGE("https://m.media-amazon.com/images/I/81MyMJvBjDL._AC_UL320_.jpg")</f>
        <v>#NAME?</v>
      </c>
      <c r="I3188" t="s">
        <v>8043</v>
      </c>
      <c r="J3188">
        <v>20.04</v>
      </c>
      <c r="K3188" s="2" t="s">
        <v>8044</v>
      </c>
      <c r="L3188">
        <v>4.8</v>
      </c>
      <c r="M3188">
        <v>60090</v>
      </c>
      <c r="O3188" t="s">
        <v>26</v>
      </c>
      <c r="P3188" t="s">
        <v>39</v>
      </c>
      <c r="Q3188" t="s">
        <v>8045</v>
      </c>
    </row>
    <row r="3189" spans="1:17" ht="15.75" x14ac:dyDescent="0.25">
      <c r="A3189" s="3" t="str">
        <f>HYPERLINK("https://shop.sonapharmacy.com/products/reach%C2%AE-mint-waxed-floss-55yds", "https://shop.sonapharmacy.com/products/reach%C2%AE-mint-waxed-floss-55yds")</f>
        <v>https://shop.sonapharmacy.com/products/reach%C2%AE-mint-waxed-floss-55yds</v>
      </c>
      <c r="B3189" s="3" t="str">
        <f>HYPERLINK("https://shop.sonapharmacy.com/products/reach%c2%ae-mint-waxed-floss-55yds", "https://shop.sonapharmacy.com/products/reach%c2%ae-mint-waxed-floss-55yds")</f>
        <v>https://shop.sonapharmacy.com/products/reach%c2%ae-mint-waxed-floss-55yds</v>
      </c>
      <c r="C3189" t="s">
        <v>8046</v>
      </c>
      <c r="D3189" t="s">
        <v>8047</v>
      </c>
      <c r="E3189" s="3" t="str">
        <f>HYPERLINK("https://www.amazon.com/Reach-Dentotape-Effective-Removal-Cleaning/dp/B001E96PA0/ref=sr_1_5?keywords=Reach%C2%AE+Mint+Waxed+Floss&amp;qid=1695260669&amp;sr=8-5", "https://www.amazon.com/Reach-Dentotape-Effective-Removal-Cleaning/dp/B001E96PA0/ref=sr_1_5?keywords=Reach%C2%AE+Mint+Waxed+Floss&amp;qid=1695260669&amp;sr=8-5")</f>
        <v>https://www.amazon.com/Reach-Dentotape-Effective-Removal-Cleaning/dp/B001E96PA0/ref=sr_1_5?keywords=Reach%C2%AE+Mint+Waxed+Floss&amp;qid=1695260669&amp;sr=8-5</v>
      </c>
      <c r="F3189" t="s">
        <v>8048</v>
      </c>
      <c r="G3189" t="e">
        <f ca="1">IMAGE("https://shop.sonapharmacy.com/cdn/shop/products/reach_mint_waxed_floss.png?v=1608573621")</f>
        <v>#NAME?</v>
      </c>
      <c r="H3189" t="e">
        <f ca="1">IMAGE("https://m.media-amazon.com/images/I/61XqDNKIIkL._AC_UL320_.jpg")</f>
        <v>#NAME?</v>
      </c>
      <c r="I3189" t="s">
        <v>8049</v>
      </c>
      <c r="J3189">
        <v>26.99</v>
      </c>
      <c r="K3189" s="2" t="s">
        <v>8050</v>
      </c>
      <c r="L3189">
        <v>4.7</v>
      </c>
      <c r="M3189">
        <v>19222</v>
      </c>
      <c r="O3189" t="s">
        <v>26</v>
      </c>
      <c r="P3189" t="s">
        <v>39</v>
      </c>
      <c r="Q3189" t="s">
        <v>8051</v>
      </c>
    </row>
    <row r="3190" spans="1:17" ht="15.75" x14ac:dyDescent="0.25">
      <c r="A3190" s="3" t="str">
        <f>HYPERLINK("https://shop.sonapharmacy.com/products/dr-scholls%C2%AE-orthotics-for-arthritis-pain-mens-size-8-12", "https://shop.sonapharmacy.com/products/dr-scholls%C2%AE-orthotics-for-arthritis-pain-mens-size-8-12")</f>
        <v>https://shop.sonapharmacy.com/products/dr-scholls%C2%AE-orthotics-for-arthritis-pain-mens-size-8-12</v>
      </c>
      <c r="B3190" s="3" t="str">
        <f>HYPERLINK("https://shop.sonapharmacy.com/products/dr-scholls%c2%ae-orthotics-for-arthritis-pain-mens-size-8-12", "https://shop.sonapharmacy.com/products/dr-scholls%c2%ae-orthotics-for-arthritis-pain-mens-size-8-12")</f>
        <v>https://shop.sonapharmacy.com/products/dr-scholls%c2%ae-orthotics-for-arthritis-pain-mens-size-8-12</v>
      </c>
      <c r="C3190" t="s">
        <v>8052</v>
      </c>
      <c r="D3190" t="s">
        <v>8053</v>
      </c>
      <c r="E3190" s="3" t="str">
        <f>HYPERLINK("https://www.amazon.com/Dr-Scholls-Orthotics-Technology-Distribute/dp/B0BVGTZ432/ref=sr_1_2?keywords=Dr.+Scholl%27s%C2%AE+Orthotics+for+Arthritis+Pain+Men%27s+Size+8-12&amp;qid=1695260194&amp;sr=8-2", "https://www.amazon.com/Dr-Scholls-Orthotics-Technology-Distribute/dp/B0BVGTZ432/ref=sr_1_2?keywords=Dr.+Scholl%27s%C2%AE+Orthotics+for+Arthritis+Pain+Men%27s+Size+8-12&amp;qid=1695260194&amp;sr=8-2")</f>
        <v>https://www.amazon.com/Dr-Scholls-Orthotics-Technology-Distribute/dp/B0BVGTZ432/ref=sr_1_2?keywords=Dr.+Scholl%27s%C2%AE+Orthotics+for+Arthritis+Pain+Men%27s+Size+8-12&amp;qid=1695260194&amp;sr=8-2</v>
      </c>
      <c r="F3190" t="s">
        <v>8054</v>
      </c>
      <c r="G3190" t="e">
        <f ca="1">IMAGE("https://shop.sonapharmacy.com/cdn/shop/products/a1592bf4-ddca-42bd-8534-187b7fa461e8_2.672d67955d9c23b2a33d3276def5fe26_1.jpg?v=1610415946")</f>
        <v>#NAME?</v>
      </c>
      <c r="H3190" t="e">
        <f ca="1">IMAGE("https://m.media-amazon.com/images/I/81-x2Z9OrSL._AC_UL320_.jpg")</f>
        <v>#NAME?</v>
      </c>
      <c r="I3190" t="s">
        <v>8055</v>
      </c>
      <c r="J3190">
        <v>195.84</v>
      </c>
      <c r="K3190" s="2" t="s">
        <v>8056</v>
      </c>
      <c r="L3190">
        <v>3</v>
      </c>
      <c r="M3190">
        <v>2</v>
      </c>
      <c r="O3190" t="s">
        <v>136</v>
      </c>
      <c r="P3190" t="s">
        <v>39</v>
      </c>
      <c r="Q3190" t="s">
        <v>8057</v>
      </c>
    </row>
    <row r="3191" spans="1:17" ht="15.75" x14ac:dyDescent="0.25">
      <c r="A3191" s="3" t="str">
        <f>HYPERLINK("https://shop.sonapharmacy.com/products/dr-scholls%C2%AE-orthotics-for-arthritis-pain-mens-size-8-12", "https://shop.sonapharmacy.com/products/dr-scholls%C2%AE-orthotics-for-arthritis-pain-mens-size-8-12")</f>
        <v>https://shop.sonapharmacy.com/products/dr-scholls%C2%AE-orthotics-for-arthritis-pain-mens-size-8-12</v>
      </c>
      <c r="B3191" s="3" t="str">
        <f>HYPERLINK("https://shop.sonapharmacy.com/products/dr-scholls%c2%ae-orthotics-for-arthritis-pain-mens-size-8-12", "https://shop.sonapharmacy.com/products/dr-scholls%c2%ae-orthotics-for-arthritis-pain-mens-size-8-12")</f>
        <v>https://shop.sonapharmacy.com/products/dr-scholls%c2%ae-orthotics-for-arthritis-pain-mens-size-8-12</v>
      </c>
      <c r="C3191" t="s">
        <v>8052</v>
      </c>
      <c r="D3191" t="s">
        <v>8058</v>
      </c>
      <c r="E3191" s="3" t="str">
        <f>HYPERLINK("https://www.amazon.com/Dr-Scholls-Plantar-Fasciitis-Orthotics/dp/B0BW3TFBJ4/ref=sr_1_1?keywords=Dr.+Scholl%27s%C2%AE+Orthotics+for+Arthritis+Pain+Men%27s+Size+8-12&amp;qid=1695260194&amp;sr=8-1", "https://www.amazon.com/Dr-Scholls-Plantar-Fasciitis-Orthotics/dp/B0BW3TFBJ4/ref=sr_1_1?keywords=Dr.+Scholl%27s%C2%AE+Orthotics+for+Arthritis+Pain+Men%27s+Size+8-12&amp;qid=1695260194&amp;sr=8-1")</f>
        <v>https://www.amazon.com/Dr-Scholls-Plantar-Fasciitis-Orthotics/dp/B0BW3TFBJ4/ref=sr_1_1?keywords=Dr.+Scholl%27s%C2%AE+Orthotics+for+Arthritis+Pain+Men%27s+Size+8-12&amp;qid=1695260194&amp;sr=8-1</v>
      </c>
      <c r="F3191" t="s">
        <v>8059</v>
      </c>
      <c r="G3191" t="e">
        <f ca="1">IMAGE("https://shop.sonapharmacy.com/cdn/shop/products/a1592bf4-ddca-42bd-8534-187b7fa461e8_2.672d67955d9c23b2a33d3276def5fe26_1.jpg?v=1610415946")</f>
        <v>#NAME?</v>
      </c>
      <c r="H3191" t="e">
        <f ca="1">IMAGE("https://m.media-amazon.com/images/I/81UASrpeRjL._AC_UL320_.jpg")</f>
        <v>#NAME?</v>
      </c>
      <c r="I3191" t="s">
        <v>8055</v>
      </c>
      <c r="J3191">
        <v>186.48</v>
      </c>
      <c r="K3191" s="2" t="s">
        <v>8060</v>
      </c>
      <c r="L3191">
        <v>4.4000000000000004</v>
      </c>
      <c r="M3191">
        <v>46889</v>
      </c>
      <c r="O3191" t="s">
        <v>136</v>
      </c>
      <c r="P3191" t="s">
        <v>39</v>
      </c>
      <c r="Q3191" t="s">
        <v>8057</v>
      </c>
    </row>
    <row r="3192" spans="1:17" ht="15.75" x14ac:dyDescent="0.25">
      <c r="A3192" s="3" t="str">
        <f>HYPERLINK("https://shop.sonapharmacy.com/products/bulkee-ii-sterile-super-fluff-sponge-6-x-6-75in", "https://shop.sonapharmacy.com/products/bulkee-ii-sterile-super-fluff-sponge-6-x-6-75in")</f>
        <v>https://shop.sonapharmacy.com/products/bulkee-ii-sterile-super-fluff-sponge-6-x-6-75in</v>
      </c>
      <c r="B3192" s="3" t="str">
        <f>HYPERLINK("https://shop.sonapharmacy.com/products/bulkee-ii-sterile-super-fluff-sponge-6-x-6-75in", "https://shop.sonapharmacy.com/products/bulkee-ii-sterile-super-fluff-sponge-6-x-6-75in")</f>
        <v>https://shop.sonapharmacy.com/products/bulkee-ii-sterile-super-fluff-sponge-6-x-6-75in</v>
      </c>
      <c r="C3192" t="s">
        <v>8025</v>
      </c>
      <c r="D3192" t="s">
        <v>8061</v>
      </c>
      <c r="E3192" s="3" t="str">
        <f>HYPERLINK("https://www.amazon.com/Medline-NON25853-Bulkee-Sterile-Diagonal/dp/B000K6J37U/ref=sr_1_1?keywords=Bulkee+II+Sterile+Super+Fluff+Sponge+6+x+6.75in&amp;qid=1695260103&amp;sr=8-1", "https://www.amazon.com/Medline-NON25853-Bulkee-Sterile-Diagonal/dp/B000K6J37U/ref=sr_1_1?keywords=Bulkee+II+Sterile+Super+Fluff+Sponge+6+x+6.75in&amp;qid=1695260103&amp;sr=8-1")</f>
        <v>https://www.amazon.com/Medline-NON25853-Bulkee-Sterile-Diagonal/dp/B000K6J37U/ref=sr_1_1?keywords=Bulkee+II+Sterile+Super+Fluff+Sponge+6+x+6.75in&amp;qid=1695260103&amp;sr=8-1</v>
      </c>
      <c r="F3192" t="s">
        <v>8062</v>
      </c>
      <c r="G3192" t="e">
        <f ca="1">IMAGE("https://shop.sonapharmacy.com/cdn/shop/products/61gPlC92fcL._SL1200.jpg?v=1608133932")</f>
        <v>#NAME?</v>
      </c>
      <c r="H3192" t="e">
        <f ca="1">IMAGE("https://m.media-amazon.com/images/I/61tLMqNQzEL._AC_UY218_.jpg")</f>
        <v>#NAME?</v>
      </c>
      <c r="I3192" t="s">
        <v>8028</v>
      </c>
      <c r="J3192">
        <v>141.96</v>
      </c>
      <c r="K3192" s="2" t="s">
        <v>8063</v>
      </c>
      <c r="L3192">
        <v>4.5999999999999996</v>
      </c>
      <c r="M3192">
        <v>7</v>
      </c>
      <c r="O3192" t="s">
        <v>26</v>
      </c>
      <c r="P3192" t="s">
        <v>39</v>
      </c>
      <c r="Q3192" t="s">
        <v>8030</v>
      </c>
    </row>
    <row r="3193" spans="1:17" ht="15.75" x14ac:dyDescent="0.25">
      <c r="A3193" s="3" t="str">
        <f>HYPERLINK("https://shop.sonapharmacy.com/products/halls-relief-honey-lemon-cough-drops", "https://shop.sonapharmacy.com/products/halls-relief-honey-lemon-cough-drops")</f>
        <v>https://shop.sonapharmacy.com/products/halls-relief-honey-lemon-cough-drops</v>
      </c>
      <c r="B3193" s="3" t="str">
        <f>HYPERLINK("https://shop.sonapharmacy.com/products/halls-relief-honey-lemon-cough-drops", "https://shop.sonapharmacy.com/products/halls-relief-honey-lemon-cough-drops")</f>
        <v>https://shop.sonapharmacy.com/products/halls-relief-honey-lemon-cough-drops</v>
      </c>
      <c r="C3193" t="s">
        <v>8031</v>
      </c>
      <c r="D3193" t="s">
        <v>8064</v>
      </c>
      <c r="E3193" s="3" t="str">
        <f>HYPERLINK("https://www.amazon.com/Halls-Cough-Suppressant-Honey-Lemon-Pouch/dp/B00IO2H3DS/ref=sr_1_7?keywords=Halls%C2%AE+Relief+Honey+Lemon+Cough+Drops&amp;qid=1695260411&amp;sr=8-7", "https://www.amazon.com/Halls-Cough-Suppressant-Honey-Lemon-Pouch/dp/B00IO2H3DS/ref=sr_1_7?keywords=Halls%C2%AE+Relief+Honey+Lemon+Cough+Drops&amp;qid=1695260411&amp;sr=8-7")</f>
        <v>https://www.amazon.com/Halls-Cough-Suppressant-Honey-Lemon-Pouch/dp/B00IO2H3DS/ref=sr_1_7?keywords=Halls%C2%AE+Relief+Honey+Lemon+Cough+Drops&amp;qid=1695260411&amp;sr=8-7</v>
      </c>
      <c r="F3193" t="s">
        <v>8065</v>
      </c>
      <c r="G3193" t="e">
        <f ca="1">IMAGE("https://shop.sonapharmacy.com/cdn/shop/products/HALLS_Menthol_HoneyLemon_30ct.png?v=1608215589")</f>
        <v>#NAME?</v>
      </c>
      <c r="H3193" t="e">
        <f ca="1">IMAGE("https://m.media-amazon.com/images/I/71FNv4SP71L._AC_UL320_.jpg")</f>
        <v>#NAME?</v>
      </c>
      <c r="I3193" t="s">
        <v>8034</v>
      </c>
      <c r="J3193">
        <v>49.44</v>
      </c>
      <c r="K3193" s="2" t="s">
        <v>8066</v>
      </c>
      <c r="L3193">
        <v>4.5</v>
      </c>
      <c r="M3193">
        <v>146</v>
      </c>
      <c r="O3193" t="s">
        <v>26</v>
      </c>
      <c r="P3193" t="s">
        <v>39</v>
      </c>
      <c r="Q3193" t="s">
        <v>8036</v>
      </c>
    </row>
    <row r="3194" spans="1:17" ht="15.75" x14ac:dyDescent="0.25">
      <c r="A3194" s="3" t="str">
        <f>HYPERLINK("https://shop.sonapharmacy.com/products/band-aid-hurt-free-wrap", "https://shop.sonapharmacy.com/products/band-aid-hurt-free-wrap")</f>
        <v>https://shop.sonapharmacy.com/products/band-aid-hurt-free-wrap</v>
      </c>
      <c r="B3194" s="3" t="str">
        <f>HYPERLINK("https://shop.sonapharmacy.com/products/band-aid-hurt-free-wrap", "https://shop.sonapharmacy.com/products/band-aid-hurt-free-wrap")</f>
        <v>https://shop.sonapharmacy.com/products/band-aid-hurt-free-wrap</v>
      </c>
      <c r="C3194" t="s">
        <v>8067</v>
      </c>
      <c r="D3194" t="s">
        <v>8068</v>
      </c>
      <c r="E3194" s="3" t="str">
        <f>HYPERLINK("https://www.amazon.com/Johnson-Band-Aid-Medium-Hurt-Free-Wrap/dp/B01HUNIAN8/ref=sr_1_5?keywords=BAND-AID%C2%AE+Hurt-Free+Wrap&amp;qid=1695260060&amp;sr=8-5", "https://www.amazon.com/Johnson-Band-Aid-Medium-Hurt-Free-Wrap/dp/B01HUNIAN8/ref=sr_1_5?keywords=BAND-AID%C2%AE+Hurt-Free+Wrap&amp;qid=1695260060&amp;sr=8-5")</f>
        <v>https://www.amazon.com/Johnson-Band-Aid-Medium-Hurt-Free-Wrap/dp/B01HUNIAN8/ref=sr_1_5?keywords=BAND-AID%C2%AE+Hurt-Free+Wrap&amp;qid=1695260060&amp;sr=8-5</v>
      </c>
      <c r="F3194" t="s">
        <v>8069</v>
      </c>
      <c r="G3194" t="e">
        <f ca="1">IMAGE("https://shop.sonapharmacy.com/cdn/shop/products/band_aid_us_pho_pac_18_1_3088478.jpg?v=1607697047")</f>
        <v>#NAME?</v>
      </c>
      <c r="H3194" t="e">
        <f ca="1">IMAGE("https://m.media-amazon.com/images/I/81WgWzXE4pL._AC_UL320_.jpg")</f>
        <v>#NAME?</v>
      </c>
      <c r="I3194" t="s">
        <v>8070</v>
      </c>
      <c r="J3194">
        <v>112.35</v>
      </c>
      <c r="K3194" s="2" t="s">
        <v>8071</v>
      </c>
      <c r="L3194">
        <v>4.8</v>
      </c>
      <c r="M3194">
        <v>5</v>
      </c>
      <c r="O3194" t="s">
        <v>26</v>
      </c>
      <c r="P3194" t="s">
        <v>39</v>
      </c>
      <c r="Q3194" t="s">
        <v>8072</v>
      </c>
    </row>
    <row r="3195" spans="1:17" ht="15.75" x14ac:dyDescent="0.25">
      <c r="A3195" s="3" t="str">
        <f>HYPERLINK("https://shop.sonapharmacy.com/products/goodsense%C2%AE-black-cherry-sugar-free-cough-drops-25ct", "https://shop.sonapharmacy.com/products/goodsense%C2%AE-black-cherry-sugar-free-cough-drops-25ct")</f>
        <v>https://shop.sonapharmacy.com/products/goodsense%C2%AE-black-cherry-sugar-free-cough-drops-25ct</v>
      </c>
      <c r="B3195" s="3" t="str">
        <f>HYPERLINK("https://shop.sonapharmacy.com/products/goodsense%c2%ae-black-cherry-sugar-free-cough-drops-25ct", "https://shop.sonapharmacy.com/products/goodsense%c2%ae-black-cherry-sugar-free-cough-drops-25ct")</f>
        <v>https://shop.sonapharmacy.com/products/goodsense%c2%ae-black-cherry-sugar-free-cough-drops-25ct</v>
      </c>
      <c r="C3195" t="s">
        <v>8073</v>
      </c>
      <c r="D3195" t="s">
        <v>8074</v>
      </c>
      <c r="E3195" s="3" t="str">
        <f>HYPERLINK("https://www.amazon.com/Halls-Black-Cherry-Sugar-Cough/dp/B003WOYK7U/ref=sr_1_3?keywords=GoodSense%C2%AE+Black+Cherry+Sugar+Free+Cough+Drops+25ct&amp;qid=1695260306&amp;sr=8-3", "https://www.amazon.com/Halls-Black-Cherry-Sugar-Cough/dp/B003WOYK7U/ref=sr_1_3?keywords=GoodSense%C2%AE+Black+Cherry+Sugar+Free+Cough+Drops+25ct&amp;qid=1695260306&amp;sr=8-3")</f>
        <v>https://www.amazon.com/Halls-Black-Cherry-Sugar-Cough/dp/B003WOYK7U/ref=sr_1_3?keywords=GoodSense%C2%AE+Black+Cherry+Sugar+Free+Cough+Drops+25ct&amp;qid=1695260306&amp;sr=8-3</v>
      </c>
      <c r="F3195" t="s">
        <v>8075</v>
      </c>
      <c r="G3195" t="e">
        <f ca="1">IMAGE("https://shop.sonapharmacy.com/cdn/shop/products/blackcherrysugarfree.jpg?v=1608235842")</f>
        <v>#NAME?</v>
      </c>
      <c r="H3195" t="e">
        <f ca="1">IMAGE("https://m.media-amazon.com/images/I/71nI5krjA2L._AC_UL320_.jpg")</f>
        <v>#NAME?</v>
      </c>
      <c r="I3195" t="s">
        <v>8076</v>
      </c>
      <c r="J3195">
        <v>34.46</v>
      </c>
      <c r="K3195" s="2" t="s">
        <v>8077</v>
      </c>
      <c r="L3195">
        <v>4.8</v>
      </c>
      <c r="M3195">
        <v>1679</v>
      </c>
      <c r="O3195" t="s">
        <v>136</v>
      </c>
      <c r="P3195" t="s">
        <v>39</v>
      </c>
      <c r="Q3195" t="s">
        <v>8078</v>
      </c>
    </row>
    <row r="3196" spans="1:17" ht="15.75" x14ac:dyDescent="0.25">
      <c r="A3196" s="3" t="str">
        <f>HYPERLINK("https://shop.sonapharmacy.com/products/reach%C2%AE-mint-waxed-floss-55yds", "https://shop.sonapharmacy.com/products/reach%C2%AE-mint-waxed-floss-55yds")</f>
        <v>https://shop.sonapharmacy.com/products/reach%C2%AE-mint-waxed-floss-55yds</v>
      </c>
      <c r="B3196" s="3" t="str">
        <f>HYPERLINK("https://shop.sonapharmacy.com/products/reach%c2%ae-mint-waxed-floss-55yds", "https://shop.sonapharmacy.com/products/reach%c2%ae-mint-waxed-floss-55yds")</f>
        <v>https://shop.sonapharmacy.com/products/reach%c2%ae-mint-waxed-floss-55yds</v>
      </c>
      <c r="C3196" t="s">
        <v>8046</v>
      </c>
      <c r="D3196" t="s">
        <v>8079</v>
      </c>
      <c r="E3196" s="3" t="str">
        <f>HYPERLINK("https://www.amazon.com/Reach-Mint-Waxed-Floss-Yards/dp/B003LZQXJS/ref=sr_1_7?keywords=Reach%C2%AE+Mint+Waxed+Floss&amp;qid=1695260669&amp;sr=8-7", "https://www.amazon.com/Reach-Mint-Waxed-Floss-Yards/dp/B003LZQXJS/ref=sr_1_7?keywords=Reach%C2%AE+Mint+Waxed+Floss&amp;qid=1695260669&amp;sr=8-7")</f>
        <v>https://www.amazon.com/Reach-Mint-Waxed-Floss-Yards/dp/B003LZQXJS/ref=sr_1_7?keywords=Reach%C2%AE+Mint+Waxed+Floss&amp;qid=1695260669&amp;sr=8-7</v>
      </c>
      <c r="F3196" t="s">
        <v>8080</v>
      </c>
      <c r="G3196" t="e">
        <f ca="1">IMAGE("https://shop.sonapharmacy.com/cdn/shop/products/reach_mint_waxed_floss.png?v=1608573621")</f>
        <v>#NAME?</v>
      </c>
      <c r="H3196" t="e">
        <f ca="1">IMAGE("https://m.media-amazon.com/images/I/71ZQINIzalL._AC_UL320_.jpg")</f>
        <v>#NAME?</v>
      </c>
      <c r="I3196" t="s">
        <v>8049</v>
      </c>
      <c r="J3196">
        <v>23.23</v>
      </c>
      <c r="K3196" s="2" t="s">
        <v>8081</v>
      </c>
      <c r="L3196">
        <v>4.7</v>
      </c>
      <c r="M3196">
        <v>290</v>
      </c>
      <c r="O3196" t="s">
        <v>26</v>
      </c>
      <c r="P3196" t="s">
        <v>39</v>
      </c>
      <c r="Q3196" t="s">
        <v>8051</v>
      </c>
    </row>
    <row r="3197" spans="1:17" ht="15.75" x14ac:dyDescent="0.25">
      <c r="A3197" s="3" t="str">
        <f>HYPERLINK("https://shop.sonapharmacy.com/products/johnsons%C2%AE-aloe-vitamin-e-powder", "https://shop.sonapharmacy.com/products/johnsons%C2%AE-aloe-vitamin-e-powder")</f>
        <v>https://shop.sonapharmacy.com/products/johnsons%C2%AE-aloe-vitamin-e-powder</v>
      </c>
      <c r="B3197" s="3" t="str">
        <f>HYPERLINK("https://shop.sonapharmacy.com/products/johnsons%c2%ae-aloe-vitamin-e-powder", "https://shop.sonapharmacy.com/products/johnsons%c2%ae-aloe-vitamin-e-powder")</f>
        <v>https://shop.sonapharmacy.com/products/johnsons%c2%ae-aloe-vitamin-e-powder</v>
      </c>
      <c r="C3197" t="s">
        <v>8082</v>
      </c>
      <c r="D3197" t="s">
        <v>8083</v>
      </c>
      <c r="E3197" s="3" t="str">
        <f>HYPERLINK("https://www.amazon.com/Johnsons-Powder-Soothing-Vitamin-Ounce/dp/B01M0JPO2O/ref=sr_1_7?keywords=Johnson%27s%C2%AE+Aloe+%26+Vitamin+E+Powder&amp;qid=1695260488&amp;sr=8-7", "https://www.amazon.com/Johnsons-Powder-Soothing-Vitamin-Ounce/dp/B01M0JPO2O/ref=sr_1_7?keywords=Johnson%27s%C2%AE+Aloe+%26+Vitamin+E+Powder&amp;qid=1695260488&amp;sr=8-7")</f>
        <v>https://www.amazon.com/Johnsons-Powder-Soothing-Vitamin-Ounce/dp/B01M0JPO2O/ref=sr_1_7?keywords=Johnson%27s%C2%AE+Aloe+%26+Vitamin+E+Powder&amp;qid=1695260488&amp;sr=8-7</v>
      </c>
      <c r="F3197" t="s">
        <v>8084</v>
      </c>
      <c r="G3197" t="e">
        <f ca="1">IMAGE("https://shop.sonapharmacy.com/cdn/shop/products/41ZWPhAz-CL._AC_SL1000.jpg?v=1609256209")</f>
        <v>#NAME?</v>
      </c>
      <c r="H3197" t="e">
        <f ca="1">IMAGE("https://m.media-amazon.com/images/I/51KwdfXCZnL._AC_UL320_.jpg")</f>
        <v>#NAME?</v>
      </c>
      <c r="I3197" t="s">
        <v>8034</v>
      </c>
      <c r="J3197">
        <v>42.89</v>
      </c>
      <c r="K3197" s="2" t="s">
        <v>8085</v>
      </c>
      <c r="L3197">
        <v>4</v>
      </c>
      <c r="M3197">
        <v>15</v>
      </c>
      <c r="O3197" t="s">
        <v>26</v>
      </c>
      <c r="P3197" t="s">
        <v>39</v>
      </c>
      <c r="Q3197" t="s">
        <v>8086</v>
      </c>
    </row>
    <row r="3198" spans="1:17" ht="15.75" x14ac:dyDescent="0.25">
      <c r="A3198" s="3" t="str">
        <f>HYPERLINK("https://shop.sonapharmacy.com/products/prince-of-peace-ginger-chews-4oz", "https://shop.sonapharmacy.com/products/prince-of-peace-ginger-chews-4oz")</f>
        <v>https://shop.sonapharmacy.com/products/prince-of-peace-ginger-chews-4oz</v>
      </c>
      <c r="B3198" s="3" t="str">
        <f>HYPERLINK("https://shop.sonapharmacy.com/products/prince-of-peace-ginger-chews-4oz", "https://shop.sonapharmacy.com/products/prince-of-peace-ginger-chews-4oz")</f>
        <v>https://shop.sonapharmacy.com/products/prince-of-peace-ginger-chews-4oz</v>
      </c>
      <c r="C3198" t="s">
        <v>8087</v>
      </c>
      <c r="D3198" t="s">
        <v>8088</v>
      </c>
      <c r="E3198" s="3" t="str">
        <f>HYPERLINK("https://www.amazon.com/Prince-Peace-Ginger-Chews-Bundle/dp/B086VPGGVN/ref=sr_1_10?keywords=Prince+Of+Peace+Ginger+Chews+4oz.&amp;qid=1695260650&amp;sr=8-10", "https://www.amazon.com/Prince-Peace-Ginger-Chews-Bundle/dp/B086VPGGVN/ref=sr_1_10?keywords=Prince+Of+Peace+Ginger+Chews+4oz.&amp;qid=1695260650&amp;sr=8-10")</f>
        <v>https://www.amazon.com/Prince-Peace-Ginger-Chews-Bundle/dp/B086VPGGVN/ref=sr_1_10?keywords=Prince+Of+Peace+Ginger+Chews+4oz.&amp;qid=1695260650&amp;sr=8-10</v>
      </c>
      <c r="F3198" t="s">
        <v>8089</v>
      </c>
      <c r="G3198" t="e">
        <f ca="1">IMAGE("https://shop.sonapharmacy.com/cdn/shop/products/original.jpg?v=1613754987")</f>
        <v>#NAME?</v>
      </c>
      <c r="H3198" t="e">
        <f ca="1">IMAGE("https://m.media-amazon.com/images/I/91o0GVc-X5L._AC_UL320_.jpg")</f>
        <v>#NAME?</v>
      </c>
      <c r="I3198" t="s">
        <v>8090</v>
      </c>
      <c r="J3198">
        <v>26.2</v>
      </c>
      <c r="K3198" s="2" t="s">
        <v>8091</v>
      </c>
      <c r="L3198">
        <v>4.5999999999999996</v>
      </c>
      <c r="M3198">
        <v>2336</v>
      </c>
      <c r="O3198" t="s">
        <v>26</v>
      </c>
      <c r="P3198" t="s">
        <v>39</v>
      </c>
      <c r="Q3198" t="s">
        <v>8092</v>
      </c>
    </row>
    <row r="3199" spans="1:17" ht="15.75" x14ac:dyDescent="0.25">
      <c r="A3199" s="3" t="str">
        <f>HYPERLINK("https://shop.sonapharmacy.com/products/okeeffes-skin-repair-body-lotion-7oz", "https://shop.sonapharmacy.com/products/okeeffes-skin-repair-body-lotion-7oz")</f>
        <v>https://shop.sonapharmacy.com/products/okeeffes-skin-repair-body-lotion-7oz</v>
      </c>
      <c r="B3199" s="3" t="str">
        <f>HYPERLINK("https://shop.sonapharmacy.com/products/okeeffes-skin-repair-body-lotion-7oz", "https://shop.sonapharmacy.com/products/okeeffes-skin-repair-body-lotion-7oz")</f>
        <v>https://shop.sonapharmacy.com/products/okeeffes-skin-repair-body-lotion-7oz</v>
      </c>
      <c r="C3199" t="s">
        <v>8093</v>
      </c>
      <c r="D3199" t="s">
        <v>8094</v>
      </c>
      <c r="E3199" s="3" t="str">
        <f>HYPERLINK("https://www.amazon.com/OKeeffes-Repair-Lotion-Moisturizer-Bottle/dp/B01M9GPO7I/ref=sr_1_5?keywords=O%27Keeffe%27s+Skin+Repair+Body+Lotion+7oz.&amp;qid=1695260599&amp;sr=8-5", "https://www.amazon.com/OKeeffes-Repair-Lotion-Moisturizer-Bottle/dp/B01M9GPO7I/ref=sr_1_5?keywords=O%27Keeffe%27s+Skin+Repair+Body+Lotion+7oz.&amp;qid=1695260599&amp;sr=8-5")</f>
        <v>https://www.amazon.com/OKeeffes-Repair-Lotion-Moisturizer-Bottle/dp/B01M9GPO7I/ref=sr_1_5?keywords=O%27Keeffe%27s+Skin+Repair+Body+Lotion+7oz.&amp;qid=1695260599&amp;sr=8-5</v>
      </c>
      <c r="F3199" t="s">
        <v>8095</v>
      </c>
      <c r="G3199" t="e">
        <f ca="1">IMAGE("https://shop.sonapharmacy.com/cdn/shop/products/3bd16183-fe45-42dc-92f8-debd6868b3ac_1.7c675874396c0c8bd4b5440f108ff7b2.jpg?v=1608410648")</f>
        <v>#NAME?</v>
      </c>
      <c r="H3199" t="e">
        <f ca="1">IMAGE("https://m.media-amazon.com/images/I/81VsRVLHelL._AC_UL320_.jpg")</f>
        <v>#NAME?</v>
      </c>
      <c r="I3199" t="s">
        <v>8096</v>
      </c>
      <c r="J3199">
        <v>124.39</v>
      </c>
      <c r="K3199" s="2" t="s">
        <v>8097</v>
      </c>
      <c r="L3199">
        <v>5</v>
      </c>
      <c r="M3199">
        <v>4</v>
      </c>
      <c r="O3199" t="s">
        <v>26</v>
      </c>
      <c r="P3199" t="s">
        <v>39</v>
      </c>
      <c r="Q3199" t="s">
        <v>8098</v>
      </c>
    </row>
    <row r="3200" spans="1:17" ht="15.75" x14ac:dyDescent="0.25">
      <c r="A3200" s="3" t="str">
        <f>HYPERLINK("https://shop.sonapharmacy.com/products/phisoderm-anti-blemish-gel-cleanser-6oz", "https://shop.sonapharmacy.com/products/phisoderm-anti-blemish-gel-cleanser-6oz")</f>
        <v>https://shop.sonapharmacy.com/products/phisoderm-anti-blemish-gel-cleanser-6oz</v>
      </c>
      <c r="B3200" s="3" t="str">
        <f>HYPERLINK("https://shop.sonapharmacy.com/products/phisoderm-anti-blemish-gel-cleanser-6oz", "https://shop.sonapharmacy.com/products/phisoderm-anti-blemish-gel-cleanser-6oz")</f>
        <v>https://shop.sonapharmacy.com/products/phisoderm-anti-blemish-gel-cleanser-6oz</v>
      </c>
      <c r="C3200" t="s">
        <v>8099</v>
      </c>
      <c r="D3200" t="s">
        <v>8100</v>
      </c>
      <c r="E3200" s="3" t="str">
        <f>HYPERLINK("https://www.amazon.com/Phisoderm-Anti-Blemish-Gel-Cleanser-Pack/dp/B01IA9888I/ref=sr_1_10?keywords=Phisoderm+Anti-Blemish+Gel+Cleanser+6oz.&amp;qid=1695260646&amp;sr=8-10", "https://www.amazon.com/Phisoderm-Anti-Blemish-Gel-Cleanser-Pack/dp/B01IA9888I/ref=sr_1_10?keywords=Phisoderm+Anti-Blemish+Gel+Cleanser+6oz.&amp;qid=1695260646&amp;sr=8-10")</f>
        <v>https://www.amazon.com/Phisoderm-Anti-Blemish-Gel-Cleanser-Pack/dp/B01IA9888I/ref=sr_1_10?keywords=Phisoderm+Anti-Blemish+Gel+Cleanser+6oz.&amp;qid=1695260646&amp;sr=8-10</v>
      </c>
      <c r="F3200" t="s">
        <v>8101</v>
      </c>
      <c r="G3200" t="e">
        <f ca="1">IMAGE("https://shop.sonapharmacy.com/cdn/shop/products/72de085f-0d9e-4dcc-a7c8-97413c8c71dd_1.8c57de847d24ae111148749ef4a3c57b.jpg?v=1608307791")</f>
        <v>#NAME?</v>
      </c>
      <c r="H3200" t="e">
        <f ca="1">IMAGE("https://m.media-amazon.com/images/I/5186oruU3CL._AC_UL320_.jpg")</f>
        <v>#NAME?</v>
      </c>
      <c r="I3200" t="s">
        <v>8102</v>
      </c>
      <c r="J3200">
        <v>65.569999999999993</v>
      </c>
      <c r="K3200" s="2" t="s">
        <v>8103</v>
      </c>
      <c r="L3200">
        <v>5</v>
      </c>
      <c r="M3200">
        <v>2</v>
      </c>
      <c r="O3200" t="s">
        <v>26</v>
      </c>
      <c r="P3200" t="s">
        <v>39</v>
      </c>
      <c r="Q3200" t="s">
        <v>8104</v>
      </c>
    </row>
    <row r="3201" spans="1:17" ht="15.75" x14ac:dyDescent="0.25">
      <c r="A3201" s="3" t="str">
        <f>HYPERLINK("https://shop.sonapharmacy.com/products/crest%C2%AE-pro-health-sensitive-enamel-shield-toothpaste-4-6oz", "https://shop.sonapharmacy.com/products/crest%C2%AE-pro-health-sensitive-enamel-shield-toothpaste-4-6oz")</f>
        <v>https://shop.sonapharmacy.com/products/crest%C2%AE-pro-health-sensitive-enamel-shield-toothpaste-4-6oz</v>
      </c>
      <c r="B3201" s="3" t="str">
        <f>HYPERLINK("https://shop.sonapharmacy.com/products/crest%c2%ae-pro-health-sensitive-enamel-shield-toothpaste-4-6oz", "https://shop.sonapharmacy.com/products/crest%c2%ae-pro-health-sensitive-enamel-shield-toothpaste-4-6oz")</f>
        <v>https://shop.sonapharmacy.com/products/crest%c2%ae-pro-health-sensitive-enamel-shield-toothpaste-4-6oz</v>
      </c>
      <c r="C3201" t="s">
        <v>8105</v>
      </c>
      <c r="D3201" t="s">
        <v>8106</v>
      </c>
      <c r="E3201" s="3" t="str">
        <f>HYPERLINK("https://www.amazon.com/Crest-Pro-Health-Sensitive-Enamel-Toothpaste/dp/B06XC4Z1KV/ref=sr_1_3?keywords=Crest%C2%AE+Pro-Health+Sensitive+%2B+Enamel+Shield+Toothpaste+4.6oz.&amp;qid=1695260169&amp;sr=8-3", "https://www.amazon.com/Crest-Pro-Health-Sensitive-Enamel-Toothpaste/dp/B06XC4Z1KV/ref=sr_1_3?keywords=Crest%C2%AE+Pro-Health+Sensitive+%2B+Enamel+Shield+Toothpaste+4.6oz.&amp;qid=1695260169&amp;sr=8-3")</f>
        <v>https://www.amazon.com/Crest-Pro-Health-Sensitive-Enamel-Toothpaste/dp/B06XC4Z1KV/ref=sr_1_3?keywords=Crest%C2%AE+Pro-Health+Sensitive+%2B+Enamel+Shield+Toothpaste+4.6oz.&amp;qid=1695260169&amp;sr=8-3</v>
      </c>
      <c r="F3201" t="s">
        <v>8107</v>
      </c>
      <c r="G3201" t="e">
        <f ca="1">IMAGE("https://shop.sonapharmacy.com/cdn/shop/products/d3033299-16e1-480f-b550-af7633cc95cf.0fda20bd871eacfcff123f9d691d9061.jpg?v=1608653733")</f>
        <v>#NAME?</v>
      </c>
      <c r="H3201" t="e">
        <f ca="1">IMAGE("https://m.media-amazon.com/images/I/91MvtyQPsXL._AC_UL320_.jpg")</f>
        <v>#NAME?</v>
      </c>
      <c r="I3201" t="s">
        <v>8108</v>
      </c>
      <c r="J3201">
        <v>55.8</v>
      </c>
      <c r="K3201" s="2" t="s">
        <v>8109</v>
      </c>
      <c r="L3201">
        <v>5</v>
      </c>
      <c r="M3201">
        <v>5</v>
      </c>
      <c r="O3201" t="s">
        <v>136</v>
      </c>
      <c r="P3201" t="s">
        <v>39</v>
      </c>
      <c r="Q3201" t="s">
        <v>8110</v>
      </c>
    </row>
    <row r="3202" spans="1:17" ht="15.75" x14ac:dyDescent="0.25">
      <c r="A3202" s="3" t="str">
        <f>HYPERLINK("https://shop.sonapharmacy.com/products/pedia-lax%C2%AE-glycerin-suppositories", "https://shop.sonapharmacy.com/products/pedia-lax%C2%AE-glycerin-suppositories")</f>
        <v>https://shop.sonapharmacy.com/products/pedia-lax%C2%AE-glycerin-suppositories</v>
      </c>
      <c r="B3202" s="3" t="str">
        <f>HYPERLINK("https://shop.sonapharmacy.com/products/pedia-lax%c2%ae-glycerin-suppositories", "https://shop.sonapharmacy.com/products/pedia-lax%c2%ae-glycerin-suppositories")</f>
        <v>https://shop.sonapharmacy.com/products/pedia-lax%c2%ae-glycerin-suppositories</v>
      </c>
      <c r="C3202" t="s">
        <v>8008</v>
      </c>
      <c r="D3202" t="s">
        <v>8111</v>
      </c>
      <c r="E3202" s="3" t="str">
        <f>HYPERLINK("https://www.amazon.com/Fleet-Pedia-Lax-Liquid-Glycerin-Suppositories/dp/B01IAI4AJU/ref=sr_1_10?keywords=Pedia-Lax%C2%AE+Glycerin+Suppositories&amp;qid=1695260628&amp;sr=8-10", "https://www.amazon.com/Fleet-Pedia-Lax-Liquid-Glycerin-Suppositories/dp/B01IAI4AJU/ref=sr_1_10?keywords=Pedia-Lax%C2%AE+Glycerin+Suppositories&amp;qid=1695260628&amp;sr=8-10")</f>
        <v>https://www.amazon.com/Fleet-Pedia-Lax-Liquid-Glycerin-Suppositories/dp/B01IAI4AJU/ref=sr_1_10?keywords=Pedia-Lax%C2%AE+Glycerin+Suppositories&amp;qid=1695260628&amp;sr=8-10</v>
      </c>
      <c r="F3202" t="s">
        <v>8112</v>
      </c>
      <c r="G3202" t="e">
        <f ca="1">IMAGE("https://shop.sonapharmacy.com/cdn/shop/products/pedialaxresized.jpg?v=1592422726")</f>
        <v>#NAME?</v>
      </c>
      <c r="H3202" t="e">
        <f ca="1">IMAGE("https://m.media-amazon.com/images/I/71eIfoE6BkL._AC_UL320_.jpg")</f>
        <v>#NAME?</v>
      </c>
      <c r="I3202" t="s">
        <v>7952</v>
      </c>
      <c r="J3202">
        <v>34.619999999999997</v>
      </c>
      <c r="K3202" s="2" t="s">
        <v>8113</v>
      </c>
      <c r="L3202">
        <v>4.9000000000000004</v>
      </c>
      <c r="M3202">
        <v>26</v>
      </c>
      <c r="O3202" t="s">
        <v>26</v>
      </c>
      <c r="P3202" t="s">
        <v>39</v>
      </c>
      <c r="Q3202" t="s">
        <v>8012</v>
      </c>
    </row>
    <row r="3203" spans="1:17" ht="15.75" x14ac:dyDescent="0.25">
      <c r="A3203" s="3" t="str">
        <f>HYPERLINK("https://shop.sonapharmacy.com/products/fishermans-friend%C2%AE-original-extra-strength-menthol-cough-suppressant-lozenges-20ct", "https://shop.sonapharmacy.com/products/fishermans-friend%C2%AE-original-extra-strength-menthol-cough-suppressant-lozenges-20ct")</f>
        <v>https://shop.sonapharmacy.com/products/fishermans-friend%C2%AE-original-extra-strength-menthol-cough-suppressant-lozenges-20ct</v>
      </c>
      <c r="B3203" s="3" t="str">
        <f>HYPERLINK("https://shop.sonapharmacy.com/products/fishermans-friend%c2%ae-original-extra-strength-menthol-cough-suppressant-lozenges-20ct", "https://shop.sonapharmacy.com/products/fishermans-friend%c2%ae-original-extra-strength-menthol-cough-suppressant-lozenges-20ct")</f>
        <v>https://shop.sonapharmacy.com/products/fishermans-friend%c2%ae-original-extra-strength-menthol-cough-suppressant-lozenges-20ct</v>
      </c>
      <c r="C3203" t="s">
        <v>8114</v>
      </c>
      <c r="D3203" t="s">
        <v>8115</v>
      </c>
      <c r="E3203" s="3" t="str">
        <f>HYPERLINK("https://www.amazon.com/Fishermans-Friend-Original-Suppressant-Lozenges/dp/B000UDAG5Q/ref=sr_1_6?keywords=Fisherman%27s+Friend%C2%AE+Original+Extra+Strength+Menthol+Cough+Suppressant+Lozenges+20ct.&amp;qid=1695260248&amp;sr=8-6", "https://www.amazon.com/Fishermans-Friend-Original-Suppressant-Lozenges/dp/B000UDAG5Q/ref=sr_1_6?keywords=Fisherman%27s+Friend%C2%AE+Original+Extra+Strength+Menthol+Cough+Suppressant+Lozenges+20ct.&amp;qid=1695260248&amp;sr=8-6")</f>
        <v>https://www.amazon.com/Fishermans-Friend-Original-Suppressant-Lozenges/dp/B000UDAG5Q/ref=sr_1_6?keywords=Fisherman%27s+Friend%C2%AE+Original+Extra+Strength+Menthol+Cough+Suppressant+Lozenges+20ct.&amp;qid=1695260248&amp;sr=8-6</v>
      </c>
      <c r="F3203" t="s">
        <v>8116</v>
      </c>
      <c r="G3203" t="e">
        <f ca="1">IMAGE("https://shop.sonapharmacy.com/cdn/shop/products/71YLmptC43L._AC_SL1500.jpg?v=1610907957")</f>
        <v>#NAME?</v>
      </c>
      <c r="H3203" t="e">
        <f ca="1">IMAGE("https://m.media-amazon.com/images/I/81fMYTk0woL._AC_UL320_.jpg")</f>
        <v>#NAME?</v>
      </c>
      <c r="I3203" t="s">
        <v>8117</v>
      </c>
      <c r="J3203">
        <v>26.76</v>
      </c>
      <c r="K3203" s="2" t="s">
        <v>8118</v>
      </c>
      <c r="L3203">
        <v>4.8</v>
      </c>
      <c r="M3203">
        <v>733</v>
      </c>
      <c r="O3203" t="s">
        <v>26</v>
      </c>
      <c r="P3203" t="s">
        <v>39</v>
      </c>
      <c r="Q3203" t="s">
        <v>8119</v>
      </c>
    </row>
    <row r="3204" spans="1:17" ht="15.75" x14ac:dyDescent="0.25">
      <c r="A3204"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B3204"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C3204" t="s">
        <v>8040</v>
      </c>
      <c r="D3204" t="s">
        <v>8120</v>
      </c>
      <c r="E3204" s="3" t="str">
        <f>HYPERLINK("https://www.amazon.com/Colgate-Cavity-Protection-Toothpaste-Regular/dp/B00FD89UIW/ref=sr_1_5?keywords=Colgate%C2%AE+Regular+Flavor+Cavity+Protection+Toothpaste+1oz.&amp;qid=1695260151&amp;sr=8-5", "https://www.amazon.com/Colgate-Cavity-Protection-Toothpaste-Regular/dp/B00FD89UIW/ref=sr_1_5?keywords=Colgate%C2%AE+Regular+Flavor+Cavity+Protection+Toothpaste+1oz.&amp;qid=1695260151&amp;sr=8-5")</f>
        <v>https://www.amazon.com/Colgate-Cavity-Protection-Toothpaste-Regular/dp/B00FD89UIW/ref=sr_1_5?keywords=Colgate%C2%AE+Regular+Flavor+Cavity+Protection+Toothpaste+1oz.&amp;qid=1695260151&amp;sr=8-5</v>
      </c>
      <c r="F3204" t="s">
        <v>8121</v>
      </c>
      <c r="G3204" t="e">
        <f ca="1">IMAGE("https://shop.sonapharmacy.com/cdn/shop/products/22e7c50a-9344-4f9c-96af-3a2549d6ce02_7.1d4f47662a946d4e424dc54f6c6c8eed.png?v=1608651728")</f>
        <v>#NAME?</v>
      </c>
      <c r="H3204" t="e">
        <f ca="1">IMAGE("https://m.media-amazon.com/images/I/61WvUHmOdSS._AC_UL320_.jpg")</f>
        <v>#NAME?</v>
      </c>
      <c r="I3204" t="s">
        <v>8043</v>
      </c>
      <c r="J3204">
        <v>13.23</v>
      </c>
      <c r="K3204" s="2" t="s">
        <v>8122</v>
      </c>
      <c r="L3204">
        <v>4.5</v>
      </c>
      <c r="M3204">
        <v>5</v>
      </c>
      <c r="O3204" t="s">
        <v>26</v>
      </c>
      <c r="P3204" t="s">
        <v>39</v>
      </c>
      <c r="Q3204" t="s">
        <v>8045</v>
      </c>
    </row>
    <row r="3205" spans="1:17" ht="15.75" x14ac:dyDescent="0.25">
      <c r="A3205" s="3" t="str">
        <f>HYPERLINK("https://shop.sonapharmacy.com/products/reach%C2%AE-mint-waxed-floss-55yds", "https://shop.sonapharmacy.com/products/reach%C2%AE-mint-waxed-floss-55yds")</f>
        <v>https://shop.sonapharmacy.com/products/reach%C2%AE-mint-waxed-floss-55yds</v>
      </c>
      <c r="B3205" s="3" t="str">
        <f>HYPERLINK("https://shop.sonapharmacy.com/products/reach%c2%ae-mint-waxed-floss-55yds", "https://shop.sonapharmacy.com/products/reach%c2%ae-mint-waxed-floss-55yds")</f>
        <v>https://shop.sonapharmacy.com/products/reach%c2%ae-mint-waxed-floss-55yds</v>
      </c>
      <c r="C3205" t="s">
        <v>8046</v>
      </c>
      <c r="D3205" t="s">
        <v>8123</v>
      </c>
      <c r="E3205" s="3" t="str">
        <f>HYPERLINK("https://www.amazon.com/REACH-Mint-Waxed-Floss-Yards/dp/B00L56MEA2/ref=sr_1_8?keywords=Reach%C2%AE+Mint+Waxed+Floss&amp;qid=1695260669&amp;sr=8-8", "https://www.amazon.com/REACH-Mint-Waxed-Floss-Yards/dp/B00L56MEA2/ref=sr_1_8?keywords=Reach%C2%AE+Mint+Waxed+Floss&amp;qid=1695260669&amp;sr=8-8")</f>
        <v>https://www.amazon.com/REACH-Mint-Waxed-Floss-Yards/dp/B00L56MEA2/ref=sr_1_8?keywords=Reach%C2%AE+Mint+Waxed+Floss&amp;qid=1695260669&amp;sr=8-8</v>
      </c>
      <c r="F3205" t="s">
        <v>8124</v>
      </c>
      <c r="G3205" t="e">
        <f ca="1">IMAGE("https://shop.sonapharmacy.com/cdn/shop/products/reach_mint_waxed_floss.png?v=1608573621")</f>
        <v>#NAME?</v>
      </c>
      <c r="H3205" t="e">
        <f ca="1">IMAGE("https://m.media-amazon.com/images/I/618i+tXExWL._AC_UL320_.jpg")</f>
        <v>#NAME?</v>
      </c>
      <c r="I3205" t="s">
        <v>8049</v>
      </c>
      <c r="J3205">
        <v>19.36</v>
      </c>
      <c r="K3205" s="2" t="s">
        <v>8125</v>
      </c>
      <c r="L3205">
        <v>4.5999999999999996</v>
      </c>
      <c r="M3205">
        <v>724</v>
      </c>
      <c r="O3205" t="s">
        <v>26</v>
      </c>
      <c r="P3205" t="s">
        <v>39</v>
      </c>
      <c r="Q3205" t="s">
        <v>8051</v>
      </c>
    </row>
    <row r="3206" spans="1:17" ht="15.75" x14ac:dyDescent="0.25">
      <c r="A3206" s="3" t="str">
        <f>HYPERLINK("https://shop.sonapharmacy.com/products/kleenex%C2%AE-anti-viral-3-ply-tissue-60ct", "https://shop.sonapharmacy.com/products/kleenex%C2%AE-anti-viral-3-ply-tissue-60ct")</f>
        <v>https://shop.sonapharmacy.com/products/kleenex%C2%AE-anti-viral-3-ply-tissue-60ct</v>
      </c>
      <c r="B3206" s="3" t="str">
        <f>HYPERLINK("https://shop.sonapharmacy.com/products/kleenex%c2%ae-anti-viral-3-ply-tissue-60ct", "https://shop.sonapharmacy.com/products/kleenex%c2%ae-anti-viral-3-ply-tissue-60ct")</f>
        <v>https://shop.sonapharmacy.com/products/kleenex%c2%ae-anti-viral-3-ply-tissue-60ct</v>
      </c>
      <c r="C3206" t="s">
        <v>8019</v>
      </c>
      <c r="D3206" t="s">
        <v>8126</v>
      </c>
      <c r="E3206" s="3" t="str">
        <f>HYPERLINK("https://www.amazon.com/Kleenex-Anti-Viral-3-Ply-Facial-Tissue/dp/B0184SFSMO/ref=sr_1_1?keywords=Kleenex%C2%AE+Anti-Viral+3-Ply+Tissue+60ct.&amp;qid=1695260456&amp;sr=8-1", "https://www.amazon.com/Kleenex-Anti-Viral-3-Ply-Facial-Tissue/dp/B0184SFSMO/ref=sr_1_1?keywords=Kleenex%C2%AE+Anti-Viral+3-Ply+Tissue+60ct.&amp;qid=1695260456&amp;sr=8-1")</f>
        <v>https://www.amazon.com/Kleenex-Anti-Viral-3-Ply-Facial-Tissue/dp/B0184SFSMO/ref=sr_1_1?keywords=Kleenex%C2%AE+Anti-Viral+3-Ply+Tissue+60ct.&amp;qid=1695260456&amp;sr=8-1</v>
      </c>
      <c r="F3206" t="s">
        <v>8127</v>
      </c>
      <c r="G3206" t="e">
        <f ca="1">IMAGE("https://shop.sonapharmacy.com/cdn/shop/products/d4023af1-9015-431e-a28c-024272d40afc_1.6559ffb226f59eebfd05eb63ba294f00.jpg?v=1610729260")</f>
        <v>#NAME?</v>
      </c>
      <c r="H3206" t="e">
        <f ca="1">IMAGE("https://m.media-amazon.com/images/I/71MFUpPSyIL._AC_UL320_.jpg")</f>
        <v>#NAME?</v>
      </c>
      <c r="I3206" t="s">
        <v>8022</v>
      </c>
      <c r="J3206">
        <v>31.99</v>
      </c>
      <c r="K3206" s="2" t="s">
        <v>8128</v>
      </c>
      <c r="L3206">
        <v>4.7</v>
      </c>
      <c r="M3206">
        <v>343</v>
      </c>
      <c r="O3206" t="s">
        <v>26</v>
      </c>
      <c r="P3206" t="s">
        <v>39</v>
      </c>
      <c r="Q3206" t="s">
        <v>8024</v>
      </c>
    </row>
    <row r="3207" spans="1:17" ht="15.75" x14ac:dyDescent="0.25">
      <c r="A3207" s="3" t="str">
        <f>HYPERLINK("https://shop.sonapharmacy.com/products/kleenex%C2%AE-anti-viral-3-ply-tissue-60ct", "https://shop.sonapharmacy.com/products/kleenex%C2%AE-anti-viral-3-ply-tissue-60ct")</f>
        <v>https://shop.sonapharmacy.com/products/kleenex%C2%AE-anti-viral-3-ply-tissue-60ct</v>
      </c>
      <c r="B3207" s="3" t="str">
        <f>HYPERLINK("https://shop.sonapharmacy.com/products/kleenex%c2%ae-anti-viral-3-ply-tissue-60ct", "https://shop.sonapharmacy.com/products/kleenex%c2%ae-anti-viral-3-ply-tissue-60ct")</f>
        <v>https://shop.sonapharmacy.com/products/kleenex%c2%ae-anti-viral-3-ply-tissue-60ct</v>
      </c>
      <c r="C3207" t="s">
        <v>8019</v>
      </c>
      <c r="D3207" t="s">
        <v>8129</v>
      </c>
      <c r="E3207" s="3" t="str">
        <f>HYPERLINK("https://www.amazon.com/Kleenex-Anti-Viral-3-Ply-Facial-Tissue/dp/B08258ZK32/ref=sr_1_2?keywords=Kleenex%C2%AE+Anti-Viral+3-Ply+Tissue+60ct.&amp;qid=1695260456&amp;sr=8-2", "https://www.amazon.com/Kleenex-Anti-Viral-3-Ply-Facial-Tissue/dp/B08258ZK32/ref=sr_1_2?keywords=Kleenex%C2%AE+Anti-Viral+3-Ply+Tissue+60ct.&amp;qid=1695260456&amp;sr=8-2")</f>
        <v>https://www.amazon.com/Kleenex-Anti-Viral-3-Ply-Facial-Tissue/dp/B08258ZK32/ref=sr_1_2?keywords=Kleenex%C2%AE+Anti-Viral+3-Ply+Tissue+60ct.&amp;qid=1695260456&amp;sr=8-2</v>
      </c>
      <c r="F3207" t="s">
        <v>8130</v>
      </c>
      <c r="G3207" t="e">
        <f ca="1">IMAGE("https://shop.sonapharmacy.com/cdn/shop/products/d4023af1-9015-431e-a28c-024272d40afc_1.6559ffb226f59eebfd05eb63ba294f00.jpg?v=1610729260")</f>
        <v>#NAME?</v>
      </c>
      <c r="H3207" t="e">
        <f ca="1">IMAGE("https://m.media-amazon.com/images/I/71MFUpPSyIL._AC_UL320_.jpg")</f>
        <v>#NAME?</v>
      </c>
      <c r="I3207" t="s">
        <v>8022</v>
      </c>
      <c r="J3207">
        <v>31.99</v>
      </c>
      <c r="K3207" s="2" t="s">
        <v>8128</v>
      </c>
      <c r="L3207">
        <v>4.7</v>
      </c>
      <c r="M3207">
        <v>749</v>
      </c>
      <c r="O3207" t="s">
        <v>26</v>
      </c>
      <c r="P3207" t="s">
        <v>39</v>
      </c>
      <c r="Q3207" t="s">
        <v>8024</v>
      </c>
    </row>
    <row r="3208" spans="1:17" ht="15.75" x14ac:dyDescent="0.25">
      <c r="A3208" s="3" t="str">
        <f>HYPERLINK("https://shop.sonapharmacy.com/products/apex%C2%AE-oral-syringe-10ml", "https://shop.sonapharmacy.com/products/apex%C2%AE-oral-syringe-10ml")</f>
        <v>https://shop.sonapharmacy.com/products/apex%C2%AE-oral-syringe-10ml</v>
      </c>
      <c r="B3208" s="3" t="str">
        <f>HYPERLINK("https://shop.sonapharmacy.com/products/apex%c2%ae-oral-syringe-10ml", "https://shop.sonapharmacy.com/products/apex%c2%ae-oral-syringe-10ml")</f>
        <v>https://shop.sonapharmacy.com/products/apex%c2%ae-oral-syringe-10ml</v>
      </c>
      <c r="C3208" t="s">
        <v>8131</v>
      </c>
      <c r="D3208" t="s">
        <v>8132</v>
      </c>
      <c r="E3208" s="3" t="str">
        <f>HYPERLINK("https://www.amazon.com/Easy-Glide-Syringe-Included-Medicine/dp/B08FVKN4M4/ref=sr_1_10?keywords=Apex+Oral+Syringe+10ml.&amp;qid=1695260012&amp;sr=8-10", "https://www.amazon.com/Easy-Glide-Syringe-Included-Medicine/dp/B08FVKN4M4/ref=sr_1_10?keywords=Apex+Oral+Syringe+10ml.&amp;qid=1695260012&amp;sr=8-10")</f>
        <v>https://www.amazon.com/Easy-Glide-Syringe-Included-Medicine/dp/B08FVKN4M4/ref=sr_1_10?keywords=Apex+Oral+Syringe+10ml.&amp;qid=1695260012&amp;sr=8-10</v>
      </c>
      <c r="F3208" t="s">
        <v>8133</v>
      </c>
      <c r="G3208" t="e">
        <f ca="1">IMAGE("https://shop.sonapharmacy.com/cdn/shop/products/000530853.jpg?v=1611189682")</f>
        <v>#NAME?</v>
      </c>
      <c r="H3208" t="e">
        <f ca="1">IMAGE("https://m.media-amazon.com/images/I/5119HMzbmJL._AC_UY218_.jpg")</f>
        <v>#NAME?</v>
      </c>
      <c r="I3208" t="s">
        <v>8134</v>
      </c>
      <c r="J3208">
        <v>21.99</v>
      </c>
      <c r="K3208" s="2" t="s">
        <v>8135</v>
      </c>
      <c r="L3208">
        <v>4.3</v>
      </c>
      <c r="M3208">
        <v>26</v>
      </c>
      <c r="O3208" t="s">
        <v>26</v>
      </c>
      <c r="P3208" t="s">
        <v>39</v>
      </c>
      <c r="Q3208" t="s">
        <v>8136</v>
      </c>
    </row>
    <row r="3209" spans="1:17" ht="15.75" x14ac:dyDescent="0.25">
      <c r="A3209" s="3" t="str">
        <f>HYPERLINK("https://shop.sonapharmacy.com/products/goodsense%C2%AE-clearlax-laxative-powder", "https://shop.sonapharmacy.com/products/goodsense%C2%AE-clearlax-laxative-powder")</f>
        <v>https://shop.sonapharmacy.com/products/goodsense%C2%AE-clearlax-laxative-powder</v>
      </c>
      <c r="B3209" s="3" t="str">
        <f>HYPERLINK("https://shop.sonapharmacy.com/products/goodsense%c2%ae-clearlax-laxative-powder", "https://shop.sonapharmacy.com/products/goodsense%c2%ae-clearlax-laxative-powder")</f>
        <v>https://shop.sonapharmacy.com/products/goodsense%c2%ae-clearlax-laxative-powder</v>
      </c>
      <c r="C3209" t="s">
        <v>8137</v>
      </c>
      <c r="D3209" t="s">
        <v>8138</v>
      </c>
      <c r="E3209" s="3" t="str">
        <f>HYPERLINK("https://www.amazon.com/Basic-Care-ClearLax-Polyethylene-Solution/dp/B07WMZ38Z8/ref=sr_1_9?keywords=GoodSense%C2%AE+ClearLax+Laxative+Powder&amp;qid=1695260311&amp;sr=8-9", "https://www.amazon.com/Basic-Care-ClearLax-Polyethylene-Solution/dp/B07WMZ38Z8/ref=sr_1_9?keywords=GoodSense%C2%AE+ClearLax+Laxative+Powder&amp;qid=1695260311&amp;sr=8-9")</f>
        <v>https://www.amazon.com/Basic-Care-ClearLax-Polyethylene-Solution/dp/B07WMZ38Z8/ref=sr_1_9?keywords=GoodSense%C2%AE+ClearLax+Laxative+Powder&amp;qid=1695260311&amp;sr=8-9</v>
      </c>
      <c r="F3209" t="s">
        <v>8139</v>
      </c>
      <c r="G3209" t="e">
        <f ca="1">IMAGE("https://shop.sonapharmacy.com/cdn/shop/products/110890.jpg?v=1611081016")</f>
        <v>#NAME?</v>
      </c>
      <c r="H3209" t="e">
        <f ca="1">IMAGE("https://m.media-amazon.com/images/I/71j8-fTpU3L._AC_UL320_.jpg")</f>
        <v>#NAME?</v>
      </c>
      <c r="I3209" t="s">
        <v>8140</v>
      </c>
      <c r="J3209">
        <v>80.27</v>
      </c>
      <c r="K3209" s="2" t="s">
        <v>8141</v>
      </c>
      <c r="L3209">
        <v>4.5999999999999996</v>
      </c>
      <c r="M3209">
        <v>659</v>
      </c>
      <c r="O3209" t="s">
        <v>26</v>
      </c>
      <c r="P3209" t="s">
        <v>39</v>
      </c>
      <c r="Q3209" t="s">
        <v>8142</v>
      </c>
    </row>
    <row r="3210" spans="1:17" ht="15.75" x14ac:dyDescent="0.25">
      <c r="A3210" s="3" t="str">
        <f>HYPERLINK("https://shop.sonapharmacy.com/products/afrin%C2%AE-original", "https://shop.sonapharmacy.com/products/afrin%C2%AE-original")</f>
        <v>https://shop.sonapharmacy.com/products/afrin%C2%AE-original</v>
      </c>
      <c r="B3210" s="3" t="str">
        <f>HYPERLINK("https://shop.sonapharmacy.com/products/afrin%c2%ae-original", "https://shop.sonapharmacy.com/products/afrin%c2%ae-original")</f>
        <v>https://shop.sonapharmacy.com/products/afrin%c2%ae-original</v>
      </c>
      <c r="C3210" t="s">
        <v>8143</v>
      </c>
      <c r="D3210" t="s">
        <v>8144</v>
      </c>
      <c r="E3210" s="3" t="str">
        <f>HYPERLINK("https://www.amazon.com/Afrin-Original-Nasal-Spray-Decongestant/dp/B071H4JKQT/ref=sr_1_9?keywords=Afrin+Original+Nasal+Spray&amp;qid=1695260003&amp;sr=8-9", "https://www.amazon.com/Afrin-Original-Nasal-Spray-Decongestant/dp/B071H4JKQT/ref=sr_1_9?keywords=Afrin+Original+Nasal+Spray&amp;qid=1695260003&amp;sr=8-9")</f>
        <v>https://www.amazon.com/Afrin-Original-Nasal-Spray-Decongestant/dp/B071H4JKQT/ref=sr_1_9?keywords=Afrin+Original+Nasal+Spray&amp;qid=1695260003&amp;sr=8-9</v>
      </c>
      <c r="F3210" t="s">
        <v>8145</v>
      </c>
      <c r="G3210" t="e">
        <f ca="1">IMAGE("https://shop.sonapharmacy.com/cdn/shop/products/81lfsEyuTvL._AC_SL1500.jpg?v=1611182746")</f>
        <v>#NAME?</v>
      </c>
      <c r="H3210" t="e">
        <f ca="1">IMAGE("https://m.media-amazon.com/images/I/718PtXMHcRL._AC_UL320_.jpg")</f>
        <v>#NAME?</v>
      </c>
      <c r="I3210" t="s">
        <v>4275</v>
      </c>
      <c r="J3210">
        <v>147.96</v>
      </c>
      <c r="K3210" s="2" t="s">
        <v>8146</v>
      </c>
      <c r="L3210">
        <v>4.7</v>
      </c>
      <c r="M3210">
        <v>136</v>
      </c>
      <c r="O3210" t="s">
        <v>26</v>
      </c>
      <c r="P3210" t="s">
        <v>39</v>
      </c>
      <c r="Q3210" t="s">
        <v>8147</v>
      </c>
    </row>
    <row r="3211" spans="1:17" ht="15.75" x14ac:dyDescent="0.25">
      <c r="A3211" s="3" t="str">
        <f>HYPERLINK("https://shop.sonapharmacy.com/products/germ-x%C2%AE-original-moisturizing-hand-sanitizer", "https://shop.sonapharmacy.com/products/germ-x%C2%AE-original-moisturizing-hand-sanitizer")</f>
        <v>https://shop.sonapharmacy.com/products/germ-x%C2%AE-original-moisturizing-hand-sanitizer</v>
      </c>
      <c r="B3211" s="3" t="str">
        <f>HYPERLINK("https://shop.sonapharmacy.com/products/germ-x%c2%ae-original-moisturizing-hand-sanitizer", "https://shop.sonapharmacy.com/products/germ-x%c2%ae-original-moisturizing-hand-sanitizer")</f>
        <v>https://shop.sonapharmacy.com/products/germ-x%c2%ae-original-moisturizing-hand-sanitizer</v>
      </c>
      <c r="C3211" t="s">
        <v>8148</v>
      </c>
      <c r="D3211" t="s">
        <v>8149</v>
      </c>
      <c r="E3211" s="3" t="str">
        <f>HYPERLINK("https://www.amazon.com/Germ-X-Sanitizer-Original-Fluid-Ounce/dp/B085V653L5/ref=sr_1_1?keywords=Germ-X%C2%AE+Original+Moisturizing+Hand+Sanitizer&amp;qid=1695260352&amp;sr=8-1", "https://www.amazon.com/Germ-X-Sanitizer-Original-Fluid-Ounce/dp/B085V653L5/ref=sr_1_1?keywords=Germ-X%C2%AE+Original+Moisturizing+Hand+Sanitizer&amp;qid=1695260352&amp;sr=8-1")</f>
        <v>https://www.amazon.com/Germ-X-Sanitizer-Original-Fluid-Ounce/dp/B085V653L5/ref=sr_1_1?keywords=Germ-X%C2%AE+Original+Moisturizing+Hand+Sanitizer&amp;qid=1695260352&amp;sr=8-1</v>
      </c>
      <c r="F3211" t="s">
        <v>8150</v>
      </c>
      <c r="G3211" t="e">
        <f ca="1">IMAGE("https://shop.sonapharmacy.com/cdn/shop/products/a0d3c925-13c5-4135-b19e-d228b4099f32_1.e65a2e7692ce5a0174ea35f4aea05379.jpg?v=1610730624")</f>
        <v>#NAME?</v>
      </c>
      <c r="H3211" t="e">
        <f ca="1">IMAGE("https://m.media-amazon.com/images/I/81IPVP6mccL._AC_UL320_.jpg")</f>
        <v>#NAME?</v>
      </c>
      <c r="I3211" t="s">
        <v>8151</v>
      </c>
      <c r="J3211">
        <v>23.88</v>
      </c>
      <c r="K3211" s="2" t="s">
        <v>8152</v>
      </c>
      <c r="L3211">
        <v>4.8</v>
      </c>
      <c r="M3211">
        <v>66670</v>
      </c>
      <c r="O3211" t="s">
        <v>26</v>
      </c>
      <c r="P3211" t="s">
        <v>39</v>
      </c>
      <c r="Q3211" t="s">
        <v>8153</v>
      </c>
    </row>
    <row r="3212" spans="1:17" ht="15.75" x14ac:dyDescent="0.25">
      <c r="A3212" s="3" t="str">
        <f>HYPERLINK("https://shop.sonapharmacy.com/products/macks%C2%AE-pillow-soft%C2%AE-silicone-putty-ear-plugs", "https://shop.sonapharmacy.com/products/macks%C2%AE-pillow-soft%C2%AE-silicone-putty-ear-plugs")</f>
        <v>https://shop.sonapharmacy.com/products/macks%C2%AE-pillow-soft%C2%AE-silicone-putty-ear-plugs</v>
      </c>
      <c r="B3212" s="3" t="str">
        <f>HYPERLINK("https://shop.sonapharmacy.com/products/macks%c2%ae-pillow-soft%c2%ae-silicone-putty-ear-plugs", "https://shop.sonapharmacy.com/products/macks%c2%ae-pillow-soft%c2%ae-silicone-putty-ear-plugs")</f>
        <v>https://shop.sonapharmacy.com/products/macks%c2%ae-pillow-soft%c2%ae-silicone-putty-ear-plugs</v>
      </c>
      <c r="C3212" t="s">
        <v>7949</v>
      </c>
      <c r="D3212" t="s">
        <v>8154</v>
      </c>
      <c r="E3212" s="3" t="str">
        <f>HYPERLINK("https://www.amazon.com/Macks-Pillow-Earplugs-Value-Count/dp/B010SCOTQK/ref=sr_1_4?keywords=Mack%27s%C2%AE+Pillow+Soft%C2%AE+Silicone+Putty+Ear+Plugs&amp;qid=1695260450&amp;sr=8-4", "https://www.amazon.com/Macks-Pillow-Earplugs-Value-Count/dp/B010SCOTQK/ref=sr_1_4?keywords=Mack%27s%C2%AE+Pillow+Soft%C2%AE+Silicone+Putty+Ear+Plugs&amp;qid=1695260450&amp;sr=8-4")</f>
        <v>https://www.amazon.com/Macks-Pillow-Earplugs-Value-Count/dp/B010SCOTQK/ref=sr_1_4?keywords=Mack%27s%C2%AE+Pillow+Soft%C2%AE+Silicone+Putty+Ear+Plugs&amp;qid=1695260450&amp;sr=8-4</v>
      </c>
      <c r="F3212" t="s">
        <v>8155</v>
      </c>
      <c r="G3212" t="e">
        <f ca="1">IMAGE("https://shop.sonapharmacy.com/cdn/shop/products/71Rta0uAlwL._AC_SL1500.jpg?v=1609171871")</f>
        <v>#NAME?</v>
      </c>
      <c r="H3212" t="e">
        <f ca="1">IMAGE("https://m.media-amazon.com/images/I/71+RqvbWBEL._AC_UL320_.jpg")</f>
        <v>#NAME?</v>
      </c>
      <c r="I3212" t="s">
        <v>7952</v>
      </c>
      <c r="J3212">
        <v>31.68</v>
      </c>
      <c r="K3212" s="2" t="s">
        <v>8156</v>
      </c>
      <c r="L3212">
        <v>4.8</v>
      </c>
      <c r="M3212">
        <v>534</v>
      </c>
      <c r="O3212" t="s">
        <v>26</v>
      </c>
      <c r="P3212" t="s">
        <v>39</v>
      </c>
      <c r="Q3212" t="s">
        <v>7954</v>
      </c>
    </row>
    <row r="3213" spans="1:17" ht="15.75" x14ac:dyDescent="0.25">
      <c r="A3213" s="3" t="str">
        <f>HYPERLINK("https://shop.sonapharmacy.com/products/okeeffes%C2%AE-cooling-relief-lip-repair", "https://shop.sonapharmacy.com/products/okeeffes%C2%AE-cooling-relief-lip-repair")</f>
        <v>https://shop.sonapharmacy.com/products/okeeffes%C2%AE-cooling-relief-lip-repair</v>
      </c>
      <c r="B3213" s="3" t="str">
        <f>HYPERLINK("https://shop.sonapharmacy.com/products/okeeffes%c2%ae-cooling-relief-lip-repair", "https://shop.sonapharmacy.com/products/okeeffes%c2%ae-cooling-relief-lip-repair")</f>
        <v>https://shop.sonapharmacy.com/products/okeeffes%c2%ae-cooling-relief-lip-repair</v>
      </c>
      <c r="C3213" t="s">
        <v>8157</v>
      </c>
      <c r="D3213" t="s">
        <v>8158</v>
      </c>
      <c r="E3213" s="3" t="str">
        <f>HYPERLINK("https://www.amazon.com/OKeeffes-Cooling-Relief-Repair-Cracked/dp/B01M3VNOIM/ref=sr_1_6?keywords=O%27Keeffe%27s%C2%AE+Cooling+Relief+Lip+Repair&amp;qid=1695260611&amp;sr=8-6", "https://www.amazon.com/OKeeffes-Cooling-Relief-Repair-Cracked/dp/B01M3VNOIM/ref=sr_1_6?keywords=O%27Keeffe%27s%C2%AE+Cooling+Relief+Lip+Repair&amp;qid=1695260611&amp;sr=8-6")</f>
        <v>https://www.amazon.com/OKeeffes-Cooling-Relief-Repair-Cracked/dp/B01M3VNOIM/ref=sr_1_6?keywords=O%27Keeffe%27s%C2%AE+Cooling+Relief+Lip+Repair&amp;qid=1695260611&amp;sr=8-6</v>
      </c>
      <c r="F3213" t="s">
        <v>8159</v>
      </c>
      <c r="G3213" t="e">
        <f ca="1">IMAGE("https://shop.sonapharmacy.com/cdn/shop/products/91uQWoqzf5L._AC_SL1500.jpg?v=1608226728")</f>
        <v>#NAME?</v>
      </c>
      <c r="H3213" t="e">
        <f ca="1">IMAGE("https://m.media-amazon.com/images/I/711AmGTPoQL._AC_UL320_.jpg")</f>
        <v>#NAME?</v>
      </c>
      <c r="I3213" t="s">
        <v>8160</v>
      </c>
      <c r="J3213">
        <v>52.51</v>
      </c>
      <c r="K3213" s="2" t="s">
        <v>8161</v>
      </c>
      <c r="L3213">
        <v>4.9000000000000004</v>
      </c>
      <c r="M3213">
        <v>13</v>
      </c>
      <c r="O3213" t="s">
        <v>26</v>
      </c>
      <c r="P3213" t="s">
        <v>39</v>
      </c>
      <c r="Q3213" t="s">
        <v>8162</v>
      </c>
    </row>
    <row r="3214" spans="1:17" ht="15.75" x14ac:dyDescent="0.25">
      <c r="A3214" s="3" t="str">
        <f>HYPERLINK("https://shop.sonapharmacy.com/products/halls-relief-black-cherry-sugar-free-drops-25ct", "https://shop.sonapharmacy.com/products/halls-relief-black-cherry-sugar-free-drops-25ct")</f>
        <v>https://shop.sonapharmacy.com/products/halls-relief-black-cherry-sugar-free-drops-25ct</v>
      </c>
      <c r="B3214" s="3" t="str">
        <f>HYPERLINK("https://shop.sonapharmacy.com/products/halls-relief-black-cherry-sugar-free-drops-25ct", "https://shop.sonapharmacy.com/products/halls-relief-black-cherry-sugar-free-drops-25ct")</f>
        <v>https://shop.sonapharmacy.com/products/halls-relief-black-cherry-sugar-free-drops-25ct</v>
      </c>
      <c r="C3214" t="s">
        <v>8163</v>
      </c>
      <c r="D3214" t="s">
        <v>8074</v>
      </c>
      <c r="E3214" s="3" t="str">
        <f>HYPERLINK("https://www.amazon.com/Halls-Black-Cherry-Sugar-Cough/dp/B003WOYK7U/ref=sr_1_2?keywords=Halls%C2%AE+Relief+Black+Cherry+Sugar-Free+Cough+Drops+25ct&amp;qid=1695260378&amp;sr=8-2", "https://www.amazon.com/Halls-Black-Cherry-Sugar-Cough/dp/B003WOYK7U/ref=sr_1_2?keywords=Halls%C2%AE+Relief+Black+Cherry+Sugar-Free+Cough+Drops+25ct&amp;qid=1695260378&amp;sr=8-2")</f>
        <v>https://www.amazon.com/Halls-Black-Cherry-Sugar-Cough/dp/B003WOYK7U/ref=sr_1_2?keywords=Halls%C2%AE+Relief+Black+Cherry+Sugar-Free+Cough+Drops+25ct&amp;qid=1695260378&amp;sr=8-2</v>
      </c>
      <c r="F3214" t="s">
        <v>8075</v>
      </c>
      <c r="G3214" t="e">
        <f ca="1">IMAGE("https://shop.sonapharmacy.com/cdn/shop/products/HALLS_SF_Menthol_BlackCherry_25ct.png?v=1608218492")</f>
        <v>#NAME?</v>
      </c>
      <c r="H3214" t="e">
        <f ca="1">IMAGE("https://m.media-amazon.com/images/I/71nI5krjA2L._AC_UL320_.jpg")</f>
        <v>#NAME?</v>
      </c>
      <c r="I3214" t="s">
        <v>8034</v>
      </c>
      <c r="J3214">
        <v>34.46</v>
      </c>
      <c r="K3214" s="2" t="s">
        <v>8164</v>
      </c>
      <c r="L3214">
        <v>4.8</v>
      </c>
      <c r="M3214">
        <v>1679</v>
      </c>
      <c r="O3214" t="s">
        <v>136</v>
      </c>
      <c r="P3214" t="s">
        <v>39</v>
      </c>
      <c r="Q3214" t="s">
        <v>8165</v>
      </c>
    </row>
    <row r="3215" spans="1:17" ht="15.75" x14ac:dyDescent="0.25">
      <c r="A3215" s="3" t="str">
        <f>HYPERLINK("https://shop.sonapharmacy.com/products/duracell%C2%AE-aaa-coppertop-alkaline-batteries", "https://shop.sonapharmacy.com/products/duracell%C2%AE-aaa-coppertop-alkaline-batteries")</f>
        <v>https://shop.sonapharmacy.com/products/duracell%C2%AE-aaa-coppertop-alkaline-batteries</v>
      </c>
      <c r="B3215" s="3" t="str">
        <f>HYPERLINK("https://shop.sonapharmacy.com/products/duracell%c2%ae-aaa-coppertop-alkaline-batteries", "https://shop.sonapharmacy.com/products/duracell%c2%ae-aaa-coppertop-alkaline-batteries")</f>
        <v>https://shop.sonapharmacy.com/products/duracell%c2%ae-aaa-coppertop-alkaline-batteries</v>
      </c>
      <c r="C3215" t="s">
        <v>8166</v>
      </c>
      <c r="D3215" t="s">
        <v>8167</v>
      </c>
      <c r="E3215" s="3" t="str">
        <f>HYPERLINK("https://www.amazon.com/Duracell-Coppertop-MN2400BKD-General-Purpose/dp/B00PV1L00M/ref=sr_1_5?keywords=Duracell%C2%AE+AAA+CopperTop+Alkaline+Batteries&amp;qid=1695260225&amp;sr=8-5", "https://www.amazon.com/Duracell-Coppertop-MN2400BKD-General-Purpose/dp/B00PV1L00M/ref=sr_1_5?keywords=Duracell%C2%AE+AAA+CopperTop+Alkaline+Batteries&amp;qid=1695260225&amp;sr=8-5")</f>
        <v>https://www.amazon.com/Duracell-Coppertop-MN2400BKD-General-Purpose/dp/B00PV1L00M/ref=sr_1_5?keywords=Duracell%C2%AE+AAA+CopperTop+Alkaline+Batteries&amp;qid=1695260225&amp;sr=8-5</v>
      </c>
      <c r="F3215" t="s">
        <v>8168</v>
      </c>
      <c r="G3215" t="e">
        <f ca="1">IMAGE("https://shop.sonapharmacy.com/cdn/shop/products/4711941b-a083-4277-8d8a-0a1bce8b082a_1.a291637149acb335ff96c25aae0e8bc1.png?v=1610335288")</f>
        <v>#NAME?</v>
      </c>
      <c r="H3215" t="e">
        <f ca="1">IMAGE("https://m.media-amazon.com/images/I/71nsYcX2teL._AC_UL320_.jpg")</f>
        <v>#NAME?</v>
      </c>
      <c r="I3215" t="s">
        <v>8169</v>
      </c>
      <c r="J3215">
        <v>84.28</v>
      </c>
      <c r="K3215" s="2" t="s">
        <v>8170</v>
      </c>
      <c r="L3215">
        <v>4.5999999999999996</v>
      </c>
      <c r="M3215">
        <v>535</v>
      </c>
      <c r="O3215" t="s">
        <v>26</v>
      </c>
      <c r="P3215" t="s">
        <v>39</v>
      </c>
      <c r="Q3215" t="s">
        <v>8171</v>
      </c>
    </row>
    <row r="3216" spans="1:17" ht="15.75" x14ac:dyDescent="0.25">
      <c r="A3216" s="3" t="str">
        <f>HYPERLINK("https://shop.sonapharmacy.com/products/okeeffes-skin-repair-body-lotion-7oz", "https://shop.sonapharmacy.com/products/okeeffes-skin-repair-body-lotion-7oz")</f>
        <v>https://shop.sonapharmacy.com/products/okeeffes-skin-repair-body-lotion-7oz</v>
      </c>
      <c r="B3216" s="3" t="str">
        <f>HYPERLINK("https://shop.sonapharmacy.com/products/okeeffes-skin-repair-body-lotion-7oz", "https://shop.sonapharmacy.com/products/okeeffes-skin-repair-body-lotion-7oz")</f>
        <v>https://shop.sonapharmacy.com/products/okeeffes-skin-repair-body-lotion-7oz</v>
      </c>
      <c r="C3216" t="s">
        <v>8093</v>
      </c>
      <c r="D3216" t="s">
        <v>8172</v>
      </c>
      <c r="E3216" s="3" t="str">
        <f>HYPERLINK("https://www.amazon.com/OKeeffes-Repair-Lotion-Moisturizer-ounce/dp/B01M32X7L1/ref=sr_1_7?keywords=O%27Keeffe%27s+Skin+Repair+Body+Lotion+7oz.&amp;qid=1695260599&amp;sr=8-7", "https://www.amazon.com/OKeeffes-Repair-Lotion-Moisturizer-ounce/dp/B01M32X7L1/ref=sr_1_7?keywords=O%27Keeffe%27s+Skin+Repair+Body+Lotion+7oz.&amp;qid=1695260599&amp;sr=8-7")</f>
        <v>https://www.amazon.com/OKeeffes-Repair-Lotion-Moisturizer-ounce/dp/B01M32X7L1/ref=sr_1_7?keywords=O%27Keeffe%27s+Skin+Repair+Body+Lotion+7oz.&amp;qid=1695260599&amp;sr=8-7</v>
      </c>
      <c r="F3216" t="s">
        <v>8173</v>
      </c>
      <c r="G3216" t="e">
        <f ca="1">IMAGE("https://shop.sonapharmacy.com/cdn/shop/products/3bd16183-fe45-42dc-92f8-debd6868b3ac_1.7c675874396c0c8bd4b5440f108ff7b2.jpg?v=1608410648")</f>
        <v>#NAME?</v>
      </c>
      <c r="H3216" t="e">
        <f ca="1">IMAGE("https://m.media-amazon.com/images/I/81jsopxbCpL._AC_UL320_.jpg")</f>
        <v>#NAME?</v>
      </c>
      <c r="I3216" t="s">
        <v>8096</v>
      </c>
      <c r="J3216">
        <v>100.29</v>
      </c>
      <c r="K3216" s="2" t="s">
        <v>8174</v>
      </c>
      <c r="L3216">
        <v>4</v>
      </c>
      <c r="M3216">
        <v>1</v>
      </c>
      <c r="O3216" t="s">
        <v>26</v>
      </c>
      <c r="P3216" t="s">
        <v>39</v>
      </c>
      <c r="Q3216" t="s">
        <v>8098</v>
      </c>
    </row>
    <row r="3217" spans="1:17" ht="15.75" x14ac:dyDescent="0.25">
      <c r="A3217" s="3" t="str">
        <f>HYPERLINK("https://shop.sonapharmacy.com/products/alka-seltzer%C2%AE-heartburn-gas-relief-chews-tropical-punch-32ct", "https://shop.sonapharmacy.com/products/alka-seltzer%C2%AE-heartburn-gas-relief-chews-tropical-punch-32ct")</f>
        <v>https://shop.sonapharmacy.com/products/alka-seltzer%C2%AE-heartburn-gas-relief-chews-tropical-punch-32ct</v>
      </c>
      <c r="B3217" s="3" t="str">
        <f>HYPERLINK("https://shop.sonapharmacy.com/products/alka-seltzer%c2%ae-heartburn-gas-relief-chews-tropical-punch-32ct", "https://shop.sonapharmacy.com/products/alka-seltzer%c2%ae-heartburn-gas-relief-chews-tropical-punch-32ct")</f>
        <v>https://shop.sonapharmacy.com/products/alka-seltzer%c2%ae-heartburn-gas-relief-chews-tropical-punch-32ct</v>
      </c>
      <c r="C3217" t="s">
        <v>8175</v>
      </c>
      <c r="D3217" t="s">
        <v>8176</v>
      </c>
      <c r="E3217" s="3" t="str">
        <f>HYPERLINK("https://www.amazon.com/Alka-Seltzer-Heartburn-Relief-Chews-Tropical/dp/B07618ZC9B/ref=sr_1_3?keywords=Alka-Seltzer+Heartburn+Gas+Relief+Chews+Tropical+Punch&amp;qid=1695260006&amp;sr=8-3", "https://www.amazon.com/Alka-Seltzer-Heartburn-Relief-Chews-Tropical/dp/B07618ZC9B/ref=sr_1_3?keywords=Alka-Seltzer+Heartburn+Gas+Relief+Chews+Tropical+Punch&amp;qid=1695260006&amp;sr=8-3")</f>
        <v>https://www.amazon.com/Alka-Seltzer-Heartburn-Relief-Chews-Tropical/dp/B07618ZC9B/ref=sr_1_3?keywords=Alka-Seltzer+Heartburn+Gas+Relief+Chews+Tropical+Punch&amp;qid=1695260006&amp;sr=8-3</v>
      </c>
      <c r="F3217" t="s">
        <v>8177</v>
      </c>
      <c r="G3217" t="e">
        <f ca="1">IMAGE("https://shop.sonapharmacy.com/cdn/shop/products/81ec1ae0-d212-4df8-9493-d30e16c1d6ad_2.2ded3fb69892b5ccccecbbff2e40283a.jpg?v=1611187068")</f>
        <v>#NAME?</v>
      </c>
      <c r="H3217" t="e">
        <f ca="1">IMAGE("https://m.media-amazon.com/images/I/81jaPAbbz+L._AC_UL320_.jpg")</f>
        <v>#NAME?</v>
      </c>
      <c r="I3217" t="s">
        <v>6757</v>
      </c>
      <c r="J3217">
        <v>79.290000000000006</v>
      </c>
      <c r="K3217" s="2" t="s">
        <v>8178</v>
      </c>
      <c r="L3217">
        <v>4.2</v>
      </c>
      <c r="M3217">
        <v>36</v>
      </c>
      <c r="O3217" t="s">
        <v>26</v>
      </c>
      <c r="P3217" t="s">
        <v>39</v>
      </c>
      <c r="Q3217" t="s">
        <v>8179</v>
      </c>
    </row>
    <row r="3218" spans="1:17" ht="15.75" x14ac:dyDescent="0.25">
      <c r="A3218" s="3" t="str">
        <f>HYPERLINK("https://shop.sonapharmacy.com/products/huggies-natural-care-unscented-sensitive-baby-wipes-64ct", "https://shop.sonapharmacy.com/products/huggies-natural-care-unscented-sensitive-baby-wipes-64ct")</f>
        <v>https://shop.sonapharmacy.com/products/huggies-natural-care-unscented-sensitive-baby-wipes-64ct</v>
      </c>
      <c r="B3218" s="3" t="str">
        <f>HYPERLINK("https://shop.sonapharmacy.com/products/huggies-natural-care-unscented-sensitive-baby-wipes-64ct", "https://shop.sonapharmacy.com/products/huggies-natural-care-unscented-sensitive-baby-wipes-64ct")</f>
        <v>https://shop.sonapharmacy.com/products/huggies-natural-care-unscented-sensitive-baby-wipes-64ct</v>
      </c>
      <c r="C3218" t="s">
        <v>8180</v>
      </c>
      <c r="D3218" t="s">
        <v>8181</v>
      </c>
      <c r="E3218" s="3" t="str">
        <f>HYPERLINK("https://www.amazon.com/HUGGIES-Natural-Unscented-Sensitive-Refill/dp/B07M6XVCBY/ref=sr_1_3?keywords=Huggies+Natural+Care+Unscented+Sensitive+Baby+Wipes+56ct.&amp;qid=1695260373&amp;sr=8-3", "https://www.amazon.com/HUGGIES-Natural-Unscented-Sensitive-Refill/dp/B07M6XVCBY/ref=sr_1_3?keywords=Huggies+Natural+Care+Unscented+Sensitive+Baby+Wipes+56ct.&amp;qid=1695260373&amp;sr=8-3")</f>
        <v>https://www.amazon.com/HUGGIES-Natural-Unscented-Sensitive-Refill/dp/B07M6XVCBY/ref=sr_1_3?keywords=Huggies+Natural+Care+Unscented+Sensitive+Baby+Wipes+56ct.&amp;qid=1695260373&amp;sr=8-3</v>
      </c>
      <c r="F3218" t="s">
        <v>8182</v>
      </c>
      <c r="G3218" t="e">
        <f ca="1">IMAGE("https://shop.sonapharmacy.com/cdn/shop/products/HuggiesFront.png?v=1624633749")</f>
        <v>#NAME?</v>
      </c>
      <c r="H3218" t="e">
        <f ca="1">IMAGE("https://m.media-amazon.com/images/I/81L66EMRfSL._AC_UL320_.jpg")</f>
        <v>#NAME?</v>
      </c>
      <c r="I3218" t="s">
        <v>8183</v>
      </c>
      <c r="J3218">
        <v>35</v>
      </c>
      <c r="K3218" s="2" t="s">
        <v>8184</v>
      </c>
      <c r="L3218">
        <v>4.8</v>
      </c>
      <c r="M3218">
        <v>39445</v>
      </c>
      <c r="O3218" t="s">
        <v>26</v>
      </c>
      <c r="P3218" t="s">
        <v>39</v>
      </c>
      <c r="Q3218" t="s">
        <v>8185</v>
      </c>
    </row>
    <row r="3219" spans="1:17" ht="15.75" x14ac:dyDescent="0.25">
      <c r="A3219" s="3" t="str">
        <f>HYPERLINK("https://shop.sonapharmacy.com/products/accu-chek-glucose-guide-control-solution", "https://shop.sonapharmacy.com/products/accu-chek-glucose-guide-control-solution")</f>
        <v>https://shop.sonapharmacy.com/products/accu-chek-glucose-guide-control-solution</v>
      </c>
      <c r="B3219" s="3" t="str">
        <f>HYPERLINK("https://shop.sonapharmacy.com/products/accu-chek-glucose-guide-control-solution", "https://shop.sonapharmacy.com/products/accu-chek-glucose-guide-control-solution")</f>
        <v>https://shop.sonapharmacy.com/products/accu-chek-glucose-guide-control-solution</v>
      </c>
      <c r="C3219" t="s">
        <v>8186</v>
      </c>
      <c r="D3219" t="s">
        <v>8187</v>
      </c>
      <c r="E3219" s="3" t="str">
        <f>HYPERLINK("https://www.amazon.com/Accu-Chek-Diabetes-Essential-Diabetic-Supplies/dp/B0923FLV2N/ref=sr_1_2?keywords=Accu-Chek+Glucose+Guide+Control+Solution&amp;qid=1695260010&amp;sr=8-2", "https://www.amazon.com/Accu-Chek-Diabetes-Essential-Diabetic-Supplies/dp/B0923FLV2N/ref=sr_1_2?keywords=Accu-Chek+Glucose+Guide+Control+Solution&amp;qid=1695260010&amp;sr=8-2")</f>
        <v>https://www.amazon.com/Accu-Chek-Diabetes-Essential-Diabetic-Supplies/dp/B0923FLV2N/ref=sr_1_2?keywords=Accu-Chek+Glucose+Guide+Control+Solution&amp;qid=1695260010&amp;sr=8-2</v>
      </c>
      <c r="F3219" t="s">
        <v>8188</v>
      </c>
      <c r="G3219" t="e">
        <f ca="1">IMAGE("https://shop.sonapharmacy.com/cdn/shop/products/Accu-ChekGlucoseGuideControlSolution.jpg?v=1594224961")</f>
        <v>#NAME?</v>
      </c>
      <c r="H3219" t="e">
        <f ca="1">IMAGE("https://m.media-amazon.com/images/I/715dgzpTBbL._AC_UL320_.jpg")</f>
        <v>#NAME?</v>
      </c>
      <c r="I3219" t="s">
        <v>8189</v>
      </c>
      <c r="J3219">
        <v>115</v>
      </c>
      <c r="K3219" s="2" t="s">
        <v>8190</v>
      </c>
      <c r="L3219">
        <v>4.4000000000000004</v>
      </c>
      <c r="M3219">
        <v>1977</v>
      </c>
      <c r="O3219" t="s">
        <v>26</v>
      </c>
      <c r="P3219" t="s">
        <v>39</v>
      </c>
      <c r="Q3219" t="s">
        <v>8191</v>
      </c>
    </row>
    <row r="3220" spans="1:17" ht="15.75" x14ac:dyDescent="0.25">
      <c r="A3220" s="3" t="str">
        <f>HYPERLINK("https://shop.sonapharmacy.com/products/okeeffes-skin-repair-body-lotion-7oz", "https://shop.sonapharmacy.com/products/okeeffes-skin-repair-body-lotion-7oz")</f>
        <v>https://shop.sonapharmacy.com/products/okeeffes-skin-repair-body-lotion-7oz</v>
      </c>
      <c r="B3220" s="3" t="str">
        <f>HYPERLINK("https://shop.sonapharmacy.com/products/okeeffes-skin-repair-body-lotion-7oz", "https://shop.sonapharmacy.com/products/okeeffes-skin-repair-body-lotion-7oz")</f>
        <v>https://shop.sonapharmacy.com/products/okeeffes-skin-repair-body-lotion-7oz</v>
      </c>
      <c r="C3220" t="s">
        <v>8093</v>
      </c>
      <c r="D3220" t="s">
        <v>8192</v>
      </c>
      <c r="E3220" s="3" t="str">
        <f>HYPERLINK("https://www.amazon.com/OKeeffes-Repair-Lotion-Moisturizer-ounce/dp/B01MQ2AUSZ/ref=sr_1_8?keywords=O%27Keeffe%27s+Skin+Repair+Body+Lotion+7oz.&amp;qid=1695260599&amp;sr=8-8", "https://www.amazon.com/OKeeffes-Repair-Lotion-Moisturizer-ounce/dp/B01MQ2AUSZ/ref=sr_1_8?keywords=O%27Keeffe%27s+Skin+Repair+Body+Lotion+7oz.&amp;qid=1695260599&amp;sr=8-8")</f>
        <v>https://www.amazon.com/OKeeffes-Repair-Lotion-Moisturizer-ounce/dp/B01MQ2AUSZ/ref=sr_1_8?keywords=O%27Keeffe%27s+Skin+Repair+Body+Lotion+7oz.&amp;qid=1695260599&amp;sr=8-8</v>
      </c>
      <c r="F3220" t="s">
        <v>8193</v>
      </c>
      <c r="G3220" t="e">
        <f ca="1">IMAGE("https://shop.sonapharmacy.com/cdn/shop/products/3bd16183-fe45-42dc-92f8-debd6868b3ac_1.7c675874396c0c8bd4b5440f108ff7b2.jpg?v=1608410648")</f>
        <v>#NAME?</v>
      </c>
      <c r="H3220" t="e">
        <f ca="1">IMAGE("https://m.media-amazon.com/images/I/81eiAdjKPNL._AC_UL320_.jpg")</f>
        <v>#NAME?</v>
      </c>
      <c r="I3220" t="s">
        <v>8096</v>
      </c>
      <c r="J3220">
        <v>99.58</v>
      </c>
      <c r="K3220" s="2" t="s">
        <v>8194</v>
      </c>
      <c r="L3220">
        <v>5</v>
      </c>
      <c r="M3220">
        <v>1</v>
      </c>
      <c r="O3220" t="s">
        <v>26</v>
      </c>
      <c r="P3220" t="s">
        <v>39</v>
      </c>
      <c r="Q3220" t="s">
        <v>8098</v>
      </c>
    </row>
    <row r="3221" spans="1:17" ht="15.75" x14ac:dyDescent="0.25">
      <c r="A3221"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B3221"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C3221" t="s">
        <v>8040</v>
      </c>
      <c r="D3221" t="s">
        <v>8195</v>
      </c>
      <c r="E3221" s="3" t="str">
        <f>HYPERLINK("https://www.amazon.com/Central-Sales-Company-Protection-Toothpaste/dp/B0C1MVRDMD/ref=sr_1_7?keywords=Colgate%C2%AE+Regular+Flavor+Cavity+Protection+Toothpaste+1oz.&amp;qid=1695260151&amp;sr=8-7", "https://www.amazon.com/Central-Sales-Company-Protection-Toothpaste/dp/B0C1MVRDMD/ref=sr_1_7?keywords=Colgate%C2%AE+Regular+Flavor+Cavity+Protection+Toothpaste+1oz.&amp;qid=1695260151&amp;sr=8-7")</f>
        <v>https://www.amazon.com/Central-Sales-Company-Protection-Toothpaste/dp/B0C1MVRDMD/ref=sr_1_7?keywords=Colgate%C2%AE+Regular+Flavor+Cavity+Protection+Toothpaste+1oz.&amp;qid=1695260151&amp;sr=8-7</v>
      </c>
      <c r="F3221" t="s">
        <v>8196</v>
      </c>
      <c r="G3221" t="e">
        <f ca="1">IMAGE("https://shop.sonapharmacy.com/cdn/shop/products/22e7c50a-9344-4f9c-96af-3a2549d6ce02_7.1d4f47662a946d4e424dc54f6c6c8eed.png?v=1608651728")</f>
        <v>#NAME?</v>
      </c>
      <c r="H3221" t="e">
        <f ca="1">IMAGE("https://m.media-amazon.com/images/I/51StTOp2E7L._AC_UL320_.jpg")</f>
        <v>#NAME?</v>
      </c>
      <c r="I3221" t="s">
        <v>8043</v>
      </c>
      <c r="J3221">
        <v>11.58</v>
      </c>
      <c r="K3221" s="2" t="s">
        <v>8197</v>
      </c>
      <c r="L3221">
        <v>4.0999999999999996</v>
      </c>
      <c r="M3221">
        <v>11</v>
      </c>
      <c r="O3221" t="s">
        <v>26</v>
      </c>
      <c r="P3221" t="s">
        <v>39</v>
      </c>
      <c r="Q3221" t="s">
        <v>8045</v>
      </c>
    </row>
    <row r="3222" spans="1:17" ht="15.75" x14ac:dyDescent="0.25">
      <c r="A3222" s="3" t="str">
        <f>HYPERLINK("https://shop.sonapharmacy.com/products/colgate%C2%AE-max-fresh%C2%AE-with-breath-strips-cool-mint-toothpaste-6oz", "https://shop.sonapharmacy.com/products/colgate%C2%AE-max-fresh%C2%AE-with-breath-strips-cool-mint-toothpaste-6oz")</f>
        <v>https://shop.sonapharmacy.com/products/colgate%C2%AE-max-fresh%C2%AE-with-breath-strips-cool-mint-toothpaste-6oz</v>
      </c>
      <c r="B3222" s="3" t="str">
        <f>HYPERLINK("https://shop.sonapharmacy.com/products/colgate%c2%ae-max-fresh%c2%ae-with-breath-strips-cool-mint-toothpaste-6oz", "https://shop.sonapharmacy.com/products/colgate%c2%ae-max-fresh%c2%ae-with-breath-strips-cool-mint-toothpaste-6oz")</f>
        <v>https://shop.sonapharmacy.com/products/colgate%c2%ae-max-fresh%c2%ae-with-breath-strips-cool-mint-toothpaste-6oz</v>
      </c>
      <c r="C3222" t="s">
        <v>8198</v>
      </c>
      <c r="D3222" t="s">
        <v>8199</v>
      </c>
      <c r="E3222" s="3" t="str">
        <f>HYPERLINK("https://www.amazon.com/Colgate-Fresh-Liquid-Toothpaste-Mouthwash/dp/B0046OI5L2/ref=sr_1_8?keywords=Colgate%C2%AE+Max+Fresh%C2%AE+With+Breath+Strips+Cool+Mint+Toothpaste+6oz.&amp;qid=1695260143&amp;sr=8-8", "https://www.amazon.com/Colgate-Fresh-Liquid-Toothpaste-Mouthwash/dp/B0046OI5L2/ref=sr_1_8?keywords=Colgate%C2%AE+Max+Fresh%C2%AE+With+Breath+Strips+Cool+Mint+Toothpaste+6oz.&amp;qid=1695260143&amp;sr=8-8")</f>
        <v>https://www.amazon.com/Colgate-Fresh-Liquid-Toothpaste-Mouthwash/dp/B0046OI5L2/ref=sr_1_8?keywords=Colgate%C2%AE+Max+Fresh%C2%AE+With+Breath+Strips+Cool+Mint+Toothpaste+6oz.&amp;qid=1695260143&amp;sr=8-8</v>
      </c>
      <c r="F3222" t="s">
        <v>8200</v>
      </c>
      <c r="G3222" t="e">
        <f ca="1">IMAGE("https://shop.sonapharmacy.com/cdn/shop/products/360ae4ed-e444-4623-9fe6-180a0c669cfa_7.d343bb9d6244207be3ec4e9415ae2fe1.png?v=1608652602")</f>
        <v>#NAME?</v>
      </c>
      <c r="H3222" t="e">
        <f ca="1">IMAGE("https://m.media-amazon.com/images/I/81-22R9FPTL._AC_UL320_.jpg")</f>
        <v>#NAME?</v>
      </c>
      <c r="I3222" t="s">
        <v>8102</v>
      </c>
      <c r="J3222">
        <v>53.88</v>
      </c>
      <c r="K3222" s="2" t="s">
        <v>8201</v>
      </c>
      <c r="L3222">
        <v>4.7</v>
      </c>
      <c r="M3222">
        <v>1320</v>
      </c>
      <c r="O3222" t="s">
        <v>26</v>
      </c>
      <c r="P3222" t="s">
        <v>39</v>
      </c>
      <c r="Q3222" t="s">
        <v>8202</v>
      </c>
    </row>
    <row r="3223" spans="1:17" ht="15.75" x14ac:dyDescent="0.25">
      <c r="A3223" s="3" t="str">
        <f>HYPERLINK("https://shop.sonapharmacy.com/products/old-spice%C2%AE-original-high-endurance-deodorant-3-0oz", "https://shop.sonapharmacy.com/products/old-spice%C2%AE-original-high-endurance-deodorant-3-0oz")</f>
        <v>https://shop.sonapharmacy.com/products/old-spice%C2%AE-original-high-endurance-deodorant-3-0oz</v>
      </c>
      <c r="B3223" s="3" t="str">
        <f>HYPERLINK("https://shop.sonapharmacy.com/products/old-spice%c2%ae-original-high-endurance-deodorant-3-0oz", "https://shop.sonapharmacy.com/products/old-spice%c2%ae-original-high-endurance-deodorant-3-0oz")</f>
        <v>https://shop.sonapharmacy.com/products/old-spice%c2%ae-original-high-endurance-deodorant-3-0oz</v>
      </c>
      <c r="C3223" t="s">
        <v>8203</v>
      </c>
      <c r="D3223" t="s">
        <v>8204</v>
      </c>
      <c r="E3223" s="3" t="str">
        <f>HYPERLINK("https://www.amazon.com/Old-Spice-Endurance-Anti-Perspirant-Deodorant/dp/B01IA9943G/ref=sr_1_7?keywords=Old+Spice%C2%AE+Original+High+Endurance+Deodorant+3.0oz.&amp;qid=1695260609&amp;sr=8-7", "https://www.amazon.com/Old-Spice-Endurance-Anti-Perspirant-Deodorant/dp/B01IA9943G/ref=sr_1_7?keywords=Old+Spice%C2%AE+Original+High+Endurance+Deodorant+3.0oz.&amp;qid=1695260609&amp;sr=8-7")</f>
        <v>https://www.amazon.com/Old-Spice-Endurance-Anti-Perspirant-Deodorant/dp/B01IA9943G/ref=sr_1_7?keywords=Old+Spice%C2%AE+Original+High+Endurance+Deodorant+3.0oz.&amp;qid=1695260609&amp;sr=8-7</v>
      </c>
      <c r="F3223" t="s">
        <v>8205</v>
      </c>
      <c r="G3223" t="e">
        <f ca="1">IMAGE("https://shop.sonapharmacy.com/cdn/shop/products/81d6Zo1KWZL._SL1500.jpg?v=1609094009")</f>
        <v>#NAME?</v>
      </c>
      <c r="H3223" t="e">
        <f ca="1">IMAGE("https://m.media-amazon.com/images/I/51lA2gy3AsL._AC_UL320_.jpg")</f>
        <v>#NAME?</v>
      </c>
      <c r="I3223" t="s">
        <v>8206</v>
      </c>
      <c r="J3223">
        <v>57.21</v>
      </c>
      <c r="K3223" s="2" t="s">
        <v>8207</v>
      </c>
      <c r="L3223">
        <v>4.5</v>
      </c>
      <c r="M3223">
        <v>146</v>
      </c>
      <c r="O3223" t="s">
        <v>26</v>
      </c>
      <c r="P3223" t="s">
        <v>39</v>
      </c>
      <c r="Q3223" t="s">
        <v>8208</v>
      </c>
    </row>
    <row r="3224" spans="1:17" ht="15.75" x14ac:dyDescent="0.25">
      <c r="A3224" s="3" t="str">
        <f>HYPERLINK("https://shop.sonapharmacy.com/products/apex%C2%AE-oral-syringe-10ml", "https://shop.sonapharmacy.com/products/apex%C2%AE-oral-syringe-10ml")</f>
        <v>https://shop.sonapharmacy.com/products/apex%C2%AE-oral-syringe-10ml</v>
      </c>
      <c r="B3224" s="3" t="str">
        <f>HYPERLINK("https://shop.sonapharmacy.com/products/apex%c2%ae-oral-syringe-10ml", "https://shop.sonapharmacy.com/products/apex%c2%ae-oral-syringe-10ml")</f>
        <v>https://shop.sonapharmacy.com/products/apex%c2%ae-oral-syringe-10ml</v>
      </c>
      <c r="C3224" t="s">
        <v>8131</v>
      </c>
      <c r="D3224" t="s">
        <v>8209</v>
      </c>
      <c r="E3224" s="3" t="str">
        <f>HYPERLINK("https://www.amazon.com/Syringe-Dispenser-Approved-Individually-Medicine/dp/B07SF7ZC8M/ref=sr_1_2?keywords=Apex+Oral+Syringe+10ml.&amp;qid=1695260012&amp;sr=8-2", "https://www.amazon.com/Syringe-Dispenser-Approved-Individually-Medicine/dp/B07SF7ZC8M/ref=sr_1_2?keywords=Apex+Oral+Syringe+10ml.&amp;qid=1695260012&amp;sr=8-2")</f>
        <v>https://www.amazon.com/Syringe-Dispenser-Approved-Individually-Medicine/dp/B07SF7ZC8M/ref=sr_1_2?keywords=Apex+Oral+Syringe+10ml.&amp;qid=1695260012&amp;sr=8-2</v>
      </c>
      <c r="F3224" t="s">
        <v>8210</v>
      </c>
      <c r="G3224" t="e">
        <f ca="1">IMAGE("https://shop.sonapharmacy.com/cdn/shop/products/000530853.jpg?v=1611189682")</f>
        <v>#NAME?</v>
      </c>
      <c r="H3224" t="e">
        <f ca="1">IMAGE("https://m.media-amazon.com/images/I/81meLHbs70L._AC_UY218_.jpg")</f>
        <v>#NAME?</v>
      </c>
      <c r="I3224" t="s">
        <v>8134</v>
      </c>
      <c r="J3224">
        <v>18.989999999999998</v>
      </c>
      <c r="K3224" s="2" t="s">
        <v>8211</v>
      </c>
      <c r="L3224">
        <v>4.7</v>
      </c>
      <c r="M3224">
        <v>1442</v>
      </c>
      <c r="O3224" t="s">
        <v>26</v>
      </c>
      <c r="P3224" t="s">
        <v>39</v>
      </c>
      <c r="Q3224" t="s">
        <v>8136</v>
      </c>
    </row>
    <row r="3225" spans="1:17" ht="15.75" x14ac:dyDescent="0.25">
      <c r="A3225" s="3" t="str">
        <f>HYPERLINK("https://shop.sonapharmacy.com/products/apex%C2%AE-oral-syringe-10ml", "https://shop.sonapharmacy.com/products/apex%C2%AE-oral-syringe-10ml")</f>
        <v>https://shop.sonapharmacy.com/products/apex%C2%AE-oral-syringe-10ml</v>
      </c>
      <c r="B3225" s="3" t="str">
        <f>HYPERLINK("https://shop.sonapharmacy.com/products/apex%c2%ae-oral-syringe-10ml", "https://shop.sonapharmacy.com/products/apex%c2%ae-oral-syringe-10ml")</f>
        <v>https://shop.sonapharmacy.com/products/apex%c2%ae-oral-syringe-10ml</v>
      </c>
      <c r="C3225" t="s">
        <v>8131</v>
      </c>
      <c r="D3225" t="s">
        <v>8212</v>
      </c>
      <c r="E3225" s="3" t="str">
        <f>HYPERLINK("https://www.amazon.com/10ml-Oral-Syringes-Individually-Administration/dp/B07GX34D34/ref=sr_1_3?keywords=Apex+Oral+Syringe+10ml.&amp;qid=1695260012&amp;sr=8-3", "https://www.amazon.com/10ml-Oral-Syringes-Individually-Administration/dp/B07GX34D34/ref=sr_1_3?keywords=Apex+Oral+Syringe+10ml.&amp;qid=1695260012&amp;sr=8-3")</f>
        <v>https://www.amazon.com/10ml-Oral-Syringes-Individually-Administration/dp/B07GX34D34/ref=sr_1_3?keywords=Apex+Oral+Syringe+10ml.&amp;qid=1695260012&amp;sr=8-3</v>
      </c>
      <c r="F3225" t="s">
        <v>8213</v>
      </c>
      <c r="G3225" t="e">
        <f ca="1">IMAGE("https://shop.sonapharmacy.com/cdn/shop/products/000530853.jpg?v=1611189682")</f>
        <v>#NAME?</v>
      </c>
      <c r="H3225" t="e">
        <f ca="1">IMAGE("https://m.media-amazon.com/images/I/71FdcUkgjwL._AC_UY218_.jpg")</f>
        <v>#NAME?</v>
      </c>
      <c r="I3225" t="s">
        <v>8134</v>
      </c>
      <c r="J3225">
        <v>18.989999999999998</v>
      </c>
      <c r="K3225" s="2" t="s">
        <v>8211</v>
      </c>
      <c r="L3225">
        <v>4.7</v>
      </c>
      <c r="M3225">
        <v>1318</v>
      </c>
      <c r="O3225" t="s">
        <v>26</v>
      </c>
      <c r="P3225" t="s">
        <v>39</v>
      </c>
      <c r="Q3225" t="s">
        <v>8136</v>
      </c>
    </row>
    <row r="3226" spans="1:17" ht="15.75" x14ac:dyDescent="0.25">
      <c r="A3226" s="3" t="str">
        <f>HYPERLINK("https://shop.sonapharmacy.com/products/always%C2%AE-thin-daily-liners-regular-absorbency-20ct", "https://shop.sonapharmacy.com/products/always%C2%AE-thin-daily-liners-regular-absorbency-20ct")</f>
        <v>https://shop.sonapharmacy.com/products/always%C2%AE-thin-daily-liners-regular-absorbency-20ct</v>
      </c>
      <c r="B3226" s="3" t="str">
        <f>HYPERLINK("https://shop.sonapharmacy.com/products/always%c2%ae-thin-daily-liners-regular-absorbency-20ct", "https://shop.sonapharmacy.com/products/always%c2%ae-thin-daily-liners-regular-absorbency-20ct")</f>
        <v>https://shop.sonapharmacy.com/products/always%c2%ae-thin-daily-liners-regular-absorbency-20ct</v>
      </c>
      <c r="C3226" t="s">
        <v>8214</v>
      </c>
      <c r="D3226" t="s">
        <v>8215</v>
      </c>
      <c r="E3226" s="3" t="str">
        <f>HYPERLINK("https://www.amazon.com/Always-Liners-Wrapped-Unscented-Count/dp/B0039NMC5G/ref=sr_1_1?keywords=Always+Thin+Daily+Liners+Regular+Absorbency+20ct.&amp;qid=1695260032&amp;sr=8-1", "https://www.amazon.com/Always-Liners-Wrapped-Unscented-Count/dp/B0039NMC5G/ref=sr_1_1?keywords=Always+Thin+Daily+Liners+Regular+Absorbency+20ct.&amp;qid=1695260032&amp;sr=8-1")</f>
        <v>https://www.amazon.com/Always-Liners-Wrapped-Unscented-Count/dp/B0039NMC5G/ref=sr_1_1?keywords=Always+Thin+Daily+Liners+Regular+Absorbency+20ct.&amp;qid=1695260032&amp;sr=8-1</v>
      </c>
      <c r="F3226" t="s">
        <v>8216</v>
      </c>
      <c r="G3226" t="e">
        <f ca="1">IMAGE("https://shop.sonapharmacy.com/cdn/shop/products/images_1.jpg?v=1611189162")</f>
        <v>#NAME?</v>
      </c>
      <c r="H3226" t="e">
        <f ca="1">IMAGE("https://m.media-amazon.com/images/I/81wnG8-wd9L._AC_UL320_.jpg")</f>
        <v>#NAME?</v>
      </c>
      <c r="I3226" t="s">
        <v>8217</v>
      </c>
      <c r="J3226">
        <v>19.989999999999998</v>
      </c>
      <c r="K3226" s="2" t="s">
        <v>8218</v>
      </c>
      <c r="L3226">
        <v>4.5</v>
      </c>
      <c r="M3226">
        <v>248</v>
      </c>
      <c r="O3226" t="s">
        <v>26</v>
      </c>
      <c r="P3226" t="s">
        <v>39</v>
      </c>
      <c r="Q3226" t="s">
        <v>8219</v>
      </c>
    </row>
    <row r="3227" spans="1:17" ht="15.75" x14ac:dyDescent="0.25">
      <c r="A3227" s="3" t="str">
        <f>HYPERLINK("https://shop.sonapharmacy.com/products/curad-germ-shield-antimicrobial-gel", "https://shop.sonapharmacy.com/products/curad-germ-shield-antimicrobial-gel")</f>
        <v>https://shop.sonapharmacy.com/products/curad-germ-shield-antimicrobial-gel</v>
      </c>
      <c r="B3227" s="3" t="str">
        <f>HYPERLINK("https://shop.sonapharmacy.com/products/curad-germ-shield-antimicrobial-gel", "https://shop.sonapharmacy.com/products/curad-germ-shield-antimicrobial-gel")</f>
        <v>https://shop.sonapharmacy.com/products/curad-germ-shield-antimicrobial-gel</v>
      </c>
      <c r="C3227" t="s">
        <v>8220</v>
      </c>
      <c r="D3227" t="s">
        <v>8221</v>
      </c>
      <c r="E3227" s="3" t="str">
        <f>HYPERLINK("https://www.amazon.com/GermShield-Antimicrobial-topical-diabetic-bacteria/dp/B075KQV8CM/ref=sr_1_6?keywords=Curad%C2%AE+Germ+Shield+Antimicrobial+Gel&amp;qid=1695260174&amp;sr=8-6", "https://www.amazon.com/GermShield-Antimicrobial-topical-diabetic-bacteria/dp/B075KQV8CM/ref=sr_1_6?keywords=Curad%C2%AE+Germ+Shield+Antimicrobial+Gel&amp;qid=1695260174&amp;sr=8-6")</f>
        <v>https://www.amazon.com/GermShield-Antimicrobial-topical-diabetic-bacteria/dp/B075KQV8CM/ref=sr_1_6?keywords=Curad%C2%AE+Germ+Shield+Antimicrobial+Gel&amp;qid=1695260174&amp;sr=8-6</v>
      </c>
      <c r="F3227" t="s">
        <v>8222</v>
      </c>
      <c r="G3227" t="e">
        <f ca="1">IMAGE("https://shop.sonapharmacy.com/cdn/shop/products/SKU_CUR45951GS_BOX_FRONT_RGB_500x550_a15b9aca-bda1-412b-afa6-e60a82cdb44c.png?v=1607719725")</f>
        <v>#NAME?</v>
      </c>
      <c r="H3227" t="e">
        <f ca="1">IMAGE("https://m.media-amazon.com/images/I/51u+pk19d9L._AC_UL320_.jpg")</f>
        <v>#NAME?</v>
      </c>
      <c r="I3227" t="s">
        <v>8102</v>
      </c>
      <c r="J3227">
        <v>51.42</v>
      </c>
      <c r="K3227" s="2" t="s">
        <v>8223</v>
      </c>
      <c r="L3227">
        <v>5</v>
      </c>
      <c r="M3227">
        <v>10</v>
      </c>
      <c r="O3227" t="s">
        <v>26</v>
      </c>
      <c r="P3227" t="s">
        <v>39</v>
      </c>
      <c r="Q3227" t="s">
        <v>8224</v>
      </c>
    </row>
    <row r="3228" spans="1:17" ht="15.75" x14ac:dyDescent="0.25">
      <c r="A3228" s="3" t="str">
        <f>HYPERLINK("https://shop.sonapharmacy.com/products/goodsense%C2%AE-black-cherry-sugar-free-cough-drops-25ct", "https://shop.sonapharmacy.com/products/goodsense%C2%AE-black-cherry-sugar-free-cough-drops-25ct")</f>
        <v>https://shop.sonapharmacy.com/products/goodsense%C2%AE-black-cherry-sugar-free-cough-drops-25ct</v>
      </c>
      <c r="B3228" s="3" t="str">
        <f>HYPERLINK("https://shop.sonapharmacy.com/products/goodsense%c2%ae-black-cherry-sugar-free-cough-drops-25ct", "https://shop.sonapharmacy.com/products/goodsense%c2%ae-black-cherry-sugar-free-cough-drops-25ct")</f>
        <v>https://shop.sonapharmacy.com/products/goodsense%c2%ae-black-cherry-sugar-free-cough-drops-25ct</v>
      </c>
      <c r="C3228" t="s">
        <v>8073</v>
      </c>
      <c r="D3228" t="s">
        <v>8225</v>
      </c>
      <c r="E3228" s="3" t="str">
        <f>HYPERLINK("https://www.amazon.com/HALLS-Sugar-Cough-Cherry-Variety/dp/B07GSTZXL6/ref=sr_1_5?keywords=GoodSense%C2%AE+Black+Cherry+Sugar+Free+Cough+Drops+25ct&amp;qid=1695260306&amp;sr=8-5", "https://www.amazon.com/HALLS-Sugar-Cough-Cherry-Variety/dp/B07GSTZXL6/ref=sr_1_5?keywords=GoodSense%C2%AE+Black+Cherry+Sugar+Free+Cough+Drops+25ct&amp;qid=1695260306&amp;sr=8-5")</f>
        <v>https://www.amazon.com/HALLS-Sugar-Cough-Cherry-Variety/dp/B07GSTZXL6/ref=sr_1_5?keywords=GoodSense%C2%AE+Black+Cherry+Sugar+Free+Cough+Drops+25ct&amp;qid=1695260306&amp;sr=8-5</v>
      </c>
      <c r="F3228" t="s">
        <v>8226</v>
      </c>
      <c r="G3228" t="e">
        <f ca="1">IMAGE("https://shop.sonapharmacy.com/cdn/shop/products/blackcherrysugarfree.jpg?v=1608235842")</f>
        <v>#NAME?</v>
      </c>
      <c r="H3228" t="e">
        <f ca="1">IMAGE("https://m.media-amazon.com/images/I/81XQiXIG4WS._AC_UL320_.jpg")</f>
        <v>#NAME?</v>
      </c>
      <c r="I3228" t="s">
        <v>8076</v>
      </c>
      <c r="J3228">
        <v>23.39</v>
      </c>
      <c r="K3228" s="2" t="s">
        <v>8227</v>
      </c>
      <c r="L3228">
        <v>4.7</v>
      </c>
      <c r="M3228">
        <v>2091</v>
      </c>
      <c r="O3228" t="s">
        <v>136</v>
      </c>
      <c r="P3228" t="s">
        <v>39</v>
      </c>
      <c r="Q3228" t="s">
        <v>8078</v>
      </c>
    </row>
    <row r="3229" spans="1:17" ht="15.75" x14ac:dyDescent="0.25">
      <c r="A3229" s="3" t="str">
        <f>HYPERLINK("https://shop.sonapharmacy.com/products/coricidin-hbp-cold-flu-relief-tablets", "https://shop.sonapharmacy.com/products/coricidin-hbp-cold-flu-relief-tablets")</f>
        <v>https://shop.sonapharmacy.com/products/coricidin-hbp-cold-flu-relief-tablets</v>
      </c>
      <c r="B3229" s="3" t="str">
        <f>HYPERLINK("https://shop.sonapharmacy.com/products/coricidin-hbp-cold-flu-relief-tablets", "https://shop.sonapharmacy.com/products/coricidin-hbp-cold-flu-relief-tablets")</f>
        <v>https://shop.sonapharmacy.com/products/coricidin-hbp-cold-flu-relief-tablets</v>
      </c>
      <c r="C3229" t="s">
        <v>8228</v>
      </c>
      <c r="D3229" t="s">
        <v>8229</v>
      </c>
      <c r="E3229" s="3" t="str">
        <f>HYPERLINK("https://www.amazon.com/Coricidin-Cold-Relief-Tablets-20CT/dp/B00KOA9BA6/ref=sr_1_6?keywords=Coricidin%C2%AE+HBP+Cold+%26+Flu+Relief+Tablets&amp;qid=1695260159&amp;sr=8-6", "https://www.amazon.com/Coricidin-Cold-Relief-Tablets-20CT/dp/B00KOA9BA6/ref=sr_1_6?keywords=Coricidin%C2%AE+HBP+Cold+%26+Flu+Relief+Tablets&amp;qid=1695260159&amp;sr=8-6")</f>
        <v>https://www.amazon.com/Coricidin-Cold-Relief-Tablets-20CT/dp/B00KOA9BA6/ref=sr_1_6?keywords=Coricidin%C2%AE+HBP+Cold+%26+Flu+Relief+Tablets&amp;qid=1695260159&amp;sr=8-6</v>
      </c>
      <c r="F3229" t="s">
        <v>8230</v>
      </c>
      <c r="G3229" t="e">
        <f ca="1">IMAGE("https://shop.sonapharmacy.com/cdn/shop/products/CoricidinHBPCold_FluReliefTablets.png?v=1595528416")</f>
        <v>#NAME?</v>
      </c>
      <c r="H3229" t="e">
        <f ca="1">IMAGE("https://m.media-amazon.com/images/I/81qPZdMChIL._AC_UL320_.jpg")</f>
        <v>#NAME?</v>
      </c>
      <c r="I3229" t="s">
        <v>8231</v>
      </c>
      <c r="J3229">
        <v>112.08</v>
      </c>
      <c r="K3229" s="2" t="s">
        <v>8232</v>
      </c>
      <c r="L3229">
        <v>4.7</v>
      </c>
      <c r="M3229">
        <v>7</v>
      </c>
      <c r="O3229" t="s">
        <v>26</v>
      </c>
      <c r="P3229" t="s">
        <v>39</v>
      </c>
      <c r="Q3229" t="s">
        <v>8233</v>
      </c>
    </row>
    <row r="3230" spans="1:17" ht="15.75" x14ac:dyDescent="0.25">
      <c r="A3230" s="3" t="str">
        <f>HYPERLINK("https://shop.sonapharmacy.com/products/carmex%C2%AE-classic-medicated-jar-lip-balm-0-25oz", "https://shop.sonapharmacy.com/products/carmex%C2%AE-classic-medicated-jar-lip-balm-0-25oz")</f>
        <v>https://shop.sonapharmacy.com/products/carmex%C2%AE-classic-medicated-jar-lip-balm-0-25oz</v>
      </c>
      <c r="B3230" s="3" t="str">
        <f>HYPERLINK("https://shop.sonapharmacy.com/products/carmex%c2%ae-classic-medicated-jar-lip-balm-0-25oz", "https://shop.sonapharmacy.com/products/carmex%c2%ae-classic-medicated-jar-lip-balm-0-25oz")</f>
        <v>https://shop.sonapharmacy.com/products/carmex%c2%ae-classic-medicated-jar-lip-balm-0-25oz</v>
      </c>
      <c r="C3230" t="s">
        <v>8234</v>
      </c>
      <c r="D3230" t="s">
        <v>8235</v>
      </c>
      <c r="E3230" s="3" t="str">
        <f>HYPERLINK("https://www.amazon.com/Carmex-Cold-Sores-Balm-0-25-Pack/dp/B01IADYBF8/ref=sr_1_6?keywords=Carmex%C2%AE+Classic+Medicated+Jar+Lip+Balm+0.25oz&amp;qid=1695260118&amp;sr=8-6", "https://www.amazon.com/Carmex-Cold-Sores-Balm-0-25-Pack/dp/B01IADYBF8/ref=sr_1_6?keywords=Carmex%C2%AE+Classic+Medicated+Jar+Lip+Balm+0.25oz&amp;qid=1695260118&amp;sr=8-6")</f>
        <v>https://www.amazon.com/Carmex-Cold-Sores-Balm-0-25-Pack/dp/B01IADYBF8/ref=sr_1_6?keywords=Carmex%C2%AE+Classic+Medicated+Jar+Lip+Balm+0.25oz&amp;qid=1695260118&amp;sr=8-6</v>
      </c>
      <c r="F3230" t="s">
        <v>8236</v>
      </c>
      <c r="G3230" t="e">
        <f ca="1">IMAGE("https://shop.sonapharmacy.com/cdn/shop/products/08307811311.jpg?v=1608231565")</f>
        <v>#NAME?</v>
      </c>
      <c r="H3230" t="e">
        <f ca="1">IMAGE("https://m.media-amazon.com/images/I/51f9BVuSFNL._AC_UL320_.jpg")</f>
        <v>#NAME?</v>
      </c>
      <c r="I3230" t="s">
        <v>8076</v>
      </c>
      <c r="J3230">
        <v>23.11</v>
      </c>
      <c r="K3230" s="2" t="s">
        <v>8237</v>
      </c>
      <c r="L3230">
        <v>3.3</v>
      </c>
      <c r="M3230">
        <v>6</v>
      </c>
      <c r="O3230" t="s">
        <v>26</v>
      </c>
      <c r="P3230" t="s">
        <v>39</v>
      </c>
      <c r="Q3230" t="s">
        <v>8238</v>
      </c>
    </row>
    <row r="3231" spans="1:17" ht="15.75" x14ac:dyDescent="0.25">
      <c r="A3231" s="3" t="str">
        <f>HYPERLINK("https://shop.sonapharmacy.com/products/pedia-lax%C2%AE-glycerin-suppositories", "https://shop.sonapharmacy.com/products/pedia-lax%C2%AE-glycerin-suppositories")</f>
        <v>https://shop.sonapharmacy.com/products/pedia-lax%C2%AE-glycerin-suppositories</v>
      </c>
      <c r="B3231" s="3" t="str">
        <f>HYPERLINK("https://shop.sonapharmacy.com/products/pedia-lax%c2%ae-glycerin-suppositories", "https://shop.sonapharmacy.com/products/pedia-lax%c2%ae-glycerin-suppositories")</f>
        <v>https://shop.sonapharmacy.com/products/pedia-lax%c2%ae-glycerin-suppositories</v>
      </c>
      <c r="C3231" t="s">
        <v>8008</v>
      </c>
      <c r="D3231" t="s">
        <v>8239</v>
      </c>
      <c r="E3231" s="3" t="str">
        <f>HYPERLINK("https://www.amazon.com/Fleet-Laxative-Pedia-Lax-Glycerin-Suppositories/dp/B0064FKSVG/ref=sr_1_5?keywords=Pedia-Lax%C2%AE+Glycerin+Suppositories&amp;qid=1695260628&amp;sr=8-5", "https://www.amazon.com/Fleet-Laxative-Pedia-Lax-Glycerin-Suppositories/dp/B0064FKSVG/ref=sr_1_5?keywords=Pedia-Lax%C2%AE+Glycerin+Suppositories&amp;qid=1695260628&amp;sr=8-5")</f>
        <v>https://www.amazon.com/Fleet-Laxative-Pedia-Lax-Glycerin-Suppositories/dp/B0064FKSVG/ref=sr_1_5?keywords=Pedia-Lax%C2%AE+Glycerin+Suppositories&amp;qid=1695260628&amp;sr=8-5</v>
      </c>
      <c r="F3231" t="s">
        <v>8240</v>
      </c>
      <c r="G3231" t="e">
        <f ca="1">IMAGE("https://shop.sonapharmacy.com/cdn/shop/products/pedialaxresized.jpg?v=1592422726")</f>
        <v>#NAME?</v>
      </c>
      <c r="H3231" t="e">
        <f ca="1">IMAGE("https://m.media-amazon.com/images/I/71v6rL71FnL._AC_UL320_.jpg")</f>
        <v>#NAME?</v>
      </c>
      <c r="I3231" t="s">
        <v>7952</v>
      </c>
      <c r="J3231">
        <v>27.55</v>
      </c>
      <c r="K3231" s="2" t="s">
        <v>8241</v>
      </c>
      <c r="L3231">
        <v>4.7</v>
      </c>
      <c r="M3231">
        <v>45</v>
      </c>
      <c r="O3231" t="s">
        <v>26</v>
      </c>
      <c r="P3231" t="s">
        <v>39</v>
      </c>
      <c r="Q3231" t="s">
        <v>8012</v>
      </c>
    </row>
    <row r="3232" spans="1:17" ht="15.75" x14ac:dyDescent="0.25">
      <c r="A3232" s="3" t="str">
        <f>HYPERLINK("https://shop.sonapharmacy.com/products/accu-chek-glucose-guide-control-solution", "https://shop.sonapharmacy.com/products/accu-chek-glucose-guide-control-solution")</f>
        <v>https://shop.sonapharmacy.com/products/accu-chek-glucose-guide-control-solution</v>
      </c>
      <c r="B3232" s="3" t="str">
        <f>HYPERLINK("https://shop.sonapharmacy.com/products/accu-chek-glucose-guide-control-solution", "https://shop.sonapharmacy.com/products/accu-chek-glucose-guide-control-solution")</f>
        <v>https://shop.sonapharmacy.com/products/accu-chek-glucose-guide-control-solution</v>
      </c>
      <c r="C3232" t="s">
        <v>8186</v>
      </c>
      <c r="D3232" t="s">
        <v>8242</v>
      </c>
      <c r="E3232" s="3" t="str">
        <f>HYPERLINK("https://www.amazon.com/Accu-Chek-Diabetes-Essential-Diabetic-Supplies/dp/B0923HDBX5/ref=sr_1_3?keywords=Accu-Chek+Glucose+Guide+Control+Solution&amp;qid=1695260010&amp;sr=8-3", "https://www.amazon.com/Accu-Chek-Diabetes-Essential-Diabetic-Supplies/dp/B0923HDBX5/ref=sr_1_3?keywords=Accu-Chek+Glucose+Guide+Control+Solution&amp;qid=1695260010&amp;sr=8-3")</f>
        <v>https://www.amazon.com/Accu-Chek-Diabetes-Essential-Diabetic-Supplies/dp/B0923HDBX5/ref=sr_1_3?keywords=Accu-Chek+Glucose+Guide+Control+Solution&amp;qid=1695260010&amp;sr=8-3</v>
      </c>
      <c r="F3232" t="s">
        <v>8243</v>
      </c>
      <c r="G3232" t="e">
        <f ca="1">IMAGE("https://shop.sonapharmacy.com/cdn/shop/products/Accu-ChekGlucoseGuideControlSolution.jpg?v=1594224961")</f>
        <v>#NAME?</v>
      </c>
      <c r="H3232" t="e">
        <f ca="1">IMAGE("https://m.media-amazon.com/images/I/718GqnRj2UL._AC_UL320_.jpg")</f>
        <v>#NAME?</v>
      </c>
      <c r="I3232" t="s">
        <v>8189</v>
      </c>
      <c r="J3232">
        <v>105</v>
      </c>
      <c r="K3232" s="2" t="s">
        <v>8244</v>
      </c>
      <c r="L3232">
        <v>4.7</v>
      </c>
      <c r="M3232">
        <v>9097</v>
      </c>
      <c r="O3232" t="s">
        <v>26</v>
      </c>
      <c r="P3232" t="s">
        <v>39</v>
      </c>
      <c r="Q3232" t="s">
        <v>8191</v>
      </c>
    </row>
    <row r="3233" spans="1:17" ht="15.75" x14ac:dyDescent="0.25">
      <c r="A3233" s="3" t="str">
        <f>HYPERLINK("https://shop.sonapharmacy.com/products/prince-of-peace-ginger-chews-4oz", "https://shop.sonapharmacy.com/products/prince-of-peace-ginger-chews-4oz")</f>
        <v>https://shop.sonapharmacy.com/products/prince-of-peace-ginger-chews-4oz</v>
      </c>
      <c r="B3233" s="3" t="str">
        <f>HYPERLINK("https://shop.sonapharmacy.com/products/prince-of-peace-ginger-chews-4oz", "https://shop.sonapharmacy.com/products/prince-of-peace-ginger-chews-4oz")</f>
        <v>https://shop.sonapharmacy.com/products/prince-of-peace-ginger-chews-4oz</v>
      </c>
      <c r="C3233" t="s">
        <v>8087</v>
      </c>
      <c r="D3233" t="s">
        <v>8245</v>
      </c>
      <c r="E3233" s="3" t="str">
        <f>HYPERLINK("https://www.amazon.com/Prince-Peace-Ginger-Flavor-Variety/dp/B0C9L2PBK2/ref=sr_1_2?keywords=Prince+Of+Peace+Ginger+Chews+4oz.&amp;qid=1695260650&amp;sr=8-2", "https://www.amazon.com/Prince-Peace-Ginger-Flavor-Variety/dp/B0C9L2PBK2/ref=sr_1_2?keywords=Prince+Of+Peace+Ginger+Chews+4oz.&amp;qid=1695260650&amp;sr=8-2")</f>
        <v>https://www.amazon.com/Prince-Peace-Ginger-Flavor-Variety/dp/B0C9L2PBK2/ref=sr_1_2?keywords=Prince+Of+Peace+Ginger+Chews+4oz.&amp;qid=1695260650&amp;sr=8-2</v>
      </c>
      <c r="F3233" t="s">
        <v>8246</v>
      </c>
      <c r="G3233" t="e">
        <f ca="1">IMAGE("https://shop.sonapharmacy.com/cdn/shop/products/original.jpg?v=1613754987")</f>
        <v>#NAME?</v>
      </c>
      <c r="H3233" t="e">
        <f ca="1">IMAGE("https://m.media-amazon.com/images/I/71LMRU83p-L._AC_UL320_.jpg")</f>
        <v>#NAME?</v>
      </c>
      <c r="I3233" t="s">
        <v>8090</v>
      </c>
      <c r="J3233">
        <v>18.989999999999998</v>
      </c>
      <c r="K3233" s="2" t="s">
        <v>8247</v>
      </c>
      <c r="L3233">
        <v>4.5999999999999996</v>
      </c>
      <c r="M3233">
        <v>3</v>
      </c>
      <c r="O3233" t="s">
        <v>26</v>
      </c>
      <c r="P3233" t="s">
        <v>39</v>
      </c>
      <c r="Q3233" t="s">
        <v>8092</v>
      </c>
    </row>
    <row r="3234" spans="1:17" ht="15.75" x14ac:dyDescent="0.25">
      <c r="A3234" s="3" t="str">
        <f>HYPERLINK("https://shop.sonapharmacy.com/products/prince-of-peace-ginger-chews-4oz", "https://shop.sonapharmacy.com/products/prince-of-peace-ginger-chews-4oz")</f>
        <v>https://shop.sonapharmacy.com/products/prince-of-peace-ginger-chews-4oz</v>
      </c>
      <c r="B3234" s="3" t="str">
        <f>HYPERLINK("https://shop.sonapharmacy.com/products/prince-of-peace-ginger-chews-4oz", "https://shop.sonapharmacy.com/products/prince-of-peace-ginger-chews-4oz")</f>
        <v>https://shop.sonapharmacy.com/products/prince-of-peace-ginger-chews-4oz</v>
      </c>
      <c r="C3234" t="s">
        <v>8087</v>
      </c>
      <c r="D3234" t="s">
        <v>8248</v>
      </c>
      <c r="E3234" s="3" t="str">
        <f>HYPERLINK("https://www.amazon.com/Prince-Peace-Natural-Ginger-Candy/dp/B079MFDT7B/ref=sr_1_8?keywords=Prince+Of+Peace+Ginger+Chews+4oz.&amp;qid=1695260650&amp;sr=8-8", "https://www.amazon.com/Prince-Peace-Natural-Ginger-Candy/dp/B079MFDT7B/ref=sr_1_8?keywords=Prince+Of+Peace+Ginger+Chews+4oz.&amp;qid=1695260650&amp;sr=8-8")</f>
        <v>https://www.amazon.com/Prince-Peace-Natural-Ginger-Candy/dp/B079MFDT7B/ref=sr_1_8?keywords=Prince+Of+Peace+Ginger+Chews+4oz.&amp;qid=1695260650&amp;sr=8-8</v>
      </c>
      <c r="F3234" t="s">
        <v>8249</v>
      </c>
      <c r="G3234" t="e">
        <f ca="1">IMAGE("https://shop.sonapharmacy.com/cdn/shop/products/original.jpg?v=1613754987")</f>
        <v>#NAME?</v>
      </c>
      <c r="H3234" t="e">
        <f ca="1">IMAGE("https://m.media-amazon.com/images/I/81-qyXCTq6L._AC_UL320_.jpg")</f>
        <v>#NAME?</v>
      </c>
      <c r="I3234" t="s">
        <v>8090</v>
      </c>
      <c r="J3234">
        <v>18.989999999999998</v>
      </c>
      <c r="K3234" s="2" t="s">
        <v>8247</v>
      </c>
      <c r="L3234">
        <v>4.7</v>
      </c>
      <c r="M3234">
        <v>5155</v>
      </c>
      <c r="O3234" t="s">
        <v>26</v>
      </c>
      <c r="P3234" t="s">
        <v>39</v>
      </c>
      <c r="Q3234" t="s">
        <v>8092</v>
      </c>
    </row>
    <row r="3235" spans="1:17" ht="15.75" x14ac:dyDescent="0.25">
      <c r="A3235" s="3" t="str">
        <f>HYPERLINK("https://shop.sonapharmacy.com/products/phisoderm-anti-blemish-gel-cleanser-6oz", "https://shop.sonapharmacy.com/products/phisoderm-anti-blemish-gel-cleanser-6oz")</f>
        <v>https://shop.sonapharmacy.com/products/phisoderm-anti-blemish-gel-cleanser-6oz</v>
      </c>
      <c r="B3235" s="3" t="str">
        <f>HYPERLINK("https://shop.sonapharmacy.com/products/phisoderm-anti-blemish-gel-cleanser-6oz", "https://shop.sonapharmacy.com/products/phisoderm-anti-blemish-gel-cleanser-6oz")</f>
        <v>https://shop.sonapharmacy.com/products/phisoderm-anti-blemish-gel-cleanser-6oz</v>
      </c>
      <c r="C3235" t="s">
        <v>8099</v>
      </c>
      <c r="D3235" t="s">
        <v>8250</v>
      </c>
      <c r="E3235" s="3" t="str">
        <f>HYPERLINK("https://www.amazon.com/Phisoderm-Anti-Blemish-Gel-Cleanser-Pack/dp/B0167K6PGO/ref=sr_1_8?keywords=Phisoderm+Anti-Blemish+Gel+Cleanser+6oz.&amp;qid=1695260646&amp;sr=8-8", "https://www.amazon.com/Phisoderm-Anti-Blemish-Gel-Cleanser-Pack/dp/B0167K6PGO/ref=sr_1_8?keywords=Phisoderm+Anti-Blemish+Gel+Cleanser+6oz.&amp;qid=1695260646&amp;sr=8-8")</f>
        <v>https://www.amazon.com/Phisoderm-Anti-Blemish-Gel-Cleanser-Pack/dp/B0167K6PGO/ref=sr_1_8?keywords=Phisoderm+Anti-Blemish+Gel+Cleanser+6oz.&amp;qid=1695260646&amp;sr=8-8</v>
      </c>
      <c r="F3235" t="s">
        <v>8251</v>
      </c>
      <c r="G3235" t="e">
        <f ca="1">IMAGE("https://shop.sonapharmacy.com/cdn/shop/products/72de085f-0d9e-4dcc-a7c8-97413c8c71dd_1.8c57de847d24ae111148749ef4a3c57b.jpg?v=1608307791")</f>
        <v>#NAME?</v>
      </c>
      <c r="H3235" t="e">
        <f ca="1">IMAGE("https://m.media-amazon.com/images/I/5186oruU3CL._AC_UL320_.jpg")</f>
        <v>#NAME?</v>
      </c>
      <c r="I3235" t="s">
        <v>8102</v>
      </c>
      <c r="J3235">
        <v>49.29</v>
      </c>
      <c r="K3235" s="2" t="s">
        <v>8252</v>
      </c>
      <c r="L3235">
        <v>5</v>
      </c>
      <c r="M3235">
        <v>3</v>
      </c>
      <c r="O3235" t="s">
        <v>26</v>
      </c>
      <c r="P3235" t="s">
        <v>39</v>
      </c>
      <c r="Q3235" t="s">
        <v>8104</v>
      </c>
    </row>
    <row r="3236" spans="1:17" ht="15.75" x14ac:dyDescent="0.25">
      <c r="A3236" s="3" t="str">
        <f>HYPERLINK("https://shop.sonapharmacy.com/products/coricidin-hbp-cold-flu-relief-tablets", "https://shop.sonapharmacy.com/products/coricidin-hbp-cold-flu-relief-tablets")</f>
        <v>https://shop.sonapharmacy.com/products/coricidin-hbp-cold-flu-relief-tablets</v>
      </c>
      <c r="B3236" s="3" t="str">
        <f>HYPERLINK("https://shop.sonapharmacy.com/products/coricidin-hbp-cold-flu-relief-tablets", "https://shop.sonapharmacy.com/products/coricidin-hbp-cold-flu-relief-tablets")</f>
        <v>https://shop.sonapharmacy.com/products/coricidin-hbp-cold-flu-relief-tablets</v>
      </c>
      <c r="C3236" t="s">
        <v>8228</v>
      </c>
      <c r="D3236" t="s">
        <v>8253</v>
      </c>
      <c r="E3236" s="3" t="str">
        <f>HYPERLINK("https://www.amazon.com/Coricidin-Hbp-Cold-Size-20ct/dp/B01IAIL2NM/ref=sr_1_7?keywords=Coricidin%C2%AE+HBP+Cold+%26+Flu+Relief+Tablets&amp;qid=1695260159&amp;sr=8-7", "https://www.amazon.com/Coricidin-Hbp-Cold-Size-20ct/dp/B01IAIL2NM/ref=sr_1_7?keywords=Coricidin%C2%AE+HBP+Cold+%26+Flu+Relief+Tablets&amp;qid=1695260159&amp;sr=8-7")</f>
        <v>https://www.amazon.com/Coricidin-Hbp-Cold-Size-20ct/dp/B01IAIL2NM/ref=sr_1_7?keywords=Coricidin%C2%AE+HBP+Cold+%26+Flu+Relief+Tablets&amp;qid=1695260159&amp;sr=8-7</v>
      </c>
      <c r="F3236" t="s">
        <v>8254</v>
      </c>
      <c r="G3236" t="e">
        <f ca="1">IMAGE("https://shop.sonapharmacy.com/cdn/shop/products/CoricidinHBPCold_FluReliefTablets.png?v=1595528416")</f>
        <v>#NAME?</v>
      </c>
      <c r="H3236" t="e">
        <f ca="1">IMAGE("https://m.media-amazon.com/images/I/81qPZdMChIL._AC_UL320_.jpg")</f>
        <v>#NAME?</v>
      </c>
      <c r="I3236" t="s">
        <v>8231</v>
      </c>
      <c r="J3236">
        <v>107</v>
      </c>
      <c r="K3236" s="2" t="s">
        <v>8255</v>
      </c>
      <c r="L3236">
        <v>4.8</v>
      </c>
      <c r="M3236">
        <v>15</v>
      </c>
      <c r="O3236" t="s">
        <v>26</v>
      </c>
      <c r="P3236" t="s">
        <v>39</v>
      </c>
      <c r="Q3236" t="s">
        <v>8233</v>
      </c>
    </row>
    <row r="3237" spans="1:17" ht="15.75" x14ac:dyDescent="0.25">
      <c r="A3237" s="3" t="str">
        <f>HYPERLINK("https://shop.sonapharmacy.com/products/gold-bond%C2%AE-ultimate-comfort-body-powder-10oz", "https://shop.sonapharmacy.com/products/gold-bond%C2%AE-ultimate-comfort-body-powder-10oz")</f>
        <v>https://shop.sonapharmacy.com/products/gold-bond%C2%AE-ultimate-comfort-body-powder-10oz</v>
      </c>
      <c r="B3237" s="3" t="str">
        <f>HYPERLINK("https://shop.sonapharmacy.com/products/gold-bond%c2%ae-ultimate-comfort-body-powder-10oz", "https://shop.sonapharmacy.com/products/gold-bond%c2%ae-ultimate-comfort-body-powder-10oz")</f>
        <v>https://shop.sonapharmacy.com/products/gold-bond%c2%ae-ultimate-comfort-body-powder-10oz</v>
      </c>
      <c r="C3237" t="s">
        <v>8256</v>
      </c>
      <c r="D3237" t="s">
        <v>8257</v>
      </c>
      <c r="E3237" s="3" t="str">
        <f>HYPERLINK("https://www.amazon.com/Gold-Bond-Ultimate-Comfort-Powder/dp/B01IAIER52/ref=sr_1_10?keywords=Gold+Bond%C2%AE+Ultimate+Comfort+Body+Powder+10oz.&amp;qid=1695260302&amp;sr=8-10", "https://www.amazon.com/Gold-Bond-Ultimate-Comfort-Powder/dp/B01IAIER52/ref=sr_1_10?keywords=Gold+Bond%C2%AE+Ultimate+Comfort+Body+Powder+10oz.&amp;qid=1695260302&amp;sr=8-10")</f>
        <v>https://www.amazon.com/Gold-Bond-Ultimate-Comfort-Powder/dp/B01IAIER52/ref=sr_1_10?keywords=Gold+Bond%C2%AE+Ultimate+Comfort+Body+Powder+10oz.&amp;qid=1695260302&amp;sr=8-10</v>
      </c>
      <c r="F3237" t="s">
        <v>8258</v>
      </c>
      <c r="G3237" t="e">
        <f ca="1">IMAGE("https://shop.sonapharmacy.com/cdn/shop/products/7e150152-a877-4134-a992-e91e09529ec5.caa68ecd741f74132fd920655efb3f00.jpg?v=1608489105")</f>
        <v>#NAME?</v>
      </c>
      <c r="H3237" t="e">
        <f ca="1">IMAGE("https://m.media-amazon.com/images/I/61R87HJhFrL._AC_UL320_.jpg")</f>
        <v>#NAME?</v>
      </c>
      <c r="I3237" t="s">
        <v>8070</v>
      </c>
      <c r="J3237">
        <v>69.36</v>
      </c>
      <c r="K3237" s="2" t="s">
        <v>8259</v>
      </c>
      <c r="L3237">
        <v>5</v>
      </c>
      <c r="M3237">
        <v>14</v>
      </c>
      <c r="O3237" t="s">
        <v>136</v>
      </c>
      <c r="P3237" t="s">
        <v>39</v>
      </c>
      <c r="Q3237" t="s">
        <v>8260</v>
      </c>
    </row>
    <row r="3238" spans="1:17" ht="15.75" x14ac:dyDescent="0.25">
      <c r="A3238" s="3" t="str">
        <f>HYPERLINK("https://shop.sonapharmacy.com/products/bd-home-sharps-container", "https://shop.sonapharmacy.com/products/bd-home-sharps-container")</f>
        <v>https://shop.sonapharmacy.com/products/bd-home-sharps-container</v>
      </c>
      <c r="B3238" s="3" t="str">
        <f>HYPERLINK("https://shop.sonapharmacy.com/products/bd-home-sharps-container", "https://shop.sonapharmacy.com/products/bd-home-sharps-container")</f>
        <v>https://shop.sonapharmacy.com/products/bd-home-sharps-container</v>
      </c>
      <c r="C3238" t="s">
        <v>8261</v>
      </c>
      <c r="D3238" t="s">
        <v>8262</v>
      </c>
      <c r="E3238" s="3" t="str">
        <f>HYPERLINK("https://www.amazon.com/Bd-Sharps-Container-Quart-Count/dp/B005PGP67Q/ref=sr_1_2?keywords=BD%C2%AE+Home+Sharps+Container&amp;qid=1695260089&amp;sr=8-2", "https://www.amazon.com/Bd-Sharps-Container-Quart-Count/dp/B005PGP67Q/ref=sr_1_2?keywords=BD%C2%AE+Home+Sharps+Container&amp;qid=1695260089&amp;sr=8-2")</f>
        <v>https://www.amazon.com/Bd-Sharps-Container-Quart-Count/dp/B005PGP67Q/ref=sr_1_2?keywords=BD%C2%AE+Home+Sharps+Container&amp;qid=1695260089&amp;sr=8-2</v>
      </c>
      <c r="F3238" t="s">
        <v>8263</v>
      </c>
      <c r="G3238" t="e">
        <f ca="1">IMAGE("https://shop.sonapharmacy.com/cdn/shop/products/001655246.jpg?v=1609343493")</f>
        <v>#NAME?</v>
      </c>
      <c r="H3238" t="e">
        <f ca="1">IMAGE("https://m.media-amazon.com/images/I/71b4LJUkr4L._AC_UL320_.jpg")</f>
        <v>#NAME?</v>
      </c>
      <c r="I3238" t="s">
        <v>8264</v>
      </c>
      <c r="J3238">
        <v>46.75</v>
      </c>
      <c r="K3238" s="2" t="s">
        <v>8265</v>
      </c>
      <c r="L3238">
        <v>4.9000000000000004</v>
      </c>
      <c r="M3238">
        <v>361</v>
      </c>
      <c r="O3238" t="s">
        <v>26</v>
      </c>
      <c r="P3238" t="s">
        <v>39</v>
      </c>
      <c r="Q3238" t="s">
        <v>8266</v>
      </c>
    </row>
    <row r="3239" spans="1:17" ht="15.75" x14ac:dyDescent="0.25">
      <c r="A3239" s="3" t="str">
        <f>HYPERLINK("https://shop.sonapharmacy.com/products/old-spice%C2%AE-original-high-endurance-deodorant-3-0oz", "https://shop.sonapharmacy.com/products/old-spice%C2%AE-original-high-endurance-deodorant-3-0oz")</f>
        <v>https://shop.sonapharmacy.com/products/old-spice%C2%AE-original-high-endurance-deodorant-3-0oz</v>
      </c>
      <c r="B3239" s="3" t="str">
        <f>HYPERLINK("https://shop.sonapharmacy.com/products/old-spice%c2%ae-original-high-endurance-deodorant-3-0oz", "https://shop.sonapharmacy.com/products/old-spice%c2%ae-original-high-endurance-deodorant-3-0oz")</f>
        <v>https://shop.sonapharmacy.com/products/old-spice%c2%ae-original-high-endurance-deodorant-3-0oz</v>
      </c>
      <c r="C3239" t="s">
        <v>8203</v>
      </c>
      <c r="D3239" t="s">
        <v>8267</v>
      </c>
      <c r="E3239" s="3" t="str">
        <f>HYPERLINK("https://www.amazon.com/Old-Spice-Endurance-Deodorant-Original/dp/B01IADZVVQ/ref=sr_1_1?keywords=Old+Spice%C2%AE+Original+High+Endurance+Deodorant+3.0oz.&amp;qid=1695260609&amp;sr=8-1", "https://www.amazon.com/Old-Spice-Endurance-Deodorant-Original/dp/B01IADZVVQ/ref=sr_1_1?keywords=Old+Spice%C2%AE+Original+High+Endurance+Deodorant+3.0oz.&amp;qid=1695260609&amp;sr=8-1")</f>
        <v>https://www.amazon.com/Old-Spice-Endurance-Deodorant-Original/dp/B01IADZVVQ/ref=sr_1_1?keywords=Old+Spice%C2%AE+Original+High+Endurance+Deodorant+3.0oz.&amp;qid=1695260609&amp;sr=8-1</v>
      </c>
      <c r="F3239" t="s">
        <v>8268</v>
      </c>
      <c r="G3239" t="e">
        <f ca="1">IMAGE("https://shop.sonapharmacy.com/cdn/shop/products/81d6Zo1KWZL._SL1500.jpg?v=1609094009")</f>
        <v>#NAME?</v>
      </c>
      <c r="H3239" t="e">
        <f ca="1">IMAGE("https://m.media-amazon.com/images/I/5116qN1k3UL._AC_UL320_.jpg")</f>
        <v>#NAME?</v>
      </c>
      <c r="I3239" t="s">
        <v>8206</v>
      </c>
      <c r="J3239">
        <v>50.9</v>
      </c>
      <c r="K3239" s="2" t="s">
        <v>8269</v>
      </c>
      <c r="L3239">
        <v>4.5999999999999996</v>
      </c>
      <c r="M3239">
        <v>7623</v>
      </c>
      <c r="O3239" t="s">
        <v>26</v>
      </c>
      <c r="P3239" t="s">
        <v>39</v>
      </c>
      <c r="Q3239" t="s">
        <v>8208</v>
      </c>
    </row>
    <row r="3240" spans="1:17" ht="15.75" x14ac:dyDescent="0.25">
      <c r="A3240" s="3" t="str">
        <f>HYPERLINK("https://shop.sonapharmacy.com/products/summers-eve%C2%AE-simply-sensitive%C2%AE-on-the-go-cleansing-cloths-16ct", "https://shop.sonapharmacy.com/products/summers-eve%C2%AE-simply-sensitive%C2%AE-on-the-go-cleansing-cloths-16ct")</f>
        <v>https://shop.sonapharmacy.com/products/summers-eve%C2%AE-simply-sensitive%C2%AE-on-the-go-cleansing-cloths-16ct</v>
      </c>
      <c r="B3240" s="3" t="str">
        <f>HYPERLINK("https://shop.sonapharmacy.com/products/summers-eve%c2%ae-simply-sensitive%c2%ae-on-the-go-cleansing-cloths-16ct", "https://shop.sonapharmacy.com/products/summers-eve%c2%ae-simply-sensitive%c2%ae-on-the-go-cleansing-cloths-16ct")</f>
        <v>https://shop.sonapharmacy.com/products/summers-eve%c2%ae-simply-sensitive%c2%ae-on-the-go-cleansing-cloths-16ct</v>
      </c>
      <c r="C3240" t="s">
        <v>8270</v>
      </c>
      <c r="D3240" t="s">
        <v>8271</v>
      </c>
      <c r="E3240" s="3" t="str">
        <f>HYPERLINK("https://www.amazon.com/Summers-Eve-Sensitive-Cleansing-Individually/dp/B013TC521M/ref=sr_1_2?keywords=Summer%27s+Eve%C2%AE+Simply+Sensitive%C2%AE+On+The+Go+Cleansing+Cloths+16ct.&amp;qid=1695260737&amp;sr=8-2", "https://www.amazon.com/Summers-Eve-Sensitive-Cleansing-Individually/dp/B013TC521M/ref=sr_1_2?keywords=Summer%27s+Eve%C2%AE+Simply+Sensitive%C2%AE+On+The+Go+Cleansing+Cloths+16ct.&amp;qid=1695260737&amp;sr=8-2")</f>
        <v>https://www.amazon.com/Summers-Eve-Sensitive-Cleansing-Individually/dp/B013TC521M/ref=sr_1_2?keywords=Summer%27s+Eve%C2%AE+Simply+Sensitive%C2%AE+On+The+Go+Cleansing+Cloths+16ct.&amp;qid=1695260737&amp;sr=8-2</v>
      </c>
      <c r="F3240" t="s">
        <v>8272</v>
      </c>
      <c r="G3240" t="e">
        <f ca="1">IMAGE("https://shop.sonapharmacy.com/cdn/shop/products/large_41c23a1d-d8da-4475-ba3a-8a53b9a03a2c.jpg?v=1609184877")</f>
        <v>#NAME?</v>
      </c>
      <c r="H3240" t="e">
        <f ca="1">IMAGE("https://m.media-amazon.com/images/I/51yqkusbvbL._AC_UL320_.jpg")</f>
        <v>#NAME?</v>
      </c>
      <c r="I3240" t="s">
        <v>8273</v>
      </c>
      <c r="J3240">
        <v>34.82</v>
      </c>
      <c r="K3240" s="2" t="s">
        <v>8274</v>
      </c>
      <c r="L3240">
        <v>5</v>
      </c>
      <c r="M3240">
        <v>24</v>
      </c>
      <c r="O3240" t="s">
        <v>26</v>
      </c>
      <c r="P3240" t="s">
        <v>39</v>
      </c>
      <c r="Q3240" t="s">
        <v>8275</v>
      </c>
    </row>
    <row r="3241" spans="1:17" ht="15.75" x14ac:dyDescent="0.25">
      <c r="A3241" s="3" t="str">
        <f>HYPERLINK("https://shop.sonapharmacy.com/products/ricola-lemon-mint-cough-drops", "https://shop.sonapharmacy.com/products/ricola-lemon-mint-cough-drops")</f>
        <v>https://shop.sonapharmacy.com/products/ricola-lemon-mint-cough-drops</v>
      </c>
      <c r="B3241" s="3" t="str">
        <f>HYPERLINK("https://shop.sonapharmacy.com/products/ricola-lemon-mint-cough-drops", "https://shop.sonapharmacy.com/products/ricola-lemon-mint-cough-drops")</f>
        <v>https://shop.sonapharmacy.com/products/ricola-lemon-mint-cough-drops</v>
      </c>
      <c r="C3241" t="s">
        <v>8276</v>
      </c>
      <c r="D3241" t="s">
        <v>8277</v>
      </c>
      <c r="E3241" s="3" t="str">
        <f>HYPERLINK("https://www.amazon.com/Ricola-Herb-Throat-Drops-LemonMint/dp/B000P5237I/ref=sr_1_7?keywords=Ricola+Lemon+Mint+Cough+Drops&amp;qid=1695260692&amp;sr=8-7", "https://www.amazon.com/Ricola-Herb-Throat-Drops-LemonMint/dp/B000P5237I/ref=sr_1_7?keywords=Ricola+Lemon+Mint+Cough+Drops&amp;qid=1695260692&amp;sr=8-7")</f>
        <v>https://www.amazon.com/Ricola-Herb-Throat-Drops-LemonMint/dp/B000P5237I/ref=sr_1_7?keywords=Ricola+Lemon+Mint+Cough+Drops&amp;qid=1695260692&amp;sr=8-7</v>
      </c>
      <c r="F3241" t="s">
        <v>8278</v>
      </c>
      <c r="G3241" t="e">
        <f ca="1">IMAGE("https://shop.sonapharmacy.com/cdn/shop/products/lemonmint_bag_24.png?v=1608220217")</f>
        <v>#NAME?</v>
      </c>
      <c r="H3241" t="e">
        <f ca="1">IMAGE("https://m.media-amazon.com/images/I/61wp36WpN5L._AC_UL320_.jpg")</f>
        <v>#NAME?</v>
      </c>
      <c r="I3241" t="s">
        <v>8279</v>
      </c>
      <c r="J3241">
        <v>36.07</v>
      </c>
      <c r="K3241" s="2" t="s">
        <v>8280</v>
      </c>
      <c r="L3241">
        <v>4.7</v>
      </c>
      <c r="M3241">
        <v>1964</v>
      </c>
      <c r="O3241" t="s">
        <v>26</v>
      </c>
      <c r="P3241" t="s">
        <v>39</v>
      </c>
      <c r="Q3241" t="s">
        <v>8281</v>
      </c>
    </row>
    <row r="3242" spans="1:17" ht="15.75" x14ac:dyDescent="0.25">
      <c r="A3242"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B3242"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C3242" t="s">
        <v>8040</v>
      </c>
      <c r="D3242" t="s">
        <v>8282</v>
      </c>
      <c r="E3242" s="3" t="str">
        <f>HYPERLINK("https://www.amazon.com/Colgate-Protection-Fluoride-Toothpaste-Approved/dp/B01MDRE6TG/ref=sr_1_4?keywords=Colgate%C2%AE+Regular+Flavor+Cavity+Protection+Toothpaste+1oz.&amp;qid=1695260151&amp;sr=8-4", "https://www.amazon.com/Colgate-Protection-Fluoride-Toothpaste-Approved/dp/B01MDRE6TG/ref=sr_1_4?keywords=Colgate%C2%AE+Regular+Flavor+Cavity+Protection+Toothpaste+1oz.&amp;qid=1695260151&amp;sr=8-4")</f>
        <v>https://www.amazon.com/Colgate-Protection-Fluoride-Toothpaste-Approved/dp/B01MDRE6TG/ref=sr_1_4?keywords=Colgate%C2%AE+Regular+Flavor+Cavity+Protection+Toothpaste+1oz.&amp;qid=1695260151&amp;sr=8-4</v>
      </c>
      <c r="F3242" t="s">
        <v>8283</v>
      </c>
      <c r="G3242" t="e">
        <f ca="1">IMAGE("https://shop.sonapharmacy.com/cdn/shop/products/22e7c50a-9344-4f9c-96af-3a2549d6ce02_7.1d4f47662a946d4e424dc54f6c6c8eed.png?v=1608651728")</f>
        <v>#NAME?</v>
      </c>
      <c r="H3242" t="e">
        <f ca="1">IMAGE("https://m.media-amazon.com/images/I/61WvUHmOdSS._AC_UL320_.jpg")</f>
        <v>#NAME?</v>
      </c>
      <c r="I3242" t="s">
        <v>8043</v>
      </c>
      <c r="J3242">
        <v>9.98</v>
      </c>
      <c r="K3242" s="2" t="s">
        <v>8284</v>
      </c>
      <c r="L3242">
        <v>4.5999999999999996</v>
      </c>
      <c r="M3242">
        <v>92</v>
      </c>
      <c r="O3242" t="s">
        <v>26</v>
      </c>
      <c r="P3242" t="s">
        <v>39</v>
      </c>
      <c r="Q3242" t="s">
        <v>8045</v>
      </c>
    </row>
    <row r="3243" spans="1:17" ht="15.75" x14ac:dyDescent="0.25">
      <c r="A3243"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B3243"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C3243" t="s">
        <v>8040</v>
      </c>
      <c r="D3243" t="s">
        <v>8285</v>
      </c>
      <c r="E3243" s="3" t="str">
        <f>HYPERLINK("https://www.amazon.com/Colgate-Cavity-Protection-Toothpaste-Regular/dp/B01CCTLOK6/ref=sr_1_3?keywords=Colgate%C2%AE+Regular+Flavor+Cavity+Protection+Toothpaste+1oz.&amp;qid=1695260151&amp;sr=8-3", "https://www.amazon.com/Colgate-Cavity-Protection-Toothpaste-Regular/dp/B01CCTLOK6/ref=sr_1_3?keywords=Colgate%C2%AE+Regular+Flavor+Cavity+Protection+Toothpaste+1oz.&amp;qid=1695260151&amp;sr=8-3")</f>
        <v>https://www.amazon.com/Colgate-Cavity-Protection-Toothpaste-Regular/dp/B01CCTLOK6/ref=sr_1_3?keywords=Colgate%C2%AE+Regular+Flavor+Cavity+Protection+Toothpaste+1oz.&amp;qid=1695260151&amp;sr=8-3</v>
      </c>
      <c r="F3243" t="s">
        <v>8286</v>
      </c>
      <c r="G3243" t="e">
        <f ca="1">IMAGE("https://shop.sonapharmacy.com/cdn/shop/products/22e7c50a-9344-4f9c-96af-3a2549d6ce02_7.1d4f47662a946d4e424dc54f6c6c8eed.png?v=1608651728")</f>
        <v>#NAME?</v>
      </c>
      <c r="H3243" t="e">
        <f ca="1">IMAGE("https://m.media-amazon.com/images/I/61OVAQFzeeL._AC_UL320_.jpg")</f>
        <v>#NAME?</v>
      </c>
      <c r="I3243" t="s">
        <v>8043</v>
      </c>
      <c r="J3243">
        <v>9.9600000000000009</v>
      </c>
      <c r="K3243" s="2" t="s">
        <v>8287</v>
      </c>
      <c r="L3243">
        <v>5</v>
      </c>
      <c r="M3243">
        <v>12</v>
      </c>
      <c r="O3243" t="s">
        <v>26</v>
      </c>
      <c r="P3243" t="s">
        <v>39</v>
      </c>
      <c r="Q3243" t="s">
        <v>8045</v>
      </c>
    </row>
    <row r="3244" spans="1:17" ht="15.75" x14ac:dyDescent="0.25">
      <c r="A3244" s="3" t="str">
        <f>HYPERLINK("https://shop.sonapharmacy.com/products/ricola-lemon-mint-cough-drops", "https://shop.sonapharmacy.com/products/ricola-lemon-mint-cough-drops")</f>
        <v>https://shop.sonapharmacy.com/products/ricola-lemon-mint-cough-drops</v>
      </c>
      <c r="B3244" s="3" t="str">
        <f>HYPERLINK("https://shop.sonapharmacy.com/products/ricola-lemon-mint-cough-drops", "https://shop.sonapharmacy.com/products/ricola-lemon-mint-cough-drops")</f>
        <v>https://shop.sonapharmacy.com/products/ricola-lemon-mint-cough-drops</v>
      </c>
      <c r="C3244" t="s">
        <v>8276</v>
      </c>
      <c r="D3244" t="s">
        <v>8288</v>
      </c>
      <c r="E3244" s="3" t="str">
        <f>HYPERLINK("https://www.amazon.com/Ricola-Lemon-Mint-Throat-Drop/dp/B00016XIM0/ref=sr_1_5?keywords=Ricola+Lemon+Mint+Cough+Drops&amp;qid=1695260692&amp;sr=8-5", "https://www.amazon.com/Ricola-Lemon-Mint-Throat-Drop/dp/B00016XIM0/ref=sr_1_5?keywords=Ricola+Lemon+Mint+Cough+Drops&amp;qid=1695260692&amp;sr=8-5")</f>
        <v>https://www.amazon.com/Ricola-Lemon-Mint-Throat-Drop/dp/B00016XIM0/ref=sr_1_5?keywords=Ricola+Lemon+Mint+Cough+Drops&amp;qid=1695260692&amp;sr=8-5</v>
      </c>
      <c r="F3244" t="s">
        <v>8289</v>
      </c>
      <c r="G3244" t="e">
        <f ca="1">IMAGE("https://shop.sonapharmacy.com/cdn/shop/products/lemonmint_bag_24.png?v=1608220217")</f>
        <v>#NAME?</v>
      </c>
      <c r="H3244" t="e">
        <f ca="1">IMAGE("https://m.media-amazon.com/images/I/6134qa0Si4S._AC_UL320_.jpg")</f>
        <v>#NAME?</v>
      </c>
      <c r="I3244" t="s">
        <v>8279</v>
      </c>
      <c r="J3244">
        <v>35.799999999999997</v>
      </c>
      <c r="K3244" s="2" t="s">
        <v>8290</v>
      </c>
      <c r="L3244">
        <v>4.8</v>
      </c>
      <c r="M3244">
        <v>24</v>
      </c>
      <c r="O3244" t="s">
        <v>26</v>
      </c>
      <c r="P3244" t="s">
        <v>39</v>
      </c>
      <c r="Q3244" t="s">
        <v>8281</v>
      </c>
    </row>
    <row r="3245" spans="1:17" ht="15.75" x14ac:dyDescent="0.25">
      <c r="A3245" s="3" t="str">
        <f>HYPERLINK("https://shop.sonapharmacy.com/products/curad-non-woven-gauze-pads", "https://shop.sonapharmacy.com/products/curad-non-woven-gauze-pads")</f>
        <v>https://shop.sonapharmacy.com/products/curad-non-woven-gauze-pads</v>
      </c>
      <c r="B3245" s="3" t="str">
        <f>HYPERLINK("https://shop.sonapharmacy.com/products/curad-non-woven-gauze-pads", "https://shop.sonapharmacy.com/products/curad-non-woven-gauze-pads")</f>
        <v>https://shop.sonapharmacy.com/products/curad-non-woven-gauze-pads</v>
      </c>
      <c r="C3245" t="s">
        <v>8291</v>
      </c>
      <c r="D3245" t="s">
        <v>8292</v>
      </c>
      <c r="E3245" s="3" t="str">
        <f>HYPERLINK("https://www.amazon.com/Non-Woven-Gauze-Individually-Absorption-Care/dp/B0BX79SS9R/ref=sr_1_4?keywords=Curad%C2%AE+Non-Woven+Gauze+Pads&amp;qid=1695260171&amp;sr=8-4", "https://www.amazon.com/Non-Woven-Gauze-Individually-Absorption-Care/dp/B0BX79SS9R/ref=sr_1_4?keywords=Curad%C2%AE+Non-Woven+Gauze+Pads&amp;qid=1695260171&amp;sr=8-4")</f>
        <v>https://www.amazon.com/Non-Woven-Gauze-Individually-Absorption-Care/dp/B0BX79SS9R/ref=sr_1_4?keywords=Curad%C2%AE+Non-Woven+Gauze+Pads&amp;qid=1695260171&amp;sr=8-4</v>
      </c>
      <c r="F3245" t="s">
        <v>8293</v>
      </c>
      <c r="G3245" t="e">
        <f ca="1">IMAGE("https://shop.sonapharmacy.com/cdn/shop/products/gauze2x2.png?v=1607710549")</f>
        <v>#NAME?</v>
      </c>
      <c r="H3245" t="e">
        <f ca="1">IMAGE("https://m.media-amazon.com/images/I/51VGrULD4dL._AC_UY218_.jpg")</f>
        <v>#NAME?</v>
      </c>
      <c r="I3245" t="s">
        <v>8294</v>
      </c>
      <c r="J3245">
        <v>12.99</v>
      </c>
      <c r="K3245" s="2" t="s">
        <v>8295</v>
      </c>
      <c r="L3245">
        <v>4.5</v>
      </c>
      <c r="M3245">
        <v>1313</v>
      </c>
      <c r="O3245" t="s">
        <v>26</v>
      </c>
      <c r="P3245" t="s">
        <v>39</v>
      </c>
      <c r="Q3245" t="s">
        <v>8296</v>
      </c>
    </row>
    <row r="3246" spans="1:17" ht="15.75" x14ac:dyDescent="0.25">
      <c r="A3246" s="3" t="str">
        <f>HYPERLINK("https://shop.sonapharmacy.com/products/a-d%C2%AE-original-diaper-rash-ointment", "https://shop.sonapharmacy.com/products/a-d%C2%AE-original-diaper-rash-ointment")</f>
        <v>https://shop.sonapharmacy.com/products/a-d%C2%AE-original-diaper-rash-ointment</v>
      </c>
      <c r="B3246" s="3" t="str">
        <f>HYPERLINK("https://shop.sonapharmacy.com/products/a-d%c2%ae-original-diaper-rash-ointment", "https://shop.sonapharmacy.com/products/a-d%c2%ae-original-diaper-rash-ointment")</f>
        <v>https://shop.sonapharmacy.com/products/a-d%c2%ae-original-diaper-rash-ointment</v>
      </c>
      <c r="C3246" t="s">
        <v>8297</v>
      </c>
      <c r="D3246" t="s">
        <v>8298</v>
      </c>
      <c r="E3246" s="3" t="str">
        <f>HYPERLINK("https://www.amazon.com/Original-Diaper-Rash-Ointment-Non-Competing/dp/B07QXTR635/ref=sr_1_7?keywords=A%2BD+Original+Diaper+Rash+Ointment&amp;qid=1695260012&amp;sr=8-7", "https://www.amazon.com/Original-Diaper-Rash-Ointment-Non-Competing/dp/B07QXTR635/ref=sr_1_7?keywords=A%2BD+Original+Diaper+Rash+Ointment&amp;qid=1695260012&amp;sr=8-7")</f>
        <v>https://www.amazon.com/Original-Diaper-Rash-Ointment-Non-Competing/dp/B07QXTR635/ref=sr_1_7?keywords=A%2BD+Original+Diaper+Rash+Ointment&amp;qid=1695260012&amp;sr=8-7</v>
      </c>
      <c r="F3246" t="s">
        <v>8299</v>
      </c>
      <c r="G3246" t="e">
        <f ca="1">IMAGE("https://shop.sonapharmacy.com/cdn/shop/products/1.5oz..jpg?v=1609270387")</f>
        <v>#NAME?</v>
      </c>
      <c r="H3246" t="e">
        <f ca="1">IMAGE("https://m.media-amazon.com/images/I/51E01jros8L._AC_UL320_.jpg")</f>
        <v>#NAME?</v>
      </c>
      <c r="I3246" t="s">
        <v>8300</v>
      </c>
      <c r="J3246">
        <v>54.85</v>
      </c>
      <c r="K3246" s="2" t="s">
        <v>8301</v>
      </c>
      <c r="L3246">
        <v>4.8</v>
      </c>
      <c r="M3246">
        <v>5</v>
      </c>
      <c r="O3246" t="s">
        <v>26</v>
      </c>
      <c r="P3246" t="s">
        <v>39</v>
      </c>
      <c r="Q3246" t="s">
        <v>8302</v>
      </c>
    </row>
    <row r="3247" spans="1:17" ht="15.75" x14ac:dyDescent="0.25">
      <c r="A3247" s="3" t="str">
        <f>HYPERLINK("https://shop.sonapharmacy.com/products/halls-relief-honey-lemon-cough-drops", "https://shop.sonapharmacy.com/products/halls-relief-honey-lemon-cough-drops")</f>
        <v>https://shop.sonapharmacy.com/products/halls-relief-honey-lemon-cough-drops</v>
      </c>
      <c r="B3247" s="3" t="str">
        <f>HYPERLINK("https://shop.sonapharmacy.com/products/halls-relief-honey-lemon-cough-drops", "https://shop.sonapharmacy.com/products/halls-relief-honey-lemon-cough-drops")</f>
        <v>https://shop.sonapharmacy.com/products/halls-relief-honey-lemon-cough-drops</v>
      </c>
      <c r="C3247" t="s">
        <v>8031</v>
      </c>
      <c r="D3247" t="s">
        <v>8303</v>
      </c>
      <c r="E3247" s="3" t="str">
        <f>HYPERLINK("https://www.amazon.com/Halls-Honey-Lemon-Cough-Drops/dp/B0039MM55Y/ref=sr_1_4?keywords=Halls%C2%AE+Relief+Honey+Lemon+Cough+Drops&amp;qid=1695260411&amp;sr=8-4", "https://www.amazon.com/Halls-Honey-Lemon-Cough-Drops/dp/B0039MM55Y/ref=sr_1_4?keywords=Halls%C2%AE+Relief+Honey+Lemon+Cough+Drops&amp;qid=1695260411&amp;sr=8-4")</f>
        <v>https://www.amazon.com/Halls-Honey-Lemon-Cough-Drops/dp/B0039MM55Y/ref=sr_1_4?keywords=Halls%C2%AE+Relief+Honey+Lemon+Cough+Drops&amp;qid=1695260411&amp;sr=8-4</v>
      </c>
      <c r="F3247" t="s">
        <v>8304</v>
      </c>
      <c r="G3247" t="e">
        <f ca="1">IMAGE("https://shop.sonapharmacy.com/cdn/shop/products/HALLS_Menthol_HoneyLemon_30ct.png?v=1608215589")</f>
        <v>#NAME?</v>
      </c>
      <c r="H3247" t="e">
        <f ca="1">IMAGE("https://m.media-amazon.com/images/I/71QUAqagrSL._AC_UL320_.jpg")</f>
        <v>#NAME?</v>
      </c>
      <c r="I3247" t="s">
        <v>8034</v>
      </c>
      <c r="J3247">
        <v>28.56</v>
      </c>
      <c r="K3247" s="2" t="s">
        <v>8305</v>
      </c>
      <c r="L3247">
        <v>4.5999999999999996</v>
      </c>
      <c r="M3247">
        <v>379</v>
      </c>
      <c r="O3247" t="s">
        <v>26</v>
      </c>
      <c r="P3247" t="s">
        <v>39</v>
      </c>
      <c r="Q3247" t="s">
        <v>8036</v>
      </c>
    </row>
    <row r="3248" spans="1:17" ht="15.75" x14ac:dyDescent="0.25">
      <c r="A3248" s="3" t="str">
        <f>HYPERLINK("https://shop.sonapharmacy.com/products/duracell%C2%AE-370-371-silver-oxide-battery", "https://shop.sonapharmacy.com/products/duracell%C2%AE-370-371-silver-oxide-battery")</f>
        <v>https://shop.sonapharmacy.com/products/duracell%C2%AE-370-371-silver-oxide-battery</v>
      </c>
      <c r="B3248" s="3" t="str">
        <f>HYPERLINK("https://shop.sonapharmacy.com/products/duracell%c2%ae-370-371-silver-oxide-battery", "https://shop.sonapharmacy.com/products/duracell%c2%ae-370-371-silver-oxide-battery")</f>
        <v>https://shop.sonapharmacy.com/products/duracell%c2%ae-370-371-silver-oxide-battery</v>
      </c>
      <c r="C3248" t="s">
        <v>8306</v>
      </c>
      <c r="D3248" t="s">
        <v>8307</v>
      </c>
      <c r="E3248" s="3" t="str">
        <f>HYPERLINK("https://www.amazon.com/Murata-SR1120-Battery-Silver-Button/dp/B085VXD1CK/ref=sr_1_3?keywords=Duracell%C2%AE+381%2F391+Silver+Oxide+Button+Battery&amp;qid=1695260237&amp;sr=8-3", "https://www.amazon.com/Murata-SR1120-Battery-Silver-Button/dp/B085VXD1CK/ref=sr_1_3?keywords=Duracell%C2%AE+381%2F391+Silver+Oxide+Button+Battery&amp;qid=1695260237&amp;sr=8-3")</f>
        <v>https://www.amazon.com/Murata-SR1120-Battery-Silver-Button/dp/B085VXD1CK/ref=sr_1_3?keywords=Duracell%C2%AE+381%2F391+Silver+Oxide+Button+Battery&amp;qid=1695260237&amp;sr=8-3</v>
      </c>
      <c r="F3248" t="s">
        <v>8308</v>
      </c>
      <c r="G3248" t="e">
        <f ca="1">IMAGE("https://shop.sonapharmacy.com/cdn/shop/products/61ZzYRam0WL._AC_SL1401.jpg?v=1610331915")</f>
        <v>#NAME?</v>
      </c>
      <c r="H3248" t="e">
        <f ca="1">IMAGE("https://m.media-amazon.com/images/I/61+OG7GxaHL._AC_UL320_.jpg")</f>
        <v>#NAME?</v>
      </c>
      <c r="I3248" t="s">
        <v>8309</v>
      </c>
      <c r="J3248">
        <v>7.56</v>
      </c>
      <c r="K3248" s="2" t="s">
        <v>8310</v>
      </c>
      <c r="L3248">
        <v>4.3</v>
      </c>
      <c r="M3248">
        <v>31</v>
      </c>
      <c r="O3248" t="s">
        <v>26</v>
      </c>
      <c r="P3248" t="s">
        <v>39</v>
      </c>
      <c r="Q3248" t="s">
        <v>8311</v>
      </c>
    </row>
    <row r="3249" spans="1:17" ht="15.75" x14ac:dyDescent="0.25">
      <c r="A3249" s="3" t="str">
        <f>HYPERLINK("https://shop.sonapharmacy.com/products/okeeffes-working-hands-cream-2-7oz", "https://shop.sonapharmacy.com/products/okeeffes-working-hands-cream-2-7oz")</f>
        <v>https://shop.sonapharmacy.com/products/okeeffes-working-hands-cream-2-7oz</v>
      </c>
      <c r="B3249" s="3" t="str">
        <f>HYPERLINK("https://shop.sonapharmacy.com/products/okeeffes-working-hands-cream-2-7oz", "https://shop.sonapharmacy.com/products/okeeffes-working-hands-cream-2-7oz")</f>
        <v>https://shop.sonapharmacy.com/products/okeeffes-working-hands-cream-2-7oz</v>
      </c>
      <c r="C3249" t="s">
        <v>8312</v>
      </c>
      <c r="D3249" t="s">
        <v>8313</v>
      </c>
      <c r="E3249" s="3" t="str">
        <f>HYPERLINK("https://www.amazon.com/OKeeffes-Working-Hands-Cream-ounce/dp/B01M7VCXX2/ref=sr_1_10?keywords=O%27Keeffe%27s+Working+Hands+Cream+2.7oz.&amp;qid=1695260597&amp;sr=8-10", "https://www.amazon.com/OKeeffes-Working-Hands-Cream-ounce/dp/B01M7VCXX2/ref=sr_1_10?keywords=O%27Keeffe%27s+Working+Hands+Cream+2.7oz.&amp;qid=1695260597&amp;sr=8-10")</f>
        <v>https://www.amazon.com/OKeeffes-Working-Hands-Cream-ounce/dp/B01M7VCXX2/ref=sr_1_10?keywords=O%27Keeffe%27s+Working+Hands+Cream+2.7oz.&amp;qid=1695260597&amp;sr=8-10</v>
      </c>
      <c r="F3249" t="s">
        <v>8314</v>
      </c>
      <c r="G3249" t="e">
        <f ca="1">IMAGE("https://shop.sonapharmacy.com/cdn/shop/products/00be5c22-ab6e-4ab0-b795-94a77c1551f9_2.8f68130d2f977aa423d97d8a89b1994a.jpg?v=1608407194")</f>
        <v>#NAME?</v>
      </c>
      <c r="H3249" t="e">
        <f ca="1">IMAGE("https://m.media-amazon.com/images/I/81bZPN1GNwL._AC_UL320_.jpg")</f>
        <v>#NAME?</v>
      </c>
      <c r="I3249" t="s">
        <v>8315</v>
      </c>
      <c r="J3249">
        <v>77.569999999999993</v>
      </c>
      <c r="K3249" s="2" t="s">
        <v>8316</v>
      </c>
      <c r="L3249">
        <v>4.7</v>
      </c>
      <c r="M3249">
        <v>6</v>
      </c>
      <c r="O3249" t="s">
        <v>26</v>
      </c>
      <c r="P3249" t="s">
        <v>39</v>
      </c>
      <c r="Q3249" t="s">
        <v>8317</v>
      </c>
    </row>
    <row r="3250" spans="1:17" ht="15.75" x14ac:dyDescent="0.25">
      <c r="A3250" s="3" t="str">
        <f>HYPERLINK("https://shop.sonapharmacy.com/products/goodsense%C2%AE-lice-killing-shampoo-4-fl-oz", "https://shop.sonapharmacy.com/products/goodsense%C2%AE-lice-killing-shampoo-4-fl-oz")</f>
        <v>https://shop.sonapharmacy.com/products/goodsense%C2%AE-lice-killing-shampoo-4-fl-oz</v>
      </c>
      <c r="B3250" s="3" t="str">
        <f>HYPERLINK("https://shop.sonapharmacy.com/products/goodsense%c2%ae-lice-killing-shampoo-4-fl-oz", "https://shop.sonapharmacy.com/products/goodsense%c2%ae-lice-killing-shampoo-4-fl-oz")</f>
        <v>https://shop.sonapharmacy.com/products/goodsense%c2%ae-lice-killing-shampoo-4-fl-oz</v>
      </c>
      <c r="C3250" t="s">
        <v>8318</v>
      </c>
      <c r="D3250" t="s">
        <v>8319</v>
      </c>
      <c r="E3250" s="3"/>
      <c r="F3250" t="s">
        <v>8320</v>
      </c>
      <c r="G3250" t="e">
        <f ca="1">IMAGE("https://shop.sonapharmacy.com/cdn/shop/products/b9302c4a-d11b-43cc-b7a9-27940de7f59f_1.fec1096c9d80654f53674a1d40e10f84.jpg?v=1608136972")</f>
        <v>#NAME?</v>
      </c>
      <c r="H3250" t="e">
        <f ca="1">IMAGE("https://m.media-amazon.com/images/I/716mDVxoTyL._AC_UL320_.jpg")</f>
        <v>#NAME?</v>
      </c>
      <c r="I3250" t="s">
        <v>4275</v>
      </c>
      <c r="J3250">
        <v>115.69</v>
      </c>
      <c r="K3250" s="2" t="s">
        <v>8321</v>
      </c>
      <c r="L3250">
        <v>3.5</v>
      </c>
      <c r="M3250">
        <v>17</v>
      </c>
      <c r="O3250" t="s">
        <v>26</v>
      </c>
      <c r="P3250" t="s">
        <v>39</v>
      </c>
      <c r="Q3250" t="s">
        <v>8322</v>
      </c>
    </row>
    <row r="3251" spans="1:17" ht="15.75" x14ac:dyDescent="0.25">
      <c r="A3251" s="3" t="str">
        <f>HYPERLINK("https://shop.sonapharmacy.com/products/band-aid-skin-flex-bandage", "https://shop.sonapharmacy.com/products/band-aid-skin-flex-bandage")</f>
        <v>https://shop.sonapharmacy.com/products/band-aid-skin-flex-bandage</v>
      </c>
      <c r="B3251" s="3" t="str">
        <f>HYPERLINK("https://shop.sonapharmacy.com/products/band-aid-skin-flex-bandage", "https://shop.sonapharmacy.com/products/band-aid-skin-flex-bandage")</f>
        <v>https://shop.sonapharmacy.com/products/band-aid-skin-flex-bandage</v>
      </c>
      <c r="C3251" t="s">
        <v>8323</v>
      </c>
      <c r="D3251" t="s">
        <v>8324</v>
      </c>
      <c r="E3251" s="3" t="str">
        <f>HYPERLINK("https://www.amazon.com/Band-Aid-Brand-Skin-Flex-Adhesive-Bandages/dp/B075Y9C8HW/ref=sr_1_9?keywords=BAND-AID%C2%AE+Skin+Flex+Bandage&amp;qid=1695260066&amp;sr=8-9", "https://www.amazon.com/Band-Aid-Brand-Skin-Flex-Adhesive-Bandages/dp/B075Y9C8HW/ref=sr_1_9?keywords=BAND-AID%C2%AE+Skin+Flex+Bandage&amp;qid=1695260066&amp;sr=8-9")</f>
        <v>https://www.amazon.com/Band-Aid-Brand-Skin-Flex-Adhesive-Bandages/dp/B075Y9C8HW/ref=sr_1_9?keywords=BAND-AID%C2%AE+Skin+Flex+Bandage&amp;qid=1695260066&amp;sr=8-9</v>
      </c>
      <c r="F3251" t="s">
        <v>8325</v>
      </c>
      <c r="G3251" t="e">
        <f ca="1">IMAGE("https://shop.sonapharmacy.com/cdn/shop/products/bab_381371183470_band_aid_band-aid_skin-flex_aos_25ct_007.jpg?v=1627748646")</f>
        <v>#NAME?</v>
      </c>
      <c r="H3251" t="e">
        <f ca="1">IMAGE("https://m.media-amazon.com/images/I/81wsIGRnUXL._AC_UL320_.jpg")</f>
        <v>#NAME?</v>
      </c>
      <c r="I3251" t="s">
        <v>8326</v>
      </c>
      <c r="J3251">
        <v>57.72</v>
      </c>
      <c r="K3251" s="2" t="s">
        <v>8327</v>
      </c>
      <c r="L3251">
        <v>4</v>
      </c>
      <c r="M3251">
        <v>8</v>
      </c>
      <c r="O3251" t="s">
        <v>26</v>
      </c>
      <c r="P3251" t="s">
        <v>39</v>
      </c>
      <c r="Q3251" t="s">
        <v>8328</v>
      </c>
    </row>
    <row r="3252" spans="1:17" ht="15.75" x14ac:dyDescent="0.25">
      <c r="A3252" s="3" t="str">
        <f>HYPERLINK("https://shop.sonapharmacy.com/products/duracell%C2%AE-303-357-76-silver-oxide-button-battery", "https://shop.sonapharmacy.com/products/duracell%C2%AE-303-357-76-silver-oxide-button-battery")</f>
        <v>https://shop.sonapharmacy.com/products/duracell%C2%AE-303-357-76-silver-oxide-button-battery</v>
      </c>
      <c r="B3252" s="3" t="str">
        <f>HYPERLINK("https://shop.sonapharmacy.com/products/duracell%c2%ae-303-357-76-silver-oxide-button-battery", "https://shop.sonapharmacy.com/products/duracell%c2%ae-303-357-76-silver-oxide-button-battery")</f>
        <v>https://shop.sonapharmacy.com/products/duracell%c2%ae-303-357-76-silver-oxide-button-battery</v>
      </c>
      <c r="C3252" t="s">
        <v>8329</v>
      </c>
      <c r="D3252" t="s">
        <v>8330</v>
      </c>
      <c r="E3252" s="3" t="str">
        <f>HYPERLINK("https://www.amazon.com/Duracell-SR44W-Silver-Oxide-Battery/dp/B013IJ3VUK/ref=sr_1_8?keywords=Duracell%C2%AE+303%2F357%2F76+Silver+Oxide+Button+Battery&amp;qid=1695260202&amp;sr=8-8", "https://www.amazon.com/Duracell-SR44W-Silver-Oxide-Battery/dp/B013IJ3VUK/ref=sr_1_8?keywords=Duracell%C2%AE+303%2F357%2F76+Silver+Oxide+Button+Battery&amp;qid=1695260202&amp;sr=8-8")</f>
        <v>https://www.amazon.com/Duracell-SR44W-Silver-Oxide-Battery/dp/B013IJ3VUK/ref=sr_1_8?keywords=Duracell%C2%AE+303%2F357%2F76+Silver+Oxide+Button+Battery&amp;qid=1695260202&amp;sr=8-8</v>
      </c>
      <c r="F3252" t="s">
        <v>8331</v>
      </c>
      <c r="G3252" t="e">
        <f ca="1">IMAGE("https://shop.sonapharmacy.com/cdn/shop/products/3099066_A.eps_High_540x_008cc7a8-ba13-4a78-a067-abc0e573a874.jpg?v=1610332687")</f>
        <v>#NAME?</v>
      </c>
      <c r="H3252" t="e">
        <f ca="1">IMAGE("https://m.media-amazon.com/images/I/51RhkKSGRGL._AC_UL320_.jpg")</f>
        <v>#NAME?</v>
      </c>
      <c r="I3252" t="s">
        <v>8332</v>
      </c>
      <c r="J3252">
        <v>75.989999999999995</v>
      </c>
      <c r="K3252" s="2" t="s">
        <v>8333</v>
      </c>
      <c r="L3252">
        <v>4.4000000000000004</v>
      </c>
      <c r="M3252">
        <v>6</v>
      </c>
      <c r="O3252" t="s">
        <v>26</v>
      </c>
      <c r="P3252" t="s">
        <v>39</v>
      </c>
      <c r="Q3252" t="s">
        <v>8334</v>
      </c>
    </row>
    <row r="3253" spans="1:17" ht="15.75" x14ac:dyDescent="0.25">
      <c r="A3253" s="3" t="str">
        <f>HYPERLINK("https://shop.sonapharmacy.com/products/ricola-honey-herb-cough-drops-24ct", "https://shop.sonapharmacy.com/products/ricola-honey-herb-cough-drops-24ct")</f>
        <v>https://shop.sonapharmacy.com/products/ricola-honey-herb-cough-drops-24ct</v>
      </c>
      <c r="B3253" s="3" t="str">
        <f>HYPERLINK("https://shop.sonapharmacy.com/products/ricola-honey-herb-cough-drops-24ct", "https://shop.sonapharmacy.com/products/ricola-honey-herb-cough-drops-24ct")</f>
        <v>https://shop.sonapharmacy.com/products/ricola-honey-herb-cough-drops-24ct</v>
      </c>
      <c r="C3253" t="s">
        <v>8335</v>
      </c>
      <c r="D3253" t="s">
        <v>8336</v>
      </c>
      <c r="E3253" s="3" t="str">
        <f>HYPERLINK("https://www.amazon.com/Ricola-Suppressant-Naturally-Soothing-Long-Lasting/dp/B00016XIMK/ref=sr_1_3?keywords=Ricola+Honey+Herb+Cough+Drops+24ct&amp;qid=1695260677&amp;sr=8-3", "https://www.amazon.com/Ricola-Suppressant-Naturally-Soothing-Long-Lasting/dp/B00016XIMK/ref=sr_1_3?keywords=Ricola+Honey+Herb+Cough+Drops+24ct&amp;qid=1695260677&amp;sr=8-3")</f>
        <v>https://www.amazon.com/Ricola-Suppressant-Naturally-Soothing-Long-Lasting/dp/B00016XIMK/ref=sr_1_3?keywords=Ricola+Honey+Herb+Cough+Drops+24ct&amp;qid=1695260677&amp;sr=8-3</v>
      </c>
      <c r="F3253" t="s">
        <v>8337</v>
      </c>
      <c r="G3253" t="e">
        <f ca="1">IMAGE("https://shop.sonapharmacy.com/cdn/shop/products/honeyherb_bag_24.png?v=1608219272")</f>
        <v>#NAME?</v>
      </c>
      <c r="H3253" t="e">
        <f ca="1">IMAGE("https://m.media-amazon.com/images/I/817sUS5HGVL._AC_UL320_.jpg")</f>
        <v>#NAME?</v>
      </c>
      <c r="I3253" t="s">
        <v>8279</v>
      </c>
      <c r="J3253">
        <v>34.68</v>
      </c>
      <c r="K3253" s="2" t="s">
        <v>8338</v>
      </c>
      <c r="L3253">
        <v>4.7</v>
      </c>
      <c r="M3253">
        <v>891</v>
      </c>
      <c r="O3253" t="s">
        <v>26</v>
      </c>
      <c r="P3253" t="s">
        <v>39</v>
      </c>
      <c r="Q3253" t="s">
        <v>8339</v>
      </c>
    </row>
    <row r="3254" spans="1:17" ht="15.75" x14ac:dyDescent="0.25">
      <c r="A3254" s="3" t="str">
        <f>HYPERLINK("https://shop.sonapharmacy.com/products/pedia-lax-liquid-glycerin-suppositories", "https://shop.sonapharmacy.com/products/pedia-lax-liquid-glycerin-suppositories")</f>
        <v>https://shop.sonapharmacy.com/products/pedia-lax-liquid-glycerin-suppositories</v>
      </c>
      <c r="B3254" s="3" t="str">
        <f>HYPERLINK("https://shop.sonapharmacy.com/products/pedia-lax-liquid-glycerin-suppositories", "https://shop.sonapharmacy.com/products/pedia-lax-liquid-glycerin-suppositories")</f>
        <v>https://shop.sonapharmacy.com/products/pedia-lax-liquid-glycerin-suppositories</v>
      </c>
      <c r="C3254" t="s">
        <v>8340</v>
      </c>
      <c r="D3254" t="s">
        <v>8009</v>
      </c>
      <c r="E3254" s="3" t="str">
        <f>HYPERLINK("https://www.amazon.com/Fleet-Pedia-Lax-Liquid-Glycerin-Suppositories/dp/B01IAI4QQ2/ref=sr_1_6?keywords=Pedia-Lax%C2%AE+Liquid+Glycerin+Suppositories&amp;qid=1695260624&amp;sr=8-6", "https://www.amazon.com/Fleet-Pedia-Lax-Liquid-Glycerin-Suppositories/dp/B01IAI4QQ2/ref=sr_1_6?keywords=Pedia-Lax%C2%AE+Liquid+Glycerin+Suppositories&amp;qid=1695260624&amp;sr=8-6")</f>
        <v>https://www.amazon.com/Fleet-Pedia-Lax-Liquid-Glycerin-Suppositories/dp/B01IAI4QQ2/ref=sr_1_6?keywords=Pedia-Lax%C2%AE+Liquid+Glycerin+Suppositories&amp;qid=1695260624&amp;sr=8-6</v>
      </c>
      <c r="F3254" t="s">
        <v>8010</v>
      </c>
      <c r="G3254" t="e">
        <f ca="1">IMAGE("https://shop.sonapharmacy.com/cdn/shop/products/PediaLaxSuppository.png?v=1606852444")</f>
        <v>#NAME?</v>
      </c>
      <c r="H3254" t="e">
        <f ca="1">IMAGE("https://m.media-amazon.com/images/I/71eIfoE6BkL._AC_UL320_.jpg")</f>
        <v>#NAME?</v>
      </c>
      <c r="I3254" t="s">
        <v>8341</v>
      </c>
      <c r="J3254">
        <v>76.760000000000005</v>
      </c>
      <c r="K3254" s="2" t="s">
        <v>8342</v>
      </c>
      <c r="L3254">
        <v>5</v>
      </c>
      <c r="M3254">
        <v>6</v>
      </c>
      <c r="O3254" t="s">
        <v>26</v>
      </c>
      <c r="P3254" t="s">
        <v>39</v>
      </c>
      <c r="Q3254" t="s">
        <v>8343</v>
      </c>
    </row>
    <row r="3255" spans="1:17" ht="15.75" x14ac:dyDescent="0.25">
      <c r="A3255" s="3" t="str">
        <f>HYPERLINK("https://shop.sonapharmacy.com/products/reach%C2%AE-mint-waxed-floss-55yds", "https://shop.sonapharmacy.com/products/reach%C2%AE-mint-waxed-floss-55yds")</f>
        <v>https://shop.sonapharmacy.com/products/reach%C2%AE-mint-waxed-floss-55yds</v>
      </c>
      <c r="B3255" s="3" t="str">
        <f>HYPERLINK("https://shop.sonapharmacy.com/products/reach%c2%ae-mint-waxed-floss-55yds", "https://shop.sonapharmacy.com/products/reach%c2%ae-mint-waxed-floss-55yds")</f>
        <v>https://shop.sonapharmacy.com/products/reach%c2%ae-mint-waxed-floss-55yds</v>
      </c>
      <c r="C3255" t="s">
        <v>8046</v>
      </c>
      <c r="D3255" t="s">
        <v>8344</v>
      </c>
      <c r="E3255" s="3" t="str">
        <f>HYPERLINK("https://www.amazon.com/Johnson-Reach-Waxed-Dental-Floss/dp/B00FZNMHZS/ref=sr_1_2?keywords=Reach%C2%AE+Mint+Waxed+Floss&amp;qid=1695260669&amp;sr=8-2", "https://www.amazon.com/Johnson-Reach-Waxed-Dental-Floss/dp/B00FZNMHZS/ref=sr_1_2?keywords=Reach%C2%AE+Mint+Waxed+Floss&amp;qid=1695260669&amp;sr=8-2")</f>
        <v>https://www.amazon.com/Johnson-Reach-Waxed-Dental-Floss/dp/B00FZNMHZS/ref=sr_1_2?keywords=Reach%C2%AE+Mint+Waxed+Floss&amp;qid=1695260669&amp;sr=8-2</v>
      </c>
      <c r="F3255" t="s">
        <v>8345</v>
      </c>
      <c r="G3255" t="e">
        <f ca="1">IMAGE("https://shop.sonapharmacy.com/cdn/shop/products/reach_mint_waxed_floss.png?v=1608573621")</f>
        <v>#NAME?</v>
      </c>
      <c r="H3255" t="e">
        <f ca="1">IMAGE("https://m.media-amazon.com/images/I/71VeX+GALyL._AC_UL320_.jpg")</f>
        <v>#NAME?</v>
      </c>
      <c r="I3255" t="s">
        <v>8049</v>
      </c>
      <c r="J3255">
        <v>13.75</v>
      </c>
      <c r="K3255" s="2" t="s">
        <v>8346</v>
      </c>
      <c r="L3255">
        <v>4.7</v>
      </c>
      <c r="M3255">
        <v>6752</v>
      </c>
      <c r="O3255" t="s">
        <v>26</v>
      </c>
      <c r="P3255" t="s">
        <v>39</v>
      </c>
      <c r="Q3255" t="s">
        <v>8051</v>
      </c>
    </row>
    <row r="3256" spans="1:17" ht="15.75" x14ac:dyDescent="0.25">
      <c r="A3256" s="3" t="str">
        <f>HYPERLINK("https://shop.sonapharmacy.com/products/apex%C2%AE-silicone-ear-plugs-2-pair", "https://shop.sonapharmacy.com/products/apex%C2%AE-silicone-ear-plugs-2-pair")</f>
        <v>https://shop.sonapharmacy.com/products/apex%C2%AE-silicone-ear-plugs-2-pair</v>
      </c>
      <c r="B3256" s="3" t="str">
        <f>HYPERLINK("https://shop.sonapharmacy.com/products/apex%c2%ae-silicone-ear-plugs-2-pair", "https://shop.sonapharmacy.com/products/apex%c2%ae-silicone-ear-plugs-2-pair")</f>
        <v>https://shop.sonapharmacy.com/products/apex%c2%ae-silicone-ear-plugs-2-pair</v>
      </c>
      <c r="C3256" t="s">
        <v>8347</v>
      </c>
      <c r="D3256" t="s">
        <v>8348</v>
      </c>
      <c r="E3256" s="3" t="str">
        <f>HYPERLINK("https://www.amazon.com/Silicone-Reduction-Reusable-Sleeping-Cancelling/dp/B0B1J1FNTS/ref=sr_1_7?keywords=Apex+Silicone+Ear+Plugs+2+Pair&amp;qid=1695260023&amp;sr=8-7", "https://www.amazon.com/Silicone-Reduction-Reusable-Sleeping-Cancelling/dp/B0B1J1FNTS/ref=sr_1_7?keywords=Apex+Silicone+Ear+Plugs+2+Pair&amp;qid=1695260023&amp;sr=8-7")</f>
        <v>https://www.amazon.com/Silicone-Reduction-Reusable-Sleeping-Cancelling/dp/B0B1J1FNTS/ref=sr_1_7?keywords=Apex+Silicone+Ear+Plugs+2+Pair&amp;qid=1695260023&amp;sr=8-7</v>
      </c>
      <c r="F3256" t="s">
        <v>8349</v>
      </c>
      <c r="G3256" t="e">
        <f ca="1">IMAGE("https://shop.sonapharmacy.com/cdn/shop/products/apex-soft-silicone-ear-plugs_600x600_9a1280db-cfca-4f37-9f6b-4c750106c735.jpg?v=1611189952")</f>
        <v>#NAME?</v>
      </c>
      <c r="H3256" t="e">
        <f ca="1">IMAGE("https://m.media-amazon.com/images/I/51LsbYAWtoL._AC_UL320_.jpg")</f>
        <v>#NAME?</v>
      </c>
      <c r="I3256" t="s">
        <v>8076</v>
      </c>
      <c r="J3256">
        <v>19.989999999999998</v>
      </c>
      <c r="K3256" s="2" t="s">
        <v>8350</v>
      </c>
      <c r="L3256">
        <v>3.8</v>
      </c>
      <c r="M3256">
        <v>153</v>
      </c>
      <c r="O3256" t="s">
        <v>26</v>
      </c>
      <c r="P3256" t="s">
        <v>39</v>
      </c>
      <c r="Q3256" t="s">
        <v>8351</v>
      </c>
    </row>
    <row r="3257" spans="1:17" ht="15.75" x14ac:dyDescent="0.25">
      <c r="A3257" s="3" t="str">
        <f>HYPERLINK("https://shop.sonapharmacy.com/products/goodsense%C2%AE-instant-ice-compress", "https://shop.sonapharmacy.com/products/goodsense%C2%AE-instant-ice-compress")</f>
        <v>https://shop.sonapharmacy.com/products/goodsense%C2%AE-instant-ice-compress</v>
      </c>
      <c r="B3257" s="3" t="str">
        <f>HYPERLINK("https://shop.sonapharmacy.com/products/goodsense%c2%ae-instant-ice-compress", "https://shop.sonapharmacy.com/products/goodsense%c2%ae-instant-ice-compress")</f>
        <v>https://shop.sonapharmacy.com/products/goodsense%c2%ae-instant-ice-compress</v>
      </c>
      <c r="C3257" t="s">
        <v>8352</v>
      </c>
      <c r="D3257" t="s">
        <v>8353</v>
      </c>
      <c r="E3257" s="3" t="str">
        <f>HYPERLINK("https://www.amazon.com/Ever-Ready-First-Aid-Disposable/dp/B0BMGXVSKV/ref=sr_1_8?keywords=GoodSense%C2%AE+Instant+Ice+Compress&amp;qid=1695260355&amp;sr=8-8", "https://www.amazon.com/Ever-Ready-First-Aid-Disposable/dp/B0BMGXVSKV/ref=sr_1_8?keywords=GoodSense%C2%AE+Instant+Ice+Compress&amp;qid=1695260355&amp;sr=8-8")</f>
        <v>https://www.amazon.com/Ever-Ready-First-Aid-Disposable/dp/B0BMGXVSKV/ref=sr_1_8?keywords=GoodSense%C2%AE+Instant+Ice+Compress&amp;qid=1695260355&amp;sr=8-8</v>
      </c>
      <c r="F3257" t="s">
        <v>8354</v>
      </c>
      <c r="G3257" t="e">
        <f ca="1">IMAGE("https://shop.sonapharmacy.com/cdn/shop/products/large_c74b53f8-f838-43e3-afb8-f2daf7fd0c4e.jpg?v=1607958159")</f>
        <v>#NAME?</v>
      </c>
      <c r="H3257" t="e">
        <f ca="1">IMAGE("https://m.media-amazon.com/images/I/7137UpaZ6jL._AC_UL320_.jpg")</f>
        <v>#NAME?</v>
      </c>
      <c r="I3257" t="s">
        <v>8355</v>
      </c>
      <c r="J3257">
        <v>27.95</v>
      </c>
      <c r="K3257" s="2" t="s">
        <v>8356</v>
      </c>
      <c r="L3257">
        <v>4.3</v>
      </c>
      <c r="M3257">
        <v>153</v>
      </c>
      <c r="O3257" t="s">
        <v>26</v>
      </c>
      <c r="P3257" t="s">
        <v>39</v>
      </c>
      <c r="Q3257" t="s">
        <v>8357</v>
      </c>
    </row>
    <row r="3258" spans="1:17" ht="15.75" x14ac:dyDescent="0.25">
      <c r="A3258" s="3" t="str">
        <f>HYPERLINK("https://shop.sonapharmacy.com/products/aveeno%C2%AE-baby-eczema-therapy-soothing-bath-treatment-5-packets", "https://shop.sonapharmacy.com/products/aveeno%C2%AE-baby-eczema-therapy-soothing-bath-treatment-5-packets")</f>
        <v>https://shop.sonapharmacy.com/products/aveeno%C2%AE-baby-eczema-therapy-soothing-bath-treatment-5-packets</v>
      </c>
      <c r="B3258" s="3" t="str">
        <f>HYPERLINK("https://shop.sonapharmacy.com/products/aveeno%c2%ae-baby-eczema-therapy-soothing-bath-treatment-5-packets", "https://shop.sonapharmacy.com/products/aveeno%c2%ae-baby-eczema-therapy-soothing-bath-treatment-5-packets")</f>
        <v>https://shop.sonapharmacy.com/products/aveeno%c2%ae-baby-eczema-therapy-soothing-bath-treatment-5-packets</v>
      </c>
      <c r="C3258" t="s">
        <v>8358</v>
      </c>
      <c r="D3258" t="s">
        <v>8359</v>
      </c>
      <c r="E3258" s="3" t="str">
        <f>HYPERLINK("https://www.amazon.com/Aveeno-Baby-Treatment-Soothing-3-75OZ/dp/B00KOA214Y/ref=sr_1_2?keywords=Aveeno%C2%AE+Baby+Eczema+Therapy+Soothing+Bath+Treatment+5+Packets&amp;qid=1695260069&amp;sr=8-2", "https://www.amazon.com/Aveeno-Baby-Treatment-Soothing-3-75OZ/dp/B00KOA214Y/ref=sr_1_2?keywords=Aveeno%C2%AE+Baby+Eczema+Therapy+Soothing+Bath+Treatment+5+Packets&amp;qid=1695260069&amp;sr=8-2")</f>
        <v>https://www.amazon.com/Aveeno-Baby-Treatment-Soothing-3-75OZ/dp/B00KOA214Y/ref=sr_1_2?keywords=Aveeno%C2%AE+Baby+Eczema+Therapy+Soothing+Bath+Treatment+5+Packets&amp;qid=1695260069&amp;sr=8-2</v>
      </c>
      <c r="F3258" t="s">
        <v>8360</v>
      </c>
      <c r="G3258" t="e">
        <f ca="1">IMAGE("https://shop.sonapharmacy.com/cdn/shop/products/a729c548-0d9f-4d0f-8daa-78868f96e785_1.83bc2f43df44df9a1f4d283cda01793e.jpg?v=1608487310")</f>
        <v>#NAME?</v>
      </c>
      <c r="H3258" t="e">
        <f ca="1">IMAGE("https://m.media-amazon.com/images/I/51Kwc+OU11L._AC_UL320_.jpg")</f>
        <v>#NAME?</v>
      </c>
      <c r="I3258" t="s">
        <v>8361</v>
      </c>
      <c r="J3258">
        <v>77.209999999999994</v>
      </c>
      <c r="K3258" s="2" t="s">
        <v>8362</v>
      </c>
      <c r="L3258">
        <v>3.9</v>
      </c>
      <c r="M3258">
        <v>2</v>
      </c>
      <c r="O3258" t="s">
        <v>26</v>
      </c>
      <c r="P3258" t="s">
        <v>39</v>
      </c>
      <c r="Q3258" t="s">
        <v>8363</v>
      </c>
    </row>
    <row r="3259" spans="1:17" ht="15.75" x14ac:dyDescent="0.25">
      <c r="A3259" s="3" t="str">
        <f>HYPERLINK("https://shop.sonapharmacy.com/products/accu-chek-glucose-guide-control-solution", "https://shop.sonapharmacy.com/products/accu-chek-glucose-guide-control-solution")</f>
        <v>https://shop.sonapharmacy.com/products/accu-chek-glucose-guide-control-solution</v>
      </c>
      <c r="B3259" s="3" t="str">
        <f>HYPERLINK("https://shop.sonapharmacy.com/products/accu-chek-glucose-guide-control-solution", "https://shop.sonapharmacy.com/products/accu-chek-glucose-guide-control-solution")</f>
        <v>https://shop.sonapharmacy.com/products/accu-chek-glucose-guide-control-solution</v>
      </c>
      <c r="C3259" t="s">
        <v>8186</v>
      </c>
      <c r="D3259" t="s">
        <v>8364</v>
      </c>
      <c r="E3259" s="3" t="str">
        <f>HYPERLINK("https://www.amazon.com/Accu-Chek-Diabetes-SoftClix-Softclix-Solution/dp/B08GP43SFP/ref=sr_1_7?keywords=Accu-Chek+Glucose+Guide+Control+Solution&amp;qid=1695260010&amp;sr=8-7", "https://www.amazon.com/Accu-Chek-Diabetes-SoftClix-Softclix-Solution/dp/B08GP43SFP/ref=sr_1_7?keywords=Accu-Chek+Glucose+Guide+Control+Solution&amp;qid=1695260010&amp;sr=8-7")</f>
        <v>https://www.amazon.com/Accu-Chek-Diabetes-SoftClix-Softclix-Solution/dp/B08GP43SFP/ref=sr_1_7?keywords=Accu-Chek+Glucose+Guide+Control+Solution&amp;qid=1695260010&amp;sr=8-7</v>
      </c>
      <c r="F3259" t="s">
        <v>8365</v>
      </c>
      <c r="G3259" t="e">
        <f ca="1">IMAGE("https://shop.sonapharmacy.com/cdn/shop/products/Accu-ChekGlucoseGuideControlSolution.jpg?v=1594224961")</f>
        <v>#NAME?</v>
      </c>
      <c r="H3259" t="e">
        <f ca="1">IMAGE("https://m.media-amazon.com/images/I/61kUuJs+3UL._AC_UL320_.jpg")</f>
        <v>#NAME?</v>
      </c>
      <c r="I3259" t="s">
        <v>8189</v>
      </c>
      <c r="J3259">
        <v>90</v>
      </c>
      <c r="K3259" s="2" t="s">
        <v>8366</v>
      </c>
      <c r="L3259">
        <v>4.5999999999999996</v>
      </c>
      <c r="M3259">
        <v>3460</v>
      </c>
      <c r="O3259" t="s">
        <v>26</v>
      </c>
      <c r="P3259" t="s">
        <v>39</v>
      </c>
      <c r="Q3259" t="s">
        <v>8191</v>
      </c>
    </row>
    <row r="3260" spans="1:17" ht="15.75" x14ac:dyDescent="0.25">
      <c r="A3260" s="3" t="str">
        <f>HYPERLINK("https://shop.sonapharmacy.com/products/accu-chek-glucose-guide-control-solution", "https://shop.sonapharmacy.com/products/accu-chek-glucose-guide-control-solution")</f>
        <v>https://shop.sonapharmacy.com/products/accu-chek-glucose-guide-control-solution</v>
      </c>
      <c r="B3260" s="3" t="str">
        <f>HYPERLINK("https://shop.sonapharmacy.com/products/accu-chek-glucose-guide-control-solution", "https://shop.sonapharmacy.com/products/accu-chek-glucose-guide-control-solution")</f>
        <v>https://shop.sonapharmacy.com/products/accu-chek-glucose-guide-control-solution</v>
      </c>
      <c r="C3260" t="s">
        <v>8186</v>
      </c>
      <c r="D3260" t="s">
        <v>8367</v>
      </c>
      <c r="E3260" s="3" t="str">
        <f>HYPERLINK("https://www.amazon.com/Accu-Chek-Diabetes-Starter-FastClix-Solution/dp/B08GNRK2Y8/ref=sr_1_4?keywords=Accu-Chek+Glucose+Guide+Control+Solution&amp;qid=1695260010&amp;sr=8-4", "https://www.amazon.com/Accu-Chek-Diabetes-Starter-FastClix-Solution/dp/B08GNRK2Y8/ref=sr_1_4?keywords=Accu-Chek+Glucose+Guide+Control+Solution&amp;qid=1695260010&amp;sr=8-4")</f>
        <v>https://www.amazon.com/Accu-Chek-Diabetes-Starter-FastClix-Solution/dp/B08GNRK2Y8/ref=sr_1_4?keywords=Accu-Chek+Glucose+Guide+Control+Solution&amp;qid=1695260010&amp;sr=8-4</v>
      </c>
      <c r="F3260" t="s">
        <v>8368</v>
      </c>
      <c r="G3260" t="e">
        <f ca="1">IMAGE("https://shop.sonapharmacy.com/cdn/shop/products/Accu-ChekGlucoseGuideControlSolution.jpg?v=1594224961")</f>
        <v>#NAME?</v>
      </c>
      <c r="H3260" t="e">
        <f ca="1">IMAGE("https://m.media-amazon.com/images/I/61rQH7jyu9L._AC_UL320_.jpg")</f>
        <v>#NAME?</v>
      </c>
      <c r="I3260" t="s">
        <v>8189</v>
      </c>
      <c r="J3260">
        <v>90</v>
      </c>
      <c r="K3260" s="2" t="s">
        <v>8366</v>
      </c>
      <c r="L3260">
        <v>4.7</v>
      </c>
      <c r="M3260">
        <v>5272</v>
      </c>
      <c r="O3260" t="s">
        <v>26</v>
      </c>
      <c r="P3260" t="s">
        <v>39</v>
      </c>
      <c r="Q3260" t="s">
        <v>8191</v>
      </c>
    </row>
    <row r="3261" spans="1:17" ht="15.75" x14ac:dyDescent="0.25">
      <c r="A3261" s="3" t="str">
        <f>HYPERLINK("https://shop.sonapharmacy.com/products/carmex%C2%AE-classic-medicated-jar-lip-balm-0-25oz", "https://shop.sonapharmacy.com/products/carmex%C2%AE-classic-medicated-jar-lip-balm-0-25oz")</f>
        <v>https://shop.sonapharmacy.com/products/carmex%C2%AE-classic-medicated-jar-lip-balm-0-25oz</v>
      </c>
      <c r="B3261" s="3" t="str">
        <f>HYPERLINK("https://shop.sonapharmacy.com/products/carmex%c2%ae-classic-medicated-jar-lip-balm-0-25oz", "https://shop.sonapharmacy.com/products/carmex%c2%ae-classic-medicated-jar-lip-balm-0-25oz")</f>
        <v>https://shop.sonapharmacy.com/products/carmex%c2%ae-classic-medicated-jar-lip-balm-0-25oz</v>
      </c>
      <c r="C3261" t="s">
        <v>8234</v>
      </c>
      <c r="D3261" t="s">
        <v>8369</v>
      </c>
      <c r="E3261" s="3" t="str">
        <f>HYPERLINK("https://www.amazon.com/Carmex-Classic-Balm-Medicated-0-25/dp/B01AVKMW2W/ref=sr_1_1?keywords=Carmex%C2%AE+Classic+Medicated+Jar+Lip+Balm+0.25oz&amp;qid=1695260118&amp;sr=8-1", "https://www.amazon.com/Carmex-Classic-Balm-Medicated-0-25/dp/B01AVKMW2W/ref=sr_1_1?keywords=Carmex%C2%AE+Classic+Medicated+Jar+Lip+Balm+0.25oz&amp;qid=1695260118&amp;sr=8-1")</f>
        <v>https://www.amazon.com/Carmex-Classic-Balm-Medicated-0-25/dp/B01AVKMW2W/ref=sr_1_1?keywords=Carmex%C2%AE+Classic+Medicated+Jar+Lip+Balm+0.25oz&amp;qid=1695260118&amp;sr=8-1</v>
      </c>
      <c r="F3261" t="s">
        <v>8370</v>
      </c>
      <c r="G3261" t="e">
        <f ca="1">IMAGE("https://shop.sonapharmacy.com/cdn/shop/products/08307811311.jpg?v=1608231565")</f>
        <v>#NAME?</v>
      </c>
      <c r="H3261" t="e">
        <f ca="1">IMAGE("https://m.media-amazon.com/images/I/61CCRUSSrcL._AC_UL320_.jpg")</f>
        <v>#NAME?</v>
      </c>
      <c r="I3261" t="s">
        <v>8076</v>
      </c>
      <c r="J3261">
        <v>19.489999999999998</v>
      </c>
      <c r="K3261" s="2" t="s">
        <v>8371</v>
      </c>
      <c r="L3261">
        <v>3.9</v>
      </c>
      <c r="M3261">
        <v>12</v>
      </c>
      <c r="O3261" t="s">
        <v>26</v>
      </c>
      <c r="P3261" t="s">
        <v>39</v>
      </c>
      <c r="Q3261" t="s">
        <v>8238</v>
      </c>
    </row>
    <row r="3262" spans="1:17" ht="15.75" x14ac:dyDescent="0.25">
      <c r="A3262" s="3" t="str">
        <f>HYPERLINK("https://shop.sonapharmacy.com/products/aspercreme-pain-relieving-creme", "https://shop.sonapharmacy.com/products/aspercreme-pain-relieving-creme")</f>
        <v>https://shop.sonapharmacy.com/products/aspercreme-pain-relieving-creme</v>
      </c>
      <c r="B3262" s="3" t="str">
        <f>HYPERLINK("https://shop.sonapharmacy.com/products/aspercreme-pain-relieving-creme", "https://shop.sonapharmacy.com/products/aspercreme-pain-relieving-creme")</f>
        <v>https://shop.sonapharmacy.com/products/aspercreme-pain-relieving-creme</v>
      </c>
      <c r="C3262" t="s">
        <v>8372</v>
      </c>
      <c r="D3262" t="s">
        <v>8373</v>
      </c>
      <c r="E3262" s="3" t="str">
        <f>HYPERLINK("https://www.amazon.com/ASPERCREME-Pain-Relieving-Creme-Pack/dp/B01IAI4A9K/ref=sr_1_6?keywords=Aspercreme+Pain+Relieving+Creme&amp;qid=1695260061&amp;sr=8-6", "https://www.amazon.com/ASPERCREME-Pain-Relieving-Creme-Pack/dp/B01IAI4A9K/ref=sr_1_6?keywords=Aspercreme+Pain+Relieving+Creme&amp;qid=1695260061&amp;sr=8-6")</f>
        <v>https://www.amazon.com/ASPERCREME-Pain-Relieving-Creme-Pack/dp/B01IAI4A9K/ref=sr_1_6?keywords=Aspercreme+Pain+Relieving+Creme&amp;qid=1695260061&amp;sr=8-6</v>
      </c>
      <c r="F3262" t="s">
        <v>8374</v>
      </c>
      <c r="G3262" t="e">
        <f ca="1">IMAGE("https://shop.sonapharmacy.com/cdn/shop/products/71L3ZWcemAL._AC_SL1280.jpg?v=1611192722")</f>
        <v>#NAME?</v>
      </c>
      <c r="H3262" t="e">
        <f ca="1">IMAGE("https://m.media-amazon.com/images/I/61k3ZUPunuL._AC_UL320_.jpg")</f>
        <v>#NAME?</v>
      </c>
      <c r="I3262" t="s">
        <v>8341</v>
      </c>
      <c r="J3262">
        <v>69.989999999999995</v>
      </c>
      <c r="K3262" s="2" t="s">
        <v>8375</v>
      </c>
      <c r="L3262">
        <v>4.5999999999999996</v>
      </c>
      <c r="M3262">
        <v>34</v>
      </c>
      <c r="O3262" t="s">
        <v>26</v>
      </c>
      <c r="P3262" t="s">
        <v>39</v>
      </c>
      <c r="Q3262" t="s">
        <v>8376</v>
      </c>
    </row>
    <row r="3263" spans="1:17" ht="15.75" x14ac:dyDescent="0.25">
      <c r="A3263" s="3" t="str">
        <f>HYPERLINK("https://shop.sonapharmacy.com/products/advil-200-mg-ibuprofen-tablets", "https://shop.sonapharmacy.com/products/advil-200-mg-ibuprofen-tablets")</f>
        <v>https://shop.sonapharmacy.com/products/advil-200-mg-ibuprofen-tablets</v>
      </c>
      <c r="B3263" s="3" t="str">
        <f>HYPERLINK("https://shop.sonapharmacy.com/products/advil-200-mg-ibuprofen-tablets", "https://shop.sonapharmacy.com/products/advil-200-mg-ibuprofen-tablets")</f>
        <v>https://shop.sonapharmacy.com/products/advil-200-mg-ibuprofen-tablets</v>
      </c>
      <c r="C3263" t="s">
        <v>8377</v>
      </c>
      <c r="D3263" t="s">
        <v>8378</v>
      </c>
      <c r="E3263" s="3" t="str">
        <f>HYPERLINK("https://www.amazon.com/Advil-Ibuprofen-200mg-Coated-Tablets/dp/B00EZWUG4O/ref=sr_1_9?keywords=Advil+200mg+Ibuprofen+Tablets&amp;qid=1695260034&amp;sr=8-9", "https://www.amazon.com/Advil-Ibuprofen-200mg-Coated-Tablets/dp/B00EZWUG4O/ref=sr_1_9?keywords=Advil+200mg+Ibuprofen+Tablets&amp;qid=1695260034&amp;sr=8-9")</f>
        <v>https://www.amazon.com/Advil-Ibuprofen-200mg-Coated-Tablets/dp/B00EZWUG4O/ref=sr_1_9?keywords=Advil+200mg+Ibuprofen+Tablets&amp;qid=1695260034&amp;sr=8-9</v>
      </c>
      <c r="F3263" t="s">
        <v>8379</v>
      </c>
      <c r="G3263" t="e">
        <f ca="1">IMAGE("https://shop.sonapharmacy.com/cdn/shop/products/71csOFCEiJL._SL1200.jpg?v=1611188571")</f>
        <v>#NAME?</v>
      </c>
      <c r="H3263" t="e">
        <f ca="1">IMAGE("https://m.media-amazon.com/images/I/61R9UhRvMAL._AC_UL320_.jpg")</f>
        <v>#NAME?</v>
      </c>
      <c r="I3263" t="s">
        <v>8300</v>
      </c>
      <c r="J3263">
        <v>48</v>
      </c>
      <c r="K3263" s="2" t="s">
        <v>8380</v>
      </c>
      <c r="L3263">
        <v>4.9000000000000004</v>
      </c>
      <c r="M3263">
        <v>39</v>
      </c>
      <c r="O3263" t="s">
        <v>26</v>
      </c>
      <c r="P3263" t="s">
        <v>39</v>
      </c>
      <c r="Q3263" t="s">
        <v>8381</v>
      </c>
    </row>
    <row r="3264" spans="1:17" ht="15.75" x14ac:dyDescent="0.25">
      <c r="A3264" s="3" t="str">
        <f>HYPERLINK("https://shop.sonapharmacy.com/products/airborne-original-immune-support-supplement-chewable-tablets", "https://shop.sonapharmacy.com/products/airborne-original-immune-support-supplement-chewable-tablets")</f>
        <v>https://shop.sonapharmacy.com/products/airborne-original-immune-support-supplement-chewable-tablets</v>
      </c>
      <c r="B3264" s="3" t="str">
        <f>HYPERLINK("https://shop.sonapharmacy.com/products/airborne-original-immune-support-supplement-chewable-tablets", "https://shop.sonapharmacy.com/products/airborne-original-immune-support-supplement-chewable-tablets")</f>
        <v>https://shop.sonapharmacy.com/products/airborne-original-immune-support-supplement-chewable-tablets</v>
      </c>
      <c r="C3264" t="s">
        <v>8382</v>
      </c>
      <c r="D3264" t="s">
        <v>8383</v>
      </c>
      <c r="E3264" s="3" t="str">
        <f>HYPERLINK("https://www.amazon.com/Airborne-Chews-Zinc-32-Pack/dp/B08WHMQD7B/ref=sr_1_3?keywords=Airborne+Original+Immune+Support+Supplement+Chewable+Tablets+32ct.&amp;qid=1695260010&amp;sr=8-3", "https://www.amazon.com/Airborne-Chews-Zinc-32-Pack/dp/B08WHMQD7B/ref=sr_1_3?keywords=Airborne+Original+Immune+Support+Supplement+Chewable+Tablets+32ct.&amp;qid=1695260010&amp;sr=8-3")</f>
        <v>https://www.amazon.com/Airborne-Chews-Zinc-32-Pack/dp/B08WHMQD7B/ref=sr_1_3?keywords=Airborne+Original+Immune+Support+Supplement+Chewable+Tablets+32ct.&amp;qid=1695260010&amp;sr=8-3</v>
      </c>
      <c r="F3264" t="s">
        <v>8384</v>
      </c>
      <c r="G3264" t="e">
        <f ca="1">IMAGE("https://shop.sonapharmacy.com/cdn/shop/products/Untitled-97.jpg?v=1611169249")</f>
        <v>#NAME?</v>
      </c>
      <c r="H3264" t="e">
        <f ca="1">IMAGE("https://m.media-amazon.com/images/I/818GsKGogxL._AC_UL320_.jpg")</f>
        <v>#NAME?</v>
      </c>
      <c r="I3264" t="s">
        <v>8385</v>
      </c>
      <c r="J3264">
        <v>83.44</v>
      </c>
      <c r="K3264" s="2" t="s">
        <v>8386</v>
      </c>
      <c r="L3264">
        <v>5</v>
      </c>
      <c r="M3264">
        <v>1</v>
      </c>
      <c r="O3264" t="s">
        <v>26</v>
      </c>
      <c r="P3264" t="s">
        <v>39</v>
      </c>
      <c r="Q3264" t="s">
        <v>8387</v>
      </c>
    </row>
    <row r="3265" spans="1:17" ht="15.75" x14ac:dyDescent="0.25">
      <c r="A3265" s="3" t="str">
        <f>HYPERLINK("https://shop.sonapharmacy.com/products/apex%C2%AE-medicine-spoon-10ml", "https://shop.sonapharmacy.com/products/apex%C2%AE-medicine-spoon-10ml")</f>
        <v>https://shop.sonapharmacy.com/products/apex%C2%AE-medicine-spoon-10ml</v>
      </c>
      <c r="B3265" s="3" t="str">
        <f>HYPERLINK("https://shop.sonapharmacy.com/products/apex%c2%ae-medicine-spoon-10ml", "https://shop.sonapharmacy.com/products/apex%c2%ae-medicine-spoon-10ml")</f>
        <v>https://shop.sonapharmacy.com/products/apex%c2%ae-medicine-spoon-10ml</v>
      </c>
      <c r="C3265" t="s">
        <v>8388</v>
      </c>
      <c r="D3265" t="s">
        <v>8389</v>
      </c>
      <c r="E3265" s="3" t="str">
        <f>HYPERLINK("https://www.amazon.com/Apex-Medicine-Spoon-10mL-Pack/dp/B01JPYEWG4/ref=sr_1_1?keywords=Apex+Medicine+Spoon+10ml.&amp;qid=1695260008&amp;sr=8-1", "https://www.amazon.com/Apex-Medicine-Spoon-10mL-Pack/dp/B01JPYEWG4/ref=sr_1_1?keywords=Apex+Medicine+Spoon+10ml.&amp;qid=1695260008&amp;sr=8-1")</f>
        <v>https://www.amazon.com/Apex-Medicine-Spoon-10mL-Pack/dp/B01JPYEWG4/ref=sr_1_1?keywords=Apex+Medicine+Spoon+10ml.&amp;qid=1695260008&amp;sr=8-1</v>
      </c>
      <c r="F3265" t="s">
        <v>8390</v>
      </c>
      <c r="G3265" t="e">
        <f ca="1">IMAGE("https://shop.sonapharmacy.com/cdn/shop/products/318g5JQyUoL._AC.jpg?v=1609960936")</f>
        <v>#NAME?</v>
      </c>
      <c r="H3265" t="e">
        <f ca="1">IMAGE("https://m.media-amazon.com/images/I/318g5JQyUoL._AC_UL320_.jpg")</f>
        <v>#NAME?</v>
      </c>
      <c r="I3265" t="s">
        <v>8294</v>
      </c>
      <c r="J3265">
        <v>11.25</v>
      </c>
      <c r="K3265" s="2" t="s">
        <v>8391</v>
      </c>
      <c r="L3265">
        <v>4.3</v>
      </c>
      <c r="M3265">
        <v>45</v>
      </c>
      <c r="O3265" t="s">
        <v>26</v>
      </c>
      <c r="P3265" t="s">
        <v>39</v>
      </c>
      <c r="Q3265" t="s">
        <v>8392</v>
      </c>
    </row>
    <row r="3266" spans="1:17" ht="15.75" x14ac:dyDescent="0.25">
      <c r="A3266" s="3" t="str">
        <f>HYPERLINK("https://shop.sonapharmacy.com/products/gold-bond%C2%AE-ultimate-comfort-body-powder-10oz", "https://shop.sonapharmacy.com/products/gold-bond%C2%AE-ultimate-comfort-body-powder-10oz")</f>
        <v>https://shop.sonapharmacy.com/products/gold-bond%C2%AE-ultimate-comfort-body-powder-10oz</v>
      </c>
      <c r="B3266" s="3" t="str">
        <f>HYPERLINK("https://shop.sonapharmacy.com/products/gold-bond%c2%ae-ultimate-comfort-body-powder-10oz", "https://shop.sonapharmacy.com/products/gold-bond%c2%ae-ultimate-comfort-body-powder-10oz")</f>
        <v>https://shop.sonapharmacy.com/products/gold-bond%c2%ae-ultimate-comfort-body-powder-10oz</v>
      </c>
      <c r="C3266" t="s">
        <v>8256</v>
      </c>
      <c r="D3266" t="s">
        <v>8393</v>
      </c>
      <c r="E3266" s="3" t="str">
        <f>HYPERLINK("https://www.amazon.com/Gold-Bond-Ultimate-Comfort-Powder/dp/B01IAIEOEQ/ref=sr_1_5?keywords=Gold+Bond%C2%AE+Ultimate+Comfort+Body+Powder+10oz.&amp;qid=1695260302&amp;sr=8-5", "https://www.amazon.com/Gold-Bond-Ultimate-Comfort-Powder/dp/B01IAIEOEQ/ref=sr_1_5?keywords=Gold+Bond%C2%AE+Ultimate+Comfort+Body+Powder+10oz.&amp;qid=1695260302&amp;sr=8-5")</f>
        <v>https://www.amazon.com/Gold-Bond-Ultimate-Comfort-Powder/dp/B01IAIEOEQ/ref=sr_1_5?keywords=Gold+Bond%C2%AE+Ultimate+Comfort+Body+Powder+10oz.&amp;qid=1695260302&amp;sr=8-5</v>
      </c>
      <c r="F3266" t="s">
        <v>8394</v>
      </c>
      <c r="G3266" t="e">
        <f ca="1">IMAGE("https://shop.sonapharmacy.com/cdn/shop/products/7e150152-a877-4134-a992-e91e09529ec5.caa68ecd741f74132fd920655efb3f00.jpg?v=1608489105")</f>
        <v>#NAME?</v>
      </c>
      <c r="H3266" t="e">
        <f ca="1">IMAGE("https://m.media-amazon.com/images/I/51aB10HHkKL._AC_UL320_.jpg")</f>
        <v>#NAME?</v>
      </c>
      <c r="I3266" t="s">
        <v>8070</v>
      </c>
      <c r="J3266">
        <v>58.39</v>
      </c>
      <c r="K3266" s="2" t="s">
        <v>8395</v>
      </c>
      <c r="L3266">
        <v>5</v>
      </c>
      <c r="M3266">
        <v>6</v>
      </c>
      <c r="O3266" t="s">
        <v>136</v>
      </c>
      <c r="P3266" t="s">
        <v>39</v>
      </c>
      <c r="Q3266" t="s">
        <v>8260</v>
      </c>
    </row>
    <row r="3267" spans="1:17" ht="15.75" x14ac:dyDescent="0.25">
      <c r="A3267"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B3267"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C3267" t="s">
        <v>8040</v>
      </c>
      <c r="D3267" t="s">
        <v>8396</v>
      </c>
      <c r="E3267" s="3" t="str">
        <f>HYPERLINK("https://www.amazon.com/Colgate-Cavity-Protection-Toothpaste-Regular/dp/B0CB673MB6/ref=sr_1_6?keywords=Colgate%C2%AE+Regular+Flavor+Cavity+Protection+Toothpaste+1oz.&amp;qid=1695260151&amp;sr=8-6", "https://www.amazon.com/Colgate-Cavity-Protection-Toothpaste-Regular/dp/B0CB673MB6/ref=sr_1_6?keywords=Colgate%C2%AE+Regular+Flavor+Cavity+Protection+Toothpaste+1oz.&amp;qid=1695260151&amp;sr=8-6")</f>
        <v>https://www.amazon.com/Colgate-Cavity-Protection-Toothpaste-Regular/dp/B0CB673MB6/ref=sr_1_6?keywords=Colgate%C2%AE+Regular+Flavor+Cavity+Protection+Toothpaste+1oz.&amp;qid=1695260151&amp;sr=8-6</v>
      </c>
      <c r="F3267" t="s">
        <v>8397</v>
      </c>
      <c r="G3267" t="e">
        <f ca="1">IMAGE("https://shop.sonapharmacy.com/cdn/shop/products/22e7c50a-9344-4f9c-96af-3a2549d6ce02_7.1d4f47662a946d4e424dc54f6c6c8eed.png?v=1608651728")</f>
        <v>#NAME?</v>
      </c>
      <c r="H3267" t="e">
        <f ca="1">IMAGE("https://m.media-amazon.com/images/I/51+FnhcMlsL._AC_UL320_.jpg")</f>
        <v>#NAME?</v>
      </c>
      <c r="I3267" t="s">
        <v>8043</v>
      </c>
      <c r="J3267">
        <v>8.5399999999999991</v>
      </c>
      <c r="K3267" s="2" t="s">
        <v>8398</v>
      </c>
      <c r="L3267">
        <v>3.1</v>
      </c>
      <c r="M3267">
        <v>4</v>
      </c>
      <c r="O3267" t="s">
        <v>26</v>
      </c>
      <c r="P3267" t="s">
        <v>39</v>
      </c>
      <c r="Q3267" t="s">
        <v>8045</v>
      </c>
    </row>
    <row r="3268" spans="1:17" ht="15.75" x14ac:dyDescent="0.25">
      <c r="A3268" s="3" t="str">
        <f>HYPERLINK("https://shop.sonapharmacy.com/products/aspercreme-pain-relieving-creme", "https://shop.sonapharmacy.com/products/aspercreme-pain-relieving-creme")</f>
        <v>https://shop.sonapharmacy.com/products/aspercreme-pain-relieving-creme</v>
      </c>
      <c r="B3268" s="3" t="str">
        <f>HYPERLINK("https://shop.sonapharmacy.com/products/aspercreme-pain-relieving-creme", "https://shop.sonapharmacy.com/products/aspercreme-pain-relieving-creme")</f>
        <v>https://shop.sonapharmacy.com/products/aspercreme-pain-relieving-creme</v>
      </c>
      <c r="C3268" t="s">
        <v>8372</v>
      </c>
      <c r="D3268" t="s">
        <v>8399</v>
      </c>
      <c r="E3268" s="3" t="str">
        <f>HYPERLINK("https://www.amazon.com/Aspercreme-Pain-Relieving-Creme-Pack/dp/B00CJEPY4W/ref=sr_1_10?keywords=Aspercreme+Pain+Relieving+Creme&amp;qid=1695260061&amp;sr=8-10", "https://www.amazon.com/Aspercreme-Pain-Relieving-Creme-Pack/dp/B00CJEPY4W/ref=sr_1_10?keywords=Aspercreme+Pain+Relieving+Creme&amp;qid=1695260061&amp;sr=8-10")</f>
        <v>https://www.amazon.com/Aspercreme-Pain-Relieving-Creme-Pack/dp/B00CJEPY4W/ref=sr_1_10?keywords=Aspercreme+Pain+Relieving+Creme&amp;qid=1695260061&amp;sr=8-10</v>
      </c>
      <c r="F3268" t="s">
        <v>8400</v>
      </c>
      <c r="G3268" t="e">
        <f ca="1">IMAGE("https://shop.sonapharmacy.com/cdn/shop/products/71L3ZWcemAL._AC_SL1280.jpg?v=1611192722")</f>
        <v>#NAME?</v>
      </c>
      <c r="H3268" t="e">
        <f ca="1">IMAGE("https://m.media-amazon.com/images/I/61k3ZUPunuL._AC_UL320_.jpg")</f>
        <v>#NAME?</v>
      </c>
      <c r="I3268" t="s">
        <v>8341</v>
      </c>
      <c r="J3268">
        <v>68.349999999999994</v>
      </c>
      <c r="K3268" s="2" t="s">
        <v>8401</v>
      </c>
      <c r="L3268">
        <v>3.9</v>
      </c>
      <c r="M3268">
        <v>2</v>
      </c>
      <c r="O3268" t="s">
        <v>26</v>
      </c>
      <c r="P3268" t="s">
        <v>39</v>
      </c>
      <c r="Q3268" t="s">
        <v>8376</v>
      </c>
    </row>
    <row r="3269" spans="1:17" ht="15.75" x14ac:dyDescent="0.25">
      <c r="A3269" s="3" t="str">
        <f>HYPERLINK("https://shop.sonapharmacy.com/products/reach%C2%AE-mint-waxed-floss-55yds", "https://shop.sonapharmacy.com/products/reach%C2%AE-mint-waxed-floss-55yds")</f>
        <v>https://shop.sonapharmacy.com/products/reach%C2%AE-mint-waxed-floss-55yds</v>
      </c>
      <c r="B3269" s="3" t="str">
        <f>HYPERLINK("https://shop.sonapharmacy.com/products/reach%c2%ae-mint-waxed-floss-55yds", "https://shop.sonapharmacy.com/products/reach%c2%ae-mint-waxed-floss-55yds")</f>
        <v>https://shop.sonapharmacy.com/products/reach%c2%ae-mint-waxed-floss-55yds</v>
      </c>
      <c r="C3269" t="s">
        <v>8046</v>
      </c>
      <c r="D3269" t="s">
        <v>8402</v>
      </c>
      <c r="E3269" s="3" t="str">
        <f>HYPERLINK("https://www.amazon.com/REACH-Mint-Waxed-Floss-Yards/dp/B0156ZDORO/ref=sr_1_4?keywords=Reach%C2%AE+Mint+Waxed+Floss&amp;qid=1695260669&amp;sr=8-4", "https://www.amazon.com/REACH-Mint-Waxed-Floss-Yards/dp/B0156ZDORO/ref=sr_1_4?keywords=Reach%C2%AE+Mint+Waxed+Floss&amp;qid=1695260669&amp;sr=8-4")</f>
        <v>https://www.amazon.com/REACH-Mint-Waxed-Floss-Yards/dp/B0156ZDORO/ref=sr_1_4?keywords=Reach%C2%AE+Mint+Waxed+Floss&amp;qid=1695260669&amp;sr=8-4</v>
      </c>
      <c r="F3269" t="s">
        <v>8403</v>
      </c>
      <c r="G3269" t="e">
        <f ca="1">IMAGE("https://shop.sonapharmacy.com/cdn/shop/products/reach_mint_waxed_floss.png?v=1608573621")</f>
        <v>#NAME?</v>
      </c>
      <c r="H3269" t="e">
        <f ca="1">IMAGE("https://m.media-amazon.com/images/I/61vHcZG7DpL._AC_UL320_.jpg")</f>
        <v>#NAME?</v>
      </c>
      <c r="I3269" t="s">
        <v>8049</v>
      </c>
      <c r="J3269">
        <v>12.38</v>
      </c>
      <c r="K3269" s="2" t="s">
        <v>8404</v>
      </c>
      <c r="L3269">
        <v>4.8</v>
      </c>
      <c r="M3269">
        <v>198</v>
      </c>
      <c r="O3269" t="s">
        <v>26</v>
      </c>
      <c r="P3269" t="s">
        <v>39</v>
      </c>
      <c r="Q3269" t="s">
        <v>8051</v>
      </c>
    </row>
    <row r="3270" spans="1:17" ht="15.75" x14ac:dyDescent="0.25">
      <c r="A3270" s="3" t="str">
        <f>HYPERLINK("https://shop.sonapharmacy.com/products/johnsons%C2%AE-aloe-vitamin-e-powder", "https://shop.sonapharmacy.com/products/johnsons%C2%AE-aloe-vitamin-e-powder")</f>
        <v>https://shop.sonapharmacy.com/products/johnsons%C2%AE-aloe-vitamin-e-powder</v>
      </c>
      <c r="B3270" s="3" t="str">
        <f>HYPERLINK("https://shop.sonapharmacy.com/products/johnsons%c2%ae-aloe-vitamin-e-powder", "https://shop.sonapharmacy.com/products/johnsons%c2%ae-aloe-vitamin-e-powder")</f>
        <v>https://shop.sonapharmacy.com/products/johnsons%c2%ae-aloe-vitamin-e-powder</v>
      </c>
      <c r="C3270" t="s">
        <v>8082</v>
      </c>
      <c r="D3270" t="s">
        <v>8405</v>
      </c>
      <c r="E3270" s="3" t="str">
        <f>HYPERLINK("https://www.amazon.com/Johnsons-Powder-Soothing-Vitamin-Ounce/dp/B00G4EQJME/ref=sr_1_8?keywords=Johnson%27s%C2%AE+Aloe+%26+Vitamin+E+Powder&amp;qid=1695260488&amp;sr=8-8", "https://www.amazon.com/Johnsons-Powder-Soothing-Vitamin-Ounce/dp/B00G4EQJME/ref=sr_1_8?keywords=Johnson%27s%C2%AE+Aloe+%26+Vitamin+E+Powder&amp;qid=1695260488&amp;sr=8-8")</f>
        <v>https://www.amazon.com/Johnsons-Powder-Soothing-Vitamin-Ounce/dp/B00G4EQJME/ref=sr_1_8?keywords=Johnson%27s%C2%AE+Aloe+%26+Vitamin+E+Powder&amp;qid=1695260488&amp;sr=8-8</v>
      </c>
      <c r="F3270" t="s">
        <v>8406</v>
      </c>
      <c r="G3270" t="e">
        <f ca="1">IMAGE("https://shop.sonapharmacy.com/cdn/shop/products/41ZWPhAz-CL._AC_SL1000.jpg?v=1609256209")</f>
        <v>#NAME?</v>
      </c>
      <c r="H3270" t="e">
        <f ca="1">IMAGE("https://m.media-amazon.com/images/I/51KwdfXCZnL._AC_UL320_.jpg")</f>
        <v>#NAME?</v>
      </c>
      <c r="I3270" t="s">
        <v>8034</v>
      </c>
      <c r="J3270">
        <v>24.2</v>
      </c>
      <c r="K3270" s="2" t="s">
        <v>8407</v>
      </c>
      <c r="L3270">
        <v>4.5999999999999996</v>
      </c>
      <c r="M3270">
        <v>135</v>
      </c>
      <c r="O3270" t="s">
        <v>26</v>
      </c>
      <c r="P3270" t="s">
        <v>39</v>
      </c>
      <c r="Q3270" t="s">
        <v>8086</v>
      </c>
    </row>
    <row r="3271" spans="1:17" ht="15.75" x14ac:dyDescent="0.25">
      <c r="A3271" s="3" t="str">
        <f>HYPERLINK("https://shop.sonapharmacy.com/products/eos%C2%AE-strawberry-sorbet-lip-balm", "https://shop.sonapharmacy.com/products/eos%C2%AE-strawberry-sorbet-lip-balm")</f>
        <v>https://shop.sonapharmacy.com/products/eos%C2%AE-strawberry-sorbet-lip-balm</v>
      </c>
      <c r="B3271" s="3" t="str">
        <f>HYPERLINK("https://shop.sonapharmacy.com/products/eos%c2%ae-strawberry-sorbet-lip-balm", "https://shop.sonapharmacy.com/products/eos%c2%ae-strawberry-sorbet-lip-balm")</f>
        <v>https://shop.sonapharmacy.com/products/eos%c2%ae-strawberry-sorbet-lip-balm</v>
      </c>
      <c r="C3271" t="s">
        <v>8408</v>
      </c>
      <c r="D3271" t="s">
        <v>8409</v>
      </c>
      <c r="E3271" s="3" t="str">
        <f>HYPERLINK("https://www.amazon.com/Balm-Strawberry-Size-Sorbet-Pack/dp/B00EZWS0WY/ref=sr_1_10?keywords=EOS%C2%AE+Strawberry+Sorbet+Lip+Balm&amp;qid=1695260249&amp;sr=8-10", "https://www.amazon.com/Balm-Strawberry-Size-Sorbet-Pack/dp/B00EZWS0WY/ref=sr_1_10?keywords=EOS%C2%AE+Strawberry+Sorbet+Lip+Balm&amp;qid=1695260249&amp;sr=8-10")</f>
        <v>https://www.amazon.com/Balm-Strawberry-Size-Sorbet-Pack/dp/B00EZWS0WY/ref=sr_1_10?keywords=EOS%C2%AE+Strawberry+Sorbet+Lip+Balm&amp;qid=1695260249&amp;sr=8-10</v>
      </c>
      <c r="F3271" t="s">
        <v>8410</v>
      </c>
      <c r="G3271" t="e">
        <f ca="1">IMAGE("https://shop.sonapharmacy.com/cdn/shop/products/892992002847-1a_VB__70684.1610588860.jpg?v=1610642796")</f>
        <v>#NAME?</v>
      </c>
      <c r="H3271" t="e">
        <f ca="1">IMAGE("https://m.media-amazon.com/images/I/61TmLaaXGhL._AC_UL320_.jpg")</f>
        <v>#NAME?</v>
      </c>
      <c r="I3271" t="s">
        <v>8411</v>
      </c>
      <c r="J3271">
        <v>31.24</v>
      </c>
      <c r="K3271" s="2" t="s">
        <v>8412</v>
      </c>
      <c r="L3271">
        <v>4.7</v>
      </c>
      <c r="M3271">
        <v>44</v>
      </c>
      <c r="O3271" t="s">
        <v>26</v>
      </c>
      <c r="P3271" t="s">
        <v>39</v>
      </c>
      <c r="Q3271" t="s">
        <v>8413</v>
      </c>
    </row>
    <row r="3272" spans="1:17" ht="15.75" x14ac:dyDescent="0.25">
      <c r="A3272" s="3" t="str">
        <f>HYPERLINK("https://shop.sonapharmacy.com/products/lemon-eucalyptus-essential-oil-5-oz", "https://shop.sonapharmacy.com/products/lemon-eucalyptus-essential-oil-5-oz")</f>
        <v>https://shop.sonapharmacy.com/products/lemon-eucalyptus-essential-oil-5-oz</v>
      </c>
      <c r="B3272" s="3" t="str">
        <f>HYPERLINK("https://shop.sonapharmacy.com/products/lemon-eucalyptus-essential-oil-5-oz", "https://shop.sonapharmacy.com/products/lemon-eucalyptus-essential-oil-5-oz")</f>
        <v>https://shop.sonapharmacy.com/products/lemon-eucalyptus-essential-oil-5-oz</v>
      </c>
      <c r="C3272" t="s">
        <v>8414</v>
      </c>
      <c r="D3272" t="s">
        <v>8415</v>
      </c>
      <c r="E3272" s="3" t="str">
        <f>HYPERLINK("https://www.amazon.com/Aura-Cacia-Essential-Eucalyptus-4-Ounces/dp/B000QE5M26/ref=sr_1_10?keywords=Aura+Cacia+Lemon+Eucalyptus+Essential+Oil+0.5+oz.&amp;qid=1695260029&amp;sr=8-10", "https://www.amazon.com/Aura-Cacia-Essential-Eucalyptus-4-Ounces/dp/B000QE5M26/ref=sr_1_10?keywords=Aura+Cacia+Lemon+Eucalyptus+Essential+Oil+0.5+oz.&amp;qid=1695260029&amp;sr=8-10")</f>
        <v>https://www.amazon.com/Aura-Cacia-Essential-Eucalyptus-4-Ounces/dp/B000QE5M26/ref=sr_1_10?keywords=Aura+Cacia+Lemon+Eucalyptus+Essential+Oil+0.5+oz.&amp;qid=1695260029&amp;sr=8-10</v>
      </c>
      <c r="F3272" t="s">
        <v>8416</v>
      </c>
      <c r="G3272" t="e">
        <f ca="1">IMAGE("https://shop.sonapharmacy.com/cdn/shop/products/1_aura-cacia-lemon-eucalyptus-191285-front.jpg?v=1609358391")</f>
        <v>#NAME?</v>
      </c>
      <c r="H3272" t="e">
        <f ca="1">IMAGE("https://m.media-amazon.com/images/I/41JHScbnhLL._AC_UL320_.jpg")</f>
        <v>#NAME?</v>
      </c>
      <c r="I3272" t="s">
        <v>8417</v>
      </c>
      <c r="J3272">
        <v>43.99</v>
      </c>
      <c r="K3272" s="2" t="s">
        <v>8418</v>
      </c>
      <c r="L3272">
        <v>4.5999999999999996</v>
      </c>
      <c r="M3272">
        <v>98</v>
      </c>
      <c r="O3272" t="s">
        <v>26</v>
      </c>
      <c r="P3272" t="s">
        <v>39</v>
      </c>
      <c r="Q3272" t="s">
        <v>8419</v>
      </c>
    </row>
    <row r="3273" spans="1:17" ht="15.75" x14ac:dyDescent="0.25">
      <c r="A3273" s="3" t="str">
        <f>HYPERLINK("https://shop.sonapharmacy.com/products/biotene%C2%AE-dry-mouth-gentle-mint-moisturizing-spray-1-5fl-oz", "https://shop.sonapharmacy.com/products/biotene%C2%AE-dry-mouth-gentle-mint-moisturizing-spray-1-5fl-oz")</f>
        <v>https://shop.sonapharmacy.com/products/biotene%C2%AE-dry-mouth-gentle-mint-moisturizing-spray-1-5fl-oz</v>
      </c>
      <c r="B3273" s="3" t="str">
        <f>HYPERLINK("https://shop.sonapharmacy.com/products/biotene%c2%ae-dry-mouth-gentle-mint-moisturizing-spray-1-5fl-oz", "https://shop.sonapharmacy.com/products/biotene%c2%ae-dry-mouth-gentle-mint-moisturizing-spray-1-5fl-oz")</f>
        <v>https://shop.sonapharmacy.com/products/biotene%c2%ae-dry-mouth-gentle-mint-moisturizing-spray-1-5fl-oz</v>
      </c>
      <c r="C3273" t="s">
        <v>8420</v>
      </c>
      <c r="D3273" t="s">
        <v>8421</v>
      </c>
      <c r="E3273" s="3" t="str">
        <f>HYPERLINK("https://www.amazon.com/Biotene-Mouth-Moisturizing-Spray-Gentle/dp/B072899CXM/ref=sr_1_4?keywords=Biot%C3%A8ne%C2%AE+Dry+Mouth+Gentle+Mint+Moisturizing+Spray+1.5fl.+oz.&amp;qid=1695260113&amp;sr=8-4", "https://www.amazon.com/Biotene-Mouth-Moisturizing-Spray-Gentle/dp/B072899CXM/ref=sr_1_4?keywords=Biot%C3%A8ne%C2%AE+Dry+Mouth+Gentle+Mint+Moisturizing+Spray+1.5fl.+oz.&amp;qid=1695260113&amp;sr=8-4")</f>
        <v>https://www.amazon.com/Biotene-Mouth-Moisturizing-Spray-Gentle/dp/B072899CXM/ref=sr_1_4?keywords=Biot%C3%A8ne%C2%AE+Dry+Mouth+Gentle+Mint+Moisturizing+Spray+1.5fl.+oz.&amp;qid=1695260113&amp;sr=8-4</v>
      </c>
      <c r="F3273" t="s">
        <v>8422</v>
      </c>
      <c r="G3273" t="e">
        <f ca="1">IMAGE("https://shop.sonapharmacy.com/cdn/shop/products/71M3QsEo83L._SL1500.jpg?v=1609345495")</f>
        <v>#NAME?</v>
      </c>
      <c r="H3273" t="e">
        <f ca="1">IMAGE("https://m.media-amazon.com/images/I/61bqu904PRL._AC_UL320_.jpg")</f>
        <v>#NAME?</v>
      </c>
      <c r="I3273" t="s">
        <v>8423</v>
      </c>
      <c r="J3273">
        <v>75.989999999999995</v>
      </c>
      <c r="K3273" s="2" t="s">
        <v>8424</v>
      </c>
      <c r="L3273">
        <v>4.5</v>
      </c>
      <c r="M3273">
        <v>27</v>
      </c>
      <c r="O3273" t="s">
        <v>26</v>
      </c>
      <c r="P3273" t="s">
        <v>39</v>
      </c>
      <c r="Q3273" t="s">
        <v>8425</v>
      </c>
    </row>
    <row r="3274" spans="1:17" ht="15.75" x14ac:dyDescent="0.25">
      <c r="A3274" s="3" t="str">
        <f>HYPERLINK("https://shop.sonapharmacy.com/products/johnsons%C2%AE-aloe-vitamin-e-powder", "https://shop.sonapharmacy.com/products/johnsons%C2%AE-aloe-vitamin-e-powder")</f>
        <v>https://shop.sonapharmacy.com/products/johnsons%C2%AE-aloe-vitamin-e-powder</v>
      </c>
      <c r="B3274" s="3" t="str">
        <f>HYPERLINK("https://shop.sonapharmacy.com/products/johnsons%c2%ae-aloe-vitamin-e-powder", "https://shop.sonapharmacy.com/products/johnsons%c2%ae-aloe-vitamin-e-powder")</f>
        <v>https://shop.sonapharmacy.com/products/johnsons%c2%ae-aloe-vitamin-e-powder</v>
      </c>
      <c r="C3274" t="s">
        <v>8082</v>
      </c>
      <c r="D3274" t="s">
        <v>8426</v>
      </c>
      <c r="E3274" s="3" t="str">
        <f>HYPERLINK("https://www.amazon.com/Johnson-Cornstarch-Powder-Soothing-Vitamin/dp/B01IN5FT7C/ref=sr_1_10?keywords=Johnson%27s%C2%AE+Aloe+%26+Vitamin+E+Powder&amp;qid=1695260488&amp;sr=8-10", "https://www.amazon.com/Johnson-Cornstarch-Powder-Soothing-Vitamin/dp/B01IN5FT7C/ref=sr_1_10?keywords=Johnson%27s%C2%AE+Aloe+%26+Vitamin+E+Powder&amp;qid=1695260488&amp;sr=8-10")</f>
        <v>https://www.amazon.com/Johnson-Cornstarch-Powder-Soothing-Vitamin/dp/B01IN5FT7C/ref=sr_1_10?keywords=Johnson%27s%C2%AE+Aloe+%26+Vitamin+E+Powder&amp;qid=1695260488&amp;sr=8-10</v>
      </c>
      <c r="F3274" t="s">
        <v>8427</v>
      </c>
      <c r="G3274" t="e">
        <f ca="1">IMAGE("https://shop.sonapharmacy.com/cdn/shop/products/41ZWPhAz-CL._AC_SL1000.jpg?v=1609256209")</f>
        <v>#NAME?</v>
      </c>
      <c r="H3274" t="e">
        <f ca="1">IMAGE("https://m.media-amazon.com/images/I/61GEvunL1SL._AC_UL320_.jpg")</f>
        <v>#NAME?</v>
      </c>
      <c r="I3274" t="s">
        <v>8034</v>
      </c>
      <c r="J3274">
        <v>23.89</v>
      </c>
      <c r="K3274" s="2" t="s">
        <v>8428</v>
      </c>
      <c r="L3274">
        <v>4.5</v>
      </c>
      <c r="M3274">
        <v>170</v>
      </c>
      <c r="O3274" t="s">
        <v>26</v>
      </c>
      <c r="P3274" t="s">
        <v>39</v>
      </c>
      <c r="Q3274" t="s">
        <v>8086</v>
      </c>
    </row>
    <row r="3275" spans="1:17" ht="15.75" x14ac:dyDescent="0.25">
      <c r="A3275" s="3" t="str">
        <f>HYPERLINK("https://shop.sonapharmacy.com/products/halls-relief-honey-lemon-cough-drops", "https://shop.sonapharmacy.com/products/halls-relief-honey-lemon-cough-drops")</f>
        <v>https://shop.sonapharmacy.com/products/halls-relief-honey-lemon-cough-drops</v>
      </c>
      <c r="B3275" s="3" t="str">
        <f>HYPERLINK("https://shop.sonapharmacy.com/products/halls-relief-honey-lemon-cough-drops", "https://shop.sonapharmacy.com/products/halls-relief-honey-lemon-cough-drops")</f>
        <v>https://shop.sonapharmacy.com/products/halls-relief-honey-lemon-cough-drops</v>
      </c>
      <c r="C3275" t="s">
        <v>8031</v>
      </c>
      <c r="D3275" t="s">
        <v>8429</v>
      </c>
      <c r="E3275" s="3" t="str">
        <f>HYPERLINK("https://www.amazon.com/Halls-Sugar-Drops-Honey-Lemon-25-Count/dp/B003WP0L6S/ref=sr_1_6?keywords=Halls%C2%AE+Relief+Honey+Lemon+Cough+Drops&amp;qid=1695260411&amp;sr=8-6", "https://www.amazon.com/Halls-Sugar-Drops-Honey-Lemon-25-Count/dp/B003WP0L6S/ref=sr_1_6?keywords=Halls%C2%AE+Relief+Honey+Lemon+Cough+Drops&amp;qid=1695260411&amp;sr=8-6")</f>
        <v>https://www.amazon.com/Halls-Sugar-Drops-Honey-Lemon-25-Count/dp/B003WP0L6S/ref=sr_1_6?keywords=Halls%C2%AE+Relief+Honey+Lemon+Cough+Drops&amp;qid=1695260411&amp;sr=8-6</v>
      </c>
      <c r="F3275" t="s">
        <v>8430</v>
      </c>
      <c r="G3275" t="e">
        <f ca="1">IMAGE("https://shop.sonapharmacy.com/cdn/shop/products/HALLS_Menthol_HoneyLemon_30ct.png?v=1608215589")</f>
        <v>#NAME?</v>
      </c>
      <c r="H3275" t="e">
        <f ca="1">IMAGE("https://m.media-amazon.com/images/I/718EIYy0hAL._AC_UL320_.jpg")</f>
        <v>#NAME?</v>
      </c>
      <c r="I3275" t="s">
        <v>8034</v>
      </c>
      <c r="J3275">
        <v>23.76</v>
      </c>
      <c r="K3275" s="2" t="s">
        <v>8431</v>
      </c>
      <c r="L3275">
        <v>4.8</v>
      </c>
      <c r="M3275">
        <v>491</v>
      </c>
      <c r="O3275" t="s">
        <v>26</v>
      </c>
      <c r="P3275" t="s">
        <v>39</v>
      </c>
      <c r="Q3275" t="s">
        <v>8036</v>
      </c>
    </row>
    <row r="3276" spans="1:17" ht="15.75" x14ac:dyDescent="0.25">
      <c r="A3276" s="3" t="str">
        <f>HYPERLINK("https://shop.sonapharmacy.com/products/okeeffes%C2%AE-cooling-relief-lip-repair", "https://shop.sonapharmacy.com/products/okeeffes%C2%AE-cooling-relief-lip-repair")</f>
        <v>https://shop.sonapharmacy.com/products/okeeffes%C2%AE-cooling-relief-lip-repair</v>
      </c>
      <c r="B3276" s="3" t="str">
        <f>HYPERLINK("https://shop.sonapharmacy.com/products/okeeffes%c2%ae-cooling-relief-lip-repair", "https://shop.sonapharmacy.com/products/okeeffes%c2%ae-cooling-relief-lip-repair")</f>
        <v>https://shop.sonapharmacy.com/products/okeeffes%c2%ae-cooling-relief-lip-repair</v>
      </c>
      <c r="C3276" t="s">
        <v>8157</v>
      </c>
      <c r="D3276" t="s">
        <v>8432</v>
      </c>
      <c r="E3276" s="3" t="str">
        <f>HYPERLINK("https://www.amazon.com/OKeeffes-Cooling-Relief-Repair-Cracked/dp/B01MPYB5SX/ref=sr_1_7?keywords=O%27Keeffe%27s%C2%AE+Cooling+Relief+Lip+Repair&amp;qid=1695260611&amp;sr=8-7", "https://www.amazon.com/OKeeffes-Cooling-Relief-Repair-Cracked/dp/B01MPYB5SX/ref=sr_1_7?keywords=O%27Keeffe%27s%C2%AE+Cooling+Relief+Lip+Repair&amp;qid=1695260611&amp;sr=8-7")</f>
        <v>https://www.amazon.com/OKeeffes-Cooling-Relief-Repair-Cracked/dp/B01MPYB5SX/ref=sr_1_7?keywords=O%27Keeffe%27s%C2%AE+Cooling+Relief+Lip+Repair&amp;qid=1695260611&amp;sr=8-7</v>
      </c>
      <c r="F3276" t="s">
        <v>8433</v>
      </c>
      <c r="G3276" t="e">
        <f ca="1">IMAGE("https://shop.sonapharmacy.com/cdn/shop/products/91uQWoqzf5L._AC_SL1500.jpg?v=1608226728")</f>
        <v>#NAME?</v>
      </c>
      <c r="H3276" t="e">
        <f ca="1">IMAGE("https://m.media-amazon.com/images/I/81+h8f1sDUL._AC_UL320_.jpg")</f>
        <v>#NAME?</v>
      </c>
      <c r="I3276" t="s">
        <v>8160</v>
      </c>
      <c r="J3276">
        <v>35.25</v>
      </c>
      <c r="K3276" s="2" t="s">
        <v>8434</v>
      </c>
      <c r="L3276">
        <v>5</v>
      </c>
      <c r="M3276">
        <v>14</v>
      </c>
      <c r="O3276" t="s">
        <v>26</v>
      </c>
      <c r="P3276" t="s">
        <v>39</v>
      </c>
      <c r="Q3276" t="s">
        <v>8162</v>
      </c>
    </row>
    <row r="3277" spans="1:17" ht="15.75" x14ac:dyDescent="0.25">
      <c r="A3277" s="3" t="str">
        <f>HYPERLINK("https://shop.sonapharmacy.com/products/eos%C2%AE-sweet-mint-lip-balm", "https://shop.sonapharmacy.com/products/eos%C2%AE-sweet-mint-lip-balm")</f>
        <v>https://shop.sonapharmacy.com/products/eos%C2%AE-sweet-mint-lip-balm</v>
      </c>
      <c r="B3277" s="3" t="str">
        <f>HYPERLINK("https://shop.sonapharmacy.com/products/eos%c2%ae-sweet-mint-lip-balm", "https://shop.sonapharmacy.com/products/eos%c2%ae-sweet-mint-lip-balm")</f>
        <v>https://shop.sonapharmacy.com/products/eos%c2%ae-sweet-mint-lip-balm</v>
      </c>
      <c r="C3277" t="s">
        <v>8435</v>
      </c>
      <c r="D3277" t="s">
        <v>8436</v>
      </c>
      <c r="E3277" s="3" t="str">
        <f>HYPERLINK("https://www.amazon.com/EOS-Balm-Sweet-Smooth-Sphere/dp/B0021YV3CW/ref=sr_1_9?keywords=EOS%C2%AE+Sweet+Mint+Lip+Balm&amp;qid=1695260226&amp;sr=8-9", "https://www.amazon.com/EOS-Balm-Sweet-Smooth-Sphere/dp/B0021YV3CW/ref=sr_1_9?keywords=EOS%C2%AE+Sweet+Mint+Lip+Balm&amp;qid=1695260226&amp;sr=8-9")</f>
        <v>https://www.amazon.com/EOS-Balm-Sweet-Smooth-Sphere/dp/B0021YV3CW/ref=sr_1_9?keywords=EOS%C2%AE+Sweet+Mint+Lip+Balm&amp;qid=1695260226&amp;sr=8-9</v>
      </c>
      <c r="F3277" t="s">
        <v>8437</v>
      </c>
      <c r="G3277" t="e">
        <f ca="1">IMAGE("https://shop.sonapharmacy.com/cdn/shop/products/GUEST_b0fdc7d4-45d7-4d76-93a9-fe22762c8990.jpg?v=1610643893")</f>
        <v>#NAME?</v>
      </c>
      <c r="H3277" t="e">
        <f ca="1">IMAGE("https://m.media-amazon.com/images/I/718zPkenF-L._AC_UL320_.jpg")</f>
        <v>#NAME?</v>
      </c>
      <c r="I3277" t="s">
        <v>8411</v>
      </c>
      <c r="J3277">
        <v>30.62</v>
      </c>
      <c r="K3277" s="2" t="s">
        <v>8438</v>
      </c>
      <c r="L3277">
        <v>4.0999999999999996</v>
      </c>
      <c r="M3277">
        <v>99</v>
      </c>
      <c r="O3277" t="s">
        <v>26</v>
      </c>
      <c r="P3277" t="s">
        <v>39</v>
      </c>
      <c r="Q3277" t="s">
        <v>8439</v>
      </c>
    </row>
    <row r="3278" spans="1:17" ht="15.75" x14ac:dyDescent="0.25">
      <c r="A3278" s="3" t="str">
        <f>HYPERLINK("https://shop.sonapharmacy.com/products/reach%C2%AE-mint-waxed-floss-55yds", "https://shop.sonapharmacy.com/products/reach%C2%AE-mint-waxed-floss-55yds")</f>
        <v>https://shop.sonapharmacy.com/products/reach%C2%AE-mint-waxed-floss-55yds</v>
      </c>
      <c r="B3278" s="3" t="str">
        <f>HYPERLINK("https://shop.sonapharmacy.com/products/reach%c2%ae-mint-waxed-floss-55yds", "https://shop.sonapharmacy.com/products/reach%c2%ae-mint-waxed-floss-55yds")</f>
        <v>https://shop.sonapharmacy.com/products/reach%c2%ae-mint-waxed-floss-55yds</v>
      </c>
      <c r="C3278" t="s">
        <v>8046</v>
      </c>
      <c r="D3278" t="s">
        <v>8440</v>
      </c>
      <c r="E3278" s="3" t="str">
        <f>HYPERLINK("https://www.amazon.com/Reach-Dental-Plaque-Removal-Refreshing/dp/B014KZLWX4/ref=sr_1_6?keywords=Reach%C2%AE+Mint+Waxed+Floss&amp;qid=1695260669&amp;sr=8-6", "https://www.amazon.com/Reach-Dental-Plaque-Removal-Refreshing/dp/B014KZLWX4/ref=sr_1_6?keywords=Reach%C2%AE+Mint+Waxed+Floss&amp;qid=1695260669&amp;sr=8-6")</f>
        <v>https://www.amazon.com/Reach-Dental-Plaque-Removal-Refreshing/dp/B014KZLWX4/ref=sr_1_6?keywords=Reach%C2%AE+Mint+Waxed+Floss&amp;qid=1695260669&amp;sr=8-6</v>
      </c>
      <c r="F3278" t="s">
        <v>8441</v>
      </c>
      <c r="G3278" t="e">
        <f ca="1">IMAGE("https://shop.sonapharmacy.com/cdn/shop/products/reach_mint_waxed_floss.png?v=1608573621")</f>
        <v>#NAME?</v>
      </c>
      <c r="H3278" t="e">
        <f ca="1">IMAGE("https://m.media-amazon.com/images/I/61e9uUIfj2L._AC_UL320_.jpg")</f>
        <v>#NAME?</v>
      </c>
      <c r="I3278" t="s">
        <v>8049</v>
      </c>
      <c r="J3278">
        <v>11.96</v>
      </c>
      <c r="K3278" s="2" t="s">
        <v>8442</v>
      </c>
      <c r="L3278">
        <v>4.7</v>
      </c>
      <c r="M3278">
        <v>1203</v>
      </c>
      <c r="O3278" t="s">
        <v>26</v>
      </c>
      <c r="P3278" t="s">
        <v>39</v>
      </c>
      <c r="Q3278" t="s">
        <v>8051</v>
      </c>
    </row>
    <row r="3279" spans="1:17" ht="15.75" x14ac:dyDescent="0.25">
      <c r="A3279" s="3" t="str">
        <f>HYPERLINK("https://shop.sonapharmacy.com/products/alteril-natural-sleep-aid-supplement-tablets", "https://shop.sonapharmacy.com/products/alteril-natural-sleep-aid-supplement-tablets")</f>
        <v>https://shop.sonapharmacy.com/products/alteril-natural-sleep-aid-supplement-tablets</v>
      </c>
      <c r="B3279" s="3" t="str">
        <f>HYPERLINK("https://shop.sonapharmacy.com/products/alteril-natural-sleep-aid-supplement-tablets", "https://shop.sonapharmacy.com/products/alteril-natural-sleep-aid-supplement-tablets")</f>
        <v>https://shop.sonapharmacy.com/products/alteril-natural-sleep-aid-supplement-tablets</v>
      </c>
      <c r="C3279" t="s">
        <v>8443</v>
      </c>
      <c r="D3279" t="s">
        <v>8444</v>
      </c>
      <c r="E3279" s="3" t="str">
        <f>HYPERLINK("https://www.amazon.com/Alteril-Natural-Sleep-Tablets-Pack/dp/B01IAIIIIY/ref=sr_1_9?keywords=Alteril+Natural+Sleep+Aid+Supplement+Tablets+30ct.&amp;qid=1695260031&amp;sr=8-9", "https://www.amazon.com/Alteril-Natural-Sleep-Tablets-Pack/dp/B01IAIIIIY/ref=sr_1_9?keywords=Alteril+Natural+Sleep+Aid+Supplement+Tablets+30ct.&amp;qid=1695260031&amp;sr=8-9")</f>
        <v>https://www.amazon.com/Alteril-Natural-Sleep-Tablets-Pack/dp/B01IAIIIIY/ref=sr_1_9?keywords=Alteril+Natural+Sleep+Aid+Supplement+Tablets+30ct.&amp;qid=1695260031&amp;sr=8-9</v>
      </c>
      <c r="F3279" t="s">
        <v>8445</v>
      </c>
      <c r="G3279" t="e">
        <f ca="1">IMAGE("https://shop.sonapharmacy.com/cdn/shop/products/AlterilNaturalSleepAidSupplementTablets.jpg?v=1594927516")</f>
        <v>#NAME?</v>
      </c>
      <c r="H3279" t="e">
        <f ca="1">IMAGE("https://m.media-amazon.com/images/I/71XovEIEOqL._AC_UL320_.jpg")</f>
        <v>#NAME?</v>
      </c>
      <c r="I3279" t="s">
        <v>8446</v>
      </c>
      <c r="J3279">
        <v>134.9</v>
      </c>
      <c r="K3279" s="2" t="s">
        <v>8447</v>
      </c>
      <c r="L3279">
        <v>4.3</v>
      </c>
      <c r="M3279">
        <v>9</v>
      </c>
      <c r="O3279" t="s">
        <v>136</v>
      </c>
      <c r="P3279" t="s">
        <v>39</v>
      </c>
      <c r="Q3279" t="s">
        <v>8448</v>
      </c>
    </row>
    <row r="3280" spans="1:17" ht="15.75" x14ac:dyDescent="0.25">
      <c r="A3280" s="3" t="str">
        <f>HYPERLINK("https://shop.sonapharmacy.com/products/apex%C2%AE-7-day-medium-pill-organizer", "https://shop.sonapharmacy.com/products/apex%C2%AE-7-day-medium-pill-organizer")</f>
        <v>https://shop.sonapharmacy.com/products/apex%C2%AE-7-day-medium-pill-organizer</v>
      </c>
      <c r="B3280" s="3" t="str">
        <f>HYPERLINK("https://shop.sonapharmacy.com/products/apex%c2%ae-7-day-medium-pill-organizer", "https://shop.sonapharmacy.com/products/apex%c2%ae-7-day-medium-pill-organizer")</f>
        <v>https://shop.sonapharmacy.com/products/apex%c2%ae-7-day-medium-pill-organizer</v>
      </c>
      <c r="C3280" t="s">
        <v>8449</v>
      </c>
      <c r="D3280" t="s">
        <v>8450</v>
      </c>
      <c r="E3280" s="3" t="str">
        <f>HYPERLINK("https://www.amazon.com/Apex-7-Day-Pill-Organizer-X-Large/dp/B01IAHY5EQ/ref=sr_1_7?keywords=Apex+7-Day+Medium+Pill+Organizer&amp;qid=1695260015&amp;sr=8-7", "https://www.amazon.com/Apex-7-Day-Pill-Organizer-X-Large/dp/B01IAHY5EQ/ref=sr_1_7?keywords=Apex+7-Day+Medium+Pill+Organizer&amp;qid=1695260015&amp;sr=8-7")</f>
        <v>https://www.amazon.com/Apex-7-Day-Pill-Organizer-X-Large/dp/B01IAHY5EQ/ref=sr_1_7?keywords=Apex+7-Day+Medium+Pill+Organizer&amp;qid=1695260015&amp;sr=8-7</v>
      </c>
      <c r="F3280" t="s">
        <v>8451</v>
      </c>
      <c r="G3280" t="e">
        <f ca="1">IMAGE("https://shop.sonapharmacy.com/cdn/shop/products/51xN8KL65CL._SL1243.jpg?v=1609956978")</f>
        <v>#NAME?</v>
      </c>
      <c r="H3280" t="e">
        <f ca="1">IMAGE("https://m.media-amazon.com/images/I/71qCRIZggwL._AC_UL320_.jpg")</f>
        <v>#NAME?</v>
      </c>
      <c r="I3280" t="s">
        <v>8217</v>
      </c>
      <c r="J3280">
        <v>14.45</v>
      </c>
      <c r="K3280" s="2" t="s">
        <v>8452</v>
      </c>
      <c r="L3280">
        <v>4.0999999999999996</v>
      </c>
      <c r="M3280">
        <v>6</v>
      </c>
      <c r="O3280" t="s">
        <v>26</v>
      </c>
      <c r="P3280" t="s">
        <v>39</v>
      </c>
      <c r="Q3280" t="s">
        <v>8453</v>
      </c>
    </row>
    <row r="3281" spans="1:17" ht="15.75" x14ac:dyDescent="0.25">
      <c r="A3281" s="3" t="str">
        <f>HYPERLINK("https://shop.sonapharmacy.com/products/pedia-lax%C2%AE-glycerin-suppositories", "https://shop.sonapharmacy.com/products/pedia-lax%C2%AE-glycerin-suppositories")</f>
        <v>https://shop.sonapharmacy.com/products/pedia-lax%C2%AE-glycerin-suppositories</v>
      </c>
      <c r="B3281" s="3" t="str">
        <f>HYPERLINK("https://shop.sonapharmacy.com/products/pedia-lax%c2%ae-glycerin-suppositories", "https://shop.sonapharmacy.com/products/pedia-lax%c2%ae-glycerin-suppositories")</f>
        <v>https://shop.sonapharmacy.com/products/pedia-lax%c2%ae-glycerin-suppositories</v>
      </c>
      <c r="C3281" t="s">
        <v>8008</v>
      </c>
      <c r="D3281" t="s">
        <v>8454</v>
      </c>
      <c r="E3281" s="3" t="str">
        <f>HYPERLINK("https://www.amazon.com/Pedia-Lax-Glycerin-Suppositories-Constipation-Applicators/dp/B002ZG8HAM/ref=sr_1_4?keywords=Pedia-Lax%C2%AE+Glycerin+Suppositories&amp;qid=1695260628&amp;sr=8-4", "https://www.amazon.com/Pedia-Lax-Glycerin-Suppositories-Constipation-Applicators/dp/B002ZG8HAM/ref=sr_1_4?keywords=Pedia-Lax%C2%AE+Glycerin+Suppositories&amp;qid=1695260628&amp;sr=8-4")</f>
        <v>https://www.amazon.com/Pedia-Lax-Glycerin-Suppositories-Constipation-Applicators/dp/B002ZG8HAM/ref=sr_1_4?keywords=Pedia-Lax%C2%AE+Glycerin+Suppositories&amp;qid=1695260628&amp;sr=8-4</v>
      </c>
      <c r="F3281" t="s">
        <v>8455</v>
      </c>
      <c r="G3281" t="e">
        <f ca="1">IMAGE("https://shop.sonapharmacy.com/cdn/shop/products/pedialaxresized.jpg?v=1592422726")</f>
        <v>#NAME?</v>
      </c>
      <c r="H3281" t="e">
        <f ca="1">IMAGE("https://m.media-amazon.com/images/I/71fe6UVAPdL._AC_UL320_.jpg")</f>
        <v>#NAME?</v>
      </c>
      <c r="I3281" t="s">
        <v>7952</v>
      </c>
      <c r="J3281">
        <v>20.7</v>
      </c>
      <c r="K3281" s="2" t="s">
        <v>8456</v>
      </c>
      <c r="L3281">
        <v>4.8</v>
      </c>
      <c r="M3281">
        <v>1065</v>
      </c>
      <c r="O3281" t="s">
        <v>26</v>
      </c>
      <c r="P3281" t="s">
        <v>39</v>
      </c>
      <c r="Q3281" t="s">
        <v>8012</v>
      </c>
    </row>
    <row r="3282" spans="1:17" ht="15.75" x14ac:dyDescent="0.25">
      <c r="A3282" s="3" t="str">
        <f>HYPERLINK("https://shop.sonapharmacy.com/products/colace-2-in-1-stool-softener-stimulant-laxative", "https://shop.sonapharmacy.com/products/colace-2-in-1-stool-softener-stimulant-laxative")</f>
        <v>https://shop.sonapharmacy.com/products/colace-2-in-1-stool-softener-stimulant-laxative</v>
      </c>
      <c r="B3282" s="3" t="str">
        <f>HYPERLINK("https://shop.sonapharmacy.com/products/colace-2-in-1-stool-softener-stimulant-laxative", "https://shop.sonapharmacy.com/products/colace-2-in-1-stool-softener-stimulant-laxative")</f>
        <v>https://shop.sonapharmacy.com/products/colace-2-in-1-stool-softener-stimulant-laxative</v>
      </c>
      <c r="C3282" t="s">
        <v>8457</v>
      </c>
      <c r="D3282" t="s">
        <v>8458</v>
      </c>
      <c r="E3282" s="3" t="str">
        <f>HYPERLINK("https://www.amazon.com/Colace-Softener-Stimulant-Laxative-Tablets/dp/B07GTCBN8M/ref=sr_1_7?keywords=Colace%C2%AE+2-IN-1+Stool+Softener+%2B+Stimulant+Laxative&amp;qid=1695260155&amp;sr=8-7", "https://www.amazon.com/Colace-Softener-Stimulant-Laxative-Tablets/dp/B07GTCBN8M/ref=sr_1_7?keywords=Colace%C2%AE+2-IN-1+Stool+Softener+%2B+Stimulant+Laxative&amp;qid=1695260155&amp;sr=8-7")</f>
        <v>https://www.amazon.com/Colace-Softener-Stimulant-Laxative-Tablets/dp/B07GTCBN8M/ref=sr_1_7?keywords=Colace%C2%AE+2-IN-1+Stool+Softener+%2B+Stimulant+Laxative&amp;qid=1695260155&amp;sr=8-7</v>
      </c>
      <c r="F3282" t="s">
        <v>8459</v>
      </c>
      <c r="G3282" t="e">
        <f ca="1">IMAGE("https://shop.sonapharmacy.com/cdn/shop/products/Colace2-IN-1Front.png?v=1606927041")</f>
        <v>#NAME?</v>
      </c>
      <c r="H3282" t="e">
        <f ca="1">IMAGE("https://m.media-amazon.com/images/I/517l94fenyL._AC_UL320_.jpg")</f>
        <v>#NAME?</v>
      </c>
      <c r="I3282" t="s">
        <v>8460</v>
      </c>
      <c r="J3282">
        <v>120.44</v>
      </c>
      <c r="K3282" s="2" t="s">
        <v>8461</v>
      </c>
      <c r="L3282">
        <v>5</v>
      </c>
      <c r="M3282">
        <v>6</v>
      </c>
      <c r="O3282" t="s">
        <v>26</v>
      </c>
      <c r="P3282" t="s">
        <v>39</v>
      </c>
      <c r="Q3282" t="s">
        <v>8462</v>
      </c>
    </row>
    <row r="3283" spans="1:17" ht="15.75" x14ac:dyDescent="0.25">
      <c r="A3283" s="3" t="str">
        <f>HYPERLINK("https://shop.sonapharmacy.com/products/halls-relief-black-cherry-sugar-free-drops-25ct", "https://shop.sonapharmacy.com/products/halls-relief-black-cherry-sugar-free-drops-25ct")</f>
        <v>https://shop.sonapharmacy.com/products/halls-relief-black-cherry-sugar-free-drops-25ct</v>
      </c>
      <c r="B3283" s="3" t="str">
        <f>HYPERLINK("https://shop.sonapharmacy.com/products/halls-relief-black-cherry-sugar-free-drops-25ct", "https://shop.sonapharmacy.com/products/halls-relief-black-cherry-sugar-free-drops-25ct")</f>
        <v>https://shop.sonapharmacy.com/products/halls-relief-black-cherry-sugar-free-drops-25ct</v>
      </c>
      <c r="C3283" t="s">
        <v>8163</v>
      </c>
      <c r="D3283" t="s">
        <v>8225</v>
      </c>
      <c r="E3283" s="3" t="str">
        <f>HYPERLINK("https://www.amazon.com/HALLS-Sugar-Cough-Cherry-Variety/dp/B07GSTZXL6/ref=sr_1_3?keywords=Halls%C2%AE+Relief+Black+Cherry+Sugar-Free+Cough+Drops+25ct&amp;qid=1695260378&amp;sr=8-3", "https://www.amazon.com/HALLS-Sugar-Cough-Cherry-Variety/dp/B07GSTZXL6/ref=sr_1_3?keywords=Halls%C2%AE+Relief+Black+Cherry+Sugar-Free+Cough+Drops+25ct&amp;qid=1695260378&amp;sr=8-3")</f>
        <v>https://www.amazon.com/HALLS-Sugar-Cough-Cherry-Variety/dp/B07GSTZXL6/ref=sr_1_3?keywords=Halls%C2%AE+Relief+Black+Cherry+Sugar-Free+Cough+Drops+25ct&amp;qid=1695260378&amp;sr=8-3</v>
      </c>
      <c r="F3283" t="s">
        <v>8226</v>
      </c>
      <c r="G3283" t="e">
        <f ca="1">IMAGE("https://shop.sonapharmacy.com/cdn/shop/products/HALLS_SF_Menthol_BlackCherry_25ct.png?v=1608218492")</f>
        <v>#NAME?</v>
      </c>
      <c r="H3283" t="e">
        <f ca="1">IMAGE("https://m.media-amazon.com/images/I/81XQiXIG4WS._AC_UL320_.jpg")</f>
        <v>#NAME?</v>
      </c>
      <c r="I3283" t="s">
        <v>8034</v>
      </c>
      <c r="J3283">
        <v>23.39</v>
      </c>
      <c r="K3283" s="2" t="s">
        <v>8463</v>
      </c>
      <c r="L3283">
        <v>4.7</v>
      </c>
      <c r="M3283">
        <v>2091</v>
      </c>
      <c r="O3283" t="s">
        <v>136</v>
      </c>
      <c r="P3283" t="s">
        <v>39</v>
      </c>
      <c r="Q3283" t="s">
        <v>8165</v>
      </c>
    </row>
    <row r="3284" spans="1:17" ht="15.75" x14ac:dyDescent="0.25">
      <c r="A3284" s="3" t="str">
        <f>HYPERLINK("https://shop.sonapharmacy.com/products/ricola-original-natural-herb-cough-drops", "https://shop.sonapharmacy.com/products/ricola-original-natural-herb-cough-drops")</f>
        <v>https://shop.sonapharmacy.com/products/ricola-original-natural-herb-cough-drops</v>
      </c>
      <c r="B3284" s="3" t="str">
        <f>HYPERLINK("https://shop.sonapharmacy.com/products/ricola-original-natural-herb-cough-drops", "https://shop.sonapharmacy.com/products/ricola-original-natural-herb-cough-drops")</f>
        <v>https://shop.sonapharmacy.com/products/ricola-original-natural-herb-cough-drops</v>
      </c>
      <c r="C3284" t="s">
        <v>8464</v>
      </c>
      <c r="D3284" t="s">
        <v>8465</v>
      </c>
      <c r="E3284" s="3" t="str">
        <f>HYPERLINK("https://www.amazon.com/Ricola-Original-Natural-Cough-Drops/dp/B01IRONTLC/ref=sr_1_1?keywords=Ricola+Original+Natural+Herb+Cough+Drops&amp;qid=1695260693&amp;sr=8-1", "https://www.amazon.com/Ricola-Original-Natural-Cough-Drops/dp/B01IRONTLC/ref=sr_1_1?keywords=Ricola+Original+Natural+Herb+Cough+Drops&amp;qid=1695260693&amp;sr=8-1")</f>
        <v>https://www.amazon.com/Ricola-Original-Natural-Cough-Drops/dp/B01IRONTLC/ref=sr_1_1?keywords=Ricola+Original+Natural+Herb+Cough+Drops&amp;qid=1695260693&amp;sr=8-1</v>
      </c>
      <c r="F3284" t="s">
        <v>8466</v>
      </c>
      <c r="G3284" t="e">
        <f ca="1">IMAGE("https://shop.sonapharmacy.com/cdn/shop/products/originalherb_bag_21.png?v=1608220874")</f>
        <v>#NAME?</v>
      </c>
      <c r="H3284" t="e">
        <f ca="1">IMAGE("https://m.media-amazon.com/images/I/71jAwYmcZ-L._AC_UL320_.jpg")</f>
        <v>#NAME?</v>
      </c>
      <c r="I3284" t="s">
        <v>8279</v>
      </c>
      <c r="J3284">
        <v>28.99</v>
      </c>
      <c r="K3284" s="2" t="s">
        <v>8467</v>
      </c>
      <c r="L3284">
        <v>4.7</v>
      </c>
      <c r="M3284">
        <v>1024</v>
      </c>
      <c r="O3284" t="s">
        <v>26</v>
      </c>
      <c r="P3284" t="s">
        <v>39</v>
      </c>
      <c r="Q3284" t="s">
        <v>8468</v>
      </c>
    </row>
    <row r="3285" spans="1:17" ht="15.75" x14ac:dyDescent="0.25">
      <c r="A3285" s="3" t="str">
        <f>HYPERLINK("https://shop.sonapharmacy.com/products/dr-scholls%C2%AE-moleskin-plus-soft-padding-roll", "https://shop.sonapharmacy.com/products/dr-scholls%C2%AE-moleskin-plus-soft-padding-roll")</f>
        <v>https://shop.sonapharmacy.com/products/dr-scholls%C2%AE-moleskin-plus-soft-padding-roll</v>
      </c>
      <c r="B3285" s="3" t="str">
        <f>HYPERLINK("https://shop.sonapharmacy.com/products/dr-scholls%c2%ae-moleskin-plus-soft-padding-roll", "https://shop.sonapharmacy.com/products/dr-scholls%c2%ae-moleskin-plus-soft-padding-roll")</f>
        <v>https://shop.sonapharmacy.com/products/dr-scholls%c2%ae-moleskin-plus-soft-padding-roll</v>
      </c>
      <c r="C3285" t="s">
        <v>8469</v>
      </c>
      <c r="D3285" t="s">
        <v>8470</v>
      </c>
      <c r="E3285" s="3" t="str">
        <f>HYPERLINK("https://www.amazon.com/Scholls-Moleskin-Plus-Padding-Roll/dp/B004GEVAGE/ref=sr_1_6?keywords=Dr.+Scholl%27s%C2%AE+Moleskin+Plus+Soft+Padding+Roll&amp;qid=1695260191&amp;sr=8-6", "https://www.amazon.com/Scholls-Moleskin-Plus-Padding-Roll/dp/B004GEVAGE/ref=sr_1_6?keywords=Dr.+Scholl%27s%C2%AE+Moleskin+Plus+Soft+Padding+Roll&amp;qid=1695260191&amp;sr=8-6")</f>
        <v>https://www.amazon.com/Scholls-Moleskin-Plus-Padding-Roll/dp/B004GEVAGE/ref=sr_1_6?keywords=Dr.+Scholl%27s%C2%AE+Moleskin+Plus+Soft+Padding+Roll&amp;qid=1695260191&amp;sr=8-6</v>
      </c>
      <c r="F3285" t="s">
        <v>8471</v>
      </c>
      <c r="G3285" t="e">
        <f ca="1">IMAGE("https://shop.sonapharmacy.com/cdn/shop/products/81tP9KqA0SL._AC_SL1500.jpg?v=1610328732")</f>
        <v>#NAME?</v>
      </c>
      <c r="H3285" t="e">
        <f ca="1">IMAGE("https://m.media-amazon.com/images/I/619eUt0uImL._AC_UL320_.jpg")</f>
        <v>#NAME?</v>
      </c>
      <c r="I3285" t="s">
        <v>8472</v>
      </c>
      <c r="J3285">
        <v>36.369999999999997</v>
      </c>
      <c r="K3285" s="2" t="s">
        <v>8473</v>
      </c>
      <c r="L3285">
        <v>4.9000000000000004</v>
      </c>
      <c r="M3285">
        <v>7</v>
      </c>
      <c r="O3285" t="s">
        <v>26</v>
      </c>
      <c r="P3285" t="s">
        <v>39</v>
      </c>
      <c r="Q3285" t="s">
        <v>8474</v>
      </c>
    </row>
    <row r="3286" spans="1:17" ht="15.75" x14ac:dyDescent="0.25">
      <c r="A3286"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B3286"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C3286" t="s">
        <v>8040</v>
      </c>
      <c r="D3286" t="s">
        <v>8475</v>
      </c>
      <c r="E3286" s="3" t="str">
        <f>HYPERLINK("https://www.amazon.com/Colgate-Cavity-Protection-Toothpaste-Regular/dp/B006RBZSKS/ref=sr_1_8?keywords=Colgate%C2%AE+Regular+Flavor+Cavity+Protection+Toothpaste+1oz.&amp;qid=1695260151&amp;sr=8-8", "https://www.amazon.com/Colgate-Cavity-Protection-Toothpaste-Regular/dp/B006RBZSKS/ref=sr_1_8?keywords=Colgate%C2%AE+Regular+Flavor+Cavity+Protection+Toothpaste+1oz.&amp;qid=1695260151&amp;sr=8-8")</f>
        <v>https://www.amazon.com/Colgate-Cavity-Protection-Toothpaste-Regular/dp/B006RBZSKS/ref=sr_1_8?keywords=Colgate%C2%AE+Regular+Flavor+Cavity+Protection+Toothpaste+1oz.&amp;qid=1695260151&amp;sr=8-8</v>
      </c>
      <c r="F3286" t="s">
        <v>8476</v>
      </c>
      <c r="G3286" t="e">
        <f ca="1">IMAGE("https://shop.sonapharmacy.com/cdn/shop/products/22e7c50a-9344-4f9c-96af-3a2549d6ce02_7.1d4f47662a946d4e424dc54f6c6c8eed.png?v=1608651728")</f>
        <v>#NAME?</v>
      </c>
      <c r="H3286" t="e">
        <f ca="1">IMAGE("https://m.media-amazon.com/images/I/71Cf9ISHeYL._AC_UL320_.jpg")</f>
        <v>#NAME?</v>
      </c>
      <c r="I3286" t="s">
        <v>8043</v>
      </c>
      <c r="J3286">
        <v>7.95</v>
      </c>
      <c r="K3286" s="2" t="s">
        <v>8477</v>
      </c>
      <c r="L3286">
        <v>3.3</v>
      </c>
      <c r="M3286">
        <v>8</v>
      </c>
      <c r="O3286" t="s">
        <v>26</v>
      </c>
      <c r="P3286" t="s">
        <v>39</v>
      </c>
      <c r="Q3286" t="s">
        <v>8045</v>
      </c>
    </row>
    <row r="3287" spans="1:17" ht="15.75" x14ac:dyDescent="0.25">
      <c r="A3287" s="3" t="str">
        <f>HYPERLINK("https://shop.sonapharmacy.com/products/purell%C2%AE-advanced-hand-sanitizer-refreshing-gel-2fl-oz", "https://shop.sonapharmacy.com/products/purell%C2%AE-advanced-hand-sanitizer-refreshing-gel-2fl-oz")</f>
        <v>https://shop.sonapharmacy.com/products/purell%C2%AE-advanced-hand-sanitizer-refreshing-gel-2fl-oz</v>
      </c>
      <c r="B3287" s="3" t="str">
        <f>HYPERLINK("https://shop.sonapharmacy.com/products/purell%c2%ae-advanced-hand-sanitizer-refreshing-gel-2fl-oz", "https://shop.sonapharmacy.com/products/purell%c2%ae-advanced-hand-sanitizer-refreshing-gel-2fl-oz")</f>
        <v>https://shop.sonapharmacy.com/products/purell%c2%ae-advanced-hand-sanitizer-refreshing-gel-2fl-oz</v>
      </c>
      <c r="C3287" t="s">
        <v>7981</v>
      </c>
      <c r="D3287" t="s">
        <v>8478</v>
      </c>
      <c r="E3287" s="3" t="str">
        <f>HYPERLINK("https://www.amazon.com/PURELL-Advanced-Sanitizer-Refreshing-Design/dp/B00U2KYU7C/ref=sr_1_9?keywords=Purell%C2%AE+Advanced+Hand+Sanitizer+Refreshing+Gel+2fl.+oz.&amp;qid=1695260680&amp;sr=8-9", "https://www.amazon.com/PURELL-Advanced-Sanitizer-Refreshing-Design/dp/B00U2KYU7C/ref=sr_1_9?keywords=Purell%C2%AE+Advanced+Hand+Sanitizer+Refreshing+Gel+2fl.+oz.&amp;qid=1695260680&amp;sr=8-9")</f>
        <v>https://www.amazon.com/PURELL-Advanced-Sanitizer-Refreshing-Design/dp/B00U2KYU7C/ref=sr_1_9?keywords=Purell%C2%AE+Advanced+Hand+Sanitizer+Refreshing+Gel+2fl.+oz.&amp;qid=1695260680&amp;sr=8-9</v>
      </c>
      <c r="F3287" t="s">
        <v>8479</v>
      </c>
      <c r="G3287" t="e">
        <f ca="1">IMAGE("https://shop.sonapharmacy.com/cdn/shop/products/71UqyQSibqL._SL1500.jpg?v=1610731509")</f>
        <v>#NAME?</v>
      </c>
      <c r="H3287" t="e">
        <f ca="1">IMAGE("https://m.media-amazon.com/images/I/817-30u1ZSL._AC_UL320_.jpg")</f>
        <v>#NAME?</v>
      </c>
      <c r="I3287" t="s">
        <v>7984</v>
      </c>
      <c r="J3287">
        <v>14.85</v>
      </c>
      <c r="K3287" s="2" t="s">
        <v>8480</v>
      </c>
      <c r="L3287">
        <v>4.8</v>
      </c>
      <c r="M3287">
        <v>7375</v>
      </c>
      <c r="O3287" t="s">
        <v>26</v>
      </c>
      <c r="P3287" t="s">
        <v>39</v>
      </c>
      <c r="Q3287" t="s">
        <v>7986</v>
      </c>
    </row>
    <row r="3288" spans="1:17" ht="15.75" x14ac:dyDescent="0.25">
      <c r="A3288" s="3" t="str">
        <f>HYPERLINK("https://shop.sonapharmacy.com/products/ricola-original-natural-herb-cough-drops", "https://shop.sonapharmacy.com/products/ricola-original-natural-herb-cough-drops")</f>
        <v>https://shop.sonapharmacy.com/products/ricola-original-natural-herb-cough-drops</v>
      </c>
      <c r="B3288" s="3" t="str">
        <f>HYPERLINK("https://shop.sonapharmacy.com/products/ricola-original-natural-herb-cough-drops", "https://shop.sonapharmacy.com/products/ricola-original-natural-herb-cough-drops")</f>
        <v>https://shop.sonapharmacy.com/products/ricola-original-natural-herb-cough-drops</v>
      </c>
      <c r="C3288" t="s">
        <v>8464</v>
      </c>
      <c r="D3288" t="s">
        <v>8481</v>
      </c>
      <c r="E3288" s="3" t="str">
        <f>HYPERLINK("https://www.amazon.com/Ricola-Natural-Herb-Cough-Drops/dp/B005FADV5G/ref=sr_1_10?keywords=Ricola+Original+Natural+Herb+Cough+Drops&amp;qid=1695260693&amp;sr=8-10", "https://www.amazon.com/Ricola-Natural-Herb-Cough-Drops/dp/B005FADV5G/ref=sr_1_10?keywords=Ricola+Original+Natural+Herb+Cough+Drops&amp;qid=1695260693&amp;sr=8-10")</f>
        <v>https://www.amazon.com/Ricola-Natural-Herb-Cough-Drops/dp/B005FADV5G/ref=sr_1_10?keywords=Ricola+Original+Natural+Herb+Cough+Drops&amp;qid=1695260693&amp;sr=8-10</v>
      </c>
      <c r="F3288" t="s">
        <v>8482</v>
      </c>
      <c r="G3288" t="e">
        <f ca="1">IMAGE("https://shop.sonapharmacy.com/cdn/shop/products/originalherb_bag_21.png?v=1608220874")</f>
        <v>#NAME?</v>
      </c>
      <c r="H3288" t="e">
        <f ca="1">IMAGE("https://m.media-amazon.com/images/I/7172ArOXMGL._AC_UL320_.jpg")</f>
        <v>#NAME?</v>
      </c>
      <c r="I3288" t="s">
        <v>8279</v>
      </c>
      <c r="J3288">
        <v>28.52</v>
      </c>
      <c r="K3288" s="2" t="s">
        <v>8483</v>
      </c>
      <c r="L3288">
        <v>4.9000000000000004</v>
      </c>
      <c r="M3288">
        <v>29</v>
      </c>
      <c r="O3288" t="s">
        <v>26</v>
      </c>
      <c r="P3288" t="s">
        <v>39</v>
      </c>
      <c r="Q3288" t="s">
        <v>8468</v>
      </c>
    </row>
    <row r="3289" spans="1:17" ht="15.75" x14ac:dyDescent="0.25">
      <c r="A3289" s="3" t="str">
        <f>HYPERLINK("https://shop.sonapharmacy.com/products/benadryl%C2%AE-original-strength-itch-stopping-cream-1oz", "https://shop.sonapharmacy.com/products/benadryl%C2%AE-original-strength-itch-stopping-cream-1oz")</f>
        <v>https://shop.sonapharmacy.com/products/benadryl%C2%AE-original-strength-itch-stopping-cream-1oz</v>
      </c>
      <c r="B3289" s="3" t="str">
        <f>HYPERLINK("https://shop.sonapharmacy.com/products/benadryl%c2%ae-original-strength-itch-stopping-cream-1oz", "https://shop.sonapharmacy.com/products/benadryl%c2%ae-original-strength-itch-stopping-cream-1oz")</f>
        <v>https://shop.sonapharmacy.com/products/benadryl%c2%ae-original-strength-itch-stopping-cream-1oz</v>
      </c>
      <c r="C3289" t="s">
        <v>8484</v>
      </c>
      <c r="D3289" t="s">
        <v>8485</v>
      </c>
      <c r="E3289" s="3" t="str">
        <f>HYPERLINK("https://www.amazon.com/Benadryl-Strgth-Original-Strentgh-Stopping/dp/B01IAI1RD2/ref=sr_1_4?keywords=Benadryl%C2%AE+Original+Strength+Itch+Stopping+Cream+1oz&amp;qid=1695260112&amp;sr=8-4", "https://www.amazon.com/Benadryl-Strgth-Original-Strentgh-Stopping/dp/B01IAI1RD2/ref=sr_1_4?keywords=Benadryl%C2%AE+Original+Strength+Itch+Stopping+Cream+1oz&amp;qid=1695260112&amp;sr=8-4")</f>
        <v>https://www.amazon.com/Benadryl-Strgth-Original-Strentgh-Stopping/dp/B01IAI1RD2/ref=sr_1_4?keywords=Benadryl%C2%AE+Original+Strength+Itch+Stopping+Cream+1oz&amp;qid=1695260112&amp;sr=8-4</v>
      </c>
      <c r="F3289" t="s">
        <v>8486</v>
      </c>
      <c r="G3289" t="e">
        <f ca="1">IMAGE("https://shop.sonapharmacy.com/cdn/shop/products/44103667-6875-436e-b776-cf3d6402ef0d_1.65737eb7090c77f7aa9709f0319524eb.jpg?v=1611255561")</f>
        <v>#NAME?</v>
      </c>
      <c r="H3289" t="e">
        <f ca="1">IMAGE("https://m.media-amazon.com/images/I/61c41F0J-WL._AC_UL320_.jpg")</f>
        <v>#NAME?</v>
      </c>
      <c r="I3289" t="s">
        <v>8487</v>
      </c>
      <c r="J3289">
        <v>54.5</v>
      </c>
      <c r="K3289" s="2" t="s">
        <v>8488</v>
      </c>
      <c r="L3289">
        <v>3.9</v>
      </c>
      <c r="M3289">
        <v>2</v>
      </c>
      <c r="O3289" t="s">
        <v>26</v>
      </c>
      <c r="P3289" t="s">
        <v>39</v>
      </c>
      <c r="Q3289" t="s">
        <v>8489</v>
      </c>
    </row>
    <row r="3290" spans="1:17" ht="15.75" x14ac:dyDescent="0.25">
      <c r="A3290" s="3" t="str">
        <f>HYPERLINK("https://shop.sonapharmacy.com/products/pedia-lax%C2%AE-glycerin-suppositories", "https://shop.sonapharmacy.com/products/pedia-lax%C2%AE-glycerin-suppositories")</f>
        <v>https://shop.sonapharmacy.com/products/pedia-lax%C2%AE-glycerin-suppositories</v>
      </c>
      <c r="B3290" s="3" t="str">
        <f>HYPERLINK("https://shop.sonapharmacy.com/products/pedia-lax%c2%ae-glycerin-suppositories", "https://shop.sonapharmacy.com/products/pedia-lax%c2%ae-glycerin-suppositories")</f>
        <v>https://shop.sonapharmacy.com/products/pedia-lax%c2%ae-glycerin-suppositories</v>
      </c>
      <c r="C3290" t="s">
        <v>8008</v>
      </c>
      <c r="D3290" t="s">
        <v>8454</v>
      </c>
      <c r="E3290" s="3" t="str">
        <f>HYPERLINK("https://www.amazon.com/Pedia-Lax-Glycerin-Suppositories-Constipation-Applicators/dp/B075MMWQF3/ref=sr_1_1?keywords=Pedia-Lax%C2%AE+Glycerin+Suppositories&amp;qid=1695260628&amp;sr=8-1", "https://www.amazon.com/Pedia-Lax-Glycerin-Suppositories-Constipation-Applicators/dp/B075MMWQF3/ref=sr_1_1?keywords=Pedia-Lax%C2%AE+Glycerin+Suppositories&amp;qid=1695260628&amp;sr=8-1")</f>
        <v>https://www.amazon.com/Pedia-Lax-Glycerin-Suppositories-Constipation-Applicators/dp/B075MMWQF3/ref=sr_1_1?keywords=Pedia-Lax%C2%AE+Glycerin+Suppositories&amp;qid=1695260628&amp;sr=8-1</v>
      </c>
      <c r="F3290" t="s">
        <v>8490</v>
      </c>
      <c r="G3290" t="e">
        <f ca="1">IMAGE("https://shop.sonapharmacy.com/cdn/shop/products/pedialaxresized.jpg?v=1592422726")</f>
        <v>#NAME?</v>
      </c>
      <c r="H3290" t="e">
        <f ca="1">IMAGE("https://m.media-amazon.com/images/I/71fe6UVAPdL._AC_UL320_.jpg")</f>
        <v>#NAME?</v>
      </c>
      <c r="I3290" t="s">
        <v>7952</v>
      </c>
      <c r="J3290">
        <v>19.86</v>
      </c>
      <c r="K3290" s="2" t="s">
        <v>8491</v>
      </c>
      <c r="L3290">
        <v>4.8</v>
      </c>
      <c r="M3290">
        <v>2334</v>
      </c>
      <c r="O3290" t="s">
        <v>26</v>
      </c>
      <c r="P3290" t="s">
        <v>39</v>
      </c>
      <c r="Q3290" t="s">
        <v>8012</v>
      </c>
    </row>
    <row r="3291" spans="1:17" ht="15.75" x14ac:dyDescent="0.25">
      <c r="A3291" s="3" t="str">
        <f>HYPERLINK("https://shop.sonapharmacy.com/products/ricola-lemon-mint-cough-drops", "https://shop.sonapharmacy.com/products/ricola-lemon-mint-cough-drops")</f>
        <v>https://shop.sonapharmacy.com/products/ricola-lemon-mint-cough-drops</v>
      </c>
      <c r="B3291" s="3" t="str">
        <f>HYPERLINK("https://shop.sonapharmacy.com/products/ricola-lemon-mint-cough-drops", "https://shop.sonapharmacy.com/products/ricola-lemon-mint-cough-drops")</f>
        <v>https://shop.sonapharmacy.com/products/ricola-lemon-mint-cough-drops</v>
      </c>
      <c r="C3291" t="s">
        <v>8276</v>
      </c>
      <c r="D3291" t="s">
        <v>8492</v>
      </c>
      <c r="E3291" s="3" t="str">
        <f>HYPERLINK("https://www.amazon.com/Herbal-Throat-Drops-Lemon-Mint-Ricola/dp/B001E8DIFQ/ref=sr_1_9?keywords=Ricola+Lemon+Mint+Cough+Drops&amp;qid=1695260692&amp;sr=8-9", "https://www.amazon.com/Herbal-Throat-Drops-Lemon-Mint-Ricola/dp/B001E8DIFQ/ref=sr_1_9?keywords=Ricola+Lemon+Mint+Cough+Drops&amp;qid=1695260692&amp;sr=8-9")</f>
        <v>https://www.amazon.com/Herbal-Throat-Drops-Lemon-Mint-Ricola/dp/B001E8DIFQ/ref=sr_1_9?keywords=Ricola+Lemon+Mint+Cough+Drops&amp;qid=1695260692&amp;sr=8-9</v>
      </c>
      <c r="F3291" t="s">
        <v>8493</v>
      </c>
      <c r="G3291" t="e">
        <f ca="1">IMAGE("https://shop.sonapharmacy.com/cdn/shop/products/lemonmint_bag_24.png?v=1608220217")</f>
        <v>#NAME?</v>
      </c>
      <c r="H3291" t="e">
        <f ca="1">IMAGE("https://m.media-amazon.com/images/I/71ospCkyKVL._AC_UL320_.jpg")</f>
        <v>#NAME?</v>
      </c>
      <c r="I3291" t="s">
        <v>8279</v>
      </c>
      <c r="J3291">
        <v>27.79</v>
      </c>
      <c r="K3291" s="2" t="s">
        <v>8494</v>
      </c>
      <c r="L3291">
        <v>4.5999999999999996</v>
      </c>
      <c r="M3291">
        <v>77</v>
      </c>
      <c r="O3291" t="s">
        <v>26</v>
      </c>
      <c r="P3291" t="s">
        <v>39</v>
      </c>
      <c r="Q3291" t="s">
        <v>8281</v>
      </c>
    </row>
    <row r="3292" spans="1:17" ht="15.75" x14ac:dyDescent="0.25">
      <c r="A3292" s="3" t="str">
        <f>HYPERLINK("https://shop.sonapharmacy.com/products/claritin%C2%AE-tablets-24-hour", "https://shop.sonapharmacy.com/products/claritin%C2%AE-tablets-24-hour")</f>
        <v>https://shop.sonapharmacy.com/products/claritin%C2%AE-tablets-24-hour</v>
      </c>
      <c r="B3292" s="3" t="str">
        <f>HYPERLINK("https://shop.sonapharmacy.com/products/claritin%c2%ae-tablets-24-hour", "https://shop.sonapharmacy.com/products/claritin%c2%ae-tablets-24-hour")</f>
        <v>https://shop.sonapharmacy.com/products/claritin%c2%ae-tablets-24-hour</v>
      </c>
      <c r="C3292" t="s">
        <v>8495</v>
      </c>
      <c r="D3292" t="s">
        <v>8496</v>
      </c>
      <c r="E3292" s="3" t="str">
        <f>HYPERLINK("https://www.amazon.com/Claritin-Non-Drowsy-Medicine-Loratadine-Antihistamine/dp/B078BBYNLC/ref=sr_1_1?keywords=Claritin%C2%AE+Tablets+24-Hour&amp;qid=1695260144&amp;rdc=1&amp;sr=8-1", "https://www.amazon.com/Claritin-Non-Drowsy-Medicine-Loratadine-Antihistamine/dp/B078BBYNLC/ref=sr_1_1?keywords=Claritin%C2%AE+Tablets+24-Hour&amp;qid=1695260144&amp;rdc=1&amp;sr=8-1")</f>
        <v>https://www.amazon.com/Claritin-Non-Drowsy-Medicine-Loratadine-Antihistamine/dp/B078BBYNLC/ref=sr_1_1?keywords=Claritin%C2%AE+Tablets+24-Hour&amp;qid=1695260144&amp;rdc=1&amp;sr=8-1</v>
      </c>
      <c r="F3292" t="s">
        <v>8497</v>
      </c>
      <c r="G3292" t="e">
        <f ca="1">IMAGE("https://shop.sonapharmacy.com/cdn/shop/products/Untitled-172.jpg?v=1593451168")</f>
        <v>#NAME?</v>
      </c>
      <c r="H3292" t="e">
        <f ca="1">IMAGE("https://m.media-amazon.com/images/I/81Lyn9xJdWL._AC_UL320_.jpg")</f>
        <v>#NAME?</v>
      </c>
      <c r="I3292" t="s">
        <v>8498</v>
      </c>
      <c r="J3292">
        <v>49.99</v>
      </c>
      <c r="K3292" s="2" t="s">
        <v>8499</v>
      </c>
      <c r="L3292">
        <v>4.8</v>
      </c>
      <c r="M3292">
        <v>6112</v>
      </c>
      <c r="O3292" t="s">
        <v>26</v>
      </c>
      <c r="P3292" t="s">
        <v>39</v>
      </c>
      <c r="Q3292" t="s">
        <v>8500</v>
      </c>
    </row>
    <row r="3293" spans="1:17" ht="15.75" x14ac:dyDescent="0.25">
      <c r="A3293" s="3" t="str">
        <f>HYPERLINK("https://shop.sonapharmacy.com/products/curad-non-stick-pads", "https://shop.sonapharmacy.com/products/curad-non-stick-pads")</f>
        <v>https://shop.sonapharmacy.com/products/curad-non-stick-pads</v>
      </c>
      <c r="B3293" s="3" t="str">
        <f>HYPERLINK("https://shop.sonapharmacy.com/products/curad-non-stick-pads", "https://shop.sonapharmacy.com/products/curad-non-stick-pads")</f>
        <v>https://shop.sonapharmacy.com/products/curad-non-stick-pads</v>
      </c>
      <c r="C3293" t="s">
        <v>8501</v>
      </c>
      <c r="D3293" t="s">
        <v>8502</v>
      </c>
      <c r="E3293" s="3" t="str">
        <f>HYPERLINK("https://www.amazon.com/Curad-Small-Non-Stick-Adhesive-Inches/dp/B004YJ0T68/ref=sr_1_8?keywords=Curad%C2%AE+Non-Stick+Pads&amp;qid=1695260163&amp;sr=8-8", "https://www.amazon.com/Curad-Small-Non-Stick-Adhesive-Inches/dp/B004YJ0T68/ref=sr_1_8?keywords=Curad%C2%AE+Non-Stick+Pads&amp;qid=1695260163&amp;sr=8-8")</f>
        <v>https://www.amazon.com/Curad-Small-Non-Stick-Adhesive-Inches/dp/B004YJ0T68/ref=sr_1_8?keywords=Curad%C2%AE+Non-Stick+Pads&amp;qid=1695260163&amp;sr=8-8</v>
      </c>
      <c r="F3293" t="s">
        <v>8503</v>
      </c>
      <c r="G3293" t="e">
        <f ca="1">IMAGE("https://shop.sonapharmacy.com/cdn/shop/products/nonsmall.png?v=1607711387")</f>
        <v>#NAME?</v>
      </c>
      <c r="H3293" t="e">
        <f ca="1">IMAGE("https://m.media-amazon.com/images/I/61yTgdTPPwL._AC_UL320_.jpg")</f>
        <v>#NAME?</v>
      </c>
      <c r="I3293" t="s">
        <v>8076</v>
      </c>
      <c r="J3293">
        <v>16.47</v>
      </c>
      <c r="K3293" s="2" t="s">
        <v>8504</v>
      </c>
      <c r="L3293">
        <v>4.7</v>
      </c>
      <c r="M3293">
        <v>218</v>
      </c>
      <c r="O3293" t="s">
        <v>26</v>
      </c>
      <c r="P3293" t="s">
        <v>39</v>
      </c>
      <c r="Q3293" t="s">
        <v>8505</v>
      </c>
    </row>
    <row r="3294" spans="1:17" ht="15.75" x14ac:dyDescent="0.25">
      <c r="A3294" s="3" t="str">
        <f>HYPERLINK("https://shop.sonapharmacy.com/products/curad-non-woven-gauze-pads", "https://shop.sonapharmacy.com/products/curad-non-woven-gauze-pads")</f>
        <v>https://shop.sonapharmacy.com/products/curad-non-woven-gauze-pads</v>
      </c>
      <c r="B3294" s="3" t="str">
        <f>HYPERLINK("https://shop.sonapharmacy.com/products/curad-non-woven-gauze-pads", "https://shop.sonapharmacy.com/products/curad-non-woven-gauze-pads")</f>
        <v>https://shop.sonapharmacy.com/products/curad-non-woven-gauze-pads</v>
      </c>
      <c r="C3294" t="s">
        <v>8291</v>
      </c>
      <c r="D3294" t="s">
        <v>8506</v>
      </c>
      <c r="E3294" s="3" t="str">
        <f>HYPERLINK("https://www.amazon.com/Sterile-Gauze-Sponges-Non-Woven-Wound/dp/B09ZXF3R35/ref=sr_1_3?keywords=Curad%C2%AE+Non-Woven+Gauze+Pads&amp;qid=1695260171&amp;sr=8-3", "https://www.amazon.com/Sterile-Gauze-Sponges-Non-Woven-Wound/dp/B09ZXF3R35/ref=sr_1_3?keywords=Curad%C2%AE+Non-Woven+Gauze+Pads&amp;qid=1695260171&amp;sr=8-3")</f>
        <v>https://www.amazon.com/Sterile-Gauze-Sponges-Non-Woven-Wound/dp/B09ZXF3R35/ref=sr_1_3?keywords=Curad%C2%AE+Non-Woven+Gauze+Pads&amp;qid=1695260171&amp;sr=8-3</v>
      </c>
      <c r="F3294" t="s">
        <v>8507</v>
      </c>
      <c r="G3294" t="e">
        <f ca="1">IMAGE("https://shop.sonapharmacy.com/cdn/shop/products/gauze2x2.png?v=1607710549")</f>
        <v>#NAME?</v>
      </c>
      <c r="H3294" t="e">
        <f ca="1">IMAGE("https://m.media-amazon.com/images/I/81RKnIBUOHL._AC_UY218_.jpg")</f>
        <v>#NAME?</v>
      </c>
      <c r="I3294" t="s">
        <v>8294</v>
      </c>
      <c r="J3294">
        <v>9.99</v>
      </c>
      <c r="K3294" s="2" t="s">
        <v>8508</v>
      </c>
      <c r="L3294">
        <v>4.5999999999999996</v>
      </c>
      <c r="M3294">
        <v>329</v>
      </c>
      <c r="O3294" t="s">
        <v>26</v>
      </c>
      <c r="P3294" t="s">
        <v>39</v>
      </c>
      <c r="Q3294" t="s">
        <v>8296</v>
      </c>
    </row>
    <row r="3295" spans="1:17" ht="15.75" x14ac:dyDescent="0.25">
      <c r="A3295" s="3" t="str">
        <f>HYPERLINK("https://shop.sonapharmacy.com/products/eucerin-original-healing-cream", "https://shop.sonapharmacy.com/products/eucerin-original-healing-cream")</f>
        <v>https://shop.sonapharmacy.com/products/eucerin-original-healing-cream</v>
      </c>
      <c r="B3295" s="3" t="str">
        <f>HYPERLINK("https://shop.sonapharmacy.com/products/eucerin-original-healing-cream", "https://shop.sonapharmacy.com/products/eucerin-original-healing-cream")</f>
        <v>https://shop.sonapharmacy.com/products/eucerin-original-healing-cream</v>
      </c>
      <c r="C3295" t="s">
        <v>8509</v>
      </c>
      <c r="D3295" t="s">
        <v>8510</v>
      </c>
      <c r="E3295" s="3" t="str">
        <f>HYPERLINK("https://www.amazon.com/Eucerin-Original-Healing-Cream-Fragrance/dp/B000052YNB/ref=sr_1_5?keywords=Eucerin%C2%AE+Original+Healing+Cream&amp;qid=1695260284&amp;sr=8-5", "https://www.amazon.com/Eucerin-Original-Healing-Cream-Fragrance/dp/B000052YNB/ref=sr_1_5?keywords=Eucerin%C2%AE+Original+Healing+Cream&amp;qid=1695260284&amp;sr=8-5")</f>
        <v>https://www.amazon.com/Eucerin-Original-Healing-Cream-Fragrance/dp/B000052YNB/ref=sr_1_5?keywords=Eucerin%C2%AE+Original+Healing+Cream&amp;qid=1695260284&amp;sr=8-5</v>
      </c>
      <c r="F3295" t="s">
        <v>8511</v>
      </c>
      <c r="G3295" t="e">
        <f ca="1">IMAGE("https://shop.sonapharmacy.com/cdn/shop/products/6ced8f35-f45a-47ae-b156-71b5cf847fd9_1.63e05e6213afc638ebedde5ac3205a8a.jpg?v=1608412596")</f>
        <v>#NAME?</v>
      </c>
      <c r="H3295" t="e">
        <f ca="1">IMAGE("https://m.media-amazon.com/images/I/71oruZQMsxL._AC_UL320_.jpg")</f>
        <v>#NAME?</v>
      </c>
      <c r="I3295" t="s">
        <v>8512</v>
      </c>
      <c r="J3295">
        <v>41.08</v>
      </c>
      <c r="K3295" s="2" t="s">
        <v>8513</v>
      </c>
      <c r="L3295">
        <v>4.5999999999999996</v>
      </c>
      <c r="M3295">
        <v>231</v>
      </c>
      <c r="O3295" t="s">
        <v>26</v>
      </c>
      <c r="P3295" t="s">
        <v>39</v>
      </c>
      <c r="Q3295" t="s">
        <v>8514</v>
      </c>
    </row>
    <row r="3296" spans="1:17" ht="15.75" x14ac:dyDescent="0.25">
      <c r="A3296" s="3" t="str">
        <f>HYPERLINK("https://shop.sonapharmacy.com/products/ricola-original-natural-herb-cough-drops", "https://shop.sonapharmacy.com/products/ricola-original-natural-herb-cough-drops")</f>
        <v>https://shop.sonapharmacy.com/products/ricola-original-natural-herb-cough-drops</v>
      </c>
      <c r="B3296" s="3" t="str">
        <f>HYPERLINK("https://shop.sonapharmacy.com/products/ricola-original-natural-herb-cough-drops", "https://shop.sonapharmacy.com/products/ricola-original-natural-herb-cough-drops")</f>
        <v>https://shop.sonapharmacy.com/products/ricola-original-natural-herb-cough-drops</v>
      </c>
      <c r="C3296" t="s">
        <v>8464</v>
      </c>
      <c r="D3296" t="s">
        <v>8515</v>
      </c>
      <c r="E3296" s="3" t="str">
        <f>HYPERLINK("https://www.amazon.com/Ricola-Original-Natural-Cough-Drops/dp/B000P500U0/ref=sr_1_9?keywords=Ricola+Original+Natural+Herb+Cough+Drops&amp;qid=1695260693&amp;sr=8-9", "https://www.amazon.com/Ricola-Original-Natural-Cough-Drops/dp/B000P500U0/ref=sr_1_9?keywords=Ricola+Original+Natural+Herb+Cough+Drops&amp;qid=1695260693&amp;sr=8-9")</f>
        <v>https://www.amazon.com/Ricola-Original-Natural-Cough-Drops/dp/B000P500U0/ref=sr_1_9?keywords=Ricola+Original+Natural+Herb+Cough+Drops&amp;qid=1695260693&amp;sr=8-9</v>
      </c>
      <c r="F3296" t="s">
        <v>8516</v>
      </c>
      <c r="G3296" t="e">
        <f ca="1">IMAGE("https://shop.sonapharmacy.com/cdn/shop/products/originalherb_bag_21.png?v=1608220874")</f>
        <v>#NAME?</v>
      </c>
      <c r="H3296" t="e">
        <f ca="1">IMAGE("https://m.media-amazon.com/images/I/81wQZR42tFL._AC_UL320_.jpg")</f>
        <v>#NAME?</v>
      </c>
      <c r="I3296" t="s">
        <v>8279</v>
      </c>
      <c r="J3296">
        <v>27.35</v>
      </c>
      <c r="K3296" s="2" t="s">
        <v>8517</v>
      </c>
      <c r="L3296">
        <v>4.7</v>
      </c>
      <c r="M3296">
        <v>1964</v>
      </c>
      <c r="O3296" t="s">
        <v>26</v>
      </c>
      <c r="P3296" t="s">
        <v>39</v>
      </c>
      <c r="Q3296" t="s">
        <v>8468</v>
      </c>
    </row>
    <row r="3297" spans="1:17" ht="15.75" x14ac:dyDescent="0.25">
      <c r="A3297" s="3" t="str">
        <f>HYPERLINK("https://shop.sonapharmacy.com/products/pantene%C2%AE-classic-clean-conditioner-12fl-oz", "https://shop.sonapharmacy.com/products/pantene%C2%AE-classic-clean-conditioner-12fl-oz")</f>
        <v>https://shop.sonapharmacy.com/products/pantene%C2%AE-classic-clean-conditioner-12fl-oz</v>
      </c>
      <c r="B3297" s="3" t="str">
        <f>HYPERLINK("https://shop.sonapharmacy.com/products/pantene%c2%ae-classic-clean-conditioner-12fl-oz", "https://shop.sonapharmacy.com/products/pantene%c2%ae-classic-clean-conditioner-12fl-oz")</f>
        <v>https://shop.sonapharmacy.com/products/pantene%c2%ae-classic-clean-conditioner-12fl-oz</v>
      </c>
      <c r="C3297" t="s">
        <v>8518</v>
      </c>
      <c r="D3297" t="s">
        <v>8519</v>
      </c>
      <c r="E3297" s="3" t="str">
        <f>HYPERLINK("https://www.amazon.com/Pantene-Pro-V-Classic-Conditioner-Product/dp/B003UHZU2I/ref=sr_1_1?keywords=Pantene%C2%AE+Pro-V+Classic+Clean+Conditioner+12fl.+oz.&amp;qid=1695260628&amp;sr=8-1", "https://www.amazon.com/Pantene-Pro-V-Classic-Conditioner-Product/dp/B003UHZU2I/ref=sr_1_1?keywords=Pantene%C2%AE+Pro-V+Classic+Clean+Conditioner+12fl.+oz.&amp;qid=1695260628&amp;sr=8-1")</f>
        <v>https://www.amazon.com/Pantene-Pro-V-Classic-Conditioner-Product/dp/B003UHZU2I/ref=sr_1_1?keywords=Pantene%C2%AE+Pro-V+Classic+Clean+Conditioner+12fl.+oz.&amp;qid=1695260628&amp;sr=8-1</v>
      </c>
      <c r="F3297" t="s">
        <v>8520</v>
      </c>
      <c r="G3297" t="e">
        <f ca="1">IMAGE("https://shop.sonapharmacy.com/cdn/shop/products/58872a90-0469-4c0f-8cf9-949b317d123c_1.da751a1e28aabb6fc83daeab3e7cf20a.jpg?v=1609165545")</f>
        <v>#NAME?</v>
      </c>
      <c r="H3297" t="e">
        <f ca="1">IMAGE("https://m.media-amazon.com/images/I/81n6kwGNIWL._AC_UL320_.jpg")</f>
        <v>#NAME?</v>
      </c>
      <c r="I3297" t="s">
        <v>8160</v>
      </c>
      <c r="J3297">
        <v>32.54</v>
      </c>
      <c r="K3297" s="2" t="s">
        <v>8521</v>
      </c>
      <c r="L3297">
        <v>4.4000000000000004</v>
      </c>
      <c r="M3297">
        <v>48</v>
      </c>
      <c r="O3297" t="s">
        <v>136</v>
      </c>
      <c r="P3297" t="s">
        <v>39</v>
      </c>
      <c r="Q3297" t="s">
        <v>8522</v>
      </c>
    </row>
    <row r="3298" spans="1:17" ht="15.75" x14ac:dyDescent="0.25">
      <c r="A3298" s="3" t="str">
        <f>HYPERLINK("https://shop.sonapharmacy.com/products/ricola-original-natural-herb-cough-drops", "https://shop.sonapharmacy.com/products/ricola-original-natural-herb-cough-drops")</f>
        <v>https://shop.sonapharmacy.com/products/ricola-original-natural-herb-cough-drops</v>
      </c>
      <c r="B3298" s="3" t="str">
        <f>HYPERLINK("https://shop.sonapharmacy.com/products/ricola-original-natural-herb-cough-drops", "https://shop.sonapharmacy.com/products/ricola-original-natural-herb-cough-drops")</f>
        <v>https://shop.sonapharmacy.com/products/ricola-original-natural-herb-cough-drops</v>
      </c>
      <c r="C3298" t="s">
        <v>8464</v>
      </c>
      <c r="D3298" t="s">
        <v>8523</v>
      </c>
      <c r="E3298" s="3" t="str">
        <f>HYPERLINK("https://www.amazon.com/Ricola-Original-Natural-Cough-Drops/dp/B00A1CSDUQ/ref=sr_1_3?keywords=Ricola+Original+Natural+Herb+Cough+Drops&amp;qid=1695260693&amp;sr=8-3", "https://www.amazon.com/Ricola-Original-Natural-Cough-Drops/dp/B00A1CSDUQ/ref=sr_1_3?keywords=Ricola+Original+Natural+Herb+Cough+Drops&amp;qid=1695260693&amp;sr=8-3")</f>
        <v>https://www.amazon.com/Ricola-Original-Natural-Cough-Drops/dp/B00A1CSDUQ/ref=sr_1_3?keywords=Ricola+Original+Natural+Herb+Cough+Drops&amp;qid=1695260693&amp;sr=8-3</v>
      </c>
      <c r="F3298" t="s">
        <v>8524</v>
      </c>
      <c r="G3298" t="e">
        <f ca="1">IMAGE("https://shop.sonapharmacy.com/cdn/shop/products/originalherb_bag_21.png?v=1608220874")</f>
        <v>#NAME?</v>
      </c>
      <c r="H3298" t="e">
        <f ca="1">IMAGE("https://m.media-amazon.com/images/I/81yqXXWFZpL._AC_UL320_.jpg")</f>
        <v>#NAME?</v>
      </c>
      <c r="I3298" t="s">
        <v>8279</v>
      </c>
      <c r="J3298">
        <v>26.99</v>
      </c>
      <c r="K3298" s="2" t="s">
        <v>8525</v>
      </c>
      <c r="L3298">
        <v>4.8</v>
      </c>
      <c r="M3298">
        <v>2593</v>
      </c>
      <c r="O3298" t="s">
        <v>26</v>
      </c>
      <c r="P3298" t="s">
        <v>39</v>
      </c>
      <c r="Q3298" t="s">
        <v>8468</v>
      </c>
    </row>
    <row r="3299" spans="1:17" ht="15.75" x14ac:dyDescent="0.25">
      <c r="A3299" s="3" t="str">
        <f>HYPERLINK("https://shop.sonapharmacy.com/products/phisoderm-fragrance-free-facial-cleansing-bar-2pck", "https://shop.sonapharmacy.com/products/phisoderm-fragrance-free-facial-cleansing-bar-2pck")</f>
        <v>https://shop.sonapharmacy.com/products/phisoderm-fragrance-free-facial-cleansing-bar-2pck</v>
      </c>
      <c r="B3299" s="3" t="str">
        <f>HYPERLINK("https://shop.sonapharmacy.com/products/phisoderm-fragrance-free-facial-cleansing-bar-2pck", "https://shop.sonapharmacy.com/products/phisoderm-fragrance-free-facial-cleansing-bar-2pck")</f>
        <v>https://shop.sonapharmacy.com/products/phisoderm-fragrance-free-facial-cleansing-bar-2pck</v>
      </c>
      <c r="C3299" t="s">
        <v>8526</v>
      </c>
      <c r="D3299" t="s">
        <v>8527</v>
      </c>
      <c r="E3299" s="3" t="str">
        <f>HYPERLINK("https://www.amazon.com/pHisoderm-Facial-Cleansing-Fragrance-Double/dp/B00BS8YHXO/ref=sr_1_1?keywords=Phisoderm+Fragrance+Free+Facial+Cleansing+Bar+2+pack&amp;qid=1695260643&amp;sr=8-1", "https://www.amazon.com/pHisoderm-Facial-Cleansing-Fragrance-Double/dp/B00BS8YHXO/ref=sr_1_1?keywords=Phisoderm+Fragrance+Free+Facial+Cleansing+Bar+2+pack&amp;qid=1695260643&amp;sr=8-1")</f>
        <v>https://www.amazon.com/pHisoderm-Facial-Cleansing-Fragrance-Double/dp/B00BS8YHXO/ref=sr_1_1?keywords=Phisoderm+Fragrance+Free+Facial+Cleansing+Bar+2+pack&amp;qid=1695260643&amp;sr=8-1</v>
      </c>
      <c r="F3299" t="s">
        <v>8528</v>
      </c>
      <c r="G3299" t="e">
        <f ca="1">IMAGE("https://shop.sonapharmacy.com/cdn/shop/products/6bf41d08-dc7b-4569-ae65-6e51e1cd5782_1.016fadce3a82a9a8e1a3bf981e470ebf.jpg?v=1608308170")</f>
        <v>#NAME?</v>
      </c>
      <c r="H3299" t="e">
        <f ca="1">IMAGE("https://m.media-amazon.com/images/I/611BeoLrE0L._AC_UL320_.jpg")</f>
        <v>#NAME?</v>
      </c>
      <c r="I3299" t="s">
        <v>8102</v>
      </c>
      <c r="J3299">
        <v>34.99</v>
      </c>
      <c r="K3299" s="2" t="s">
        <v>8529</v>
      </c>
      <c r="L3299">
        <v>3.7</v>
      </c>
      <c r="M3299">
        <v>22</v>
      </c>
      <c r="O3299" t="s">
        <v>136</v>
      </c>
      <c r="P3299" t="s">
        <v>39</v>
      </c>
      <c r="Q3299" t="s">
        <v>8530</v>
      </c>
    </row>
    <row r="3300" spans="1:17" ht="15.75" x14ac:dyDescent="0.25">
      <c r="A3300" s="3" t="str">
        <f>HYPERLINK("https://shop.sonapharmacy.com/products/prince-of-peace-ginger-chews-4oz", "https://shop.sonapharmacy.com/products/prince-of-peace-ginger-chews-4oz")</f>
        <v>https://shop.sonapharmacy.com/products/prince-of-peace-ginger-chews-4oz</v>
      </c>
      <c r="B3300" s="3" t="str">
        <f>HYPERLINK("https://shop.sonapharmacy.com/products/prince-of-peace-ginger-chews-4oz", "https://shop.sonapharmacy.com/products/prince-of-peace-ginger-chews-4oz")</f>
        <v>https://shop.sonapharmacy.com/products/prince-of-peace-ginger-chews-4oz</v>
      </c>
      <c r="C3300" t="s">
        <v>8087</v>
      </c>
      <c r="D3300" t="s">
        <v>8531</v>
      </c>
      <c r="E3300" s="3" t="str">
        <f>HYPERLINK("https://www.amazon.com/Prince-Peace-Ginger-Chews-Lemon/dp/B08R5HYCRY/ref=sr_1_3?keywords=Prince+Of+Peace+Ginger+Chews+4oz.&amp;qid=1695260650&amp;sr=8-3", "https://www.amazon.com/Prince-Peace-Ginger-Chews-Lemon/dp/B08R5HYCRY/ref=sr_1_3?keywords=Prince+Of+Peace+Ginger+Chews+4oz.&amp;qid=1695260650&amp;sr=8-3")</f>
        <v>https://www.amazon.com/Prince-Peace-Ginger-Chews-Lemon/dp/B08R5HYCRY/ref=sr_1_3?keywords=Prince+Of+Peace+Ginger+Chews+4oz.&amp;qid=1695260650&amp;sr=8-3</v>
      </c>
      <c r="F3300" t="s">
        <v>8532</v>
      </c>
      <c r="G3300" t="e">
        <f ca="1">IMAGE("https://shop.sonapharmacy.com/cdn/shop/products/original.jpg?v=1613754987")</f>
        <v>#NAME?</v>
      </c>
      <c r="H3300" t="e">
        <f ca="1">IMAGE("https://m.media-amazon.com/images/I/61GWLR2oZTS._AC_UL320_.jpg")</f>
        <v>#NAME?</v>
      </c>
      <c r="I3300" t="s">
        <v>8090</v>
      </c>
      <c r="J3300">
        <v>13.32</v>
      </c>
      <c r="K3300" s="2" t="s">
        <v>8533</v>
      </c>
      <c r="L3300">
        <v>4.8</v>
      </c>
      <c r="M3300">
        <v>298</v>
      </c>
      <c r="O3300" t="s">
        <v>26</v>
      </c>
      <c r="P3300" t="s">
        <v>39</v>
      </c>
      <c r="Q3300" t="s">
        <v>8092</v>
      </c>
    </row>
    <row r="3301" spans="1:17" ht="15.75" x14ac:dyDescent="0.25">
      <c r="A3301" s="3" t="str">
        <f>HYPERLINK("https://shop.sonapharmacy.com/products/sunbum%C2%AE-original-spf-30-sunscreen-lip-balm", "https://shop.sonapharmacy.com/products/sunbum%C2%AE-original-spf-30-sunscreen-lip-balm")</f>
        <v>https://shop.sonapharmacy.com/products/sunbum%C2%AE-original-spf-30-sunscreen-lip-balm</v>
      </c>
      <c r="B3301" s="3" t="str">
        <f>HYPERLINK("https://shop.sonapharmacy.com/products/sunbum%c2%ae-original-spf-30-sunscreen-lip-balm", "https://shop.sonapharmacy.com/products/sunbum%c2%ae-original-spf-30-sunscreen-lip-balm")</f>
        <v>https://shop.sonapharmacy.com/products/sunbum%c2%ae-original-spf-30-sunscreen-lip-balm</v>
      </c>
      <c r="C3301" t="s">
        <v>8534</v>
      </c>
      <c r="D3301" t="s">
        <v>8535</v>
      </c>
      <c r="E3301" s="3" t="str">
        <f>HYPERLINK("https://www.amazon.com/Sun-Bum-Protection-Hypoallergenic-Originals/dp/B07PK4Q733/ref=sr_1_4?keywords=Sun+Bum%C2%AE+Original+SPF+30+Sunscreen+Lip+Balm&amp;qid=1695260758&amp;sr=8-4", "https://www.amazon.com/Sun-Bum-Protection-Hypoallergenic-Originals/dp/B07PK4Q733/ref=sr_1_4?keywords=Sun+Bum%C2%AE+Original+SPF+30+Sunscreen+Lip+Balm&amp;qid=1695260758&amp;sr=8-4")</f>
        <v>https://www.amazon.com/Sun-Bum-Protection-Hypoallergenic-Originals/dp/B07PK4Q733/ref=sr_1_4?keywords=Sun+Bum%C2%AE+Original+SPF+30+Sunscreen+Lip+Balm&amp;qid=1695260758&amp;sr=8-4</v>
      </c>
      <c r="F3301" t="s">
        <v>8536</v>
      </c>
      <c r="G3301" t="e">
        <f ca="1">IMAGE("https://shop.sonapharmacy.com/cdn/shop/products/71AEzBiAaUL._AC_SL1500.jpg?v=1611872104")</f>
        <v>#NAME?</v>
      </c>
      <c r="H3301" t="e">
        <f ca="1">IMAGE("https://m.media-amazon.com/images/I/615ItEhAUcL._AC_UL320_.jpg")</f>
        <v>#NAME?</v>
      </c>
      <c r="I3301" t="s">
        <v>8411</v>
      </c>
      <c r="J3301">
        <v>27.93</v>
      </c>
      <c r="K3301" s="2" t="s">
        <v>8537</v>
      </c>
      <c r="L3301">
        <v>4.7</v>
      </c>
      <c r="M3301">
        <v>148</v>
      </c>
      <c r="O3301" t="s">
        <v>26</v>
      </c>
      <c r="P3301" t="s">
        <v>39</v>
      </c>
      <c r="Q3301" t="s">
        <v>8538</v>
      </c>
    </row>
    <row r="3302" spans="1:17" ht="15.75" x14ac:dyDescent="0.25">
      <c r="A3302" s="3" t="str">
        <f>HYPERLINK("https://shop.sonapharmacy.com/products/burts-bees%C2%AE-lemon-butter-cuticle-cream-0-60oz", "https://shop.sonapharmacy.com/products/burts-bees%C2%AE-lemon-butter-cuticle-cream-0-60oz")</f>
        <v>https://shop.sonapharmacy.com/products/burts-bees%C2%AE-lemon-butter-cuticle-cream-0-60oz</v>
      </c>
      <c r="B3302" s="3" t="str">
        <f>HYPERLINK("https://shop.sonapharmacy.com/products/burts-bees%c2%ae-lemon-butter-cuticle-cream-0-60oz", "https://shop.sonapharmacy.com/products/burts-bees%c2%ae-lemon-butter-cuticle-cream-0-60oz")</f>
        <v>https://shop.sonapharmacy.com/products/burts-bees%c2%ae-lemon-butter-cuticle-cream-0-60oz</v>
      </c>
      <c r="C3302" t="s">
        <v>8539</v>
      </c>
      <c r="D3302" t="s">
        <v>8540</v>
      </c>
      <c r="E3302" s="3" t="str">
        <f>HYPERLINK("https://www.amazon.com/Burts-Bees-Natural-Butter-Cuticle/dp/B01BGIDTPC/ref=sr_1_2?keywords=Burt%27s+Bees%C2%AE+Lemon+Butter+Cuticle+Cream+0.60oz.&amp;qid=1695260124&amp;sr=8-2", "https://www.amazon.com/Burts-Bees-Natural-Butter-Cuticle/dp/B01BGIDTPC/ref=sr_1_2?keywords=Burt%27s+Bees%C2%AE+Lemon+Butter+Cuticle+Cream+0.60oz.&amp;qid=1695260124&amp;sr=8-2")</f>
        <v>https://www.amazon.com/Burts-Bees-Natural-Butter-Cuticle/dp/B01BGIDTPC/ref=sr_1_2?keywords=Burt%27s+Bees%C2%AE+Lemon+Butter+Cuticle+Cream+0.60oz.&amp;qid=1695260124&amp;sr=8-2</v>
      </c>
      <c r="F3302" t="s">
        <v>8541</v>
      </c>
      <c r="G3302" t="e">
        <f ca="1">IMAGE("https://shop.sonapharmacy.com/cdn/shop/products/0fadcebd-76bc-4875-8263-6bd9c28133f1.3d5d181bb70920ec65fb71d35eaa2949.jpg?v=1610316654")</f>
        <v>#NAME?</v>
      </c>
      <c r="H3302" t="e">
        <f ca="1">IMAGE("https://m.media-amazon.com/images/I/91PBOlHK1VL._AC_UL320_.jpg")</f>
        <v>#NAME?</v>
      </c>
      <c r="I3302" t="s">
        <v>8542</v>
      </c>
      <c r="J3302">
        <v>33.92</v>
      </c>
      <c r="K3302" s="2" t="s">
        <v>8543</v>
      </c>
      <c r="L3302">
        <v>4.8</v>
      </c>
      <c r="M3302">
        <v>5341</v>
      </c>
      <c r="O3302" t="s">
        <v>26</v>
      </c>
      <c r="P3302" t="s">
        <v>39</v>
      </c>
      <c r="Q3302" t="s">
        <v>8544</v>
      </c>
    </row>
    <row r="3303" spans="1:17" ht="15.75" x14ac:dyDescent="0.25">
      <c r="A3303" s="3" t="str">
        <f>HYPERLINK("https://shop.sonapharmacy.com/products/purell%C2%AE-advanced-hand-sanitizer-refreshing-gel-2fl-oz", "https://shop.sonapharmacy.com/products/purell%C2%AE-advanced-hand-sanitizer-refreshing-gel-2fl-oz")</f>
        <v>https://shop.sonapharmacy.com/products/purell%C2%AE-advanced-hand-sanitizer-refreshing-gel-2fl-oz</v>
      </c>
      <c r="B3303" s="3" t="str">
        <f>HYPERLINK("https://shop.sonapharmacy.com/products/purell%c2%ae-advanced-hand-sanitizer-refreshing-gel-2fl-oz", "https://shop.sonapharmacy.com/products/purell%c2%ae-advanced-hand-sanitizer-refreshing-gel-2fl-oz")</f>
        <v>https://shop.sonapharmacy.com/products/purell%c2%ae-advanced-hand-sanitizer-refreshing-gel-2fl-oz</v>
      </c>
      <c r="C3303" t="s">
        <v>7981</v>
      </c>
      <c r="D3303" t="s">
        <v>8545</v>
      </c>
      <c r="E3303" s="3" t="str">
        <f>HYPERLINK("https://www.amazon.com/PURELL-Advanced-Sanitizer-Refreshing-Bottles/dp/B01M4GBIWB/ref=sr_1_6?keywords=Purell%C2%AE+Advanced+Hand+Sanitizer+Refreshing+Gel+2fl.+oz.&amp;qid=1695260680&amp;sr=8-6", "https://www.amazon.com/PURELL-Advanced-Sanitizer-Refreshing-Bottles/dp/B01M4GBIWB/ref=sr_1_6?keywords=Purell%C2%AE+Advanced+Hand+Sanitizer+Refreshing+Gel+2fl.+oz.&amp;qid=1695260680&amp;sr=8-6")</f>
        <v>https://www.amazon.com/PURELL-Advanced-Sanitizer-Refreshing-Bottles/dp/B01M4GBIWB/ref=sr_1_6?keywords=Purell%C2%AE+Advanced+Hand+Sanitizer+Refreshing+Gel+2fl.+oz.&amp;qid=1695260680&amp;sr=8-6</v>
      </c>
      <c r="F3303" t="s">
        <v>8546</v>
      </c>
      <c r="G3303" t="e">
        <f ca="1">IMAGE("https://shop.sonapharmacy.com/cdn/shop/products/71UqyQSibqL._SL1500.jpg?v=1610731509")</f>
        <v>#NAME?</v>
      </c>
      <c r="H3303" t="e">
        <f ca="1">IMAGE("https://m.media-amazon.com/images/I/71EJe7a+qlL._AC_UL320_.jpg")</f>
        <v>#NAME?</v>
      </c>
      <c r="I3303" t="s">
        <v>7984</v>
      </c>
      <c r="J3303">
        <v>13.74</v>
      </c>
      <c r="K3303" s="2" t="s">
        <v>8547</v>
      </c>
      <c r="L3303">
        <v>4.5</v>
      </c>
      <c r="M3303">
        <v>355</v>
      </c>
      <c r="O3303" t="s">
        <v>26</v>
      </c>
      <c r="P3303" t="s">
        <v>39</v>
      </c>
      <c r="Q3303" t="s">
        <v>7986</v>
      </c>
    </row>
    <row r="3304" spans="1:17" ht="15.75" x14ac:dyDescent="0.25">
      <c r="A3304" s="3" t="str">
        <f>HYPERLINK("https://shop.sonapharmacy.com/products/colgate%C2%AE-plus-soft-toothbrush", "https://shop.sonapharmacy.com/products/colgate%C2%AE-plus-soft-toothbrush")</f>
        <v>https://shop.sonapharmacy.com/products/colgate%C2%AE-plus-soft-toothbrush</v>
      </c>
      <c r="B3304" s="3" t="str">
        <f>HYPERLINK("https://shop.sonapharmacy.com/products/colgate%c2%ae-plus-soft-toothbrush", "https://shop.sonapharmacy.com/products/colgate%c2%ae-plus-soft-toothbrush")</f>
        <v>https://shop.sonapharmacy.com/products/colgate%c2%ae-plus-soft-toothbrush</v>
      </c>
      <c r="C3304" t="s">
        <v>8548</v>
      </c>
      <c r="D3304" t="s">
        <v>8549</v>
      </c>
      <c r="E3304" s="3" t="str">
        <f>HYPERLINK("https://www.amazon.com/Colgate-Plus-Adult-Toothbrush-2-Count/dp/B001UABZS0/ref=sr_1_4?keywords=Colgate%C2%AE+Plus+Soft+Toothbrush&amp;qid=1695260144&amp;sr=8-4", "https://www.amazon.com/Colgate-Plus-Adult-Toothbrush-2-Count/dp/B001UABZS0/ref=sr_1_4?keywords=Colgate%C2%AE+Plus+Soft+Toothbrush&amp;qid=1695260144&amp;sr=8-4")</f>
        <v>https://www.amazon.com/Colgate-Plus-Adult-Toothbrush-2-Count/dp/B001UABZS0/ref=sr_1_4?keywords=Colgate%C2%AE+Plus+Soft+Toothbrush&amp;qid=1695260144&amp;sr=8-4</v>
      </c>
      <c r="F3304" t="s">
        <v>8550</v>
      </c>
      <c r="G3304" t="e">
        <f ca="1">IMAGE("https://shop.sonapharmacy.com/cdn/shop/products/9924432_0000.jpg?v=1608585882")</f>
        <v>#NAME?</v>
      </c>
      <c r="H3304" t="e">
        <f ca="1">IMAGE("https://m.media-amazon.com/images/I/51q2nPuTtXL._AC_UL320_.jpg")</f>
        <v>#NAME?</v>
      </c>
      <c r="I3304" t="s">
        <v>8551</v>
      </c>
      <c r="J3304">
        <v>15.09</v>
      </c>
      <c r="K3304" s="2" t="s">
        <v>8552</v>
      </c>
      <c r="L3304">
        <v>4.5</v>
      </c>
      <c r="M3304">
        <v>2</v>
      </c>
      <c r="O3304" t="s">
        <v>26</v>
      </c>
      <c r="P3304" t="s">
        <v>39</v>
      </c>
      <c r="Q3304" t="s">
        <v>8553</v>
      </c>
    </row>
    <row r="3305" spans="1:17" ht="15.75" x14ac:dyDescent="0.25">
      <c r="A3305" s="3" t="str">
        <f>HYPERLINK("https://shop.sonapharmacy.com/products/curad-compact-first-aid-kit", "https://shop.sonapharmacy.com/products/curad-compact-first-aid-kit")</f>
        <v>https://shop.sonapharmacy.com/products/curad-compact-first-aid-kit</v>
      </c>
      <c r="B3305" s="3" t="str">
        <f>HYPERLINK("https://shop.sonapharmacy.com/products/curad-compact-first-aid-kit", "https://shop.sonapharmacy.com/products/curad-compact-first-aid-kit")</f>
        <v>https://shop.sonapharmacy.com/products/curad-compact-first-aid-kit</v>
      </c>
      <c r="C3305" t="s">
        <v>8554</v>
      </c>
      <c r="D3305" t="s">
        <v>8555</v>
      </c>
      <c r="E3305" s="3" t="str">
        <f>HYPERLINK("https://www.amazon.com/Premium-Waterproof-Compact-Medical-Emergencies/dp/B096X2NK1B/ref=sr_1_3?keywords=Curad%C2%AE+Compact+First+Aid+Kit&amp;qid=1695260179&amp;sr=8-3", "https://www.amazon.com/Premium-Waterproof-Compact-Medical-Emergencies/dp/B096X2NK1B/ref=sr_1_3?keywords=Curad%C2%AE+Compact+First+Aid+Kit&amp;qid=1695260179&amp;sr=8-3")</f>
        <v>https://www.amazon.com/Premium-Waterproof-Compact-Medical-Emergencies/dp/B096X2NK1B/ref=sr_1_3?keywords=Curad%C2%AE+Compact+First+Aid+Kit&amp;qid=1695260179&amp;sr=8-3</v>
      </c>
      <c r="F3305" t="s">
        <v>8556</v>
      </c>
      <c r="G3305" t="e">
        <f ca="1">IMAGE("https://shop.sonapharmacy.com/cdn/shop/products/SKU_CURFAK200RB_BOX_RIGHT_RGB_500x550_575adfc4-7192-4115-907f-353af88557b0.png?v=1607719376")</f>
        <v>#NAME?</v>
      </c>
      <c r="H3305" t="e">
        <f ca="1">IMAGE("https://m.media-amazon.com/images/I/81a8W+LrAwL._AC_UL320_.jpg")</f>
        <v>#NAME?</v>
      </c>
      <c r="I3305" t="s">
        <v>8557</v>
      </c>
      <c r="J3305">
        <v>45.99</v>
      </c>
      <c r="K3305" s="2" t="s">
        <v>8558</v>
      </c>
      <c r="L3305">
        <v>4.7</v>
      </c>
      <c r="M3305">
        <v>2031</v>
      </c>
      <c r="O3305" t="s">
        <v>26</v>
      </c>
      <c r="P3305" t="s">
        <v>39</v>
      </c>
      <c r="Q3305" t="s">
        <v>8559</v>
      </c>
    </row>
    <row r="3306" spans="1:17" ht="15.75" x14ac:dyDescent="0.25">
      <c r="A3306" s="3" t="str">
        <f>HYPERLINK("https://shop.sonapharmacy.com/products/suave%C2%AE-sun-ripened-strawberry-shampoo-30fl-oz", "https://shop.sonapharmacy.com/products/suave%C2%AE-sun-ripened-strawberry-shampoo-30fl-oz")</f>
        <v>https://shop.sonapharmacy.com/products/suave%C2%AE-sun-ripened-strawberry-shampoo-30fl-oz</v>
      </c>
      <c r="B3306" s="3" t="str">
        <f>HYPERLINK("https://shop.sonapharmacy.com/products/suave%c2%ae-sun-ripened-strawberry-shampoo-30fl-oz", "https://shop.sonapharmacy.com/products/suave%c2%ae-sun-ripened-strawberry-shampoo-30fl-oz")</f>
        <v>https://shop.sonapharmacy.com/products/suave%c2%ae-sun-ripened-strawberry-shampoo-30fl-oz</v>
      </c>
      <c r="C3306" t="s">
        <v>8560</v>
      </c>
      <c r="D3306" t="s">
        <v>8561</v>
      </c>
      <c r="E3306" s="3" t="str">
        <f>HYPERLINK("https://www.amazon.com/Suave-Essentials-Ripened-Strawberry-Shampoo/dp/B01FE7TCE8/ref=sr_1_2?keywords=Suave%C2%AE+Essentials+Sun-Ripened+Strawberry+Shampoo+30fl.+oz.&amp;qid=1695260730&amp;sr=8-2", "https://www.amazon.com/Suave-Essentials-Ripened-Strawberry-Shampoo/dp/B01FE7TCE8/ref=sr_1_2?keywords=Suave%C2%AE+Essentials+Sun-Ripened+Strawberry+Shampoo+30fl.+oz.&amp;qid=1695260730&amp;sr=8-2")</f>
        <v>https://www.amazon.com/Suave-Essentials-Ripened-Strawberry-Shampoo/dp/B01FE7TCE8/ref=sr_1_2?keywords=Suave%C2%AE+Essentials+Sun-Ripened+Strawberry+Shampoo+30fl.+oz.&amp;qid=1695260730&amp;sr=8-2</v>
      </c>
      <c r="F3306" t="s">
        <v>8562</v>
      </c>
      <c r="G3306" t="e">
        <f ca="1">IMAGE("https://shop.sonapharmacy.com/cdn/shop/products/7568d940-27ef-4203-9e84-e8a58fa93fa1_1.fc9b957bb4c5cc7d455ff47c79283294.jpg?v=1609101205")</f>
        <v>#NAME?</v>
      </c>
      <c r="H3306" t="e">
        <f ca="1">IMAGE("https://m.media-amazon.com/images/I/71DsDb4YsBS._AC_UL320_.jpg")</f>
        <v>#NAME?</v>
      </c>
      <c r="I3306" t="s">
        <v>8563</v>
      </c>
      <c r="J3306">
        <v>20.37</v>
      </c>
      <c r="K3306" s="2" t="s">
        <v>8564</v>
      </c>
      <c r="L3306">
        <v>4.5999999999999996</v>
      </c>
      <c r="M3306">
        <v>272</v>
      </c>
      <c r="O3306" t="s">
        <v>136</v>
      </c>
      <c r="P3306" t="s">
        <v>39</v>
      </c>
      <c r="Q3306" t="s">
        <v>8565</v>
      </c>
    </row>
    <row r="3307" spans="1:17" ht="15.75" x14ac:dyDescent="0.25">
      <c r="A3307" s="3" t="str">
        <f>HYPERLINK("https://shop.sonapharmacy.com/products/nexcare-opticlude", "https://shop.sonapharmacy.com/products/nexcare-opticlude")</f>
        <v>https://shop.sonapharmacy.com/products/nexcare-opticlude</v>
      </c>
      <c r="B3307" s="3" t="str">
        <f>HYPERLINK("https://shop.sonapharmacy.com/products/nexcare-opticlude", "https://shop.sonapharmacy.com/products/nexcare-opticlude")</f>
        <v>https://shop.sonapharmacy.com/products/nexcare-opticlude</v>
      </c>
      <c r="C3307" t="s">
        <v>8566</v>
      </c>
      <c r="D3307" t="s">
        <v>8567</v>
      </c>
      <c r="E3307" s="3" t="str">
        <f>HYPERLINK("https://www.amazon.com/Nexcare-Opticlude-Orthoptic-Patches-Regular/dp/B01IAI4RJI/ref=sr_1_9?keywords=Nexcare+Opticlude+Eye+Patch&amp;qid=1695260565&amp;sr=8-9", "https://www.amazon.com/Nexcare-Opticlude-Orthoptic-Patches-Regular/dp/B01IAI4RJI/ref=sr_1_9?keywords=Nexcare+Opticlude+Eye+Patch&amp;qid=1695260565&amp;sr=8-9")</f>
        <v>https://www.amazon.com/Nexcare-Opticlude-Orthoptic-Patches-Regular/dp/B01IAI4RJI/ref=sr_1_9?keywords=Nexcare+Opticlude+Eye+Patch&amp;qid=1695260565&amp;sr=8-9</v>
      </c>
      <c r="F3307" t="s">
        <v>8568</v>
      </c>
      <c r="G3307" t="e">
        <f ca="1">IMAGE("https://shop.sonapharmacy.com/cdn/shop/products/us-1539-opticlude-eyepatch.jpg?v=1607704873")</f>
        <v>#NAME?</v>
      </c>
      <c r="H3307" t="e">
        <f ca="1">IMAGE("https://m.media-amazon.com/images/I/711noiP-t2L._AC_UL320_.jpg")</f>
        <v>#NAME?</v>
      </c>
      <c r="I3307" t="s">
        <v>4296</v>
      </c>
      <c r="J3307">
        <v>73.459999999999994</v>
      </c>
      <c r="K3307" s="2" t="s">
        <v>8569</v>
      </c>
      <c r="L3307">
        <v>4.3</v>
      </c>
      <c r="M3307">
        <v>2</v>
      </c>
      <c r="O3307" t="s">
        <v>26</v>
      </c>
      <c r="P3307" t="s">
        <v>39</v>
      </c>
      <c r="Q3307" t="s">
        <v>8570</v>
      </c>
    </row>
    <row r="3308" spans="1:17" ht="15.75" x14ac:dyDescent="0.25">
      <c r="A3308" s="3" t="str">
        <f>HYPERLINK("https://shop.sonapharmacy.com/products/apex%C2%AE-medicine-spoon-10ml", "https://shop.sonapharmacy.com/products/apex%C2%AE-medicine-spoon-10ml")</f>
        <v>https://shop.sonapharmacy.com/products/apex%C2%AE-medicine-spoon-10ml</v>
      </c>
      <c r="B3308" s="3" t="str">
        <f>HYPERLINK("https://shop.sonapharmacy.com/products/apex%c2%ae-medicine-spoon-10ml", "https://shop.sonapharmacy.com/products/apex%c2%ae-medicine-spoon-10ml")</f>
        <v>https://shop.sonapharmacy.com/products/apex%c2%ae-medicine-spoon-10ml</v>
      </c>
      <c r="C3308" t="s">
        <v>8388</v>
      </c>
      <c r="D3308" t="s">
        <v>8571</v>
      </c>
      <c r="E3308" s="3" t="str">
        <f>HYPERLINK("https://www.amazon.com/Apex-Medicine-Spoon-10mL-Pack/dp/B01JPYAZI8/ref=sr_1_3?keywords=Apex+Medicine+Spoon+10ml.&amp;qid=1695260008&amp;sr=8-3", "https://www.amazon.com/Apex-Medicine-Spoon-10mL-Pack/dp/B01JPYAZI8/ref=sr_1_3?keywords=Apex+Medicine+Spoon+10ml.&amp;qid=1695260008&amp;sr=8-3")</f>
        <v>https://www.amazon.com/Apex-Medicine-Spoon-10mL-Pack/dp/B01JPYAZI8/ref=sr_1_3?keywords=Apex+Medicine+Spoon+10ml.&amp;qid=1695260008&amp;sr=8-3</v>
      </c>
      <c r="F3308" t="s">
        <v>8572</v>
      </c>
      <c r="G3308" t="e">
        <f ca="1">IMAGE("https://shop.sonapharmacy.com/cdn/shop/products/318g5JQyUoL._AC.jpg?v=1609960936")</f>
        <v>#NAME?</v>
      </c>
      <c r="H3308" t="e">
        <f ca="1">IMAGE("https://m.media-amazon.com/images/I/318g5JQyUoL._AC_UL320_.jpg")</f>
        <v>#NAME?</v>
      </c>
      <c r="I3308" t="s">
        <v>8294</v>
      </c>
      <c r="J3308">
        <v>9.36</v>
      </c>
      <c r="K3308" s="2" t="s">
        <v>8573</v>
      </c>
      <c r="L3308">
        <v>4.7</v>
      </c>
      <c r="M3308">
        <v>4</v>
      </c>
      <c r="O3308" t="s">
        <v>26</v>
      </c>
      <c r="P3308" t="s">
        <v>39</v>
      </c>
      <c r="Q3308" t="s">
        <v>8392</v>
      </c>
    </row>
    <row r="3309" spans="1:17" ht="15.75" x14ac:dyDescent="0.25">
      <c r="A3309" s="3" t="str">
        <f>HYPERLINK("https://shop.sonapharmacy.com/products/ricola-original-natural-herb-cough-drops", "https://shop.sonapharmacy.com/products/ricola-original-natural-herb-cough-drops")</f>
        <v>https://shop.sonapharmacy.com/products/ricola-original-natural-herb-cough-drops</v>
      </c>
      <c r="B3309" s="3" t="str">
        <f>HYPERLINK("https://shop.sonapharmacy.com/products/ricola-original-natural-herb-cough-drops", "https://shop.sonapharmacy.com/products/ricola-original-natural-herb-cough-drops")</f>
        <v>https://shop.sonapharmacy.com/products/ricola-original-natural-herb-cough-drops</v>
      </c>
      <c r="C3309" t="s">
        <v>8464</v>
      </c>
      <c r="D3309" t="s">
        <v>8574</v>
      </c>
      <c r="E3309" s="3" t="str">
        <f>HYPERLINK("https://www.amazon.com/Ricola-Original-Suppressant-Naturally-Long-Lasting/dp/B0B9VGL159/ref=sr_1_5?keywords=Ricola+Original+Natural+Herb+Cough+Drops&amp;qid=1695260693&amp;sr=8-5", "https://www.amazon.com/Ricola-Original-Suppressant-Naturally-Long-Lasting/dp/B0B9VGL159/ref=sr_1_5?keywords=Ricola+Original+Natural+Herb+Cough+Drops&amp;qid=1695260693&amp;sr=8-5")</f>
        <v>https://www.amazon.com/Ricola-Original-Suppressant-Naturally-Long-Lasting/dp/B0B9VGL159/ref=sr_1_5?keywords=Ricola+Original+Natural+Herb+Cough+Drops&amp;qid=1695260693&amp;sr=8-5</v>
      </c>
      <c r="F3309" t="s">
        <v>8575</v>
      </c>
      <c r="G3309" t="e">
        <f ca="1">IMAGE("https://shop.sonapharmacy.com/cdn/shop/products/originalherb_bag_21.png?v=1608220874")</f>
        <v>#NAME?</v>
      </c>
      <c r="H3309" t="e">
        <f ca="1">IMAGE("https://m.media-amazon.com/images/I/71eFpND4EdL._AC_UL320_.jpg")</f>
        <v>#NAME?</v>
      </c>
      <c r="I3309" t="s">
        <v>8279</v>
      </c>
      <c r="J3309">
        <v>25.79</v>
      </c>
      <c r="K3309" s="2" t="s">
        <v>8576</v>
      </c>
      <c r="L3309">
        <v>3.5</v>
      </c>
      <c r="M3309">
        <v>9</v>
      </c>
      <c r="O3309" t="s">
        <v>26</v>
      </c>
      <c r="P3309" t="s">
        <v>39</v>
      </c>
      <c r="Q3309" t="s">
        <v>8468</v>
      </c>
    </row>
    <row r="3310" spans="1:17" ht="15.75" x14ac:dyDescent="0.25">
      <c r="A3310" s="3" t="str">
        <f>HYPERLINK("https://shop.sonapharmacy.com/products/eos%C2%AE-strawberry-sorbet-lip-balm", "https://shop.sonapharmacy.com/products/eos%C2%AE-strawberry-sorbet-lip-balm")</f>
        <v>https://shop.sonapharmacy.com/products/eos%C2%AE-strawberry-sorbet-lip-balm</v>
      </c>
      <c r="B3310" s="3" t="str">
        <f>HYPERLINK("https://shop.sonapharmacy.com/products/eos%c2%ae-strawberry-sorbet-lip-balm", "https://shop.sonapharmacy.com/products/eos%c2%ae-strawberry-sorbet-lip-balm")</f>
        <v>https://shop.sonapharmacy.com/products/eos%c2%ae-strawberry-sorbet-lip-balm</v>
      </c>
      <c r="C3310" t="s">
        <v>8408</v>
      </c>
      <c r="D3310" t="s">
        <v>8577</v>
      </c>
      <c r="E3310" s="3" t="str">
        <f>HYPERLINK("https://www.amazon.com/eos-Twinning-Bundle-Strawberry-Vanilla/dp/B0C34J1B3Q/ref=sr_1_8?keywords=EOS%C2%AE+Strawberry+Sorbet+Lip+Balm&amp;qid=1695260249&amp;sr=8-8", "https://www.amazon.com/eos-Twinning-Bundle-Strawberry-Vanilla/dp/B0C34J1B3Q/ref=sr_1_8?keywords=EOS%C2%AE+Strawberry+Sorbet+Lip+Balm&amp;qid=1695260249&amp;sr=8-8")</f>
        <v>https://www.amazon.com/eos-Twinning-Bundle-Strawberry-Vanilla/dp/B0C34J1B3Q/ref=sr_1_8?keywords=EOS%C2%AE+Strawberry+Sorbet+Lip+Balm&amp;qid=1695260249&amp;sr=8-8</v>
      </c>
      <c r="F3310" t="s">
        <v>8578</v>
      </c>
      <c r="G3310" t="e">
        <f ca="1">IMAGE("https://shop.sonapharmacy.com/cdn/shop/products/892992002847-1a_VB__70684.1610588860.jpg?v=1610642796")</f>
        <v>#NAME?</v>
      </c>
      <c r="H3310" t="e">
        <f ca="1">IMAGE("https://m.media-amazon.com/images/I/81KTe6y+s6L._AC_UL320_.jpg")</f>
        <v>#NAME?</v>
      </c>
      <c r="I3310" t="s">
        <v>8411</v>
      </c>
      <c r="J3310">
        <v>26.86</v>
      </c>
      <c r="K3310" s="2" t="s">
        <v>8579</v>
      </c>
      <c r="L3310">
        <v>4.5999999999999996</v>
      </c>
      <c r="M3310">
        <v>98</v>
      </c>
      <c r="O3310" t="s">
        <v>26</v>
      </c>
      <c r="P3310" t="s">
        <v>39</v>
      </c>
      <c r="Q3310" t="s">
        <v>8413</v>
      </c>
    </row>
    <row r="3311" spans="1:17" ht="15.75" x14ac:dyDescent="0.25">
      <c r="A3311" s="3" t="str">
        <f>HYPERLINK("https://shop.sonapharmacy.com/products/petnc%C2%AE-hip-joint-all-dog-daily-health-chews-90ct", "https://shop.sonapharmacy.com/products/petnc%C2%AE-hip-joint-all-dog-daily-health-chews-90ct")</f>
        <v>https://shop.sonapharmacy.com/products/petnc%C2%AE-hip-joint-all-dog-daily-health-chews-90ct</v>
      </c>
      <c r="B3311" s="3" t="str">
        <f>HYPERLINK("https://shop.sonapharmacy.com/products/petnc%c2%ae-hip-joint-all-dog-daily-health-chews-90ct", "https://shop.sonapharmacy.com/products/petnc%c2%ae-hip-joint-all-dog-daily-health-chews-90ct")</f>
        <v>https://shop.sonapharmacy.com/products/petnc%c2%ae-hip-joint-all-dog-daily-health-chews-90ct</v>
      </c>
      <c r="C3311" t="s">
        <v>8580</v>
      </c>
      <c r="D3311" t="s">
        <v>8581</v>
      </c>
      <c r="E3311" s="3" t="str">
        <f>HYPERLINK("https://www.amazon.com/Glucosamine-Dogs-Supplement-Arthritis-Chondroitin/dp/B01I5LWQ48/ref=sr_1_10?keywords=PetNC%C2%AE+Hip+%26+Joint+All+Dog+Daily+Health+Chews+90ct.&amp;qid=1695260640&amp;sr=8-10", "https://www.amazon.com/Glucosamine-Dogs-Supplement-Arthritis-Chondroitin/dp/B01I5LWQ48/ref=sr_1_10?keywords=PetNC%C2%AE+Hip+%26+Joint+All+Dog+Daily+Health+Chews+90ct.&amp;qid=1695260640&amp;sr=8-10")</f>
        <v>https://www.amazon.com/Glucosamine-Dogs-Supplement-Arthritis-Chondroitin/dp/B01I5LWQ48/ref=sr_1_10?keywords=PetNC%C2%AE+Hip+%26+Joint+All+Dog+Daily+Health+Chews+90ct.&amp;qid=1695260640&amp;sr=8-10</v>
      </c>
      <c r="F3311" t="s">
        <v>8582</v>
      </c>
      <c r="G3311" t="e">
        <f ca="1">IMAGE("https://shop.sonapharmacy.com/cdn/shop/products/81ZE7WUovyL._AC_SL1500.jpg?v=1616529427")</f>
        <v>#NAME?</v>
      </c>
      <c r="H3311" t="e">
        <f ca="1">IMAGE("https://m.media-amazon.com/images/I/81G103QdQlL._AC_UL320_.jpg")</f>
        <v>#NAME?</v>
      </c>
      <c r="I3311" t="s">
        <v>8583</v>
      </c>
      <c r="J3311">
        <v>29.97</v>
      </c>
      <c r="K3311" s="2" t="s">
        <v>8584</v>
      </c>
      <c r="L3311">
        <v>4.4000000000000004</v>
      </c>
      <c r="M3311">
        <v>17264</v>
      </c>
      <c r="O3311" t="s">
        <v>136</v>
      </c>
      <c r="P3311" t="s">
        <v>39</v>
      </c>
      <c r="Q3311" t="s">
        <v>8585</v>
      </c>
    </row>
    <row r="3312" spans="1:17" ht="15.75" x14ac:dyDescent="0.25">
      <c r="A3312" s="3" t="str">
        <f>HYPERLINK("https://shop.sonapharmacy.com/products/palmers-cocoa-butter-formula-body-lotion-8-5fl-oz", "https://shop.sonapharmacy.com/products/palmers-cocoa-butter-formula-body-lotion-8-5fl-oz")</f>
        <v>https://shop.sonapharmacy.com/products/palmers-cocoa-butter-formula-body-lotion-8-5fl-oz</v>
      </c>
      <c r="B3312" s="3" t="str">
        <f>HYPERLINK("https://shop.sonapharmacy.com/products/palmers-cocoa-butter-formula-body-lotion-8-5fl-oz", "https://shop.sonapharmacy.com/products/palmers-cocoa-butter-formula-body-lotion-8-5fl-oz")</f>
        <v>https://shop.sonapharmacy.com/products/palmers-cocoa-butter-formula-body-lotion-8-5fl-oz</v>
      </c>
      <c r="C3312" t="s">
        <v>8586</v>
      </c>
      <c r="D3312" t="s">
        <v>8587</v>
      </c>
      <c r="E3312" s="3" t="str">
        <f>HYPERLINK("https://www.amazon.com/Palmers-Butter-Formula-Therapy-Lotion/dp/B0772MDKY8/ref=sr_1_9?keywords=Palmer%27s+Cocoa+Butter+Formula+Body+Lotion+8.5fl.+oz.&amp;qid=1695260626&amp;sr=8-9", "https://www.amazon.com/Palmers-Butter-Formula-Therapy-Lotion/dp/B0772MDKY8/ref=sr_1_9?keywords=Palmer%27s+Cocoa+Butter+Formula+Body+Lotion+8.5fl.+oz.&amp;qid=1695260626&amp;sr=8-9")</f>
        <v>https://www.amazon.com/Palmers-Butter-Formula-Therapy-Lotion/dp/B0772MDKY8/ref=sr_1_9?keywords=Palmer%27s+Cocoa+Butter+Formula+Body+Lotion+8.5fl.+oz.&amp;qid=1695260626&amp;sr=8-9</v>
      </c>
      <c r="F3312" t="s">
        <v>8588</v>
      </c>
      <c r="G3312" t="e">
        <f ca="1">IMAGE("https://shop.sonapharmacy.com/cdn/shop/products/ab2c73e2-f908-4dea-840b-e0e91ac70d04_1.67192cb5b27856b7415bf3e3a8b7e3dd.png?v=1608489727")</f>
        <v>#NAME?</v>
      </c>
      <c r="H3312" t="e">
        <f ca="1">IMAGE("https://m.media-amazon.com/images/I/6136H2MfOcS._AC_UL320_.jpg")</f>
        <v>#NAME?</v>
      </c>
      <c r="I3312" t="s">
        <v>8498</v>
      </c>
      <c r="J3312">
        <v>45.97</v>
      </c>
      <c r="K3312" s="2" t="s">
        <v>8589</v>
      </c>
      <c r="L3312">
        <v>4.7</v>
      </c>
      <c r="M3312">
        <v>1718</v>
      </c>
      <c r="O3312" t="s">
        <v>26</v>
      </c>
      <c r="P3312" t="s">
        <v>39</v>
      </c>
      <c r="Q3312" t="s">
        <v>8590</v>
      </c>
    </row>
    <row r="3313" spans="1:17" ht="15.75" x14ac:dyDescent="0.25">
      <c r="A3313" s="3" t="str">
        <f>HYPERLINK("https://shop.sonapharmacy.com/products/curad-non-stick-pads", "https://shop.sonapharmacy.com/products/curad-non-stick-pads")</f>
        <v>https://shop.sonapharmacy.com/products/curad-non-stick-pads</v>
      </c>
      <c r="B3313" s="3" t="str">
        <f>HYPERLINK("https://shop.sonapharmacy.com/products/curad-non-stick-pads", "https://shop.sonapharmacy.com/products/curad-non-stick-pads")</f>
        <v>https://shop.sonapharmacy.com/products/curad-non-stick-pads</v>
      </c>
      <c r="C3313" t="s">
        <v>8501</v>
      </c>
      <c r="D3313" t="s">
        <v>8591</v>
      </c>
      <c r="E3313" s="3" t="str">
        <f>HYPERLINK("https://www.amazon.com/Curad-Medium-Non-Stick-Pads-Inches/dp/B004YJ0T5E/ref=sr_1_4?keywords=Curad%C2%AE+Non-Stick+Pads&amp;qid=1695260163&amp;sr=8-4", "https://www.amazon.com/Curad-Medium-Non-Stick-Pads-Inches/dp/B004YJ0T5E/ref=sr_1_4?keywords=Curad%C2%AE+Non-Stick+Pads&amp;qid=1695260163&amp;sr=8-4")</f>
        <v>https://www.amazon.com/Curad-Medium-Non-Stick-Pads-Inches/dp/B004YJ0T5E/ref=sr_1_4?keywords=Curad%C2%AE+Non-Stick+Pads&amp;qid=1695260163&amp;sr=8-4</v>
      </c>
      <c r="F3313" t="s">
        <v>8592</v>
      </c>
      <c r="G3313" t="e">
        <f ca="1">IMAGE("https://shop.sonapharmacy.com/cdn/shop/products/nonsmall.png?v=1607711387")</f>
        <v>#NAME?</v>
      </c>
      <c r="H3313" t="e">
        <f ca="1">IMAGE("https://m.media-amazon.com/images/I/71eEDdKaWCL._AC_UL320_.jpg")</f>
        <v>#NAME?</v>
      </c>
      <c r="I3313" t="s">
        <v>8076</v>
      </c>
      <c r="J3313">
        <v>15.26</v>
      </c>
      <c r="K3313" s="2" t="s">
        <v>8593</v>
      </c>
      <c r="L3313">
        <v>4.5999999999999996</v>
      </c>
      <c r="M3313">
        <v>386</v>
      </c>
      <c r="O3313" t="s">
        <v>26</v>
      </c>
      <c r="P3313" t="s">
        <v>39</v>
      </c>
      <c r="Q3313" t="s">
        <v>8505</v>
      </c>
    </row>
    <row r="3314" spans="1:17" ht="15.75" x14ac:dyDescent="0.25">
      <c r="A3314" s="3" t="str">
        <f>HYPERLINK("https://shop.sonapharmacy.com/products/apex%C2%AE-medicine-spoon-10ml", "https://shop.sonapharmacy.com/products/apex%C2%AE-medicine-spoon-10ml")</f>
        <v>https://shop.sonapharmacy.com/products/apex%C2%AE-medicine-spoon-10ml</v>
      </c>
      <c r="B3314" s="3" t="str">
        <f>HYPERLINK("https://shop.sonapharmacy.com/products/apex%c2%ae-medicine-spoon-10ml", "https://shop.sonapharmacy.com/products/apex%c2%ae-medicine-spoon-10ml")</f>
        <v>https://shop.sonapharmacy.com/products/apex%c2%ae-medicine-spoon-10ml</v>
      </c>
      <c r="C3314" t="s">
        <v>8388</v>
      </c>
      <c r="D3314" t="s">
        <v>8594</v>
      </c>
      <c r="E3314" s="3" t="str">
        <f>HYPERLINK("https://www.amazon.com/Apex-Medicine-Spoon-10mL-Pack/dp/B01JPYA4EI/ref=sr_1_4?keywords=Apex+Medicine+Spoon+10ml.&amp;qid=1695260008&amp;sr=8-4", "https://www.amazon.com/Apex-Medicine-Spoon-10mL-Pack/dp/B01JPYA4EI/ref=sr_1_4?keywords=Apex+Medicine+Spoon+10ml.&amp;qid=1695260008&amp;sr=8-4")</f>
        <v>https://www.amazon.com/Apex-Medicine-Spoon-10mL-Pack/dp/B01JPYA4EI/ref=sr_1_4?keywords=Apex+Medicine+Spoon+10ml.&amp;qid=1695260008&amp;sr=8-4</v>
      </c>
      <c r="F3314" t="s">
        <v>8595</v>
      </c>
      <c r="G3314" t="e">
        <f ca="1">IMAGE("https://shop.sonapharmacy.com/cdn/shop/products/318g5JQyUoL._AC.jpg?v=1609960936")</f>
        <v>#NAME?</v>
      </c>
      <c r="H3314" t="e">
        <f ca="1">IMAGE("https://m.media-amazon.com/images/I/21IMXzxnjhL._AC_UL320_.jpg")</f>
        <v>#NAME?</v>
      </c>
      <c r="I3314" t="s">
        <v>8294</v>
      </c>
      <c r="J3314">
        <v>9.2200000000000006</v>
      </c>
      <c r="K3314" s="2" t="s">
        <v>8596</v>
      </c>
      <c r="L3314">
        <v>4.5</v>
      </c>
      <c r="M3314">
        <v>2</v>
      </c>
      <c r="O3314" t="s">
        <v>26</v>
      </c>
      <c r="P3314" t="s">
        <v>39</v>
      </c>
      <c r="Q3314" t="s">
        <v>8392</v>
      </c>
    </row>
    <row r="3315" spans="1:17" ht="15.75" x14ac:dyDescent="0.25">
      <c r="A3315"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3315"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3315" t="s">
        <v>8597</v>
      </c>
      <c r="D3315" t="s">
        <v>8598</v>
      </c>
      <c r="E3315" s="3" t="str">
        <f>HYPERLINK("https://www.amazon.com/Arm-Hammer-Whitening-Toothpaste-Packaging/dp/B01EXEKOZO/ref=sr_1_5?keywords=Arm+%26+Hammer+Advance+White%E2%84%A2+Extreme+Whitening+Toothpaste+6oz.&amp;qid=1695260040&amp;sr=8-5", "https://www.amazon.com/Arm-Hammer-Whitening-Toothpaste-Packaging/dp/B01EXEKOZO/ref=sr_1_5?keywords=Arm+%26+Hammer+Advance+White%E2%84%A2+Extreme+Whitening+Toothpaste+6oz.&amp;qid=1695260040&amp;sr=8-5")</f>
        <v>https://www.amazon.com/Arm-Hammer-Whitening-Toothpaste-Packaging/dp/B01EXEKOZO/ref=sr_1_5?keywords=Arm+%26+Hammer+Advance+White%E2%84%A2+Extreme+Whitening+Toothpaste+6oz.&amp;qid=1695260040&amp;sr=8-5</v>
      </c>
      <c r="F3315" t="s">
        <v>8599</v>
      </c>
      <c r="G3315" t="e">
        <f ca="1">IMAGE("https://shop.sonapharmacy.com/cdn/shop/products/39e8f462-49a9-4142-bb95-6876f7f6bade.baebaa1c7268bbcf245f186bddbf5223_1.jpg?v=1611254657")</f>
        <v>#NAME?</v>
      </c>
      <c r="H3315" t="e">
        <f ca="1">IMAGE("https://m.media-amazon.com/images/I/711eRLdOEnL._AC_UL320_.jpg")</f>
        <v>#NAME?</v>
      </c>
      <c r="I3315" t="s">
        <v>8600</v>
      </c>
      <c r="J3315">
        <v>35.700000000000003</v>
      </c>
      <c r="K3315" s="2" t="s">
        <v>8601</v>
      </c>
      <c r="L3315">
        <v>4.3</v>
      </c>
      <c r="M3315">
        <v>93</v>
      </c>
      <c r="O3315" t="s">
        <v>26</v>
      </c>
      <c r="P3315" t="s">
        <v>39</v>
      </c>
      <c r="Q3315" t="s">
        <v>8602</v>
      </c>
    </row>
    <row r="3316" spans="1:17" ht="15.75" x14ac:dyDescent="0.25">
      <c r="A3316" s="3" t="str">
        <f>HYPERLINK("https://shop.sonapharmacy.com/products/fixodent%C2%AE-plus-scope-denture-adhesive-cream-2oz", "https://shop.sonapharmacy.com/products/fixodent%C2%AE-plus-scope-denture-adhesive-cream-2oz")</f>
        <v>https://shop.sonapharmacy.com/products/fixodent%C2%AE-plus-scope-denture-adhesive-cream-2oz</v>
      </c>
      <c r="B3316" s="3" t="str">
        <f>HYPERLINK("https://shop.sonapharmacy.com/products/fixodent%c2%ae-plus-scope-denture-adhesive-cream-2oz", "https://shop.sonapharmacy.com/products/fixodent%c2%ae-plus-scope-denture-adhesive-cream-2oz")</f>
        <v>https://shop.sonapharmacy.com/products/fixodent%c2%ae-plus-scope-denture-adhesive-cream-2oz</v>
      </c>
      <c r="C3316" t="s">
        <v>8603</v>
      </c>
      <c r="D3316" t="s">
        <v>8604</v>
      </c>
      <c r="E3316" s="3" t="str">
        <f>HYPERLINK("https://www.amazon.com/Fixodent-Control-Denture-Adhesive-Flavor/dp/B01IA98TCI/ref=sr_1_5?keywords=Fixodent%C2%AE+Plus+Scope+Denture+Adhesive+Cream+2oz.&amp;qid=1695260276&amp;sr=8-5", "https://www.amazon.com/Fixodent-Control-Denture-Adhesive-Flavor/dp/B01IA98TCI/ref=sr_1_5?keywords=Fixodent%C2%AE+Plus+Scope+Denture+Adhesive+Cream+2oz.&amp;qid=1695260276&amp;sr=8-5")</f>
        <v>https://www.amazon.com/Fixodent-Control-Denture-Adhesive-Flavor/dp/B01IA98TCI/ref=sr_1_5?keywords=Fixodent%C2%AE+Plus+Scope+Denture+Adhesive+Cream+2oz.&amp;qid=1695260276&amp;sr=8-5</v>
      </c>
      <c r="F3316" t="s">
        <v>8605</v>
      </c>
      <c r="G3316" t="e">
        <f ca="1">IMAGE("https://shop.sonapharmacy.com/cdn/shop/products/c4ad4c85-c5be-4bf9-aa48-57fc08bf1930_1.02323672f23fe184ba3c29ed08511b88.jpg?v=1608651112")</f>
        <v>#NAME?</v>
      </c>
      <c r="H3316" t="e">
        <f ca="1">IMAGE("https://m.media-amazon.com/images/I/61--Da0plLL._AC_UL320_.jpg")</f>
        <v>#NAME?</v>
      </c>
      <c r="I3316" t="s">
        <v>8606</v>
      </c>
      <c r="J3316">
        <v>42.79</v>
      </c>
      <c r="K3316" s="2" t="s">
        <v>8607</v>
      </c>
      <c r="L3316">
        <v>4.5</v>
      </c>
      <c r="M3316">
        <v>39</v>
      </c>
      <c r="O3316" t="s">
        <v>136</v>
      </c>
      <c r="P3316" t="s">
        <v>39</v>
      </c>
      <c r="Q3316" t="s">
        <v>8608</v>
      </c>
    </row>
    <row r="3317" spans="1:17" ht="15.75" x14ac:dyDescent="0.25">
      <c r="A3317" s="3" t="str">
        <f>HYPERLINK("https://shop.sonapharmacy.com/products/okeeffes-skin-repair-body-lotion-7oz", "https://shop.sonapharmacy.com/products/okeeffes-skin-repair-body-lotion-7oz")</f>
        <v>https://shop.sonapharmacy.com/products/okeeffes-skin-repair-body-lotion-7oz</v>
      </c>
      <c r="B3317" s="3" t="str">
        <f>HYPERLINK("https://shop.sonapharmacy.com/products/okeeffes-skin-repair-body-lotion-7oz", "https://shop.sonapharmacy.com/products/okeeffes-skin-repair-body-lotion-7oz")</f>
        <v>https://shop.sonapharmacy.com/products/okeeffes-skin-repair-body-lotion-7oz</v>
      </c>
      <c r="C3317" t="s">
        <v>8093</v>
      </c>
      <c r="D3317" t="s">
        <v>8609</v>
      </c>
      <c r="E3317" s="3" t="str">
        <f>HYPERLINK("https://www.amazon.com/OKeeffes-Repair-Lotion-Moisturizer-ounce/dp/B01MQ5PFWZ/ref=sr_1_2?keywords=O%27Keeffe%27s+Skin+Repair+Body+Lotion+7oz.&amp;qid=1695260599&amp;sr=8-2", "https://www.amazon.com/OKeeffes-Repair-Lotion-Moisturizer-ounce/dp/B01MQ5PFWZ/ref=sr_1_2?keywords=O%27Keeffe%27s+Skin+Repair+Body+Lotion+7oz.&amp;qid=1695260599&amp;sr=8-2")</f>
        <v>https://www.amazon.com/OKeeffes-Repair-Lotion-Moisturizer-ounce/dp/B01MQ5PFWZ/ref=sr_1_2?keywords=O%27Keeffe%27s+Skin+Repair+Body+Lotion+7oz.&amp;qid=1695260599&amp;sr=8-2</v>
      </c>
      <c r="F3317" t="s">
        <v>8610</v>
      </c>
      <c r="G3317" t="e">
        <f ca="1">IMAGE("https://shop.sonapharmacy.com/cdn/shop/products/3bd16183-fe45-42dc-92f8-debd6868b3ac_1.7c675874396c0c8bd4b5440f108ff7b2.jpg?v=1608410648")</f>
        <v>#NAME?</v>
      </c>
      <c r="H3317" t="e">
        <f ca="1">IMAGE("https://m.media-amazon.com/images/I/81Qnevm2GPL._AC_UL320_.jpg")</f>
        <v>#NAME?</v>
      </c>
      <c r="I3317" t="s">
        <v>8096</v>
      </c>
      <c r="J3317">
        <v>59.5</v>
      </c>
      <c r="K3317" s="2" t="s">
        <v>8611</v>
      </c>
      <c r="L3317">
        <v>4.8</v>
      </c>
      <c r="M3317">
        <v>46</v>
      </c>
      <c r="O3317" t="s">
        <v>26</v>
      </c>
      <c r="P3317" t="s">
        <v>39</v>
      </c>
      <c r="Q3317" t="s">
        <v>8098</v>
      </c>
    </row>
    <row r="3318" spans="1:17" ht="15.75" x14ac:dyDescent="0.25">
      <c r="A3318" s="3" t="str">
        <f>HYPERLINK("https://shop.sonapharmacy.com/products/resinol-medicated-ointment-3-3oz", "https://shop.sonapharmacy.com/products/resinol-medicated-ointment-3-3oz")</f>
        <v>https://shop.sonapharmacy.com/products/resinol-medicated-ointment-3-3oz</v>
      </c>
      <c r="B3318" s="3" t="str">
        <f>HYPERLINK("https://shop.sonapharmacy.com/products/resinol-medicated-ointment-3-3oz", "https://shop.sonapharmacy.com/products/resinol-medicated-ointment-3-3oz")</f>
        <v>https://shop.sonapharmacy.com/products/resinol-medicated-ointment-3-3oz</v>
      </c>
      <c r="C3318" t="s">
        <v>8612</v>
      </c>
      <c r="D3318" t="s">
        <v>8613</v>
      </c>
      <c r="E3318" s="3" t="str">
        <f>HYPERLINK("https://www.amazon.com/Resinol-Medicated-Ointment-3-30-Pack/dp/B01IAI4K3Q/ref=sr_1_8?keywords=Resinol+Medicated+Ointment+3.3oz&amp;qid=1695260673&amp;sr=8-8", "https://www.amazon.com/Resinol-Medicated-Ointment-3-30-Pack/dp/B01IAI4K3Q/ref=sr_1_8?keywords=Resinol+Medicated+Ointment+3.3oz&amp;qid=1695260673&amp;sr=8-8")</f>
        <v>https://www.amazon.com/Resinol-Medicated-Ointment-3-30-Pack/dp/B01IAI4K3Q/ref=sr_1_8?keywords=Resinol+Medicated+Ointment+3.3oz&amp;qid=1695260673&amp;sr=8-8</v>
      </c>
      <c r="F3318" t="s">
        <v>8614</v>
      </c>
      <c r="G3318" t="e">
        <f ca="1">IMAGE("https://shop.sonapharmacy.com/cdn/shop/products/61SYOFBFkKL._AC_SL1237.jpg?v=1607970374")</f>
        <v>#NAME?</v>
      </c>
      <c r="H3318" t="e">
        <f ca="1">IMAGE("https://m.media-amazon.com/images/I/7133to7ndHL._AC_UL320_.jpg")</f>
        <v>#NAME?</v>
      </c>
      <c r="I3318" t="s">
        <v>8615</v>
      </c>
      <c r="J3318">
        <v>84.07</v>
      </c>
      <c r="K3318" s="2" t="s">
        <v>8616</v>
      </c>
      <c r="L3318">
        <v>5</v>
      </c>
      <c r="M3318">
        <v>16</v>
      </c>
      <c r="O3318" t="s">
        <v>136</v>
      </c>
      <c r="P3318" t="s">
        <v>39</v>
      </c>
      <c r="Q3318" t="s">
        <v>8617</v>
      </c>
    </row>
    <row r="3319" spans="1:17" ht="15.75" x14ac:dyDescent="0.25">
      <c r="A3319" s="3" t="str">
        <f>HYPERLINK("https://shop.sonapharmacy.com/products/old-spice%C2%AE-classic-fresh-scent-deodorant-3-25oz", "https://shop.sonapharmacy.com/products/old-spice%C2%AE-classic-fresh-scent-deodorant-3-25oz")</f>
        <v>https://shop.sonapharmacy.com/products/old-spice%C2%AE-classic-fresh-scent-deodorant-3-25oz</v>
      </c>
      <c r="B3319" s="3" t="str">
        <f>HYPERLINK("https://shop.sonapharmacy.com/products/old-spice%c2%ae-classic-fresh-scent-deodorant-3-25oz", "https://shop.sonapharmacy.com/products/old-spice%c2%ae-classic-fresh-scent-deodorant-3-25oz")</f>
        <v>https://shop.sonapharmacy.com/products/old-spice%c2%ae-classic-fresh-scent-deodorant-3-25oz</v>
      </c>
      <c r="C3319" t="s">
        <v>8618</v>
      </c>
      <c r="D3319" t="s">
        <v>8619</v>
      </c>
      <c r="E3319" s="3" t="str">
        <f>HYPERLINK("https://www.amazon.com/Old-Spice-Classic-Deodorant-Stick/dp/B01JVCKFGQ/ref=sr_1_3?keywords=Old+Spice%C2%AE+Classic+Fresh+Scent+Deodorant+3.25oz.&amp;qid=1695260609&amp;sr=8-3", "https://www.amazon.com/Old-Spice-Classic-Deodorant-Stick/dp/B01JVCKFGQ/ref=sr_1_3?keywords=Old+Spice%C2%AE+Classic+Fresh+Scent+Deodorant+3.25oz.&amp;qid=1695260609&amp;sr=8-3")</f>
        <v>https://www.amazon.com/Old-Spice-Classic-Deodorant-Stick/dp/B01JVCKFGQ/ref=sr_1_3?keywords=Old+Spice%C2%AE+Classic+Fresh+Scent+Deodorant+3.25oz.&amp;qid=1695260609&amp;sr=8-3</v>
      </c>
      <c r="F3319" t="s">
        <v>8620</v>
      </c>
      <c r="G3319" t="e">
        <f ca="1">IMAGE("https://shop.sonapharmacy.com/cdn/shop/products/3c47a39f-33ad-428f-b8c1-6e29f792b5c1_1.f67a6c27395b5ae6a8bff05fb9856e1f.jpg?v=1609094822")</f>
        <v>#NAME?</v>
      </c>
      <c r="H3319" t="e">
        <f ca="1">IMAGE("https://m.media-amazon.com/images/I/41TEijaeHOL._AC_UL320_.jpg")</f>
        <v>#NAME?</v>
      </c>
      <c r="I3319" t="s">
        <v>8206</v>
      </c>
      <c r="J3319">
        <v>35.11</v>
      </c>
      <c r="K3319" s="2" t="s">
        <v>8621</v>
      </c>
      <c r="L3319">
        <v>4.9000000000000004</v>
      </c>
      <c r="M3319">
        <v>14</v>
      </c>
      <c r="O3319" t="s">
        <v>136</v>
      </c>
      <c r="P3319" t="s">
        <v>39</v>
      </c>
      <c r="Q3319" t="s">
        <v>8622</v>
      </c>
    </row>
    <row r="3320" spans="1:17" ht="15.75" x14ac:dyDescent="0.25">
      <c r="A3320" s="3" t="str">
        <f>HYPERLINK("https://shop.sonapharmacy.com/products/halls-relief-honey-lemon-cough-drops", "https://shop.sonapharmacy.com/products/halls-relief-honey-lemon-cough-drops")</f>
        <v>https://shop.sonapharmacy.com/products/halls-relief-honey-lemon-cough-drops</v>
      </c>
      <c r="B3320" s="3" t="str">
        <f>HYPERLINK("https://shop.sonapharmacy.com/products/halls-relief-honey-lemon-cough-drops", "https://shop.sonapharmacy.com/products/halls-relief-honey-lemon-cough-drops")</f>
        <v>https://shop.sonapharmacy.com/products/halls-relief-honey-lemon-cough-drops</v>
      </c>
      <c r="C3320" t="s">
        <v>8031</v>
      </c>
      <c r="D3320" t="s">
        <v>8623</v>
      </c>
      <c r="E3320" s="3" t="str">
        <f>HYPERLINK("https://www.amazon.com/HALLS-Honey-Lemon-160-Count/dp/B0762B4TXF/ref=sr_1_8?keywords=Halls%C2%AE+Relief+Honey+Lemon+Cough+Drops&amp;qid=1695260411&amp;sr=8-8", "https://www.amazon.com/HALLS-Honey-Lemon-160-Count/dp/B0762B4TXF/ref=sr_1_8?keywords=Halls%C2%AE+Relief+Honey+Lemon+Cough+Drops&amp;qid=1695260411&amp;sr=8-8")</f>
        <v>https://www.amazon.com/HALLS-Honey-Lemon-160-Count/dp/B0762B4TXF/ref=sr_1_8?keywords=Halls%C2%AE+Relief+Honey+Lemon+Cough+Drops&amp;qid=1695260411&amp;sr=8-8</v>
      </c>
      <c r="F3320" t="s">
        <v>8624</v>
      </c>
      <c r="G3320" t="e">
        <f ca="1">IMAGE("https://shop.sonapharmacy.com/cdn/shop/products/HALLS_Menthol_HoneyLemon_30ct.png?v=1608215589")</f>
        <v>#NAME?</v>
      </c>
      <c r="H3320" t="e">
        <f ca="1">IMAGE("https://m.media-amazon.com/images/I/71jTgHObk1L._AC_UL320_.jpg")</f>
        <v>#NAME?</v>
      </c>
      <c r="I3320" t="s">
        <v>8034</v>
      </c>
      <c r="J3320">
        <v>20.100000000000001</v>
      </c>
      <c r="K3320" s="2" t="s">
        <v>8625</v>
      </c>
      <c r="L3320">
        <v>5</v>
      </c>
      <c r="M3320">
        <v>6</v>
      </c>
      <c r="O3320" t="s">
        <v>26</v>
      </c>
      <c r="P3320" t="s">
        <v>39</v>
      </c>
      <c r="Q3320" t="s">
        <v>8036</v>
      </c>
    </row>
    <row r="3321" spans="1:17" ht="15.75" x14ac:dyDescent="0.25">
      <c r="A3321" s="3" t="str">
        <f>HYPERLINK("https://shop.sonapharmacy.com/products/purell%C2%AE-advanced-hand-sanitizer-refreshing-gel-2fl-oz", "https://shop.sonapharmacy.com/products/purell%C2%AE-advanced-hand-sanitizer-refreshing-gel-2fl-oz")</f>
        <v>https://shop.sonapharmacy.com/products/purell%C2%AE-advanced-hand-sanitizer-refreshing-gel-2fl-oz</v>
      </c>
      <c r="B3321" s="3" t="str">
        <f>HYPERLINK("https://shop.sonapharmacy.com/products/purell%c2%ae-advanced-hand-sanitizer-refreshing-gel-2fl-oz", "https://shop.sonapharmacy.com/products/purell%c2%ae-advanced-hand-sanitizer-refreshing-gel-2fl-oz")</f>
        <v>https://shop.sonapharmacy.com/products/purell%c2%ae-advanced-hand-sanitizer-refreshing-gel-2fl-oz</v>
      </c>
      <c r="C3321" t="s">
        <v>7981</v>
      </c>
      <c r="D3321" t="s">
        <v>8626</v>
      </c>
      <c r="E3321" s="3" t="str">
        <f>HYPERLINK("https://www.amazon.com/PURELL-Advanced-Sanitizer-Refreshing-Travel/dp/B08V9K7F4G/ref=sr_1_5?keywords=Purell%C2%AE+Advanced+Hand+Sanitizer+Refreshing+Gel+2fl.+oz.&amp;qid=1695260680&amp;sr=8-5", "https://www.amazon.com/PURELL-Advanced-Sanitizer-Refreshing-Travel/dp/B08V9K7F4G/ref=sr_1_5?keywords=Purell%C2%AE+Advanced+Hand+Sanitizer+Refreshing+Gel+2fl.+oz.&amp;qid=1695260680&amp;sr=8-5")</f>
        <v>https://www.amazon.com/PURELL-Advanced-Sanitizer-Refreshing-Travel/dp/B08V9K7F4G/ref=sr_1_5?keywords=Purell%C2%AE+Advanced+Hand+Sanitizer+Refreshing+Gel+2fl.+oz.&amp;qid=1695260680&amp;sr=8-5</v>
      </c>
      <c r="F3321" t="s">
        <v>8627</v>
      </c>
      <c r="G3321" t="e">
        <f ca="1">IMAGE("https://shop.sonapharmacy.com/cdn/shop/products/71UqyQSibqL._SL1500.jpg?v=1610731509")</f>
        <v>#NAME?</v>
      </c>
      <c r="H3321" t="e">
        <f ca="1">IMAGE("https://m.media-amazon.com/images/I/81vrIYHRxHL._AC_UL320_.jpg")</f>
        <v>#NAME?</v>
      </c>
      <c r="I3321" t="s">
        <v>7984</v>
      </c>
      <c r="J3321">
        <v>12.94</v>
      </c>
      <c r="K3321" s="2" t="s">
        <v>8628</v>
      </c>
      <c r="L3321">
        <v>4.5</v>
      </c>
      <c r="M3321">
        <v>3037</v>
      </c>
      <c r="O3321" t="s">
        <v>26</v>
      </c>
      <c r="P3321" t="s">
        <v>39</v>
      </c>
      <c r="Q3321" t="s">
        <v>7986</v>
      </c>
    </row>
    <row r="3322" spans="1:17" ht="15.75" x14ac:dyDescent="0.25">
      <c r="A3322" s="3" t="str">
        <f>HYPERLINK("https://shop.sonapharmacy.com/products/bayer-chewable-81-mg-low-dose-aspirin", "https://shop.sonapharmacy.com/products/bayer-chewable-81-mg-low-dose-aspirin")</f>
        <v>https://shop.sonapharmacy.com/products/bayer-chewable-81-mg-low-dose-aspirin</v>
      </c>
      <c r="B3322" s="3" t="str">
        <f>HYPERLINK("https://shop.sonapharmacy.com/products/bayer-chewable-81-mg-low-dose-aspirin", "https://shop.sonapharmacy.com/products/bayer-chewable-81-mg-low-dose-aspirin")</f>
        <v>https://shop.sonapharmacy.com/products/bayer-chewable-81-mg-low-dose-aspirin</v>
      </c>
      <c r="C3322" t="s">
        <v>8629</v>
      </c>
      <c r="D3322" t="s">
        <v>8630</v>
      </c>
      <c r="E3322" s="3" t="str">
        <f>HYPERLINK("https://www.amazon.com/Bayer-Aspirin-chewable-orange-tablets/dp/B011768ZW0/ref=sr_1_1?keywords=Bayer%C2%AE+Chewable+81+mg+Low+Dose+Aspirin&amp;qid=1695260078&amp;sr=8-1", "https://www.amazon.com/Bayer-Aspirin-chewable-orange-tablets/dp/B011768ZW0/ref=sr_1_1?keywords=Bayer%C2%AE+Chewable+81+mg+Low+Dose+Aspirin&amp;qid=1695260078&amp;sr=8-1")</f>
        <v>https://www.amazon.com/Bayer-Aspirin-chewable-orange-tablets/dp/B011768ZW0/ref=sr_1_1?keywords=Bayer%C2%AE+Chewable+81+mg+Low+Dose+Aspirin&amp;qid=1695260078&amp;sr=8-1</v>
      </c>
      <c r="F3322" t="s">
        <v>8631</v>
      </c>
      <c r="G3322" t="e">
        <f ca="1">IMAGE("https://shop.sonapharmacy.com/cdn/shop/products/Untitled-22.jpg?v=1592598310")</f>
        <v>#NAME?</v>
      </c>
      <c r="H3322" t="e">
        <f ca="1">IMAGE("https://m.media-amazon.com/images/I/71GQ8T72hDL._AC_UL320_.jpg")</f>
        <v>#NAME?</v>
      </c>
      <c r="I3322" t="s">
        <v>8632</v>
      </c>
      <c r="J3322">
        <v>24.34</v>
      </c>
      <c r="K3322" s="2" t="s">
        <v>8633</v>
      </c>
      <c r="L3322">
        <v>4.9000000000000004</v>
      </c>
      <c r="M3322">
        <v>1497</v>
      </c>
      <c r="O3322" t="s">
        <v>26</v>
      </c>
      <c r="P3322" t="s">
        <v>39</v>
      </c>
      <c r="Q3322" t="s">
        <v>8634</v>
      </c>
    </row>
    <row r="3323" spans="1:17" ht="15.75" x14ac:dyDescent="0.25">
      <c r="A3323" s="3" t="str">
        <f>HYPERLINK("https://shop.sonapharmacy.com/products/major%C2%AE-mintox-maximum-strength-antacid", "https://shop.sonapharmacy.com/products/major%C2%AE-mintox-maximum-strength-antacid")</f>
        <v>https://shop.sonapharmacy.com/products/major%C2%AE-mintox-maximum-strength-antacid</v>
      </c>
      <c r="B3323" s="3" t="str">
        <f>HYPERLINK("https://shop.sonapharmacy.com/products/major%c2%ae-mintox-maximum-strength-antacid", "https://shop.sonapharmacy.com/products/major%c2%ae-mintox-maximum-strength-antacid")</f>
        <v>https://shop.sonapharmacy.com/products/major%c2%ae-mintox-maximum-strength-antacid</v>
      </c>
      <c r="C3323" t="s">
        <v>8635</v>
      </c>
      <c r="D3323" t="s">
        <v>8636</v>
      </c>
      <c r="E3323" s="3" t="str">
        <f>HYPERLINK("https://www.amazon.com/Maximum-Strength-Anti-Gas-Major-Pharmaceuticals/dp/B01AVK92NY/ref=sr_1_2?keywords=Major%C2%AE+Mintox+Maximum+Strength+Antacid&amp;qid=1695260463&amp;sr=8-2", "https://www.amazon.com/Maximum-Strength-Anti-Gas-Major-Pharmaceuticals/dp/B01AVK92NY/ref=sr_1_2?keywords=Major%C2%AE+Mintox+Maximum+Strength+Antacid&amp;qid=1695260463&amp;sr=8-2")</f>
        <v>https://www.amazon.com/Maximum-Strength-Anti-Gas-Major-Pharmaceuticals/dp/B01AVK92NY/ref=sr_1_2?keywords=Major%C2%AE+Mintox+Maximum+Strength+Antacid&amp;qid=1695260463&amp;sr=8-2</v>
      </c>
      <c r="F3323" t="s">
        <v>8637</v>
      </c>
      <c r="G3323" t="e">
        <f ca="1">IMAGE("https://shop.sonapharmacy.com/cdn/shop/products/810nWLAG04L._AC_SL1500.jpg?v=1613748218")</f>
        <v>#NAME?</v>
      </c>
      <c r="H3323" t="e">
        <f ca="1">IMAGE("https://m.media-amazon.com/images/I/71p8d1J8viL._AC_UL320_.jpg")</f>
        <v>#NAME?</v>
      </c>
      <c r="I3323" t="s">
        <v>8638</v>
      </c>
      <c r="J3323">
        <v>38.799999999999997</v>
      </c>
      <c r="K3323" s="2" t="s">
        <v>8639</v>
      </c>
      <c r="L3323">
        <v>4.2</v>
      </c>
      <c r="M3323">
        <v>22</v>
      </c>
      <c r="O3323" t="s">
        <v>26</v>
      </c>
      <c r="P3323" t="s">
        <v>39</v>
      </c>
      <c r="Q3323" t="s">
        <v>8640</v>
      </c>
    </row>
    <row r="3324" spans="1:17" ht="15.75" x14ac:dyDescent="0.25">
      <c r="A3324" s="3" t="str">
        <f>HYPERLINK("https://shop.sonapharmacy.com/products/jergens%C2%AE-original-scent-dry-skin-moisturizer-21fl-oz", "https://shop.sonapharmacy.com/products/jergens%C2%AE-original-scent-dry-skin-moisturizer-21fl-oz")</f>
        <v>https://shop.sonapharmacy.com/products/jergens%C2%AE-original-scent-dry-skin-moisturizer-21fl-oz</v>
      </c>
      <c r="B3324" s="3" t="str">
        <f>HYPERLINK("https://shop.sonapharmacy.com/products/jergens%c2%ae-original-scent-dry-skin-moisturizer-21fl-oz", "https://shop.sonapharmacy.com/products/jergens%c2%ae-original-scent-dry-skin-moisturizer-21fl-oz")</f>
        <v>https://shop.sonapharmacy.com/products/jergens%c2%ae-original-scent-dry-skin-moisturizer-21fl-oz</v>
      </c>
      <c r="C3324" t="s">
        <v>8641</v>
      </c>
      <c r="D3324" t="s">
        <v>8642</v>
      </c>
      <c r="E3324" s="3" t="str">
        <f>HYPERLINK("https://www.amazon.com/Jergens-Dry-Skin-Moisturizer-Original/dp/B00JGQAM34/ref=sr_1_5?keywords=Jergens%C2%AE+Original+Scent+Dry+Skin+Moisturizer+21fl.+oz.&amp;qid=1695260424&amp;sr=8-5", "https://www.amazon.com/Jergens-Dry-Skin-Moisturizer-Original/dp/B00JGQAM34/ref=sr_1_5?keywords=Jergens%C2%AE+Original+Scent+Dry+Skin+Moisturizer+21fl.+oz.&amp;qid=1695260424&amp;sr=8-5")</f>
        <v>https://www.amazon.com/Jergens-Dry-Skin-Moisturizer-Original/dp/B00JGQAM34/ref=sr_1_5?keywords=Jergens%C2%AE+Original+Scent+Dry+Skin+Moisturizer+21fl.+oz.&amp;qid=1695260424&amp;sr=8-5</v>
      </c>
      <c r="F3324" t="s">
        <v>8643</v>
      </c>
      <c r="G3324" t="e">
        <f ca="1">IMAGE("https://shop.sonapharmacy.com/cdn/shop/products/new-original-scent-400x800.png?v=1608319682")</f>
        <v>#NAME?</v>
      </c>
      <c r="H3324" t="e">
        <f ca="1">IMAGE("https://m.media-amazon.com/images/I/71YnK1Aw77L._AC_UL320_.jpg")</f>
        <v>#NAME?</v>
      </c>
      <c r="I3324" t="s">
        <v>8644</v>
      </c>
      <c r="J3324">
        <v>54.24</v>
      </c>
      <c r="K3324" s="2" t="s">
        <v>8645</v>
      </c>
      <c r="L3324">
        <v>4.3</v>
      </c>
      <c r="M3324">
        <v>125</v>
      </c>
      <c r="O3324" t="s">
        <v>26</v>
      </c>
      <c r="P3324" t="s">
        <v>39</v>
      </c>
      <c r="Q3324" t="s">
        <v>8646</v>
      </c>
    </row>
    <row r="3325" spans="1:17" ht="15.75" x14ac:dyDescent="0.25">
      <c r="A3325" s="3" t="str">
        <f>HYPERLINK("https://shop.sonapharmacy.com/products/carmex%C2%AE-classic-medicated-lip-balm-0-35oz", "https://shop.sonapharmacy.com/products/carmex%C2%AE-classic-medicated-lip-balm-0-35oz")</f>
        <v>https://shop.sonapharmacy.com/products/carmex%C2%AE-classic-medicated-lip-balm-0-35oz</v>
      </c>
      <c r="B3325" s="3" t="str">
        <f>HYPERLINK("https://shop.sonapharmacy.com/products/carmex%c2%ae-classic-medicated-lip-balm-0-35oz", "https://shop.sonapharmacy.com/products/carmex%c2%ae-classic-medicated-lip-balm-0-35oz")</f>
        <v>https://shop.sonapharmacy.com/products/carmex%c2%ae-classic-medicated-lip-balm-0-35oz</v>
      </c>
      <c r="C3325" t="s">
        <v>8647</v>
      </c>
      <c r="D3325" t="s">
        <v>8648</v>
      </c>
      <c r="E3325" s="3" t="str">
        <f>HYPERLINK("https://www.amazon.com/Carmex-Classic-Cherry-0-35oz-Medicated/dp/B0787G4GGG/ref=sr_1_7?keywords=Carmex%C2%AE+Classic+Medicated+Lip+Balm+0.35oz&amp;qid=1695260122&amp;sr=8-7", "https://www.amazon.com/Carmex-Classic-Cherry-0-35oz-Medicated/dp/B0787G4GGG/ref=sr_1_7?keywords=Carmex%C2%AE+Classic+Medicated+Lip+Balm+0.35oz&amp;qid=1695260122&amp;sr=8-7")</f>
        <v>https://www.amazon.com/Carmex-Classic-Cherry-0-35oz-Medicated/dp/B0787G4GGG/ref=sr_1_7?keywords=Carmex%C2%AE+Classic+Medicated+Lip+Balm+0.35oz&amp;qid=1695260122&amp;sr=8-7</v>
      </c>
      <c r="F3325" t="s">
        <v>8649</v>
      </c>
      <c r="G3325" t="e">
        <f ca="1">IMAGE("https://shop.sonapharmacy.com/cdn/shop/products/71pHNtcatsL._AC_SL1500.jpg?v=1608231313")</f>
        <v>#NAME?</v>
      </c>
      <c r="H3325" t="e">
        <f ca="1">IMAGE("https://m.media-amazon.com/images/I/71Twv4WND8L._AC_UL320_.jpg")</f>
        <v>#NAME?</v>
      </c>
      <c r="I3325" t="s">
        <v>8076</v>
      </c>
      <c r="J3325">
        <v>14.5</v>
      </c>
      <c r="K3325" s="2" t="s">
        <v>8650</v>
      </c>
      <c r="L3325">
        <v>3.8</v>
      </c>
      <c r="M3325">
        <v>11</v>
      </c>
      <c r="O3325" t="s">
        <v>26</v>
      </c>
      <c r="P3325" t="s">
        <v>39</v>
      </c>
      <c r="Q3325" t="s">
        <v>8651</v>
      </c>
    </row>
    <row r="3326" spans="1:17" ht="15.75" x14ac:dyDescent="0.25">
      <c r="A3326" s="3" t="str">
        <f>HYPERLINK("https://shop.sonapharmacy.com/products/purpose-gentle-cleansing-bar-6oz", "https://shop.sonapharmacy.com/products/purpose-gentle-cleansing-bar-6oz")</f>
        <v>https://shop.sonapharmacy.com/products/purpose-gentle-cleansing-bar-6oz</v>
      </c>
      <c r="B3326" s="3" t="str">
        <f>HYPERLINK("https://shop.sonapharmacy.com/products/purpose-gentle-cleansing-bar-6oz", "https://shop.sonapharmacy.com/products/purpose-gentle-cleansing-bar-6oz")</f>
        <v>https://shop.sonapharmacy.com/products/purpose-gentle-cleansing-bar-6oz</v>
      </c>
      <c r="C3326" t="s">
        <v>8652</v>
      </c>
      <c r="D3326" t="s">
        <v>8653</v>
      </c>
      <c r="E3326" s="3" t="str">
        <f>HYPERLINK("https://www.amazon.com/Purpose-Gentle-Cleansing-6-Ounce-Bars/dp/B001E96M58/ref=sr_1_3?keywords=Purpose+Gentle+Cleansing+Bar+6oz.&amp;qid=1695260662&amp;sr=8-3", "https://www.amazon.com/Purpose-Gentle-Cleansing-6-Ounce-Bars/dp/B001E96M58/ref=sr_1_3?keywords=Purpose+Gentle+Cleansing+Bar+6oz.&amp;qid=1695260662&amp;sr=8-3")</f>
        <v>https://www.amazon.com/Purpose-Gentle-Cleansing-6-Ounce-Bars/dp/B001E96M58/ref=sr_1_3?keywords=Purpose+Gentle+Cleansing+Bar+6oz.&amp;qid=1695260662&amp;sr=8-3</v>
      </c>
      <c r="F3326" t="s">
        <v>8654</v>
      </c>
      <c r="G3326" t="e">
        <f ca="1">IMAGE("https://shop.sonapharmacy.com/cdn/shop/products/118399_1400x_93c89fb8-439e-40d6-8d57-f94ddb60c699.jpg?v=1608315285")</f>
        <v>#NAME?</v>
      </c>
      <c r="H3326" t="e">
        <f ca="1">IMAGE("https://m.media-amazon.com/images/I/71GNGeViqiL._AC_UL320_.jpg")</f>
        <v>#NAME?</v>
      </c>
      <c r="I3326" t="s">
        <v>8632</v>
      </c>
      <c r="J3326">
        <v>23.94</v>
      </c>
      <c r="K3326" s="2" t="s">
        <v>8655</v>
      </c>
      <c r="L3326">
        <v>4.9000000000000004</v>
      </c>
      <c r="M3326">
        <v>1901</v>
      </c>
      <c r="O3326" t="s">
        <v>26</v>
      </c>
      <c r="P3326" t="s">
        <v>39</v>
      </c>
      <c r="Q3326" t="s">
        <v>8656</v>
      </c>
    </row>
    <row r="3327" spans="1:17" ht="15.75" x14ac:dyDescent="0.25">
      <c r="A3327" s="3" t="str">
        <f>HYPERLINK("https://shop.sonapharmacy.com/products/aveeno%C2%AE-daily-moisturizing-body-wash-12fl-oz", "https://shop.sonapharmacy.com/products/aveeno%C2%AE-daily-moisturizing-body-wash-12fl-oz")</f>
        <v>https://shop.sonapharmacy.com/products/aveeno%C2%AE-daily-moisturizing-body-wash-12fl-oz</v>
      </c>
      <c r="B3327" s="3" t="str">
        <f>HYPERLINK("https://shop.sonapharmacy.com/products/aveeno%c2%ae-daily-moisturizing-body-wash-12fl-oz", "https://shop.sonapharmacy.com/products/aveeno%c2%ae-daily-moisturizing-body-wash-12fl-oz")</f>
        <v>https://shop.sonapharmacy.com/products/aveeno%c2%ae-daily-moisturizing-body-wash-12fl-oz</v>
      </c>
      <c r="C3327" t="s">
        <v>8657</v>
      </c>
      <c r="D3327" t="s">
        <v>8658</v>
      </c>
      <c r="E3327" s="3" t="str">
        <f>HYPERLINK("https://www.amazon.com/AVEENO-Active-Naturals-Daily-Moisturizing/dp/B01IA96I9E/ref=sr_1_6?keywords=Aveeno%C2%AE+Daily+Moisturizing+Body+Wash+12fl.+oz.&amp;qid=1695260037&amp;sr=8-6", "https://www.amazon.com/AVEENO-Active-Naturals-Daily-Moisturizing/dp/B01IA96I9E/ref=sr_1_6?keywords=Aveeno%C2%AE+Daily+Moisturizing+Body+Wash+12fl.+oz.&amp;qid=1695260037&amp;sr=8-6")</f>
        <v>https://www.amazon.com/AVEENO-Active-Naturals-Daily-Moisturizing/dp/B01IA96I9E/ref=sr_1_6?keywords=Aveeno%C2%AE+Daily+Moisturizing+Body+Wash+12fl.+oz.&amp;qid=1695260037&amp;sr=8-6</v>
      </c>
      <c r="F3327" t="s">
        <v>8659</v>
      </c>
      <c r="G3327" t="e">
        <f ca="1">IMAGE("https://shop.sonapharmacy.com/cdn/shop/products/ave_381370014188_dailymoist_bodywash_12oz_00000_1000w_1000h.jpg?v=1611191757")</f>
        <v>#NAME?</v>
      </c>
      <c r="H3327" t="e">
        <f ca="1">IMAGE("https://m.media-amazon.com/images/I/516CpGia12L._AC_UL320_.jpg")</f>
        <v>#NAME?</v>
      </c>
      <c r="I3327" t="s">
        <v>8660</v>
      </c>
      <c r="J3327">
        <v>57.95</v>
      </c>
      <c r="K3327" s="2" t="s">
        <v>8661</v>
      </c>
      <c r="L3327">
        <v>2.9</v>
      </c>
      <c r="M3327">
        <v>4</v>
      </c>
      <c r="O3327" t="s">
        <v>136</v>
      </c>
      <c r="P3327" t="s">
        <v>39</v>
      </c>
      <c r="Q3327" t="s">
        <v>8662</v>
      </c>
    </row>
    <row r="3328" spans="1:17" ht="15.75" x14ac:dyDescent="0.25">
      <c r="A3328" s="3" t="str">
        <f>HYPERLINK("https://shop.sonapharmacy.com/products/fleet%C2%AE-liquid-glycerin-suppositories-4", "https://shop.sonapharmacy.com/products/fleet%C2%AE-liquid-glycerin-suppositories-4")</f>
        <v>https://shop.sonapharmacy.com/products/fleet%C2%AE-liquid-glycerin-suppositories-4</v>
      </c>
      <c r="B3328" s="3" t="str">
        <f>HYPERLINK("https://shop.sonapharmacy.com/products/fleet%c2%ae-liquid-glycerin-suppositories-4", "https://shop.sonapharmacy.com/products/fleet%c2%ae-liquid-glycerin-suppositories-4")</f>
        <v>https://shop.sonapharmacy.com/products/fleet%c2%ae-liquid-glycerin-suppositories-4</v>
      </c>
      <c r="C3328" t="s">
        <v>8663</v>
      </c>
      <c r="D3328" t="s">
        <v>8664</v>
      </c>
      <c r="E3328" s="3" t="str">
        <f>HYPERLINK("https://www.amazon.com/Fleet-Liquid-Glycerin-Suppositories-Each/dp/B01IAI43XI/ref=sr_1_5?keywords=FLEET%C2%AE+Liquid+Glycerin+Suppositories&amp;qid=1695260272&amp;sr=8-5", "https://www.amazon.com/Fleet-Liquid-Glycerin-Suppositories-Each/dp/B01IAI43XI/ref=sr_1_5?keywords=FLEET%C2%AE+Liquid+Glycerin+Suppositories&amp;qid=1695260272&amp;sr=8-5")</f>
        <v>https://www.amazon.com/Fleet-Liquid-Glycerin-Suppositories-Each/dp/B01IAI43XI/ref=sr_1_5?keywords=FLEET%C2%AE+Liquid+Glycerin+Suppositories&amp;qid=1695260272&amp;sr=8-5</v>
      </c>
      <c r="F3328" t="s">
        <v>8665</v>
      </c>
      <c r="G3328" t="e">
        <f ca="1">IMAGE("https://shop.sonapharmacy.com/cdn/shop/products/61jAlYCKusL._SL1000.jpg?v=1609350996")</f>
        <v>#NAME?</v>
      </c>
      <c r="H3328" t="e">
        <f ca="1">IMAGE("https://m.media-amazon.com/images/I/81xdUyXYxeL._AC_UL320_.jpg")</f>
        <v>#NAME?</v>
      </c>
      <c r="I3328" t="s">
        <v>8557</v>
      </c>
      <c r="J3328">
        <v>42.13</v>
      </c>
      <c r="K3328" s="2" t="s">
        <v>8666</v>
      </c>
      <c r="L3328">
        <v>4.8</v>
      </c>
      <c r="M3328">
        <v>847</v>
      </c>
      <c r="O3328" t="s">
        <v>136</v>
      </c>
      <c r="P3328" t="s">
        <v>39</v>
      </c>
      <c r="Q3328" t="s">
        <v>8667</v>
      </c>
    </row>
    <row r="3329" spans="1:17" ht="15.75" x14ac:dyDescent="0.25">
      <c r="A3329" s="3" t="str">
        <f>HYPERLINK("https://shop.sonapharmacy.com/products/benadryl%C2%AE-original-strength-itch-stopping-cream-1oz", "https://shop.sonapharmacy.com/products/benadryl%C2%AE-original-strength-itch-stopping-cream-1oz")</f>
        <v>https://shop.sonapharmacy.com/products/benadryl%C2%AE-original-strength-itch-stopping-cream-1oz</v>
      </c>
      <c r="B3329" s="3" t="str">
        <f>HYPERLINK("https://shop.sonapharmacy.com/products/benadryl%c2%ae-original-strength-itch-stopping-cream-1oz", "https://shop.sonapharmacy.com/products/benadryl%c2%ae-original-strength-itch-stopping-cream-1oz")</f>
        <v>https://shop.sonapharmacy.com/products/benadryl%c2%ae-original-strength-itch-stopping-cream-1oz</v>
      </c>
      <c r="C3329" t="s">
        <v>8484</v>
      </c>
      <c r="D3329" t="s">
        <v>8668</v>
      </c>
      <c r="E3329" s="3" t="str">
        <f>HYPERLINK("https://www.amazon.com/Benadryl-Stopping-Cream-Original-Strength/dp/B01IAI1PAW/ref=sr_1_5?keywords=Benadryl%C2%AE+Original+Strength+Itch+Stopping+Cream+1oz&amp;qid=1695260112&amp;sr=8-5", "https://www.amazon.com/Benadryl-Stopping-Cream-Original-Strength/dp/B01IAI1PAW/ref=sr_1_5?keywords=Benadryl%C2%AE+Original+Strength+Itch+Stopping+Cream+1oz&amp;qid=1695260112&amp;sr=8-5")</f>
        <v>https://www.amazon.com/Benadryl-Stopping-Cream-Original-Strength/dp/B01IAI1PAW/ref=sr_1_5?keywords=Benadryl%C2%AE+Original+Strength+Itch+Stopping+Cream+1oz&amp;qid=1695260112&amp;sr=8-5</v>
      </c>
      <c r="F3329" t="s">
        <v>8669</v>
      </c>
      <c r="G3329" t="e">
        <f ca="1">IMAGE("https://shop.sonapharmacy.com/cdn/shop/products/44103667-6875-436e-b776-cf3d6402ef0d_1.65737eb7090c77f7aa9709f0319524eb.jpg?v=1611255561")</f>
        <v>#NAME?</v>
      </c>
      <c r="H3329" t="e">
        <f ca="1">IMAGE("https://m.media-amazon.com/images/I/61c41F0J-WL._AC_UL320_.jpg")</f>
        <v>#NAME?</v>
      </c>
      <c r="I3329" t="s">
        <v>8487</v>
      </c>
      <c r="J3329">
        <v>46.16</v>
      </c>
      <c r="K3329" s="2" t="s">
        <v>8670</v>
      </c>
      <c r="L3329">
        <v>4.4000000000000004</v>
      </c>
      <c r="M3329">
        <v>8</v>
      </c>
      <c r="O3329" t="s">
        <v>26</v>
      </c>
      <c r="P3329" t="s">
        <v>39</v>
      </c>
      <c r="Q3329" t="s">
        <v>8489</v>
      </c>
    </row>
    <row r="3330" spans="1:17" ht="15.75" x14ac:dyDescent="0.25">
      <c r="A3330" s="3" t="str">
        <f>HYPERLINK("https://shop.sonapharmacy.com/products/dramamine%C2%AE-all-day-less-drowsy-motion-sickness-relief-tablets-8ct", "https://shop.sonapharmacy.com/products/dramamine%C2%AE-all-day-less-drowsy-motion-sickness-relief-tablets-8ct")</f>
        <v>https://shop.sonapharmacy.com/products/dramamine%C2%AE-all-day-less-drowsy-motion-sickness-relief-tablets-8ct</v>
      </c>
      <c r="B3330" s="3" t="str">
        <f>HYPERLINK("https://shop.sonapharmacy.com/products/dramamine%c2%ae-all-day-less-drowsy-motion-sickness-relief-tablets-8ct", "https://shop.sonapharmacy.com/products/dramamine%c2%ae-all-day-less-drowsy-motion-sickness-relief-tablets-8ct")</f>
        <v>https://shop.sonapharmacy.com/products/dramamine%c2%ae-all-day-less-drowsy-motion-sickness-relief-tablets-8ct</v>
      </c>
      <c r="C3330" t="s">
        <v>8671</v>
      </c>
      <c r="D3330" t="s">
        <v>8672</v>
      </c>
      <c r="E3330" s="3" t="str">
        <f>HYPERLINK("https://www.amazon.com/Dramamine-Drowsy-Motion-Sickness-Tablets/dp/B0CFWS6KG5/ref=sr_1_6?keywords=Dramamine%C2%AE+All+Day+Less+Drowsy+Motion+Sickness+Relief+Tablets+8ct.&amp;qid=1695260195&amp;sr=8-6", "https://www.amazon.com/Dramamine-Drowsy-Motion-Sickness-Tablets/dp/B0CFWS6KG5/ref=sr_1_6?keywords=Dramamine%C2%AE+All+Day+Less+Drowsy+Motion+Sickness+Relief+Tablets+8ct.&amp;qid=1695260195&amp;sr=8-6")</f>
        <v>https://www.amazon.com/Dramamine-Drowsy-Motion-Sickness-Tablets/dp/B0CFWS6KG5/ref=sr_1_6?keywords=Dramamine%C2%AE+All+Day+Less+Drowsy+Motion+Sickness+Relief+Tablets+8ct.&amp;qid=1695260195&amp;sr=8-6</v>
      </c>
      <c r="F3330" t="s">
        <v>8673</v>
      </c>
      <c r="G3330" t="e">
        <f ca="1">IMAGE("https://shop.sonapharmacy.com/cdn/shop/products/7101eILcpJL._AC_SL1500.jpg?v=1610849450")</f>
        <v>#NAME?</v>
      </c>
      <c r="H3330" t="e">
        <f ca="1">IMAGE("https://m.media-amazon.com/images/I/61aB3CTM2LL._AC_UL320_.jpg")</f>
        <v>#NAME?</v>
      </c>
      <c r="I3330" t="s">
        <v>8674</v>
      </c>
      <c r="J3330">
        <v>39.700000000000003</v>
      </c>
      <c r="K3330" s="2" t="s">
        <v>8675</v>
      </c>
      <c r="L3330">
        <v>4.9000000000000004</v>
      </c>
      <c r="M3330">
        <v>82</v>
      </c>
      <c r="O3330" t="s">
        <v>26</v>
      </c>
      <c r="P3330" t="s">
        <v>39</v>
      </c>
      <c r="Q3330" t="s">
        <v>8676</v>
      </c>
    </row>
    <row r="3331" spans="1:17" ht="15.75" x14ac:dyDescent="0.25">
      <c r="A3331" s="3" t="str">
        <f>HYPERLINK("https://shop.sonapharmacy.com/products/foille-medicated-first-aid-ointment-1oz", "https://shop.sonapharmacy.com/products/foille-medicated-first-aid-ointment-1oz")</f>
        <v>https://shop.sonapharmacy.com/products/foille-medicated-first-aid-ointment-1oz</v>
      </c>
      <c r="B3331" s="3" t="str">
        <f>HYPERLINK("https://shop.sonapharmacy.com/products/foille-medicated-first-aid-ointment-1oz", "https://shop.sonapharmacy.com/products/foille-medicated-first-aid-ointment-1oz")</f>
        <v>https://shop.sonapharmacy.com/products/foille-medicated-first-aid-ointment-1oz</v>
      </c>
      <c r="C3331" t="s">
        <v>8677</v>
      </c>
      <c r="D3331" t="s">
        <v>8678</v>
      </c>
      <c r="E3331" s="3" t="str">
        <f>HYPERLINK("https://www.amazon.com/Foille-Medicated-First-Ointment-Pack/dp/B01IAI7B8W/ref=sr_1_6?keywords=Foille+Medicated+First+Aid+Ointment+1oz.&amp;qid=1695260242&amp;sr=8-6", "https://www.amazon.com/Foille-Medicated-First-Ointment-Pack/dp/B01IAI7B8W/ref=sr_1_6?keywords=Foille+Medicated+First+Aid+Ointment+1oz.&amp;qid=1695260242&amp;sr=8-6")</f>
        <v>https://www.amazon.com/Foille-Medicated-First-Ointment-Pack/dp/B01IAI7B8W/ref=sr_1_6?keywords=Foille+Medicated+First+Aid+Ointment+1oz.&amp;qid=1695260242&amp;sr=8-6</v>
      </c>
      <c r="F3331" t="s">
        <v>8679</v>
      </c>
      <c r="G3331" t="e">
        <f ca="1">IMAGE("https://shop.sonapharmacy.com/cdn/shop/products/51q-pUYDQIL._AC_SL1500.jpg?v=1609351378")</f>
        <v>#NAME?</v>
      </c>
      <c r="H3331" t="e">
        <f ca="1">IMAGE("https://m.media-amazon.com/images/I/61yRf2iE4tL._AC_UL320_.jpg")</f>
        <v>#NAME?</v>
      </c>
      <c r="I3331" t="s">
        <v>8680</v>
      </c>
      <c r="J3331">
        <v>27.81</v>
      </c>
      <c r="K3331" s="2" t="s">
        <v>8681</v>
      </c>
      <c r="L3331">
        <v>4.9000000000000004</v>
      </c>
      <c r="M3331">
        <v>23</v>
      </c>
      <c r="O3331" t="s">
        <v>26</v>
      </c>
      <c r="P3331" t="s">
        <v>39</v>
      </c>
      <c r="Q3331" t="s">
        <v>8682</v>
      </c>
    </row>
    <row r="3332" spans="1:17" ht="15.75" x14ac:dyDescent="0.25">
      <c r="A3332" s="3" t="str">
        <f>HYPERLINK("https://shop.sonapharmacy.com/products/halls-relief-honey-lemon-cough-drops", "https://shop.sonapharmacy.com/products/halls-relief-honey-lemon-cough-drops")</f>
        <v>https://shop.sonapharmacy.com/products/halls-relief-honey-lemon-cough-drops</v>
      </c>
      <c r="B3332" s="3" t="str">
        <f>HYPERLINK("https://shop.sonapharmacy.com/products/halls-relief-honey-lemon-cough-drops", "https://shop.sonapharmacy.com/products/halls-relief-honey-lemon-cough-drops")</f>
        <v>https://shop.sonapharmacy.com/products/halls-relief-honey-lemon-cough-drops</v>
      </c>
      <c r="C3332" t="s">
        <v>8031</v>
      </c>
      <c r="D3332" t="s">
        <v>8683</v>
      </c>
      <c r="E3332" s="3" t="str">
        <f>HYPERLINK("https://www.amazon.com/Halls-Honey-Lemon-Cough-Drops/dp/B004I8SYB2/ref=sr_1_5?keywords=Halls%C2%AE+Relief+Honey+Lemon+Cough+Drops&amp;qid=1695260411&amp;sr=8-5", "https://www.amazon.com/Halls-Honey-Lemon-Cough-Drops/dp/B004I8SYB2/ref=sr_1_5?keywords=Halls%C2%AE+Relief+Honey+Lemon+Cough+Drops&amp;qid=1695260411&amp;sr=8-5")</f>
        <v>https://www.amazon.com/Halls-Honey-Lemon-Cough-Drops/dp/B004I8SYB2/ref=sr_1_5?keywords=Halls%C2%AE+Relief+Honey+Lemon+Cough+Drops&amp;qid=1695260411&amp;sr=8-5</v>
      </c>
      <c r="F3332" t="s">
        <v>8684</v>
      </c>
      <c r="G3332" t="e">
        <f ca="1">IMAGE("https://shop.sonapharmacy.com/cdn/shop/products/HALLS_Menthol_HoneyLemon_30ct.png?v=1608215589")</f>
        <v>#NAME?</v>
      </c>
      <c r="H3332" t="e">
        <f ca="1">IMAGE("https://m.media-amazon.com/images/I/81IsZGw55IL._AC_UL320_.jpg")</f>
        <v>#NAME?</v>
      </c>
      <c r="I3332" t="s">
        <v>8034</v>
      </c>
      <c r="J3332">
        <v>18.989999999999998</v>
      </c>
      <c r="K3332" s="2" t="s">
        <v>8685</v>
      </c>
      <c r="L3332">
        <v>4.5</v>
      </c>
      <c r="M3332">
        <v>991</v>
      </c>
      <c r="O3332" t="s">
        <v>26</v>
      </c>
      <c r="P3332" t="s">
        <v>39</v>
      </c>
      <c r="Q3332" t="s">
        <v>8036</v>
      </c>
    </row>
    <row r="3333" spans="1:17" ht="15.75" x14ac:dyDescent="0.25">
      <c r="A3333" s="3" t="str">
        <f>HYPERLINK("https://shop.sonapharmacy.com/products/eos%C2%AE-strawberry-sorbet-lip-balm", "https://shop.sonapharmacy.com/products/eos%C2%AE-strawberry-sorbet-lip-balm")</f>
        <v>https://shop.sonapharmacy.com/products/eos%C2%AE-strawberry-sorbet-lip-balm</v>
      </c>
      <c r="B3333" s="3" t="str">
        <f>HYPERLINK("https://shop.sonapharmacy.com/products/eos%c2%ae-strawberry-sorbet-lip-balm", "https://shop.sonapharmacy.com/products/eos%c2%ae-strawberry-sorbet-lip-balm")</f>
        <v>https://shop.sonapharmacy.com/products/eos%c2%ae-strawberry-sorbet-lip-balm</v>
      </c>
      <c r="C3333" t="s">
        <v>8408</v>
      </c>
      <c r="D3333" t="s">
        <v>8686</v>
      </c>
      <c r="E3333" s="3" t="str">
        <f>HYPERLINK("https://www.amazon.com/Smooth-Balm-Sphere-Strawberry-Sorbet/dp/B00O86HSJ8/ref=sr_1_9?keywords=EOS%C2%AE+Strawberry+Sorbet+Lip+Balm&amp;qid=1695260249&amp;sr=8-9", "https://www.amazon.com/Smooth-Balm-Sphere-Strawberry-Sorbet/dp/B00O86HSJ8/ref=sr_1_9?keywords=EOS%C2%AE+Strawberry+Sorbet+Lip+Balm&amp;qid=1695260249&amp;sr=8-9")</f>
        <v>https://www.amazon.com/Smooth-Balm-Sphere-Strawberry-Sorbet/dp/B00O86HSJ8/ref=sr_1_9?keywords=EOS%C2%AE+Strawberry+Sorbet+Lip+Balm&amp;qid=1695260249&amp;sr=8-9</v>
      </c>
      <c r="F3333" t="s">
        <v>8687</v>
      </c>
      <c r="G3333" t="e">
        <f ca="1">IMAGE("https://shop.sonapharmacy.com/cdn/shop/products/892992002847-1a_VB__70684.1610588860.jpg?v=1610642796")</f>
        <v>#NAME?</v>
      </c>
      <c r="H3333" t="e">
        <f ca="1">IMAGE("https://m.media-amazon.com/images/I/61TmLaaXGhL._AC_UL320_.jpg")</f>
        <v>#NAME?</v>
      </c>
      <c r="I3333" t="s">
        <v>8411</v>
      </c>
      <c r="J3333">
        <v>24.47</v>
      </c>
      <c r="K3333" s="2" t="s">
        <v>8688</v>
      </c>
      <c r="L3333">
        <v>4.9000000000000004</v>
      </c>
      <c r="M3333">
        <v>26</v>
      </c>
      <c r="O3333" t="s">
        <v>26</v>
      </c>
      <c r="P3333" t="s">
        <v>39</v>
      </c>
      <c r="Q3333" t="s">
        <v>8413</v>
      </c>
    </row>
    <row r="3334" spans="1:17" ht="15.75" x14ac:dyDescent="0.25">
      <c r="A3334" s="3" t="str">
        <f>HYPERLINK("https://shop.sonapharmacy.com/products/nexium%C2%AE-24hr-delayed-release-acid-reducer-capsules-14ct", "https://shop.sonapharmacy.com/products/nexium%C2%AE-24hr-delayed-release-acid-reducer-capsules-14ct")</f>
        <v>https://shop.sonapharmacy.com/products/nexium%C2%AE-24hr-delayed-release-acid-reducer-capsules-14ct</v>
      </c>
      <c r="B3334" s="3" t="str">
        <f>HYPERLINK("https://shop.sonapharmacy.com/products/nexium%c2%ae-24hr-delayed-release-acid-reducer-capsules-14ct", "https://shop.sonapharmacy.com/products/nexium%c2%ae-24hr-delayed-release-acid-reducer-capsules-14ct")</f>
        <v>https://shop.sonapharmacy.com/products/nexium%c2%ae-24hr-delayed-release-acid-reducer-capsules-14ct</v>
      </c>
      <c r="C3334" t="s">
        <v>8689</v>
      </c>
      <c r="D3334" t="s">
        <v>8690</v>
      </c>
      <c r="E3334" s="3" t="str">
        <f>HYPERLINK("https://www.amazon.com/Nexium-24HR-Reducer-Delayed-Release-Capsules/dp/B077VMGRFK/ref=sr_1_3?keywords=Nexium%C2%AE+24hr+Delayed+Release+Acid+Reducer+Capsules+14ct.&amp;qid=1695260569&amp;sr=8-3", "https://www.amazon.com/Nexium-24HR-Reducer-Delayed-Release-Capsules/dp/B077VMGRFK/ref=sr_1_3?keywords=Nexium%C2%AE+24hr+Delayed+Release+Acid+Reducer+Capsules+14ct.&amp;qid=1695260569&amp;sr=8-3")</f>
        <v>https://www.amazon.com/Nexium-24HR-Reducer-Delayed-Release-Capsules/dp/B077VMGRFK/ref=sr_1_3?keywords=Nexium%C2%AE+24hr+Delayed+Release+Acid+Reducer+Capsules+14ct.&amp;qid=1695260569&amp;sr=8-3</v>
      </c>
      <c r="F3334" t="s">
        <v>8691</v>
      </c>
      <c r="G3334" t="e">
        <f ca="1">IMAGE("https://shop.sonapharmacy.com/cdn/shop/products/81o5SVUyHvL._AC_SL1500.jpg?v=1611025615")</f>
        <v>#NAME?</v>
      </c>
      <c r="H3334" t="e">
        <f ca="1">IMAGE("https://m.media-amazon.com/images/I/71YfmiFzgbL._AC_UL320_.jpg")</f>
        <v>#NAME?</v>
      </c>
      <c r="I3334" t="s">
        <v>8692</v>
      </c>
      <c r="J3334">
        <v>79.900000000000006</v>
      </c>
      <c r="K3334" s="2" t="s">
        <v>8693</v>
      </c>
      <c r="L3334">
        <v>3</v>
      </c>
      <c r="M3334">
        <v>1</v>
      </c>
      <c r="O3334" t="s">
        <v>26</v>
      </c>
      <c r="P3334" t="s">
        <v>39</v>
      </c>
      <c r="Q3334" t="s">
        <v>8694</v>
      </c>
    </row>
    <row r="3335" spans="1:17" ht="15.75" x14ac:dyDescent="0.25">
      <c r="A3335" s="3" t="str">
        <f>HYPERLINK("https://shop.sonapharmacy.com/products/neutrogena%C2%AE-oil-free-acne-wash-6fl-oz", "https://shop.sonapharmacy.com/products/neutrogena%C2%AE-oil-free-acne-wash-6fl-oz")</f>
        <v>https://shop.sonapharmacy.com/products/neutrogena%C2%AE-oil-free-acne-wash-6fl-oz</v>
      </c>
      <c r="B3335" s="3" t="str">
        <f>HYPERLINK("https://shop.sonapharmacy.com/products/neutrogena%c2%ae-oil-free-acne-wash-6fl-oz", "https://shop.sonapharmacy.com/products/neutrogena%c2%ae-oil-free-acne-wash-6fl-oz")</f>
        <v>https://shop.sonapharmacy.com/products/neutrogena%c2%ae-oil-free-acne-wash-6fl-oz</v>
      </c>
      <c r="C3335" t="s">
        <v>8695</v>
      </c>
      <c r="D3335" t="s">
        <v>8696</v>
      </c>
      <c r="E3335" s="3" t="str">
        <f>HYPERLINK("https://www.amazon.com/Neutrogena-Free-Grapefruit-Clear-Treatment/dp/B08DF213Y5/ref=sr_1_2?keywords=Neutrogena%C2%AE+Oil-Free+Acne+Wash+6fl.+oz.&amp;qid=1695260560&amp;sr=8-2", "https://www.amazon.com/Neutrogena-Free-Grapefruit-Clear-Treatment/dp/B08DF213Y5/ref=sr_1_2?keywords=Neutrogena%C2%AE+Oil-Free+Acne+Wash+6fl.+oz.&amp;qid=1695260560&amp;sr=8-2")</f>
        <v>https://www.amazon.com/Neutrogena-Free-Grapefruit-Clear-Treatment/dp/B08DF213Y5/ref=sr_1_2?keywords=Neutrogena%C2%AE+Oil-Free+Acne+Wash+6fl.+oz.&amp;qid=1695260560&amp;sr=8-2</v>
      </c>
      <c r="F3335" t="s">
        <v>8697</v>
      </c>
      <c r="G3335" t="e">
        <f ca="1">IMAGE("https://shop.sonapharmacy.com/cdn/shop/products/6801710XX_6oz_0.jpg?v=1608304751")</f>
        <v>#NAME?</v>
      </c>
      <c r="H3335" t="e">
        <f ca="1">IMAGE("https://m.media-amazon.com/images/I/71CsAs2Z+cL._AC_UL320_.jpg")</f>
        <v>#NAME?</v>
      </c>
      <c r="I3335" t="s">
        <v>8698</v>
      </c>
      <c r="J3335">
        <v>53.82</v>
      </c>
      <c r="K3335" s="2" t="s">
        <v>8699</v>
      </c>
      <c r="L3335">
        <v>5</v>
      </c>
      <c r="M3335">
        <v>4</v>
      </c>
      <c r="O3335" t="s">
        <v>26</v>
      </c>
      <c r="P3335" t="s">
        <v>39</v>
      </c>
      <c r="Q3335" t="s">
        <v>8700</v>
      </c>
    </row>
    <row r="3336" spans="1:17" ht="15.75" x14ac:dyDescent="0.25">
      <c r="A3336" s="3" t="str">
        <f>HYPERLINK("https://shop.sonapharmacy.com/products/old-spice%C2%AE-original-high-endurance-deodorant-3-0oz", "https://shop.sonapharmacy.com/products/old-spice%C2%AE-original-high-endurance-deodorant-3-0oz")</f>
        <v>https://shop.sonapharmacy.com/products/old-spice%C2%AE-original-high-endurance-deodorant-3-0oz</v>
      </c>
      <c r="B3336" s="3" t="str">
        <f>HYPERLINK("https://shop.sonapharmacy.com/products/old-spice%c2%ae-original-high-endurance-deodorant-3-0oz", "https://shop.sonapharmacy.com/products/old-spice%c2%ae-original-high-endurance-deodorant-3-0oz")</f>
        <v>https://shop.sonapharmacy.com/products/old-spice%c2%ae-original-high-endurance-deodorant-3-0oz</v>
      </c>
      <c r="C3336" t="s">
        <v>8203</v>
      </c>
      <c r="D3336" t="s">
        <v>8701</v>
      </c>
      <c r="E3336" s="3" t="str">
        <f>HYPERLINK("https://www.amazon.com/Spice-Antiperspirant-Deodorant-Endurance-Original/dp/B0017WGHRU/ref=sr_1_6?keywords=Old+Spice%C2%AE+Original+High+Endurance+Deodorant+3.0oz.&amp;qid=1695260609&amp;sr=8-6", "https://www.amazon.com/Spice-Antiperspirant-Deodorant-Endurance-Original/dp/B0017WGHRU/ref=sr_1_6?keywords=Old+Spice%C2%AE+Original+High+Endurance+Deodorant+3.0oz.&amp;qid=1695260609&amp;sr=8-6")</f>
        <v>https://www.amazon.com/Spice-Antiperspirant-Deodorant-Endurance-Original/dp/B0017WGHRU/ref=sr_1_6?keywords=Old+Spice%C2%AE+Original+High+Endurance+Deodorant+3.0oz.&amp;qid=1695260609&amp;sr=8-6</v>
      </c>
      <c r="F3336" t="s">
        <v>8702</v>
      </c>
      <c r="G3336" t="e">
        <f ca="1">IMAGE("https://shop.sonapharmacy.com/cdn/shop/products/81d6Zo1KWZL._SL1500.jpg?v=1609094009")</f>
        <v>#NAME?</v>
      </c>
      <c r="H3336" t="e">
        <f ca="1">IMAGE("https://m.media-amazon.com/images/I/71oORB0JlOL._AC_UL320_.jpg")</f>
        <v>#NAME?</v>
      </c>
      <c r="I3336" t="s">
        <v>8206</v>
      </c>
      <c r="J3336">
        <v>32.380000000000003</v>
      </c>
      <c r="K3336" s="2" t="s">
        <v>8703</v>
      </c>
      <c r="L3336">
        <v>4.5999999999999996</v>
      </c>
      <c r="M3336">
        <v>8180</v>
      </c>
      <c r="O3336" t="s">
        <v>26</v>
      </c>
      <c r="P3336" t="s">
        <v>39</v>
      </c>
      <c r="Q3336" t="s">
        <v>8208</v>
      </c>
    </row>
    <row r="3337" spans="1:17" ht="15.75" x14ac:dyDescent="0.25">
      <c r="A3337" s="3" t="str">
        <f>HYPERLINK("https://shop.sonapharmacy.com/products/ricola-honey-lemon-with-echinacea-cough-drops-19ct", "https://shop.sonapharmacy.com/products/ricola-honey-lemon-with-echinacea-cough-drops-19ct")</f>
        <v>https://shop.sonapharmacy.com/products/ricola-honey-lemon-with-echinacea-cough-drops-19ct</v>
      </c>
      <c r="B3337" s="3" t="str">
        <f>HYPERLINK("https://shop.sonapharmacy.com/products/ricola-honey-lemon-with-echinacea-cough-drops-19ct", "https://shop.sonapharmacy.com/products/ricola-honey-lemon-with-echinacea-cough-drops-19ct")</f>
        <v>https://shop.sonapharmacy.com/products/ricola-honey-lemon-with-echinacea-cough-drops-19ct</v>
      </c>
      <c r="C3337" t="s">
        <v>8704</v>
      </c>
      <c r="D3337" t="s">
        <v>8705</v>
      </c>
      <c r="E3337" s="3" t="str">
        <f>HYPERLINK("https://www.amazon.com/Ricola-Cough-Suppressant-Throat-Echinacea/dp/B01DWWGHSQ/ref=sr_1_7?keywords=Ricola+Honey+Lemon+with+Echinacea+Cough+Drops+19ct&amp;qid=1695260682&amp;sr=8-7", "https://www.amazon.com/Ricola-Cough-Suppressant-Throat-Echinacea/dp/B01DWWGHSQ/ref=sr_1_7?keywords=Ricola+Honey+Lemon+with+Echinacea+Cough+Drops+19ct&amp;qid=1695260682&amp;sr=8-7")</f>
        <v>https://www.amazon.com/Ricola-Cough-Suppressant-Throat-Echinacea/dp/B01DWWGHSQ/ref=sr_1_7?keywords=Ricola+Honey+Lemon+with+Echinacea+Cough+Drops+19ct&amp;qid=1695260682&amp;sr=8-7</v>
      </c>
      <c r="F3337" t="s">
        <v>8706</v>
      </c>
      <c r="G3337" t="e">
        <f ca="1">IMAGE("https://shop.sonapharmacy.com/cdn/shop/products/honeylemon-echinacea_bag_19.png?v=1608221481")</f>
        <v>#NAME?</v>
      </c>
      <c r="H3337" t="e">
        <f ca="1">IMAGE("https://m.media-amazon.com/images/I/81bb4IVNeWL._AC_UL320_.jpg")</f>
        <v>#NAME?</v>
      </c>
      <c r="I3337" t="s">
        <v>8279</v>
      </c>
      <c r="J3337">
        <v>23</v>
      </c>
      <c r="K3337" s="2" t="s">
        <v>8707</v>
      </c>
      <c r="L3337">
        <v>4.8</v>
      </c>
      <c r="M3337">
        <v>179</v>
      </c>
      <c r="O3337" t="s">
        <v>26</v>
      </c>
      <c r="P3337" t="s">
        <v>39</v>
      </c>
      <c r="Q3337" t="s">
        <v>8708</v>
      </c>
    </row>
    <row r="3338" spans="1:17" ht="15.75" x14ac:dyDescent="0.25">
      <c r="A3338" s="3" t="str">
        <f>HYPERLINK("https://shop.sonapharmacy.com/products/ayr-saline-nasal-gel-no-drip-sinus-spray", "https://shop.sonapharmacy.com/products/ayr-saline-nasal-gel-no-drip-sinus-spray")</f>
        <v>https://shop.sonapharmacy.com/products/ayr-saline-nasal-gel-no-drip-sinus-spray</v>
      </c>
      <c r="B3338" s="3" t="str">
        <f>HYPERLINK("https://shop.sonapharmacy.com/products/ayr-saline-nasal-gel-no-drip-sinus-spray", "https://shop.sonapharmacy.com/products/ayr-saline-nasal-gel-no-drip-sinus-spray")</f>
        <v>https://shop.sonapharmacy.com/products/ayr-saline-nasal-gel-no-drip-sinus-spray</v>
      </c>
      <c r="C3338" t="s">
        <v>8709</v>
      </c>
      <c r="D3338" t="s">
        <v>8710</v>
      </c>
      <c r="E3338" s="3" t="str">
        <f>HYPERLINK("https://www.amazon.com/Ayr-Saline-Drip-Sinus-Nasal/dp/B01IAI649Y/ref=sr_1_7?keywords=Ayr%C2%AE+Saline+Nasal+Gel+No-Drip+Sinus+Spray+0.75oz.&amp;qid=1695260047&amp;sr=8-7", "https://www.amazon.com/Ayr-Saline-Drip-Sinus-Nasal/dp/B01IAI649Y/ref=sr_1_7?keywords=Ayr%C2%AE+Saline+Nasal+Gel+No-Drip+Sinus+Spray+0.75oz.&amp;qid=1695260047&amp;sr=8-7")</f>
        <v>https://www.amazon.com/Ayr-Saline-Drip-Sinus-Nasal/dp/B01IAI649Y/ref=sr_1_7?keywords=Ayr%C2%AE+Saline+Nasal+Gel+No-Drip+Sinus+Spray+0.75oz.&amp;qid=1695260047&amp;sr=8-7</v>
      </c>
      <c r="F3338" t="s">
        <v>8711</v>
      </c>
      <c r="G3338" t="e">
        <f ca="1">IMAGE("https://shop.sonapharmacy.com/cdn/shop/products/s-l400_2.jpg?v=1610026827")</f>
        <v>#NAME?</v>
      </c>
      <c r="H3338" t="e">
        <f ca="1">IMAGE("https://m.media-amazon.com/images/I/71PRRwK4WdL._AC_UL320_.jpg")</f>
        <v>#NAME?</v>
      </c>
      <c r="I3338" t="s">
        <v>8712</v>
      </c>
      <c r="J3338">
        <v>79.38</v>
      </c>
      <c r="K3338" s="2" t="s">
        <v>8713</v>
      </c>
      <c r="L3338">
        <v>4.7</v>
      </c>
      <c r="M3338">
        <v>4</v>
      </c>
      <c r="O3338" t="s">
        <v>26</v>
      </c>
      <c r="P3338" t="s">
        <v>39</v>
      </c>
      <c r="Q3338" t="s">
        <v>8714</v>
      </c>
    </row>
    <row r="3339" spans="1:17" ht="15.75" x14ac:dyDescent="0.25">
      <c r="A3339" s="3" t="str">
        <f>HYPERLINK("https://shop.sonapharmacy.com/products/listerine%C2%AE-original-antiseptic-mouthwash-1-0l", "https://shop.sonapharmacy.com/products/listerine%C2%AE-original-antiseptic-mouthwash-1-0l")</f>
        <v>https://shop.sonapharmacy.com/products/listerine%C2%AE-original-antiseptic-mouthwash-1-0l</v>
      </c>
      <c r="B3339" s="3" t="str">
        <f>HYPERLINK("https://shop.sonapharmacy.com/products/listerine%c2%ae-original-antiseptic-mouthwash-1-0l", "https://shop.sonapharmacy.com/products/listerine%c2%ae-original-antiseptic-mouthwash-1-0l")</f>
        <v>https://shop.sonapharmacy.com/products/listerine%c2%ae-original-antiseptic-mouthwash-1-0l</v>
      </c>
      <c r="C3339" t="s">
        <v>8715</v>
      </c>
      <c r="D3339" t="s">
        <v>8716</v>
      </c>
      <c r="E3339" s="3" t="str">
        <f>HYPERLINK("https://www.amazon.com/Listerine-Antiseptic-Mouthwash-Germ-Killing-Gingivitis/dp/B00CHTYCXI/ref=sr_1_2?keywords=Listerine%C2%AE+Original+Antiseptic+Mouthwash&amp;qid=1695260455&amp;sr=8-2", "https://www.amazon.com/Listerine-Antiseptic-Mouthwash-Germ-Killing-Gingivitis/dp/B00CHTYCXI/ref=sr_1_2?keywords=Listerine%C2%AE+Original+Antiseptic+Mouthwash&amp;qid=1695260455&amp;sr=8-2")</f>
        <v>https://www.amazon.com/Listerine-Antiseptic-Mouthwash-Germ-Killing-Gingivitis/dp/B00CHTYCXI/ref=sr_1_2?keywords=Listerine%C2%AE+Original+Antiseptic+Mouthwash&amp;qid=1695260455&amp;sr=8-2</v>
      </c>
      <c r="F3339" t="s">
        <v>8717</v>
      </c>
      <c r="G3339" t="e">
        <f ca="1">IMAGE("https://shop.sonapharmacy.com/cdn/shop/products/a70058ff-41fb-4d2a-b64c-cf59a2256d21.d9285f50277c821f45fbb40b10febc43.jpg?v=1608657131")</f>
        <v>#NAME?</v>
      </c>
      <c r="H3339" t="e">
        <f ca="1">IMAGE("https://m.media-amazon.com/images/I/81yyP88rzhL._AC_UL320_.jpg")</f>
        <v>#NAME?</v>
      </c>
      <c r="I3339" t="s">
        <v>3392</v>
      </c>
      <c r="J3339">
        <v>47.86</v>
      </c>
      <c r="K3339" s="2" t="s">
        <v>8718</v>
      </c>
      <c r="L3339">
        <v>4.8</v>
      </c>
      <c r="M3339">
        <v>1377</v>
      </c>
      <c r="O3339" t="s">
        <v>26</v>
      </c>
      <c r="P3339" t="s">
        <v>39</v>
      </c>
      <c r="Q3339" t="s">
        <v>8719</v>
      </c>
    </row>
    <row r="3340" spans="1:17" ht="15.75" x14ac:dyDescent="0.25">
      <c r="A3340" s="3" t="str">
        <f>HYPERLINK("https://shop.sonapharmacy.com/products/old-spice%C2%AE-pure-sport-high-endurance-deodorant-3-0oz", "https://shop.sonapharmacy.com/products/old-spice%C2%AE-pure-sport-high-endurance-deodorant-3-0oz")</f>
        <v>https://shop.sonapharmacy.com/products/old-spice%C2%AE-pure-sport-high-endurance-deodorant-3-0oz</v>
      </c>
      <c r="B3340" s="3" t="str">
        <f>HYPERLINK("https://shop.sonapharmacy.com/products/old-spice%c2%ae-pure-sport-high-endurance-deodorant-3-0oz", "https://shop.sonapharmacy.com/products/old-spice%c2%ae-pure-sport-high-endurance-deodorant-3-0oz")</f>
        <v>https://shop.sonapharmacy.com/products/old-spice%c2%ae-pure-sport-high-endurance-deodorant-3-0oz</v>
      </c>
      <c r="C3340" t="s">
        <v>8720</v>
      </c>
      <c r="D3340" t="s">
        <v>8721</v>
      </c>
      <c r="E3340" s="3" t="str">
        <f>HYPERLINK("https://www.amazon.com/Old-Spice-Endurance-Deodorant-Sport/dp/B07VS4ZWMF/ref=sr_1_5?keywords=Old+Spice%C2%AE+Pure+Sport+High+Endurance+Deodorant+3.0oz.&amp;qid=1695260614&amp;sr=8-5", "https://www.amazon.com/Old-Spice-Endurance-Deodorant-Sport/dp/B07VS4ZWMF/ref=sr_1_5?keywords=Old+Spice%C2%AE+Pure+Sport+High+Endurance+Deodorant+3.0oz.&amp;qid=1695260614&amp;sr=8-5")</f>
        <v>https://www.amazon.com/Old-Spice-Endurance-Deodorant-Sport/dp/B07VS4ZWMF/ref=sr_1_5?keywords=Old+Spice%C2%AE+Pure+Sport+High+Endurance+Deodorant+3.0oz.&amp;qid=1695260614&amp;sr=8-5</v>
      </c>
      <c r="F3340" t="s">
        <v>8722</v>
      </c>
      <c r="G3340" t="e">
        <f ca="1">IMAGE("https://shop.sonapharmacy.com/cdn/shop/products/7c0e29c3-6af7-41b0-bc81-b9238d9e44d1_1.7a977d3723660517c76ddad4c2bf91f5.jpg?v=1609094596")</f>
        <v>#NAME?</v>
      </c>
      <c r="H3340" t="e">
        <f ca="1">IMAGE("https://m.media-amazon.com/images/I/718I3RPZ5sL._AC_UL320_.jpg")</f>
        <v>#NAME?</v>
      </c>
      <c r="I3340" t="s">
        <v>8206</v>
      </c>
      <c r="J3340">
        <v>31.95</v>
      </c>
      <c r="K3340" s="2" t="s">
        <v>8723</v>
      </c>
      <c r="L3340">
        <v>4.5999999999999996</v>
      </c>
      <c r="M3340">
        <v>69</v>
      </c>
      <c r="O3340" t="s">
        <v>26</v>
      </c>
      <c r="P3340" t="s">
        <v>39</v>
      </c>
      <c r="Q3340" t="s">
        <v>8724</v>
      </c>
    </row>
    <row r="3341" spans="1:17" ht="15.75" x14ac:dyDescent="0.25">
      <c r="A3341" s="3" t="str">
        <f>HYPERLINK("https://shop.sonapharmacy.com/products/pantene%C2%AE-classic-clean-shampoo-12-6fl-oz", "https://shop.sonapharmacy.com/products/pantene%C2%AE-classic-clean-shampoo-12-6fl-oz")</f>
        <v>https://shop.sonapharmacy.com/products/pantene%C2%AE-classic-clean-shampoo-12-6fl-oz</v>
      </c>
      <c r="B3341" s="3" t="str">
        <f>HYPERLINK("https://shop.sonapharmacy.com/products/pantene%c2%ae-classic-clean-shampoo-12-6fl-oz", "https://shop.sonapharmacy.com/products/pantene%c2%ae-classic-clean-shampoo-12-6fl-oz")</f>
        <v>https://shop.sonapharmacy.com/products/pantene%c2%ae-classic-clean-shampoo-12-6fl-oz</v>
      </c>
      <c r="C3341" t="s">
        <v>8725</v>
      </c>
      <c r="D3341" t="s">
        <v>8726</v>
      </c>
      <c r="E3341" s="3" t="str">
        <f>HYPERLINK("https://www.amazon.com/Pantene-Pro-v-Classic-Clean-Shampoo/dp/B01N0BT08W/ref=sr_1_8?keywords=Pantene%C2%AE+Pro-V+Classic+Clean+Shampoo+12fl.+oz.&amp;qid=1695260626&amp;sr=8-8", "https://www.amazon.com/Pantene-Pro-v-Classic-Clean-Shampoo/dp/B01N0BT08W/ref=sr_1_8?keywords=Pantene%C2%AE+Pro-V+Classic+Clean+Shampoo+12fl.+oz.&amp;qid=1695260626&amp;sr=8-8")</f>
        <v>https://www.amazon.com/Pantene-Pro-v-Classic-Clean-Shampoo/dp/B01N0BT08W/ref=sr_1_8?keywords=Pantene%C2%AE+Pro-V+Classic+Clean+Shampoo+12fl.+oz.&amp;qid=1695260626&amp;sr=8-8</v>
      </c>
      <c r="F3341" t="s">
        <v>8727</v>
      </c>
      <c r="G3341" t="e">
        <f ca="1">IMAGE("https://shop.sonapharmacy.com/cdn/shop/products/15cd010f-3357-47fe-af4e-ec5db33dd69f_1.e7f21d7c02f220665cdc99a4a17eaf1f.jpg?v=1609165266")</f>
        <v>#NAME?</v>
      </c>
      <c r="H3341" t="e">
        <f ca="1">IMAGE("https://m.media-amazon.com/images/I/61vCq45SH2L._AC_UL320_.jpg")</f>
        <v>#NAME?</v>
      </c>
      <c r="I3341" t="s">
        <v>8728</v>
      </c>
      <c r="J3341">
        <v>29.99</v>
      </c>
      <c r="K3341" s="2" t="s">
        <v>8729</v>
      </c>
      <c r="L3341">
        <v>4.5999999999999996</v>
      </c>
      <c r="M3341">
        <v>18</v>
      </c>
      <c r="O3341" t="s">
        <v>26</v>
      </c>
      <c r="P3341" t="s">
        <v>39</v>
      </c>
      <c r="Q3341" t="s">
        <v>8730</v>
      </c>
    </row>
    <row r="3342" spans="1:17" ht="15.75" x14ac:dyDescent="0.25">
      <c r="A3342" s="3" t="str">
        <f>HYPERLINK("https://shop.sonapharmacy.com/products/goodsense%C2%AE-instant-ice-compress", "https://shop.sonapharmacy.com/products/goodsense%C2%AE-instant-ice-compress")</f>
        <v>https://shop.sonapharmacy.com/products/goodsense%C2%AE-instant-ice-compress</v>
      </c>
      <c r="B3342" s="3" t="str">
        <f>HYPERLINK("https://shop.sonapharmacy.com/products/goodsense%c2%ae-instant-ice-compress", "https://shop.sonapharmacy.com/products/goodsense%c2%ae-instant-ice-compress")</f>
        <v>https://shop.sonapharmacy.com/products/goodsense%c2%ae-instant-ice-compress</v>
      </c>
      <c r="C3342" t="s">
        <v>8352</v>
      </c>
      <c r="D3342" t="s">
        <v>8731</v>
      </c>
      <c r="E3342" s="3" t="str">
        <f>HYPERLINK("https://www.amazon.com/Injuries-Inflammation-Toothache-Activities-Athletes/dp/B0C6Q1K1HR/ref=sr_1_6?keywords=GoodSense%C2%AE+Instant+Ice+Compress&amp;qid=1695260355&amp;sr=8-6", "https://www.amazon.com/Injuries-Inflammation-Toothache-Activities-Athletes/dp/B0C6Q1K1HR/ref=sr_1_6?keywords=GoodSense%C2%AE+Instant+Ice+Compress&amp;qid=1695260355&amp;sr=8-6")</f>
        <v>https://www.amazon.com/Injuries-Inflammation-Toothache-Activities-Athletes/dp/B0C6Q1K1HR/ref=sr_1_6?keywords=GoodSense%C2%AE+Instant+Ice+Compress&amp;qid=1695260355&amp;sr=8-6</v>
      </c>
      <c r="F3342" t="s">
        <v>8732</v>
      </c>
      <c r="G3342" t="e">
        <f ca="1">IMAGE("https://shop.sonapharmacy.com/cdn/shop/products/large_c74b53f8-f838-43e3-afb8-f2daf7fd0c4e.jpg?v=1607958159")</f>
        <v>#NAME?</v>
      </c>
      <c r="H3342" t="e">
        <f ca="1">IMAGE("https://m.media-amazon.com/images/I/81t3YVIAKWL._AC_UL320_.jpg")</f>
        <v>#NAME?</v>
      </c>
      <c r="I3342" t="s">
        <v>8355</v>
      </c>
      <c r="J3342">
        <v>18.989999999999998</v>
      </c>
      <c r="K3342" s="2" t="s">
        <v>8733</v>
      </c>
      <c r="L3342">
        <v>4.7</v>
      </c>
      <c r="M3342">
        <v>27</v>
      </c>
      <c r="O3342" t="s">
        <v>26</v>
      </c>
      <c r="P3342" t="s">
        <v>39</v>
      </c>
      <c r="Q3342" t="s">
        <v>8357</v>
      </c>
    </row>
    <row r="3343" spans="1:17" ht="15.75" x14ac:dyDescent="0.25">
      <c r="A3343" s="3" t="str">
        <f>HYPERLINK("https://shop.sonapharmacy.com/products/accu-chek-guide-test-strips-50-ct", "https://shop.sonapharmacy.com/products/accu-chek-guide-test-strips-50-ct")</f>
        <v>https://shop.sonapharmacy.com/products/accu-chek-guide-test-strips-50-ct</v>
      </c>
      <c r="B3343" s="3" t="str">
        <f>HYPERLINK("https://shop.sonapharmacy.com/products/accu-chek-guide-test-strips-50-ct", "https://shop.sonapharmacy.com/products/accu-chek-guide-test-strips-50-ct")</f>
        <v>https://shop.sonapharmacy.com/products/accu-chek-guide-test-strips-50-ct</v>
      </c>
      <c r="C3343" t="s">
        <v>8734</v>
      </c>
      <c r="D3343" t="s">
        <v>8735</v>
      </c>
      <c r="E3343" s="3" t="str">
        <f>HYPERLINK("https://www.amazon.com/Accu-Chek-Smart-Strips-Count/dp/B00CFPDD20/ref=sr_1_9?keywords=Accu-Chek+Guide+Test+Strips&amp;qid=1695260023&amp;sr=8-9", "https://www.amazon.com/Accu-Chek-Smart-Strips-Count/dp/B00CFPDD20/ref=sr_1_9?keywords=Accu-Chek+Guide+Test+Strips&amp;qid=1695260023&amp;sr=8-9")</f>
        <v>https://www.amazon.com/Accu-Chek-Smart-Strips-Count/dp/B00CFPDD20/ref=sr_1_9?keywords=Accu-Chek+Guide+Test+Strips&amp;qid=1695260023&amp;sr=8-9</v>
      </c>
      <c r="F3343" t="s">
        <v>8736</v>
      </c>
      <c r="G3343" t="e">
        <f ca="1">IMAGE("https://shop.sonapharmacy.com/cdn/shop/products/Accu-ChekGuideTestStrips50ct.yyy.jpg?v=1594217683")</f>
        <v>#NAME?</v>
      </c>
      <c r="H3343" t="e">
        <f ca="1">IMAGE("https://m.media-amazon.com/images/I/71gikKyfUgL._AC_UL320_.jpg")</f>
        <v>#NAME?</v>
      </c>
      <c r="I3343" t="s">
        <v>8737</v>
      </c>
      <c r="J3343">
        <v>154.99</v>
      </c>
      <c r="K3343" s="2" t="s">
        <v>8738</v>
      </c>
      <c r="L3343">
        <v>4.5999999999999996</v>
      </c>
      <c r="M3343">
        <v>225</v>
      </c>
      <c r="O3343" t="s">
        <v>26</v>
      </c>
      <c r="P3343" t="s">
        <v>39</v>
      </c>
      <c r="Q3343" t="s">
        <v>8739</v>
      </c>
    </row>
    <row r="3344" spans="1:17" ht="15.75" x14ac:dyDescent="0.25">
      <c r="A3344" s="3" t="str">
        <f>HYPERLINK("https://shop.sonapharmacy.com/products/fixodent%C2%AE-plus-scope-denture-adhesive-cream-2oz", "https://shop.sonapharmacy.com/products/fixodent%C2%AE-plus-scope-denture-adhesive-cream-2oz")</f>
        <v>https://shop.sonapharmacy.com/products/fixodent%C2%AE-plus-scope-denture-adhesive-cream-2oz</v>
      </c>
      <c r="B3344" s="3" t="str">
        <f>HYPERLINK("https://shop.sonapharmacy.com/products/fixodent%c2%ae-plus-scope-denture-adhesive-cream-2oz", "https://shop.sonapharmacy.com/products/fixodent%c2%ae-plus-scope-denture-adhesive-cream-2oz")</f>
        <v>https://shop.sonapharmacy.com/products/fixodent%c2%ae-plus-scope-denture-adhesive-cream-2oz</v>
      </c>
      <c r="C3344" t="s">
        <v>8603</v>
      </c>
      <c r="D3344" t="s">
        <v>8740</v>
      </c>
      <c r="E3344" s="3" t="str">
        <f>HYPERLINK("https://www.amazon.com/Fixodent-Control-Denture-Adhesive-Flavor/dp/B00KM5ATQS/ref=sr_1_4?keywords=Fixodent%C2%AE+Plus+Scope+Denture+Adhesive+Cream+2oz.&amp;qid=1695260276&amp;sr=8-4", "https://www.amazon.com/Fixodent-Control-Denture-Adhesive-Flavor/dp/B00KM5ATQS/ref=sr_1_4?keywords=Fixodent%C2%AE+Plus+Scope+Denture+Adhesive+Cream+2oz.&amp;qid=1695260276&amp;sr=8-4")</f>
        <v>https://www.amazon.com/Fixodent-Control-Denture-Adhesive-Flavor/dp/B00KM5ATQS/ref=sr_1_4?keywords=Fixodent%C2%AE+Plus+Scope+Denture+Adhesive+Cream+2oz.&amp;qid=1695260276&amp;sr=8-4</v>
      </c>
      <c r="F3344" t="s">
        <v>8741</v>
      </c>
      <c r="G3344" t="e">
        <f ca="1">IMAGE("https://shop.sonapharmacy.com/cdn/shop/products/c4ad4c85-c5be-4bf9-aa48-57fc08bf1930_1.02323672f23fe184ba3c29ed08511b88.jpg?v=1608651112")</f>
        <v>#NAME?</v>
      </c>
      <c r="H3344" t="e">
        <f ca="1">IMAGE("https://m.media-amazon.com/images/I/51UTJDr2lGL._AC_UL320_.jpg")</f>
        <v>#NAME?</v>
      </c>
      <c r="I3344" t="s">
        <v>8606</v>
      </c>
      <c r="J3344">
        <v>38.07</v>
      </c>
      <c r="K3344" s="2" t="s">
        <v>8742</v>
      </c>
      <c r="L3344">
        <v>4.5999999999999996</v>
      </c>
      <c r="M3344">
        <v>62</v>
      </c>
      <c r="O3344" t="s">
        <v>136</v>
      </c>
      <c r="P3344" t="s">
        <v>39</v>
      </c>
      <c r="Q3344" t="s">
        <v>8608</v>
      </c>
    </row>
    <row r="3345" spans="1:17" ht="15.75" x14ac:dyDescent="0.25">
      <c r="A3345" s="3" t="str">
        <f>HYPERLINK("https://shop.sonapharmacy.com/products/dripdrop-ors-dehydration-relief-electrolyte-powder", "https://shop.sonapharmacy.com/products/dripdrop-ors-dehydration-relief-electrolyte-powder")</f>
        <v>https://shop.sonapharmacy.com/products/dripdrop-ors-dehydration-relief-electrolyte-powder</v>
      </c>
      <c r="B3345" s="3" t="str">
        <f>HYPERLINK("https://shop.sonapharmacy.com/products/dripdrop-ors-dehydration-relief-electrolyte-powder", "https://shop.sonapharmacy.com/products/dripdrop-ors-dehydration-relief-electrolyte-powder")</f>
        <v>https://shop.sonapharmacy.com/products/dripdrop-ors-dehydration-relief-electrolyte-powder</v>
      </c>
      <c r="C3345" t="s">
        <v>8743</v>
      </c>
      <c r="D3345" t="s">
        <v>8744</v>
      </c>
      <c r="E3345" s="3" t="str">
        <f>HYPERLINK("https://www.amazon.com/DripDrop-Dehydration-Electrolyte-Watermelon-Servings/dp/B07NRBN6WG/ref=sr_1_1?keywords=DripDrop%C2%AE+ORS+Dehydration+Relief+Electrolyte+Powder&amp;qid=1695260197&amp;sr=8-1", "https://www.amazon.com/DripDrop-Dehydration-Electrolyte-Watermelon-Servings/dp/B07NRBN6WG/ref=sr_1_1?keywords=DripDrop%C2%AE+ORS+Dehydration+Relief+Electrolyte+Powder&amp;qid=1695260197&amp;sr=8-1")</f>
        <v>https://www.amazon.com/DripDrop-Dehydration-Electrolyte-Watermelon-Servings/dp/B07NRBN6WG/ref=sr_1_1?keywords=DripDrop%C2%AE+ORS+Dehydration+Relief+Electrolyte+Powder&amp;qid=1695260197&amp;sr=8-1</v>
      </c>
      <c r="F3345" t="s">
        <v>8745</v>
      </c>
      <c r="G3345" t="e">
        <f ca="1">IMAGE("https://shop.sonapharmacy.com/cdn/shop/products/DripDropORSDehydrationReliefElectrolytePowder.jpg?v=1594836732")</f>
        <v>#NAME?</v>
      </c>
      <c r="H3345" t="e">
        <f ca="1">IMAGE("https://m.media-amazon.com/images/I/71fFv71kYSS._AC_UL320_.jpg")</f>
        <v>#NAME?</v>
      </c>
      <c r="I3345" t="s">
        <v>4873</v>
      </c>
      <c r="J3345">
        <v>58.2</v>
      </c>
      <c r="K3345" s="2" t="s">
        <v>8746</v>
      </c>
      <c r="L3345">
        <v>4.7</v>
      </c>
      <c r="M3345">
        <v>13666</v>
      </c>
      <c r="O3345" t="s">
        <v>26</v>
      </c>
      <c r="P3345" t="s">
        <v>39</v>
      </c>
      <c r="Q3345" t="s">
        <v>8747</v>
      </c>
    </row>
    <row r="3346" spans="1:17" ht="15.75" x14ac:dyDescent="0.25">
      <c r="A3346" s="3" t="str">
        <f>HYPERLINK("https://shop.sonapharmacy.com/products/okeeffes-working-hands-cream-2-7oz", "https://shop.sonapharmacy.com/products/okeeffes-working-hands-cream-2-7oz")</f>
        <v>https://shop.sonapharmacy.com/products/okeeffes-working-hands-cream-2-7oz</v>
      </c>
      <c r="B3346" s="3" t="str">
        <f>HYPERLINK("https://shop.sonapharmacy.com/products/okeeffes-working-hands-cream-2-7oz", "https://shop.sonapharmacy.com/products/okeeffes-working-hands-cream-2-7oz")</f>
        <v>https://shop.sonapharmacy.com/products/okeeffes-working-hands-cream-2-7oz</v>
      </c>
      <c r="C3346" t="s">
        <v>8312</v>
      </c>
      <c r="D3346" t="s">
        <v>8748</v>
      </c>
      <c r="E3346" s="3" t="str">
        <f>HYPERLINK("https://www.amazon.com/OKeeffes-Working-Hands-Cream-Pack/dp/B00HA7XFXK/ref=sr_1_3?keywords=O%27Keeffe%27s+Working+Hands+Cream+2.7oz.&amp;qid=1695260597&amp;sr=8-3", "https://www.amazon.com/OKeeffes-Working-Hands-Cream-Pack/dp/B00HA7XFXK/ref=sr_1_3?keywords=O%27Keeffe%27s+Working+Hands+Cream+2.7oz.&amp;qid=1695260597&amp;sr=8-3")</f>
        <v>https://www.amazon.com/OKeeffes-Working-Hands-Cream-Pack/dp/B00HA7XFXK/ref=sr_1_3?keywords=O%27Keeffe%27s+Working+Hands+Cream+2.7oz.&amp;qid=1695260597&amp;sr=8-3</v>
      </c>
      <c r="F3346" t="s">
        <v>8749</v>
      </c>
      <c r="G3346" t="e">
        <f ca="1">IMAGE("https://shop.sonapharmacy.com/cdn/shop/products/00be5c22-ab6e-4ab0-b795-94a77c1551f9_2.8f68130d2f977aa423d97d8a89b1994a.jpg?v=1608407194")</f>
        <v>#NAME?</v>
      </c>
      <c r="H3346" t="e">
        <f ca="1">IMAGE("https://m.media-amazon.com/images/I/81V1QCBvRqL._AC_UL320_.jpg")</f>
        <v>#NAME?</v>
      </c>
      <c r="I3346" t="s">
        <v>8315</v>
      </c>
      <c r="J3346">
        <v>48.99</v>
      </c>
      <c r="K3346" s="2" t="s">
        <v>8750</v>
      </c>
      <c r="L3346">
        <v>4.7</v>
      </c>
      <c r="M3346">
        <v>31</v>
      </c>
      <c r="O3346" t="s">
        <v>26</v>
      </c>
      <c r="P3346" t="s">
        <v>39</v>
      </c>
      <c r="Q3346" t="s">
        <v>8317</v>
      </c>
    </row>
    <row r="3347" spans="1:17" ht="15.75" x14ac:dyDescent="0.25">
      <c r="A3347" s="3" t="str">
        <f>HYPERLINK("https://shop.sonapharmacy.com/products/cara%C2%AE-standard-size-moist-dry-heating-pad", "https://shop.sonapharmacy.com/products/cara%C2%AE-standard-size-moist-dry-heating-pad")</f>
        <v>https://shop.sonapharmacy.com/products/cara%C2%AE-standard-size-moist-dry-heating-pad</v>
      </c>
      <c r="B3347" s="3" t="str">
        <f>HYPERLINK("https://shop.sonapharmacy.com/products/cara%c2%ae-standard-size-moist-dry-heating-pad", "https://shop.sonapharmacy.com/products/cara%c2%ae-standard-size-moist-dry-heating-pad")</f>
        <v>https://shop.sonapharmacy.com/products/cara%c2%ae-standard-size-moist-dry-heating-pad</v>
      </c>
      <c r="C3347" t="s">
        <v>8751</v>
      </c>
      <c r="D3347" t="s">
        <v>8752</v>
      </c>
      <c r="E3347" s="3" t="str">
        <f>HYPERLINK("https://www.amazon.com/Cara-Heating-Moist-King-Select/dp/B00I5N5248/ref=sr_1_8?keywords=Cara%C2%AE+Standard+Size+Moist%2FDry+Heating+Pad&amp;qid=1695260154&amp;sr=8-8", "https://www.amazon.com/Cara-Heating-Moist-King-Select/dp/B00I5N5248/ref=sr_1_8?keywords=Cara%C2%AE+Standard+Size+Moist%2FDry+Heating+Pad&amp;qid=1695260154&amp;sr=8-8")</f>
        <v>https://www.amazon.com/Cara-Heating-Moist-King-Select/dp/B00I5N5248/ref=sr_1_8?keywords=Cara%C2%AE+Standard+Size+Moist%2FDry+Heating+Pad&amp;qid=1695260154&amp;sr=8-8</v>
      </c>
      <c r="F3347" t="s">
        <v>8753</v>
      </c>
      <c r="G3347" t="e">
        <f ca="1">IMAGE("https://shop.sonapharmacy.com/cdn/shop/products/da718653-98e8-4d98-a1bc-4562155c6543_1.6a398de2ed3c5b4be415e9ebd72152f4.jpg?v=1611153880")</f>
        <v>#NAME?</v>
      </c>
      <c r="H3347" t="e">
        <f ca="1">IMAGE("https://m.media-amazon.com/images/I/81Q1XpqH55L._AC_UL320_.jpg")</f>
        <v>#NAME?</v>
      </c>
      <c r="I3347" t="s">
        <v>8754</v>
      </c>
      <c r="J3347">
        <v>134.62</v>
      </c>
      <c r="K3347" s="2" t="s">
        <v>8755</v>
      </c>
      <c r="L3347">
        <v>5</v>
      </c>
      <c r="M3347">
        <v>2</v>
      </c>
      <c r="O3347" t="s">
        <v>26</v>
      </c>
      <c r="P3347" t="s">
        <v>39</v>
      </c>
      <c r="Q3347" t="s">
        <v>8756</v>
      </c>
    </row>
    <row r="3348" spans="1:17" ht="15.75" x14ac:dyDescent="0.25">
      <c r="A3348" s="3" t="str">
        <f>HYPERLINK("https://shop.sonapharmacy.com/products/nexcare-flexible-clear-tape-with-dispenser", "https://shop.sonapharmacy.com/products/nexcare-flexible-clear-tape-with-dispenser")</f>
        <v>https://shop.sonapharmacy.com/products/nexcare-flexible-clear-tape-with-dispenser</v>
      </c>
      <c r="B3348" s="3" t="str">
        <f>HYPERLINK("https://shop.sonapharmacy.com/products/nexcare-flexible-clear-tape-with-dispenser", "https://shop.sonapharmacy.com/products/nexcare-flexible-clear-tape-with-dispenser")</f>
        <v>https://shop.sonapharmacy.com/products/nexcare-flexible-clear-tape-with-dispenser</v>
      </c>
      <c r="C3348" t="s">
        <v>8757</v>
      </c>
      <c r="D3348" t="s">
        <v>8758</v>
      </c>
      <c r="E3348" s="3" t="str">
        <f>HYPERLINK("https://www.amazon.com/Nexcare-First-Flexible-Clear-Yards/dp/B01IAI2S6M/ref=sr_1_5?keywords=Nexcare+Flexible+Clear+Tape&amp;qid=1695260581&amp;sr=8-5", "https://www.amazon.com/Nexcare-First-Flexible-Clear-Yards/dp/B01IAI2S6M/ref=sr_1_5?keywords=Nexcare+Flexible+Clear+Tape&amp;qid=1695260581&amp;sr=8-5")</f>
        <v>https://www.amazon.com/Nexcare-First-Flexible-Clear-Yards/dp/B01IAI2S6M/ref=sr_1_5?keywords=Nexcare+Flexible+Clear+Tape&amp;qid=1695260581&amp;sr=8-5</v>
      </c>
      <c r="F3348" t="s">
        <v>8759</v>
      </c>
      <c r="G3348" t="e">
        <f ca="1">IMAGE("https://shop.sonapharmacy.com/cdn/shop/products/3M-Nexcare-Flexible-Clear-First-Aid-Tape-779.jpg?v=1607704429")</f>
        <v>#NAME?</v>
      </c>
      <c r="H3348" t="e">
        <f ca="1">IMAGE("https://m.media-amazon.com/images/I/61epG+yyCoL._AC_UL320_.jpg")</f>
        <v>#NAME?</v>
      </c>
      <c r="I3348" t="s">
        <v>8760</v>
      </c>
      <c r="J3348">
        <v>33.729999999999997</v>
      </c>
      <c r="K3348" s="2" t="s">
        <v>8761</v>
      </c>
      <c r="L3348">
        <v>4.8</v>
      </c>
      <c r="M3348">
        <v>18</v>
      </c>
      <c r="O3348" t="s">
        <v>26</v>
      </c>
      <c r="P3348" t="s">
        <v>39</v>
      </c>
      <c r="Q3348" t="s">
        <v>8762</v>
      </c>
    </row>
    <row r="3349" spans="1:17" ht="15.75" x14ac:dyDescent="0.25">
      <c r="A3349" s="3" t="str">
        <f>HYPERLINK("https://shop.sonapharmacy.com/products/fruit-of-the-earth-aloe-vera-100-gel-6oz", "https://shop.sonapharmacy.com/products/fruit-of-the-earth-aloe-vera-100-gel-6oz")</f>
        <v>https://shop.sonapharmacy.com/products/fruit-of-the-earth-aloe-vera-100-gel-6oz</v>
      </c>
      <c r="B3349" s="3" t="str">
        <f>HYPERLINK("https://shop.sonapharmacy.com/products/fruit-of-the-earth-aloe-vera-100-gel-6oz", "https://shop.sonapharmacy.com/products/fruit-of-the-earth-aloe-vera-100-gel-6oz")</f>
        <v>https://shop.sonapharmacy.com/products/fruit-of-the-earth-aloe-vera-100-gel-6oz</v>
      </c>
      <c r="C3349" t="s">
        <v>8763</v>
      </c>
      <c r="D3349" t="s">
        <v>8764</v>
      </c>
      <c r="E3349" s="3" t="str">
        <f>HYPERLINK("https://www.amazon.com/Fruit-Earth-Aloe-Vera-100/dp/B00IG0WKKE/ref=sr_1_3?keywords=Fruit+Of+The+Earth+Aloe+Vera+100%25+Gel+6oz.&amp;qid=1695260255&amp;sr=8-3", "https://www.amazon.com/Fruit-Earth-Aloe-Vera-100/dp/B00IG0WKKE/ref=sr_1_3?keywords=Fruit+Of+The+Earth+Aloe+Vera+100%25+Gel+6oz.&amp;qid=1695260255&amp;sr=8-3")</f>
        <v>https://www.amazon.com/Fruit-Earth-Aloe-Vera-100/dp/B00IG0WKKE/ref=sr_1_3?keywords=Fruit+Of+The+Earth+Aloe+Vera+100%25+Gel+6oz.&amp;qid=1695260255&amp;sr=8-3</v>
      </c>
      <c r="F3349" t="s">
        <v>8765</v>
      </c>
      <c r="G3349" t="e">
        <f ca="1">IMAGE("https://shop.sonapharmacy.com/cdn/shop/products/aloevera.jpg?v=1607965506")</f>
        <v>#NAME?</v>
      </c>
      <c r="H3349" t="e">
        <f ca="1">IMAGE("https://m.media-amazon.com/images/I/71CfqyFotJL._AC_UL320_.jpg")</f>
        <v>#NAME?</v>
      </c>
      <c r="I3349" t="s">
        <v>8766</v>
      </c>
      <c r="J3349">
        <v>27.68</v>
      </c>
      <c r="K3349" s="2" t="s">
        <v>8767</v>
      </c>
      <c r="L3349">
        <v>4.8</v>
      </c>
      <c r="M3349">
        <v>21</v>
      </c>
      <c r="O3349" t="s">
        <v>26</v>
      </c>
      <c r="P3349" t="s">
        <v>39</v>
      </c>
      <c r="Q3349" t="s">
        <v>8768</v>
      </c>
    </row>
    <row r="3350" spans="1:17" ht="15.75" x14ac:dyDescent="0.25">
      <c r="A3350" s="3" t="str">
        <f>HYPERLINK("https://shop.sonapharmacy.com/products/goodsense%C2%AE-clearlax-laxative-powder", "https://shop.sonapharmacy.com/products/goodsense%C2%AE-clearlax-laxative-powder")</f>
        <v>https://shop.sonapharmacy.com/products/goodsense%C2%AE-clearlax-laxative-powder</v>
      </c>
      <c r="B3350" s="3" t="str">
        <f>HYPERLINK("https://shop.sonapharmacy.com/products/goodsense%c2%ae-clearlax-laxative-powder", "https://shop.sonapharmacy.com/products/goodsense%c2%ae-clearlax-laxative-powder")</f>
        <v>https://shop.sonapharmacy.com/products/goodsense%c2%ae-clearlax-laxative-powder</v>
      </c>
      <c r="C3350" t="s">
        <v>8137</v>
      </c>
      <c r="D3350" t="s">
        <v>8769</v>
      </c>
      <c r="E3350" s="3" t="str">
        <f>HYPERLINK("https://www.amazon.com/GoodSense-ClearLax-Polyethylene-Solution-Constipation/dp/B00JLACHYM/ref=sr_1_1?keywords=GoodSense%C2%AE+ClearLax+Laxative+Powder&amp;qid=1695260311&amp;sr=8-1", "https://www.amazon.com/GoodSense-ClearLax-Polyethylene-Solution-Constipation/dp/B00JLACHYM/ref=sr_1_1?keywords=GoodSense%C2%AE+ClearLax+Laxative+Powder&amp;qid=1695260311&amp;sr=8-1")</f>
        <v>https://www.amazon.com/GoodSense-ClearLax-Polyethylene-Solution-Constipation/dp/B00JLACHYM/ref=sr_1_1?keywords=GoodSense%C2%AE+ClearLax+Laxative+Powder&amp;qid=1695260311&amp;sr=8-1</v>
      </c>
      <c r="F3350" t="s">
        <v>8770</v>
      </c>
      <c r="G3350" t="e">
        <f ca="1">IMAGE("https://shop.sonapharmacy.com/cdn/shop/products/110890.jpg?v=1611081016")</f>
        <v>#NAME?</v>
      </c>
      <c r="H3350" t="e">
        <f ca="1">IMAGE("https://m.media-amazon.com/images/I/61izx6Ri0rL._AC_UL320_.jpg")</f>
        <v>#NAME?</v>
      </c>
      <c r="I3350" t="s">
        <v>8140</v>
      </c>
      <c r="J3350">
        <v>38.21</v>
      </c>
      <c r="K3350" s="2" t="s">
        <v>8771</v>
      </c>
      <c r="L3350">
        <v>4.8</v>
      </c>
      <c r="M3350">
        <v>5537</v>
      </c>
      <c r="O3350" t="s">
        <v>26</v>
      </c>
      <c r="P3350" t="s">
        <v>39</v>
      </c>
      <c r="Q3350" t="s">
        <v>8142</v>
      </c>
    </row>
    <row r="3351" spans="1:17" ht="15.75" x14ac:dyDescent="0.25">
      <c r="A3351" s="3" t="str">
        <f>HYPERLINK("https://shop.sonapharmacy.com/products/nature-made-550-mg-potassium-gluconate-tablets", "https://shop.sonapharmacy.com/products/nature-made-550-mg-potassium-gluconate-tablets")</f>
        <v>https://shop.sonapharmacy.com/products/nature-made-550-mg-potassium-gluconate-tablets</v>
      </c>
      <c r="B3351" s="3" t="str">
        <f>HYPERLINK("https://shop.sonapharmacy.com/products/nature-made-550-mg-potassium-gluconate-tablets", "https://shop.sonapharmacy.com/products/nature-made-550-mg-potassium-gluconate-tablets")</f>
        <v>https://shop.sonapharmacy.com/products/nature-made-550-mg-potassium-gluconate-tablets</v>
      </c>
      <c r="C3351" t="s">
        <v>8772</v>
      </c>
      <c r="D3351" t="s">
        <v>8773</v>
      </c>
      <c r="E3351" s="3" t="str">
        <f>HYPERLINK("https://www.amazon.com/Nature-Made-Potassium-Gluconate-Tablets/dp/B00ZY5PLQ4/ref=sr_1_10?keywords=Nature+Made%C2%AE+Potassium+Gluconate+550mg+Tablets+100ct.&amp;qid=1695260548&amp;sr=8-10", "https://www.amazon.com/Nature-Made-Potassium-Gluconate-Tablets/dp/B00ZY5PLQ4/ref=sr_1_10?keywords=Nature+Made%C2%AE+Potassium+Gluconate+550mg+Tablets+100ct.&amp;qid=1695260548&amp;sr=8-10")</f>
        <v>https://www.amazon.com/Nature-Made-Potassium-Gluconate-Tablets/dp/B00ZY5PLQ4/ref=sr_1_10?keywords=Nature+Made%C2%AE+Potassium+Gluconate+550mg+Tablets+100ct.&amp;qid=1695260548&amp;sr=8-10</v>
      </c>
      <c r="F3351" t="s">
        <v>8774</v>
      </c>
      <c r="G3351" t="e">
        <f ca="1">IMAGE("https://shop.sonapharmacy.com/cdn/shop/products/71BiS35R4VL._AC_SL1500.jpg?v=1610047926")</f>
        <v>#NAME?</v>
      </c>
      <c r="H3351" t="e">
        <f ca="1">IMAGE("https://m.media-amazon.com/images/I/814mQwEPbXL._AC_UL320_.jpg")</f>
        <v>#NAME?</v>
      </c>
      <c r="I3351" t="s">
        <v>8775</v>
      </c>
      <c r="J3351">
        <v>29.49</v>
      </c>
      <c r="K3351" s="2" t="s">
        <v>8776</v>
      </c>
      <c r="L3351">
        <v>4.8</v>
      </c>
      <c r="M3351">
        <v>627</v>
      </c>
      <c r="O3351" t="s">
        <v>26</v>
      </c>
      <c r="P3351" t="s">
        <v>39</v>
      </c>
      <c r="Q3351" t="s">
        <v>8777</v>
      </c>
    </row>
    <row r="3352" spans="1:17" ht="15.75" x14ac:dyDescent="0.25">
      <c r="A3352" s="3" t="str">
        <f>HYPERLINK("https://shop.sonapharmacy.com/products/aquaphor%C2%AE-baby-healing-ointment-3oz", "https://shop.sonapharmacy.com/products/aquaphor%C2%AE-baby-healing-ointment-3oz")</f>
        <v>https://shop.sonapharmacy.com/products/aquaphor%C2%AE-baby-healing-ointment-3oz</v>
      </c>
      <c r="B3352" s="3" t="str">
        <f>HYPERLINK("https://shop.sonapharmacy.com/products/aquaphor%c2%ae-baby-healing-ointment-3oz", "https://shop.sonapharmacy.com/products/aquaphor%c2%ae-baby-healing-ointment-3oz")</f>
        <v>https://shop.sonapharmacy.com/products/aquaphor%c2%ae-baby-healing-ointment-3oz</v>
      </c>
      <c r="C3352" t="s">
        <v>8778</v>
      </c>
      <c r="D3352" t="s">
        <v>8779</v>
      </c>
      <c r="E3352" s="3" t="str">
        <f>HYPERLINK("https://www.amazon.com/Aquaphor-Healing-Ointment-Baby-Ounce/dp/B00IAJJAXG/ref=sr_1_7?keywords=Aquaphor+Baby+Healing+Ointment+3oz.&amp;qid=1695260046&amp;sr=8-7", "https://www.amazon.com/Aquaphor-Healing-Ointment-Baby-Ounce/dp/B00IAJJAXG/ref=sr_1_7?keywords=Aquaphor+Baby+Healing+Ointment+3oz.&amp;qid=1695260046&amp;sr=8-7")</f>
        <v>https://www.amazon.com/Aquaphor-Healing-Ointment-Baby-Ounce/dp/B00IAJJAXG/ref=sr_1_7?keywords=Aquaphor+Baby+Healing+Ointment+3oz.&amp;qid=1695260046&amp;sr=8-7</v>
      </c>
      <c r="F3352" t="s">
        <v>8780</v>
      </c>
      <c r="G3352" t="e">
        <f ca="1">IMAGE("https://shop.sonapharmacy.com/cdn/shop/products/71g48qVpgpL._AC_SL1500.jpg?v=1609262462")</f>
        <v>#NAME?</v>
      </c>
      <c r="H3352" t="e">
        <f ca="1">IMAGE("https://m.media-amazon.com/images/I/61cvsey38+L._AC_UL320_.jpg")</f>
        <v>#NAME?</v>
      </c>
      <c r="I3352" t="s">
        <v>8781</v>
      </c>
      <c r="J3352">
        <v>55.14</v>
      </c>
      <c r="K3352" s="2" t="s">
        <v>8782</v>
      </c>
      <c r="L3352">
        <v>5</v>
      </c>
      <c r="M3352">
        <v>1</v>
      </c>
      <c r="O3352" t="s">
        <v>26</v>
      </c>
      <c r="P3352" t="s">
        <v>39</v>
      </c>
      <c r="Q3352" t="s">
        <v>8783</v>
      </c>
    </row>
    <row r="3353" spans="1:17" ht="15.75" x14ac:dyDescent="0.25">
      <c r="A3353" s="3" t="str">
        <f>HYPERLINK("https://shop.sonapharmacy.com/products/accu-chek-glucose-guide-control-solution", "https://shop.sonapharmacy.com/products/accu-chek-glucose-guide-control-solution")</f>
        <v>https://shop.sonapharmacy.com/products/accu-chek-glucose-guide-control-solution</v>
      </c>
      <c r="B3353" s="3" t="str">
        <f>HYPERLINK("https://shop.sonapharmacy.com/products/accu-chek-glucose-guide-control-solution", "https://shop.sonapharmacy.com/products/accu-chek-glucose-guide-control-solution")</f>
        <v>https://shop.sonapharmacy.com/products/accu-chek-glucose-guide-control-solution</v>
      </c>
      <c r="C3353" t="s">
        <v>8186</v>
      </c>
      <c r="D3353" t="s">
        <v>8784</v>
      </c>
      <c r="E3353" s="3" t="str">
        <f>HYPERLINK("https://www.amazon.com/Accu-Chek-Diabetes-Essential-Diabetic-Supplies/dp/B0923CRTRN/ref=sr_1_5?keywords=Accu-Chek+Glucose+Guide+Control+Solution&amp;qid=1695260010&amp;sr=8-5", "https://www.amazon.com/Accu-Chek-Diabetes-Essential-Diabetic-Supplies/dp/B0923CRTRN/ref=sr_1_5?keywords=Accu-Chek+Glucose+Guide+Control+Solution&amp;qid=1695260010&amp;sr=8-5")</f>
        <v>https://www.amazon.com/Accu-Chek-Diabetes-Essential-Diabetic-Supplies/dp/B0923CRTRN/ref=sr_1_5?keywords=Accu-Chek+Glucose+Guide+Control+Solution&amp;qid=1695260010&amp;sr=8-5</v>
      </c>
      <c r="F3353" t="s">
        <v>8785</v>
      </c>
      <c r="G3353" t="e">
        <f ca="1">IMAGE("https://shop.sonapharmacy.com/cdn/shop/products/Accu-ChekGlucoseGuideControlSolution.jpg?v=1594224961")</f>
        <v>#NAME?</v>
      </c>
      <c r="H3353" t="e">
        <f ca="1">IMAGE("https://m.media-amazon.com/images/I/71iCwcU6i+L._AC_UL320_.jpg")</f>
        <v>#NAME?</v>
      </c>
      <c r="I3353" t="s">
        <v>8189</v>
      </c>
      <c r="J3353">
        <v>60</v>
      </c>
      <c r="K3353" s="2" t="s">
        <v>8786</v>
      </c>
      <c r="L3353">
        <v>4.5</v>
      </c>
      <c r="M3353">
        <v>24</v>
      </c>
      <c r="O3353" t="s">
        <v>26</v>
      </c>
      <c r="P3353" t="s">
        <v>39</v>
      </c>
      <c r="Q3353" t="s">
        <v>8191</v>
      </c>
    </row>
    <row r="3354" spans="1:17" ht="15.75" x14ac:dyDescent="0.25">
      <c r="A3354" s="3" t="str">
        <f>HYPERLINK("https://shop.sonapharmacy.com/products/accu-chek-glucose-guide-control-solution", "https://shop.sonapharmacy.com/products/accu-chek-glucose-guide-control-solution")</f>
        <v>https://shop.sonapharmacy.com/products/accu-chek-glucose-guide-control-solution</v>
      </c>
      <c r="B3354" s="3" t="str">
        <f>HYPERLINK("https://shop.sonapharmacy.com/products/accu-chek-glucose-guide-control-solution", "https://shop.sonapharmacy.com/products/accu-chek-glucose-guide-control-solution")</f>
        <v>https://shop.sonapharmacy.com/products/accu-chek-glucose-guide-control-solution</v>
      </c>
      <c r="C3354" t="s">
        <v>8186</v>
      </c>
      <c r="D3354" t="s">
        <v>8787</v>
      </c>
      <c r="E3354" s="3" t="str">
        <f>HYPERLINK("https://www.amazon.com/Accu-Chek-Diabetes-Essential-Diabetic-Supplies/dp/B0923BNT7H/ref=sr_1_6?keywords=Accu-Chek+Glucose+Guide+Control+Solution&amp;qid=1695260010&amp;sr=8-6", "https://www.amazon.com/Accu-Chek-Diabetes-Essential-Diabetic-Supplies/dp/B0923BNT7H/ref=sr_1_6?keywords=Accu-Chek+Glucose+Guide+Control+Solution&amp;qid=1695260010&amp;sr=8-6")</f>
        <v>https://www.amazon.com/Accu-Chek-Diabetes-Essential-Diabetic-Supplies/dp/B0923BNT7H/ref=sr_1_6?keywords=Accu-Chek+Glucose+Guide+Control+Solution&amp;qid=1695260010&amp;sr=8-6</v>
      </c>
      <c r="F3354" t="s">
        <v>8788</v>
      </c>
      <c r="G3354" t="e">
        <f ca="1">IMAGE("https://shop.sonapharmacy.com/cdn/shop/products/Accu-ChekGlucoseGuideControlSolution.jpg?v=1594224961")</f>
        <v>#NAME?</v>
      </c>
      <c r="H3354" t="e">
        <f ca="1">IMAGE("https://m.media-amazon.com/images/I/71RC7QsMEfL._AC_UL320_.jpg")</f>
        <v>#NAME?</v>
      </c>
      <c r="I3354" t="s">
        <v>8189</v>
      </c>
      <c r="J3354">
        <v>60</v>
      </c>
      <c r="K3354" s="2" t="s">
        <v>8786</v>
      </c>
      <c r="L3354">
        <v>4.5</v>
      </c>
      <c r="M3354">
        <v>22</v>
      </c>
      <c r="O3354" t="s">
        <v>26</v>
      </c>
      <c r="P3354" t="s">
        <v>39</v>
      </c>
      <c r="Q3354" t="s">
        <v>8191</v>
      </c>
    </row>
    <row r="3355" spans="1:17" ht="15.75" x14ac:dyDescent="0.25">
      <c r="A3355" s="3" t="str">
        <f>HYPERLINK("https://shop.sonapharmacy.com/products/gold-bond%C2%AE-medicated-extra-strength-body-powder", "https://shop.sonapharmacy.com/products/gold-bond%C2%AE-medicated-extra-strength-body-powder")</f>
        <v>https://shop.sonapharmacy.com/products/gold-bond%C2%AE-medicated-extra-strength-body-powder</v>
      </c>
      <c r="B3355" s="3" t="str">
        <f>HYPERLINK("https://shop.sonapharmacy.com/products/gold-bond%c2%ae-medicated-extra-strength-body-powder", "https://shop.sonapharmacy.com/products/gold-bond%c2%ae-medicated-extra-strength-body-powder")</f>
        <v>https://shop.sonapharmacy.com/products/gold-bond%c2%ae-medicated-extra-strength-body-powder</v>
      </c>
      <c r="C3355" t="s">
        <v>8789</v>
      </c>
      <c r="D3355" t="s">
        <v>8790</v>
      </c>
      <c r="E3355" s="3" t="str">
        <f>HYPERLINK("https://www.amazon.com/Gold-Bond-Powder-Medicated-Strength/dp/B0141DE6Q0/ref=sr_1_5?keywords=Gold+Bond%C2%AE+Medicated+Extra+Strength+Body+Powder&amp;qid=1695260345&amp;sr=8-5", "https://www.amazon.com/Gold-Bond-Powder-Medicated-Strength/dp/B0141DE6Q0/ref=sr_1_5?keywords=Gold+Bond%C2%AE+Medicated+Extra+Strength+Body+Powder&amp;qid=1695260345&amp;sr=8-5")</f>
        <v>https://www.amazon.com/Gold-Bond-Powder-Medicated-Strength/dp/B0141DE6Q0/ref=sr_1_5?keywords=Gold+Bond%C2%AE+Medicated+Extra+Strength+Body+Powder&amp;qid=1695260345&amp;sr=8-5</v>
      </c>
      <c r="F3355" t="s">
        <v>8791</v>
      </c>
      <c r="G3355" t="e">
        <f ca="1">IMAGE("https://shop.sonapharmacy.com/cdn/shop/products/large_a047ca99-d384-45ca-bfaf-e8e86c00ee6b.jpg?v=1608488454")</f>
        <v>#NAME?</v>
      </c>
      <c r="H3355" t="e">
        <f ca="1">IMAGE("https://m.media-amazon.com/images/I/71blC-YJ2OL._AC_UL320_.jpg")</f>
        <v>#NAME?</v>
      </c>
      <c r="I3355" t="s">
        <v>8792</v>
      </c>
      <c r="J3355">
        <v>59.05</v>
      </c>
      <c r="K3355" s="2" t="s">
        <v>8793</v>
      </c>
      <c r="L3355">
        <v>4.8</v>
      </c>
      <c r="M3355">
        <v>24</v>
      </c>
      <c r="O3355" t="s">
        <v>26</v>
      </c>
      <c r="P3355" t="s">
        <v>39</v>
      </c>
      <c r="Q3355" t="s">
        <v>8794</v>
      </c>
    </row>
    <row r="3356" spans="1:17" ht="15.75" x14ac:dyDescent="0.25">
      <c r="A3356" s="3" t="str">
        <f>HYPERLINK("https://shop.sonapharmacy.com/products/curad-non-stick-pads", "https://shop.sonapharmacy.com/products/curad-non-stick-pads")</f>
        <v>https://shop.sonapharmacy.com/products/curad-non-stick-pads</v>
      </c>
      <c r="B3356" s="3" t="str">
        <f>HYPERLINK("https://shop.sonapharmacy.com/products/curad-non-stick-pads", "https://shop.sonapharmacy.com/products/curad-non-stick-pads")</f>
        <v>https://shop.sonapharmacy.com/products/curad-non-stick-pads</v>
      </c>
      <c r="C3356" t="s">
        <v>8501</v>
      </c>
      <c r="D3356" t="s">
        <v>8795</v>
      </c>
      <c r="E3356" s="3" t="str">
        <f>HYPERLINK("https://www.amazon.com/Sterile-Non-Adherent-dressing-absorption-sticking/dp/B005EB9SFI/ref=sr_1_5?keywords=Curad%C2%AE+Non-Stick+Pads&amp;qid=1695260163&amp;sr=8-5", "https://www.amazon.com/Sterile-Non-Adherent-dressing-absorption-sticking/dp/B005EB9SFI/ref=sr_1_5?keywords=Curad%C2%AE+Non-Stick+Pads&amp;qid=1695260163&amp;sr=8-5")</f>
        <v>https://www.amazon.com/Sterile-Non-Adherent-dressing-absorption-sticking/dp/B005EB9SFI/ref=sr_1_5?keywords=Curad%C2%AE+Non-Stick+Pads&amp;qid=1695260163&amp;sr=8-5</v>
      </c>
      <c r="F3356" t="s">
        <v>8796</v>
      </c>
      <c r="G3356" t="e">
        <f ca="1">IMAGE("https://shop.sonapharmacy.com/cdn/shop/products/nonsmall.png?v=1607711387")</f>
        <v>#NAME?</v>
      </c>
      <c r="H3356" t="e">
        <f ca="1">IMAGE("https://m.media-amazon.com/images/I/81XO5GfD0sL._AC_UL320_.jpg")</f>
        <v>#NAME?</v>
      </c>
      <c r="I3356" t="s">
        <v>8076</v>
      </c>
      <c r="J3356">
        <v>12.99</v>
      </c>
      <c r="K3356" s="2" t="s">
        <v>8797</v>
      </c>
      <c r="L3356">
        <v>4.7</v>
      </c>
      <c r="M3356">
        <v>6733</v>
      </c>
      <c r="O3356" t="s">
        <v>26</v>
      </c>
      <c r="P3356" t="s">
        <v>39</v>
      </c>
      <c r="Q3356" t="s">
        <v>8505</v>
      </c>
    </row>
    <row r="3357" spans="1:17" ht="15.75" x14ac:dyDescent="0.25">
      <c r="A3357" s="3" t="str">
        <f>HYPERLINK("https://shop.sonapharmacy.com/products/aquafresh%C2%AE-kids-bubble-mint-fluoride-toothpaste-4-6oz", "https://shop.sonapharmacy.com/products/aquafresh%C2%AE-kids-bubble-mint-fluoride-toothpaste-4-6oz")</f>
        <v>https://shop.sonapharmacy.com/products/aquafresh%C2%AE-kids-bubble-mint-fluoride-toothpaste-4-6oz</v>
      </c>
      <c r="B3357" s="3" t="str">
        <f>HYPERLINK("https://shop.sonapharmacy.com/products/aquafresh%c2%ae-kids-bubble-mint-fluoride-toothpaste-4-6oz", "https://shop.sonapharmacy.com/products/aquafresh%c2%ae-kids-bubble-mint-fluoride-toothpaste-4-6oz")</f>
        <v>https://shop.sonapharmacy.com/products/aquafresh%c2%ae-kids-bubble-mint-fluoride-toothpaste-4-6oz</v>
      </c>
      <c r="C3357" t="s">
        <v>8798</v>
      </c>
      <c r="D3357" t="s">
        <v>8799</v>
      </c>
      <c r="E3357" s="3" t="str">
        <f>HYPERLINK("https://www.amazon.com/Aquafresh-Kids-Fluoride-Toothpaste-Bubble/dp/B078YGM8LZ/ref=sr_1_1?keywords=Aquafresh+Kids+Bubble+Mint+Fluoride+Toothpaste+4.6oz.&amp;qid=1695260021&amp;sr=8-1", "https://www.amazon.com/Aquafresh-Kids-Fluoride-Toothpaste-Bubble/dp/B078YGM8LZ/ref=sr_1_1?keywords=Aquafresh+Kids+Bubble+Mint+Fluoride+Toothpaste+4.6oz.&amp;qid=1695260021&amp;sr=8-1")</f>
        <v>https://www.amazon.com/Aquafresh-Kids-Fluoride-Toothpaste-Bubble/dp/B078YGM8LZ/ref=sr_1_1?keywords=Aquafresh+Kids+Bubble+Mint+Fluoride+Toothpaste+4.6oz.&amp;qid=1695260021&amp;sr=8-1</v>
      </c>
      <c r="F3357" t="s">
        <v>8800</v>
      </c>
      <c r="G3357" t="e">
        <f ca="1">IMAGE("https://shop.sonapharmacy.com/cdn/shop/products/6562d8bb-d909-4aef-9de9-ad284fe6ecf1_1.ea0df8921214a2f3e9a2bb8a27cfcc76.jpg?v=1608587904")</f>
        <v>#NAME?</v>
      </c>
      <c r="H3357" t="e">
        <f ca="1">IMAGE("https://m.media-amazon.com/images/I/81kfjkfu8hL._AC_UL320_.jpg")</f>
        <v>#NAME?</v>
      </c>
      <c r="I3357" t="s">
        <v>8801</v>
      </c>
      <c r="J3357">
        <v>21.99</v>
      </c>
      <c r="K3357" s="2" t="s">
        <v>8802</v>
      </c>
      <c r="L3357">
        <v>4.7</v>
      </c>
      <c r="M3357">
        <v>87</v>
      </c>
      <c r="O3357" t="s">
        <v>26</v>
      </c>
      <c r="P3357" t="s">
        <v>39</v>
      </c>
      <c r="Q3357" t="s">
        <v>8803</v>
      </c>
    </row>
    <row r="3358" spans="1:17" ht="15.75" x14ac:dyDescent="0.25">
      <c r="A3358" s="3" t="str">
        <f>HYPERLINK("https://shop.sonapharmacy.com/products/huggies-natural-care-unscented-sensitive-baby-wipes-64ct", "https://shop.sonapharmacy.com/products/huggies-natural-care-unscented-sensitive-baby-wipes-64ct")</f>
        <v>https://shop.sonapharmacy.com/products/huggies-natural-care-unscented-sensitive-baby-wipes-64ct</v>
      </c>
      <c r="B3358" s="3" t="str">
        <f>HYPERLINK("https://shop.sonapharmacy.com/products/huggies-natural-care-unscented-sensitive-baby-wipes-64ct", "https://shop.sonapharmacy.com/products/huggies-natural-care-unscented-sensitive-baby-wipes-64ct")</f>
        <v>https://shop.sonapharmacy.com/products/huggies-natural-care-unscented-sensitive-baby-wipes-64ct</v>
      </c>
      <c r="C3358" t="s">
        <v>8180</v>
      </c>
      <c r="D3358" t="s">
        <v>8804</v>
      </c>
      <c r="E3358" s="3" t="str">
        <f>HYPERLINK("https://www.amazon.com/Sensitive-Huggies-Unscented-Hypoallergenic-Purified/dp/B0BPWJXKQQ/ref=sr_1_10?keywords=Huggies+Natural+Care+Unscented+Sensitive+Baby+Wipes+56ct.&amp;qid=1695260373&amp;sr=8-10", "https://www.amazon.com/Sensitive-Huggies-Unscented-Hypoallergenic-Purified/dp/B0BPWJXKQQ/ref=sr_1_10?keywords=Huggies+Natural+Care+Unscented+Sensitive+Baby+Wipes+56ct.&amp;qid=1695260373&amp;sr=8-10")</f>
        <v>https://www.amazon.com/Sensitive-Huggies-Unscented-Hypoallergenic-Purified/dp/B0BPWJXKQQ/ref=sr_1_10?keywords=Huggies+Natural+Care+Unscented+Sensitive+Baby+Wipes+56ct.&amp;qid=1695260373&amp;sr=8-10</v>
      </c>
      <c r="F3358" t="s">
        <v>8805</v>
      </c>
      <c r="G3358" t="e">
        <f ca="1">IMAGE("https://shop.sonapharmacy.com/cdn/shop/products/HuggiesFront.png?v=1624633749")</f>
        <v>#NAME?</v>
      </c>
      <c r="H3358" t="e">
        <f ca="1">IMAGE("https://m.media-amazon.com/images/I/51BGWA6k6aL._AC_UL320_.jpg")</f>
        <v>#NAME?</v>
      </c>
      <c r="I3358" t="s">
        <v>8183</v>
      </c>
      <c r="J3358">
        <v>17.98</v>
      </c>
      <c r="K3358" s="2" t="s">
        <v>8806</v>
      </c>
      <c r="L3358">
        <v>4.8</v>
      </c>
      <c r="M3358">
        <v>207</v>
      </c>
      <c r="O3358" t="s">
        <v>26</v>
      </c>
      <c r="P3358" t="s">
        <v>39</v>
      </c>
      <c r="Q3358" t="s">
        <v>8185</v>
      </c>
    </row>
    <row r="3359" spans="1:17" ht="15.75" x14ac:dyDescent="0.25">
      <c r="A3359" s="3" t="str">
        <f>HYPERLINK("https://shop.sonapharmacy.com/products/aspercreme-pain-relieving-creme", "https://shop.sonapharmacy.com/products/aspercreme-pain-relieving-creme")</f>
        <v>https://shop.sonapharmacy.com/products/aspercreme-pain-relieving-creme</v>
      </c>
      <c r="B3359" s="3" t="str">
        <f>HYPERLINK("https://shop.sonapharmacy.com/products/aspercreme-pain-relieving-creme", "https://shop.sonapharmacy.com/products/aspercreme-pain-relieving-creme")</f>
        <v>https://shop.sonapharmacy.com/products/aspercreme-pain-relieving-creme</v>
      </c>
      <c r="C3359" t="s">
        <v>8372</v>
      </c>
      <c r="D3359" t="s">
        <v>8807</v>
      </c>
      <c r="E3359" s="3" t="str">
        <f>HYPERLINK("https://www.amazon.com/ASPERCREME-Pain-Relieving-Creme-Pack/dp/B01IAI46A8/ref=sr_1_4?keywords=Aspercreme+Pain+Relieving+Creme&amp;qid=1695260061&amp;sr=8-4", "https://www.amazon.com/ASPERCREME-Pain-Relieving-Creme-Pack/dp/B01IAI46A8/ref=sr_1_4?keywords=Aspercreme+Pain+Relieving+Creme&amp;qid=1695260061&amp;sr=8-4")</f>
        <v>https://www.amazon.com/ASPERCREME-Pain-Relieving-Creme-Pack/dp/B01IAI46A8/ref=sr_1_4?keywords=Aspercreme+Pain+Relieving+Creme&amp;qid=1695260061&amp;sr=8-4</v>
      </c>
      <c r="F3359" t="s">
        <v>8808</v>
      </c>
      <c r="G3359" t="e">
        <f ca="1">IMAGE("https://shop.sonapharmacy.com/cdn/shop/products/71L3ZWcemAL._AC_SL1280.jpg?v=1611192722")</f>
        <v>#NAME?</v>
      </c>
      <c r="H3359" t="e">
        <f ca="1">IMAGE("https://m.media-amazon.com/images/I/61vTbk51XdS._AC_UL320_.jpg")</f>
        <v>#NAME?</v>
      </c>
      <c r="I3359" t="s">
        <v>8341</v>
      </c>
      <c r="J3359">
        <v>47.75</v>
      </c>
      <c r="K3359" s="2" t="s">
        <v>8809</v>
      </c>
      <c r="L3359">
        <v>4.2</v>
      </c>
      <c r="M3359">
        <v>54</v>
      </c>
      <c r="O3359" t="s">
        <v>26</v>
      </c>
      <c r="P3359" t="s">
        <v>39</v>
      </c>
      <c r="Q3359" t="s">
        <v>8376</v>
      </c>
    </row>
    <row r="3360" spans="1:17" ht="15.75" x14ac:dyDescent="0.25">
      <c r="A3360" s="3" t="str">
        <f>HYPERLINK("https://shop.sonapharmacy.com/products/listerine%C2%AE-total-care-mouthwash", "https://shop.sonapharmacy.com/products/listerine%C2%AE-total-care-mouthwash")</f>
        <v>https://shop.sonapharmacy.com/products/listerine%C2%AE-total-care-mouthwash</v>
      </c>
      <c r="B3360" s="3" t="str">
        <f>HYPERLINK("https://shop.sonapharmacy.com/products/listerine%c2%ae-total-care-mouthwash", "https://shop.sonapharmacy.com/products/listerine%c2%ae-total-care-mouthwash")</f>
        <v>https://shop.sonapharmacy.com/products/listerine%c2%ae-total-care-mouthwash</v>
      </c>
      <c r="C3360" t="s">
        <v>8810</v>
      </c>
      <c r="D3360" t="s">
        <v>8811</v>
      </c>
      <c r="E3360" s="3" t="str">
        <f>HYPERLINK("https://www.amazon.com/Listerine-Mouthwash-Benefit-Fluoride-Strength/dp/B09YZBFZD9/ref=sr_1_7?keywords=Listerine%C2%AE+Total+Care+Mouthwash&amp;qid=1695260463&amp;sr=8-7", "https://www.amazon.com/Listerine-Mouthwash-Benefit-Fluoride-Strength/dp/B09YZBFZD9/ref=sr_1_7?keywords=Listerine%C2%AE+Total+Care+Mouthwash&amp;qid=1695260463&amp;sr=8-7")</f>
        <v>https://www.amazon.com/Listerine-Mouthwash-Benefit-Fluoride-Strength/dp/B09YZBFZD9/ref=sr_1_7?keywords=Listerine%C2%AE+Total+Care+Mouthwash&amp;qid=1695260463&amp;sr=8-7</v>
      </c>
      <c r="F3360" t="s">
        <v>8812</v>
      </c>
      <c r="G3360" t="e">
        <f ca="1">IMAGE("https://shop.sonapharmacy.com/cdn/shop/products/81vNiROdiIL._SL1500.jpg?v=1647185014")</f>
        <v>#NAME?</v>
      </c>
      <c r="H3360" t="e">
        <f ca="1">IMAGE("https://m.media-amazon.com/images/I/71XrWidJ2rL._AC_UL320_.jpg")</f>
        <v>#NAME?</v>
      </c>
      <c r="I3360" t="s">
        <v>8813</v>
      </c>
      <c r="J3360">
        <v>39.99</v>
      </c>
      <c r="K3360" s="2" t="s">
        <v>8814</v>
      </c>
      <c r="L3360">
        <v>4.3</v>
      </c>
      <c r="M3360">
        <v>47</v>
      </c>
      <c r="O3360" t="s">
        <v>26</v>
      </c>
      <c r="P3360" t="s">
        <v>39</v>
      </c>
      <c r="Q3360" t="s">
        <v>8815</v>
      </c>
    </row>
    <row r="3361" spans="1:17" ht="15.75" x14ac:dyDescent="0.25">
      <c r="A3361" s="3" t="str">
        <f>HYPERLINK("https://shop.sonapharmacy.com/products/aquaphor%C2%AE-baby-healing-ointment-3oz", "https://shop.sonapharmacy.com/products/aquaphor%C2%AE-baby-healing-ointment-3oz")</f>
        <v>https://shop.sonapharmacy.com/products/aquaphor%C2%AE-baby-healing-ointment-3oz</v>
      </c>
      <c r="B3361" s="3" t="str">
        <f>HYPERLINK("https://shop.sonapharmacy.com/products/aquaphor%c2%ae-baby-healing-ointment-3oz", "https://shop.sonapharmacy.com/products/aquaphor%c2%ae-baby-healing-ointment-3oz")</f>
        <v>https://shop.sonapharmacy.com/products/aquaphor%c2%ae-baby-healing-ointment-3oz</v>
      </c>
      <c r="C3361" t="s">
        <v>8778</v>
      </c>
      <c r="D3361" t="s">
        <v>8816</v>
      </c>
      <c r="E3361" s="3" t="str">
        <f>HYPERLINK("https://www.amazon.com/Aquaphor-Advanced-Therapy-Ointment-Protectant/dp/B075XR75SM/ref=sr_1_8?keywords=Aquaphor+Baby+Healing+Ointment+3oz.&amp;qid=1695260046&amp;sr=8-8", "https://www.amazon.com/Aquaphor-Advanced-Therapy-Ointment-Protectant/dp/B075XR75SM/ref=sr_1_8?keywords=Aquaphor+Baby+Healing+Ointment+3oz.&amp;qid=1695260046&amp;sr=8-8")</f>
        <v>https://www.amazon.com/Aquaphor-Advanced-Therapy-Ointment-Protectant/dp/B075XR75SM/ref=sr_1_8?keywords=Aquaphor+Baby+Healing+Ointment+3oz.&amp;qid=1695260046&amp;sr=8-8</v>
      </c>
      <c r="F3361" t="s">
        <v>8817</v>
      </c>
      <c r="G3361" t="e">
        <f ca="1">IMAGE("https://shop.sonapharmacy.com/cdn/shop/products/71g48qVpgpL._AC_SL1500.jpg?v=1609262462")</f>
        <v>#NAME?</v>
      </c>
      <c r="H3361" t="e">
        <f ca="1">IMAGE("https://m.media-amazon.com/images/I/61AtpqR-RuL._AC_UL320_.jpg")</f>
        <v>#NAME?</v>
      </c>
      <c r="I3361" t="s">
        <v>8781</v>
      </c>
      <c r="J3361">
        <v>53.95</v>
      </c>
      <c r="K3361" s="2" t="s">
        <v>8818</v>
      </c>
      <c r="L3361">
        <v>4.9000000000000004</v>
      </c>
      <c r="M3361">
        <v>8</v>
      </c>
      <c r="O3361" t="s">
        <v>26</v>
      </c>
      <c r="P3361" t="s">
        <v>39</v>
      </c>
      <c r="Q3361" t="s">
        <v>8783</v>
      </c>
    </row>
    <row r="3362" spans="1:17" ht="15.75" x14ac:dyDescent="0.25">
      <c r="A3362" s="3" t="str">
        <f>HYPERLINK("https://shop.sonapharmacy.com/products/free-clear%E2%84%A2-shampoo-for-sensitive-skin-12fl-oz", "https://shop.sonapharmacy.com/products/free-clear%E2%84%A2-shampoo-for-sensitive-skin-12fl-oz")</f>
        <v>https://shop.sonapharmacy.com/products/free-clear%E2%84%A2-shampoo-for-sensitive-skin-12fl-oz</v>
      </c>
      <c r="B3362" s="3" t="str">
        <f>HYPERLINK("https://shop.sonapharmacy.com/products/free-clear%e2%84%a2-shampoo-for-sensitive-skin-12fl-oz", "https://shop.sonapharmacy.com/products/free-clear%e2%84%a2-shampoo-for-sensitive-skin-12fl-oz")</f>
        <v>https://shop.sonapharmacy.com/products/free-clear%e2%84%a2-shampoo-for-sensitive-skin-12fl-oz</v>
      </c>
      <c r="C3362" t="s">
        <v>8819</v>
      </c>
      <c r="D3362" t="s">
        <v>8820</v>
      </c>
      <c r="E3362" s="3" t="str">
        <f>HYPERLINK("https://www.amazon.com/Earthview-Environmental-Sensitivities-Eco-Friendly-Hypoallergenic/dp/B0BGJLHGZ1/ref=sr_1_10?keywords=Free+%26+Clear%E2%84%A2+Shampoo+for+Sensitive+Skin+12fl.+oz.&amp;qid=1695260267&amp;sr=8-10", "https://www.amazon.com/Earthview-Environmental-Sensitivities-Eco-Friendly-Hypoallergenic/dp/B0BGJLHGZ1/ref=sr_1_10?keywords=Free+%26+Clear%E2%84%A2+Shampoo+for+Sensitive+Skin+12fl.+oz.&amp;qid=1695260267&amp;sr=8-10")</f>
        <v>https://www.amazon.com/Earthview-Environmental-Sensitivities-Eco-Friendly-Hypoallergenic/dp/B0BGJLHGZ1/ref=sr_1_10?keywords=Free+%26+Clear%E2%84%A2+Shampoo+for+Sensitive+Skin+12fl.+oz.&amp;qid=1695260267&amp;sr=8-10</v>
      </c>
      <c r="F3362" t="s">
        <v>8821</v>
      </c>
      <c r="G3362" t="e">
        <f ca="1">IMAGE("https://shop.sonapharmacy.com/cdn/shop/products/885b563d-ce23-4710-bda3-ed1d2b177315_1.978f5c1c1b9147f41730dca3766bcf03.jpg?v=1609351681")</f>
        <v>#NAME?</v>
      </c>
      <c r="H3362" t="e">
        <f ca="1">IMAGE("https://m.media-amazon.com/images/I/71UNkU7vw3L._AC_UL320_.jpg")</f>
        <v>#NAME?</v>
      </c>
      <c r="I3362" t="s">
        <v>8822</v>
      </c>
      <c r="J3362">
        <v>26.99</v>
      </c>
      <c r="K3362" s="2" t="s">
        <v>8823</v>
      </c>
      <c r="L3362">
        <v>3.7</v>
      </c>
      <c r="M3362">
        <v>28</v>
      </c>
      <c r="O3362" t="s">
        <v>136</v>
      </c>
      <c r="P3362" t="s">
        <v>39</v>
      </c>
      <c r="Q3362" t="s">
        <v>8824</v>
      </c>
    </row>
    <row r="3363" spans="1:17" ht="15.75" x14ac:dyDescent="0.25">
      <c r="A3363" s="3" t="str">
        <f>HYPERLINK("https://shop.sonapharmacy.com/products/arrid%E2%84%A2-extra-extra-dry%E2%84%A2-regular-solid-deodorant-2-6oz", "https://shop.sonapharmacy.com/products/arrid%E2%84%A2-extra-extra-dry%E2%84%A2-regular-solid-deodorant-2-6oz")</f>
        <v>https://shop.sonapharmacy.com/products/arrid%E2%84%A2-extra-extra-dry%E2%84%A2-regular-solid-deodorant-2-6oz</v>
      </c>
      <c r="B3363" s="3" t="str">
        <f>HYPERLINK("https://shop.sonapharmacy.com/products/arrid%e2%84%a2-extra-extra-dry%e2%84%a2-regular-solid-deodorant-2-6oz", "https://shop.sonapharmacy.com/products/arrid%e2%84%a2-extra-extra-dry%e2%84%a2-regular-solid-deodorant-2-6oz")</f>
        <v>https://shop.sonapharmacy.com/products/arrid%e2%84%a2-extra-extra-dry%e2%84%a2-regular-solid-deodorant-2-6oz</v>
      </c>
      <c r="C3363" t="s">
        <v>8825</v>
      </c>
      <c r="D3363" t="s">
        <v>8826</v>
      </c>
      <c r="E3363" s="3" t="str">
        <f>HYPERLINK("https://www.amazon.com/Arrid-Extra-Antiperspirant-Deodorant-Regular/dp/B078YG5QNF/ref=sr_1_3?keywords=ARRID+Extra+Extra+Dry+Regular+Solid+Deodorant+2.6oz.&amp;qid=1695260024&amp;sr=8-3", "https://www.amazon.com/Arrid-Extra-Antiperspirant-Deodorant-Regular/dp/B078YG5QNF/ref=sr_1_3?keywords=ARRID+Extra+Extra+Dry+Regular+Solid+Deodorant+2.6oz.&amp;qid=1695260024&amp;sr=8-3")</f>
        <v>https://www.amazon.com/Arrid-Extra-Antiperspirant-Deodorant-Regular/dp/B078YG5QNF/ref=sr_1_3?keywords=ARRID+Extra+Extra+Dry+Regular+Solid+Deodorant+2.6oz.&amp;qid=1695260024&amp;sr=8-3</v>
      </c>
      <c r="F3363" t="s">
        <v>8827</v>
      </c>
      <c r="G3363" t="e">
        <f ca="1">IMAGE("https://shop.sonapharmacy.com/cdn/shop/products/02260019062.jpg?v=1609341523")</f>
        <v>#NAME?</v>
      </c>
      <c r="H3363" t="e">
        <f ca="1">IMAGE("https://m.media-amazon.com/images/I/71YSeRr9kSL._AC_UL320_.jpg")</f>
        <v>#NAME?</v>
      </c>
      <c r="I3363" t="s">
        <v>8828</v>
      </c>
      <c r="J3363">
        <v>23.38</v>
      </c>
      <c r="K3363" s="2" t="s">
        <v>8829</v>
      </c>
      <c r="L3363">
        <v>4.7</v>
      </c>
      <c r="M3363">
        <v>5</v>
      </c>
      <c r="O3363" t="s">
        <v>26</v>
      </c>
      <c r="P3363" t="s">
        <v>39</v>
      </c>
      <c r="Q3363" t="s">
        <v>8830</v>
      </c>
    </row>
    <row r="3364" spans="1:17" ht="15.75" x14ac:dyDescent="0.25">
      <c r="A3364" s="3" t="str">
        <f>HYPERLINK("https://shop.sonapharmacy.com/products/aquaphor%C2%AE-lip-repair-tube-10ml", "https://shop.sonapharmacy.com/products/aquaphor%C2%AE-lip-repair-tube-10ml")</f>
        <v>https://shop.sonapharmacy.com/products/aquaphor%C2%AE-lip-repair-tube-10ml</v>
      </c>
      <c r="B3364" s="3" t="str">
        <f>HYPERLINK("https://shop.sonapharmacy.com/products/aquaphor%c2%ae-lip-repair-tube-10ml", "https://shop.sonapharmacy.com/products/aquaphor%c2%ae-lip-repair-tube-10ml")</f>
        <v>https://shop.sonapharmacy.com/products/aquaphor%c2%ae-lip-repair-tube-10ml</v>
      </c>
      <c r="C3364" t="s">
        <v>8831</v>
      </c>
      <c r="D3364" t="s">
        <v>8832</v>
      </c>
      <c r="E3364" s="3" t="str">
        <f>HYPERLINK("https://www.amazon.com/00638-9-Part-Aquaphor-Repair-Beiersdorf/dp/B005FCBI2C/ref=sr_1_8?keywords=Aquaphor+Lip+Repair+Tube+10ml&amp;qid=1695260018&amp;sr=8-8", "https://www.amazon.com/00638-9-Part-Aquaphor-Repair-Beiersdorf/dp/B005FCBI2C/ref=sr_1_8?keywords=Aquaphor+Lip+Repair+Tube+10ml&amp;qid=1695260018&amp;sr=8-8")</f>
        <v>https://www.amazon.com/00638-9-Part-Aquaphor-Repair-Beiersdorf/dp/B005FCBI2C/ref=sr_1_8?keywords=Aquaphor+Lip+Repair+Tube+10ml&amp;qid=1695260018&amp;sr=8-8</v>
      </c>
      <c r="F3364" t="s">
        <v>8833</v>
      </c>
      <c r="G3364" t="e">
        <f ca="1">IMAGE("https://shop.sonapharmacy.com/cdn/shop/products/a9273c19-1d53-4858-abb8-43a4ce27b9d6_1.52617476fb0deabe5812834a044fdaec.jpg?v=1608231857")</f>
        <v>#NAME?</v>
      </c>
      <c r="H3364" t="e">
        <f ca="1">IMAGE("https://m.media-amazon.com/images/I/616q-QpvFPL._AC_UL320_.jpg")</f>
        <v>#NAME?</v>
      </c>
      <c r="I3364" t="s">
        <v>8834</v>
      </c>
      <c r="J3364">
        <v>29.12</v>
      </c>
      <c r="K3364" s="2" t="s">
        <v>8835</v>
      </c>
      <c r="L3364">
        <v>4.2</v>
      </c>
      <c r="M3364">
        <v>13</v>
      </c>
      <c r="O3364" t="s">
        <v>26</v>
      </c>
      <c r="P3364" t="s">
        <v>39</v>
      </c>
      <c r="Q3364" t="s">
        <v>8836</v>
      </c>
    </row>
    <row r="3365" spans="1:17" ht="15.75" x14ac:dyDescent="0.25">
      <c r="A3365"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3365"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3365" t="s">
        <v>8597</v>
      </c>
      <c r="D3365" t="s">
        <v>8837</v>
      </c>
      <c r="E3365" s="3" t="str">
        <f>HYPERLINK("https://www.amazon.com/Arm-Hammer-Advance-Whitening-Toothpaste/dp/B01IA95TXK/ref=sr_1_6?keywords=Arm+%26+Hammer+Advance+White%E2%84%A2+Extreme+Whitening+Toothpaste+6oz.&amp;qid=1695260040&amp;sr=8-6", "https://www.amazon.com/Arm-Hammer-Advance-Whitening-Toothpaste/dp/B01IA95TXK/ref=sr_1_6?keywords=Arm+%26+Hammer+Advance+White%E2%84%A2+Extreme+Whitening+Toothpaste+6oz.&amp;qid=1695260040&amp;sr=8-6")</f>
        <v>https://www.amazon.com/Arm-Hammer-Advance-Whitening-Toothpaste/dp/B01IA95TXK/ref=sr_1_6?keywords=Arm+%26+Hammer+Advance+White%E2%84%A2+Extreme+Whitening+Toothpaste+6oz.&amp;qid=1695260040&amp;sr=8-6</v>
      </c>
      <c r="F3365" t="s">
        <v>8838</v>
      </c>
      <c r="G3365" t="e">
        <f ca="1">IMAGE("https://shop.sonapharmacy.com/cdn/shop/products/39e8f462-49a9-4142-bb95-6876f7f6bade.baebaa1c7268bbcf245f186bddbf5223_1.jpg?v=1611254657")</f>
        <v>#NAME?</v>
      </c>
      <c r="H3365" t="e">
        <f ca="1">IMAGE("https://m.media-amazon.com/images/I/618JhLYm7aL._AC_UL320_.jpg")</f>
        <v>#NAME?</v>
      </c>
      <c r="I3365" t="s">
        <v>8600</v>
      </c>
      <c r="J3365">
        <v>30.22</v>
      </c>
      <c r="K3365" s="2" t="s">
        <v>8839</v>
      </c>
      <c r="L3365">
        <v>4.5</v>
      </c>
      <c r="M3365">
        <v>7</v>
      </c>
      <c r="O3365" t="s">
        <v>26</v>
      </c>
      <c r="P3365" t="s">
        <v>39</v>
      </c>
      <c r="Q3365" t="s">
        <v>8602</v>
      </c>
    </row>
    <row r="3366" spans="1:17" ht="15.75" x14ac:dyDescent="0.25">
      <c r="A3366" s="3" t="str">
        <f>HYPERLINK("https://shop.sonapharmacy.com/products/purpose-gentle-cleansing-bar-6oz", "https://shop.sonapharmacy.com/products/purpose-gentle-cleansing-bar-6oz")</f>
        <v>https://shop.sonapharmacy.com/products/purpose-gentle-cleansing-bar-6oz</v>
      </c>
      <c r="B3366" s="3" t="str">
        <f>HYPERLINK("https://shop.sonapharmacy.com/products/purpose-gentle-cleansing-bar-6oz", "https://shop.sonapharmacy.com/products/purpose-gentle-cleansing-bar-6oz")</f>
        <v>https://shop.sonapharmacy.com/products/purpose-gentle-cleansing-bar-6oz</v>
      </c>
      <c r="C3366" t="s">
        <v>8652</v>
      </c>
      <c r="D3366" t="s">
        <v>8840</v>
      </c>
      <c r="E3366" s="3" t="str">
        <f>HYPERLINK("https://www.amazon.com/Purpose-Gentle-Cleansing-Bar-Free/dp/B078YFL76W/ref=sr_1_1?keywords=Purpose+Gentle+Cleansing+Bar+6oz.&amp;qid=1695260662&amp;sr=8-1", "https://www.amazon.com/Purpose-Gentle-Cleansing-Bar-Free/dp/B078YFL76W/ref=sr_1_1?keywords=Purpose+Gentle+Cleansing+Bar+6oz.&amp;qid=1695260662&amp;sr=8-1")</f>
        <v>https://www.amazon.com/Purpose-Gentle-Cleansing-Bar-Free/dp/B078YFL76W/ref=sr_1_1?keywords=Purpose+Gentle+Cleansing+Bar+6oz.&amp;qid=1695260662&amp;sr=8-1</v>
      </c>
      <c r="F3366" t="s">
        <v>8841</v>
      </c>
      <c r="G3366" t="e">
        <f ca="1">IMAGE("https://shop.sonapharmacy.com/cdn/shop/products/118399_1400x_93c89fb8-439e-40d6-8d57-f94ddb60c699.jpg?v=1608315285")</f>
        <v>#NAME?</v>
      </c>
      <c r="H3366" t="e">
        <f ca="1">IMAGE("https://m.media-amazon.com/images/I/71nvIOBAc5L._AC_UL320_.jpg")</f>
        <v>#NAME?</v>
      </c>
      <c r="I3366" t="s">
        <v>8632</v>
      </c>
      <c r="J3366">
        <v>20.98</v>
      </c>
      <c r="K3366" s="2" t="s">
        <v>8842</v>
      </c>
      <c r="L3366">
        <v>4.7</v>
      </c>
      <c r="M3366">
        <v>208</v>
      </c>
      <c r="O3366" t="s">
        <v>26</v>
      </c>
      <c r="P3366" t="s">
        <v>39</v>
      </c>
      <c r="Q3366" t="s">
        <v>8656</v>
      </c>
    </row>
    <row r="3367" spans="1:17" ht="15.75" x14ac:dyDescent="0.25">
      <c r="A3367" s="3" t="str">
        <f>HYPERLINK("https://shop.sonapharmacy.com/products/eucerin-original-healing-cream", "https://shop.sonapharmacy.com/products/eucerin-original-healing-cream")</f>
        <v>https://shop.sonapharmacy.com/products/eucerin-original-healing-cream</v>
      </c>
      <c r="B3367" s="3" t="str">
        <f>HYPERLINK("https://shop.sonapharmacy.com/products/eucerin-original-healing-cream", "https://shop.sonapharmacy.com/products/eucerin-original-healing-cream")</f>
        <v>https://shop.sonapharmacy.com/products/eucerin-original-healing-cream</v>
      </c>
      <c r="C3367" t="s">
        <v>8509</v>
      </c>
      <c r="D3367" t="s">
        <v>8843</v>
      </c>
      <c r="E3367" s="3" t="str">
        <f>HYPERLINK("https://www.amazon.com/Eucerin-Original-Healing-Cream-Fragrance/dp/B001FB5IIC/ref=sr_1_1?keywords=Eucerin%C2%AE+Original+Healing+Cream&amp;qid=1695260284&amp;sr=8-1", "https://www.amazon.com/Eucerin-Original-Healing-Cream-Fragrance/dp/B001FB5IIC/ref=sr_1_1?keywords=Eucerin%C2%AE+Original+Healing+Cream&amp;qid=1695260284&amp;sr=8-1")</f>
        <v>https://www.amazon.com/Eucerin-Original-Healing-Cream-Fragrance/dp/B001FB5IIC/ref=sr_1_1?keywords=Eucerin%C2%AE+Original+Healing+Cream&amp;qid=1695260284&amp;sr=8-1</v>
      </c>
      <c r="F3367" t="s">
        <v>8844</v>
      </c>
      <c r="G3367" t="e">
        <f ca="1">IMAGE("https://shop.sonapharmacy.com/cdn/shop/products/6ced8f35-f45a-47ae-b156-71b5cf847fd9_1.63e05e6213afc638ebedde5ac3205a8a.jpg?v=1608412596")</f>
        <v>#NAME?</v>
      </c>
      <c r="H3367" t="e">
        <f ca="1">IMAGE("https://m.media-amazon.com/images/I/71ayZP9q6TL._AC_UL320_.jpg")</f>
        <v>#NAME?</v>
      </c>
      <c r="I3367" t="s">
        <v>8512</v>
      </c>
      <c r="J3367">
        <v>31.56</v>
      </c>
      <c r="K3367" s="2" t="s">
        <v>8845</v>
      </c>
      <c r="L3367">
        <v>4.7</v>
      </c>
      <c r="M3367">
        <v>6731</v>
      </c>
      <c r="O3367" t="s">
        <v>26</v>
      </c>
      <c r="P3367" t="s">
        <v>39</v>
      </c>
      <c r="Q3367" t="s">
        <v>8514</v>
      </c>
    </row>
    <row r="3368" spans="1:17" ht="15.75" x14ac:dyDescent="0.25">
      <c r="A3368" s="3" t="str">
        <f>HYPERLINK("https://shop.sonapharmacy.com/products/old-spice%C2%AE-original-high-endurance-deodorant-3-0oz", "https://shop.sonapharmacy.com/products/old-spice%C2%AE-original-high-endurance-deodorant-3-0oz")</f>
        <v>https://shop.sonapharmacy.com/products/old-spice%C2%AE-original-high-endurance-deodorant-3-0oz</v>
      </c>
      <c r="B3368" s="3" t="str">
        <f>HYPERLINK("https://shop.sonapharmacy.com/products/old-spice%c2%ae-original-high-endurance-deodorant-3-0oz", "https://shop.sonapharmacy.com/products/old-spice%c2%ae-original-high-endurance-deodorant-3-0oz")</f>
        <v>https://shop.sonapharmacy.com/products/old-spice%c2%ae-original-high-endurance-deodorant-3-0oz</v>
      </c>
      <c r="C3368" t="s">
        <v>8203</v>
      </c>
      <c r="D3368" t="s">
        <v>8846</v>
      </c>
      <c r="E3368" s="3" t="str">
        <f>HYPERLINK("https://www.amazon.com/Old-Spice-Endurance-Deodorant-Sport/dp/B07QQ2ZXX8/ref=sr_1_4?keywords=Old+Spice%C2%AE+Original+High+Endurance+Deodorant+3.0oz.&amp;qid=1695260609&amp;sr=8-4", "https://www.amazon.com/Old-Spice-Endurance-Deodorant-Sport/dp/B07QQ2ZXX8/ref=sr_1_4?keywords=Old+Spice%C2%AE+Original+High+Endurance+Deodorant+3.0oz.&amp;qid=1695260609&amp;sr=8-4")</f>
        <v>https://www.amazon.com/Old-Spice-Endurance-Deodorant-Sport/dp/B07QQ2ZXX8/ref=sr_1_4?keywords=Old+Spice%C2%AE+Original+High+Endurance+Deodorant+3.0oz.&amp;qid=1695260609&amp;sr=8-4</v>
      </c>
      <c r="F3368" t="s">
        <v>8847</v>
      </c>
      <c r="G3368" t="e">
        <f ca="1">IMAGE("https://shop.sonapharmacy.com/cdn/shop/products/81d6Zo1KWZL._SL1500.jpg?v=1609094009")</f>
        <v>#NAME?</v>
      </c>
      <c r="H3368" t="e">
        <f ca="1">IMAGE("https://m.media-amazon.com/images/I/5116qN1k3UL._AC_UL320_.jpg")</f>
        <v>#NAME?</v>
      </c>
      <c r="I3368" t="s">
        <v>8206</v>
      </c>
      <c r="J3368">
        <v>29.67</v>
      </c>
      <c r="K3368" s="2" t="s">
        <v>8848</v>
      </c>
      <c r="L3368">
        <v>4.7</v>
      </c>
      <c r="M3368">
        <v>382</v>
      </c>
      <c r="O3368" t="s">
        <v>26</v>
      </c>
      <c r="P3368" t="s">
        <v>39</v>
      </c>
      <c r="Q3368" t="s">
        <v>8208</v>
      </c>
    </row>
    <row r="3369" spans="1:17" ht="15.75" x14ac:dyDescent="0.25">
      <c r="A3369" s="3" t="str">
        <f>HYPERLINK("https://shop.sonapharmacy.com/products/sunbum%C2%AE-cocobalm-lip-balm", "https://shop.sonapharmacy.com/products/sunbum%C2%AE-cocobalm-lip-balm")</f>
        <v>https://shop.sonapharmacy.com/products/sunbum%C2%AE-cocobalm-lip-balm</v>
      </c>
      <c r="B3369" s="3" t="str">
        <f>HYPERLINK("https://shop.sonapharmacy.com/products/sunbum%c2%ae-cocobalm-lip-balm", "https://shop.sonapharmacy.com/products/sunbum%c2%ae-cocobalm-lip-balm")</f>
        <v>https://shop.sonapharmacy.com/products/sunbum%c2%ae-cocobalm-lip-balm</v>
      </c>
      <c r="C3369" t="s">
        <v>8849</v>
      </c>
      <c r="D3369" t="s">
        <v>8850</v>
      </c>
      <c r="E3369" s="3" t="str">
        <f>HYPERLINK("https://www.amazon.com/Sun-Bum-CocoBalm-Hydrating-Hypoallergenic/dp/B07PDSZT79/ref=sr_1_3?keywords=Sun+Bum%C2%AE+CocoBalm+Lip+Balm&amp;qid=1695260753&amp;sr=8-3", "https://www.amazon.com/Sun-Bum-CocoBalm-Hydrating-Hypoallergenic/dp/B07PDSZT79/ref=sr_1_3?keywords=Sun+Bum%C2%AE+CocoBalm+Lip+Balm&amp;qid=1695260753&amp;sr=8-3")</f>
        <v>https://www.amazon.com/Sun-Bum-CocoBalm-Hydrating-Hypoallergenic/dp/B07PDSZT79/ref=sr_1_3?keywords=Sun+Bum%C2%AE+CocoBalm+Lip+Balm&amp;qid=1695260753&amp;sr=8-3</v>
      </c>
      <c r="F3369" t="s">
        <v>8851</v>
      </c>
      <c r="G3369" t="e">
        <f ca="1">IMAGE("https://shop.sonapharmacy.com/cdn/shop/products/61Ji1GGeIIL._SL1500.jpg?v=1611872841")</f>
        <v>#NAME?</v>
      </c>
      <c r="H3369" t="e">
        <f ca="1">IMAGE("https://m.media-amazon.com/images/I/713+J4mK+-L._AC_UL320_.jpg")</f>
        <v>#NAME?</v>
      </c>
      <c r="I3369" t="s">
        <v>8411</v>
      </c>
      <c r="J3369">
        <v>21.95</v>
      </c>
      <c r="K3369" s="2" t="s">
        <v>8852</v>
      </c>
      <c r="L3369">
        <v>4.2</v>
      </c>
      <c r="M3369">
        <v>23</v>
      </c>
      <c r="O3369" t="s">
        <v>26</v>
      </c>
      <c r="P3369" t="s">
        <v>39</v>
      </c>
      <c r="Q3369" t="s">
        <v>8853</v>
      </c>
    </row>
    <row r="3370" spans="1:17" ht="15.75" x14ac:dyDescent="0.25">
      <c r="A3370" s="3" t="str">
        <f>HYPERLINK("https://shop.sonapharmacy.com/products/foille-medicated-first-aid-ointment-1oz", "https://shop.sonapharmacy.com/products/foille-medicated-first-aid-ointment-1oz")</f>
        <v>https://shop.sonapharmacy.com/products/foille-medicated-first-aid-ointment-1oz</v>
      </c>
      <c r="B3370" s="3" t="str">
        <f>HYPERLINK("https://shop.sonapharmacy.com/products/foille-medicated-first-aid-ointment-1oz", "https://shop.sonapharmacy.com/products/foille-medicated-first-aid-ointment-1oz")</f>
        <v>https://shop.sonapharmacy.com/products/foille-medicated-first-aid-ointment-1oz</v>
      </c>
      <c r="C3370" t="s">
        <v>8677</v>
      </c>
      <c r="D3370" t="s">
        <v>8854</v>
      </c>
      <c r="E3370" s="3" t="str">
        <f>HYPERLINK("https://www.amazon.com/Foille-Medicated-First-Ointment-Ounce/dp/B001H54TBI/ref=sr_1_2?keywords=Foille+Medicated+First+Aid+Ointment+1oz.&amp;qid=1695260242&amp;sr=8-2", "https://www.amazon.com/Foille-Medicated-First-Ointment-Ounce/dp/B001H54TBI/ref=sr_1_2?keywords=Foille+Medicated+First+Aid+Ointment+1oz.&amp;qid=1695260242&amp;sr=8-2")</f>
        <v>https://www.amazon.com/Foille-Medicated-First-Ointment-Ounce/dp/B001H54TBI/ref=sr_1_2?keywords=Foille+Medicated+First+Aid+Ointment+1oz.&amp;qid=1695260242&amp;sr=8-2</v>
      </c>
      <c r="F3370" t="s">
        <v>8855</v>
      </c>
      <c r="G3370" t="e">
        <f ca="1">IMAGE("https://shop.sonapharmacy.com/cdn/shop/products/51q-pUYDQIL._AC_SL1500.jpg?v=1609351378")</f>
        <v>#NAME?</v>
      </c>
      <c r="H3370" t="e">
        <f ca="1">IMAGE("https://m.media-amazon.com/images/I/61yRf2iE4tL._AC_UL320_.jpg")</f>
        <v>#NAME?</v>
      </c>
      <c r="I3370" t="s">
        <v>8680</v>
      </c>
      <c r="J3370">
        <v>24.66</v>
      </c>
      <c r="K3370" s="2" t="s">
        <v>8856</v>
      </c>
      <c r="L3370">
        <v>4.9000000000000004</v>
      </c>
      <c r="M3370">
        <v>518</v>
      </c>
      <c r="O3370" t="s">
        <v>26</v>
      </c>
      <c r="P3370" t="s">
        <v>39</v>
      </c>
      <c r="Q3370" t="s">
        <v>8682</v>
      </c>
    </row>
    <row r="3371" spans="1:17" ht="15.75" x14ac:dyDescent="0.25">
      <c r="A3371" s="3" t="str">
        <f>HYPERLINK("https://shop.sonapharmacy.com/products/curad-germ-shield-antimicrobial-gel", "https://shop.sonapharmacy.com/products/curad-germ-shield-antimicrobial-gel")</f>
        <v>https://shop.sonapharmacy.com/products/curad-germ-shield-antimicrobial-gel</v>
      </c>
      <c r="B3371" s="3" t="str">
        <f>HYPERLINK("https://shop.sonapharmacy.com/products/curad-germ-shield-antimicrobial-gel", "https://shop.sonapharmacy.com/products/curad-germ-shield-antimicrobial-gel")</f>
        <v>https://shop.sonapharmacy.com/products/curad-germ-shield-antimicrobial-gel</v>
      </c>
      <c r="C3371" t="s">
        <v>8220</v>
      </c>
      <c r="D3371" t="s">
        <v>8857</v>
      </c>
      <c r="E3371" s="3" t="str">
        <f>HYPERLINK("https://www.amazon.com/Curad-Silver-Solution-Antimicrobial-Wound/dp/B076112GKZ/ref=sr_1_3?keywords=Curad%C2%AE+Germ+Shield+Antimicrobial+Gel&amp;qid=1695260174&amp;sr=8-3", "https://www.amazon.com/Curad-Silver-Solution-Antimicrobial-Wound/dp/B076112GKZ/ref=sr_1_3?keywords=Curad%C2%AE+Germ+Shield+Antimicrobial+Gel&amp;qid=1695260174&amp;sr=8-3")</f>
        <v>https://www.amazon.com/Curad-Silver-Solution-Antimicrobial-Wound/dp/B076112GKZ/ref=sr_1_3?keywords=Curad%C2%AE+Germ+Shield+Antimicrobial+Gel&amp;qid=1695260174&amp;sr=8-3</v>
      </c>
      <c r="F3371" t="s">
        <v>8858</v>
      </c>
      <c r="G3371" t="e">
        <f ca="1">IMAGE("https://shop.sonapharmacy.com/cdn/shop/products/SKU_CUR45951GS_BOX_FRONT_RGB_500x550_a15b9aca-bda1-412b-afa6-e60a82cdb44c.png?v=1607719725")</f>
        <v>#NAME?</v>
      </c>
      <c r="H3371" t="e">
        <f ca="1">IMAGE("https://m.media-amazon.com/images/I/41p8Q6YEnIL._AC_UL320_.jpg")</f>
        <v>#NAME?</v>
      </c>
      <c r="I3371" t="s">
        <v>8102</v>
      </c>
      <c r="J3371">
        <v>27.33</v>
      </c>
      <c r="K3371" s="2" t="s">
        <v>8859</v>
      </c>
      <c r="L3371">
        <v>4.9000000000000004</v>
      </c>
      <c r="M3371">
        <v>226</v>
      </c>
      <c r="O3371" t="s">
        <v>26</v>
      </c>
      <c r="P3371" t="s">
        <v>39</v>
      </c>
      <c r="Q3371" t="s">
        <v>8224</v>
      </c>
    </row>
    <row r="3372" spans="1:17" ht="15.75" x14ac:dyDescent="0.25">
      <c r="A3372" s="3" t="str">
        <f>HYPERLINK("https://shop.sonapharmacy.com/products/similasan-kids-cold-mucus-relief%E2%84%A2-plus-echinacea", "https://shop.sonapharmacy.com/products/similasan-kids-cold-mucus-relief%E2%84%A2-plus-echinacea")</f>
        <v>https://shop.sonapharmacy.com/products/similasan-kids-cold-mucus-relief%E2%84%A2-plus-echinacea</v>
      </c>
      <c r="B3372" s="3" t="str">
        <f>HYPERLINK("https://shop.sonapharmacy.com/products/similasan-kids-cold-mucus-relief%e2%84%a2-plus-echinacea", "https://shop.sonapharmacy.com/products/similasan-kids-cold-mucus-relief%e2%84%a2-plus-echinacea")</f>
        <v>https://shop.sonapharmacy.com/products/similasan-kids-cold-mucus-relief%e2%84%a2-plus-echinacea</v>
      </c>
      <c r="C3372" t="s">
        <v>8860</v>
      </c>
      <c r="D3372" t="s">
        <v>8861</v>
      </c>
      <c r="E3372" s="3" t="str">
        <f>HYPERLINK("https://www.amazon.com/Similasan-Relief-Echinacea-Immunity-Support/dp/B0792Q6PSJ/ref=sr_1_4?keywords=Similasan%C2%AE+Kids+Cold+%26+Mucus+Relief%E2%84%A2+Plus+Echinacea&amp;qid=1695260710&amp;sr=8-4", "https://www.amazon.com/Similasan-Relief-Echinacea-Immunity-Support/dp/B0792Q6PSJ/ref=sr_1_4?keywords=Similasan%C2%AE+Kids+Cold+%26+Mucus+Relief%E2%84%A2+Plus+Echinacea&amp;qid=1695260710&amp;sr=8-4")</f>
        <v>https://www.amazon.com/Similasan-Relief-Echinacea-Immunity-Support/dp/B0792Q6PSJ/ref=sr_1_4?keywords=Similasan%C2%AE+Kids+Cold+%26+Mucus+Relief%E2%84%A2+Plus+Echinacea&amp;qid=1695260710&amp;sr=8-4</v>
      </c>
      <c r="F3372" t="s">
        <v>8862</v>
      </c>
      <c r="G3372" t="e">
        <f ca="1">IMAGE("https://shop.sonapharmacy.com/cdn/shop/products/Untitled-143.jpg?v=1593020548")</f>
        <v>#NAME?</v>
      </c>
      <c r="H3372" t="e">
        <f ca="1">IMAGE("https://m.media-amazon.com/images/I/416e9KuyAFL._AC_UL320_.jpg")</f>
        <v>#NAME?</v>
      </c>
      <c r="I3372" t="s">
        <v>8863</v>
      </c>
      <c r="J3372">
        <v>47.54</v>
      </c>
      <c r="K3372" s="2" t="s">
        <v>8864</v>
      </c>
      <c r="L3372">
        <v>3.6</v>
      </c>
      <c r="M3372">
        <v>7</v>
      </c>
      <c r="O3372" t="s">
        <v>26</v>
      </c>
      <c r="P3372" t="s">
        <v>39</v>
      </c>
      <c r="Q3372" t="s">
        <v>8865</v>
      </c>
    </row>
    <row r="3373" spans="1:17" ht="15.75" x14ac:dyDescent="0.25">
      <c r="A3373" s="3" t="str">
        <f>HYPERLINK("https://shop.sonapharmacy.com/products/okeeffes%C2%AE-cooling-relief-lip-repair", "https://shop.sonapharmacy.com/products/okeeffes%C2%AE-cooling-relief-lip-repair")</f>
        <v>https://shop.sonapharmacy.com/products/okeeffes%C2%AE-cooling-relief-lip-repair</v>
      </c>
      <c r="B3373" s="3" t="str">
        <f>HYPERLINK("https://shop.sonapharmacy.com/products/okeeffes%c2%ae-cooling-relief-lip-repair", "https://shop.sonapharmacy.com/products/okeeffes%c2%ae-cooling-relief-lip-repair")</f>
        <v>https://shop.sonapharmacy.com/products/okeeffes%c2%ae-cooling-relief-lip-repair</v>
      </c>
      <c r="C3373" t="s">
        <v>8157</v>
      </c>
      <c r="D3373" t="s">
        <v>8866</v>
      </c>
      <c r="E3373" s="3" t="str">
        <f>HYPERLINK("https://www.amazon.com/OKeeffes-Cooling-Relief-Repair-Cracked/dp/B01M9GPNGE/ref=sr_1_4?keywords=O%27Keeffe%27s%C2%AE+Cooling+Relief+Lip+Repair&amp;qid=1695260611&amp;sr=8-4", "https://www.amazon.com/OKeeffes-Cooling-Relief-Repair-Cracked/dp/B01M9GPNGE/ref=sr_1_4?keywords=O%27Keeffe%27s%C2%AE+Cooling+Relief+Lip+Repair&amp;qid=1695260611&amp;sr=8-4")</f>
        <v>https://www.amazon.com/OKeeffes-Cooling-Relief-Repair-Cracked/dp/B01M9GPNGE/ref=sr_1_4?keywords=O%27Keeffe%27s%C2%AE+Cooling+Relief+Lip+Repair&amp;qid=1695260611&amp;sr=8-4</v>
      </c>
      <c r="F3373" t="s">
        <v>8867</v>
      </c>
      <c r="G3373" t="e">
        <f ca="1">IMAGE("https://shop.sonapharmacy.com/cdn/shop/products/91uQWoqzf5L._AC_SL1500.jpg?v=1608226728")</f>
        <v>#NAME?</v>
      </c>
      <c r="H3373" t="e">
        <f ca="1">IMAGE("https://m.media-amazon.com/images/I/81uYyBoRu-L._AC_UL320_.jpg")</f>
        <v>#NAME?</v>
      </c>
      <c r="I3373" t="s">
        <v>8160</v>
      </c>
      <c r="J3373">
        <v>25.09</v>
      </c>
      <c r="K3373" s="2" t="s">
        <v>8868</v>
      </c>
      <c r="L3373">
        <v>4.4000000000000004</v>
      </c>
      <c r="M3373">
        <v>45</v>
      </c>
      <c r="O3373" t="s">
        <v>26</v>
      </c>
      <c r="P3373" t="s">
        <v>39</v>
      </c>
      <c r="Q3373" t="s">
        <v>8162</v>
      </c>
    </row>
    <row r="3374" spans="1:17" ht="15.75" x14ac:dyDescent="0.25">
      <c r="A3374"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B3374" s="3" t="str">
        <f>HYPERLINK("https://shop.sonapharmacy.com/products/colgate%c2%ae-regular-flavor-cavity-protection-toothpaste-1oz", "https://shop.sonapharmacy.com/products/colgate%c2%ae-regular-flavor-cavity-protection-toothpaste-1oz")</f>
        <v>https://shop.sonapharmacy.com/products/colgate%c2%ae-regular-flavor-cavity-protection-toothpaste-1oz</v>
      </c>
      <c r="C3374" t="s">
        <v>8040</v>
      </c>
      <c r="D3374" t="s">
        <v>8869</v>
      </c>
      <c r="E3374" s="3" t="str">
        <f>HYPERLINK("https://www.amazon.com/Colgate-Cavity-Protection-Toothpaste-Regular/dp/B0BBSJ18NX/ref=sr_1_9?keywords=Colgate%C2%AE+Regular+Flavor+Cavity+Protection+Toothpaste+1oz.&amp;qid=1695260151&amp;sr=8-9", "https://www.amazon.com/Colgate-Cavity-Protection-Toothpaste-Regular/dp/B0BBSJ18NX/ref=sr_1_9?keywords=Colgate%C2%AE+Regular+Flavor+Cavity+Protection+Toothpaste+1oz.&amp;qid=1695260151&amp;sr=8-9")</f>
        <v>https://www.amazon.com/Colgate-Cavity-Protection-Toothpaste-Regular/dp/B0BBSJ18NX/ref=sr_1_9?keywords=Colgate%C2%AE+Regular+Flavor+Cavity+Protection+Toothpaste+1oz.&amp;qid=1695260151&amp;sr=8-9</v>
      </c>
      <c r="F3374" t="s">
        <v>8870</v>
      </c>
      <c r="G3374" t="e">
        <f ca="1">IMAGE("https://shop.sonapharmacy.com/cdn/shop/products/22e7c50a-9344-4f9c-96af-3a2549d6ce02_7.1d4f47662a946d4e424dc54f6c6c8eed.png?v=1608651728")</f>
        <v>#NAME?</v>
      </c>
      <c r="H3374" t="e">
        <f ca="1">IMAGE("https://m.media-amazon.com/images/I/7158zgc-n8L._AC_UL320_.jpg")</f>
        <v>#NAME?</v>
      </c>
      <c r="I3374" t="s">
        <v>8043</v>
      </c>
      <c r="J3374">
        <v>5.79</v>
      </c>
      <c r="K3374" s="2" t="s">
        <v>8871</v>
      </c>
      <c r="L3374">
        <v>4.4000000000000004</v>
      </c>
      <c r="M3374">
        <v>40</v>
      </c>
      <c r="O3374" t="s">
        <v>26</v>
      </c>
      <c r="P3374" t="s">
        <v>39</v>
      </c>
      <c r="Q3374" t="s">
        <v>8045</v>
      </c>
    </row>
    <row r="3375" spans="1:17" ht="15.75" x14ac:dyDescent="0.25">
      <c r="A3375" s="3" t="str">
        <f>HYPERLINK("https://shop.sonapharmacy.com/products/prevagen-regular-strength-10-mg-capsules", "https://shop.sonapharmacy.com/products/prevagen-regular-strength-10-mg-capsules")</f>
        <v>https://shop.sonapharmacy.com/products/prevagen-regular-strength-10-mg-capsules</v>
      </c>
      <c r="B3375" s="3" t="str">
        <f>HYPERLINK("https://shop.sonapharmacy.com/products/prevagen-regular-strength-10-mg-capsules", "https://shop.sonapharmacy.com/products/prevagen-regular-strength-10-mg-capsules")</f>
        <v>https://shop.sonapharmacy.com/products/prevagen-regular-strength-10-mg-capsules</v>
      </c>
      <c r="C3375" t="s">
        <v>8872</v>
      </c>
      <c r="D3375" t="s">
        <v>8873</v>
      </c>
      <c r="E3375" s="3" t="str">
        <f>HYPERLINK("https://www.amazon.com/Prevagen-Improves-Memory-Apoaequorin-Supplement/dp/B0892V1CLM/ref=sr_1_9?keywords=Prevagen+Regular+Strength+10+mg+Capsules+30+ct.&amp;qid=1695260646&amp;sr=8-9", "https://www.amazon.com/Prevagen-Improves-Memory-Apoaequorin-Supplement/dp/B0892V1CLM/ref=sr_1_9?keywords=Prevagen+Regular+Strength+10+mg+Capsules+30+ct.&amp;qid=1695260646&amp;sr=8-9")</f>
        <v>https://www.amazon.com/Prevagen-Improves-Memory-Apoaequorin-Supplement/dp/B0892V1CLM/ref=sr_1_9?keywords=Prevagen+Regular+Strength+10+mg+Capsules+30+ct.&amp;qid=1695260646&amp;sr=8-9</v>
      </c>
      <c r="F3375" t="s">
        <v>8874</v>
      </c>
      <c r="G3375" t="e">
        <f ca="1">IMAGE("https://shop.sonapharmacy.com/cdn/shop/products/Prevagen.jpg?v=1628795146")</f>
        <v>#NAME?</v>
      </c>
      <c r="H3375" t="e">
        <f ca="1">IMAGE("https://m.media-amazon.com/images/I/81LE6UorfQL._AC_UL320_.jpg")</f>
        <v>#NAME?</v>
      </c>
      <c r="I3375" t="s">
        <v>6516</v>
      </c>
      <c r="J3375">
        <v>191.63</v>
      </c>
      <c r="K3375" s="2" t="s">
        <v>8875</v>
      </c>
      <c r="L3375">
        <v>4.5</v>
      </c>
      <c r="M3375">
        <v>381</v>
      </c>
      <c r="O3375" t="s">
        <v>39</v>
      </c>
      <c r="P3375" t="s">
        <v>39</v>
      </c>
      <c r="Q3375" t="s">
        <v>8876</v>
      </c>
    </row>
    <row r="3376" spans="1:17" ht="15.75" x14ac:dyDescent="0.25">
      <c r="A3376" s="3" t="str">
        <f>HYPERLINK("https://shop.sonapharmacy.com/products/always%C2%AE-maxi-size-5-extra-heavy-unscented-overnight-pads-with-wings-20ct", "https://shop.sonapharmacy.com/products/always%C2%AE-maxi-size-5-extra-heavy-unscented-overnight-pads-with-wings-20ct")</f>
        <v>https://shop.sonapharmacy.com/products/always%C2%AE-maxi-size-5-extra-heavy-unscented-overnight-pads-with-wings-20ct</v>
      </c>
      <c r="B3376" s="3" t="str">
        <f>HYPERLINK("https://shop.sonapharmacy.com/products/always%c2%ae-maxi-size-5-extra-heavy-unscented-overnight-pads-with-wings-20ct", "https://shop.sonapharmacy.com/products/always%c2%ae-maxi-size-5-extra-heavy-unscented-overnight-pads-with-wings-20ct")</f>
        <v>https://shop.sonapharmacy.com/products/always%c2%ae-maxi-size-5-extra-heavy-unscented-overnight-pads-with-wings-20ct</v>
      </c>
      <c r="C3376" t="s">
        <v>8877</v>
      </c>
      <c r="D3376" t="s">
        <v>8878</v>
      </c>
      <c r="E3376" s="3" t="str">
        <f>HYPERLINK("https://www.amazon.com/Always-Overnight-Wings-Extra-Unscented/dp/B0BV67695R/ref=sr_1_5?keywords=Always+Maxi+Size+5+Extra+Heavy+Unscented+Overnight+Pads+with+Wings+20ct.&amp;qid=1695260003&amp;sr=8-5", "https://www.amazon.com/Always-Overnight-Wings-Extra-Unscented/dp/B0BV67695R/ref=sr_1_5?keywords=Always+Maxi+Size+5+Extra+Heavy+Unscented+Overnight+Pads+with+Wings+20ct.&amp;qid=1695260003&amp;sr=8-5")</f>
        <v>https://www.amazon.com/Always-Overnight-Wings-Extra-Unscented/dp/B0BV67695R/ref=sr_1_5?keywords=Always+Maxi+Size+5+Extra+Heavy+Unscented+Overnight+Pads+with+Wings+20ct.&amp;qid=1695260003&amp;sr=8-5</v>
      </c>
      <c r="F3376" t="s">
        <v>8879</v>
      </c>
      <c r="G3376" t="e">
        <f ca="1">IMAGE("https://shop.sonapharmacy.com/cdn/shop/products/f85907b4-6cb1-40e1-8ffb-d041bcc3b3a7_1.7c196897b875635d3dc81fa597313ccd.jpg?v=1609183812")</f>
        <v>#NAME?</v>
      </c>
      <c r="H3376" t="e">
        <f ca="1">IMAGE("https://m.media-amazon.com/images/I/61eqJqMp75L._AC_UL320_.jpg")</f>
        <v>#NAME?</v>
      </c>
      <c r="I3376" t="s">
        <v>8880</v>
      </c>
      <c r="J3376">
        <v>41.88</v>
      </c>
      <c r="K3376" s="2" t="s">
        <v>8881</v>
      </c>
      <c r="L3376">
        <v>4.8</v>
      </c>
      <c r="M3376">
        <v>16</v>
      </c>
      <c r="O3376" t="s">
        <v>26</v>
      </c>
      <c r="P3376" t="s">
        <v>39</v>
      </c>
      <c r="Q3376" t="s">
        <v>8882</v>
      </c>
    </row>
    <row r="3377" spans="1:17" ht="15.75" x14ac:dyDescent="0.25">
      <c r="A3377" s="3" t="str">
        <f>HYPERLINK("https://shop.sonapharmacy.com/products/sundown-vitamin-e-oil-2-5fl", "https://shop.sonapharmacy.com/products/sundown-vitamin-e-oil-2-5fl")</f>
        <v>https://shop.sonapharmacy.com/products/sundown-vitamin-e-oil-2-5fl</v>
      </c>
      <c r="B3377" s="3" t="str">
        <f>HYPERLINK("https://shop.sonapharmacy.com/products/sundown-vitamin-e-oil-2-5fl", "https://shop.sonapharmacy.com/products/sundown-vitamin-e-oil-2-5fl")</f>
        <v>https://shop.sonapharmacy.com/products/sundown-vitamin-e-oil-2-5fl</v>
      </c>
      <c r="C3377" t="s">
        <v>8883</v>
      </c>
      <c r="D3377" t="s">
        <v>8884</v>
      </c>
      <c r="E3377" s="3" t="str">
        <f>HYPERLINK("https://www.amazon.com/Sundown-Naturals-Vitamin-Oil-000/dp/B078YG3742/ref=sr_1_10?keywords=Sundown+Vitamin+E+Oil+2.5fl&amp;qid=1695260741&amp;sr=8-10", "https://www.amazon.com/Sundown-Naturals-Vitamin-Oil-000/dp/B078YG3742/ref=sr_1_10?keywords=Sundown+Vitamin+E+Oil+2.5fl&amp;qid=1695260741&amp;sr=8-10")</f>
        <v>https://www.amazon.com/Sundown-Naturals-Vitamin-Oil-000/dp/B078YG3742/ref=sr_1_10?keywords=Sundown+Vitamin+E+Oil+2.5fl&amp;qid=1695260741&amp;sr=8-10</v>
      </c>
      <c r="F3377" t="s">
        <v>8885</v>
      </c>
      <c r="G3377" t="e">
        <f ca="1">IMAGE("https://shop.sonapharmacy.com/cdn/shop/products/b5528557-4aee-4dfe-a2a2-302b5998af18_1.8e7a790b89db2b249d70e2d54929257f.jpg?v=1608242073")</f>
        <v>#NAME?</v>
      </c>
      <c r="H3377" t="e">
        <f ca="1">IMAGE("https://m.media-amazon.com/images/I/512qXtHifaL._AC_UL320_.jpg")</f>
        <v>#NAME?</v>
      </c>
      <c r="I3377" t="s">
        <v>8886</v>
      </c>
      <c r="J3377">
        <v>48.29</v>
      </c>
      <c r="K3377" s="2" t="s">
        <v>8887</v>
      </c>
      <c r="L3377">
        <v>4.5999999999999996</v>
      </c>
      <c r="M3377">
        <v>3</v>
      </c>
      <c r="O3377" t="s">
        <v>26</v>
      </c>
      <c r="P3377" t="s">
        <v>39</v>
      </c>
      <c r="Q3377" t="s">
        <v>8888</v>
      </c>
    </row>
    <row r="3378" spans="1:17" ht="15.75" x14ac:dyDescent="0.25">
      <c r="A3378"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B3378"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C3378" t="s">
        <v>8889</v>
      </c>
      <c r="D3378" t="s">
        <v>8890</v>
      </c>
      <c r="E3378" s="3" t="str">
        <f>HYPERLINK("https://www.amazon.com/Colgate-Whitening-Toothpaste-Breath-Strips/dp/B087HN8T5N/ref=sr_1_6?keywords=Colgate%C2%AE+Max+Fresh%C2%AE+With+Breath+Strips+Clean+Mint+Toothpaste+6oz.&amp;qid=1695260147&amp;sr=8-6", "https://www.amazon.com/Colgate-Whitening-Toothpaste-Breath-Strips/dp/B087HN8T5N/ref=sr_1_6?keywords=Colgate%C2%AE+Max+Fresh%C2%AE+With+Breath+Strips+Clean+Mint+Toothpaste+6oz.&amp;qid=1695260147&amp;sr=8-6")</f>
        <v>https://www.amazon.com/Colgate-Whitening-Toothpaste-Breath-Strips/dp/B087HN8T5N/ref=sr_1_6?keywords=Colgate%C2%AE+Max+Fresh%C2%AE+With+Breath+Strips+Clean+Mint+Toothpaste+6oz.&amp;qid=1695260147&amp;sr=8-6</v>
      </c>
      <c r="F3378" t="s">
        <v>8891</v>
      </c>
      <c r="G3378" t="e">
        <f ca="1">IMAGE("https://shop.sonapharmacy.com/cdn/shop/products/c6289988-8c06-4eaa-9b0b-ecd363befe31_1.0de5bc9f4f35f28fcf4241c46ae2d5e0.png?v=1608652798")</f>
        <v>#NAME?</v>
      </c>
      <c r="H3378" t="e">
        <f ca="1">IMAGE("https://m.media-amazon.com/images/I/91sZM49QQFL._AC_UL320_.jpg")</f>
        <v>#NAME?</v>
      </c>
      <c r="I3378" t="s">
        <v>8102</v>
      </c>
      <c r="J3378">
        <v>26.98</v>
      </c>
      <c r="K3378" s="2" t="s">
        <v>8892</v>
      </c>
      <c r="L3378">
        <v>5</v>
      </c>
      <c r="M3378">
        <v>2</v>
      </c>
      <c r="O3378" t="s">
        <v>26</v>
      </c>
      <c r="P3378" t="s">
        <v>39</v>
      </c>
      <c r="Q3378" t="s">
        <v>8893</v>
      </c>
    </row>
    <row r="3379" spans="1:17" ht="15.75" x14ac:dyDescent="0.25">
      <c r="A3379" s="3" t="str">
        <f>HYPERLINK("https://shop.sonapharmacy.com/products/breathe-right-original-nasal-strips", "https://shop.sonapharmacy.com/products/breathe-right-original-nasal-strips")</f>
        <v>https://shop.sonapharmacy.com/products/breathe-right-original-nasal-strips</v>
      </c>
      <c r="B3379" s="3" t="str">
        <f>HYPERLINK("https://shop.sonapharmacy.com/products/breathe-right-original-nasal-strips", "https://shop.sonapharmacy.com/products/breathe-right-original-nasal-strips")</f>
        <v>https://shop.sonapharmacy.com/products/breathe-right-original-nasal-strips</v>
      </c>
      <c r="C3379" t="s">
        <v>8894</v>
      </c>
      <c r="D3379" t="s">
        <v>8895</v>
      </c>
      <c r="E3379" s="3" t="str">
        <f>HYPERLINK("https://www.amazon.com/Breathe-Right-Nasal-Strips-Original/dp/B0792PSKWQ/ref=sr_1_6?keywords=Breathe+Right%C2%AE+Original+Nasal+Strips+Large%2FTan&amp;qid=1695260103&amp;sr=8-6", "https://www.amazon.com/Breathe-Right-Nasal-Strips-Original/dp/B0792PSKWQ/ref=sr_1_6?keywords=Breathe+Right%C2%AE+Original+Nasal+Strips+Large%2FTan&amp;qid=1695260103&amp;sr=8-6")</f>
        <v>https://www.amazon.com/Breathe-Right-Nasal-Strips-Original/dp/B0792PSKWQ/ref=sr_1_6?keywords=Breathe+Right%C2%AE+Original+Nasal+Strips+Large%2FTan&amp;qid=1695260103&amp;sr=8-6</v>
      </c>
      <c r="F3379" t="s">
        <v>8896</v>
      </c>
      <c r="G3379" t="e">
        <f ca="1">IMAGE("https://shop.sonapharmacy.com/cdn/shop/files/Sona-Shop-banner2_0c7162f3-c367-451d-8193-c2967a0e8d8e.jpg?v=1614290083")</f>
        <v>#NAME?</v>
      </c>
      <c r="H3379" t="e">
        <f ca="1">IMAGE("https://m.media-amazon.com/images/I/61W-tI47V7L._AC_UL320_.jpg")</f>
        <v>#NAME?</v>
      </c>
      <c r="I3379" t="s">
        <v>5295</v>
      </c>
      <c r="J3379">
        <v>72.8</v>
      </c>
      <c r="K3379" s="2" t="s">
        <v>8897</v>
      </c>
      <c r="L3379">
        <v>4.4000000000000004</v>
      </c>
      <c r="M3379">
        <v>12</v>
      </c>
      <c r="O3379" t="s">
        <v>26</v>
      </c>
      <c r="P3379" t="s">
        <v>39</v>
      </c>
      <c r="Q3379" t="s">
        <v>8898</v>
      </c>
    </row>
    <row r="3380" spans="1:17" ht="15.75" x14ac:dyDescent="0.25">
      <c r="A3380" s="3" t="str">
        <f>HYPERLINK("https://shop.sonapharmacy.com/products/super-poligrip%C2%AE-comfort-seal-denture-and-partials-adhesive-strips-40ct", "https://shop.sonapharmacy.com/products/super-poligrip%C2%AE-comfort-seal-denture-and-partials-adhesive-strips-40ct")</f>
        <v>https://shop.sonapharmacy.com/products/super-poligrip%C2%AE-comfort-seal-denture-and-partials-adhesive-strips-40ct</v>
      </c>
      <c r="B3380" s="3" t="str">
        <f>HYPERLINK("https://shop.sonapharmacy.com/products/super-poligrip%c2%ae-comfort-seal-denture-and-partials-adhesive-strips-40ct", "https://shop.sonapharmacy.com/products/super-poligrip%c2%ae-comfort-seal-denture-and-partials-adhesive-strips-40ct")</f>
        <v>https://shop.sonapharmacy.com/products/super-poligrip%c2%ae-comfort-seal-denture-and-partials-adhesive-strips-40ct</v>
      </c>
      <c r="C3380" t="s">
        <v>8899</v>
      </c>
      <c r="D3380" t="s">
        <v>8900</v>
      </c>
      <c r="E3380" s="3" t="str">
        <f>HYPERLINK("https://www.amazon.com/SUPER-POLIGRIP-Comfort-Seal-Strips/dp/B01IA98N5G/ref=sr_1_1?keywords=Super+Poligrip%C2%AE+Comfort+Seal+Denture+and+Partials+Adhesive+Strips+40ct.&amp;qid=1695260775&amp;sr=8-1", "https://www.amazon.com/SUPER-POLIGRIP-Comfort-Seal-Strips/dp/B01IA98N5G/ref=sr_1_1?keywords=Super+Poligrip%C2%AE+Comfort+Seal+Denture+and+Partials+Adhesive+Strips+40ct.&amp;qid=1695260775&amp;sr=8-1")</f>
        <v>https://www.amazon.com/SUPER-POLIGRIP-Comfort-Seal-Strips/dp/B01IA98N5G/ref=sr_1_1?keywords=Super+Poligrip%C2%AE+Comfort+Seal+Denture+and+Partials+Adhesive+Strips+40ct.&amp;qid=1695260775&amp;sr=8-1</v>
      </c>
      <c r="F3380" t="s">
        <v>8901</v>
      </c>
      <c r="G3380" t="e">
        <f ca="1">IMAGE("https://shop.sonapharmacy.com/cdn/shop/products/438deaa7-396a-40d2-94ca-164cde549b81.7cee2b848e3eabec95a7853e4439258d.jpg?v=1608647717")</f>
        <v>#NAME?</v>
      </c>
      <c r="H3380" t="e">
        <f ca="1">IMAGE("https://m.media-amazon.com/images/I/81TAKSJ2PvS._AC_UL320_.jpg")</f>
        <v>#NAME?</v>
      </c>
      <c r="I3380" t="s">
        <v>8902</v>
      </c>
      <c r="J3380">
        <v>32.85</v>
      </c>
      <c r="K3380" s="2" t="s">
        <v>8903</v>
      </c>
      <c r="L3380">
        <v>4.5999999999999996</v>
      </c>
      <c r="M3380">
        <v>309</v>
      </c>
      <c r="O3380" t="s">
        <v>136</v>
      </c>
      <c r="P3380" t="s">
        <v>39</v>
      </c>
      <c r="Q3380" t="s">
        <v>8904</v>
      </c>
    </row>
    <row r="3381" spans="1:17" ht="15.75" x14ac:dyDescent="0.25">
      <c r="A3381" s="3" t="str">
        <f>HYPERLINK("https://shop.sonapharmacy.com/products/schiff-move-free-joint-health-advanced-plus-msm-tablets", "https://shop.sonapharmacy.com/products/schiff-move-free-joint-health-advanced-plus-msm-tablets")</f>
        <v>https://shop.sonapharmacy.com/products/schiff-move-free-joint-health-advanced-plus-msm-tablets</v>
      </c>
      <c r="B3381" s="3" t="str">
        <f>HYPERLINK("https://shop.sonapharmacy.com/products/schiff-move-free-joint-health-advanced-plus-msm-tablets", "https://shop.sonapharmacy.com/products/schiff-move-free-joint-health-advanced-plus-msm-tablets")</f>
        <v>https://shop.sonapharmacy.com/products/schiff-move-free-joint-health-advanced-plus-msm-tablets</v>
      </c>
      <c r="C3381" t="s">
        <v>8905</v>
      </c>
      <c r="D3381" t="s">
        <v>8906</v>
      </c>
      <c r="E3381" s="3" t="str">
        <f>HYPERLINK("https://www.amazon.com/Move-Free-Advanced-Plus-tablets/dp/B01IAHZ7GQ/ref=sr_1_6?keywords=Schiff+Move+Free+joint+Health+Advanced+Plus+MSM+Tablets&amp;qid=1695260725&amp;sr=8-6", "https://www.amazon.com/Move-Free-Advanced-Plus-tablets/dp/B01IAHZ7GQ/ref=sr_1_6?keywords=Schiff+Move+Free+joint+Health+Advanced+Plus+MSM+Tablets&amp;qid=1695260725&amp;sr=8-6")</f>
        <v>https://www.amazon.com/Move-Free-Advanced-Plus-tablets/dp/B01IAHZ7GQ/ref=sr_1_6?keywords=Schiff+Move+Free+joint+Health+Advanced+Plus+MSM+Tablets&amp;qid=1695260725&amp;sr=8-6</v>
      </c>
      <c r="F3381" t="s">
        <v>8907</v>
      </c>
      <c r="G3381" t="e">
        <f ca="1">IMAGE("https://shop.sonapharmacy.com/cdn/shop/products/movefreehealthresized.jpg?v=1592492207")</f>
        <v>#NAME?</v>
      </c>
      <c r="H3381" t="e">
        <f ca="1">IMAGE("https://m.media-amazon.com/images/I/71vo75KAe+L._AC_UL320_.jpg")</f>
        <v>#NAME?</v>
      </c>
      <c r="I3381" t="s">
        <v>8908</v>
      </c>
      <c r="J3381">
        <v>166.99</v>
      </c>
      <c r="K3381" s="2" t="s">
        <v>8909</v>
      </c>
      <c r="L3381">
        <v>3.7</v>
      </c>
      <c r="M3381">
        <v>7</v>
      </c>
      <c r="O3381" t="s">
        <v>26</v>
      </c>
      <c r="P3381" t="s">
        <v>39</v>
      </c>
      <c r="Q3381" t="s">
        <v>8910</v>
      </c>
    </row>
    <row r="3382" spans="1:17" ht="15.75" x14ac:dyDescent="0.25">
      <c r="A3382" s="3" t="str">
        <f>HYPERLINK("https://shop.sonapharmacy.com/products/band-aid-flexible-fabric-100ct-all-one-size", "https://shop.sonapharmacy.com/products/band-aid-flexible-fabric-100ct-all-one-size")</f>
        <v>https://shop.sonapharmacy.com/products/band-aid-flexible-fabric-100ct-all-one-size</v>
      </c>
      <c r="B3382" s="3" t="str">
        <f>HYPERLINK("https://shop.sonapharmacy.com/products/band-aid-flexible-fabric-100ct-all-one-size", "https://shop.sonapharmacy.com/products/band-aid-flexible-fabric-100ct-all-one-size")</f>
        <v>https://shop.sonapharmacy.com/products/band-aid-flexible-fabric-100ct-all-one-size</v>
      </c>
      <c r="C3382" t="s">
        <v>8911</v>
      </c>
      <c r="D3382" t="s">
        <v>8912</v>
      </c>
      <c r="E3382" s="3" t="str">
        <f>HYPERLINK("https://www.amazon.com/Band-Aid-Adhesive-Bandages-Flexible-Fabric/dp/B013XFJ2G6/ref=sr_1_2?keywords=BAND-AID%C2%AE+Flexible+Fabric+All+One+Size&amp;qid=1695260052&amp;sr=8-2", "https://www.amazon.com/Band-Aid-Adhesive-Bandages-Flexible-Fabric/dp/B013XFJ2G6/ref=sr_1_2?keywords=BAND-AID%C2%AE+Flexible+Fabric+All+One+Size&amp;qid=1695260052&amp;sr=8-2")</f>
        <v>https://www.amazon.com/Band-Aid-Adhesive-Bandages-Flexible-Fabric/dp/B013XFJ2G6/ref=sr_1_2?keywords=BAND-AID%C2%AE+Flexible+Fabric+All+One+Size&amp;qid=1695260052&amp;sr=8-2</v>
      </c>
      <c r="F3382" t="s">
        <v>8913</v>
      </c>
      <c r="G3382" t="e">
        <f ca="1">IMAGE("https://shop.sonapharmacy.com/cdn/shop/products/bab_381370044314_band_aid_band_aid_flexible_fabric_aos_30ct_007.jpg?v=1614702050")</f>
        <v>#NAME?</v>
      </c>
      <c r="H3382" t="e">
        <f ca="1">IMAGE("https://m.media-amazon.com/images/I/71KP80sulwL._AC_UL320_.jpg")</f>
        <v>#NAME?</v>
      </c>
      <c r="I3382" t="s">
        <v>8834</v>
      </c>
      <c r="J3382">
        <v>28.18</v>
      </c>
      <c r="K3382" s="2" t="s">
        <v>8914</v>
      </c>
      <c r="L3382">
        <v>4.8</v>
      </c>
      <c r="M3382">
        <v>125</v>
      </c>
      <c r="O3382" t="s">
        <v>26</v>
      </c>
      <c r="P3382" t="s">
        <v>39</v>
      </c>
      <c r="Q3382" t="s">
        <v>8915</v>
      </c>
    </row>
    <row r="3383" spans="1:17" ht="15.75" x14ac:dyDescent="0.25">
      <c r="A3383" s="3" t="str">
        <f>HYPERLINK("https://shop.sonapharmacy.com/products/old-spice-high-endurance-pure-sport-body-wash-18fl-oz", "https://shop.sonapharmacy.com/products/old-spice-high-endurance-pure-sport-body-wash-18fl-oz")</f>
        <v>https://shop.sonapharmacy.com/products/old-spice-high-endurance-pure-sport-body-wash-18fl-oz</v>
      </c>
      <c r="B3383" s="3" t="str">
        <f>HYPERLINK("https://shop.sonapharmacy.com/products/old-spice-high-endurance-pure-sport-body-wash-18fl-oz", "https://shop.sonapharmacy.com/products/old-spice-high-endurance-pure-sport-body-wash-18fl-oz")</f>
        <v>https://shop.sonapharmacy.com/products/old-spice-high-endurance-pure-sport-body-wash-18fl-oz</v>
      </c>
      <c r="C3383" t="s">
        <v>8916</v>
      </c>
      <c r="D3383" t="s">
        <v>8917</v>
      </c>
      <c r="E3383" s="3" t="str">
        <f>HYPERLINK("https://www.amazon.com/Old-Spice-Endurance-Crisp-Scent/dp/B0BYQD87WS/ref=sr_1_9?keywords=Old+Spice+High+Endurance+Pure+Sport+Body+Wash+18fl.+oz.&amp;qid=1695260603&amp;sr=8-9", "https://www.amazon.com/Old-Spice-Endurance-Crisp-Scent/dp/B0BYQD87WS/ref=sr_1_9?keywords=Old+Spice+High+Endurance+Pure+Sport+Body+Wash+18fl.+oz.&amp;qid=1695260603&amp;sr=8-9")</f>
        <v>https://www.amazon.com/Old-Spice-Endurance-Crisp-Scent/dp/B0BYQD87WS/ref=sr_1_9?keywords=Old+Spice+High+Endurance+Pure+Sport+Body+Wash+18fl.+oz.&amp;qid=1695260603&amp;sr=8-9</v>
      </c>
      <c r="F3383" t="s">
        <v>8918</v>
      </c>
      <c r="G3383" t="e">
        <f ca="1">IMAGE("https://shop.sonapharmacy.com/cdn/shop/products/13f57484-3da0-417b-9e06-c938236c196e_1.b91e30808ac13bebc5df666aaa4bd21e.jpg?v=1608490257")</f>
        <v>#NAME?</v>
      </c>
      <c r="H3383" t="e">
        <f ca="1">IMAGE("https://m.media-amazon.com/images/I/71-9K-vmjfL._AC_UL320_.jpg")</f>
        <v>#NAME?</v>
      </c>
      <c r="I3383" t="s">
        <v>5109</v>
      </c>
      <c r="J3383">
        <v>33.880000000000003</v>
      </c>
      <c r="K3383" s="2" t="s">
        <v>8919</v>
      </c>
      <c r="L3383">
        <v>4.5</v>
      </c>
      <c r="M3383">
        <v>91</v>
      </c>
      <c r="O3383" t="s">
        <v>26</v>
      </c>
      <c r="P3383" t="s">
        <v>39</v>
      </c>
      <c r="Q3383" t="s">
        <v>8920</v>
      </c>
    </row>
    <row r="3384" spans="1:17" ht="15.75" x14ac:dyDescent="0.25">
      <c r="A3384"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B3384"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C3384" t="s">
        <v>8889</v>
      </c>
      <c r="D3384" t="s">
        <v>8921</v>
      </c>
      <c r="E3384" s="3" t="str">
        <f>HYPERLINK("https://www.amazon.com/Colgate-Toothpaste-Breath-Strips-Ounces/dp/B0009W7M8W/ref=sr_1_5?keywords=Colgate%C2%AE+Max+Fresh%C2%AE+With+Breath+Strips+Clean+Mint+Toothpaste+6oz.&amp;qid=1695260147&amp;sr=8-5", "https://www.amazon.com/Colgate-Toothpaste-Breath-Strips-Ounces/dp/B0009W7M8W/ref=sr_1_5?keywords=Colgate%C2%AE+Max+Fresh%C2%AE+With+Breath+Strips+Clean+Mint+Toothpaste+6oz.&amp;qid=1695260147&amp;sr=8-5")</f>
        <v>https://www.amazon.com/Colgate-Toothpaste-Breath-Strips-Ounces/dp/B0009W7M8W/ref=sr_1_5?keywords=Colgate%C2%AE+Max+Fresh%C2%AE+With+Breath+Strips+Clean+Mint+Toothpaste+6oz.&amp;qid=1695260147&amp;sr=8-5</v>
      </c>
      <c r="F3384" t="s">
        <v>8922</v>
      </c>
      <c r="G3384" t="e">
        <f ca="1">IMAGE("https://shop.sonapharmacy.com/cdn/shop/products/c6289988-8c06-4eaa-9b0b-ecd363befe31_1.0de5bc9f4f35f28fcf4241c46ae2d5e0.png?v=1608652798")</f>
        <v>#NAME?</v>
      </c>
      <c r="H3384" t="e">
        <f ca="1">IMAGE("https://m.media-amazon.com/images/I/71gspHHkNZL._AC_UL320_.jpg")</f>
        <v>#NAME?</v>
      </c>
      <c r="I3384" t="s">
        <v>8102</v>
      </c>
      <c r="J3384">
        <v>26.75</v>
      </c>
      <c r="K3384" s="2" t="s">
        <v>8923</v>
      </c>
      <c r="L3384">
        <v>4.3</v>
      </c>
      <c r="M3384">
        <v>63</v>
      </c>
      <c r="O3384" t="s">
        <v>26</v>
      </c>
      <c r="P3384" t="s">
        <v>39</v>
      </c>
      <c r="Q3384" t="s">
        <v>8893</v>
      </c>
    </row>
    <row r="3385" spans="1:17" ht="15.75" x14ac:dyDescent="0.25">
      <c r="A3385" s="3" t="str">
        <f>HYPERLINK("https://shop.sonapharmacy.com/products/curad-super-absorbent-wound-pad", "https://shop.sonapharmacy.com/products/curad-super-absorbent-wound-pad")</f>
        <v>https://shop.sonapharmacy.com/products/curad-super-absorbent-wound-pad</v>
      </c>
      <c r="B3385" s="3" t="str">
        <f>HYPERLINK("https://shop.sonapharmacy.com/products/curad-super-absorbent-wound-pad", "https://shop.sonapharmacy.com/products/curad-super-absorbent-wound-pad")</f>
        <v>https://shop.sonapharmacy.com/products/curad-super-absorbent-wound-pad</v>
      </c>
      <c r="C3385" t="s">
        <v>8924</v>
      </c>
      <c r="D3385" t="s">
        <v>8925</v>
      </c>
      <c r="E3385" s="3" t="str">
        <f>HYPERLINK("https://www.amazon.com/AWD-Absorbent-Dressing-Adhesive-Pressure/dp/B09LCGZLBC/ref=sr_1_10?keywords=Curad%C2%AE+Super+Absorbent+Wound+Pads&amp;qid=1695260172&amp;sr=8-10", "https://www.amazon.com/AWD-Absorbent-Dressing-Adhesive-Pressure/dp/B09LCGZLBC/ref=sr_1_10?keywords=Curad%C2%AE+Super+Absorbent+Wound+Pads&amp;qid=1695260172&amp;sr=8-10")</f>
        <v>https://www.amazon.com/AWD-Absorbent-Dressing-Adhesive-Pressure/dp/B09LCGZLBC/ref=sr_1_10?keywords=Curad%C2%AE+Super+Absorbent+Wound+Pads&amp;qid=1695260172&amp;sr=8-10</v>
      </c>
      <c r="F3385" t="s">
        <v>8926</v>
      </c>
      <c r="G3385" t="e">
        <f ca="1">IMAGE("https://shop.sonapharmacy.com/cdn/shop/products/superabsorb4x4.png?v=1607708541")</f>
        <v>#NAME?</v>
      </c>
      <c r="H3385" t="e">
        <f ca="1">IMAGE("https://m.media-amazon.com/images/I/81OBFGAPrnL._AC_UL320_.jpg")</f>
        <v>#NAME?</v>
      </c>
      <c r="I3385" t="s">
        <v>8927</v>
      </c>
      <c r="J3385">
        <v>19.989999999999998</v>
      </c>
      <c r="K3385" s="2" t="s">
        <v>8928</v>
      </c>
      <c r="L3385">
        <v>4.5</v>
      </c>
      <c r="M3385">
        <v>98</v>
      </c>
      <c r="O3385" t="s">
        <v>26</v>
      </c>
      <c r="P3385" t="s">
        <v>39</v>
      </c>
      <c r="Q3385" t="s">
        <v>8929</v>
      </c>
    </row>
    <row r="3386" spans="1:17" ht="15.75" x14ac:dyDescent="0.25">
      <c r="A3386" s="3" t="str">
        <f>HYPERLINK("https://shop.sonapharmacy.com/products/curad-super-absorbent-wound-pad", "https://shop.sonapharmacy.com/products/curad-super-absorbent-wound-pad")</f>
        <v>https://shop.sonapharmacy.com/products/curad-super-absorbent-wound-pad</v>
      </c>
      <c r="B3386" s="3" t="str">
        <f>HYPERLINK("https://shop.sonapharmacy.com/products/curad-super-absorbent-wound-pad", "https://shop.sonapharmacy.com/products/curad-super-absorbent-wound-pad")</f>
        <v>https://shop.sonapharmacy.com/products/curad-super-absorbent-wound-pad</v>
      </c>
      <c r="C3386" t="s">
        <v>8924</v>
      </c>
      <c r="D3386" t="s">
        <v>8930</v>
      </c>
      <c r="E3386" s="3" t="str">
        <f>HYPERLINK("https://www.amazon.com/MedVance-Absorbent-Non-Adhesive-Absorption-dressings/dp/B0C8WG8MML/ref=sr_1_4?keywords=Curad%C2%AE+Super+Absorbent+Wound+Pads&amp;qid=1695260172&amp;sr=8-4", "https://www.amazon.com/MedVance-Absorbent-Non-Adhesive-Absorption-dressings/dp/B0C8WG8MML/ref=sr_1_4?keywords=Curad%C2%AE+Super+Absorbent+Wound+Pads&amp;qid=1695260172&amp;sr=8-4")</f>
        <v>https://www.amazon.com/MedVance-Absorbent-Non-Adhesive-Absorption-dressings/dp/B0C8WG8MML/ref=sr_1_4?keywords=Curad%C2%AE+Super+Absorbent+Wound+Pads&amp;qid=1695260172&amp;sr=8-4</v>
      </c>
      <c r="F3386" t="s">
        <v>8931</v>
      </c>
      <c r="G3386" t="e">
        <f ca="1">IMAGE("https://shop.sonapharmacy.com/cdn/shop/products/superabsorb4x4.png?v=1607708541")</f>
        <v>#NAME?</v>
      </c>
      <c r="H3386" t="e">
        <f ca="1">IMAGE("https://m.media-amazon.com/images/I/71GfUQ31f9L._AC_UL320_.jpg")</f>
        <v>#NAME?</v>
      </c>
      <c r="I3386" t="s">
        <v>8927</v>
      </c>
      <c r="J3386">
        <v>19.989999999999998</v>
      </c>
      <c r="K3386" s="2" t="s">
        <v>8928</v>
      </c>
      <c r="L3386">
        <v>4.7</v>
      </c>
      <c r="M3386">
        <v>4</v>
      </c>
      <c r="O3386" t="s">
        <v>26</v>
      </c>
      <c r="P3386" t="s">
        <v>39</v>
      </c>
      <c r="Q3386" t="s">
        <v>8929</v>
      </c>
    </row>
    <row r="3387" spans="1:17" ht="15.75" x14ac:dyDescent="0.25">
      <c r="A3387" s="3" t="str">
        <f>HYPERLINK("https://shop.sonapharmacy.com/products/lubriderm-daily-moisture-lotion-fragrance-free-16fl-oz", "https://shop.sonapharmacy.com/products/lubriderm-daily-moisture-lotion-fragrance-free-16fl-oz")</f>
        <v>https://shop.sonapharmacy.com/products/lubriderm-daily-moisture-lotion-fragrance-free-16fl-oz</v>
      </c>
      <c r="B3387" s="3" t="str">
        <f>HYPERLINK("https://shop.sonapharmacy.com/products/lubriderm-daily-moisture-lotion-fragrance-free-16fl-oz", "https://shop.sonapharmacy.com/products/lubriderm-daily-moisture-lotion-fragrance-free-16fl-oz")</f>
        <v>https://shop.sonapharmacy.com/products/lubriderm-daily-moisture-lotion-fragrance-free-16fl-oz</v>
      </c>
      <c r="C3387" t="s">
        <v>8932</v>
      </c>
      <c r="D3387" t="s">
        <v>8933</v>
      </c>
      <c r="E3387" s="3" t="str">
        <f>HYPERLINK("https://www.amazon.com/Lubriderm-Daily-Moisture-Lotion-Fragrance-Free/dp/B002FTQJOK/ref=sr_1_5?keywords=Lubriderm+Daily+Moisture+Lotion+Fragrance-Free+16fl.+oz.&amp;qid=1695260464&amp;sr=8-5", "https://www.amazon.com/Lubriderm-Daily-Moisture-Lotion-Fragrance-Free/dp/B002FTQJOK/ref=sr_1_5?keywords=Lubriderm+Daily+Moisture+Lotion+Fragrance-Free+16fl.+oz.&amp;qid=1695260464&amp;sr=8-5")</f>
        <v>https://www.amazon.com/Lubriderm-Daily-Moisture-Lotion-Fragrance-Free/dp/B002FTQJOK/ref=sr_1_5?keywords=Lubriderm+Daily+Moisture+Lotion+Fragrance-Free+16fl.+oz.&amp;qid=1695260464&amp;sr=8-5</v>
      </c>
      <c r="F3387" t="s">
        <v>8934</v>
      </c>
      <c r="G3387" t="e">
        <f ca="1">IMAGE("https://shop.sonapharmacy.com/cdn/shop/products/c43a46d5-079a-4f83-8692-82841be5ecf1_1.cb5934d69d03745938c7502fcc138ce3.jpg?v=1608321488")</f>
        <v>#NAME?</v>
      </c>
      <c r="H3387" t="e">
        <f ca="1">IMAGE("https://m.media-amazon.com/images/I/81SQCJDDVbL._AC_UL320_.jpg")</f>
        <v>#NAME?</v>
      </c>
      <c r="I3387" t="s">
        <v>8935</v>
      </c>
      <c r="J3387">
        <v>49.99</v>
      </c>
      <c r="K3387" s="2" t="s">
        <v>8936</v>
      </c>
      <c r="L3387">
        <v>5</v>
      </c>
      <c r="M3387">
        <v>10</v>
      </c>
      <c r="O3387" t="s">
        <v>26</v>
      </c>
      <c r="P3387" t="s">
        <v>39</v>
      </c>
      <c r="Q3387" t="s">
        <v>8937</v>
      </c>
    </row>
    <row r="3388" spans="1:17" ht="15.75" x14ac:dyDescent="0.25">
      <c r="A3388" s="3" t="str">
        <f>HYPERLINK("https://shop.sonapharmacy.com/products/huggies-natural-care-unscented-sensitive-baby-wipes-64ct", "https://shop.sonapharmacy.com/products/huggies-natural-care-unscented-sensitive-baby-wipes-64ct")</f>
        <v>https://shop.sonapharmacy.com/products/huggies-natural-care-unscented-sensitive-baby-wipes-64ct</v>
      </c>
      <c r="B3388" s="3" t="str">
        <f>HYPERLINK("https://shop.sonapharmacy.com/products/huggies-natural-care-unscented-sensitive-baby-wipes-64ct", "https://shop.sonapharmacy.com/products/huggies-natural-care-unscented-sensitive-baby-wipes-64ct")</f>
        <v>https://shop.sonapharmacy.com/products/huggies-natural-care-unscented-sensitive-baby-wipes-64ct</v>
      </c>
      <c r="C3388" t="s">
        <v>8180</v>
      </c>
      <c r="D3388" t="s">
        <v>8938</v>
      </c>
      <c r="E3388" s="3" t="str">
        <f>HYPERLINK("https://www.amazon.com/Nice-Clean-Hypoallergenic-Plastic-Free-Plant-Based/dp/B096W4ZGSR/ref=sr_1_6?keywords=Huggies+Natural+Care+Unscented+Sensitive+Baby+Wipes+56ct.&amp;qid=1695260373&amp;sr=8-6", "https://www.amazon.com/Nice-Clean-Hypoallergenic-Plastic-Free-Plant-Based/dp/B096W4ZGSR/ref=sr_1_6?keywords=Huggies+Natural+Care+Unscented+Sensitive+Baby+Wipes+56ct.&amp;qid=1695260373&amp;sr=8-6")</f>
        <v>https://www.amazon.com/Nice-Clean-Hypoallergenic-Plastic-Free-Plant-Based/dp/B096W4ZGSR/ref=sr_1_6?keywords=Huggies+Natural+Care+Unscented+Sensitive+Baby+Wipes+56ct.&amp;qid=1695260373&amp;sr=8-6</v>
      </c>
      <c r="F3388" t="s">
        <v>8939</v>
      </c>
      <c r="G3388" t="e">
        <f ca="1">IMAGE("https://shop.sonapharmacy.com/cdn/shop/products/HuggiesFront.png?v=1624633749")</f>
        <v>#NAME?</v>
      </c>
      <c r="H3388" t="e">
        <f ca="1">IMAGE("https://m.media-amazon.com/images/I/61+0-jS5y2L._AC_UL320_.jpg")</f>
        <v>#NAME?</v>
      </c>
      <c r="I3388" t="s">
        <v>8183</v>
      </c>
      <c r="J3388">
        <v>16.989999999999998</v>
      </c>
      <c r="K3388" s="2" t="s">
        <v>8940</v>
      </c>
      <c r="L3388">
        <v>4.5999999999999996</v>
      </c>
      <c r="M3388">
        <v>1661</v>
      </c>
      <c r="O3388" t="s">
        <v>26</v>
      </c>
      <c r="P3388" t="s">
        <v>39</v>
      </c>
      <c r="Q3388" t="s">
        <v>8185</v>
      </c>
    </row>
    <row r="3389" spans="1:17" ht="15.75" x14ac:dyDescent="0.25">
      <c r="A3389" s="3" t="str">
        <f>HYPERLINK("https://shop.sonapharmacy.com/products/huggies-natural-care-unscented-sensitive-baby-wipes-64ct", "https://shop.sonapharmacy.com/products/huggies-natural-care-unscented-sensitive-baby-wipes-64ct")</f>
        <v>https://shop.sonapharmacy.com/products/huggies-natural-care-unscented-sensitive-baby-wipes-64ct</v>
      </c>
      <c r="B3389" s="3" t="str">
        <f>HYPERLINK("https://shop.sonapharmacy.com/products/huggies-natural-care-unscented-sensitive-baby-wipes-64ct", "https://shop.sonapharmacy.com/products/huggies-natural-care-unscented-sensitive-baby-wipes-64ct")</f>
        <v>https://shop.sonapharmacy.com/products/huggies-natural-care-unscented-sensitive-baby-wipes-64ct</v>
      </c>
      <c r="C3389" t="s">
        <v>8180</v>
      </c>
      <c r="D3389" t="s">
        <v>8941</v>
      </c>
      <c r="E3389" s="3" t="str">
        <f>HYPERLINK("https://www.amazon.com/Huggies-Natural-Sensitive-Unscented-Hypoallergenic/dp/B08QR6V8WR/ref=sr_1_1?keywords=Huggies+Natural+Care+Unscented+Sensitive+Baby+Wipes+56ct.&amp;qid=1695260373&amp;sr=8-1", "https://www.amazon.com/Huggies-Natural-Sensitive-Unscented-Hypoallergenic/dp/B08QR6V8WR/ref=sr_1_1?keywords=Huggies+Natural+Care+Unscented+Sensitive+Baby+Wipes+56ct.&amp;qid=1695260373&amp;sr=8-1")</f>
        <v>https://www.amazon.com/Huggies-Natural-Sensitive-Unscented-Hypoallergenic/dp/B08QR6V8WR/ref=sr_1_1?keywords=Huggies+Natural+Care+Unscented+Sensitive+Baby+Wipes+56ct.&amp;qid=1695260373&amp;sr=8-1</v>
      </c>
      <c r="F3389" t="s">
        <v>8942</v>
      </c>
      <c r="G3389" t="e">
        <f ca="1">IMAGE("https://shop.sonapharmacy.com/cdn/shop/products/HuggiesFront.png?v=1624633749")</f>
        <v>#NAME?</v>
      </c>
      <c r="H3389" t="e">
        <f ca="1">IMAGE("https://m.media-amazon.com/images/I/81maHyWxsPL._AC_UL320_.jpg")</f>
        <v>#NAME?</v>
      </c>
      <c r="I3389" t="s">
        <v>8183</v>
      </c>
      <c r="J3389">
        <v>16.989999999999998</v>
      </c>
      <c r="K3389" s="2" t="s">
        <v>8940</v>
      </c>
      <c r="L3389">
        <v>4.8</v>
      </c>
      <c r="M3389">
        <v>14680</v>
      </c>
      <c r="O3389" t="s">
        <v>26</v>
      </c>
      <c r="P3389" t="s">
        <v>39</v>
      </c>
      <c r="Q3389" t="s">
        <v>8185</v>
      </c>
    </row>
    <row r="3390" spans="1:17" ht="15.75" x14ac:dyDescent="0.25">
      <c r="A3390" s="3" t="str">
        <f>HYPERLINK("https://shop.sonapharmacy.com/products/goodsense%C2%AE-slant-ez-grip-tweezers", "https://shop.sonapharmacy.com/products/goodsense%C2%AE-slant-ez-grip-tweezers")</f>
        <v>https://shop.sonapharmacy.com/products/goodsense%C2%AE-slant-ez-grip-tweezers</v>
      </c>
      <c r="B3390" s="3" t="str">
        <f>HYPERLINK("https://shop.sonapharmacy.com/products/goodsense%c2%ae-slant-ez-grip-tweezers", "https://shop.sonapharmacy.com/products/goodsense%c2%ae-slant-ez-grip-tweezers")</f>
        <v>https://shop.sonapharmacy.com/products/goodsense%c2%ae-slant-ez-grip-tweezers</v>
      </c>
      <c r="C3390" t="s">
        <v>8943</v>
      </c>
      <c r="D3390" t="s">
        <v>8944</v>
      </c>
      <c r="E3390" s="3" t="str">
        <f>HYPERLINK("https://www.amazon.com/Wide-Grip-Slant-Tweezers-Stainless/dp/B082RC55P2/ref=sr_1_1?keywords=GoodSense%C2%AE+Slant+EZ+Grip+Tweezers&amp;qid=1695260372&amp;sr=8-1", "https://www.amazon.com/Wide-Grip-Slant-Tweezers-Stainless/dp/B082RC55P2/ref=sr_1_1?keywords=GoodSense%C2%AE+Slant+EZ+Grip+Tweezers&amp;qid=1695260372&amp;sr=8-1")</f>
        <v>https://www.amazon.com/Wide-Grip-Slant-Tweezers-Stainless/dp/B082RC55P2/ref=sr_1_1?keywords=GoodSense%C2%AE+Slant+EZ+Grip+Tweezers&amp;qid=1695260372&amp;sr=8-1</v>
      </c>
      <c r="F3390" t="s">
        <v>8945</v>
      </c>
      <c r="G3390" t="e">
        <f ca="1">IMAGE("https://shop.sonapharmacy.com/cdn/shop/products/BL00373.jpg?v=1629229077")</f>
        <v>#NAME?</v>
      </c>
      <c r="H3390" t="e">
        <f ca="1">IMAGE("https://m.media-amazon.com/images/I/71IQR7x03AL._AC_UL320_.jpg")</f>
        <v>#NAME?</v>
      </c>
      <c r="I3390" t="s">
        <v>8946</v>
      </c>
      <c r="J3390">
        <v>12.99</v>
      </c>
      <c r="K3390" s="2" t="s">
        <v>8947</v>
      </c>
      <c r="L3390">
        <v>4.5</v>
      </c>
      <c r="M3390">
        <v>259</v>
      </c>
      <c r="O3390" t="s">
        <v>136</v>
      </c>
      <c r="P3390" t="s">
        <v>39</v>
      </c>
      <c r="Q3390" t="s">
        <v>8948</v>
      </c>
    </row>
    <row r="3391" spans="1:17" ht="15.75" x14ac:dyDescent="0.25">
      <c r="A3391" s="3" t="str">
        <f>HYPERLINK("https://shop.sonapharmacy.com/products/fruit-of-the-earth-aloe-vera-100-gel-6oz", "https://shop.sonapharmacy.com/products/fruit-of-the-earth-aloe-vera-100-gel-6oz")</f>
        <v>https://shop.sonapharmacy.com/products/fruit-of-the-earth-aloe-vera-100-gel-6oz</v>
      </c>
      <c r="B3391" s="3" t="str">
        <f>HYPERLINK("https://shop.sonapharmacy.com/products/fruit-of-the-earth-aloe-vera-100-gel-6oz", "https://shop.sonapharmacy.com/products/fruit-of-the-earth-aloe-vera-100-gel-6oz")</f>
        <v>https://shop.sonapharmacy.com/products/fruit-of-the-earth-aloe-vera-100-gel-6oz</v>
      </c>
      <c r="C3391" t="s">
        <v>8763</v>
      </c>
      <c r="D3391" t="s">
        <v>8949</v>
      </c>
      <c r="E3391" s="3" t="str">
        <f>HYPERLINK("https://www.amazon.com/Fruit-Earth-Aloe-Vera-Pack/dp/B01LMNOT00/ref=sr_1_7?keywords=Fruit+Of+The+Earth+Aloe+Vera+100%25+Gel+6oz.&amp;qid=1695260255&amp;sr=8-7", "https://www.amazon.com/Fruit-Earth-Aloe-Vera-Pack/dp/B01LMNOT00/ref=sr_1_7?keywords=Fruit+Of+The+Earth+Aloe+Vera+100%25+Gel+6oz.&amp;qid=1695260255&amp;sr=8-7")</f>
        <v>https://www.amazon.com/Fruit-Earth-Aloe-Vera-Pack/dp/B01LMNOT00/ref=sr_1_7?keywords=Fruit+Of+The+Earth+Aloe+Vera+100%25+Gel+6oz.&amp;qid=1695260255&amp;sr=8-7</v>
      </c>
      <c r="F3391" t="s">
        <v>8950</v>
      </c>
      <c r="G3391" t="e">
        <f ca="1">IMAGE("https://shop.sonapharmacy.com/cdn/shop/products/aloevera.jpg?v=1607965506")</f>
        <v>#NAME?</v>
      </c>
      <c r="H3391" t="e">
        <f ca="1">IMAGE("https://m.media-amazon.com/images/I/41AklKTzdYL._AC_UL320_.jpg")</f>
        <v>#NAME?</v>
      </c>
      <c r="I3391" t="s">
        <v>8766</v>
      </c>
      <c r="J3391">
        <v>25.48</v>
      </c>
      <c r="K3391" s="2" t="s">
        <v>8951</v>
      </c>
      <c r="L3391">
        <v>5</v>
      </c>
      <c r="M3391">
        <v>15</v>
      </c>
      <c r="O3391" t="s">
        <v>26</v>
      </c>
      <c r="P3391" t="s">
        <v>39</v>
      </c>
      <c r="Q3391" t="s">
        <v>8768</v>
      </c>
    </row>
    <row r="3392" spans="1:17" ht="15.75" x14ac:dyDescent="0.25">
      <c r="A3392" s="3" t="str">
        <f>HYPERLINK("https://shop.sonapharmacy.com/products/eucerin-original-healing-cream", "https://shop.sonapharmacy.com/products/eucerin-original-healing-cream")</f>
        <v>https://shop.sonapharmacy.com/products/eucerin-original-healing-cream</v>
      </c>
      <c r="B3392" s="3" t="str">
        <f>HYPERLINK("https://shop.sonapharmacy.com/products/eucerin-original-healing-cream", "https://shop.sonapharmacy.com/products/eucerin-original-healing-cream")</f>
        <v>https://shop.sonapharmacy.com/products/eucerin-original-healing-cream</v>
      </c>
      <c r="C3392" t="s">
        <v>8509</v>
      </c>
      <c r="D3392" t="s">
        <v>8952</v>
      </c>
      <c r="E3392" s="3" t="str">
        <f>HYPERLINK("https://www.amazon.com/Eucerin-Original-Healing-Cream-Fragrance/dp/B000052YN9/ref=sr_1_3?keywords=Eucerin%C2%AE+Original+Healing+Cream&amp;qid=1695260284&amp;sr=8-3", "https://www.amazon.com/Eucerin-Original-Healing-Cream-Fragrance/dp/B000052YN9/ref=sr_1_3?keywords=Eucerin%C2%AE+Original+Healing+Cream&amp;qid=1695260284&amp;sr=8-3")</f>
        <v>https://www.amazon.com/Eucerin-Original-Healing-Cream-Fragrance/dp/B000052YN9/ref=sr_1_3?keywords=Eucerin%C2%AE+Original+Healing+Cream&amp;qid=1695260284&amp;sr=8-3</v>
      </c>
      <c r="F3392" t="s">
        <v>8953</v>
      </c>
      <c r="G3392" t="e">
        <f ca="1">IMAGE("https://shop.sonapharmacy.com/cdn/shop/products/6ced8f35-f45a-47ae-b156-71b5cf847fd9_1.63e05e6213afc638ebedde5ac3205a8a.jpg?v=1608412596")</f>
        <v>#NAME?</v>
      </c>
      <c r="H3392" t="e">
        <f ca="1">IMAGE("https://m.media-amazon.com/images/I/71eFvr872qL._AC_UL320_.jpg")</f>
        <v>#NAME?</v>
      </c>
      <c r="I3392" t="s">
        <v>8512</v>
      </c>
      <c r="J3392">
        <v>30.29</v>
      </c>
      <c r="K3392" s="2" t="s">
        <v>8954</v>
      </c>
      <c r="L3392">
        <v>4.5999999999999996</v>
      </c>
      <c r="M3392">
        <v>754</v>
      </c>
      <c r="O3392" t="s">
        <v>26</v>
      </c>
      <c r="P3392" t="s">
        <v>39</v>
      </c>
      <c r="Q3392" t="s">
        <v>8514</v>
      </c>
    </row>
    <row r="3393" spans="1:17" ht="15.75" x14ac:dyDescent="0.25">
      <c r="A3393" s="3" t="str">
        <f>HYPERLINK("https://shop.sonapharmacy.com/products/apex%C2%AE-eye-ear-dropper", "https://shop.sonapharmacy.com/products/apex%C2%AE-eye-ear-dropper")</f>
        <v>https://shop.sonapharmacy.com/products/apex%C2%AE-eye-ear-dropper</v>
      </c>
      <c r="B3393" s="3" t="str">
        <f>HYPERLINK("https://shop.sonapharmacy.com/products/apex%c2%ae-eye-ear-dropper", "https://shop.sonapharmacy.com/products/apex%c2%ae-eye-ear-dropper")</f>
        <v>https://shop.sonapharmacy.com/products/apex%c2%ae-eye-ear-dropper</v>
      </c>
      <c r="C3393" t="s">
        <v>8955</v>
      </c>
      <c r="D3393" t="s">
        <v>8956</v>
      </c>
      <c r="E3393" s="3" t="str">
        <f>HYPERLINK("https://www.amazon.com/Pipettes-Dropper-droppers-Silicone-Droppers/dp/B0BXNTSL7H/ref=sr_1_5?keywords=Apex+Eye%2FEar+Dropper&amp;qid=1695260017&amp;sr=8-5", "https://www.amazon.com/Pipettes-Dropper-droppers-Silicone-Droppers/dp/B0BXNTSL7H/ref=sr_1_5?keywords=Apex+Eye%2FEar+Dropper&amp;qid=1695260017&amp;sr=8-5")</f>
        <v>https://www.amazon.com/Pipettes-Dropper-droppers-Silicone-Droppers/dp/B0BXNTSL7H/ref=sr_1_5?keywords=Apex+Eye%2FEar+Dropper&amp;qid=1695260017&amp;sr=8-5</v>
      </c>
      <c r="F3393" t="s">
        <v>8957</v>
      </c>
      <c r="G3393" t="e">
        <f ca="1">IMAGE("https://shop.sonapharmacy.com/cdn/shop/products/36171_Dropper_For_Eye_or_Ear_00508_Carex8642288722903710044_jpg.jpg?v=1609960124")</f>
        <v>#NAME?</v>
      </c>
      <c r="H3393" t="e">
        <f ca="1">IMAGE("https://m.media-amazon.com/images/I/61ZLPbXrG9L._AC_UY218_.jpg")</f>
        <v>#NAME?</v>
      </c>
      <c r="I3393" t="s">
        <v>8217</v>
      </c>
      <c r="J3393">
        <v>9.99</v>
      </c>
      <c r="K3393" s="2" t="s">
        <v>8958</v>
      </c>
      <c r="L3393">
        <v>4.7</v>
      </c>
      <c r="M3393">
        <v>7</v>
      </c>
      <c r="O3393" t="s">
        <v>26</v>
      </c>
      <c r="P3393" t="s">
        <v>39</v>
      </c>
      <c r="Q3393" t="s">
        <v>8959</v>
      </c>
    </row>
    <row r="3394" spans="1:17" ht="15.75" x14ac:dyDescent="0.25">
      <c r="A3394" s="3" t="str">
        <f>HYPERLINK("https://shop.sonapharmacy.com/products/buf-puf-double-sided-body-sponge", "https://shop.sonapharmacy.com/products/buf-puf-double-sided-body-sponge")</f>
        <v>https://shop.sonapharmacy.com/products/buf-puf-double-sided-body-sponge</v>
      </c>
      <c r="B3394" s="3" t="str">
        <f>HYPERLINK("https://shop.sonapharmacy.com/products/buf-puf-double-sided-body-sponge", "https://shop.sonapharmacy.com/products/buf-puf-double-sided-body-sponge")</f>
        <v>https://shop.sonapharmacy.com/products/buf-puf-double-sided-body-sponge</v>
      </c>
      <c r="C3394" t="s">
        <v>8960</v>
      </c>
      <c r="D3394" t="s">
        <v>8961</v>
      </c>
      <c r="E3394" s="3" t="str">
        <f>HYPERLINK("https://www.amazon.com/Double-Sided-Body-Sponge-Quantity/dp/B00620UWBY/ref=sr_1_6?keywords=Buf-Puf%C2%AE+Double+Sided+Body+Sponge&amp;qid=1695260116&amp;sr=8-6", "https://www.amazon.com/Double-Sided-Body-Sponge-Quantity/dp/B00620UWBY/ref=sr_1_6?keywords=Buf-Puf%C2%AE+Double+Sided+Body+Sponge&amp;qid=1695260116&amp;sr=8-6")</f>
        <v>https://www.amazon.com/Double-Sided-Body-Sponge-Quantity/dp/B00620UWBY/ref=sr_1_6?keywords=Buf-Puf%C2%AE+Double+Sided+Body+Sponge&amp;qid=1695260116&amp;sr=8-6</v>
      </c>
      <c r="F3394" t="s">
        <v>8962</v>
      </c>
      <c r="G3394" t="e">
        <f ca="1">IMAGE("https://shop.sonapharmacy.com/cdn/shop/products/81GmjrZ2b8L._SL1500.jpg?v=1608495033")</f>
        <v>#NAME?</v>
      </c>
      <c r="H3394" t="e">
        <f ca="1">IMAGE("https://m.media-amazon.com/images/I/61AHC3ZprSL._AC_UL320_.jpg")</f>
        <v>#NAME?</v>
      </c>
      <c r="I3394" t="s">
        <v>8963</v>
      </c>
      <c r="J3394">
        <v>31.56</v>
      </c>
      <c r="K3394" s="2" t="s">
        <v>8964</v>
      </c>
      <c r="L3394">
        <v>4.8</v>
      </c>
      <c r="M3394">
        <v>376</v>
      </c>
      <c r="O3394" t="s">
        <v>136</v>
      </c>
      <c r="P3394" t="s">
        <v>39</v>
      </c>
      <c r="Q3394" t="s">
        <v>8965</v>
      </c>
    </row>
    <row r="3395" spans="1:17" ht="15.75" x14ac:dyDescent="0.25">
      <c r="A3395" s="3" t="str">
        <f>HYPERLINK("https://shop.sonapharmacy.com/products/sunbum%C2%AE-cocobalm-lip-balm", "https://shop.sonapharmacy.com/products/sunbum%C2%AE-cocobalm-lip-balm")</f>
        <v>https://shop.sonapharmacy.com/products/sunbum%C2%AE-cocobalm-lip-balm</v>
      </c>
      <c r="B3395" s="3" t="str">
        <f>HYPERLINK("https://shop.sonapharmacy.com/products/sunbum%c2%ae-cocobalm-lip-balm", "https://shop.sonapharmacy.com/products/sunbum%c2%ae-cocobalm-lip-balm")</f>
        <v>https://shop.sonapharmacy.com/products/sunbum%c2%ae-cocobalm-lip-balm</v>
      </c>
      <c r="C3395" t="s">
        <v>8849</v>
      </c>
      <c r="D3395" t="s">
        <v>8966</v>
      </c>
      <c r="E3395" s="3" t="str">
        <f>HYPERLINK("https://www.amazon.com/Sun-Bum-CocoBalm-Hydrating-Hypoallergenic/dp/B07PK5HFDZ/ref=sr_1_4?keywords=Sun+Bum%C2%AE+CocoBalm+Lip+Balm&amp;qid=1695260753&amp;sr=8-4", "https://www.amazon.com/Sun-Bum-CocoBalm-Hydrating-Hypoallergenic/dp/B07PK5HFDZ/ref=sr_1_4?keywords=Sun+Bum%C2%AE+CocoBalm+Lip+Balm&amp;qid=1695260753&amp;sr=8-4")</f>
        <v>https://www.amazon.com/Sun-Bum-CocoBalm-Hydrating-Hypoallergenic/dp/B07PK5HFDZ/ref=sr_1_4?keywords=Sun+Bum%C2%AE+CocoBalm+Lip+Balm&amp;qid=1695260753&amp;sr=8-4</v>
      </c>
      <c r="F3395" t="s">
        <v>8967</v>
      </c>
      <c r="G3395" t="e">
        <f ca="1">IMAGE("https://shop.sonapharmacy.com/cdn/shop/products/61Ji1GGeIIL._SL1500.jpg?v=1611872841")</f>
        <v>#NAME?</v>
      </c>
      <c r="H3395" t="e">
        <f ca="1">IMAGE("https://m.media-amazon.com/images/I/51yPW0k0PML._AC_UL320_.jpg")</f>
        <v>#NAME?</v>
      </c>
      <c r="I3395" t="s">
        <v>8411</v>
      </c>
      <c r="J3395">
        <v>21</v>
      </c>
      <c r="K3395" s="2" t="s">
        <v>8968</v>
      </c>
      <c r="L3395">
        <v>4.5999999999999996</v>
      </c>
      <c r="M3395">
        <v>143</v>
      </c>
      <c r="O3395" t="s">
        <v>26</v>
      </c>
      <c r="P3395" t="s">
        <v>39</v>
      </c>
      <c r="Q3395" t="s">
        <v>8853</v>
      </c>
    </row>
    <row r="3396" spans="1:17" ht="15.75" x14ac:dyDescent="0.25">
      <c r="A3396" s="3" t="str">
        <f>HYPERLINK("https://shop.sonapharmacy.com/products/duracell%C2%AE-aaa-coppertop-alkaline-batteries", "https://shop.sonapharmacy.com/products/duracell%C2%AE-aaa-coppertop-alkaline-batteries")</f>
        <v>https://shop.sonapharmacy.com/products/duracell%C2%AE-aaa-coppertop-alkaline-batteries</v>
      </c>
      <c r="B3396" s="3" t="str">
        <f>HYPERLINK("https://shop.sonapharmacy.com/products/duracell%c2%ae-aaa-coppertop-alkaline-batteries", "https://shop.sonapharmacy.com/products/duracell%c2%ae-aaa-coppertop-alkaline-batteries")</f>
        <v>https://shop.sonapharmacy.com/products/duracell%c2%ae-aaa-coppertop-alkaline-batteries</v>
      </c>
      <c r="C3396" t="s">
        <v>8166</v>
      </c>
      <c r="D3396" t="s">
        <v>8969</v>
      </c>
      <c r="E3396" s="3" t="str">
        <f>HYPERLINK("https://www.amazon.com/Duracell-Coppertop-Batteries-Ingredients-Long-lasting/dp/B0B2KWJ252/ref=sr_1_3?keywords=Duracell%C2%AE+AAA+CopperTop+Alkaline+Batteries&amp;qid=1695260225&amp;sr=8-3", "https://www.amazon.com/Duracell-Coppertop-Batteries-Ingredients-Long-lasting/dp/B0B2KWJ252/ref=sr_1_3?keywords=Duracell%C2%AE+AAA+CopperTop+Alkaline+Batteries&amp;qid=1695260225&amp;sr=8-3")</f>
        <v>https://www.amazon.com/Duracell-Coppertop-Batteries-Ingredients-Long-lasting/dp/B0B2KWJ252/ref=sr_1_3?keywords=Duracell%C2%AE+AAA+CopperTop+Alkaline+Batteries&amp;qid=1695260225&amp;sr=8-3</v>
      </c>
      <c r="F3396" t="s">
        <v>8970</v>
      </c>
      <c r="G3396" t="e">
        <f ca="1">IMAGE("https://shop.sonapharmacy.com/cdn/shop/products/4711941b-a083-4277-8d8a-0a1bce8b082a_1.a291637149acb335ff96c25aae0e8bc1.png?v=1610335288")</f>
        <v>#NAME?</v>
      </c>
      <c r="H3396" t="e">
        <f ca="1">IMAGE("https://m.media-amazon.com/images/I/819uBW4VXmL._AC_UL320_.jpg")</f>
        <v>#NAME?</v>
      </c>
      <c r="I3396" t="s">
        <v>8169</v>
      </c>
      <c r="J3396">
        <v>39.99</v>
      </c>
      <c r="K3396" s="2" t="s">
        <v>8971</v>
      </c>
      <c r="L3396">
        <v>4.8</v>
      </c>
      <c r="M3396">
        <v>1100</v>
      </c>
      <c r="O3396" t="s">
        <v>26</v>
      </c>
      <c r="P3396" t="s">
        <v>39</v>
      </c>
      <c r="Q3396" t="s">
        <v>8171</v>
      </c>
    </row>
    <row r="3397" spans="1:17" ht="15.75" x14ac:dyDescent="0.25">
      <c r="A3397" s="3" t="str">
        <f>HYPERLINK("https://shop.sonapharmacy.com/products/old-spice%C2%AE-original-high-endurance-deodorant-3-0oz", "https://shop.sonapharmacy.com/products/old-spice%C2%AE-original-high-endurance-deodorant-3-0oz")</f>
        <v>https://shop.sonapharmacy.com/products/old-spice%C2%AE-original-high-endurance-deodorant-3-0oz</v>
      </c>
      <c r="B3397" s="3" t="str">
        <f>HYPERLINK("https://shop.sonapharmacy.com/products/old-spice%c2%ae-original-high-endurance-deodorant-3-0oz", "https://shop.sonapharmacy.com/products/old-spice%c2%ae-original-high-endurance-deodorant-3-0oz")</f>
        <v>https://shop.sonapharmacy.com/products/old-spice%c2%ae-original-high-endurance-deodorant-3-0oz</v>
      </c>
      <c r="C3397" t="s">
        <v>8203</v>
      </c>
      <c r="D3397" t="s">
        <v>8972</v>
      </c>
      <c r="E3397" s="3" t="str">
        <f>HYPERLINK("https://www.amazon.com/Old-Spice-Endurance-Anti-Perspirant-Deodorant/dp/B01IA98MFM/ref=sr_1_5?keywords=Old+Spice%C2%AE+Original+High+Endurance+Deodorant+3.0oz.&amp;qid=1695260609&amp;sr=8-5", "https://www.amazon.com/Old-Spice-Endurance-Anti-Perspirant-Deodorant/dp/B01IA98MFM/ref=sr_1_5?keywords=Old+Spice%C2%AE+Original+High+Endurance+Deodorant+3.0oz.&amp;qid=1695260609&amp;sr=8-5")</f>
        <v>https://www.amazon.com/Old-Spice-Endurance-Anti-Perspirant-Deodorant/dp/B01IA98MFM/ref=sr_1_5?keywords=Old+Spice%C2%AE+Original+High+Endurance+Deodorant+3.0oz.&amp;qid=1695260609&amp;sr=8-5</v>
      </c>
      <c r="F3397" t="s">
        <v>8973</v>
      </c>
      <c r="G3397" t="e">
        <f ca="1">IMAGE("https://shop.sonapharmacy.com/cdn/shop/products/81d6Zo1KWZL._SL1500.jpg?v=1609094009")</f>
        <v>#NAME?</v>
      </c>
      <c r="H3397" t="e">
        <f ca="1">IMAGE("https://m.media-amazon.com/images/I/61wdvn6szGL._AC_UL320_.jpg")</f>
        <v>#NAME?</v>
      </c>
      <c r="I3397" t="s">
        <v>8206</v>
      </c>
      <c r="J3397">
        <v>28.24</v>
      </c>
      <c r="K3397" s="2" t="s">
        <v>8974</v>
      </c>
      <c r="L3397">
        <v>4.5999999999999996</v>
      </c>
      <c r="M3397">
        <v>160</v>
      </c>
      <c r="O3397" t="s">
        <v>26</v>
      </c>
      <c r="P3397" t="s">
        <v>39</v>
      </c>
      <c r="Q3397" t="s">
        <v>8208</v>
      </c>
    </row>
    <row r="3398" spans="1:17" ht="15.75" x14ac:dyDescent="0.25">
      <c r="A3398" s="3" t="str">
        <f>HYPERLINK("https://shop.sonapharmacy.com/products/colgate%C2%AE-max-fresh%C2%AE-with-breath-strips-cool-mint-toothpaste-6oz", "https://shop.sonapharmacy.com/products/colgate%C2%AE-max-fresh%C2%AE-with-breath-strips-cool-mint-toothpaste-6oz")</f>
        <v>https://shop.sonapharmacy.com/products/colgate%C2%AE-max-fresh%C2%AE-with-breath-strips-cool-mint-toothpaste-6oz</v>
      </c>
      <c r="B3398" s="3" t="str">
        <f>HYPERLINK("https://shop.sonapharmacy.com/products/colgate%c2%ae-max-fresh%c2%ae-with-breath-strips-cool-mint-toothpaste-6oz", "https://shop.sonapharmacy.com/products/colgate%c2%ae-max-fresh%c2%ae-with-breath-strips-cool-mint-toothpaste-6oz")</f>
        <v>https://shop.sonapharmacy.com/products/colgate%c2%ae-max-fresh%c2%ae-with-breath-strips-cool-mint-toothpaste-6oz</v>
      </c>
      <c r="C3398" t="s">
        <v>8198</v>
      </c>
      <c r="D3398" t="s">
        <v>8975</v>
      </c>
      <c r="E3398" s="3" t="str">
        <f>HYPERLINK("https://www.amazon.com/Colgate-Liquid-Toothpaste-Breath-Strips/dp/B00J5J679K/ref=sr_1_2?keywords=Colgate%C2%AE+Max+Fresh%C2%AE+With+Breath+Strips+Cool+Mint+Toothpaste+6oz.&amp;qid=1695260143&amp;sr=8-2", "https://www.amazon.com/Colgate-Liquid-Toothpaste-Breath-Strips/dp/B00J5J679K/ref=sr_1_2?keywords=Colgate%C2%AE+Max+Fresh%C2%AE+With+Breath+Strips+Cool+Mint+Toothpaste+6oz.&amp;qid=1695260143&amp;sr=8-2")</f>
        <v>https://www.amazon.com/Colgate-Liquid-Toothpaste-Breath-Strips/dp/B00J5J679K/ref=sr_1_2?keywords=Colgate%C2%AE+Max+Fresh%C2%AE+With+Breath+Strips+Cool+Mint+Toothpaste+6oz.&amp;qid=1695260143&amp;sr=8-2</v>
      </c>
      <c r="F3398" t="s">
        <v>8976</v>
      </c>
      <c r="G3398" t="e">
        <f ca="1">IMAGE("https://shop.sonapharmacy.com/cdn/shop/products/360ae4ed-e444-4623-9fe6-180a0c669cfa_7.d343bb9d6244207be3ec4e9415ae2fe1.png?v=1608652602")</f>
        <v>#NAME?</v>
      </c>
      <c r="H3398" t="e">
        <f ca="1">IMAGE("https://m.media-amazon.com/images/I/51P3xon82ML._AC_UL320_.jpg")</f>
        <v>#NAME?</v>
      </c>
      <c r="I3398" t="s">
        <v>8102</v>
      </c>
      <c r="J3398">
        <v>25.98</v>
      </c>
      <c r="K3398" s="2" t="s">
        <v>8977</v>
      </c>
      <c r="L3398">
        <v>4.7</v>
      </c>
      <c r="M3398">
        <v>21</v>
      </c>
      <c r="O3398" t="s">
        <v>26</v>
      </c>
      <c r="P3398" t="s">
        <v>39</v>
      </c>
      <c r="Q3398" t="s">
        <v>8202</v>
      </c>
    </row>
    <row r="3399" spans="1:17" ht="15.75" x14ac:dyDescent="0.25">
      <c r="A3399" s="3" t="str">
        <f>HYPERLINK("https://shop.sonapharmacy.com/products/dr-scholls%C2%AE-moleskin-plus-soft-padding-roll", "https://shop.sonapharmacy.com/products/dr-scholls%C2%AE-moleskin-plus-soft-padding-roll")</f>
        <v>https://shop.sonapharmacy.com/products/dr-scholls%C2%AE-moleskin-plus-soft-padding-roll</v>
      </c>
      <c r="B3399" s="3" t="str">
        <f>HYPERLINK("https://shop.sonapharmacy.com/products/dr-scholls%c2%ae-moleskin-plus-soft-padding-roll", "https://shop.sonapharmacy.com/products/dr-scholls%c2%ae-moleskin-plus-soft-padding-roll")</f>
        <v>https://shop.sonapharmacy.com/products/dr-scholls%c2%ae-moleskin-plus-soft-padding-roll</v>
      </c>
      <c r="C3399" t="s">
        <v>8469</v>
      </c>
      <c r="D3399" t="s">
        <v>8470</v>
      </c>
      <c r="E3399" s="3" t="str">
        <f>HYPERLINK("https://www.amazon.com/Dr-Scholls-Moleskin-Plus-Padding/dp/B01IAI5BZW/ref=sr_1_5?keywords=Dr.+Scholl%27s%C2%AE+Moleskin+Plus+Soft+Padding+Roll&amp;qid=1695260191&amp;sr=8-5", "https://www.amazon.com/Dr-Scholls-Moleskin-Plus-Padding/dp/B01IAI5BZW/ref=sr_1_5?keywords=Dr.+Scholl%27s%C2%AE+Moleskin+Plus+Soft+Padding+Roll&amp;qid=1695260191&amp;sr=8-5")</f>
        <v>https://www.amazon.com/Dr-Scholls-Moleskin-Plus-Padding/dp/B01IAI5BZW/ref=sr_1_5?keywords=Dr.+Scholl%27s%C2%AE+Moleskin+Plus+Soft+Padding+Roll&amp;qid=1695260191&amp;sr=8-5</v>
      </c>
      <c r="F3399" t="s">
        <v>8978</v>
      </c>
      <c r="G3399" t="e">
        <f ca="1">IMAGE("https://shop.sonapharmacy.com/cdn/shop/products/81tP9KqA0SL._AC_SL1500.jpg?v=1610328732")</f>
        <v>#NAME?</v>
      </c>
      <c r="H3399" t="e">
        <f ca="1">IMAGE("https://m.media-amazon.com/images/I/71k0knW+T5L._AC_UL320_.jpg")</f>
        <v>#NAME?</v>
      </c>
      <c r="I3399" t="s">
        <v>8472</v>
      </c>
      <c r="J3399">
        <v>24.99</v>
      </c>
      <c r="K3399" s="2" t="s">
        <v>8979</v>
      </c>
      <c r="L3399">
        <v>5</v>
      </c>
      <c r="M3399">
        <v>3</v>
      </c>
      <c r="O3399" t="s">
        <v>26</v>
      </c>
      <c r="P3399" t="s">
        <v>39</v>
      </c>
      <c r="Q3399" t="s">
        <v>8474</v>
      </c>
    </row>
    <row r="3400" spans="1:17" ht="15.75" x14ac:dyDescent="0.25">
      <c r="A3400" s="3" t="str">
        <f>HYPERLINK("https://shop.sonapharmacy.com/products/rolaids%C2%AE-ultra-strength-antacid-fruit-chewable-tablets-72ct", "https://shop.sonapharmacy.com/products/rolaids%C2%AE-ultra-strength-antacid-fruit-chewable-tablets-72ct")</f>
        <v>https://shop.sonapharmacy.com/products/rolaids%C2%AE-ultra-strength-antacid-fruit-chewable-tablets-72ct</v>
      </c>
      <c r="B3400" s="3" t="str">
        <f>HYPERLINK("https://shop.sonapharmacy.com/products/rolaids%c2%ae-ultra-strength-antacid-fruit-chewable-tablets-72ct", "https://shop.sonapharmacy.com/products/rolaids%c2%ae-ultra-strength-antacid-fruit-chewable-tablets-72ct")</f>
        <v>https://shop.sonapharmacy.com/products/rolaids%c2%ae-ultra-strength-antacid-fruit-chewable-tablets-72ct</v>
      </c>
      <c r="C3400" t="s">
        <v>8980</v>
      </c>
      <c r="D3400" t="s">
        <v>8981</v>
      </c>
      <c r="E3400" s="3"/>
      <c r="F3400" t="s">
        <v>8982</v>
      </c>
      <c r="G3400" t="e">
        <f ca="1">IMAGE("https://shop.sonapharmacy.com/cdn/shop/products/69b77a05-4b4d-4b4c-ba14-78edb3d793ad.d4991a55857af9c4d097b18ccba909ec.jpg?v=1610906524")</f>
        <v>#NAME?</v>
      </c>
      <c r="H3400" t="e">
        <f ca="1">IMAGE("https://m.media-amazon.com/images/I/81wNBMIICIL._AC_UL320_.jpg")</f>
        <v>#NAME?</v>
      </c>
      <c r="I3400" t="s">
        <v>8983</v>
      </c>
      <c r="J3400">
        <v>28.99</v>
      </c>
      <c r="K3400" s="2" t="s">
        <v>8984</v>
      </c>
      <c r="L3400">
        <v>4.7</v>
      </c>
      <c r="M3400">
        <v>1061</v>
      </c>
      <c r="O3400" t="s">
        <v>26</v>
      </c>
      <c r="P3400" t="s">
        <v>39</v>
      </c>
      <c r="Q3400" t="s">
        <v>8985</v>
      </c>
    </row>
    <row r="3401" spans="1:17" ht="15.75" x14ac:dyDescent="0.25">
      <c r="A3401" s="3" t="str">
        <f>HYPERLINK("https://shop.sonapharmacy.com/products/ayr-saline-nasal-gel-no-drip-sinus-spray", "https://shop.sonapharmacy.com/products/ayr-saline-nasal-gel-no-drip-sinus-spray")</f>
        <v>https://shop.sonapharmacy.com/products/ayr-saline-nasal-gel-no-drip-sinus-spray</v>
      </c>
      <c r="B3401" s="3" t="str">
        <f>HYPERLINK("https://shop.sonapharmacy.com/products/ayr-saline-nasal-gel-no-drip-sinus-spray", "https://shop.sonapharmacy.com/products/ayr-saline-nasal-gel-no-drip-sinus-spray")</f>
        <v>https://shop.sonapharmacy.com/products/ayr-saline-nasal-gel-no-drip-sinus-spray</v>
      </c>
      <c r="C3401" t="s">
        <v>8709</v>
      </c>
      <c r="D3401" t="s">
        <v>8986</v>
      </c>
      <c r="E3401" s="3" t="str">
        <f>HYPERLINK("https://www.amazon.com/Ayr-Saline-Drip-Sinus-Nasal/dp/B01IAI5ZPI/ref=sr_1_5?keywords=Ayr%C2%AE+Saline+Nasal+Gel+No-Drip+Sinus+Spray+0.75oz.&amp;qid=1695260047&amp;sr=8-5", "https://www.amazon.com/Ayr-Saline-Drip-Sinus-Nasal/dp/B01IAI5ZPI/ref=sr_1_5?keywords=Ayr%C2%AE+Saline+Nasal+Gel+No-Drip+Sinus+Spray+0.75oz.&amp;qid=1695260047&amp;sr=8-5")</f>
        <v>https://www.amazon.com/Ayr-Saline-Drip-Sinus-Nasal/dp/B01IAI5ZPI/ref=sr_1_5?keywords=Ayr%C2%AE+Saline+Nasal+Gel+No-Drip+Sinus+Spray+0.75oz.&amp;qid=1695260047&amp;sr=8-5</v>
      </c>
      <c r="F3401" t="s">
        <v>8987</v>
      </c>
      <c r="G3401" t="e">
        <f ca="1">IMAGE("https://shop.sonapharmacy.com/cdn/shop/products/s-l400_2.jpg?v=1610026827")</f>
        <v>#NAME?</v>
      </c>
      <c r="H3401" t="e">
        <f ca="1">IMAGE("https://m.media-amazon.com/images/I/71PRRwK4WdL._AC_UL320_.jpg")</f>
        <v>#NAME?</v>
      </c>
      <c r="I3401" t="s">
        <v>8712</v>
      </c>
      <c r="J3401">
        <v>68.599999999999994</v>
      </c>
      <c r="K3401" s="2" t="s">
        <v>8988</v>
      </c>
      <c r="L3401">
        <v>5</v>
      </c>
      <c r="M3401">
        <v>2</v>
      </c>
      <c r="O3401" t="s">
        <v>26</v>
      </c>
      <c r="P3401" t="s">
        <v>39</v>
      </c>
      <c r="Q3401" t="s">
        <v>8714</v>
      </c>
    </row>
    <row r="3402" spans="1:17" ht="15.75" x14ac:dyDescent="0.25">
      <c r="A3402" s="3" t="str">
        <f>HYPERLINK("https://shop.sonapharmacy.com/products/dawn%C2%AE-ultra-platinum-dishwashing-liquid-16-2fl-oz", "https://shop.sonapharmacy.com/products/dawn%C2%AE-ultra-platinum-dishwashing-liquid-16-2fl-oz")</f>
        <v>https://shop.sonapharmacy.com/products/dawn%C2%AE-ultra-platinum-dishwashing-liquid-16-2fl-oz</v>
      </c>
      <c r="B3402" s="3" t="str">
        <f>HYPERLINK("https://shop.sonapharmacy.com/products/dawn%c2%ae-ultra-platinum-dishwashing-liquid-16-2fl-oz", "https://shop.sonapharmacy.com/products/dawn%c2%ae-ultra-platinum-dishwashing-liquid-16-2fl-oz")</f>
        <v>https://shop.sonapharmacy.com/products/dawn%c2%ae-ultra-platinum-dishwashing-liquid-16-2fl-oz</v>
      </c>
      <c r="C3402" t="s">
        <v>8989</v>
      </c>
      <c r="D3402" t="s">
        <v>8990</v>
      </c>
      <c r="E3402" s="3" t="str">
        <f>HYPERLINK("https://www.amazon.com/Dawn-Liquid-Dishwashing-Platinum-Advanced/dp/B07DKVMM8W/ref=sr_1_4?keywords=Dawn%C2%AE+Ultra+Platinum+Dishwashing+Liquid+16.2fl.+oz.&amp;qid=1695260193&amp;sr=8-4", "https://www.amazon.com/Dawn-Liquid-Dishwashing-Platinum-Advanced/dp/B07DKVMM8W/ref=sr_1_4?keywords=Dawn%C2%AE+Ultra+Platinum+Dishwashing+Liquid+16.2fl.+oz.&amp;qid=1695260193&amp;sr=8-4")</f>
        <v>https://www.amazon.com/Dawn-Liquid-Dishwashing-Platinum-Advanced/dp/B07DKVMM8W/ref=sr_1_4?keywords=Dawn%C2%AE+Ultra+Platinum+Dishwashing+Liquid+16.2fl.+oz.&amp;qid=1695260193&amp;sr=8-4</v>
      </c>
      <c r="F3402" t="s">
        <v>8991</v>
      </c>
      <c r="G3402" t="e">
        <f ca="1">IMAGE("https://shop.sonapharmacy.com/cdn/shop/products/81s8mm_yjPL._SL1500.jpg?v=1610759559")</f>
        <v>#NAME?</v>
      </c>
      <c r="H3402" t="e">
        <f ca="1">IMAGE("https://m.media-amazon.com/images/I/71HwpwNzeKL._AC_UL320_.jpg")</f>
        <v>#NAME?</v>
      </c>
      <c r="I3402" t="s">
        <v>8992</v>
      </c>
      <c r="J3402">
        <v>21.39</v>
      </c>
      <c r="K3402" s="2" t="s">
        <v>8993</v>
      </c>
      <c r="L3402">
        <v>4.8</v>
      </c>
      <c r="M3402">
        <v>5742</v>
      </c>
      <c r="O3402" t="s">
        <v>26</v>
      </c>
      <c r="P3402" t="s">
        <v>39</v>
      </c>
      <c r="Q3402" t="s">
        <v>8994</v>
      </c>
    </row>
    <row r="3403" spans="1:17" ht="15.75" x14ac:dyDescent="0.25">
      <c r="A3403" s="3" t="str">
        <f>HYPERLINK("https://shop.sonapharmacy.com/products/dove%C2%AE-cucumber-and-green-tea-soap-2pck", "https://shop.sonapharmacy.com/products/dove%C2%AE-cucumber-and-green-tea-soap-2pck")</f>
        <v>https://shop.sonapharmacy.com/products/dove%C2%AE-cucumber-and-green-tea-soap-2pck</v>
      </c>
      <c r="B3403" s="3" t="str">
        <f>HYPERLINK("https://shop.sonapharmacy.com/products/dove%c2%ae-cucumber-and-green-tea-soap-2pck", "https://shop.sonapharmacy.com/products/dove%c2%ae-cucumber-and-green-tea-soap-2pck")</f>
        <v>https://shop.sonapharmacy.com/products/dove%c2%ae-cucumber-and-green-tea-soap-2pck</v>
      </c>
      <c r="C3403" t="s">
        <v>8995</v>
      </c>
      <c r="D3403" t="s">
        <v>8996</v>
      </c>
      <c r="E3403" s="3" t="str">
        <f>HYPERLINK("https://www.amazon.com/DOVE-BAR-Cleanser-Smoother-Moisturizing/dp/B085CM3JK2/ref=sr_1_1?keywords=Dove%C2%AE+Cucumber+and+Green+Tea+Soap+2pck.&amp;qid=1695260197&amp;sr=8-1", "https://www.amazon.com/DOVE-BAR-Cleanser-Smoother-Moisturizing/dp/B085CM3JK2/ref=sr_1_1?keywords=Dove%C2%AE+Cucumber+and+Green+Tea+Soap+2pck.&amp;qid=1695260197&amp;sr=8-1")</f>
        <v>https://www.amazon.com/DOVE-BAR-Cleanser-Smoother-Moisturizing/dp/B085CM3JK2/ref=sr_1_1?keywords=Dove%C2%AE+Cucumber+and+Green+Tea+Soap+2pck.&amp;qid=1695260197&amp;sr=8-1</v>
      </c>
      <c r="F3403" t="s">
        <v>8997</v>
      </c>
      <c r="G3403" t="e">
        <f ca="1">IMAGE("https://shop.sonapharmacy.com/cdn/shop/products/71Zl1fG85wL._SL1500.jpg?v=1639931743")</f>
        <v>#NAME?</v>
      </c>
      <c r="H3403" t="e">
        <f ca="1">IMAGE("https://m.media-amazon.com/images/I/71fv6DKA+CL._AC_UL320_.jpg")</f>
        <v>#NAME?</v>
      </c>
      <c r="I3403" t="s">
        <v>8998</v>
      </c>
      <c r="J3403">
        <v>29.37</v>
      </c>
      <c r="K3403" s="2" t="s">
        <v>8999</v>
      </c>
      <c r="L3403">
        <v>4.8</v>
      </c>
      <c r="M3403">
        <v>1577</v>
      </c>
      <c r="O3403" t="s">
        <v>136</v>
      </c>
      <c r="P3403" t="s">
        <v>39</v>
      </c>
      <c r="Q3403" t="s">
        <v>9000</v>
      </c>
    </row>
    <row r="3404" spans="1:17" ht="15.75" x14ac:dyDescent="0.25">
      <c r="A3404" s="3" t="str">
        <f>HYPERLINK("https://shop.sonapharmacy.com/products/curad%C2%AE-flex-fabric-finger-knuckle-bandages-20ct", "https://shop.sonapharmacy.com/products/curad%C2%AE-flex-fabric-finger-knuckle-bandages-20ct")</f>
        <v>https://shop.sonapharmacy.com/products/curad%C2%AE-flex-fabric-finger-knuckle-bandages-20ct</v>
      </c>
      <c r="B3404" s="3" t="str">
        <f>HYPERLINK("https://shop.sonapharmacy.com/products/curad%c2%ae-flex-fabric-finger-knuckle-bandages-20ct", "https://shop.sonapharmacy.com/products/curad%c2%ae-flex-fabric-finger-knuckle-bandages-20ct")</f>
        <v>https://shop.sonapharmacy.com/products/curad%c2%ae-flex-fabric-finger-knuckle-bandages-20ct</v>
      </c>
      <c r="C3404" t="s">
        <v>9001</v>
      </c>
      <c r="D3404" t="s">
        <v>9002</v>
      </c>
      <c r="E3404" s="3" t="str">
        <f>HYPERLINK("https://www.amazon.com/Handyman-Band-Aid-Knuckle-Fingertip-Bandages/dp/B00CCPEEKI/ref=sr_1_7?keywords=Curad%C2%AE+Flex-Fabric+Finger+%26+Knuckle+Bandages+20ct.&amp;qid=1695260173&amp;sr=8-7", "https://www.amazon.com/Handyman-Band-Aid-Knuckle-Fingertip-Bandages/dp/B00CCPEEKI/ref=sr_1_7?keywords=Curad%C2%AE+Flex-Fabric+Finger+%26+Knuckle+Bandages+20ct.&amp;qid=1695260173&amp;sr=8-7")</f>
        <v>https://www.amazon.com/Handyman-Band-Aid-Knuckle-Fingertip-Bandages/dp/B00CCPEEKI/ref=sr_1_7?keywords=Curad%C2%AE+Flex-Fabric+Finger+%26+Knuckle+Bandages+20ct.&amp;qid=1695260173&amp;sr=8-7</v>
      </c>
      <c r="F3404" t="s">
        <v>9003</v>
      </c>
      <c r="G3404" t="e">
        <f ca="1">IMAGE("https://shop.sonapharmacy.com/cdn/shop/products/9fdbe4b6-da9d-45fa-bf45-d176ea65d0fe_1.0d8092bbaf62c7aacf5c742772f85ec5.jpg?v=1613747357")</f>
        <v>#NAME?</v>
      </c>
      <c r="H3404" t="e">
        <f ca="1">IMAGE("https://m.media-amazon.com/images/I/81bSMQu3C2L._AC_UL320_.jpg")</f>
        <v>#NAME?</v>
      </c>
      <c r="I3404" t="s">
        <v>8217</v>
      </c>
      <c r="J3404">
        <v>9.68</v>
      </c>
      <c r="K3404" s="2" t="s">
        <v>9004</v>
      </c>
      <c r="L3404">
        <v>4.8</v>
      </c>
      <c r="M3404">
        <v>2989</v>
      </c>
      <c r="O3404" t="s">
        <v>26</v>
      </c>
      <c r="P3404" t="s">
        <v>39</v>
      </c>
      <c r="Q3404" t="s">
        <v>9005</v>
      </c>
    </row>
    <row r="3405" spans="1:17" ht="15.75" x14ac:dyDescent="0.25">
      <c r="A3405" s="3" t="str">
        <f>HYPERLINK("https://shop.sonapharmacy.com/products/slow-fe%C2%AE-slow-release-iron-supplement-30-tablets", "https://shop.sonapharmacy.com/products/slow-fe%C2%AE-slow-release-iron-supplement-30-tablets")</f>
        <v>https://shop.sonapharmacy.com/products/slow-fe%C2%AE-slow-release-iron-supplement-30-tablets</v>
      </c>
      <c r="B3405" s="3" t="str">
        <f>HYPERLINK("https://shop.sonapharmacy.com/products/slow-fe%c2%ae-slow-release-iron-supplement-30-tablets", "https://shop.sonapharmacy.com/products/slow-fe%c2%ae-slow-release-iron-supplement-30-tablets")</f>
        <v>https://shop.sonapharmacy.com/products/slow-fe%c2%ae-slow-release-iron-supplement-30-tablets</v>
      </c>
      <c r="C3405" t="s">
        <v>9006</v>
      </c>
      <c r="D3405" t="s">
        <v>9007</v>
      </c>
      <c r="E3405" s="3" t="str">
        <f>HYPERLINK("https://www.amazon.com/Slow-Fe-Release-Iron-Tablets/dp/B01IAIQXUY/ref=sr_1_2?keywords=Slow+Fe%C2%AE+Slow+Release+Iron+Supplement+30+Tablets&amp;qid=1695260722&amp;sr=8-2", "https://www.amazon.com/Slow-Fe-Release-Iron-Tablets/dp/B01IAIQXUY/ref=sr_1_2?keywords=Slow+Fe%C2%AE+Slow+Release+Iron+Supplement+30+Tablets&amp;qid=1695260722&amp;sr=8-2")</f>
        <v>https://www.amazon.com/Slow-Fe-Release-Iron-Tablets/dp/B01IAIQXUY/ref=sr_1_2?keywords=Slow+Fe%C2%AE+Slow+Release+Iron+Supplement+30+Tablets&amp;qid=1695260722&amp;sr=8-2</v>
      </c>
      <c r="F3405" t="s">
        <v>9008</v>
      </c>
      <c r="G3405" t="e">
        <f ca="1">IMAGE("https://shop.sonapharmacy.com/cdn/shop/products/large_2369b63c-764b-4743-88e5-a412e342b294.jpg?v=1589921168")</f>
        <v>#NAME?</v>
      </c>
      <c r="H3405" t="e">
        <f ca="1">IMAGE("https://m.media-amazon.com/images/I/71o6l5P7+IL._AC_UL320_.jpg")</f>
        <v>#NAME?</v>
      </c>
      <c r="I3405" t="s">
        <v>9009</v>
      </c>
      <c r="J3405">
        <v>62.07</v>
      </c>
      <c r="K3405" s="2" t="s">
        <v>9010</v>
      </c>
      <c r="L3405">
        <v>4.7</v>
      </c>
      <c r="M3405">
        <v>56</v>
      </c>
      <c r="O3405" t="s">
        <v>26</v>
      </c>
      <c r="P3405" t="s">
        <v>39</v>
      </c>
      <c r="Q3405" t="s">
        <v>9011</v>
      </c>
    </row>
    <row r="3406" spans="1:17" ht="15.75" x14ac:dyDescent="0.25">
      <c r="A3406" s="3" t="str">
        <f>HYPERLINK("https://shop.sonapharmacy.com/products/band-aid-cushion-care-gauze-pads", "https://shop.sonapharmacy.com/products/band-aid-cushion-care-gauze-pads")</f>
        <v>https://shop.sonapharmacy.com/products/band-aid-cushion-care-gauze-pads</v>
      </c>
      <c r="B3406" s="3" t="str">
        <f>HYPERLINK("https://shop.sonapharmacy.com/products/band-aid-cushion-care-gauze-pads", "https://shop.sonapharmacy.com/products/band-aid-cushion-care-gauze-pads")</f>
        <v>https://shop.sonapharmacy.com/products/band-aid-cushion-care-gauze-pads</v>
      </c>
      <c r="C3406" t="s">
        <v>9012</v>
      </c>
      <c r="D3406" t="s">
        <v>9013</v>
      </c>
      <c r="E3406" s="3" t="str">
        <f>HYPERLINK("https://www.amazon.com/BAND-AID%C2%AE-Brand-CUSHION-CARETM-Gauze-count/dp/B07BNLVSZN/ref=sr_1_10?keywords=BAND-AID%C2%AE+Cushion-Care+Gauze+Pads&amp;qid=1695260110&amp;sr=8-10", "https://www.amazon.com/BAND-AID%C2%AE-Brand-CUSHION-CARETM-Gauze-count/dp/B07BNLVSZN/ref=sr_1_10?keywords=BAND-AID%C2%AE+Cushion-Care+Gauze+Pads&amp;qid=1695260110&amp;sr=8-10")</f>
        <v>https://www.amazon.com/BAND-AID%C2%AE-Brand-CUSHION-CARETM-Gauze-count/dp/B07BNLVSZN/ref=sr_1_10?keywords=BAND-AID%C2%AE+Cushion-Care+Gauze+Pads&amp;qid=1695260110&amp;sr=8-10</v>
      </c>
      <c r="F3406" t="s">
        <v>9014</v>
      </c>
      <c r="G3406" t="e">
        <f ca="1">IMAGE("https://shop.sonapharmacy.com/cdn/shop/products/band_aid_us_pho_pac_18_1_2727067.jpg?v=1607288415")</f>
        <v>#NAME?</v>
      </c>
      <c r="H3406" t="e">
        <f ca="1">IMAGE("https://m.media-amazon.com/images/I/8170s2LIROL._AC_UY218_.jpg")</f>
        <v>#NAME?</v>
      </c>
      <c r="I3406" t="s">
        <v>9015</v>
      </c>
      <c r="J3406">
        <v>24.77</v>
      </c>
      <c r="K3406" s="2" t="s">
        <v>9016</v>
      </c>
      <c r="L3406">
        <v>4.5999999999999996</v>
      </c>
      <c r="M3406">
        <v>44</v>
      </c>
      <c r="O3406" t="s">
        <v>26</v>
      </c>
      <c r="P3406" t="s">
        <v>39</v>
      </c>
      <c r="Q3406" t="s">
        <v>9017</v>
      </c>
    </row>
    <row r="3407" spans="1:17" ht="15.75" x14ac:dyDescent="0.25">
      <c r="A3407"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B3407"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C3407" t="s">
        <v>9018</v>
      </c>
      <c r="D3407" t="s">
        <v>9019</v>
      </c>
      <c r="E3407" s="3" t="str">
        <f>HYPERLINK("https://www.amazon.com/Degree-Protection-Antiperspirant-Deodorant-Shower/dp/B0002FC132/ref=sr_1_10?keywords=Degree%C2%AE+Shower+Clean+Dry+Protection+Antiperspirant+Deodorant+Stick&amp;qid=1695260181&amp;sr=8-10", "https://www.amazon.com/Degree-Protection-Antiperspirant-Deodorant-Shower/dp/B0002FC132/ref=sr_1_10?keywords=Degree%C2%AE+Shower+Clean+Dry+Protection+Antiperspirant+Deodorant+Stick&amp;qid=1695260181&amp;sr=8-10")</f>
        <v>https://www.amazon.com/Degree-Protection-Antiperspirant-Deodorant-Shower/dp/B0002FC132/ref=sr_1_10?keywords=Degree%C2%AE+Shower+Clean+Dry+Protection+Antiperspirant+Deodorant+Stick&amp;qid=1695260181&amp;sr=8-10</v>
      </c>
      <c r="F3407" t="s">
        <v>9020</v>
      </c>
      <c r="G3407" t="e">
        <f ca="1">IMAGE("https://shop.sonapharmacy.com/cdn/shop/products/DegreeShowerFront.png?v=1607052182")</f>
        <v>#NAME?</v>
      </c>
      <c r="H3407" t="e">
        <f ca="1">IMAGE("https://m.media-amazon.com/images/I/81R+9FeovDL._AC_UL320_.jpg")</f>
        <v>#NAME?</v>
      </c>
      <c r="I3407" t="s">
        <v>8264</v>
      </c>
      <c r="J3407">
        <v>24.95</v>
      </c>
      <c r="K3407" s="2" t="s">
        <v>9021</v>
      </c>
      <c r="L3407">
        <v>5</v>
      </c>
      <c r="M3407">
        <v>1</v>
      </c>
      <c r="O3407" t="s">
        <v>26</v>
      </c>
      <c r="P3407" t="s">
        <v>39</v>
      </c>
      <c r="Q3407" t="s">
        <v>9022</v>
      </c>
    </row>
    <row r="3408" spans="1:17" ht="15.75" x14ac:dyDescent="0.25">
      <c r="A3408" s="3" t="str">
        <f>HYPERLINK("https://shop.sonapharmacy.com/products/duracell%C2%AE-aa-coppertop-alkaline-batteries", "https://shop.sonapharmacy.com/products/duracell%C2%AE-aa-coppertop-alkaline-batteries")</f>
        <v>https://shop.sonapharmacy.com/products/duracell%C2%AE-aa-coppertop-alkaline-batteries</v>
      </c>
      <c r="B3408" s="3" t="str">
        <f>HYPERLINK("https://shop.sonapharmacy.com/products/duracell%c2%ae-aa-coppertop-alkaline-batteries", "https://shop.sonapharmacy.com/products/duracell%c2%ae-aa-coppertop-alkaline-batteries")</f>
        <v>https://shop.sonapharmacy.com/products/duracell%c2%ae-aa-coppertop-alkaline-batteries</v>
      </c>
      <c r="C3408" t="s">
        <v>9023</v>
      </c>
      <c r="D3408" t="s">
        <v>9024</v>
      </c>
      <c r="E3408" s="3" t="str">
        <f>HYPERLINK("https://www.amazon.com/Duracell-Coppertop-Alkaline-Batteries-AA/dp/B00E8SG4F0/ref=sr_1_3?keywords=Duracell%C2%AE+AA+CopperTop+Alkaline+Batteries&amp;qid=1695260202&amp;sr=8-3", "https://www.amazon.com/Duracell-Coppertop-Alkaline-Batteries-AA/dp/B00E8SG4F0/ref=sr_1_3?keywords=Duracell%C2%AE+AA+CopperTop+Alkaline+Batteries&amp;qid=1695260202&amp;sr=8-3")</f>
        <v>https://www.amazon.com/Duracell-Coppertop-Alkaline-Batteries-AA/dp/B00E8SG4F0/ref=sr_1_3?keywords=Duracell%C2%AE+AA+CopperTop+Alkaline+Batteries&amp;qid=1695260202&amp;sr=8-3</v>
      </c>
      <c r="F3408" t="s">
        <v>9025</v>
      </c>
      <c r="G3408" t="e">
        <f ca="1">IMAGE("https://shop.sonapharmacy.com/cdn/shop/products/b3e62c3a-da6e-4a57-a7e4-c37556c20cce_1.d37a55fc5e4e20c625490346499e718f.png?v=1610335054")</f>
        <v>#NAME?</v>
      </c>
      <c r="H3408" t="e">
        <f ca="1">IMAGE("https://m.media-amazon.com/images/I/71KorK5Jt+L._AC_UL320_.jpg")</f>
        <v>#NAME?</v>
      </c>
      <c r="I3408" t="s">
        <v>8169</v>
      </c>
      <c r="J3408">
        <v>38.479999999999997</v>
      </c>
      <c r="K3408" s="2" t="s">
        <v>9026</v>
      </c>
      <c r="L3408">
        <v>4.7</v>
      </c>
      <c r="M3408">
        <v>3436</v>
      </c>
      <c r="O3408" t="s">
        <v>26</v>
      </c>
      <c r="P3408" t="s">
        <v>39</v>
      </c>
      <c r="Q3408" t="s">
        <v>9027</v>
      </c>
    </row>
    <row r="3409" spans="1:17" ht="15.75" x14ac:dyDescent="0.25">
      <c r="A3409" s="3" t="str">
        <f>HYPERLINK("https://shop.sonapharmacy.com/products/attends%C2%AE-underwear-extra-absorbency-x-large-14ct", "https://shop.sonapharmacy.com/products/attends%C2%AE-underwear-extra-absorbency-x-large-14ct")</f>
        <v>https://shop.sonapharmacy.com/products/attends%C2%AE-underwear-extra-absorbency-x-large-14ct</v>
      </c>
      <c r="B3409" s="3" t="str">
        <f>HYPERLINK("https://shop.sonapharmacy.com/products/attends%c2%ae-underwear-extra-absorbency-x-large-14ct", "https://shop.sonapharmacy.com/products/attends%c2%ae-underwear-extra-absorbency-x-large-14ct")</f>
        <v>https://shop.sonapharmacy.com/products/attends%c2%ae-underwear-extra-absorbency-x-large-14ct</v>
      </c>
      <c r="C3409" t="s">
        <v>9028</v>
      </c>
      <c r="D3409" t="s">
        <v>9029</v>
      </c>
      <c r="E3409" s="3" t="str">
        <f>HYPERLINK("https://www.amazon.com/Attends-Discreet-Underwear-Male-Count/dp/B07ZTRW7FT/ref=sr_1_4?keywords=Attends+Underwear+Extra+Absorbency+X-Large+14ct.&amp;qid=1695260061&amp;sr=8-4", "https://www.amazon.com/Attends-Discreet-Underwear-Male-Count/dp/B07ZTRW7FT/ref=sr_1_4?keywords=Attends+Underwear+Extra+Absorbency+X-Large+14ct.&amp;qid=1695260061&amp;sr=8-4")</f>
        <v>https://www.amazon.com/Attends-Discreet-Underwear-Male-Count/dp/B07ZTRW7FT/ref=sr_1_4?keywords=Attends+Underwear+Extra+Absorbency+X-Large+14ct.&amp;qid=1695260061&amp;sr=8-4</v>
      </c>
      <c r="F3409" t="s">
        <v>9030</v>
      </c>
      <c r="G3409" t="e">
        <f ca="1">IMAGE("https://shop.sonapharmacy.com/cdn/shop/products/917ssoU70XL._AC_SL1500.jpg?v=1611077702")</f>
        <v>#NAME?</v>
      </c>
      <c r="H3409" t="e">
        <f ca="1">IMAGE("https://m.media-amazon.com/images/I/61YEFtYqeGL._AC_UL320_.jpg")</f>
        <v>#NAME?</v>
      </c>
      <c r="I3409" t="s">
        <v>9031</v>
      </c>
      <c r="J3409">
        <v>71.92</v>
      </c>
      <c r="K3409" s="2" t="s">
        <v>9032</v>
      </c>
      <c r="L3409">
        <v>5</v>
      </c>
      <c r="M3409">
        <v>2</v>
      </c>
      <c r="O3409" t="s">
        <v>26</v>
      </c>
      <c r="P3409" t="s">
        <v>39</v>
      </c>
      <c r="Q3409" t="s">
        <v>9033</v>
      </c>
    </row>
    <row r="3410" spans="1:17" ht="15.75" x14ac:dyDescent="0.25">
      <c r="A3410" s="3" t="str">
        <f>HYPERLINK("https://shop.sonapharmacy.com/products/apex%C2%AE-medicine-spoon-10ml", "https://shop.sonapharmacy.com/products/apex%C2%AE-medicine-spoon-10ml")</f>
        <v>https://shop.sonapharmacy.com/products/apex%C2%AE-medicine-spoon-10ml</v>
      </c>
      <c r="B3410" s="3" t="str">
        <f>HYPERLINK("https://shop.sonapharmacy.com/products/apex%c2%ae-medicine-spoon-10ml", "https://shop.sonapharmacy.com/products/apex%c2%ae-medicine-spoon-10ml")</f>
        <v>https://shop.sonapharmacy.com/products/apex%c2%ae-medicine-spoon-10ml</v>
      </c>
      <c r="C3410" t="s">
        <v>8388</v>
      </c>
      <c r="D3410" t="s">
        <v>9034</v>
      </c>
      <c r="E3410" s="3" t="str">
        <f>HYPERLINK("https://www.amazon.com/10ml-Calibrated-Medicine-Spoon-Pack/dp/B08PDNK6TP/ref=sr_1_10?keywords=Apex+Medicine+Spoon+10ml.&amp;qid=1695260008&amp;sr=8-10", "https://www.amazon.com/10ml-Calibrated-Medicine-Spoon-Pack/dp/B08PDNK6TP/ref=sr_1_10?keywords=Apex+Medicine+Spoon+10ml.&amp;qid=1695260008&amp;sr=8-10")</f>
        <v>https://www.amazon.com/10ml-Calibrated-Medicine-Spoon-Pack/dp/B08PDNK6TP/ref=sr_1_10?keywords=Apex+Medicine+Spoon+10ml.&amp;qid=1695260008&amp;sr=8-10</v>
      </c>
      <c r="F3410" t="s">
        <v>9035</v>
      </c>
      <c r="G3410" t="e">
        <f ca="1">IMAGE("https://shop.sonapharmacy.com/cdn/shop/products/318g5JQyUoL._AC.jpg?v=1609960936")</f>
        <v>#NAME?</v>
      </c>
      <c r="H3410" t="e">
        <f ca="1">IMAGE("https://m.media-amazon.com/images/I/71pSJTMm6bL._AC_UL320_.jpg")</f>
        <v>#NAME?</v>
      </c>
      <c r="I3410" t="s">
        <v>8294</v>
      </c>
      <c r="J3410">
        <v>6.99</v>
      </c>
      <c r="K3410" s="2" t="s">
        <v>9036</v>
      </c>
      <c r="L3410">
        <v>4.3</v>
      </c>
      <c r="M3410">
        <v>95</v>
      </c>
      <c r="O3410" t="s">
        <v>26</v>
      </c>
      <c r="P3410" t="s">
        <v>39</v>
      </c>
      <c r="Q3410" t="s">
        <v>8392</v>
      </c>
    </row>
    <row r="3411" spans="1:17" ht="15.75" x14ac:dyDescent="0.25">
      <c r="A3411" s="3" t="str">
        <f>HYPERLINK("https://shop.sonapharmacy.com/products/carefree%C2%AE-original-regular-pantiliners-to-go-fresh-scent-20ct", "https://shop.sonapharmacy.com/products/carefree%C2%AE-original-regular-pantiliners-to-go-fresh-scent-20ct")</f>
        <v>https://shop.sonapharmacy.com/products/carefree%C2%AE-original-regular-pantiliners-to-go-fresh-scent-20ct</v>
      </c>
      <c r="B3411" s="3" t="str">
        <f>HYPERLINK("https://shop.sonapharmacy.com/products/carefree%c2%ae-original-regular-pantiliners-to-go-fresh-scent-20ct", "https://shop.sonapharmacy.com/products/carefree%c2%ae-original-regular-pantiliners-to-go-fresh-scent-20ct")</f>
        <v>https://shop.sonapharmacy.com/products/carefree%c2%ae-original-regular-pantiliners-to-go-fresh-scent-20ct</v>
      </c>
      <c r="C3411" t="s">
        <v>9037</v>
      </c>
      <c r="D3411" t="s">
        <v>9038</v>
      </c>
      <c r="E3411" s="3" t="str">
        <f>HYPERLINK("https://www.amazon.com/Carefree-Original-Regular-Fresh-Scent/dp/B074NBNM3W/ref=sr_1_4?keywords=Carefree%C2%AE+Original+Regular+Pantiliners+To+Go+Fresh+Scent+20ct.&amp;qid=1695260121&amp;sr=8-4", "https://www.amazon.com/Carefree-Original-Regular-Fresh-Scent/dp/B074NBNM3W/ref=sr_1_4?keywords=Carefree%C2%AE+Original+Regular+Pantiliners+To+Go+Fresh+Scent+20ct.&amp;qid=1695260121&amp;sr=8-4")</f>
        <v>https://www.amazon.com/Carefree-Original-Regular-Fresh-Scent/dp/B074NBNM3W/ref=sr_1_4?keywords=Carefree%C2%AE+Original+Regular+Pantiliners+To+Go+Fresh+Scent+20ct.&amp;qid=1695260121&amp;sr=8-4</v>
      </c>
      <c r="F3411" t="s">
        <v>9039</v>
      </c>
      <c r="G3411" t="e">
        <f ca="1">IMAGE("https://shop.sonapharmacy.com/cdn/shop/products/41P97Fcw0TL._AC.jpg?v=1609180313")</f>
        <v>#NAME?</v>
      </c>
      <c r="H3411" t="e">
        <f ca="1">IMAGE("https://m.media-amazon.com/images/I/61wnUKF8+uL._AC_UL320_.jpg")</f>
        <v>#NAME?</v>
      </c>
      <c r="I3411" t="s">
        <v>8134</v>
      </c>
      <c r="J3411">
        <v>9</v>
      </c>
      <c r="K3411" s="2" t="s">
        <v>9040</v>
      </c>
      <c r="L3411">
        <v>4.9000000000000004</v>
      </c>
      <c r="M3411">
        <v>8</v>
      </c>
      <c r="O3411" t="s">
        <v>26</v>
      </c>
      <c r="P3411" t="s">
        <v>39</v>
      </c>
      <c r="Q3411" t="s">
        <v>9041</v>
      </c>
    </row>
    <row r="3412" spans="1:17" ht="15.75" x14ac:dyDescent="0.25">
      <c r="A3412" s="3" t="str">
        <f>HYPERLINK("https://shop.sonapharmacy.com/products/advil-200-mg-ibuprofen-tablets", "https://shop.sonapharmacy.com/products/advil-200-mg-ibuprofen-tablets")</f>
        <v>https://shop.sonapharmacy.com/products/advil-200-mg-ibuprofen-tablets</v>
      </c>
      <c r="B3412" s="3" t="str">
        <f>HYPERLINK("https://shop.sonapharmacy.com/products/advil-200-mg-ibuprofen-tablets", "https://shop.sonapharmacy.com/products/advil-200-mg-ibuprofen-tablets")</f>
        <v>https://shop.sonapharmacy.com/products/advil-200-mg-ibuprofen-tablets</v>
      </c>
      <c r="C3412" t="s">
        <v>8377</v>
      </c>
      <c r="D3412" t="s">
        <v>9042</v>
      </c>
      <c r="E3412" s="3" t="str">
        <f>HYPERLINK("https://www.amazon.com/Advil-Capsules-Individually-Ibuprofen-Temporary/dp/B07CQBRL84/ref=sr_1_10?keywords=Advil+200mg+Ibuprofen+Tablets&amp;qid=1695260034&amp;sr=8-10", "https://www.amazon.com/Advil-Capsules-Individually-Ibuprofen-Temporary/dp/B07CQBRL84/ref=sr_1_10?keywords=Advil+200mg+Ibuprofen+Tablets&amp;qid=1695260034&amp;sr=8-10")</f>
        <v>https://www.amazon.com/Advil-Capsules-Individually-Ibuprofen-Temporary/dp/B07CQBRL84/ref=sr_1_10?keywords=Advil+200mg+Ibuprofen+Tablets&amp;qid=1695260034&amp;sr=8-10</v>
      </c>
      <c r="F3412" t="s">
        <v>9043</v>
      </c>
      <c r="G3412" t="e">
        <f ca="1">IMAGE("https://shop.sonapharmacy.com/cdn/shop/products/71csOFCEiJL._SL1200.jpg?v=1611188571")</f>
        <v>#NAME?</v>
      </c>
      <c r="H3412" t="e">
        <f ca="1">IMAGE("https://m.media-amazon.com/images/I/71SXIosXEnL._AC_UL320_.jpg")</f>
        <v>#NAME?</v>
      </c>
      <c r="I3412" t="s">
        <v>8300</v>
      </c>
      <c r="J3412">
        <v>29.55</v>
      </c>
      <c r="K3412" s="2" t="s">
        <v>9044</v>
      </c>
      <c r="L3412">
        <v>4.7</v>
      </c>
      <c r="M3412">
        <v>255</v>
      </c>
      <c r="O3412" t="s">
        <v>26</v>
      </c>
      <c r="P3412" t="s">
        <v>39</v>
      </c>
      <c r="Q3412" t="s">
        <v>8381</v>
      </c>
    </row>
    <row r="3413" spans="1:17" ht="15.75" x14ac:dyDescent="0.25">
      <c r="A3413" s="3" t="str">
        <f>HYPERLINK("https://shop.sonapharmacy.com/products/dr-scholls%C2%AE-corn-callus-remover-solution", "https://shop.sonapharmacy.com/products/dr-scholls%C2%AE-corn-callus-remover-solution")</f>
        <v>https://shop.sonapharmacy.com/products/dr-scholls%C2%AE-corn-callus-remover-solution</v>
      </c>
      <c r="B3413" s="3" t="str">
        <f>HYPERLINK("https://shop.sonapharmacy.com/products/dr-scholls%c2%ae-corn-callus-remover-solution", "https://shop.sonapharmacy.com/products/dr-scholls%c2%ae-corn-callus-remover-solution")</f>
        <v>https://shop.sonapharmacy.com/products/dr-scholls%c2%ae-corn-callus-remover-solution</v>
      </c>
      <c r="C3413" t="s">
        <v>9045</v>
      </c>
      <c r="D3413" t="s">
        <v>9046</v>
      </c>
      <c r="E3413" s="3" t="str">
        <f>HYPERLINK("https://www.amazon.com/Dr-Scholls-Liquid-Callus-Remover/dp/B001EPQBBC/ref=sr_1_5?keywords=Dr.+Scholl%27s%C2%AE+Corn+%26+Callus+Remover+Solution&amp;qid=1695260207&amp;sr=8-5", "https://www.amazon.com/Dr-Scholls-Liquid-Callus-Remover/dp/B001EPQBBC/ref=sr_1_5?keywords=Dr.+Scholl%27s%C2%AE+Corn+%26+Callus+Remover+Solution&amp;qid=1695260207&amp;sr=8-5")</f>
        <v>https://www.amazon.com/Dr-Scholls-Liquid-Callus-Remover/dp/B001EPQBBC/ref=sr_1_5?keywords=Dr.+Scholl%27s%C2%AE+Corn+%26+Callus+Remover+Solution&amp;qid=1695260207&amp;sr=8-5</v>
      </c>
      <c r="F3413" t="s">
        <v>9047</v>
      </c>
      <c r="G3413" t="e">
        <f ca="1">IMAGE("https://shop.sonapharmacy.com/cdn/shop/products/613rL63Q5ZL._AC_SL1012.jpg?v=1618928762")</f>
        <v>#NAME?</v>
      </c>
      <c r="H3413" t="e">
        <f ca="1">IMAGE("https://m.media-amazon.com/images/I/91wndV4zZnL._AC_UL320_.jpg")</f>
        <v>#NAME?</v>
      </c>
      <c r="I3413" t="s">
        <v>9048</v>
      </c>
      <c r="J3413">
        <v>35</v>
      </c>
      <c r="K3413" s="2" t="s">
        <v>9049</v>
      </c>
      <c r="L3413">
        <v>4.0999999999999996</v>
      </c>
      <c r="M3413">
        <v>62</v>
      </c>
      <c r="O3413" t="s">
        <v>26</v>
      </c>
      <c r="P3413" t="s">
        <v>39</v>
      </c>
      <c r="Q3413" t="s">
        <v>9050</v>
      </c>
    </row>
    <row r="3414" spans="1:17" ht="15.75" x14ac:dyDescent="0.25">
      <c r="A3414" s="3" t="str">
        <f>HYPERLINK("https://shop.sonapharmacy.com/products/ricola-lemon-mint-cough-drops", "https://shop.sonapharmacy.com/products/ricola-lemon-mint-cough-drops")</f>
        <v>https://shop.sonapharmacy.com/products/ricola-lemon-mint-cough-drops</v>
      </c>
      <c r="B3414" s="3" t="str">
        <f>HYPERLINK("https://shop.sonapharmacy.com/products/ricola-lemon-mint-cough-drops", "https://shop.sonapharmacy.com/products/ricola-lemon-mint-cough-drops")</f>
        <v>https://shop.sonapharmacy.com/products/ricola-lemon-mint-cough-drops</v>
      </c>
      <c r="C3414" t="s">
        <v>8276</v>
      </c>
      <c r="D3414" t="s">
        <v>9051</v>
      </c>
      <c r="E3414" s="3" t="str">
        <f>HYPERLINK("https://www.amazon.com/Ricola-Natural-Throat-Drops-Lemon-Mint/dp/B0029EZTQU/ref=sr_1_4?keywords=Ricola+Lemon+Mint+Cough+Drops&amp;qid=1695260692&amp;sr=8-4", "https://www.amazon.com/Ricola-Natural-Throat-Drops-Lemon-Mint/dp/B0029EZTQU/ref=sr_1_4?keywords=Ricola+Lemon+Mint+Cough+Drops&amp;qid=1695260692&amp;sr=8-4")</f>
        <v>https://www.amazon.com/Ricola-Natural-Throat-Drops-Lemon-Mint/dp/B0029EZTQU/ref=sr_1_4?keywords=Ricola+Lemon+Mint+Cough+Drops&amp;qid=1695260692&amp;sr=8-4</v>
      </c>
      <c r="F3414" t="s">
        <v>9052</v>
      </c>
      <c r="G3414" t="e">
        <f ca="1">IMAGE("https://shop.sonapharmacy.com/cdn/shop/products/lemonmint_bag_24.png?v=1608220217")</f>
        <v>#NAME?</v>
      </c>
      <c r="H3414" t="e">
        <f ca="1">IMAGE("https://m.media-amazon.com/images/I/61wp36WpN5L._AC_UL320_.jpg")</f>
        <v>#NAME?</v>
      </c>
      <c r="I3414" t="s">
        <v>8279</v>
      </c>
      <c r="J3414">
        <v>19.100000000000001</v>
      </c>
      <c r="K3414" s="2" t="s">
        <v>9053</v>
      </c>
      <c r="L3414">
        <v>4.5999999999999996</v>
      </c>
      <c r="M3414">
        <v>69</v>
      </c>
      <c r="O3414" t="s">
        <v>26</v>
      </c>
      <c r="P3414" t="s">
        <v>39</v>
      </c>
      <c r="Q3414" t="s">
        <v>8281</v>
      </c>
    </row>
    <row r="3415" spans="1:17" ht="15.75" x14ac:dyDescent="0.25">
      <c r="A3415" s="3" t="str">
        <f>HYPERLINK("https://shop.sonapharmacy.com/products/dr-scholls%C2%AE-moleskin-plus-soft-padding-roll", "https://shop.sonapharmacy.com/products/dr-scholls%C2%AE-moleskin-plus-soft-padding-roll")</f>
        <v>https://shop.sonapharmacy.com/products/dr-scholls%C2%AE-moleskin-plus-soft-padding-roll</v>
      </c>
      <c r="B3415" s="3" t="str">
        <f>HYPERLINK("https://shop.sonapharmacy.com/products/dr-scholls%c2%ae-moleskin-plus-soft-padding-roll", "https://shop.sonapharmacy.com/products/dr-scholls%c2%ae-moleskin-plus-soft-padding-roll")</f>
        <v>https://shop.sonapharmacy.com/products/dr-scholls%c2%ae-moleskin-plus-soft-padding-roll</v>
      </c>
      <c r="C3415" t="s">
        <v>8469</v>
      </c>
      <c r="D3415" t="s">
        <v>9054</v>
      </c>
      <c r="E3415" s="3" t="str">
        <f>HYPERLINK("https://www.amazon.com/Dr-Scholls-Moleskin-Plus-Padding/dp/B001EPQ9GY/ref=sr_1_2?keywords=Dr.+Scholl%27s%C2%AE+Moleskin+Plus+Soft+Padding+Roll&amp;qid=1695260191&amp;sr=8-2", "https://www.amazon.com/Dr-Scholls-Moleskin-Plus-Padding/dp/B001EPQ9GY/ref=sr_1_2?keywords=Dr.+Scholl%27s%C2%AE+Moleskin+Plus+Soft+Padding+Roll&amp;qid=1695260191&amp;sr=8-2")</f>
        <v>https://www.amazon.com/Dr-Scholls-Moleskin-Plus-Padding/dp/B001EPQ9GY/ref=sr_1_2?keywords=Dr.+Scholl%27s%C2%AE+Moleskin+Plus+Soft+Padding+Roll&amp;qid=1695260191&amp;sr=8-2</v>
      </c>
      <c r="F3415" t="s">
        <v>9055</v>
      </c>
      <c r="G3415" t="e">
        <f ca="1">IMAGE("https://shop.sonapharmacy.com/cdn/shop/products/81tP9KqA0SL._AC_SL1500.jpg?v=1610328732")</f>
        <v>#NAME?</v>
      </c>
      <c r="H3415" t="e">
        <f ca="1">IMAGE("https://m.media-amazon.com/images/I/619eUt0uImL._AC_UL320_.jpg")</f>
        <v>#NAME?</v>
      </c>
      <c r="I3415" t="s">
        <v>8472</v>
      </c>
      <c r="J3415">
        <v>23.88</v>
      </c>
      <c r="K3415" s="2" t="s">
        <v>9056</v>
      </c>
      <c r="L3415">
        <v>4.3</v>
      </c>
      <c r="M3415">
        <v>139</v>
      </c>
      <c r="O3415" t="s">
        <v>26</v>
      </c>
      <c r="P3415" t="s">
        <v>39</v>
      </c>
      <c r="Q3415" t="s">
        <v>8474</v>
      </c>
    </row>
    <row r="3416" spans="1:17" ht="15.75" x14ac:dyDescent="0.25">
      <c r="A3416" s="3" t="str">
        <f>HYPERLINK("https://shop.sonapharmacy.com/products/prevagen-extra-strength-capsules-20-mg", "https://shop.sonapharmacy.com/products/prevagen-extra-strength-capsules-20-mg")</f>
        <v>https://shop.sonapharmacy.com/products/prevagen-extra-strength-capsules-20-mg</v>
      </c>
      <c r="B3416" s="3" t="str">
        <f>HYPERLINK("https://shop.sonapharmacy.com/products/prevagen-extra-strength-capsules-20-mg", "https://shop.sonapharmacy.com/products/prevagen-extra-strength-capsules-20-mg")</f>
        <v>https://shop.sonapharmacy.com/products/prevagen-extra-strength-capsules-20-mg</v>
      </c>
      <c r="C3416" t="s">
        <v>9057</v>
      </c>
      <c r="D3416" t="s">
        <v>9058</v>
      </c>
      <c r="E3416" s="3" t="str">
        <f>HYPERLINK("https://www.amazon.com/Prevagen-Improves-Memory-Apoaequorin-Supplement/dp/B0892RWKGV/ref=sr_1_5?keywords=Prevagen+Extra+Strength+Capsules+20+mg&amp;qid=1695260651&amp;sr=8-5", "https://www.amazon.com/Prevagen-Improves-Memory-Apoaequorin-Supplement/dp/B0892RWKGV/ref=sr_1_5?keywords=Prevagen+Extra+Strength+Capsules+20+mg&amp;qid=1695260651&amp;sr=8-5")</f>
        <v>https://www.amazon.com/Prevagen-Improves-Memory-Apoaequorin-Supplement/dp/B0892RWKGV/ref=sr_1_5?keywords=Prevagen+Extra+Strength+Capsules+20+mg&amp;qid=1695260651&amp;sr=8-5</v>
      </c>
      <c r="F3416" t="s">
        <v>9059</v>
      </c>
      <c r="G3416" t="e">
        <f ca="1">IMAGE("https://shop.sonapharmacy.com/cdn/shop/products/PrevagenExtraStrengthCapsules20mg.jpg?v=1594304097")</f>
        <v>#NAME?</v>
      </c>
      <c r="H3416" t="e">
        <f ca="1">IMAGE("https://m.media-amazon.com/images/I/81YfoalShgL._AC_UL320_.jpg")</f>
        <v>#NAME?</v>
      </c>
      <c r="I3416" t="s">
        <v>9060</v>
      </c>
      <c r="J3416">
        <v>267.29000000000002</v>
      </c>
      <c r="K3416" s="2" t="s">
        <v>9061</v>
      </c>
      <c r="L3416">
        <v>4.5</v>
      </c>
      <c r="M3416">
        <v>401</v>
      </c>
      <c r="O3416" t="s">
        <v>39</v>
      </c>
      <c r="P3416" t="s">
        <v>39</v>
      </c>
      <c r="Q3416" t="s">
        <v>9062</v>
      </c>
    </row>
    <row r="3417" spans="1:17" ht="15.75" x14ac:dyDescent="0.25">
      <c r="A3417" s="3" t="str">
        <f>HYPERLINK("https://shop.sonapharmacy.com/products/depend%C2%AE-for-men-guard-maximum-absorbency-pads-52ct", "https://shop.sonapharmacy.com/products/depend%C2%AE-for-men-guard-maximum-absorbency-pads-52ct")</f>
        <v>https://shop.sonapharmacy.com/products/depend%C2%AE-for-men-guard-maximum-absorbency-pads-52ct</v>
      </c>
      <c r="B3417" s="3" t="str">
        <f>HYPERLINK("https://shop.sonapharmacy.com/products/depend%c2%ae-for-men-guard-maximum-absorbency-pads-52ct", "https://shop.sonapharmacy.com/products/depend%c2%ae-for-men-guard-maximum-absorbency-pads-52ct")</f>
        <v>https://shop.sonapharmacy.com/products/depend%c2%ae-for-men-guard-maximum-absorbency-pads-52ct</v>
      </c>
      <c r="C3417" t="s">
        <v>9063</v>
      </c>
      <c r="D3417" t="s">
        <v>9064</v>
      </c>
      <c r="E3417" s="3" t="str">
        <f>HYPERLINK("https://www.amazon.com/Depend-Complete-Protection-Package-Incontinence/dp/B089CL279R/ref=sr_1_5?keywords=Depend%C2%AE+For+Men+Guard+Maximum+Absorbency+Pads+52ct.&amp;qid=1695260193&amp;sr=8-5", "https://www.amazon.com/Depend-Complete-Protection-Package-Incontinence/dp/B089CL279R/ref=sr_1_5?keywords=Depend%C2%AE+For+Men+Guard+Maximum+Absorbency+Pads+52ct.&amp;qid=1695260193&amp;sr=8-5")</f>
        <v>https://www.amazon.com/Depend-Complete-Protection-Package-Incontinence/dp/B089CL279R/ref=sr_1_5?keywords=Depend%C2%AE+For+Men+Guard+Maximum+Absorbency+Pads+52ct.&amp;qid=1695260193&amp;sr=8-5</v>
      </c>
      <c r="F3417" t="s">
        <v>9065</v>
      </c>
      <c r="G3417" t="e">
        <f ca="1">IMAGE("https://shop.sonapharmacy.com/cdn/shop/products/71MqtBk9N_L._AC_SL1500.jpg?v=1611075181")</f>
        <v>#NAME?</v>
      </c>
      <c r="H3417" t="e">
        <f ca="1">IMAGE("https://m.media-amazon.com/images/I/51L7Po8D7BL._AC_UL320_.jpg")</f>
        <v>#NAME?</v>
      </c>
      <c r="I3417" t="s">
        <v>9066</v>
      </c>
      <c r="J3417">
        <v>82.99</v>
      </c>
      <c r="K3417" s="2" t="s">
        <v>9067</v>
      </c>
      <c r="L3417">
        <v>4</v>
      </c>
      <c r="M3417">
        <v>13</v>
      </c>
      <c r="O3417" t="s">
        <v>136</v>
      </c>
      <c r="P3417" t="s">
        <v>39</v>
      </c>
      <c r="Q3417" t="s">
        <v>9068</v>
      </c>
    </row>
    <row r="3418" spans="1:17" ht="15.75" x14ac:dyDescent="0.25">
      <c r="A3418" s="3" t="str">
        <f>HYPERLINK("https://shop.sonapharmacy.com/products/oasis%C2%AE-mouth-moisturizing-spray-mild-mint-1fl-oz", "https://shop.sonapharmacy.com/products/oasis%C2%AE-mouth-moisturizing-spray-mild-mint-1fl-oz")</f>
        <v>https://shop.sonapharmacy.com/products/oasis%C2%AE-mouth-moisturizing-spray-mild-mint-1fl-oz</v>
      </c>
      <c r="B3418" s="3" t="str">
        <f>HYPERLINK("https://shop.sonapharmacy.com/products/oasis%c2%ae-mouth-moisturizing-spray-mild-mint-1fl-oz", "https://shop.sonapharmacy.com/products/oasis%c2%ae-mouth-moisturizing-spray-mild-mint-1fl-oz")</f>
        <v>https://shop.sonapharmacy.com/products/oasis%c2%ae-mouth-moisturizing-spray-mild-mint-1fl-oz</v>
      </c>
      <c r="C3418" t="s">
        <v>9069</v>
      </c>
      <c r="D3418" t="s">
        <v>9070</v>
      </c>
      <c r="E3418" s="3" t="str">
        <f>HYPERLINK("https://www.amazon.com/Oasis-Moisturizing-Mouth-Spray-Mild/dp/B00IART71S/ref=sr_1_5?keywords=Oasis%C2%AE+Mouth+Moisturizing+Spray+Mild+Mint+1fl.oz.&amp;qid=1695260612&amp;sr=8-5", "https://www.amazon.com/Oasis-Moisturizing-Mouth-Spray-Mild/dp/B00IART71S/ref=sr_1_5?keywords=Oasis%C2%AE+Mouth+Moisturizing+Spray+Mild+Mint+1fl.oz.&amp;qid=1695260612&amp;sr=8-5")</f>
        <v>https://www.amazon.com/Oasis-Moisturizing-Mouth-Spray-Mild/dp/B00IART71S/ref=sr_1_5?keywords=Oasis%C2%AE+Mouth+Moisturizing+Spray+Mild+Mint+1fl.oz.&amp;qid=1695260612&amp;sr=8-5</v>
      </c>
      <c r="F3418" t="s">
        <v>9071</v>
      </c>
      <c r="G3418" t="e">
        <f ca="1">IMAGE("https://shop.sonapharmacy.com/cdn/shop/products/8f8c84aa-9bad-4bac-a54f-e8f111c224fc_1.d51e86c174f0c880125a11b6bef87077.jpg?v=1608566621")</f>
        <v>#NAME?</v>
      </c>
      <c r="H3418" t="e">
        <f ca="1">IMAGE("https://m.media-amazon.com/images/I/61aCH9a3YcL._AC_UL320_.jpg")</f>
        <v>#NAME?</v>
      </c>
      <c r="I3418" t="s">
        <v>9072</v>
      </c>
      <c r="J3418">
        <v>37.159999999999997</v>
      </c>
      <c r="K3418" s="2" t="s">
        <v>9073</v>
      </c>
      <c r="L3418">
        <v>3.7</v>
      </c>
      <c r="M3418">
        <v>15</v>
      </c>
      <c r="O3418" t="s">
        <v>26</v>
      </c>
      <c r="P3418" t="s">
        <v>39</v>
      </c>
      <c r="Q3418" t="s">
        <v>9074</v>
      </c>
    </row>
    <row r="3419" spans="1:17" ht="15.75" x14ac:dyDescent="0.25">
      <c r="A3419" s="3" t="str">
        <f>HYPERLINK("https://shop.sonapharmacy.com/products/secura%C2%AE-protective-ointment-5-6oz", "https://shop.sonapharmacy.com/products/secura%C2%AE-protective-ointment-5-6oz")</f>
        <v>https://shop.sonapharmacy.com/products/secura%C2%AE-protective-ointment-5-6oz</v>
      </c>
      <c r="B3419" s="3" t="str">
        <f>HYPERLINK("https://shop.sonapharmacy.com/products/secura%c2%ae-protective-ointment-5-6oz", "https://shop.sonapharmacy.com/products/secura%c2%ae-protective-ointment-5-6oz")</f>
        <v>https://shop.sonapharmacy.com/products/secura%c2%ae-protective-ointment-5-6oz</v>
      </c>
      <c r="C3419" t="s">
        <v>9075</v>
      </c>
      <c r="D3419" t="s">
        <v>9076</v>
      </c>
      <c r="E3419" s="3" t="str">
        <f>HYPERLINK("https://www.amazon.com/Smith-Nephew-Protective-Ointment-Protectant/dp/B01L7XSW44/ref=sr_1_3?keywords=Secura%C2%AE+Protective+Ointment+5.6oz.&amp;qid=1695260728&amp;sr=8-3", "https://www.amazon.com/Smith-Nephew-Protective-Ointment-Protectant/dp/B01L7XSW44/ref=sr_1_3?keywords=Secura%C2%AE+Protective+Ointment+5.6oz.&amp;qid=1695260728&amp;sr=8-3")</f>
        <v>https://www.amazon.com/Smith-Nephew-Protective-Ointment-Protectant/dp/B01L7XSW44/ref=sr_1_3?keywords=Secura%C2%AE+Protective+Ointment+5.6oz.&amp;qid=1695260728&amp;sr=8-3</v>
      </c>
      <c r="F3419" t="s">
        <v>9077</v>
      </c>
      <c r="G3419" t="e">
        <f ca="1">IMAGE("https://shop.sonapharmacy.com/cdn/shop/products/51jcEfX-T7L._AC_SL1170.jpg?v=1610327335")</f>
        <v>#NAME?</v>
      </c>
      <c r="H3419" t="e">
        <f ca="1">IMAGE("https://m.media-amazon.com/images/I/81Flb-AgeeL._AC_UL320_.jpg")</f>
        <v>#NAME?</v>
      </c>
      <c r="I3419" t="s">
        <v>9078</v>
      </c>
      <c r="J3419">
        <v>49.62</v>
      </c>
      <c r="K3419" s="2" t="s">
        <v>9079</v>
      </c>
      <c r="L3419">
        <v>4.7</v>
      </c>
      <c r="M3419">
        <v>66</v>
      </c>
      <c r="O3419" t="s">
        <v>26</v>
      </c>
      <c r="P3419" t="s">
        <v>39</v>
      </c>
      <c r="Q3419" t="s">
        <v>9080</v>
      </c>
    </row>
    <row r="3420" spans="1:17" ht="15.75" x14ac:dyDescent="0.25">
      <c r="A3420" s="3" t="str">
        <f>HYPERLINK("https://shop.sonapharmacy.com/products/pantene%C2%AE-classic-clean-shampoo-12-6fl-oz", "https://shop.sonapharmacy.com/products/pantene%C2%AE-classic-clean-shampoo-12-6fl-oz")</f>
        <v>https://shop.sonapharmacy.com/products/pantene%C2%AE-classic-clean-shampoo-12-6fl-oz</v>
      </c>
      <c r="B3420" s="3" t="str">
        <f>HYPERLINK("https://shop.sonapharmacy.com/products/pantene%c2%ae-classic-clean-shampoo-12-6fl-oz", "https://shop.sonapharmacy.com/products/pantene%c2%ae-classic-clean-shampoo-12-6fl-oz")</f>
        <v>https://shop.sonapharmacy.com/products/pantene%c2%ae-classic-clean-shampoo-12-6fl-oz</v>
      </c>
      <c r="C3420" t="s">
        <v>8725</v>
      </c>
      <c r="D3420" t="s">
        <v>9081</v>
      </c>
      <c r="E3420" s="3" t="str">
        <f>HYPERLINK("https://www.amazon.com/Pantene-Pro-V-Classic-Shampoo-Packaging/dp/B003UI1XVO/ref=sr_1_5?keywords=Pantene%C2%AE+Pro-V+Classic+Clean+Shampoo+12fl.+oz.&amp;qid=1695260626&amp;sr=8-5", "https://www.amazon.com/Pantene-Pro-V-Classic-Shampoo-Packaging/dp/B003UI1XVO/ref=sr_1_5?keywords=Pantene%C2%AE+Pro-V+Classic+Clean+Shampoo+12fl.+oz.&amp;qid=1695260626&amp;sr=8-5")</f>
        <v>https://www.amazon.com/Pantene-Pro-V-Classic-Shampoo-Packaging/dp/B003UI1XVO/ref=sr_1_5?keywords=Pantene%C2%AE+Pro-V+Classic+Clean+Shampoo+12fl.+oz.&amp;qid=1695260626&amp;sr=8-5</v>
      </c>
      <c r="F3420" t="s">
        <v>9082</v>
      </c>
      <c r="G3420" t="e">
        <f ca="1">IMAGE("https://shop.sonapharmacy.com/cdn/shop/products/15cd010f-3357-47fe-af4e-ec5db33dd69f_1.e7f21d7c02f220665cdc99a4a17eaf1f.jpg?v=1609165266")</f>
        <v>#NAME?</v>
      </c>
      <c r="H3420" t="e">
        <f ca="1">IMAGE("https://m.media-amazon.com/images/I/71YjHEMvpKL._AC_UL320_.jpg")</f>
        <v>#NAME?</v>
      </c>
      <c r="I3420" t="s">
        <v>8728</v>
      </c>
      <c r="J3420">
        <v>25.06</v>
      </c>
      <c r="K3420" s="2" t="s">
        <v>9083</v>
      </c>
      <c r="L3420">
        <v>4.5</v>
      </c>
      <c r="M3420">
        <v>277</v>
      </c>
      <c r="O3420" t="s">
        <v>26</v>
      </c>
      <c r="P3420" t="s">
        <v>39</v>
      </c>
      <c r="Q3420" t="s">
        <v>8730</v>
      </c>
    </row>
    <row r="3421" spans="1:17" ht="15.75" x14ac:dyDescent="0.25">
      <c r="A3421" s="3" t="str">
        <f>HYPERLINK("https://shop.sonapharmacy.com/products/goodsense%C2%AE-instant-ice-compress", "https://shop.sonapharmacy.com/products/goodsense%C2%AE-instant-ice-compress")</f>
        <v>https://shop.sonapharmacy.com/products/goodsense%C2%AE-instant-ice-compress</v>
      </c>
      <c r="B3421" s="3" t="str">
        <f>HYPERLINK("https://shop.sonapharmacy.com/products/goodsense%c2%ae-instant-ice-compress", "https://shop.sonapharmacy.com/products/goodsense%c2%ae-instant-ice-compress")</f>
        <v>https://shop.sonapharmacy.com/products/goodsense%c2%ae-instant-ice-compress</v>
      </c>
      <c r="C3421" t="s">
        <v>8352</v>
      </c>
      <c r="D3421" t="s">
        <v>9084</v>
      </c>
      <c r="E3421" s="3" t="str">
        <f>HYPERLINK("https://www.amazon.com/25-Pack-Disposable-Inflammation-Toothache/dp/B0C5F6DW7X/ref=sr_1_2?keywords=GoodSense%C2%AE+Instant+Ice+Compress&amp;qid=1695260355&amp;sr=8-2", "https://www.amazon.com/25-Pack-Disposable-Inflammation-Toothache/dp/B0C5F6DW7X/ref=sr_1_2?keywords=GoodSense%C2%AE+Instant+Ice+Compress&amp;qid=1695260355&amp;sr=8-2")</f>
        <v>https://www.amazon.com/25-Pack-Disposable-Inflammation-Toothache/dp/B0C5F6DW7X/ref=sr_1_2?keywords=GoodSense%C2%AE+Instant+Ice+Compress&amp;qid=1695260355&amp;sr=8-2</v>
      </c>
      <c r="F3421" t="s">
        <v>9085</v>
      </c>
      <c r="G3421" t="e">
        <f ca="1">IMAGE("https://shop.sonapharmacy.com/cdn/shop/products/large_c74b53f8-f838-43e3-afb8-f2daf7fd0c4e.jpg?v=1607958159")</f>
        <v>#NAME?</v>
      </c>
      <c r="H3421" t="e">
        <f ca="1">IMAGE("https://m.media-amazon.com/images/I/71sdvn7HAJL._AC_UL320_.jpg")</f>
        <v>#NAME?</v>
      </c>
      <c r="I3421" t="s">
        <v>8355</v>
      </c>
      <c r="J3421">
        <v>15.9</v>
      </c>
      <c r="K3421" s="2" t="s">
        <v>9086</v>
      </c>
      <c r="L3421">
        <v>4.5</v>
      </c>
      <c r="M3421">
        <v>159</v>
      </c>
      <c r="O3421" t="s">
        <v>26</v>
      </c>
      <c r="P3421" t="s">
        <v>39</v>
      </c>
      <c r="Q3421" t="s">
        <v>8357</v>
      </c>
    </row>
    <row r="3422" spans="1:17" ht="15.75" x14ac:dyDescent="0.25">
      <c r="A3422" s="3" t="str">
        <f>HYPERLINK("https://shop.sonapharmacy.com/products/macks%C2%AE-pillow-soft%C2%AE-silicone-putty-ear-plugs", "https://shop.sonapharmacy.com/products/macks%C2%AE-pillow-soft%C2%AE-silicone-putty-ear-plugs")</f>
        <v>https://shop.sonapharmacy.com/products/macks%C2%AE-pillow-soft%C2%AE-silicone-putty-ear-plugs</v>
      </c>
      <c r="B3422" s="3" t="str">
        <f>HYPERLINK("https://shop.sonapharmacy.com/products/macks%c2%ae-pillow-soft%c2%ae-silicone-putty-ear-plugs", "https://shop.sonapharmacy.com/products/macks%c2%ae-pillow-soft%c2%ae-silicone-putty-ear-plugs")</f>
        <v>https://shop.sonapharmacy.com/products/macks%c2%ae-pillow-soft%c2%ae-silicone-putty-ear-plugs</v>
      </c>
      <c r="C3422" t="s">
        <v>7949</v>
      </c>
      <c r="D3422" t="s">
        <v>9087</v>
      </c>
      <c r="E3422" s="3" t="str">
        <f>HYPERLINK("https://www.amazon.com/Macks-Pillow-Silicone-Earplugs-Value/dp/B071G34H5C/ref=sr_1_5?keywords=Mack%27s%C2%AE+Pillow+Soft%C2%AE+Silicone+Putty+Ear+Plugs&amp;qid=1695260450&amp;sr=8-5", "https://www.amazon.com/Macks-Pillow-Silicone-Earplugs-Value/dp/B071G34H5C/ref=sr_1_5?keywords=Mack%27s%C2%AE+Pillow+Soft%C2%AE+Silicone+Putty+Ear+Plugs&amp;qid=1695260450&amp;sr=8-5")</f>
        <v>https://www.amazon.com/Macks-Pillow-Silicone-Earplugs-Value/dp/B071G34H5C/ref=sr_1_5?keywords=Mack%27s%C2%AE+Pillow+Soft%C2%AE+Silicone+Putty+Ear+Plugs&amp;qid=1695260450&amp;sr=8-5</v>
      </c>
      <c r="F3422" t="s">
        <v>9088</v>
      </c>
      <c r="G3422" t="e">
        <f ca="1">IMAGE("https://shop.sonapharmacy.com/cdn/shop/products/71Rta0uAlwL._AC_SL1500.jpg?v=1609171871")</f>
        <v>#NAME?</v>
      </c>
      <c r="H3422" t="e">
        <f ca="1">IMAGE("https://m.media-amazon.com/images/I/71mftJXzmgL._AC_UL320_.jpg")</f>
        <v>#NAME?</v>
      </c>
      <c r="I3422" t="s">
        <v>7952</v>
      </c>
      <c r="J3422">
        <v>13.38</v>
      </c>
      <c r="K3422" s="2" t="s">
        <v>9089</v>
      </c>
      <c r="L3422">
        <v>4.7</v>
      </c>
      <c r="M3422">
        <v>550</v>
      </c>
      <c r="O3422" t="s">
        <v>26</v>
      </c>
      <c r="P3422" t="s">
        <v>39</v>
      </c>
      <c r="Q3422" t="s">
        <v>7954</v>
      </c>
    </row>
    <row r="3423" spans="1:17" ht="15.75" x14ac:dyDescent="0.25">
      <c r="A3423" s="3" t="str">
        <f>HYPERLINK("https://shop.sonapharmacy.com/products/nasalcease%C2%AE-first-aid-5-sterile-packings", "https://shop.sonapharmacy.com/products/nasalcease%C2%AE-first-aid-5-sterile-packings")</f>
        <v>https://shop.sonapharmacy.com/products/nasalcease%C2%AE-first-aid-5-sterile-packings</v>
      </c>
      <c r="B3423" s="3" t="str">
        <f>HYPERLINK("https://shop.sonapharmacy.com/products/nasalcease%c2%ae-first-aid-5-sterile-packings", "https://shop.sonapharmacy.com/products/nasalcease%c2%ae-first-aid-5-sterile-packings")</f>
        <v>https://shop.sonapharmacy.com/products/nasalcease%c2%ae-first-aid-5-sterile-packings</v>
      </c>
      <c r="C3423" t="s">
        <v>9090</v>
      </c>
      <c r="D3423" t="s">
        <v>9091</v>
      </c>
      <c r="E3423" s="3" t="str">
        <f>HYPERLINK("https://www.amazon.com/BleedCease-First-Nosebleeds-Sterile-Packings/dp/B01IAIOP72/ref=sr_1_8?keywords=NasalCEASE%C2%AE+First+Aid+5+Sterile+Packings&amp;qid=1695260532&amp;sr=8-8", "https://www.amazon.com/BleedCease-First-Nosebleeds-Sterile-Packings/dp/B01IAIOP72/ref=sr_1_8?keywords=NasalCEASE%C2%AE+First+Aid+5+Sterile+Packings&amp;qid=1695260532&amp;sr=8-8")</f>
        <v>https://www.amazon.com/BleedCease-First-Nosebleeds-Sterile-Packings/dp/B01IAIOP72/ref=sr_1_8?keywords=NasalCEASE%C2%AE+First+Aid+5+Sterile+Packings&amp;qid=1695260532&amp;sr=8-8</v>
      </c>
      <c r="F3423" t="s">
        <v>9092</v>
      </c>
      <c r="G3423" t="e">
        <f ca="1">IMAGE("https://shop.sonapharmacy.com/cdn/shop/products/51kfqWGoI5L._AC.jpg?v=1607974776")</f>
        <v>#NAME?</v>
      </c>
      <c r="H3423" t="e">
        <f ca="1">IMAGE("https://m.media-amazon.com/images/I/714GZ6OT78L._AC_UL320_.jpg")</f>
        <v>#NAME?</v>
      </c>
      <c r="I3423" t="s">
        <v>9093</v>
      </c>
      <c r="J3423">
        <v>68.94</v>
      </c>
      <c r="K3423" s="2" t="s">
        <v>9094</v>
      </c>
      <c r="L3423">
        <v>4.7</v>
      </c>
      <c r="M3423">
        <v>2</v>
      </c>
      <c r="O3423" t="s">
        <v>26</v>
      </c>
      <c r="P3423" t="s">
        <v>39</v>
      </c>
      <c r="Q3423" t="s">
        <v>9095</v>
      </c>
    </row>
    <row r="3424" spans="1:17" ht="15.75" x14ac:dyDescent="0.25">
      <c r="A3424" s="3" t="str">
        <f>HYPERLINK("https://shop.sonapharmacy.com/products/blink%C2%AE-tears-dry-eye-lubricating-eye-drops-0-5fl-oz", "https://shop.sonapharmacy.com/products/blink%C2%AE-tears-dry-eye-lubricating-eye-drops-0-5fl-oz")</f>
        <v>https://shop.sonapharmacy.com/products/blink%C2%AE-tears-dry-eye-lubricating-eye-drops-0-5fl-oz</v>
      </c>
      <c r="B3424" s="3" t="str">
        <f>HYPERLINK("https://shop.sonapharmacy.com/products/blink%c2%ae-tears-dry-eye-lubricating-eye-drops-0-5fl-oz", "https://shop.sonapharmacy.com/products/blink%c2%ae-tears-dry-eye-lubricating-eye-drops-0-5fl-oz")</f>
        <v>https://shop.sonapharmacy.com/products/blink%c2%ae-tears-dry-eye-lubricating-eye-drops-0-5fl-oz</v>
      </c>
      <c r="C3424" t="s">
        <v>9096</v>
      </c>
      <c r="D3424" t="s">
        <v>9097</v>
      </c>
      <c r="E3424" s="3" t="str">
        <f>HYPERLINK("https://www.amazon.com/Blink-Tears-Lubricating-Drops-Mild-Moderate/dp/B01G45FI9M/ref=sr_1_7?keywords=Blink%C2%AE+Tears+Dry+Eye+Lubricating+Eye+Drops+0.5fl.+oz.&amp;qid=1695260095&amp;sr=8-7", "https://www.amazon.com/Blink-Tears-Lubricating-Drops-Mild-Moderate/dp/B01G45FI9M/ref=sr_1_7?keywords=Blink%C2%AE+Tears+Dry+Eye+Lubricating+Eye+Drops+0.5fl.+oz.&amp;qid=1695260095&amp;sr=8-7")</f>
        <v>https://www.amazon.com/Blink-Tears-Lubricating-Drops-Mild-Moderate/dp/B01G45FI9M/ref=sr_1_7?keywords=Blink%C2%AE+Tears+Dry+Eye+Lubricating+Eye+Drops+0.5fl.+oz.&amp;qid=1695260095&amp;sr=8-7</v>
      </c>
      <c r="F3424" t="s">
        <v>9098</v>
      </c>
      <c r="G3424" t="e">
        <f ca="1">IMAGE("https://shop.sonapharmacy.com/cdn/shop/products/81TAn4CNviL._AC_SL1500.jpg?v=1629237098")</f>
        <v>#NAME?</v>
      </c>
      <c r="H3424" t="e">
        <f ca="1">IMAGE("https://m.media-amazon.com/images/I/61w1fRiLE9L._AC_UL320_.jpg")</f>
        <v>#NAME?</v>
      </c>
      <c r="I3424" t="s">
        <v>9099</v>
      </c>
      <c r="J3424">
        <v>70.2</v>
      </c>
      <c r="K3424" s="2" t="s">
        <v>9100</v>
      </c>
      <c r="L3424">
        <v>4.8</v>
      </c>
      <c r="M3424">
        <v>101</v>
      </c>
      <c r="O3424" t="s">
        <v>26</v>
      </c>
      <c r="P3424" t="s">
        <v>39</v>
      </c>
      <c r="Q3424" t="s">
        <v>9101</v>
      </c>
    </row>
    <row r="3425" spans="1:17" ht="15.75" x14ac:dyDescent="0.25">
      <c r="A3425" s="3" t="str">
        <f>HYPERLINK("https://shop.sonapharmacy.com/products/reach%C2%AE-mint-waxed-floss-55yds", "https://shop.sonapharmacy.com/products/reach%C2%AE-mint-waxed-floss-55yds")</f>
        <v>https://shop.sonapharmacy.com/products/reach%C2%AE-mint-waxed-floss-55yds</v>
      </c>
      <c r="B3425" s="3" t="str">
        <f>HYPERLINK("https://shop.sonapharmacy.com/products/reach%c2%ae-mint-waxed-floss-55yds", "https://shop.sonapharmacy.com/products/reach%c2%ae-mint-waxed-floss-55yds")</f>
        <v>https://shop.sonapharmacy.com/products/reach%c2%ae-mint-waxed-floss-55yds</v>
      </c>
      <c r="C3425" t="s">
        <v>8046</v>
      </c>
      <c r="D3425" t="s">
        <v>9102</v>
      </c>
      <c r="E3425" s="3" t="str">
        <f>HYPERLINK("https://www.amazon.com/REACH-Mint-Waxed-Floss-Yards/dp/B00E4MM4OK/ref=sr_1_9?keywords=Reach%C2%AE+Mint+Waxed+Floss&amp;qid=1695260669&amp;sr=8-9", "https://www.amazon.com/REACH-Mint-Waxed-Floss-Yards/dp/B00E4MM4OK/ref=sr_1_9?keywords=Reach%C2%AE+Mint+Waxed+Floss&amp;qid=1695260669&amp;sr=8-9")</f>
        <v>https://www.amazon.com/REACH-Mint-Waxed-Floss-Yards/dp/B00E4MM4OK/ref=sr_1_9?keywords=Reach%C2%AE+Mint+Waxed+Floss&amp;qid=1695260669&amp;sr=8-9</v>
      </c>
      <c r="F3425" t="s">
        <v>9103</v>
      </c>
      <c r="G3425" t="e">
        <f ca="1">IMAGE("https://shop.sonapharmacy.com/cdn/shop/products/reach_mint_waxed_floss.png?v=1608573621")</f>
        <v>#NAME?</v>
      </c>
      <c r="H3425" t="e">
        <f ca="1">IMAGE("https://m.media-amazon.com/images/I/61XMxNCUpcL._AC_UL320_.jpg")</f>
        <v>#NAME?</v>
      </c>
      <c r="I3425" t="s">
        <v>8049</v>
      </c>
      <c r="J3425">
        <v>7.6</v>
      </c>
      <c r="K3425" s="2" t="s">
        <v>9104</v>
      </c>
      <c r="L3425">
        <v>4.9000000000000004</v>
      </c>
      <c r="M3425">
        <v>34</v>
      </c>
      <c r="O3425" t="s">
        <v>26</v>
      </c>
      <c r="P3425" t="s">
        <v>39</v>
      </c>
      <c r="Q3425" t="s">
        <v>8051</v>
      </c>
    </row>
    <row r="3426" spans="1:17" ht="15.75" x14ac:dyDescent="0.25">
      <c r="A3426" s="3" t="str">
        <f>HYPERLINK("https://shop.sonapharmacy.com/products/basics-red-yeast-rice-600-mg-capsules", "https://shop.sonapharmacy.com/products/basics-red-yeast-rice-600-mg-capsules")</f>
        <v>https://shop.sonapharmacy.com/products/basics-red-yeast-rice-600-mg-capsules</v>
      </c>
      <c r="B3426" s="3" t="str">
        <f>HYPERLINK("https://shop.sonapharmacy.com/products/basics-red-yeast-rice-600-mg-capsules", "https://shop.sonapharmacy.com/products/basics-red-yeast-rice-600-mg-capsules")</f>
        <v>https://shop.sonapharmacy.com/products/basics-red-yeast-rice-600-mg-capsules</v>
      </c>
      <c r="C3426" t="s">
        <v>9105</v>
      </c>
      <c r="D3426" t="s">
        <v>9106</v>
      </c>
      <c r="E3426" s="3" t="str">
        <f>HYPERLINK("https://www.amazon.com/Natures-Bounty-Yeast-600mg-Capsules/dp/B01IAI9J5U/ref=sr_1_4?keywords=Basic%27s%C2%AE+Red+Yeast+Rice+600mg+Capsules+100ct.&amp;qid=1695260108&amp;sr=8-4", "https://www.amazon.com/Natures-Bounty-Yeast-600mg-Capsules/dp/B01IAI9J5U/ref=sr_1_4?keywords=Basic%27s%C2%AE+Red+Yeast+Rice+600mg+Capsules+100ct.&amp;qid=1695260108&amp;sr=8-4")</f>
        <v>https://www.amazon.com/Natures-Bounty-Yeast-600mg-Capsules/dp/B01IAI9J5U/ref=sr_1_4?keywords=Basic%27s%C2%AE+Red+Yeast+Rice+600mg+Capsules+100ct.&amp;qid=1695260108&amp;sr=8-4</v>
      </c>
      <c r="F3426" t="s">
        <v>9107</v>
      </c>
      <c r="G3426" t="e">
        <f ca="1">IMAGE("https://shop.sonapharmacy.com/cdn/shop/products/apimk1isp__77354.1592331582.jpg?v=1609342606")</f>
        <v>#NAME?</v>
      </c>
      <c r="H3426" t="e">
        <f ca="1">IMAGE("https://m.media-amazon.com/images/I/61mnuTM9+dL._AC_UL320_.jpg")</f>
        <v>#NAME?</v>
      </c>
      <c r="I3426" t="s">
        <v>8698</v>
      </c>
      <c r="J3426">
        <v>43</v>
      </c>
      <c r="K3426" s="2" t="s">
        <v>9108</v>
      </c>
      <c r="L3426">
        <v>4.5</v>
      </c>
      <c r="M3426">
        <v>83</v>
      </c>
      <c r="O3426" t="s">
        <v>26</v>
      </c>
      <c r="P3426" t="s">
        <v>39</v>
      </c>
      <c r="Q3426" t="s">
        <v>9109</v>
      </c>
    </row>
    <row r="3427" spans="1:17" ht="15.75" x14ac:dyDescent="0.25">
      <c r="A3427" s="3" t="str">
        <f>HYPERLINK("https://shop.sonapharmacy.com/products/fruit-of-the-earth-aloe-vera-100-gel-6oz", "https://shop.sonapharmacy.com/products/fruit-of-the-earth-aloe-vera-100-gel-6oz")</f>
        <v>https://shop.sonapharmacy.com/products/fruit-of-the-earth-aloe-vera-100-gel-6oz</v>
      </c>
      <c r="B3427" s="3" t="str">
        <f>HYPERLINK("https://shop.sonapharmacy.com/products/fruit-of-the-earth-aloe-vera-100-gel-6oz", "https://shop.sonapharmacy.com/products/fruit-of-the-earth-aloe-vera-100-gel-6oz")</f>
        <v>https://shop.sonapharmacy.com/products/fruit-of-the-earth-aloe-vera-100-gel-6oz</v>
      </c>
      <c r="C3427" t="s">
        <v>8763</v>
      </c>
      <c r="D3427" t="s">
        <v>9110</v>
      </c>
      <c r="E3427" s="3" t="str">
        <f>HYPERLINK("https://www.amazon.com/Tocopheryl-Hydantoin-Tetrasodium-Triethanolamine-Diazolidinyl/dp/B005C28Z9O/ref=sr_1_10?keywords=Fruit+Of+The+Earth+Aloe+Vera+100%25+Gel+6oz.&amp;qid=1695260255&amp;sr=8-10", "https://www.amazon.com/Tocopheryl-Hydantoin-Tetrasodium-Triethanolamine-Diazolidinyl/dp/B005C28Z9O/ref=sr_1_10?keywords=Fruit+Of+The+Earth+Aloe+Vera+100%25+Gel+6oz.&amp;qid=1695260255&amp;sr=8-10")</f>
        <v>https://www.amazon.com/Tocopheryl-Hydantoin-Tetrasodium-Triethanolamine-Diazolidinyl/dp/B005C28Z9O/ref=sr_1_10?keywords=Fruit+Of+The+Earth+Aloe+Vera+100%25+Gel+6oz.&amp;qid=1695260255&amp;sr=8-10</v>
      </c>
      <c r="F3427" t="s">
        <v>9111</v>
      </c>
      <c r="G3427" t="e">
        <f ca="1">IMAGE("https://shop.sonapharmacy.com/cdn/shop/products/aloevera.jpg?v=1607965506")</f>
        <v>#NAME?</v>
      </c>
      <c r="H3427" t="e">
        <f ca="1">IMAGE("https://m.media-amazon.com/images/I/71zXwmt6sWL._AC_UL320_.jpg")</f>
        <v>#NAME?</v>
      </c>
      <c r="I3427" t="s">
        <v>8766</v>
      </c>
      <c r="J3427">
        <v>23.2</v>
      </c>
      <c r="K3427" s="2" t="s">
        <v>9112</v>
      </c>
      <c r="L3427">
        <v>4.7</v>
      </c>
      <c r="M3427">
        <v>8101</v>
      </c>
      <c r="O3427" t="s">
        <v>26</v>
      </c>
      <c r="P3427" t="s">
        <v>39</v>
      </c>
      <c r="Q3427" t="s">
        <v>8768</v>
      </c>
    </row>
    <row r="3428" spans="1:17" ht="15.75" x14ac:dyDescent="0.25">
      <c r="A3428" s="3" t="str">
        <f>HYPERLINK("https://shop.sonapharmacy.com/products/nexcare-gentle-paper-tape-with-dispenser", "https://shop.sonapharmacy.com/products/nexcare-gentle-paper-tape-with-dispenser")</f>
        <v>https://shop.sonapharmacy.com/products/nexcare-gentle-paper-tape-with-dispenser</v>
      </c>
      <c r="B3428" s="3" t="str">
        <f>HYPERLINK("https://shop.sonapharmacy.com/products/nexcare-gentle-paper-tape-with-dispenser", "https://shop.sonapharmacy.com/products/nexcare-gentle-paper-tape-with-dispenser")</f>
        <v>https://shop.sonapharmacy.com/products/nexcare-gentle-paper-tape-with-dispenser</v>
      </c>
      <c r="C3428" t="s">
        <v>9113</v>
      </c>
      <c r="D3428" t="s">
        <v>9114</v>
      </c>
      <c r="E3428" s="3" t="str">
        <f>HYPERLINK("https://www.amazon.com/Nexcare-Gentle-Paper-First-Inches/dp/B00IARW9TA/ref=sr_1_8?keywords=Nexcare+Gentle+Paper+Tape&amp;qid=1695260585&amp;sr=8-8", "https://www.amazon.com/Nexcare-Gentle-Paper-First-Inches/dp/B00IARW9TA/ref=sr_1_8?keywords=Nexcare+Gentle+Paper+Tape&amp;qid=1695260585&amp;sr=8-8")</f>
        <v>https://www.amazon.com/Nexcare-Gentle-Paper-First-Inches/dp/B00IARW9TA/ref=sr_1_8?keywords=Nexcare+Gentle+Paper+Tape&amp;qid=1695260585&amp;sr=8-8</v>
      </c>
      <c r="F3428" t="s">
        <v>9115</v>
      </c>
      <c r="G3428" t="e">
        <f ca="1">IMAGE("https://shop.sonapharmacy.com/cdn/shop/products/817vSXJ0jlL._AC_SL1500.jpg?v=1607703211")</f>
        <v>#NAME?</v>
      </c>
      <c r="H3428" t="e">
        <f ca="1">IMAGE("https://m.media-amazon.com/images/I/61kfET7WwoS._AC_UL320_.jpg")</f>
        <v>#NAME?</v>
      </c>
      <c r="I3428" t="s">
        <v>8760</v>
      </c>
      <c r="J3428">
        <v>27.99</v>
      </c>
      <c r="K3428" s="2" t="s">
        <v>9116</v>
      </c>
      <c r="L3428">
        <v>4.5</v>
      </c>
      <c r="M3428">
        <v>82</v>
      </c>
      <c r="O3428" t="s">
        <v>136</v>
      </c>
      <c r="P3428" t="s">
        <v>39</v>
      </c>
      <c r="Q3428" t="s">
        <v>9117</v>
      </c>
    </row>
    <row r="3429" spans="1:17" ht="15.75" x14ac:dyDescent="0.25">
      <c r="A3429" s="3" t="str">
        <f>HYPERLINK("https://shop.sonapharmacy.com/products/cleanse-detox-herbal-tea", "https://shop.sonapharmacy.com/products/cleanse-detox-herbal-tea")</f>
        <v>https://shop.sonapharmacy.com/products/cleanse-detox-herbal-tea</v>
      </c>
      <c r="B3429" s="3" t="str">
        <f>HYPERLINK("https://shop.sonapharmacy.com/products/cleanse-detox-herbal-tea", "https://shop.sonapharmacy.com/products/cleanse-detox-herbal-tea")</f>
        <v>https://shop.sonapharmacy.com/products/cleanse-detox-herbal-tea</v>
      </c>
      <c r="C3429" t="s">
        <v>9118</v>
      </c>
      <c r="D3429" t="s">
        <v>9119</v>
      </c>
      <c r="E3429" s="3" t="str">
        <f>HYPERLINK("https://www.amazon.com/Gaia-Herbs-Liver-Cleanse-Herbal/dp/B0B3B8LB93/ref=sr_1_2?keywords=Gaia%C2%AE+Herbs+Cleanse+%26+Detox+Herbal+Tea+16ct.&amp;qid=1695260286&amp;sr=8-2", "https://www.amazon.com/Gaia-Herbs-Liver-Cleanse-Herbal/dp/B0B3B8LB93/ref=sr_1_2?keywords=Gaia%C2%AE+Herbs+Cleanse+%26+Detox+Herbal+Tea+16ct.&amp;qid=1695260286&amp;sr=8-2")</f>
        <v>https://www.amazon.com/Gaia-Herbs-Liver-Cleanse-Herbal/dp/B0B3B8LB93/ref=sr_1_2?keywords=Gaia%C2%AE+Herbs+Cleanse+%26+Detox+Herbal+Tea+16ct.&amp;qid=1695260286&amp;sr=8-2</v>
      </c>
      <c r="F3429" t="s">
        <v>9120</v>
      </c>
      <c r="G3429" t="e">
        <f ca="1">IMAGE("https://shop.sonapharmacy.com/cdn/shop/products/Gaia-Herbs-Cleanse-_-Detox-Herbal-Tea_PKCRC22020_101-0519_PDP_900x_b8674e67-1a1a-479a-8c37-fd6c10ef950f.png?v=1594653735")</f>
        <v>#NAME?</v>
      </c>
      <c r="H3429" t="e">
        <f ca="1">IMAGE("https://m.media-amazon.com/images/I/81QQ6tP0l4L._AC_UL320_.jpg")</f>
        <v>#NAME?</v>
      </c>
      <c r="I3429" t="s">
        <v>8963</v>
      </c>
      <c r="J3429">
        <v>28.75</v>
      </c>
      <c r="K3429" s="2" t="s">
        <v>9121</v>
      </c>
      <c r="L3429">
        <v>4.5</v>
      </c>
      <c r="M3429">
        <v>16</v>
      </c>
      <c r="O3429" t="s">
        <v>26</v>
      </c>
      <c r="P3429" t="s">
        <v>39</v>
      </c>
      <c r="Q3429" t="s">
        <v>9122</v>
      </c>
    </row>
    <row r="3430" spans="1:17" ht="15.75" x14ac:dyDescent="0.25">
      <c r="A3430" s="3" t="str">
        <f>HYPERLINK("https://shop.sonapharmacy.com/products/cleanse-detox-herbal-tea", "https://shop.sonapharmacy.com/products/cleanse-detox-herbal-tea")</f>
        <v>https://shop.sonapharmacy.com/products/cleanse-detox-herbal-tea</v>
      </c>
      <c r="B3430" s="3" t="str">
        <f>HYPERLINK("https://shop.sonapharmacy.com/products/cleanse-detox-herbal-tea", "https://shop.sonapharmacy.com/products/cleanse-detox-herbal-tea")</f>
        <v>https://shop.sonapharmacy.com/products/cleanse-detox-herbal-tea</v>
      </c>
      <c r="C3430" t="s">
        <v>9118</v>
      </c>
      <c r="D3430" t="s">
        <v>9123</v>
      </c>
      <c r="E3430" s="3" t="str">
        <f>HYPERLINK("https://www.amazon.com/Gaia-Herbs-Cleanse-Detox-Tea/dp/B009K24H8K/ref=sr_1_1?keywords=Gaia%C2%AE+Herbs+Cleanse+%26+Detox+Herbal+Tea+16ct.&amp;qid=1695260286&amp;sr=8-1", "https://www.amazon.com/Gaia-Herbs-Cleanse-Detox-Tea/dp/B009K24H8K/ref=sr_1_1?keywords=Gaia%C2%AE+Herbs+Cleanse+%26+Detox+Herbal+Tea+16ct.&amp;qid=1695260286&amp;sr=8-1")</f>
        <v>https://www.amazon.com/Gaia-Herbs-Cleanse-Detox-Tea/dp/B009K24H8K/ref=sr_1_1?keywords=Gaia%C2%AE+Herbs+Cleanse+%26+Detox+Herbal+Tea+16ct.&amp;qid=1695260286&amp;sr=8-1</v>
      </c>
      <c r="F3430" t="s">
        <v>9124</v>
      </c>
      <c r="G3430" t="e">
        <f ca="1">IMAGE("https://shop.sonapharmacy.com/cdn/shop/products/Gaia-Herbs-Cleanse-_-Detox-Herbal-Tea_PKCRC22020_101-0519_PDP_900x_b8674e67-1a1a-479a-8c37-fd6c10ef950f.png?v=1594653735")</f>
        <v>#NAME?</v>
      </c>
      <c r="H3430" t="e">
        <f ca="1">IMAGE("https://m.media-amazon.com/images/I/71jmmTDoKjL._AC_UL320_.jpg")</f>
        <v>#NAME?</v>
      </c>
      <c r="I3430" t="s">
        <v>8963</v>
      </c>
      <c r="J3430">
        <v>28.75</v>
      </c>
      <c r="K3430" s="2" t="s">
        <v>9121</v>
      </c>
      <c r="L3430">
        <v>4.7</v>
      </c>
      <c r="M3430">
        <v>9</v>
      </c>
      <c r="O3430" t="s">
        <v>26</v>
      </c>
      <c r="P3430" t="s">
        <v>39</v>
      </c>
      <c r="Q3430" t="s">
        <v>9122</v>
      </c>
    </row>
    <row r="3431" spans="1:17" ht="15.75" x14ac:dyDescent="0.25">
      <c r="A3431" s="3" t="str">
        <f>HYPERLINK("https://shop.sonapharmacy.com/products/liver-cleanse-herbal-tea", "https://shop.sonapharmacy.com/products/liver-cleanse-herbal-tea")</f>
        <v>https://shop.sonapharmacy.com/products/liver-cleanse-herbal-tea</v>
      </c>
      <c r="B3431" s="3" t="str">
        <f>HYPERLINK("https://shop.sonapharmacy.com/products/liver-cleanse-herbal-tea", "https://shop.sonapharmacy.com/products/liver-cleanse-herbal-tea")</f>
        <v>https://shop.sonapharmacy.com/products/liver-cleanse-herbal-tea</v>
      </c>
      <c r="C3431" t="s">
        <v>9125</v>
      </c>
      <c r="D3431" t="s">
        <v>9123</v>
      </c>
      <c r="E3431" s="3" t="str">
        <f>HYPERLINK("https://www.amazon.com/Gaia-Herbs-Cleanse-Detox-Tea/dp/B009K24H8K/ref=sr_1_3?keywords=Gaia%C2%AE+Herbs+Liver+Cleanse+Herbal+Tea+16ct.&amp;qid=1695260307&amp;sr=8-3", "https://www.amazon.com/Gaia-Herbs-Cleanse-Detox-Tea/dp/B009K24H8K/ref=sr_1_3?keywords=Gaia%C2%AE+Herbs+Liver+Cleanse+Herbal+Tea+16ct.&amp;qid=1695260307&amp;sr=8-3")</f>
        <v>https://www.amazon.com/Gaia-Herbs-Cleanse-Detox-Tea/dp/B009K24H8K/ref=sr_1_3?keywords=Gaia%C2%AE+Herbs+Liver+Cleanse+Herbal+Tea+16ct.&amp;qid=1695260307&amp;sr=8-3</v>
      </c>
      <c r="F3431" t="s">
        <v>9124</v>
      </c>
      <c r="G3431" t="e">
        <f ca="1">IMAGE("https://shop.sonapharmacy.com/cdn/shop/products/LiverCleansetea.png?v=1594736857")</f>
        <v>#NAME?</v>
      </c>
      <c r="H3431" t="e">
        <f ca="1">IMAGE("https://m.media-amazon.com/images/I/71jmmTDoKjL._AC_UL320_.jpg")</f>
        <v>#NAME?</v>
      </c>
      <c r="I3431" t="s">
        <v>8963</v>
      </c>
      <c r="J3431">
        <v>28.75</v>
      </c>
      <c r="K3431" s="2" t="s">
        <v>9121</v>
      </c>
      <c r="L3431">
        <v>4.7</v>
      </c>
      <c r="M3431">
        <v>9</v>
      </c>
      <c r="O3431" t="s">
        <v>26</v>
      </c>
      <c r="P3431" t="s">
        <v>39</v>
      </c>
      <c r="Q3431" t="s">
        <v>9126</v>
      </c>
    </row>
    <row r="3432" spans="1:17" ht="15.75" x14ac:dyDescent="0.25">
      <c r="A3432" s="3" t="str">
        <f>HYPERLINK("https://shop.sonapharmacy.com/products/bronchial-wellness-herbal-tea", "https://shop.sonapharmacy.com/products/bronchial-wellness-herbal-tea")</f>
        <v>https://shop.sonapharmacy.com/products/bronchial-wellness-herbal-tea</v>
      </c>
      <c r="B3432" s="3" t="str">
        <f>HYPERLINK("https://shop.sonapharmacy.com/products/bronchial-wellness-herbal-tea", "https://shop.sonapharmacy.com/products/bronchial-wellness-herbal-tea")</f>
        <v>https://shop.sonapharmacy.com/products/bronchial-wellness-herbal-tea</v>
      </c>
      <c r="C3432" t="s">
        <v>9127</v>
      </c>
      <c r="D3432" t="s">
        <v>9128</v>
      </c>
      <c r="E3432" s="3" t="str">
        <f>HYPERLINK("https://www.amazon.com/Gaia-Herbs-Bronchial-Wellness-Herbal/dp/B0B3BMC26C/ref=sr_1_1?keywords=Gaia%C2%AE+Herbs+Bronchial+Wellness+Herbal+Tea+16ct.&amp;qid=1695260264&amp;sr=8-1", "https://www.amazon.com/Gaia-Herbs-Bronchial-Wellness-Herbal/dp/B0B3BMC26C/ref=sr_1_1?keywords=Gaia%C2%AE+Herbs+Bronchial+Wellness+Herbal+Tea+16ct.&amp;qid=1695260264&amp;sr=8-1")</f>
        <v>https://www.amazon.com/Gaia-Herbs-Bronchial-Wellness-Herbal/dp/B0B3BMC26C/ref=sr_1_1?keywords=Gaia%C2%AE+Herbs+Bronchial+Wellness+Herbal+Tea+16ct.&amp;qid=1695260264&amp;sr=8-1</v>
      </c>
      <c r="F3432" t="s">
        <v>9129</v>
      </c>
      <c r="G3432" t="e">
        <f ca="1">IMAGE("https://shop.sonapharmacy.com/cdn/shop/products/BronchiaWellnessteagaia.png?v=1594653417")</f>
        <v>#NAME?</v>
      </c>
      <c r="H3432" t="e">
        <f ca="1">IMAGE("https://m.media-amazon.com/images/I/81wrjewb6eL._AC_UL320_.jpg")</f>
        <v>#NAME?</v>
      </c>
      <c r="I3432" t="s">
        <v>8963</v>
      </c>
      <c r="J3432">
        <v>28.75</v>
      </c>
      <c r="K3432" s="2" t="s">
        <v>9121</v>
      </c>
      <c r="L3432">
        <v>4.5</v>
      </c>
      <c r="M3432">
        <v>56</v>
      </c>
      <c r="O3432" t="s">
        <v>26</v>
      </c>
      <c r="P3432" t="s">
        <v>39</v>
      </c>
      <c r="Q3432" t="s">
        <v>9130</v>
      </c>
    </row>
    <row r="3433" spans="1:17" ht="15.75" x14ac:dyDescent="0.25">
      <c r="A3433" s="3" t="str">
        <f>HYPERLINK("https://shop.sonapharmacy.com/products/liver-cleanse-herbal-tea", "https://shop.sonapharmacy.com/products/liver-cleanse-herbal-tea")</f>
        <v>https://shop.sonapharmacy.com/products/liver-cleanse-herbal-tea</v>
      </c>
      <c r="B3433" s="3" t="str">
        <f>HYPERLINK("https://shop.sonapharmacy.com/products/liver-cleanse-herbal-tea", "https://shop.sonapharmacy.com/products/liver-cleanse-herbal-tea")</f>
        <v>https://shop.sonapharmacy.com/products/liver-cleanse-herbal-tea</v>
      </c>
      <c r="C3433" t="s">
        <v>9125</v>
      </c>
      <c r="D3433" t="s">
        <v>9119</v>
      </c>
      <c r="E3433" s="3" t="str">
        <f>HYPERLINK("https://www.amazon.com/Gaia-Herbs-Liver-Cleanse-Herbal/dp/B0B3B8LB93/ref=sr_1_2?keywords=Gaia%C2%AE+Herbs+Liver+Cleanse+Herbal+Tea+16ct.&amp;qid=1695260307&amp;sr=8-2", "https://www.amazon.com/Gaia-Herbs-Liver-Cleanse-Herbal/dp/B0B3B8LB93/ref=sr_1_2?keywords=Gaia%C2%AE+Herbs+Liver+Cleanse+Herbal+Tea+16ct.&amp;qid=1695260307&amp;sr=8-2")</f>
        <v>https://www.amazon.com/Gaia-Herbs-Liver-Cleanse-Herbal/dp/B0B3B8LB93/ref=sr_1_2?keywords=Gaia%C2%AE+Herbs+Liver+Cleanse+Herbal+Tea+16ct.&amp;qid=1695260307&amp;sr=8-2</v>
      </c>
      <c r="F3433" t="s">
        <v>9120</v>
      </c>
      <c r="G3433" t="e">
        <f ca="1">IMAGE("https://shop.sonapharmacy.com/cdn/shop/products/LiverCleansetea.png?v=1594736857")</f>
        <v>#NAME?</v>
      </c>
      <c r="H3433" t="e">
        <f ca="1">IMAGE("https://m.media-amazon.com/images/I/81QQ6tP0l4L._AC_UL320_.jpg")</f>
        <v>#NAME?</v>
      </c>
      <c r="I3433" t="s">
        <v>8963</v>
      </c>
      <c r="J3433">
        <v>28.75</v>
      </c>
      <c r="K3433" s="2" t="s">
        <v>9121</v>
      </c>
      <c r="L3433">
        <v>4.5</v>
      </c>
      <c r="M3433">
        <v>16</v>
      </c>
      <c r="O3433" t="s">
        <v>26</v>
      </c>
      <c r="P3433" t="s">
        <v>39</v>
      </c>
      <c r="Q3433" t="s">
        <v>9126</v>
      </c>
    </row>
    <row r="3434" spans="1:17" ht="15.75" x14ac:dyDescent="0.25">
      <c r="A3434" s="3" t="str">
        <f>HYPERLINK("https://shop.sonapharmacy.com/products/carmex%C2%AE-classic-medicated-jar-lip-balm-0-25oz", "https://shop.sonapharmacy.com/products/carmex%C2%AE-classic-medicated-jar-lip-balm-0-25oz")</f>
        <v>https://shop.sonapharmacy.com/products/carmex%C2%AE-classic-medicated-jar-lip-balm-0-25oz</v>
      </c>
      <c r="B3434" s="3" t="str">
        <f>HYPERLINK("https://shop.sonapharmacy.com/products/carmex%c2%ae-classic-medicated-jar-lip-balm-0-25oz", "https://shop.sonapharmacy.com/products/carmex%c2%ae-classic-medicated-jar-lip-balm-0-25oz")</f>
        <v>https://shop.sonapharmacy.com/products/carmex%c2%ae-classic-medicated-jar-lip-balm-0-25oz</v>
      </c>
      <c r="C3434" t="s">
        <v>8234</v>
      </c>
      <c r="D3434" t="s">
        <v>9131</v>
      </c>
      <c r="E3434" s="3" t="str">
        <f>HYPERLINK("https://www.amazon.com/Carmex-Medicated-Variety-Moisturizer-Chapped/dp/B09468VQFZ/ref=sr_1_5?keywords=Carmex%C2%AE+Classic+Medicated+Jar+Lip+Balm+0.25oz&amp;qid=1695260118&amp;sr=8-5", "https://www.amazon.com/Carmex-Medicated-Variety-Moisturizer-Chapped/dp/B09468VQFZ/ref=sr_1_5?keywords=Carmex%C2%AE+Classic+Medicated+Jar+Lip+Balm+0.25oz&amp;qid=1695260118&amp;sr=8-5")</f>
        <v>https://www.amazon.com/Carmex-Medicated-Variety-Moisturizer-Chapped/dp/B09468VQFZ/ref=sr_1_5?keywords=Carmex%C2%AE+Classic+Medicated+Jar+Lip+Balm+0.25oz&amp;qid=1695260118&amp;sr=8-5</v>
      </c>
      <c r="F3434" t="s">
        <v>9132</v>
      </c>
      <c r="G3434" t="e">
        <f ca="1">IMAGE("https://shop.sonapharmacy.com/cdn/shop/products/08307811311.jpg?v=1608231565")</f>
        <v>#NAME?</v>
      </c>
      <c r="H3434" t="e">
        <f ca="1">IMAGE("https://m.media-amazon.com/images/I/81PHTAXuR9L._AC_UL320_.jpg")</f>
        <v>#NAME?</v>
      </c>
      <c r="I3434" t="s">
        <v>8076</v>
      </c>
      <c r="J3434">
        <v>10.99</v>
      </c>
      <c r="K3434" s="2" t="s">
        <v>9133</v>
      </c>
      <c r="L3434">
        <v>4.9000000000000004</v>
      </c>
      <c r="M3434">
        <v>1137</v>
      </c>
      <c r="O3434" t="s">
        <v>26</v>
      </c>
      <c r="P3434" t="s">
        <v>39</v>
      </c>
      <c r="Q3434" t="s">
        <v>8238</v>
      </c>
    </row>
    <row r="3435" spans="1:17" ht="15.75" x14ac:dyDescent="0.25">
      <c r="A3435" s="3" t="str">
        <f>HYPERLINK("https://shop.sonapharmacy.com/products/head-shoulders%C2%AE-classic-clean-2-in-1-13-5fl-oz", "https://shop.sonapharmacy.com/products/head-shoulders%C2%AE-classic-clean-2-in-1-13-5fl-oz")</f>
        <v>https://shop.sonapharmacy.com/products/head-shoulders%C2%AE-classic-clean-2-in-1-13-5fl-oz</v>
      </c>
      <c r="B3435" s="3" t="str">
        <f>HYPERLINK("https://shop.sonapharmacy.com/products/head-shoulders%c2%ae-classic-clean-2-in-1-13-5fl-oz", "https://shop.sonapharmacy.com/products/head-shoulders%c2%ae-classic-clean-2-in-1-13-5fl-oz")</f>
        <v>https://shop.sonapharmacy.com/products/head-shoulders%c2%ae-classic-clean-2-in-1-13-5fl-oz</v>
      </c>
      <c r="C3435" t="s">
        <v>9134</v>
      </c>
      <c r="D3435" t="s">
        <v>9135</v>
      </c>
      <c r="E3435" s="3" t="str">
        <f>HYPERLINK("https://www.amazon.com/Head-Shoulders-Instant-Control-Dandruff/dp/B00OP2693G/ref=sr_1_9?keywords=Head+%26+Shoulders%C2%AE+Classic+Clean+2-In-1+13.5fl.+oz.&amp;qid=1695260392&amp;sr=8-9", "https://www.amazon.com/Head-Shoulders-Instant-Control-Dandruff/dp/B00OP2693G/ref=sr_1_9?keywords=Head+%26+Shoulders%C2%AE+Classic+Clean+2-In-1+13.5fl.+oz.&amp;qid=1695260392&amp;sr=8-9")</f>
        <v>https://www.amazon.com/Head-Shoulders-Instant-Control-Dandruff/dp/B00OP2693G/ref=sr_1_9?keywords=Head+%26+Shoulders%C2%AE+Classic+Clean+2-In-1+13.5fl.+oz.&amp;qid=1695260392&amp;sr=8-9</v>
      </c>
      <c r="F3435" t="s">
        <v>9136</v>
      </c>
      <c r="G3435" t="e">
        <f ca="1">IMAGE("https://shop.sonapharmacy.com/cdn/shop/products/00000090677446_C1N1_NA.jpg?v=1609100630")</f>
        <v>#NAME?</v>
      </c>
      <c r="H3435" t="e">
        <f ca="1">IMAGE("https://m.media-amazon.com/images/I/81S5zpRy8aL._AC_UL320_.jpg")</f>
        <v>#NAME?</v>
      </c>
      <c r="I3435" t="s">
        <v>9137</v>
      </c>
      <c r="J3435">
        <v>35.85</v>
      </c>
      <c r="K3435" s="2" t="s">
        <v>9138</v>
      </c>
      <c r="L3435">
        <v>3.7</v>
      </c>
      <c r="M3435">
        <v>52</v>
      </c>
      <c r="O3435" t="s">
        <v>26</v>
      </c>
      <c r="P3435" t="s">
        <v>39</v>
      </c>
      <c r="Q3435" t="s">
        <v>9139</v>
      </c>
    </row>
    <row r="3436" spans="1:17" ht="15.75" x14ac:dyDescent="0.25">
      <c r="A3436" s="3" t="str">
        <f>HYPERLINK("https://shop.sonapharmacy.com/products/omega-3-pet", "https://shop.sonapharmacy.com/products/omega-3-pet")</f>
        <v>https://shop.sonapharmacy.com/products/omega-3-pet</v>
      </c>
      <c r="B3436" s="3" t="str">
        <f>HYPERLINK("https://shop.sonapharmacy.com/products/omega-3-pet", "https://shop.sonapharmacy.com/products/omega-3-pet")</f>
        <v>https://shop.sonapharmacy.com/products/omega-3-pet</v>
      </c>
      <c r="C3436" t="s">
        <v>9140</v>
      </c>
      <c r="D3436" t="s">
        <v>9141</v>
      </c>
      <c r="E3436" s="3" t="str">
        <f>HYPERLINK("https://www.amazon.com/Nordic-Naturals-Omega-3-Count-Soft/dp/B00B4FDBIS/ref=sr_1_6?keywords=Nordic+Naturals+Omega-3+Pet+Softgels&amp;qid=1695260579&amp;sr=8-6", "https://www.amazon.com/Nordic-Naturals-Omega-3-Count-Soft/dp/B00B4FDBIS/ref=sr_1_6?keywords=Nordic+Naturals+Omega-3+Pet+Softgels&amp;qid=1695260579&amp;sr=8-6")</f>
        <v>https://www.amazon.com/Nordic-Naturals-Omega-3-Count-Soft/dp/B00B4FDBIS/ref=sr_1_6?keywords=Nordic+Naturals+Omega-3+Pet+Softgels&amp;qid=1695260579&amp;sr=8-6</v>
      </c>
      <c r="F3436" t="s">
        <v>9142</v>
      </c>
      <c r="G3436" t="e">
        <f ca="1">IMAGE("https://shop.sonapharmacy.com/cdn/shop/products/90.jpg?v=1610050123")</f>
        <v>#NAME?</v>
      </c>
      <c r="H3436" t="e">
        <f ca="1">IMAGE("https://m.media-amazon.com/images/I/718IVIzzAhL._AC_UL320_.jpg")</f>
        <v>#NAME?</v>
      </c>
      <c r="I3436" t="s">
        <v>9143</v>
      </c>
      <c r="J3436">
        <v>94.23</v>
      </c>
      <c r="K3436" s="2" t="s">
        <v>9144</v>
      </c>
      <c r="L3436">
        <v>4.3</v>
      </c>
      <c r="M3436">
        <v>68</v>
      </c>
      <c r="O3436" t="s">
        <v>39</v>
      </c>
      <c r="P3436" t="s">
        <v>39</v>
      </c>
      <c r="Q3436" t="s">
        <v>9145</v>
      </c>
    </row>
    <row r="3437" spans="1:17" ht="15.75" x14ac:dyDescent="0.25">
      <c r="A3437" s="3" t="str">
        <f>HYPERLINK("https://shop.sonapharmacy.com/products/duracell%C2%AE-303-357-76-silver-oxide-button-battery", "https://shop.sonapharmacy.com/products/duracell%C2%AE-303-357-76-silver-oxide-button-battery")</f>
        <v>https://shop.sonapharmacy.com/products/duracell%C2%AE-303-357-76-silver-oxide-button-battery</v>
      </c>
      <c r="B3437" s="3" t="str">
        <f>HYPERLINK("https://shop.sonapharmacy.com/products/duracell%c2%ae-303-357-76-silver-oxide-button-battery", "https://shop.sonapharmacy.com/products/duracell%c2%ae-303-357-76-silver-oxide-button-battery")</f>
        <v>https://shop.sonapharmacy.com/products/duracell%c2%ae-303-357-76-silver-oxide-button-battery</v>
      </c>
      <c r="C3437" t="s">
        <v>8329</v>
      </c>
      <c r="D3437" t="s">
        <v>9146</v>
      </c>
      <c r="E3437" s="3" t="str">
        <f>HYPERLINK("https://www.amazon.com/Duracell-SR44W-Silver-Oxide-Battery/dp/B013IL9KYO/ref=sr_1_4?keywords=Duracell%C2%AE+303%2F357%2F76+Silver+Oxide+Button+Battery&amp;qid=1695260202&amp;sr=8-4", "https://www.amazon.com/Duracell-SR44W-Silver-Oxide-Battery/dp/B013IL9KYO/ref=sr_1_4?keywords=Duracell%C2%AE+303%2F357%2F76+Silver+Oxide+Button+Battery&amp;qid=1695260202&amp;sr=8-4")</f>
        <v>https://www.amazon.com/Duracell-SR44W-Silver-Oxide-Battery/dp/B013IL9KYO/ref=sr_1_4?keywords=Duracell%C2%AE+303%2F357%2F76+Silver+Oxide+Button+Battery&amp;qid=1695260202&amp;sr=8-4</v>
      </c>
      <c r="F3437" t="s">
        <v>9147</v>
      </c>
      <c r="G3437" t="e">
        <f ca="1">IMAGE("https://shop.sonapharmacy.com/cdn/shop/products/3099066_A.eps_High_540x_008cc7a8-ba13-4a78-a067-abc0e573a874.jpg?v=1610332687")</f>
        <v>#NAME?</v>
      </c>
      <c r="H3437" t="e">
        <f ca="1">IMAGE("https://m.media-amazon.com/images/I/51oXtaZVyGL._AC_UL320_.jpg")</f>
        <v>#NAME?</v>
      </c>
      <c r="I3437" t="s">
        <v>8332</v>
      </c>
      <c r="J3437">
        <v>39.99</v>
      </c>
      <c r="K3437" s="2" t="s">
        <v>9148</v>
      </c>
      <c r="L3437">
        <v>4.5</v>
      </c>
      <c r="M3437">
        <v>17</v>
      </c>
      <c r="O3437" t="s">
        <v>26</v>
      </c>
      <c r="P3437" t="s">
        <v>39</v>
      </c>
      <c r="Q3437" t="s">
        <v>8334</v>
      </c>
    </row>
    <row r="3438" spans="1:17" ht="15.75" x14ac:dyDescent="0.25">
      <c r="A3438" s="3" t="str">
        <f>HYPERLINK("https://shop.sonapharmacy.com/products/macks%C2%AE-pillow-soft%C2%AE-silicone-putty-ear-plugs", "https://shop.sonapharmacy.com/products/macks%C2%AE-pillow-soft%C2%AE-silicone-putty-ear-plugs")</f>
        <v>https://shop.sonapharmacy.com/products/macks%C2%AE-pillow-soft%C2%AE-silicone-putty-ear-plugs</v>
      </c>
      <c r="B3438" s="3" t="str">
        <f>HYPERLINK("https://shop.sonapharmacy.com/products/macks%c2%ae-pillow-soft%c2%ae-silicone-putty-ear-plugs", "https://shop.sonapharmacy.com/products/macks%c2%ae-pillow-soft%c2%ae-silicone-putty-ear-plugs")</f>
        <v>https://shop.sonapharmacy.com/products/macks%c2%ae-pillow-soft%c2%ae-silicone-putty-ear-plugs</v>
      </c>
      <c r="C3438" t="s">
        <v>7949</v>
      </c>
      <c r="D3438" t="s">
        <v>9149</v>
      </c>
      <c r="E3438" s="3" t="str">
        <f>HYPERLINK("https://www.amazon.com/Macks-Pillow-Soft-Silicone-Earplugs/dp/B07G1MWHNR/ref=sr_1_1?keywords=Mack%27s%C2%AE+Pillow+Soft%C2%AE+Silicone+Putty+Ear+Plugs&amp;qid=1695260450&amp;sr=8-1", "https://www.amazon.com/Macks-Pillow-Soft-Silicone-Earplugs/dp/B07G1MWHNR/ref=sr_1_1?keywords=Mack%27s%C2%AE+Pillow+Soft%C2%AE+Silicone+Putty+Ear+Plugs&amp;qid=1695260450&amp;sr=8-1")</f>
        <v>https://www.amazon.com/Macks-Pillow-Soft-Silicone-Earplugs/dp/B07G1MWHNR/ref=sr_1_1?keywords=Mack%27s%C2%AE+Pillow+Soft%C2%AE+Silicone+Putty+Ear+Plugs&amp;qid=1695260450&amp;sr=8-1</v>
      </c>
      <c r="F3438" t="s">
        <v>9150</v>
      </c>
      <c r="G3438" t="e">
        <f ca="1">IMAGE("https://shop.sonapharmacy.com/cdn/shop/products/71Rta0uAlwL._AC_SL1500.jpg?v=1609171871")</f>
        <v>#NAME?</v>
      </c>
      <c r="H3438" t="e">
        <f ca="1">IMAGE("https://m.media-amazon.com/images/I/71u0gdemOzL._AC_UL320_.jpg")</f>
        <v>#NAME?</v>
      </c>
      <c r="I3438" t="s">
        <v>7952</v>
      </c>
      <c r="J3438">
        <v>12.99</v>
      </c>
      <c r="K3438" s="2" t="s">
        <v>9151</v>
      </c>
      <c r="L3438">
        <v>4.5999999999999996</v>
      </c>
      <c r="M3438">
        <v>3623</v>
      </c>
      <c r="O3438" t="s">
        <v>26</v>
      </c>
      <c r="P3438" t="s">
        <v>39</v>
      </c>
      <c r="Q3438" t="s">
        <v>7954</v>
      </c>
    </row>
    <row r="3439" spans="1:17" ht="15.75" x14ac:dyDescent="0.25">
      <c r="A3439" s="3" t="str">
        <f>HYPERLINK("https://shop.sonapharmacy.com/products/arrid%E2%84%A2-extra-extra-dry%E2%84%A2-regular-solid-deodorant-2-6oz", "https://shop.sonapharmacy.com/products/arrid%E2%84%A2-extra-extra-dry%E2%84%A2-regular-solid-deodorant-2-6oz")</f>
        <v>https://shop.sonapharmacy.com/products/arrid%E2%84%A2-extra-extra-dry%E2%84%A2-regular-solid-deodorant-2-6oz</v>
      </c>
      <c r="B3439" s="3" t="str">
        <f>HYPERLINK("https://shop.sonapharmacy.com/products/arrid%e2%84%a2-extra-extra-dry%e2%84%a2-regular-solid-deodorant-2-6oz", "https://shop.sonapharmacy.com/products/arrid%e2%84%a2-extra-extra-dry%e2%84%a2-regular-solid-deodorant-2-6oz")</f>
        <v>https://shop.sonapharmacy.com/products/arrid%e2%84%a2-extra-extra-dry%e2%84%a2-regular-solid-deodorant-2-6oz</v>
      </c>
      <c r="C3439" t="s">
        <v>8825</v>
      </c>
      <c r="D3439" t="s">
        <v>9152</v>
      </c>
      <c r="E3439" s="3" t="str">
        <f>HYPERLINK("https://www.amazon.com/Arrid-Strength-Antiperspirant-Deodorant-2-6-Ounce/dp/B001E7685O/ref=sr_1_5?keywords=ARRID+Extra+Extra+Dry+Regular+Solid+Deodorant+2.6oz.&amp;qid=1695260024&amp;sr=8-5", "https://www.amazon.com/Arrid-Strength-Antiperspirant-Deodorant-2-6-Ounce/dp/B001E7685O/ref=sr_1_5?keywords=ARRID+Extra+Extra+Dry+Regular+Solid+Deodorant+2.6oz.&amp;qid=1695260024&amp;sr=8-5")</f>
        <v>https://www.amazon.com/Arrid-Strength-Antiperspirant-Deodorant-2-6-Ounce/dp/B001E7685O/ref=sr_1_5?keywords=ARRID+Extra+Extra+Dry+Regular+Solid+Deodorant+2.6oz.&amp;qid=1695260024&amp;sr=8-5</v>
      </c>
      <c r="F3439" t="s">
        <v>9153</v>
      </c>
      <c r="G3439" t="e">
        <f ca="1">IMAGE("https://shop.sonapharmacy.com/cdn/shop/products/02260019062.jpg?v=1609341523")</f>
        <v>#NAME?</v>
      </c>
      <c r="H3439" t="e">
        <f ca="1">IMAGE("https://m.media-amazon.com/images/I/71wAwRuRj+L._AC_UL320_.jpg")</f>
        <v>#NAME?</v>
      </c>
      <c r="I3439" t="s">
        <v>8828</v>
      </c>
      <c r="J3439">
        <v>19.850000000000001</v>
      </c>
      <c r="K3439" s="2" t="s">
        <v>9154</v>
      </c>
      <c r="L3439">
        <v>4.7</v>
      </c>
      <c r="M3439">
        <v>812</v>
      </c>
      <c r="O3439" t="s">
        <v>26</v>
      </c>
      <c r="P3439" t="s">
        <v>39</v>
      </c>
      <c r="Q3439" t="s">
        <v>8830</v>
      </c>
    </row>
    <row r="3440" spans="1:17" ht="15.75" x14ac:dyDescent="0.25">
      <c r="A3440" s="3" t="str">
        <f>HYPERLINK("https://shop.sonapharmacy.com/products/q-tips-cotton-swabs", "https://shop.sonapharmacy.com/products/q-tips-cotton-swabs")</f>
        <v>https://shop.sonapharmacy.com/products/q-tips-cotton-swabs</v>
      </c>
      <c r="B3440" s="3" t="str">
        <f>HYPERLINK("https://shop.sonapharmacy.com/products/q-tips-cotton-swabs", "https://shop.sonapharmacy.com/products/q-tips-cotton-swabs")</f>
        <v>https://shop.sonapharmacy.com/products/q-tips-cotton-swabs</v>
      </c>
      <c r="C3440" t="s">
        <v>9155</v>
      </c>
      <c r="D3440" t="s">
        <v>9156</v>
      </c>
      <c r="E3440" s="3" t="str">
        <f>HYPERLINK("https://www.amazon.com/Q-Tips-Cotton-Swabs-Club-Pack/dp/B00MOJUQAO/ref=sr_1_9?keywords=Q-tips+Cotton+Swabs&amp;qid=1695260660&amp;sr=8-9", "https://www.amazon.com/Q-Tips-Cotton-Swabs-Club-Pack/dp/B00MOJUQAO/ref=sr_1_9?keywords=Q-tips+Cotton+Swabs&amp;qid=1695260660&amp;sr=8-9")</f>
        <v>https://www.amazon.com/Q-Tips-Cotton-Swabs-Club-Pack/dp/B00MOJUQAO/ref=sr_1_9?keywords=Q-tips+Cotton+Swabs&amp;qid=1695260660&amp;sr=8-9</v>
      </c>
      <c r="F3440" t="s">
        <v>9157</v>
      </c>
      <c r="G3440" t="e">
        <f ca="1">IMAGE("https://shop.sonapharmacy.com/cdn/shop/products/qtips_travel.png?v=1606762585")</f>
        <v>#NAME?</v>
      </c>
      <c r="H3440" t="e">
        <f ca="1">IMAGE("https://m.media-amazon.com/images/I/91uJDzXgBdL._AC_UL320_.jpg")</f>
        <v>#NAME?</v>
      </c>
      <c r="I3440" t="s">
        <v>8927</v>
      </c>
      <c r="J3440">
        <v>17.66</v>
      </c>
      <c r="K3440" s="2" t="s">
        <v>9158</v>
      </c>
      <c r="L3440">
        <v>4.7</v>
      </c>
      <c r="M3440">
        <v>3391</v>
      </c>
      <c r="O3440" t="s">
        <v>26</v>
      </c>
      <c r="P3440" t="s">
        <v>39</v>
      </c>
      <c r="Q3440" t="s">
        <v>9159</v>
      </c>
    </row>
    <row r="3441" spans="1:17" ht="15.75" x14ac:dyDescent="0.25">
      <c r="A3441" s="3" t="str">
        <f>HYPERLINK("https://shop.sonapharmacy.com/products/airborne-original-immune-support-supplement-chewable-tablets", "https://shop.sonapharmacy.com/products/airborne-original-immune-support-supplement-chewable-tablets")</f>
        <v>https://shop.sonapharmacy.com/products/airborne-original-immune-support-supplement-chewable-tablets</v>
      </c>
      <c r="B3441" s="3" t="str">
        <f>HYPERLINK("https://shop.sonapharmacy.com/products/airborne-original-immune-support-supplement-chewable-tablets", "https://shop.sonapharmacy.com/products/airborne-original-immune-support-supplement-chewable-tablets")</f>
        <v>https://shop.sonapharmacy.com/products/airborne-original-immune-support-supplement-chewable-tablets</v>
      </c>
      <c r="C3441" t="s">
        <v>8382</v>
      </c>
      <c r="D3441" t="s">
        <v>9160</v>
      </c>
      <c r="E3441" s="3" t="str">
        <f>HYPERLINK("https://www.amazon.com/Airborne-Chews-Zinc-32-Pack/dp/B08WHD5L6B/ref=sr_1_1?keywords=Airborne+Original+Immune+Support+Supplement+Chewable+Tablets+32ct.&amp;qid=1695260010&amp;sr=8-1", "https://www.amazon.com/Airborne-Chews-Zinc-32-Pack/dp/B08WHD5L6B/ref=sr_1_1?keywords=Airborne+Original+Immune+Support+Supplement+Chewable+Tablets+32ct.&amp;qid=1695260010&amp;sr=8-1")</f>
        <v>https://www.amazon.com/Airborne-Chews-Zinc-32-Pack/dp/B08WHD5L6B/ref=sr_1_1?keywords=Airborne+Original+Immune+Support+Supplement+Chewable+Tablets+32ct.&amp;qid=1695260010&amp;sr=8-1</v>
      </c>
      <c r="F3441" t="s">
        <v>9161</v>
      </c>
      <c r="G3441" t="e">
        <f ca="1">IMAGE("https://shop.sonapharmacy.com/cdn/shop/products/Untitled-97.jpg?v=1611169249")</f>
        <v>#NAME?</v>
      </c>
      <c r="H3441" t="e">
        <f ca="1">IMAGE("https://m.media-amazon.com/images/I/81GLtpzrlJL._AC_UL320_.jpg")</f>
        <v>#NAME?</v>
      </c>
      <c r="I3441" t="s">
        <v>8385</v>
      </c>
      <c r="J3441">
        <v>48.7</v>
      </c>
      <c r="K3441" s="2" t="s">
        <v>9162</v>
      </c>
      <c r="L3441">
        <v>4.8</v>
      </c>
      <c r="M3441">
        <v>9680</v>
      </c>
      <c r="O3441" t="s">
        <v>26</v>
      </c>
      <c r="P3441" t="s">
        <v>39</v>
      </c>
      <c r="Q3441" t="s">
        <v>8387</v>
      </c>
    </row>
    <row r="3442" spans="1:17" ht="15.75" x14ac:dyDescent="0.25">
      <c r="A3442" s="3" t="str">
        <f>HYPERLINK("https://shop.sonapharmacy.com/products/aquaphor%C2%AE-baby-healing-ointment-3oz", "https://shop.sonapharmacy.com/products/aquaphor%C2%AE-baby-healing-ointment-3oz")</f>
        <v>https://shop.sonapharmacy.com/products/aquaphor%C2%AE-baby-healing-ointment-3oz</v>
      </c>
      <c r="B3442" s="3" t="str">
        <f>HYPERLINK("https://shop.sonapharmacy.com/products/aquaphor%c2%ae-baby-healing-ointment-3oz", "https://shop.sonapharmacy.com/products/aquaphor%c2%ae-baby-healing-ointment-3oz")</f>
        <v>https://shop.sonapharmacy.com/products/aquaphor%c2%ae-baby-healing-ointment-3oz</v>
      </c>
      <c r="C3442" t="s">
        <v>8778</v>
      </c>
      <c r="D3442" t="s">
        <v>9163</v>
      </c>
      <c r="E3442" s="3" t="str">
        <f>HYPERLINK("https://www.amazon.com/Aquaphor-Baby-Healing-Ointment-Pack/dp/B00IAJHWJU/ref=sr_1_3?keywords=Aquaphor+Baby+Healing+Ointment+3oz.&amp;qid=1695260046&amp;sr=8-3", "https://www.amazon.com/Aquaphor-Baby-Healing-Ointment-Pack/dp/B00IAJHWJU/ref=sr_1_3?keywords=Aquaphor+Baby+Healing+Ointment+3oz.&amp;qid=1695260046&amp;sr=8-3")</f>
        <v>https://www.amazon.com/Aquaphor-Baby-Healing-Ointment-Pack/dp/B00IAJHWJU/ref=sr_1_3?keywords=Aquaphor+Baby+Healing+Ointment+3oz.&amp;qid=1695260046&amp;sr=8-3</v>
      </c>
      <c r="F3442" t="s">
        <v>9164</v>
      </c>
      <c r="G3442" t="e">
        <f ca="1">IMAGE("https://shop.sonapharmacy.com/cdn/shop/products/71g48qVpgpL._AC_SL1500.jpg?v=1609262462")</f>
        <v>#NAME?</v>
      </c>
      <c r="H3442" t="e">
        <f ca="1">IMAGE("https://m.media-amazon.com/images/I/71TMdRuEQSL._AC_UL320_.jpg")</f>
        <v>#NAME?</v>
      </c>
      <c r="I3442" t="s">
        <v>8781</v>
      </c>
      <c r="J3442">
        <v>45.55</v>
      </c>
      <c r="K3442" s="2" t="s">
        <v>9165</v>
      </c>
      <c r="L3442">
        <v>5</v>
      </c>
      <c r="M3442">
        <v>1</v>
      </c>
      <c r="O3442" t="s">
        <v>26</v>
      </c>
      <c r="P3442" t="s">
        <v>39</v>
      </c>
      <c r="Q3442" t="s">
        <v>8783</v>
      </c>
    </row>
    <row r="3443" spans="1:17" ht="15.75" x14ac:dyDescent="0.25">
      <c r="A3443" s="3" t="str">
        <f>HYPERLINK("https://shop.sonapharmacy.com/products/duracell%C2%AE-aaa-coppertop-alkaline-batteries", "https://shop.sonapharmacy.com/products/duracell%C2%AE-aaa-coppertop-alkaline-batteries")</f>
        <v>https://shop.sonapharmacy.com/products/duracell%C2%AE-aaa-coppertop-alkaline-batteries</v>
      </c>
      <c r="B3443" s="3" t="str">
        <f>HYPERLINK("https://shop.sonapharmacy.com/products/duracell%c2%ae-aaa-coppertop-alkaline-batteries", "https://shop.sonapharmacy.com/products/duracell%c2%ae-aaa-coppertop-alkaline-batteries")</f>
        <v>https://shop.sonapharmacy.com/products/duracell%c2%ae-aaa-coppertop-alkaline-batteries</v>
      </c>
      <c r="C3443" t="s">
        <v>8166</v>
      </c>
      <c r="D3443" t="s">
        <v>9166</v>
      </c>
      <c r="E3443" s="3" t="str">
        <f>HYPERLINK("https://www.amazon.com/Duracell-1-5V-CopperTop-Alkaline-Batteries/dp/B083RKJ6SD/ref=sr_1_10?keywords=Duracell%C2%AE+AAA+CopperTop+Alkaline+Batteries&amp;qid=1695260225&amp;sr=8-10", "https://www.amazon.com/Duracell-1-5V-CopperTop-Alkaline-Batteries/dp/B083RKJ6SD/ref=sr_1_10?keywords=Duracell%C2%AE+AAA+CopperTop+Alkaline+Batteries&amp;qid=1695260225&amp;sr=8-10")</f>
        <v>https://www.amazon.com/Duracell-1-5V-CopperTop-Alkaline-Batteries/dp/B083RKJ6SD/ref=sr_1_10?keywords=Duracell%C2%AE+AAA+CopperTop+Alkaline+Batteries&amp;qid=1695260225&amp;sr=8-10</v>
      </c>
      <c r="F3443" t="s">
        <v>9167</v>
      </c>
      <c r="G3443" t="e">
        <f ca="1">IMAGE("https://shop.sonapharmacy.com/cdn/shop/products/4711941b-a083-4277-8d8a-0a1bce8b082a_1.a291637149acb335ff96c25aae0e8bc1.png?v=1610335288")</f>
        <v>#NAME?</v>
      </c>
      <c r="H3443" t="e">
        <f ca="1">IMAGE("https://m.media-amazon.com/images/I/61xmrOqZndL._AC_UL320_.jpg")</f>
        <v>#NAME?</v>
      </c>
      <c r="I3443" t="s">
        <v>8169</v>
      </c>
      <c r="J3443">
        <v>35.99</v>
      </c>
      <c r="K3443" s="2" t="s">
        <v>9168</v>
      </c>
      <c r="L3443">
        <v>4.5999999999999996</v>
      </c>
      <c r="M3443">
        <v>69</v>
      </c>
      <c r="O3443" t="s">
        <v>26</v>
      </c>
      <c r="P3443" t="s">
        <v>39</v>
      </c>
      <c r="Q3443" t="s">
        <v>8171</v>
      </c>
    </row>
    <row r="3444" spans="1:17" ht="15.75" x14ac:dyDescent="0.25">
      <c r="A3444" s="3" t="str">
        <f>HYPERLINK("https://shop.sonapharmacy.com/products/ricola-cherry-honey-cough-drops-24ct", "https://shop.sonapharmacy.com/products/ricola-cherry-honey-cough-drops-24ct")</f>
        <v>https://shop.sonapharmacy.com/products/ricola-cherry-honey-cough-drops-24ct</v>
      </c>
      <c r="B3444" s="3" t="str">
        <f>HYPERLINK("https://shop.sonapharmacy.com/products/ricola-cherry-honey-cough-drops-24ct", "https://shop.sonapharmacy.com/products/ricola-cherry-honey-cough-drops-24ct")</f>
        <v>https://shop.sonapharmacy.com/products/ricola-cherry-honey-cough-drops-24ct</v>
      </c>
      <c r="C3444" t="s">
        <v>9169</v>
      </c>
      <c r="D3444" t="s">
        <v>9170</v>
      </c>
      <c r="E3444" s="3" t="str">
        <f>HYPERLINK("https://www.amazon.com/Ricola-Herbal-Suppressant-Throat-Variety/dp/B08655JGF7/ref=sr_1_1?keywords=Ricola+Cherry+Honey+Cough+Drops+24ct&amp;qid=1695260689&amp;sr=8-1", "https://www.amazon.com/Ricola-Herbal-Suppressant-Throat-Variety/dp/B08655JGF7/ref=sr_1_1?keywords=Ricola+Cherry+Honey+Cough+Drops+24ct&amp;qid=1695260689&amp;sr=8-1")</f>
        <v>https://www.amazon.com/Ricola-Herbal-Suppressant-Throat-Variety/dp/B08655JGF7/ref=sr_1_1?keywords=Ricola+Cherry+Honey+Cough+Drops+24ct&amp;qid=1695260689&amp;sr=8-1</v>
      </c>
      <c r="F3444" t="s">
        <v>9171</v>
      </c>
      <c r="G3444" t="e">
        <f ca="1">IMAGE("https://shop.sonapharmacy.com/cdn/shop/products/cherryhoney_bag_24.png?v=1608219537")</f>
        <v>#NAME?</v>
      </c>
      <c r="H3444" t="e">
        <f ca="1">IMAGE("https://m.media-amazon.com/images/I/81ytna9kFoL._AC_UL320_.jpg")</f>
        <v>#NAME?</v>
      </c>
      <c r="I3444" t="s">
        <v>8279</v>
      </c>
      <c r="J3444">
        <v>17.989999999999998</v>
      </c>
      <c r="K3444" s="2" t="s">
        <v>9172</v>
      </c>
      <c r="L3444">
        <v>4.7</v>
      </c>
      <c r="M3444">
        <v>891</v>
      </c>
      <c r="O3444" t="s">
        <v>26</v>
      </c>
      <c r="P3444" t="s">
        <v>39</v>
      </c>
      <c r="Q3444" t="s">
        <v>9173</v>
      </c>
    </row>
    <row r="3445" spans="1:17" ht="15.75" x14ac:dyDescent="0.25">
      <c r="A3445"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B3445"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C3445" t="s">
        <v>9018</v>
      </c>
      <c r="D3445" t="s">
        <v>9174</v>
      </c>
      <c r="E3445" s="3" t="str">
        <f>HYPERLINK("https://www.amazon.com/Degree-Antiperspirant-Deodorant-Spray-Shower/dp/B09C2KC7F9/ref=sr_1_9?keywords=Degree%C2%AE+Shower+Clean+Dry+Protection+Antiperspirant+Deodorant+Stick&amp;qid=1695260181&amp;sr=8-9", "https://www.amazon.com/Degree-Antiperspirant-Deodorant-Spray-Shower/dp/B09C2KC7F9/ref=sr_1_9?keywords=Degree%C2%AE+Shower+Clean+Dry+Protection+Antiperspirant+Deodorant+Stick&amp;qid=1695260181&amp;sr=8-9")</f>
        <v>https://www.amazon.com/Degree-Antiperspirant-Deodorant-Spray-Shower/dp/B09C2KC7F9/ref=sr_1_9?keywords=Degree%C2%AE+Shower+Clean+Dry+Protection+Antiperspirant+Deodorant+Stick&amp;qid=1695260181&amp;sr=8-9</v>
      </c>
      <c r="F3445" t="s">
        <v>9175</v>
      </c>
      <c r="G3445" t="e">
        <f ca="1">IMAGE("https://shop.sonapharmacy.com/cdn/shop/products/DegreeShowerFront.png?v=1607052182")</f>
        <v>#NAME?</v>
      </c>
      <c r="H3445" t="e">
        <f ca="1">IMAGE("https://m.media-amazon.com/images/I/81nlrzL40yL._AC_UL320_.jpg")</f>
        <v>#NAME?</v>
      </c>
      <c r="I3445" t="s">
        <v>8264</v>
      </c>
      <c r="J3445">
        <v>23.12</v>
      </c>
      <c r="K3445" s="2" t="s">
        <v>9176</v>
      </c>
      <c r="L3445">
        <v>4.5999999999999996</v>
      </c>
      <c r="M3445">
        <v>22211</v>
      </c>
      <c r="O3445" t="s">
        <v>26</v>
      </c>
      <c r="P3445" t="s">
        <v>39</v>
      </c>
      <c r="Q3445" t="s">
        <v>9022</v>
      </c>
    </row>
    <row r="3446" spans="1:17" ht="15.75" x14ac:dyDescent="0.25">
      <c r="A3446" s="3" t="str">
        <f>HYPERLINK("https://shop.sonapharmacy.com/products/halls-relief-honey-lemon-cough-drops", "https://shop.sonapharmacy.com/products/halls-relief-honey-lemon-cough-drops")</f>
        <v>https://shop.sonapharmacy.com/products/halls-relief-honey-lemon-cough-drops</v>
      </c>
      <c r="B3446" s="3" t="str">
        <f>HYPERLINK("https://shop.sonapharmacy.com/products/halls-relief-honey-lemon-cough-drops", "https://shop.sonapharmacy.com/products/halls-relief-honey-lemon-cough-drops")</f>
        <v>https://shop.sonapharmacy.com/products/halls-relief-honey-lemon-cough-drops</v>
      </c>
      <c r="C3446" t="s">
        <v>8031</v>
      </c>
      <c r="D3446" t="s">
        <v>9177</v>
      </c>
      <c r="E3446" s="3" t="str">
        <f>HYPERLINK("https://www.amazon.com/HALLS-Relief-Honey-Lemon-Cough/dp/B07MD819YV/ref=sr_1_1?keywords=Halls%C2%AE+Relief+Honey+Lemon+Cough+Drops&amp;qid=1695260411&amp;sr=8-1", "https://www.amazon.com/HALLS-Relief-Honey-Lemon-Cough/dp/B07MD819YV/ref=sr_1_1?keywords=Halls%C2%AE+Relief+Honey+Lemon+Cough+Drops&amp;qid=1695260411&amp;sr=8-1")</f>
        <v>https://www.amazon.com/HALLS-Relief-Honey-Lemon-Cough/dp/B07MD819YV/ref=sr_1_1?keywords=Halls%C2%AE+Relief+Honey+Lemon+Cough+Drops&amp;qid=1695260411&amp;sr=8-1</v>
      </c>
      <c r="F3446" t="s">
        <v>9178</v>
      </c>
      <c r="G3446" t="e">
        <f ca="1">IMAGE("https://shop.sonapharmacy.com/cdn/shop/products/HALLS_Menthol_HoneyLemon_30ct.png?v=1608215589")</f>
        <v>#NAME?</v>
      </c>
      <c r="H3446" t="e">
        <f ca="1">IMAGE("https://m.media-amazon.com/images/I/81hZrqWyU0L._AC_UL320_.jpg")</f>
        <v>#NAME?</v>
      </c>
      <c r="I3446" t="s">
        <v>8034</v>
      </c>
      <c r="J3446">
        <v>14.47</v>
      </c>
      <c r="K3446" s="2" t="s">
        <v>9179</v>
      </c>
      <c r="L3446">
        <v>4.8</v>
      </c>
      <c r="M3446">
        <v>15853</v>
      </c>
      <c r="O3446" t="s">
        <v>26</v>
      </c>
      <c r="P3446" t="s">
        <v>39</v>
      </c>
      <c r="Q3446" t="s">
        <v>8036</v>
      </c>
    </row>
    <row r="3447" spans="1:17" ht="15.75" x14ac:dyDescent="0.25">
      <c r="A3447" s="3" t="str">
        <f>HYPERLINK("https://shop.sonapharmacy.com/products/blink%C2%AE-tears-dry-eye-lubricating-eye-drops-0-5fl-oz", "https://shop.sonapharmacy.com/products/blink%C2%AE-tears-dry-eye-lubricating-eye-drops-0-5fl-oz")</f>
        <v>https://shop.sonapharmacy.com/products/blink%C2%AE-tears-dry-eye-lubricating-eye-drops-0-5fl-oz</v>
      </c>
      <c r="B3447" s="3" t="str">
        <f>HYPERLINK("https://shop.sonapharmacy.com/products/blink%c2%ae-tears-dry-eye-lubricating-eye-drops-0-5fl-oz", "https://shop.sonapharmacy.com/products/blink%c2%ae-tears-dry-eye-lubricating-eye-drops-0-5fl-oz")</f>
        <v>https://shop.sonapharmacy.com/products/blink%c2%ae-tears-dry-eye-lubricating-eye-drops-0-5fl-oz</v>
      </c>
      <c r="C3447" t="s">
        <v>9096</v>
      </c>
      <c r="D3447" t="s">
        <v>9180</v>
      </c>
      <c r="E3447" s="3" t="str">
        <f>HYPERLINK("https://www.amazon.com/Blink-Tears-Lubricating-Mild-Moderate-Sterile/dp/B00757DIX2/ref=sr_1_1?keywords=Blink%C2%AE+Tears+Dry+Eye+Lubricating+Eye+Drops+0.5fl.+oz.&amp;qid=1695260095&amp;sr=8-1", "https://www.amazon.com/Blink-Tears-Lubricating-Mild-Moderate-Sterile/dp/B00757DIX2/ref=sr_1_1?keywords=Blink%C2%AE+Tears+Dry+Eye+Lubricating+Eye+Drops+0.5fl.+oz.&amp;qid=1695260095&amp;sr=8-1")</f>
        <v>https://www.amazon.com/Blink-Tears-Lubricating-Mild-Moderate-Sterile/dp/B00757DIX2/ref=sr_1_1?keywords=Blink%C2%AE+Tears+Dry+Eye+Lubricating+Eye+Drops+0.5fl.+oz.&amp;qid=1695260095&amp;sr=8-1</v>
      </c>
      <c r="F3447" t="s">
        <v>9181</v>
      </c>
      <c r="G3447" t="e">
        <f ca="1">IMAGE("https://shop.sonapharmacy.com/cdn/shop/products/81TAn4CNviL._AC_SL1500.jpg?v=1629237098")</f>
        <v>#NAME?</v>
      </c>
      <c r="H3447" t="e">
        <f ca="1">IMAGE("https://m.media-amazon.com/images/I/61zOzHySkxL._AC_UL320_.jpg")</f>
        <v>#NAME?</v>
      </c>
      <c r="I3447" t="s">
        <v>9099</v>
      </c>
      <c r="J3447">
        <v>67.040000000000006</v>
      </c>
      <c r="K3447" s="2" t="s">
        <v>9182</v>
      </c>
      <c r="L3447">
        <v>4</v>
      </c>
      <c r="M3447">
        <v>1</v>
      </c>
      <c r="O3447" t="s">
        <v>26</v>
      </c>
      <c r="P3447" t="s">
        <v>39</v>
      </c>
      <c r="Q3447" t="s">
        <v>9101</v>
      </c>
    </row>
    <row r="3448" spans="1:17" ht="15.75" x14ac:dyDescent="0.25">
      <c r="A3448" s="3" t="str">
        <f>HYPERLINK("https://shop.sonapharmacy.com/products/americaine-benzocaine-topical-anesthetic-spray-2-fl-oz", "https://shop.sonapharmacy.com/products/americaine-benzocaine-topical-anesthetic-spray-2-fl-oz")</f>
        <v>https://shop.sonapharmacy.com/products/americaine-benzocaine-topical-anesthetic-spray-2-fl-oz</v>
      </c>
      <c r="B3448" s="3" t="str">
        <f>HYPERLINK("https://shop.sonapharmacy.com/products/americaine-benzocaine-topical-anesthetic-spray-2-fl-oz", "https://shop.sonapharmacy.com/products/americaine-benzocaine-topical-anesthetic-spray-2-fl-oz")</f>
        <v>https://shop.sonapharmacy.com/products/americaine-benzocaine-topical-anesthetic-spray-2-fl-oz</v>
      </c>
      <c r="C3448" t="s">
        <v>9183</v>
      </c>
      <c r="D3448" t="s">
        <v>9184</v>
      </c>
      <c r="E3448" s="3" t="str">
        <f>HYPERLINK("https://www.amazon.com/Americaine-Benzocaine-Topical-Anesthetic-Spray/dp/B078YG6RLV/ref=sr_1_7?keywords=Americaine+Benzocaine+Topical+Anesthetic+Spray+2+fl.+oz.&amp;qid=1695260003&amp;sr=8-7", "https://www.amazon.com/Americaine-Benzocaine-Topical-Anesthetic-Spray/dp/B078YG6RLV/ref=sr_1_7?keywords=Americaine+Benzocaine+Topical+Anesthetic+Spray+2+fl.+oz.&amp;qid=1695260003&amp;sr=8-7")</f>
        <v>https://www.amazon.com/Americaine-Benzocaine-Topical-Anesthetic-Spray/dp/B078YG6RLV/ref=sr_1_7?keywords=Americaine+Benzocaine+Topical+Anesthetic+Spray+2+fl.+oz.&amp;qid=1695260003&amp;sr=8-7</v>
      </c>
      <c r="F3448" t="s">
        <v>9185</v>
      </c>
      <c r="G3448" t="e">
        <f ca="1">IMAGE("https://shop.sonapharmacy.com/cdn/shop/products/410yvWTaP7L._AC.jpg?v=1607971628")</f>
        <v>#NAME?</v>
      </c>
      <c r="H3448" t="e">
        <f ca="1">IMAGE("https://m.media-amazon.com/images/I/31ibQThgz1L._AC_UY218_.jpg")</f>
        <v>#NAME?</v>
      </c>
      <c r="I3448" t="s">
        <v>9137</v>
      </c>
      <c r="J3448">
        <v>34.89</v>
      </c>
      <c r="K3448" s="2" t="s">
        <v>9186</v>
      </c>
      <c r="L3448">
        <v>4.0999999999999996</v>
      </c>
      <c r="M3448">
        <v>13</v>
      </c>
      <c r="O3448" t="s">
        <v>26</v>
      </c>
      <c r="P3448" t="s">
        <v>39</v>
      </c>
      <c r="Q3448" t="s">
        <v>9187</v>
      </c>
    </row>
    <row r="3449" spans="1:17" ht="15.75" x14ac:dyDescent="0.25">
      <c r="A3449" s="3" t="str">
        <f>HYPERLINK("https://shop.sonapharmacy.com/products/foille-medicated-first-aid-ointment-1oz", "https://shop.sonapharmacy.com/products/foille-medicated-first-aid-ointment-1oz")</f>
        <v>https://shop.sonapharmacy.com/products/foille-medicated-first-aid-ointment-1oz</v>
      </c>
      <c r="B3449" s="3" t="str">
        <f>HYPERLINK("https://shop.sonapharmacy.com/products/foille-medicated-first-aid-ointment-1oz", "https://shop.sonapharmacy.com/products/foille-medicated-first-aid-ointment-1oz")</f>
        <v>https://shop.sonapharmacy.com/products/foille-medicated-first-aid-ointment-1oz</v>
      </c>
      <c r="C3449" t="s">
        <v>8677</v>
      </c>
      <c r="D3449" t="s">
        <v>9188</v>
      </c>
      <c r="E3449" s="3" t="str">
        <f>HYPERLINK("https://www.amazon.com/Foille-Medicated-First-Ointment-Pack/dp/B01IAI77A4/ref=sr_1_9?keywords=Foille+Medicated+First+Aid+Ointment+1oz.&amp;qid=1695260242&amp;sr=8-9", "https://www.amazon.com/Foille-Medicated-First-Ointment-Pack/dp/B01IAI77A4/ref=sr_1_9?keywords=Foille+Medicated+First+Aid+Ointment+1oz.&amp;qid=1695260242&amp;sr=8-9")</f>
        <v>https://www.amazon.com/Foille-Medicated-First-Ointment-Pack/dp/B01IAI77A4/ref=sr_1_9?keywords=Foille+Medicated+First+Aid+Ointment+1oz.&amp;qid=1695260242&amp;sr=8-9</v>
      </c>
      <c r="F3449" t="s">
        <v>9189</v>
      </c>
      <c r="G3449" t="e">
        <f ca="1">IMAGE("https://shop.sonapharmacy.com/cdn/shop/products/51q-pUYDQIL._AC_SL1500.jpg?v=1609351378")</f>
        <v>#NAME?</v>
      </c>
      <c r="H3449" t="e">
        <f ca="1">IMAGE("https://m.media-amazon.com/images/I/61yRf2iE4tL._AC_UL320_.jpg")</f>
        <v>#NAME?</v>
      </c>
      <c r="I3449" t="s">
        <v>8680</v>
      </c>
      <c r="J3449">
        <v>20.83</v>
      </c>
      <c r="K3449" s="2" t="s">
        <v>9190</v>
      </c>
      <c r="L3449">
        <v>4.9000000000000004</v>
      </c>
      <c r="M3449">
        <v>51</v>
      </c>
      <c r="O3449" t="s">
        <v>26</v>
      </c>
      <c r="P3449" t="s">
        <v>39</v>
      </c>
      <c r="Q3449" t="s">
        <v>8682</v>
      </c>
    </row>
    <row r="3450" spans="1:17" ht="15.75" x14ac:dyDescent="0.25">
      <c r="A3450" s="3" t="str">
        <f>HYPERLINK("https://shop.sonapharmacy.com/products/ricola-cherry-honey-cough-drops-24ct", "https://shop.sonapharmacy.com/products/ricola-cherry-honey-cough-drops-24ct")</f>
        <v>https://shop.sonapharmacy.com/products/ricola-cherry-honey-cough-drops-24ct</v>
      </c>
      <c r="B3450" s="3" t="str">
        <f>HYPERLINK("https://shop.sonapharmacy.com/products/ricola-cherry-honey-cough-drops-24ct", "https://shop.sonapharmacy.com/products/ricola-cherry-honey-cough-drops-24ct")</f>
        <v>https://shop.sonapharmacy.com/products/ricola-cherry-honey-cough-drops-24ct</v>
      </c>
      <c r="C3450" t="s">
        <v>9169</v>
      </c>
      <c r="D3450" t="s">
        <v>9191</v>
      </c>
      <c r="E3450" s="3" t="str">
        <f>HYPERLINK("https://www.amazon.com/Ricola-Cough-Suppressant-Throat-Bundle/dp/B078YC1M5W/ref=sr_1_9?keywords=Ricola+Cherry+Honey+Cough+Drops+24ct&amp;qid=1695260689&amp;sr=8-9", "https://www.amazon.com/Ricola-Cough-Suppressant-Throat-Bundle/dp/B078YC1M5W/ref=sr_1_9?keywords=Ricola+Cherry+Honey+Cough+Drops+24ct&amp;qid=1695260689&amp;sr=8-9")</f>
        <v>https://www.amazon.com/Ricola-Cough-Suppressant-Throat-Bundle/dp/B078YC1M5W/ref=sr_1_9?keywords=Ricola+Cherry+Honey+Cough+Drops+24ct&amp;qid=1695260689&amp;sr=8-9</v>
      </c>
      <c r="F3450" t="s">
        <v>9192</v>
      </c>
      <c r="G3450" t="e">
        <f ca="1">IMAGE("https://shop.sonapharmacy.com/cdn/shop/products/cherryhoney_bag_24.png?v=1608219537")</f>
        <v>#NAME?</v>
      </c>
      <c r="H3450" t="e">
        <f ca="1">IMAGE("https://m.media-amazon.com/images/I/81YTJWhZSfL._AC_UL320_.jpg")</f>
        <v>#NAME?</v>
      </c>
      <c r="I3450" t="s">
        <v>8279</v>
      </c>
      <c r="J3450">
        <v>17.75</v>
      </c>
      <c r="K3450" s="2" t="s">
        <v>9193</v>
      </c>
      <c r="L3450">
        <v>4.7</v>
      </c>
      <c r="M3450">
        <v>1188</v>
      </c>
      <c r="O3450" t="s">
        <v>26</v>
      </c>
      <c r="P3450" t="s">
        <v>39</v>
      </c>
      <c r="Q3450" t="s">
        <v>9173</v>
      </c>
    </row>
    <row r="3451" spans="1:17" ht="15.75" x14ac:dyDescent="0.25">
      <c r="A3451" s="3" t="str">
        <f>HYPERLINK("https://shop.sonapharmacy.com/products/kleenex%C2%AE-anti-viral-3-ply-tissue-60ct", "https://shop.sonapharmacy.com/products/kleenex%C2%AE-anti-viral-3-ply-tissue-60ct")</f>
        <v>https://shop.sonapharmacy.com/products/kleenex%C2%AE-anti-viral-3-ply-tissue-60ct</v>
      </c>
      <c r="B3451" s="3" t="str">
        <f>HYPERLINK("https://shop.sonapharmacy.com/products/kleenex%c2%ae-anti-viral-3-ply-tissue-60ct", "https://shop.sonapharmacy.com/products/kleenex%c2%ae-anti-viral-3-ply-tissue-60ct")</f>
        <v>https://shop.sonapharmacy.com/products/kleenex%c2%ae-anti-viral-3-ply-tissue-60ct</v>
      </c>
      <c r="C3451" t="s">
        <v>8019</v>
      </c>
      <c r="D3451" t="s">
        <v>9194</v>
      </c>
      <c r="E3451" s="3" t="str">
        <f>HYPERLINK("https://www.amazon.com/Kleenex-Boutique-Anti-Viral-Tissue-Pop-Up/dp/B00O3C2P1I/ref=sr_1_4?keywords=Kleenex%C2%AE+Anti-Viral+3-Ply+Tissue+60ct.&amp;qid=1695260456&amp;sr=8-4", "https://www.amazon.com/Kleenex-Boutique-Anti-Viral-Tissue-Pop-Up/dp/B00O3C2P1I/ref=sr_1_4?keywords=Kleenex%C2%AE+Anti-Viral+3-Ply+Tissue+60ct.&amp;qid=1695260456&amp;sr=8-4")</f>
        <v>https://www.amazon.com/Kleenex-Boutique-Anti-Viral-Tissue-Pop-Up/dp/B00O3C2P1I/ref=sr_1_4?keywords=Kleenex%C2%AE+Anti-Viral+3-Ply+Tissue+60ct.&amp;qid=1695260456&amp;sr=8-4</v>
      </c>
      <c r="F3451" t="s">
        <v>9195</v>
      </c>
      <c r="G3451" t="e">
        <f ca="1">IMAGE("https://shop.sonapharmacy.com/cdn/shop/products/d4023af1-9015-431e-a28c-024272d40afc_1.6559ffb226f59eebfd05eb63ba294f00.jpg?v=1610729260")</f>
        <v>#NAME?</v>
      </c>
      <c r="H3451" t="e">
        <f ca="1">IMAGE("https://m.media-amazon.com/images/I/81hLp3jNmRL._AC_UL320_.jpg")</f>
        <v>#NAME?</v>
      </c>
      <c r="I3451" t="s">
        <v>8022</v>
      </c>
      <c r="J3451">
        <v>11.99</v>
      </c>
      <c r="K3451" s="2" t="s">
        <v>9196</v>
      </c>
      <c r="L3451">
        <v>4.5999999999999996</v>
      </c>
      <c r="M3451">
        <v>428</v>
      </c>
      <c r="O3451" t="s">
        <v>26</v>
      </c>
      <c r="P3451" t="s">
        <v>39</v>
      </c>
      <c r="Q3451" t="s">
        <v>8024</v>
      </c>
    </row>
    <row r="3452" spans="1:17" ht="15.75" x14ac:dyDescent="0.25">
      <c r="A3452" s="3" t="str">
        <f>HYPERLINK("https://shop.sonapharmacy.com/products/apex%C2%AE-7-day-medium-pill-organizer", "https://shop.sonapharmacy.com/products/apex%C2%AE-7-day-medium-pill-organizer")</f>
        <v>https://shop.sonapharmacy.com/products/apex%C2%AE-7-day-medium-pill-organizer</v>
      </c>
      <c r="B3452" s="3" t="str">
        <f>HYPERLINK("https://shop.sonapharmacy.com/products/apex%c2%ae-7-day-medium-pill-organizer", "https://shop.sonapharmacy.com/products/apex%c2%ae-7-day-medium-pill-organizer")</f>
        <v>https://shop.sonapharmacy.com/products/apex%c2%ae-7-day-medium-pill-organizer</v>
      </c>
      <c r="C3452" t="s">
        <v>8449</v>
      </c>
      <c r="D3452" t="s">
        <v>9197</v>
      </c>
      <c r="E3452" s="3" t="str">
        <f>HYPERLINK("https://www.amazon.com/Apex-7-Day-AM-Pill-Tray/dp/B00W5QU8MM/ref=sr_1_3?keywords=Apex+7-Day+Medium+Pill+Organizer&amp;qid=1695260015&amp;sr=8-3", "https://www.amazon.com/Apex-7-Day-AM-Pill-Tray/dp/B00W5QU8MM/ref=sr_1_3?keywords=Apex+7-Day+Medium+Pill+Organizer&amp;qid=1695260015&amp;sr=8-3")</f>
        <v>https://www.amazon.com/Apex-7-Day-AM-Pill-Tray/dp/B00W5QU8MM/ref=sr_1_3?keywords=Apex+7-Day+Medium+Pill+Organizer&amp;qid=1695260015&amp;sr=8-3</v>
      </c>
      <c r="F3452" t="s">
        <v>9198</v>
      </c>
      <c r="G3452" t="e">
        <f ca="1">IMAGE("https://shop.sonapharmacy.com/cdn/shop/products/51xN8KL65CL._SL1243.jpg?v=1609956978")</f>
        <v>#NAME?</v>
      </c>
      <c r="H3452" t="e">
        <f ca="1">IMAGE("https://m.media-amazon.com/images/I/61e7vAO5t2L._AC_UL320_.jpg")</f>
        <v>#NAME?</v>
      </c>
      <c r="I3452" t="s">
        <v>8217</v>
      </c>
      <c r="J3452">
        <v>8.73</v>
      </c>
      <c r="K3452" s="2" t="s">
        <v>9199</v>
      </c>
      <c r="L3452">
        <v>4.4000000000000004</v>
      </c>
      <c r="M3452">
        <v>13</v>
      </c>
      <c r="O3452" t="s">
        <v>26</v>
      </c>
      <c r="P3452" t="s">
        <v>39</v>
      </c>
      <c r="Q3452" t="s">
        <v>8453</v>
      </c>
    </row>
    <row r="3453" spans="1:17" ht="15.75" x14ac:dyDescent="0.25">
      <c r="A3453" s="3" t="str">
        <f>HYPERLINK("https://shop.sonapharmacy.com/products/bausch-lomb%C2%AE-sight-savers%C2%AE-pre-moistened-lens-tissues-16ct", "https://shop.sonapharmacy.com/products/bausch-lomb%C2%AE-sight-savers%C2%AE-pre-moistened-lens-tissues-16ct")</f>
        <v>https://shop.sonapharmacy.com/products/bausch-lomb%C2%AE-sight-savers%C2%AE-pre-moistened-lens-tissues-16ct</v>
      </c>
      <c r="B3453" s="3" t="str">
        <f>HYPERLINK("https://shop.sonapharmacy.com/products/bausch-lomb%c2%ae-sight-savers%c2%ae-pre-moistened-lens-tissues-16ct", "https://shop.sonapharmacy.com/products/bausch-lomb%c2%ae-sight-savers%c2%ae-pre-moistened-lens-tissues-16ct")</f>
        <v>https://shop.sonapharmacy.com/products/bausch-lomb%c2%ae-sight-savers%c2%ae-pre-moistened-lens-tissues-16ct</v>
      </c>
      <c r="C3453" t="s">
        <v>9200</v>
      </c>
      <c r="D3453" t="s">
        <v>9201</v>
      </c>
      <c r="E3453" s="3" t="str">
        <f>HYPERLINK("https://www.amazon.com/Bausch-Lomb-BAL8574GM-Pre-Moistened-Cleaning/dp/B005NIKG4E/ref=sr_1_1?keywords=Bausch+%2B+Lomb+Sight+Savers%C2%AE+Pre-Moistened+Lens+Tissues+16ct.&amp;qid=1695260070&amp;sr=8-1", "https://www.amazon.com/Bausch-Lomb-BAL8574GM-Pre-Moistened-Cleaning/dp/B005NIKG4E/ref=sr_1_1?keywords=Bausch+%2B+Lomb+Sight+Savers%C2%AE+Pre-Moistened+Lens+Tissues+16ct.&amp;qid=1695260070&amp;sr=8-1")</f>
        <v>https://www.amazon.com/Bausch-Lomb-BAL8574GM-Pre-Moistened-Cleaning/dp/B005NIKG4E/ref=sr_1_1?keywords=Bausch+%2B+Lomb+Sight+Savers%C2%AE+Pre-Moistened+Lens+Tissues+16ct.&amp;qid=1695260070&amp;sr=8-1</v>
      </c>
      <c r="F3453" t="s">
        <v>9202</v>
      </c>
      <c r="G3453" t="e">
        <f ca="1">IMAGE("https://shop.sonapharmacy.com/cdn/shop/products/s3_image.jpg?v=1609962151")</f>
        <v>#NAME?</v>
      </c>
      <c r="H3453" t="e">
        <f ca="1">IMAGE("https://m.media-amazon.com/images/I/71NNL4UxphL._AC_UL320_.jpg")</f>
        <v>#NAME?</v>
      </c>
      <c r="I3453" t="s">
        <v>9203</v>
      </c>
      <c r="J3453">
        <v>11.48</v>
      </c>
      <c r="K3453" s="2" t="s">
        <v>9204</v>
      </c>
      <c r="L3453">
        <v>4.3</v>
      </c>
      <c r="M3453">
        <v>8891</v>
      </c>
      <c r="O3453" t="s">
        <v>26</v>
      </c>
      <c r="P3453" t="s">
        <v>39</v>
      </c>
      <c r="Q3453" t="s">
        <v>9205</v>
      </c>
    </row>
    <row r="3454" spans="1:17" ht="15.75" x14ac:dyDescent="0.25">
      <c r="A3454" s="3" t="str">
        <f>HYPERLINK("https://shop.sonapharmacy.com/products/band-aid%C2%AE-flexible-rolled-gauze", "https://shop.sonapharmacy.com/products/band-aid%C2%AE-flexible-rolled-gauze")</f>
        <v>https://shop.sonapharmacy.com/products/band-aid%C2%AE-flexible-rolled-gauze</v>
      </c>
      <c r="B3454" s="3" t="str">
        <f>HYPERLINK("https://shop.sonapharmacy.com/products/band-aid%c2%ae-flexible-rolled-gauze", "https://shop.sonapharmacy.com/products/band-aid%c2%ae-flexible-rolled-gauze")</f>
        <v>https://shop.sonapharmacy.com/products/band-aid%c2%ae-flexible-rolled-gauze</v>
      </c>
      <c r="C3454" t="s">
        <v>9206</v>
      </c>
      <c r="D3454" t="s">
        <v>9207</v>
      </c>
      <c r="E3454" s="3" t="str">
        <f>HYPERLINK("https://www.amazon.com/Band-Aid-Products-Flexible-Rolled-Inches/dp/B07BNQFHQW/ref=sr_1_3?keywords=BAND-AID%C2%AE+Flexible+Rolled+Gauze&amp;qid=1695260061&amp;sr=8-3", "https://www.amazon.com/Band-Aid-Products-Flexible-Rolled-Inches/dp/B07BNQFHQW/ref=sr_1_3?keywords=BAND-AID%C2%AE+Flexible+Rolled+Gauze&amp;qid=1695260061&amp;sr=8-3")</f>
        <v>https://www.amazon.com/Band-Aid-Products-Flexible-Rolled-Inches/dp/B07BNQFHQW/ref=sr_1_3?keywords=BAND-AID%C2%AE+Flexible+Rolled+Gauze&amp;qid=1695260061&amp;sr=8-3</v>
      </c>
      <c r="F3454" t="s">
        <v>9208</v>
      </c>
      <c r="G3454" t="e">
        <f ca="1">IMAGE("https://shop.sonapharmacy.com/cdn/shop/products/2x2.5.jpg?v=1607809788")</f>
        <v>#NAME?</v>
      </c>
      <c r="H3454" t="e">
        <f ca="1">IMAGE("https://m.media-amazon.com/images/I/61CpEnovPLL._AC_UL320_.jpg")</f>
        <v>#NAME?</v>
      </c>
      <c r="I3454" t="s">
        <v>8992</v>
      </c>
      <c r="J3454">
        <v>18.98</v>
      </c>
      <c r="K3454" s="2" t="s">
        <v>9209</v>
      </c>
      <c r="L3454">
        <v>4.8</v>
      </c>
      <c r="M3454">
        <v>28</v>
      </c>
      <c r="O3454" t="s">
        <v>26</v>
      </c>
      <c r="P3454" t="s">
        <v>39</v>
      </c>
      <c r="Q3454" t="s">
        <v>9210</v>
      </c>
    </row>
    <row r="3455" spans="1:17" ht="15.75" x14ac:dyDescent="0.25">
      <c r="A3455" s="3" t="str">
        <f>HYPERLINK("https://shop.sonapharmacy.com/products/duracell%C2%AE-aaa-coppertop-alkaline-batteries", "https://shop.sonapharmacy.com/products/duracell%C2%AE-aaa-coppertop-alkaline-batteries")</f>
        <v>https://shop.sonapharmacy.com/products/duracell%C2%AE-aaa-coppertop-alkaline-batteries</v>
      </c>
      <c r="B3455" s="3" t="str">
        <f>HYPERLINK("https://shop.sonapharmacy.com/products/duracell%c2%ae-aaa-coppertop-alkaline-batteries", "https://shop.sonapharmacy.com/products/duracell%c2%ae-aaa-coppertop-alkaline-batteries")</f>
        <v>https://shop.sonapharmacy.com/products/duracell%c2%ae-aaa-coppertop-alkaline-batteries</v>
      </c>
      <c r="C3455" t="s">
        <v>8166</v>
      </c>
      <c r="D3455" t="s">
        <v>9211</v>
      </c>
      <c r="E3455" s="3" t="str">
        <f>HYPERLINK("https://www.amazon.com/Duracell-CopperTop-Alkaline-Batteries-All-Purpose/dp/B08W1NX12B/ref=sr_1_8?keywords=Duracell%C2%AE+AAA+CopperTop+Alkaline+Batteries&amp;qid=1695260225&amp;sr=8-8", "https://www.amazon.com/Duracell-CopperTop-Alkaline-Batteries-All-Purpose/dp/B08W1NX12B/ref=sr_1_8?keywords=Duracell%C2%AE+AAA+CopperTop+Alkaline+Batteries&amp;qid=1695260225&amp;sr=8-8")</f>
        <v>https://www.amazon.com/Duracell-CopperTop-Alkaline-Batteries-All-Purpose/dp/B08W1NX12B/ref=sr_1_8?keywords=Duracell%C2%AE+AAA+CopperTop+Alkaline+Batteries&amp;qid=1695260225&amp;sr=8-8</v>
      </c>
      <c r="F3455" t="s">
        <v>9212</v>
      </c>
      <c r="G3455" t="e">
        <f ca="1">IMAGE("https://shop.sonapharmacy.com/cdn/shop/products/4711941b-a083-4277-8d8a-0a1bce8b082a_1.a291637149acb335ff96c25aae0e8bc1.png?v=1610335288")</f>
        <v>#NAME?</v>
      </c>
      <c r="H3455" t="e">
        <f ca="1">IMAGE("https://m.media-amazon.com/images/I/81p3NDNVKpL._AC_UL320_.jpg")</f>
        <v>#NAME?</v>
      </c>
      <c r="I3455" t="s">
        <v>8169</v>
      </c>
      <c r="J3455">
        <v>35.03</v>
      </c>
      <c r="K3455" s="2" t="s">
        <v>9213</v>
      </c>
      <c r="L3455">
        <v>4.8</v>
      </c>
      <c r="M3455">
        <v>660</v>
      </c>
      <c r="O3455" t="s">
        <v>26</v>
      </c>
      <c r="P3455" t="s">
        <v>39</v>
      </c>
      <c r="Q3455" t="s">
        <v>8171</v>
      </c>
    </row>
    <row r="3456" spans="1:17" ht="15.75" x14ac:dyDescent="0.25">
      <c r="A3456" s="3" t="str">
        <f>HYPERLINK("https://shop.sonapharmacy.com/products/duracell%C2%AE-aa-coppertop-alkaline-batteries", "https://shop.sonapharmacy.com/products/duracell%C2%AE-aa-coppertop-alkaline-batteries")</f>
        <v>https://shop.sonapharmacy.com/products/duracell%C2%AE-aa-coppertop-alkaline-batteries</v>
      </c>
      <c r="B3456" s="3" t="str">
        <f>HYPERLINK("https://shop.sonapharmacy.com/products/duracell%c2%ae-aa-coppertop-alkaline-batteries", "https://shop.sonapharmacy.com/products/duracell%c2%ae-aa-coppertop-alkaline-batteries")</f>
        <v>https://shop.sonapharmacy.com/products/duracell%c2%ae-aa-coppertop-alkaline-batteries</v>
      </c>
      <c r="C3456" t="s">
        <v>9023</v>
      </c>
      <c r="D3456" t="s">
        <v>9211</v>
      </c>
      <c r="E3456" s="3" t="str">
        <f>HYPERLINK("https://www.amazon.com/Duracell-CopperTop-Alkaline-Batteries-All-Purpose/dp/B08W1NX12B/ref=sr_1_10?keywords=Duracell%C2%AE+AA+CopperTop+Alkaline+Batteries&amp;qid=1695260202&amp;sr=8-10", "https://www.amazon.com/Duracell-CopperTop-Alkaline-Batteries-All-Purpose/dp/B08W1NX12B/ref=sr_1_10?keywords=Duracell%C2%AE+AA+CopperTop+Alkaline+Batteries&amp;qid=1695260202&amp;sr=8-10")</f>
        <v>https://www.amazon.com/Duracell-CopperTop-Alkaline-Batteries-All-Purpose/dp/B08W1NX12B/ref=sr_1_10?keywords=Duracell%C2%AE+AA+CopperTop+Alkaline+Batteries&amp;qid=1695260202&amp;sr=8-10</v>
      </c>
      <c r="F3456" t="s">
        <v>9212</v>
      </c>
      <c r="G3456" t="e">
        <f ca="1">IMAGE("https://shop.sonapharmacy.com/cdn/shop/products/b3e62c3a-da6e-4a57-a7e4-c37556c20cce_1.d37a55fc5e4e20c625490346499e718f.png?v=1610335054")</f>
        <v>#NAME?</v>
      </c>
      <c r="H3456" t="e">
        <f ca="1">IMAGE("https://m.media-amazon.com/images/I/81p3NDNVKpL._AC_UL320_.jpg")</f>
        <v>#NAME?</v>
      </c>
      <c r="I3456" t="s">
        <v>8169</v>
      </c>
      <c r="J3456">
        <v>35.03</v>
      </c>
      <c r="K3456" s="2" t="s">
        <v>9213</v>
      </c>
      <c r="L3456">
        <v>4.8</v>
      </c>
      <c r="M3456">
        <v>660</v>
      </c>
      <c r="O3456" t="s">
        <v>26</v>
      </c>
      <c r="P3456" t="s">
        <v>39</v>
      </c>
      <c r="Q3456" t="s">
        <v>9027</v>
      </c>
    </row>
    <row r="3457" spans="1:17" ht="15.75" x14ac:dyDescent="0.25">
      <c r="A3457" s="3" t="str">
        <f>HYPERLINK("https://shop.sonapharmacy.com/products/americaine-benzocaine-topical-anesthetic-spray-2-fl-oz", "https://shop.sonapharmacy.com/products/americaine-benzocaine-topical-anesthetic-spray-2-fl-oz")</f>
        <v>https://shop.sonapharmacy.com/products/americaine-benzocaine-topical-anesthetic-spray-2-fl-oz</v>
      </c>
      <c r="B3457" s="3" t="str">
        <f>HYPERLINK("https://shop.sonapharmacy.com/products/americaine-benzocaine-topical-anesthetic-spray-2-fl-oz", "https://shop.sonapharmacy.com/products/americaine-benzocaine-topical-anesthetic-spray-2-fl-oz")</f>
        <v>https://shop.sonapharmacy.com/products/americaine-benzocaine-topical-anesthetic-spray-2-fl-oz</v>
      </c>
      <c r="C3457" t="s">
        <v>9183</v>
      </c>
      <c r="D3457" t="s">
        <v>9214</v>
      </c>
      <c r="E3457" s="3" t="str">
        <f>HYPERLINK("https://www.amazon.com/Americaine-Benzocaine-Topical-Anesthetic-Spray-2/dp/B004RRECKQ/ref=sr_1_2?keywords=Americaine+Benzocaine+Topical+Anesthetic+Spray+2+fl.+oz.&amp;qid=1695260003&amp;sr=8-2", "https://www.amazon.com/Americaine-Benzocaine-Topical-Anesthetic-Spray-2/dp/B004RRECKQ/ref=sr_1_2?keywords=Americaine+Benzocaine+Topical+Anesthetic+Spray+2+fl.+oz.&amp;qid=1695260003&amp;sr=8-2")</f>
        <v>https://www.amazon.com/Americaine-Benzocaine-Topical-Anesthetic-Spray-2/dp/B004RRECKQ/ref=sr_1_2?keywords=Americaine+Benzocaine+Topical+Anesthetic+Spray+2+fl.+oz.&amp;qid=1695260003&amp;sr=8-2</v>
      </c>
      <c r="F3457" t="s">
        <v>9215</v>
      </c>
      <c r="G3457" t="e">
        <f ca="1">IMAGE("https://shop.sonapharmacy.com/cdn/shop/products/410yvWTaP7L._AC.jpg?v=1607971628")</f>
        <v>#NAME?</v>
      </c>
      <c r="H3457" t="e">
        <f ca="1">IMAGE("https://m.media-amazon.com/images/I/913KMP7eCBL._AC_UY218_.jpg")</f>
        <v>#NAME?</v>
      </c>
      <c r="I3457" t="s">
        <v>9137</v>
      </c>
      <c r="J3457">
        <v>34.29</v>
      </c>
      <c r="K3457" s="2" t="s">
        <v>9216</v>
      </c>
      <c r="L3457">
        <v>4.5999999999999996</v>
      </c>
      <c r="M3457">
        <v>18</v>
      </c>
      <c r="O3457" t="s">
        <v>26</v>
      </c>
      <c r="P3457" t="s">
        <v>39</v>
      </c>
      <c r="Q3457" t="s">
        <v>9187</v>
      </c>
    </row>
    <row r="3458" spans="1:17" ht="15.75" x14ac:dyDescent="0.25">
      <c r="A3458" s="3" t="str">
        <f>HYPERLINK("https://shop.sonapharmacy.com/products/duracell%C2%AE-aaa-coppertop-alkaline-batteries", "https://shop.sonapharmacy.com/products/duracell%C2%AE-aaa-coppertop-alkaline-batteries")</f>
        <v>https://shop.sonapharmacy.com/products/duracell%C2%AE-aaa-coppertop-alkaline-batteries</v>
      </c>
      <c r="B3458" s="3" t="str">
        <f>HYPERLINK("https://shop.sonapharmacy.com/products/duracell%c2%ae-aaa-coppertop-alkaline-batteries", "https://shop.sonapharmacy.com/products/duracell%c2%ae-aaa-coppertop-alkaline-batteries")</f>
        <v>https://shop.sonapharmacy.com/products/duracell%c2%ae-aaa-coppertop-alkaline-batteries</v>
      </c>
      <c r="C3458" t="s">
        <v>8166</v>
      </c>
      <c r="D3458" t="s">
        <v>9217</v>
      </c>
      <c r="E3458" s="3" t="str">
        <f>HYPERLINK("https://www.amazon.com/Duracell-CopperTop-Batteries-All-Purpose-Household/dp/B09LPPTRVF/ref=sr_1_7?keywords=Duracell%C2%AE+AAA+CopperTop+Alkaline+Batteries&amp;qid=1695260225&amp;sr=8-7", "https://www.amazon.com/Duracell-CopperTop-Batteries-All-Purpose-Household/dp/B09LPPTRVF/ref=sr_1_7?keywords=Duracell%C2%AE+AAA+CopperTop+Alkaline+Batteries&amp;qid=1695260225&amp;sr=8-7")</f>
        <v>https://www.amazon.com/Duracell-CopperTop-Batteries-All-Purpose-Household/dp/B09LPPTRVF/ref=sr_1_7?keywords=Duracell%C2%AE+AAA+CopperTop+Alkaline+Batteries&amp;qid=1695260225&amp;sr=8-7</v>
      </c>
      <c r="F3458" t="s">
        <v>9218</v>
      </c>
      <c r="G3458" t="e">
        <f ca="1">IMAGE("https://shop.sonapharmacy.com/cdn/shop/products/4711941b-a083-4277-8d8a-0a1bce8b082a_1.a291637149acb335ff96c25aae0e8bc1.png?v=1610335288")</f>
        <v>#NAME?</v>
      </c>
      <c r="H3458" t="e">
        <f ca="1">IMAGE("https://m.media-amazon.com/images/I/41mHgWHjXKL._AC_UL320_.jpg")</f>
        <v>#NAME?</v>
      </c>
      <c r="I3458" t="s">
        <v>8169</v>
      </c>
      <c r="J3458">
        <v>34.880000000000003</v>
      </c>
      <c r="K3458" s="2" t="s">
        <v>9219</v>
      </c>
      <c r="L3458">
        <v>4.7</v>
      </c>
      <c r="M3458">
        <v>2288</v>
      </c>
      <c r="O3458" t="s">
        <v>26</v>
      </c>
      <c r="P3458" t="s">
        <v>39</v>
      </c>
      <c r="Q3458" t="s">
        <v>8171</v>
      </c>
    </row>
    <row r="3459" spans="1:17" ht="15.75" x14ac:dyDescent="0.25">
      <c r="A3459" s="3" t="str">
        <f>HYPERLINK("https://shop.sonapharmacy.com/products/aveeno%C2%AE-baby-wash-shampoo-8fl-oz", "https://shop.sonapharmacy.com/products/aveeno%C2%AE-baby-wash-shampoo-8fl-oz")</f>
        <v>https://shop.sonapharmacy.com/products/aveeno%C2%AE-baby-wash-shampoo-8fl-oz</v>
      </c>
      <c r="B3459" s="3" t="str">
        <f>HYPERLINK("https://shop.sonapharmacy.com/products/aveeno%c2%ae-baby-wash-shampoo-8fl-oz", "https://shop.sonapharmacy.com/products/aveeno%c2%ae-baby-wash-shampoo-8fl-oz")</f>
        <v>https://shop.sonapharmacy.com/products/aveeno%c2%ae-baby-wash-shampoo-8fl-oz</v>
      </c>
      <c r="C3459" t="s">
        <v>9220</v>
      </c>
      <c r="D3459" t="s">
        <v>9221</v>
      </c>
      <c r="E3459" s="3" t="str">
        <f>HYPERLINK("https://www.amazon.com/Aveeno-Baby-Shampoo-Tear-Free-Paraben-Free/dp/B07P73RY4L/ref=sr_1_5?keywords=Aveeno%C2%AE+Baby+Wash+%26+Shampoo+8fl.+oz.&amp;qid=1695260033&amp;sr=8-5", "https://www.amazon.com/Aveeno-Baby-Shampoo-Tear-Free-Paraben-Free/dp/B07P73RY4L/ref=sr_1_5?keywords=Aveeno%C2%AE+Baby+Wash+%26+Shampoo+8fl.+oz.&amp;qid=1695260033&amp;sr=8-5")</f>
        <v>https://www.amazon.com/Aveeno-Baby-Shampoo-Tear-Free-Paraben-Free/dp/B07P73RY4L/ref=sr_1_5?keywords=Aveeno%C2%AE+Baby+Wash+%26+Shampoo+8fl.+oz.&amp;qid=1695260033&amp;sr=8-5</v>
      </c>
      <c r="F3459" t="s">
        <v>9222</v>
      </c>
      <c r="G3459" t="e">
        <f ca="1">IMAGE("https://shop.sonapharmacy.com/cdn/shop/products/71_jQIqO15L._SL1500.jpg?v=1611191352")</f>
        <v>#NAME?</v>
      </c>
      <c r="H3459" t="e">
        <f ca="1">IMAGE("https://m.media-amazon.com/images/I/51ja+eDVVuL._AC_UL320_.jpg")</f>
        <v>#NAME?</v>
      </c>
      <c r="I3459" t="s">
        <v>9223</v>
      </c>
      <c r="J3459">
        <v>36.99</v>
      </c>
      <c r="K3459" s="2" t="s">
        <v>9224</v>
      </c>
      <c r="L3459">
        <v>3.9</v>
      </c>
      <c r="M3459">
        <v>8</v>
      </c>
      <c r="O3459" t="s">
        <v>26</v>
      </c>
      <c r="P3459" t="s">
        <v>39</v>
      </c>
      <c r="Q3459" t="s">
        <v>9225</v>
      </c>
    </row>
    <row r="3460" spans="1:17" ht="15.75" x14ac:dyDescent="0.25">
      <c r="A3460" s="3" t="str">
        <f>HYPERLINK("https://shop.sonapharmacy.com/products/nature-made-womens-multi-50-softgels", "https://shop.sonapharmacy.com/products/nature-made-womens-multi-50-softgels")</f>
        <v>https://shop.sonapharmacy.com/products/nature-made-womens-multi-50-softgels</v>
      </c>
      <c r="B3460" s="3" t="str">
        <f>HYPERLINK("https://shop.sonapharmacy.com/products/nature-made-womens-multi-50-softgels", "https://shop.sonapharmacy.com/products/nature-made-womens-multi-50-softgels")</f>
        <v>https://shop.sonapharmacy.com/products/nature-made-womens-multi-50-softgels</v>
      </c>
      <c r="C3460" t="s">
        <v>9226</v>
      </c>
      <c r="D3460" t="s">
        <v>9227</v>
      </c>
      <c r="E3460" s="3" t="str">
        <f>HYPERLINK("https://www.amazon.com/Nature-Made-Multi-Softgels-Pack/dp/B001G0MA60/ref=sr_1_2?keywords=Nature+Made%C2%AE+Women%27s+Multi+50%2B+Softgels+60ct.&amp;qid=1695260582&amp;sr=8-2", "https://www.amazon.com/Nature-Made-Multi-Softgels-Pack/dp/B001G0MA60/ref=sr_1_2?keywords=Nature+Made%C2%AE+Women%27s+Multi+50%2B+Softgels+60ct.&amp;qid=1695260582&amp;sr=8-2")</f>
        <v>https://www.amazon.com/Nature-Made-Multi-Softgels-Pack/dp/B001G0MA60/ref=sr_1_2?keywords=Nature+Made%C2%AE+Women%27s+Multi+50%2B+Softgels+60ct.&amp;qid=1695260582&amp;sr=8-2</v>
      </c>
      <c r="F3460" t="s">
        <v>9228</v>
      </c>
      <c r="G3460" t="e">
        <f ca="1">IMAGE("https://shop.sonapharmacy.com/cdn/shop/products/71-hdqIcxFL._AC_SL1500.jpg?v=1610041332")</f>
        <v>#NAME?</v>
      </c>
      <c r="H3460" t="e">
        <f ca="1">IMAGE("https://m.media-amazon.com/images/I/71QmoIE7gKL._AC_UL320_.jpg")</f>
        <v>#NAME?</v>
      </c>
      <c r="I3460" t="s">
        <v>9229</v>
      </c>
      <c r="J3460">
        <v>55.57</v>
      </c>
      <c r="K3460" s="2" t="s">
        <v>9230</v>
      </c>
      <c r="L3460">
        <v>4.5</v>
      </c>
      <c r="M3460">
        <v>6479</v>
      </c>
      <c r="O3460" t="s">
        <v>136</v>
      </c>
      <c r="P3460" t="s">
        <v>39</v>
      </c>
      <c r="Q3460" t="s">
        <v>9231</v>
      </c>
    </row>
    <row r="3461" spans="1:17" ht="15.75" x14ac:dyDescent="0.25">
      <c r="A3461" s="3" t="str">
        <f>HYPERLINK("https://shop.sonapharmacy.com/products/band-aid-flexible-fabric-100ct-all-one-size", "https://shop.sonapharmacy.com/products/band-aid-flexible-fabric-100ct-all-one-size")</f>
        <v>https://shop.sonapharmacy.com/products/band-aid-flexible-fabric-100ct-all-one-size</v>
      </c>
      <c r="B3461" s="3" t="str">
        <f>HYPERLINK("https://shop.sonapharmacy.com/products/band-aid-flexible-fabric-100ct-all-one-size", "https://shop.sonapharmacy.com/products/band-aid-flexible-fabric-100ct-all-one-size")</f>
        <v>https://shop.sonapharmacy.com/products/band-aid-flexible-fabric-100ct-all-one-size</v>
      </c>
      <c r="C3461" t="s">
        <v>8911</v>
      </c>
      <c r="D3461" t="s">
        <v>9232</v>
      </c>
      <c r="E3461" s="3" t="str">
        <f>HYPERLINK("https://www.amazon.com/Johnson-Band-Aid-Flex-Fabric-Travel/dp/B0125981RC/ref=sr_1_10?keywords=BAND-AID%C2%AE+Flexible+Fabric+All+One+Size&amp;qid=1695260052&amp;sr=8-10", "https://www.amazon.com/Johnson-Band-Aid-Flex-Fabric-Travel/dp/B0125981RC/ref=sr_1_10?keywords=BAND-AID%C2%AE+Flexible+Fabric+All+One+Size&amp;qid=1695260052&amp;sr=8-10")</f>
        <v>https://www.amazon.com/Johnson-Band-Aid-Flex-Fabric-Travel/dp/B0125981RC/ref=sr_1_10?keywords=BAND-AID%C2%AE+Flexible+Fabric+All+One+Size&amp;qid=1695260052&amp;sr=8-10</v>
      </c>
      <c r="F3461" t="s">
        <v>9233</v>
      </c>
      <c r="G3461" t="e">
        <f ca="1">IMAGE("https://shop.sonapharmacy.com/cdn/shop/products/bab_381370044314_band_aid_band_aid_flexible_fabric_aos_30ct_007.jpg?v=1614702050")</f>
        <v>#NAME?</v>
      </c>
      <c r="H3461" t="e">
        <f ca="1">IMAGE("https://m.media-amazon.com/images/I/71JWMnb3JtL._AC_UL320_.jpg")</f>
        <v>#NAME?</v>
      </c>
      <c r="I3461" t="s">
        <v>8834</v>
      </c>
      <c r="J3461">
        <v>23.63</v>
      </c>
      <c r="K3461" s="2" t="s">
        <v>9234</v>
      </c>
      <c r="L3461">
        <v>4.8</v>
      </c>
      <c r="M3461">
        <v>217</v>
      </c>
      <c r="O3461" t="s">
        <v>26</v>
      </c>
      <c r="P3461" t="s">
        <v>39</v>
      </c>
      <c r="Q3461" t="s">
        <v>8915</v>
      </c>
    </row>
    <row r="3462" spans="1:17" ht="15.75" x14ac:dyDescent="0.25">
      <c r="A3462" s="3" t="str">
        <f>HYPERLINK("https://shop.sonapharmacy.com/products/q-tips-cotton-swabs", "https://shop.sonapharmacy.com/products/q-tips-cotton-swabs")</f>
        <v>https://shop.sonapharmacy.com/products/q-tips-cotton-swabs</v>
      </c>
      <c r="B3462" s="3" t="str">
        <f>HYPERLINK("https://shop.sonapharmacy.com/products/q-tips-cotton-swabs", "https://shop.sonapharmacy.com/products/q-tips-cotton-swabs")</f>
        <v>https://shop.sonapharmacy.com/products/q-tips-cotton-swabs</v>
      </c>
      <c r="C3462" t="s">
        <v>9155</v>
      </c>
      <c r="D3462" t="s">
        <v>9235</v>
      </c>
      <c r="E3462" s="3" t="str">
        <f>HYPERLINK("https://www.amazon.com/Q-tips-Cotton-Swabs-Packs-Cos-10/dp/B00J9R7OSQ/ref=sr_1_4?keywords=Q-tips+Cotton+Swabs&amp;qid=1695260660&amp;sr=8-4", "https://www.amazon.com/Q-tips-Cotton-Swabs-Packs-Cos-10/dp/B00J9R7OSQ/ref=sr_1_4?keywords=Q-tips+Cotton+Swabs&amp;qid=1695260660&amp;sr=8-4")</f>
        <v>https://www.amazon.com/Q-tips-Cotton-Swabs-Packs-Cos-10/dp/B00J9R7OSQ/ref=sr_1_4?keywords=Q-tips+Cotton+Swabs&amp;qid=1695260660&amp;sr=8-4</v>
      </c>
      <c r="F3462" t="s">
        <v>9236</v>
      </c>
      <c r="G3462" t="e">
        <f ca="1">IMAGE("https://shop.sonapharmacy.com/cdn/shop/products/qtips_travel.png?v=1606762585")</f>
        <v>#NAME?</v>
      </c>
      <c r="H3462" t="e">
        <f ca="1">IMAGE("https://m.media-amazon.com/images/I/91qjWIQQv+L._AC_UL320_.jpg")</f>
        <v>#NAME?</v>
      </c>
      <c r="I3462" t="s">
        <v>8927</v>
      </c>
      <c r="J3462">
        <v>16.850000000000001</v>
      </c>
      <c r="K3462" s="2" t="s">
        <v>9237</v>
      </c>
      <c r="L3462">
        <v>4.7</v>
      </c>
      <c r="M3462">
        <v>2645</v>
      </c>
      <c r="O3462" t="s">
        <v>26</v>
      </c>
      <c r="P3462" t="s">
        <v>39</v>
      </c>
      <c r="Q3462" t="s">
        <v>9159</v>
      </c>
    </row>
    <row r="3463" spans="1:17" ht="15.75" x14ac:dyDescent="0.25">
      <c r="A3463" s="3" t="str">
        <f>HYPERLINK("https://shop.sonapharmacy.com/products/aquaphor%C2%AE-healing-ointment", "https://shop.sonapharmacy.com/products/aquaphor%C2%AE-healing-ointment")</f>
        <v>https://shop.sonapharmacy.com/products/aquaphor%C2%AE-healing-ointment</v>
      </c>
      <c r="B3463" s="3" t="str">
        <f>HYPERLINK("https://shop.sonapharmacy.com/products/aquaphor%c2%ae-healing-ointment", "https://shop.sonapharmacy.com/products/aquaphor%c2%ae-healing-ointment")</f>
        <v>https://shop.sonapharmacy.com/products/aquaphor%c2%ae-healing-ointment</v>
      </c>
      <c r="C3463" t="s">
        <v>9238</v>
      </c>
      <c r="D3463" t="s">
        <v>9239</v>
      </c>
      <c r="E3463" s="3" t="str">
        <f>HYPERLINK("https://www.amazon.com/Aquaphor-Healing-Ointment-Moisturizing-Protectant/dp/B07QYWKLKP/ref=sr_1_7?keywords=Aquaphor+Healing+Ointment&amp;qid=1695260029&amp;rdc=1&amp;sr=8-7", "https://www.amazon.com/Aquaphor-Healing-Ointment-Moisturizing-Protectant/dp/B07QYWKLKP/ref=sr_1_7?keywords=Aquaphor+Healing+Ointment&amp;qid=1695260029&amp;rdc=1&amp;sr=8-7")</f>
        <v>https://www.amazon.com/Aquaphor-Healing-Ointment-Moisturizing-Protectant/dp/B07QYWKLKP/ref=sr_1_7?keywords=Aquaphor+Healing+Ointment&amp;qid=1695260029&amp;rdc=1&amp;sr=8-7</v>
      </c>
      <c r="F3463" t="s">
        <v>9240</v>
      </c>
      <c r="G3463" t="e">
        <f ca="1">IMAGE("https://shop.sonapharmacy.com/cdn/shop/products/83663518614618p.jpg?v=1609722179")</f>
        <v>#NAME?</v>
      </c>
      <c r="H3463" t="e">
        <f ca="1">IMAGE("https://m.media-amazon.com/images/I/51Xkey5LSZL._AC_UL320_.jpg")</f>
        <v>#NAME?</v>
      </c>
      <c r="I3463" t="s">
        <v>9241</v>
      </c>
      <c r="J3463">
        <v>26.68</v>
      </c>
      <c r="K3463" s="2" t="s">
        <v>9242</v>
      </c>
      <c r="L3463">
        <v>4.8</v>
      </c>
      <c r="M3463">
        <v>10950</v>
      </c>
      <c r="O3463" t="s">
        <v>26</v>
      </c>
      <c r="P3463" t="s">
        <v>39</v>
      </c>
      <c r="Q3463" t="s">
        <v>9243</v>
      </c>
    </row>
    <row r="3464" spans="1:17" ht="15.75" x14ac:dyDescent="0.25">
      <c r="A3464" s="3" t="str">
        <f>HYPERLINK("https://shop.sonapharmacy.com/products/goodsense%C2%AE-flexible-fabric-bandages", "https://shop.sonapharmacy.com/products/goodsense%C2%AE-flexible-fabric-bandages")</f>
        <v>https://shop.sonapharmacy.com/products/goodsense%C2%AE-flexible-fabric-bandages</v>
      </c>
      <c r="B3464" s="3" t="str">
        <f>HYPERLINK("https://shop.sonapharmacy.com/products/goodsense%c2%ae-flexible-fabric-bandages", "https://shop.sonapharmacy.com/products/goodsense%c2%ae-flexible-fabric-bandages")</f>
        <v>https://shop.sonapharmacy.com/products/goodsense%c2%ae-flexible-fabric-bandages</v>
      </c>
      <c r="C3464" t="s">
        <v>9244</v>
      </c>
      <c r="D3464" t="s">
        <v>9245</v>
      </c>
      <c r="E3464" s="3" t="str">
        <f>HYPERLINK("https://www.amazon.com/Band-Aid-Flexible-Fabric-Adhesive-Bandages/dp/B001E96LIQ/ref=sr_1_2?keywords=GoodSense%C2%AE+Flexible+Fabric+Bandages&amp;qid=1695260315&amp;sr=8-2", "https://www.amazon.com/Band-Aid-Flexible-Fabric-Adhesive-Bandages/dp/B001E96LIQ/ref=sr_1_2?keywords=GoodSense%C2%AE+Flexible+Fabric+Bandages&amp;qid=1695260315&amp;sr=8-2")</f>
        <v>https://www.amazon.com/Band-Aid-Flexible-Fabric-Adhesive-Bandages/dp/B001E96LIQ/ref=sr_1_2?keywords=GoodSense%C2%AE+Flexible+Fabric+Bandages&amp;qid=1695260315&amp;sr=8-2</v>
      </c>
      <c r="F3464" t="s">
        <v>9246</v>
      </c>
      <c r="G3464" t="e">
        <f ca="1">IMAGE("https://shop.sonapharmacy.com/cdn/shop/products/146894.jpg?v=1607809318")</f>
        <v>#NAME?</v>
      </c>
      <c r="H3464" t="e">
        <f ca="1">IMAGE("https://m.media-amazon.com/images/I/71tHgAQ7riL._AC_UL320_.jpg")</f>
        <v>#NAME?</v>
      </c>
      <c r="I3464" t="s">
        <v>9247</v>
      </c>
      <c r="J3464">
        <v>19.62</v>
      </c>
      <c r="K3464" s="2" t="s">
        <v>9248</v>
      </c>
      <c r="L3464">
        <v>4.7</v>
      </c>
      <c r="M3464">
        <v>241</v>
      </c>
      <c r="O3464" t="s">
        <v>26</v>
      </c>
      <c r="P3464" t="s">
        <v>39</v>
      </c>
      <c r="Q3464" t="s">
        <v>9249</v>
      </c>
    </row>
    <row r="3465" spans="1:17" ht="15.75" x14ac:dyDescent="0.25">
      <c r="A3465" s="3" t="str">
        <f>HYPERLINK("https://shop.sonapharmacy.com/products/carefree%C2%AE-original-regular-pantiliners-to-go-fresh-scent-20ct", "https://shop.sonapharmacy.com/products/carefree%C2%AE-original-regular-pantiliners-to-go-fresh-scent-20ct")</f>
        <v>https://shop.sonapharmacy.com/products/carefree%C2%AE-original-regular-pantiliners-to-go-fresh-scent-20ct</v>
      </c>
      <c r="B3465" s="3" t="str">
        <f>HYPERLINK("https://shop.sonapharmacy.com/products/carefree%c2%ae-original-regular-pantiliners-to-go-fresh-scent-20ct", "https://shop.sonapharmacy.com/products/carefree%c2%ae-original-regular-pantiliners-to-go-fresh-scent-20ct")</f>
        <v>https://shop.sonapharmacy.com/products/carefree%c2%ae-original-regular-pantiliners-to-go-fresh-scent-20ct</v>
      </c>
      <c r="C3465" t="s">
        <v>9037</v>
      </c>
      <c r="D3465" t="s">
        <v>9038</v>
      </c>
      <c r="E3465" s="3" t="str">
        <f>HYPERLINK("https://www.amazon.com/CAREFREE-Original-Regular-Pantiliners-Fresh/dp/B005LPFV26/ref=sr_1_3?keywords=Carefree%C2%AE+Original+Regular+Pantiliners+To+Go+Fresh+Scent+20ct.&amp;qid=1695260121&amp;sr=8-3", "https://www.amazon.com/CAREFREE-Original-Regular-Pantiliners-Fresh/dp/B005LPFV26/ref=sr_1_3?keywords=Carefree%C2%AE+Original+Regular+Pantiliners+To+Go+Fresh+Scent+20ct.&amp;qid=1695260121&amp;sr=8-3")</f>
        <v>https://www.amazon.com/CAREFREE-Original-Regular-Pantiliners-Fresh/dp/B005LPFV26/ref=sr_1_3?keywords=Carefree%C2%AE+Original+Regular+Pantiliners+To+Go+Fresh+Scent+20ct.&amp;qid=1695260121&amp;sr=8-3</v>
      </c>
      <c r="F3465" t="s">
        <v>9250</v>
      </c>
      <c r="G3465" t="e">
        <f ca="1">IMAGE("https://shop.sonapharmacy.com/cdn/shop/products/41P97Fcw0TL._AC.jpg?v=1609180313")</f>
        <v>#NAME?</v>
      </c>
      <c r="H3465" t="e">
        <f ca="1">IMAGE("https://m.media-amazon.com/images/I/61HXwqflAmL._AC_UL320_.jpg")</f>
        <v>#NAME?</v>
      </c>
      <c r="I3465" t="s">
        <v>8134</v>
      </c>
      <c r="J3465">
        <v>7.99</v>
      </c>
      <c r="K3465" s="2" t="s">
        <v>9251</v>
      </c>
      <c r="L3465">
        <v>4.8</v>
      </c>
      <c r="M3465">
        <v>1228</v>
      </c>
      <c r="O3465" t="s">
        <v>26</v>
      </c>
      <c r="P3465" t="s">
        <v>39</v>
      </c>
      <c r="Q3465" t="s">
        <v>9041</v>
      </c>
    </row>
    <row r="3466" spans="1:17" ht="15.75" x14ac:dyDescent="0.25">
      <c r="A3466" s="3" t="str">
        <f>HYPERLINK("https://shop.sonapharmacy.com/products/apex%C2%AE-medicine-spoon-10ml", "https://shop.sonapharmacy.com/products/apex%C2%AE-medicine-spoon-10ml")</f>
        <v>https://shop.sonapharmacy.com/products/apex%C2%AE-medicine-spoon-10ml</v>
      </c>
      <c r="B3466" s="3" t="str">
        <f>HYPERLINK("https://shop.sonapharmacy.com/products/apex%c2%ae-medicine-spoon-10ml", "https://shop.sonapharmacy.com/products/apex%c2%ae-medicine-spoon-10ml")</f>
        <v>https://shop.sonapharmacy.com/products/apex%c2%ae-medicine-spoon-10ml</v>
      </c>
      <c r="C3466" t="s">
        <v>8388</v>
      </c>
      <c r="D3466" t="s">
        <v>9252</v>
      </c>
      <c r="E3466" s="3" t="str">
        <f>HYPERLINK("https://www.amazon.com/Apex-Medicine-Spoon-10mL-Pack/dp/B01JPXZKRK/ref=sr_1_2?keywords=Apex+Medicine+Spoon+10ml.&amp;qid=1695260008&amp;sr=8-2", "https://www.amazon.com/Apex-Medicine-Spoon-10mL-Pack/dp/B01JPXZKRK/ref=sr_1_2?keywords=Apex+Medicine+Spoon+10ml.&amp;qid=1695260008&amp;sr=8-2")</f>
        <v>https://www.amazon.com/Apex-Medicine-Spoon-10mL-Pack/dp/B01JPXZKRK/ref=sr_1_2?keywords=Apex+Medicine+Spoon+10ml.&amp;qid=1695260008&amp;sr=8-2</v>
      </c>
      <c r="F3466" t="s">
        <v>9253</v>
      </c>
      <c r="G3466" t="e">
        <f ca="1">IMAGE("https://shop.sonapharmacy.com/cdn/shop/products/318g5JQyUoL._AC.jpg?v=1609960936")</f>
        <v>#NAME?</v>
      </c>
      <c r="H3466" t="e">
        <f ca="1">IMAGE("https://m.media-amazon.com/images/I/318g5JQyUoL._AC_UL320_.jpg")</f>
        <v>#NAME?</v>
      </c>
      <c r="I3466" t="s">
        <v>8294</v>
      </c>
      <c r="J3466">
        <v>6.2</v>
      </c>
      <c r="K3466" s="2" t="s">
        <v>9254</v>
      </c>
      <c r="L3466">
        <v>5</v>
      </c>
      <c r="M3466">
        <v>2</v>
      </c>
      <c r="O3466" t="s">
        <v>26</v>
      </c>
      <c r="P3466" t="s">
        <v>39</v>
      </c>
      <c r="Q3466" t="s">
        <v>8392</v>
      </c>
    </row>
    <row r="3467" spans="1:17" ht="15.75" x14ac:dyDescent="0.25">
      <c r="A3467" s="3" t="str">
        <f>HYPERLINK("https://shop.sonapharmacy.com/products/attends%C2%AE-underwear-extra-absorbency-youth-small-20ct", "https://shop.sonapharmacy.com/products/attends%C2%AE-underwear-extra-absorbency-youth-small-20ct")</f>
        <v>https://shop.sonapharmacy.com/products/attends%C2%AE-underwear-extra-absorbency-youth-small-20ct</v>
      </c>
      <c r="B3467" s="3" t="str">
        <f>HYPERLINK("https://shop.sonapharmacy.com/products/attends%c2%ae-underwear-extra-absorbency-youth-small-20ct", "https://shop.sonapharmacy.com/products/attends%c2%ae-underwear-extra-absorbency-youth-small-20ct")</f>
        <v>https://shop.sonapharmacy.com/products/attends%c2%ae-underwear-extra-absorbency-youth-small-20ct</v>
      </c>
      <c r="C3467" t="s">
        <v>9255</v>
      </c>
      <c r="D3467" t="s">
        <v>9256</v>
      </c>
      <c r="E3467" s="3" t="str">
        <f>HYPERLINK("https://www.amazon.com/48APP0710CA-Absorbency-Pull-Protective-Underwear/dp/B00KPXRUEG/ref=sr_1_3?keywords=Attends+Underwear+Extra+Absorbency+Youth%2FSmall+20ct.&amp;qid=1695260028&amp;sr=8-3", "https://www.amazon.com/48APP0710CA-Absorbency-Pull-Protective-Underwear/dp/B00KPXRUEG/ref=sr_1_3?keywords=Attends+Underwear+Extra+Absorbency+Youth%2FSmall+20ct.&amp;qid=1695260028&amp;sr=8-3")</f>
        <v>https://www.amazon.com/48APP0710CA-Absorbency-Pull-Protective-Underwear/dp/B00KPXRUEG/ref=sr_1_3?keywords=Attends+Underwear+Extra+Absorbency+Youth%2FSmall+20ct.&amp;qid=1695260028&amp;sr=8-3</v>
      </c>
      <c r="F3467" t="s">
        <v>9257</v>
      </c>
      <c r="G3467" t="e">
        <f ca="1">IMAGE("https://shop.sonapharmacy.com/cdn/shop/products/615UQMYktPL._AC_SL1000.jpg?v=1611077191")</f>
        <v>#NAME?</v>
      </c>
      <c r="H3467" t="e">
        <f ca="1">IMAGE("https://m.media-amazon.com/images/I/41gEJt0qfEL._AC_UL320_.jpg")</f>
        <v>#NAME?</v>
      </c>
      <c r="I3467" t="s">
        <v>9258</v>
      </c>
      <c r="J3467">
        <v>53.48</v>
      </c>
      <c r="K3467" s="2" t="s">
        <v>9254</v>
      </c>
      <c r="L3467">
        <v>4.7</v>
      </c>
      <c r="M3467">
        <v>4</v>
      </c>
      <c r="O3467" t="s">
        <v>26</v>
      </c>
      <c r="P3467" t="s">
        <v>39</v>
      </c>
      <c r="Q3467" t="s">
        <v>9259</v>
      </c>
    </row>
    <row r="3468" spans="1:17" ht="15.75" x14ac:dyDescent="0.25">
      <c r="A3468" s="3" t="str">
        <f>HYPERLINK("https://shop.sonapharmacy.com/products/breathe-right-original-nasal-strips", "https://shop.sonapharmacy.com/products/breathe-right-original-nasal-strips")</f>
        <v>https://shop.sonapharmacy.com/products/breathe-right-original-nasal-strips</v>
      </c>
      <c r="B3468" s="3" t="str">
        <f>HYPERLINK("https://shop.sonapharmacy.com/products/breathe-right-original-nasal-strips", "https://shop.sonapharmacy.com/products/breathe-right-original-nasal-strips")</f>
        <v>https://shop.sonapharmacy.com/products/breathe-right-original-nasal-strips</v>
      </c>
      <c r="C3468" t="s">
        <v>8894</v>
      </c>
      <c r="D3468" t="s">
        <v>9260</v>
      </c>
      <c r="E3468" s="3" t="str">
        <f>HYPERLINK("https://www.amazon.com/Breathe-Right-Nasal-Strips-Original/dp/B0781C4ZZQ/ref=sr_1_10?keywords=Breathe+Right%C2%AE+Original+Nasal+Strips+Large%2FTan&amp;qid=1695260103&amp;sr=8-10", "https://www.amazon.com/Breathe-Right-Nasal-Strips-Original/dp/B0781C4ZZQ/ref=sr_1_10?keywords=Breathe+Right%C2%AE+Original+Nasal+Strips+Large%2FTan&amp;qid=1695260103&amp;sr=8-10")</f>
        <v>https://www.amazon.com/Breathe-Right-Nasal-Strips-Original/dp/B0781C4ZZQ/ref=sr_1_10?keywords=Breathe+Right%C2%AE+Original+Nasal+Strips+Large%2FTan&amp;qid=1695260103&amp;sr=8-10</v>
      </c>
      <c r="F3468" t="s">
        <v>9261</v>
      </c>
      <c r="G3468" t="e">
        <f ca="1">IMAGE("https://shop.sonapharmacy.com/cdn/shop/files/Sona-Shop-banner2_0c7162f3-c367-451d-8193-c2967a0e8d8e.jpg?v=1614290083")</f>
        <v>#NAME?</v>
      </c>
      <c r="H3468" t="e">
        <f ca="1">IMAGE("https://m.media-amazon.com/images/I/61kVo62CeEL._AC_UL320_.jpg")</f>
        <v>#NAME?</v>
      </c>
      <c r="I3468" t="s">
        <v>5295</v>
      </c>
      <c r="J3468">
        <v>59.99</v>
      </c>
      <c r="K3468" s="2" t="s">
        <v>9262</v>
      </c>
      <c r="L3468">
        <v>5</v>
      </c>
      <c r="M3468">
        <v>12</v>
      </c>
      <c r="O3468" t="s">
        <v>26</v>
      </c>
      <c r="P3468" t="s">
        <v>39</v>
      </c>
      <c r="Q3468" t="s">
        <v>8898</v>
      </c>
    </row>
    <row r="3469" spans="1:17" ht="15.75" x14ac:dyDescent="0.25">
      <c r="A3469" s="3" t="str">
        <f>HYPERLINK("https://shop.sonapharmacy.com/products/ricola-original-natural-herb-cough-drops", "https://shop.sonapharmacy.com/products/ricola-original-natural-herb-cough-drops")</f>
        <v>https://shop.sonapharmacy.com/products/ricola-original-natural-herb-cough-drops</v>
      </c>
      <c r="B3469" s="3" t="str">
        <f>HYPERLINK("https://shop.sonapharmacy.com/products/ricola-original-natural-herb-cough-drops", "https://shop.sonapharmacy.com/products/ricola-original-natural-herb-cough-drops")</f>
        <v>https://shop.sonapharmacy.com/products/ricola-original-natural-herb-cough-drops</v>
      </c>
      <c r="C3469" t="s">
        <v>8464</v>
      </c>
      <c r="D3469" t="s">
        <v>9263</v>
      </c>
      <c r="E3469" s="3" t="str">
        <f>HYPERLINK("https://www.amazon.com/Original-Natural-Herb-Cough-Drops/dp/B0C2X5L93M/ref=sr_1_6?keywords=Ricola+Original+Natural+Herb+Cough+Drops&amp;qid=1695260693&amp;sr=8-6", "https://www.amazon.com/Original-Natural-Herb-Cough-Drops/dp/B0C2X5L93M/ref=sr_1_6?keywords=Ricola+Original+Natural+Herb+Cough+Drops&amp;qid=1695260693&amp;sr=8-6")</f>
        <v>https://www.amazon.com/Original-Natural-Herb-Cough-Drops/dp/B0C2X5L93M/ref=sr_1_6?keywords=Ricola+Original+Natural+Herb+Cough+Drops&amp;qid=1695260693&amp;sr=8-6</v>
      </c>
      <c r="F3469" t="s">
        <v>9264</v>
      </c>
      <c r="G3469" t="e">
        <f ca="1">IMAGE("https://shop.sonapharmacy.com/cdn/shop/products/originalherb_bag_21.png?v=1608220874")</f>
        <v>#NAME?</v>
      </c>
      <c r="H3469" t="e">
        <f ca="1">IMAGE("https://m.media-amazon.com/images/I/51XyjeZZ35L._AC_UL320_.jpg")</f>
        <v>#NAME?</v>
      </c>
      <c r="I3469" t="s">
        <v>8279</v>
      </c>
      <c r="J3469">
        <v>16.989999999999998</v>
      </c>
      <c r="K3469" s="2" t="s">
        <v>9265</v>
      </c>
      <c r="L3469">
        <v>4.8</v>
      </c>
      <c r="M3469">
        <v>8</v>
      </c>
      <c r="O3469" t="s">
        <v>26</v>
      </c>
      <c r="P3469" t="s">
        <v>39</v>
      </c>
      <c r="Q3469" t="s">
        <v>8468</v>
      </c>
    </row>
    <row r="3470" spans="1:17" ht="15.75" x14ac:dyDescent="0.25">
      <c r="A3470" s="3" t="str">
        <f>HYPERLINK("https://shop.sonapharmacy.com/products/resinol-medicated-ointment-3-3oz", "https://shop.sonapharmacy.com/products/resinol-medicated-ointment-3-3oz")</f>
        <v>https://shop.sonapharmacy.com/products/resinol-medicated-ointment-3-3oz</v>
      </c>
      <c r="B3470" s="3" t="str">
        <f>HYPERLINK("https://shop.sonapharmacy.com/products/resinol-medicated-ointment-3-3oz", "https://shop.sonapharmacy.com/products/resinol-medicated-ointment-3-3oz")</f>
        <v>https://shop.sonapharmacy.com/products/resinol-medicated-ointment-3-3oz</v>
      </c>
      <c r="C3470" t="s">
        <v>8612</v>
      </c>
      <c r="D3470" t="s">
        <v>9266</v>
      </c>
      <c r="E3470" s="3" t="str">
        <f>HYPERLINK("https://www.amazon.com/Resinol-Medicated-Ointment-3-30-Pack/dp/B01IAI4HX4/ref=sr_1_5?keywords=Resinol+Medicated+Ointment+3.3oz&amp;qid=1695260673&amp;sr=8-5", "https://www.amazon.com/Resinol-Medicated-Ointment-3-30-Pack/dp/B01IAI4HX4/ref=sr_1_5?keywords=Resinol+Medicated+Ointment+3.3oz&amp;qid=1695260673&amp;sr=8-5")</f>
        <v>https://www.amazon.com/Resinol-Medicated-Ointment-3-30-Pack/dp/B01IAI4HX4/ref=sr_1_5?keywords=Resinol+Medicated+Ointment+3.3oz&amp;qid=1695260673&amp;sr=8-5</v>
      </c>
      <c r="F3470" t="s">
        <v>9267</v>
      </c>
      <c r="G3470" t="e">
        <f ca="1">IMAGE("https://shop.sonapharmacy.com/cdn/shop/products/61SYOFBFkKL._AC_SL1237.jpg?v=1607970374")</f>
        <v>#NAME?</v>
      </c>
      <c r="H3470" t="e">
        <f ca="1">IMAGE("https://m.media-amazon.com/images/I/7133to7ndHL._AC_UL320_.jpg")</f>
        <v>#NAME?</v>
      </c>
      <c r="I3470" t="s">
        <v>8615</v>
      </c>
      <c r="J3470">
        <v>57.15</v>
      </c>
      <c r="K3470" s="2" t="s">
        <v>9268</v>
      </c>
      <c r="L3470">
        <v>5</v>
      </c>
      <c r="M3470">
        <v>8</v>
      </c>
      <c r="O3470" t="s">
        <v>136</v>
      </c>
      <c r="P3470" t="s">
        <v>39</v>
      </c>
      <c r="Q3470" t="s">
        <v>8617</v>
      </c>
    </row>
    <row r="3471" spans="1:17" ht="15.75" x14ac:dyDescent="0.25">
      <c r="A3471" s="3" t="str">
        <f>HYPERLINK("https://shop.sonapharmacy.com/products/old-spice-high-endurance-pure-sport-body-wash-18fl-oz", "https://shop.sonapharmacy.com/products/old-spice-high-endurance-pure-sport-body-wash-18fl-oz")</f>
        <v>https://shop.sonapharmacy.com/products/old-spice-high-endurance-pure-sport-body-wash-18fl-oz</v>
      </c>
      <c r="B3471" s="3" t="str">
        <f>HYPERLINK("https://shop.sonapharmacy.com/products/old-spice-high-endurance-pure-sport-body-wash-18fl-oz", "https://shop.sonapharmacy.com/products/old-spice-high-endurance-pure-sport-body-wash-18fl-oz")</f>
        <v>https://shop.sonapharmacy.com/products/old-spice-high-endurance-pure-sport-body-wash-18fl-oz</v>
      </c>
      <c r="C3471" t="s">
        <v>8916</v>
      </c>
      <c r="D3471" t="s">
        <v>9269</v>
      </c>
      <c r="E3471" s="3" t="str">
        <f>HYPERLINK("https://www.amazon.com/Old-Spice-Hardest-Working-Collection/dp/B07DL5XPLV/ref=sr_1_7?keywords=Old+Spice+High+Endurance+Pure+Sport+Body+Wash+18fl.+oz.&amp;qid=1695260603&amp;sr=8-7", "https://www.amazon.com/Old-Spice-Hardest-Working-Collection/dp/B07DL5XPLV/ref=sr_1_7?keywords=Old+Spice+High+Endurance+Pure+Sport+Body+Wash+18fl.+oz.&amp;qid=1695260603&amp;sr=8-7")</f>
        <v>https://www.amazon.com/Old-Spice-Hardest-Working-Collection/dp/B07DL5XPLV/ref=sr_1_7?keywords=Old+Spice+High+Endurance+Pure+Sport+Body+Wash+18fl.+oz.&amp;qid=1695260603&amp;sr=8-7</v>
      </c>
      <c r="F3471" t="s">
        <v>9270</v>
      </c>
      <c r="G3471" t="e">
        <f ca="1">IMAGE("https://shop.sonapharmacy.com/cdn/shop/products/13f57484-3da0-417b-9e06-c938236c196e_1.b91e30808ac13bebc5df666aaa4bd21e.jpg?v=1608490257")</f>
        <v>#NAME?</v>
      </c>
      <c r="H3471" t="e">
        <f ca="1">IMAGE("https://m.media-amazon.com/images/I/913GegjY02L._AC_UL320_.jpg")</f>
        <v>#NAME?</v>
      </c>
      <c r="I3471" t="s">
        <v>5109</v>
      </c>
      <c r="J3471">
        <v>27.88</v>
      </c>
      <c r="K3471" s="2" t="s">
        <v>9271</v>
      </c>
      <c r="L3471">
        <v>4.7</v>
      </c>
      <c r="M3471">
        <v>13280</v>
      </c>
      <c r="O3471" t="s">
        <v>26</v>
      </c>
      <c r="P3471" t="s">
        <v>39</v>
      </c>
      <c r="Q3471" t="s">
        <v>8920</v>
      </c>
    </row>
    <row r="3472" spans="1:17" ht="15.75" x14ac:dyDescent="0.25">
      <c r="A3472" s="3" t="str">
        <f>HYPERLINK("https://shop.sonapharmacy.com/products/reach%C2%AE-mint-waxed-floss-55yds", "https://shop.sonapharmacy.com/products/reach%C2%AE-mint-waxed-floss-55yds")</f>
        <v>https://shop.sonapharmacy.com/products/reach%C2%AE-mint-waxed-floss-55yds</v>
      </c>
      <c r="B3472" s="3" t="str">
        <f>HYPERLINK("https://shop.sonapharmacy.com/products/reach%c2%ae-mint-waxed-floss-55yds", "https://shop.sonapharmacy.com/products/reach%c2%ae-mint-waxed-floss-55yds")</f>
        <v>https://shop.sonapharmacy.com/products/reach%c2%ae-mint-waxed-floss-55yds</v>
      </c>
      <c r="C3472" t="s">
        <v>8046</v>
      </c>
      <c r="D3472" t="s">
        <v>9272</v>
      </c>
      <c r="E3472" s="3" t="str">
        <f>HYPERLINK("https://www.amazon.com/Reach-Mint-Waxed-Floss-Count/dp/B012O5ABZC/ref=sr_1_10?keywords=Reach%C2%AE+Mint+Waxed+Floss&amp;qid=1695260669&amp;sr=8-10", "https://www.amazon.com/Reach-Mint-Waxed-Floss-Count/dp/B012O5ABZC/ref=sr_1_10?keywords=Reach%C2%AE+Mint+Waxed+Floss&amp;qid=1695260669&amp;sr=8-10")</f>
        <v>https://www.amazon.com/Reach-Mint-Waxed-Floss-Count/dp/B012O5ABZC/ref=sr_1_10?keywords=Reach%C2%AE+Mint+Waxed+Floss&amp;qid=1695260669&amp;sr=8-10</v>
      </c>
      <c r="F3472" t="s">
        <v>9273</v>
      </c>
      <c r="G3472" t="e">
        <f ca="1">IMAGE("https://shop.sonapharmacy.com/cdn/shop/products/reach_mint_waxed_floss.png?v=1608573621")</f>
        <v>#NAME?</v>
      </c>
      <c r="H3472" t="e">
        <f ca="1">IMAGE("https://m.media-amazon.com/images/I/710wW2etrkL._AC_UL320_.jpg")</f>
        <v>#NAME?</v>
      </c>
      <c r="I3472" t="s">
        <v>8049</v>
      </c>
      <c r="J3472">
        <v>6.9</v>
      </c>
      <c r="K3472" s="2" t="s">
        <v>9274</v>
      </c>
      <c r="L3472">
        <v>4.7</v>
      </c>
      <c r="M3472">
        <v>1093</v>
      </c>
      <c r="O3472" t="s">
        <v>26</v>
      </c>
      <c r="P3472" t="s">
        <v>39</v>
      </c>
      <c r="Q3472" t="s">
        <v>8051</v>
      </c>
    </row>
    <row r="3473" spans="1:17" ht="15.75" x14ac:dyDescent="0.25">
      <c r="A3473" s="3" t="str">
        <f>HYPERLINK("https://shop.sonapharmacy.com/products/gold-bond%C2%AE-ultimate-comfort-body-powder-10oz", "https://shop.sonapharmacy.com/products/gold-bond%C2%AE-ultimate-comfort-body-powder-10oz")</f>
        <v>https://shop.sonapharmacy.com/products/gold-bond%C2%AE-ultimate-comfort-body-powder-10oz</v>
      </c>
      <c r="B3473" s="3" t="str">
        <f>HYPERLINK("https://shop.sonapharmacy.com/products/gold-bond%c2%ae-ultimate-comfort-body-powder-10oz", "https://shop.sonapharmacy.com/products/gold-bond%c2%ae-ultimate-comfort-body-powder-10oz")</f>
        <v>https://shop.sonapharmacy.com/products/gold-bond%c2%ae-ultimate-comfort-body-powder-10oz</v>
      </c>
      <c r="C3473" t="s">
        <v>8256</v>
      </c>
      <c r="D3473" t="s">
        <v>9275</v>
      </c>
      <c r="E3473" s="3" t="str">
        <f>HYPERLINK("https://www.amazon.com/Ultimate-Comfort-Powder-10-Ounce-Bottles/dp/B00HQ9BZFC/ref=sr_1_4?keywords=Gold+Bond%C2%AE+Ultimate+Comfort+Body+Powder+10oz.&amp;qid=1695260302&amp;sr=8-4", "https://www.amazon.com/Ultimate-Comfort-Powder-10-Ounce-Bottles/dp/B00HQ9BZFC/ref=sr_1_4?keywords=Gold+Bond%C2%AE+Ultimate+Comfort+Body+Powder+10oz.&amp;qid=1695260302&amp;sr=8-4")</f>
        <v>https://www.amazon.com/Ultimate-Comfort-Powder-10-Ounce-Bottles/dp/B00HQ9BZFC/ref=sr_1_4?keywords=Gold+Bond%C2%AE+Ultimate+Comfort+Body+Powder+10oz.&amp;qid=1695260302&amp;sr=8-4</v>
      </c>
      <c r="F3473" t="s">
        <v>9276</v>
      </c>
      <c r="G3473" t="e">
        <f ca="1">IMAGE("https://shop.sonapharmacy.com/cdn/shop/products/7e150152-a877-4134-a992-e91e09529ec5.caa68ecd741f74132fd920655efb3f00.jpg?v=1608489105")</f>
        <v>#NAME?</v>
      </c>
      <c r="H3473" t="e">
        <f ca="1">IMAGE("https://m.media-amazon.com/images/I/31Y4sMKTtBL._AC_UL320_.jpg")</f>
        <v>#NAME?</v>
      </c>
      <c r="I3473" t="s">
        <v>8070</v>
      </c>
      <c r="J3473">
        <v>31.79</v>
      </c>
      <c r="K3473" s="2" t="s">
        <v>9277</v>
      </c>
      <c r="L3473">
        <v>5</v>
      </c>
      <c r="M3473">
        <v>4</v>
      </c>
      <c r="O3473" t="s">
        <v>136</v>
      </c>
      <c r="P3473" t="s">
        <v>39</v>
      </c>
      <c r="Q3473" t="s">
        <v>8260</v>
      </c>
    </row>
    <row r="3474" spans="1:17" ht="15.75" x14ac:dyDescent="0.25">
      <c r="A3474" s="3" t="str">
        <f>HYPERLINK("https://shop.sonapharmacy.com/products/fruit-of-the-earth-aloe-vera-100-gel-6oz", "https://shop.sonapharmacy.com/products/fruit-of-the-earth-aloe-vera-100-gel-6oz")</f>
        <v>https://shop.sonapharmacy.com/products/fruit-of-the-earth-aloe-vera-100-gel-6oz</v>
      </c>
      <c r="B3474" s="3" t="str">
        <f>HYPERLINK("https://shop.sonapharmacy.com/products/fruit-of-the-earth-aloe-vera-100-gel-6oz", "https://shop.sonapharmacy.com/products/fruit-of-the-earth-aloe-vera-100-gel-6oz")</f>
        <v>https://shop.sonapharmacy.com/products/fruit-of-the-earth-aloe-vera-100-gel-6oz</v>
      </c>
      <c r="C3474" t="s">
        <v>8763</v>
      </c>
      <c r="D3474" t="s">
        <v>9278</v>
      </c>
      <c r="E3474" s="3" t="str">
        <f>HYPERLINK("https://www.amazon.com/Fruit-Earth-Aloe-Vera-Clear/dp/B008R2B33Q/ref=sr_1_8?keywords=Fruit+Of+The+Earth+Aloe+Vera+100%25+Gel+6oz.&amp;qid=1695260255&amp;sr=8-8", "https://www.amazon.com/Fruit-Earth-Aloe-Vera-Clear/dp/B008R2B33Q/ref=sr_1_8?keywords=Fruit+Of+The+Earth+Aloe+Vera+100%25+Gel+6oz.&amp;qid=1695260255&amp;sr=8-8")</f>
        <v>https://www.amazon.com/Fruit-Earth-Aloe-Vera-Clear/dp/B008R2B33Q/ref=sr_1_8?keywords=Fruit+Of+The+Earth+Aloe+Vera+100%25+Gel+6oz.&amp;qid=1695260255&amp;sr=8-8</v>
      </c>
      <c r="F3474" t="s">
        <v>9279</v>
      </c>
      <c r="G3474" t="e">
        <f ca="1">IMAGE("https://shop.sonapharmacy.com/cdn/shop/products/aloevera.jpg?v=1607965506")</f>
        <v>#NAME?</v>
      </c>
      <c r="H3474" t="e">
        <f ca="1">IMAGE("https://m.media-amazon.com/images/I/71h2XiE7xXL._AC_UL320_.jpg")</f>
        <v>#NAME?</v>
      </c>
      <c r="I3474" t="s">
        <v>8766</v>
      </c>
      <c r="J3474">
        <v>20.99</v>
      </c>
      <c r="K3474" s="2" t="s">
        <v>9280</v>
      </c>
      <c r="L3474">
        <v>4.5999999999999996</v>
      </c>
      <c r="M3474">
        <v>119</v>
      </c>
      <c r="O3474" t="s">
        <v>26</v>
      </c>
      <c r="P3474" t="s">
        <v>39</v>
      </c>
      <c r="Q3474" t="s">
        <v>8768</v>
      </c>
    </row>
    <row r="3475" spans="1:17" ht="15.75" x14ac:dyDescent="0.25">
      <c r="A3475" s="3" t="str">
        <f>HYPERLINK("https://shop.sonapharmacy.com/products/boudreauxs-butt-paste%C2%AE-original-diaper-rash-ointment", "https://shop.sonapharmacy.com/products/boudreauxs-butt-paste%C2%AE-original-diaper-rash-ointment")</f>
        <v>https://shop.sonapharmacy.com/products/boudreauxs-butt-paste%C2%AE-original-diaper-rash-ointment</v>
      </c>
      <c r="B3475" s="3" t="str">
        <f>HYPERLINK("https://shop.sonapharmacy.com/products/boudreauxs-butt-paste%c2%ae-original-diaper-rash-ointment", "https://shop.sonapharmacy.com/products/boudreauxs-butt-paste%c2%ae-original-diaper-rash-ointment")</f>
        <v>https://shop.sonapharmacy.com/products/boudreauxs-butt-paste%c2%ae-original-diaper-rash-ointment</v>
      </c>
      <c r="C3475" t="s">
        <v>9281</v>
      </c>
      <c r="D3475" t="s">
        <v>9282</v>
      </c>
      <c r="E3475" s="3" t="str">
        <f>HYPERLINK("https://www.amazon.com/Boudreauxs-Butt-Paste-Ointment-Original/dp/B0CC6D78WK/ref=sr_1_4?keywords=Boudreaux%27s+Butt+Paste%C2%AE+Original+Diaper+Rash+Ointment&amp;qid=1695260099&amp;sr=8-4", "https://www.amazon.com/Boudreauxs-Butt-Paste-Ointment-Original/dp/B0CC6D78WK/ref=sr_1_4?keywords=Boudreaux%27s+Butt+Paste%C2%AE+Original+Diaper+Rash+Ointment&amp;qid=1695260099&amp;sr=8-4")</f>
        <v>https://www.amazon.com/Boudreauxs-Butt-Paste-Ointment-Original/dp/B0CC6D78WK/ref=sr_1_4?keywords=Boudreaux%27s+Butt+Paste%C2%AE+Original+Diaper+Rash+Ointment&amp;qid=1695260099&amp;sr=8-4</v>
      </c>
      <c r="F3475" t="s">
        <v>9283</v>
      </c>
      <c r="G3475" t="e">
        <f ca="1">IMAGE("https://shop.sonapharmacy.com/cdn/shop/products/2oz.jpg?v=1609271951")</f>
        <v>#NAME?</v>
      </c>
      <c r="H3475" t="e">
        <f ca="1">IMAGE("https://m.media-amazon.com/images/I/61QyO3Scv1L._AC_UL320_.jpg")</f>
        <v>#NAME?</v>
      </c>
      <c r="I3475" t="s">
        <v>9284</v>
      </c>
      <c r="J3475">
        <v>28.41</v>
      </c>
      <c r="K3475" s="2" t="s">
        <v>9285</v>
      </c>
      <c r="L3475">
        <v>4.7</v>
      </c>
      <c r="M3475">
        <v>24</v>
      </c>
      <c r="O3475" t="s">
        <v>26</v>
      </c>
      <c r="P3475" t="s">
        <v>39</v>
      </c>
      <c r="Q3475" t="s">
        <v>9286</v>
      </c>
    </row>
    <row r="3476" spans="1:17" ht="15.75" x14ac:dyDescent="0.25">
      <c r="A3476" s="3" t="str">
        <f>HYPERLINK("https://shop.sonapharmacy.com/products/poise%C2%AE-pads-ultimate-absorbency-regular-length-33ct", "https://shop.sonapharmacy.com/products/poise%C2%AE-pads-ultimate-absorbency-regular-length-33ct")</f>
        <v>https://shop.sonapharmacy.com/products/poise%C2%AE-pads-ultimate-absorbency-regular-length-33ct</v>
      </c>
      <c r="B3476" s="3" t="str">
        <f>HYPERLINK("https://shop.sonapharmacy.com/products/poise%c2%ae-pads-ultimate-absorbency-regular-length-33ct", "https://shop.sonapharmacy.com/products/poise%c2%ae-pads-ultimate-absorbency-regular-length-33ct")</f>
        <v>https://shop.sonapharmacy.com/products/poise%c2%ae-pads-ultimate-absorbency-regular-length-33ct</v>
      </c>
      <c r="C3476" t="s">
        <v>9287</v>
      </c>
      <c r="D3476" t="s">
        <v>9288</v>
      </c>
      <c r="E3476" s="3" t="str">
        <f>HYPERLINK("https://www.amazon.com/Poise-Regular-Length-Ultimate-Absorbency/dp/B076VL2Q6C/ref=sr_1_3?keywords=Poise%C2%AE+Pads+Ultimate+Absorbency+Regular+Length+33ct.&amp;qid=1695260641&amp;sr=8-3", "https://www.amazon.com/Poise-Regular-Length-Ultimate-Absorbency/dp/B076VL2Q6C/ref=sr_1_3?keywords=Poise%C2%AE+Pads+Ultimate+Absorbency+Regular+Length+33ct.&amp;qid=1695260641&amp;sr=8-3")</f>
        <v>https://www.amazon.com/Poise-Regular-Length-Ultimate-Absorbency/dp/B076VL2Q6C/ref=sr_1_3?keywords=Poise%C2%AE+Pads+Ultimate+Absorbency+Regular+Length+33ct.&amp;qid=1695260641&amp;sr=8-3</v>
      </c>
      <c r="F3476" t="s">
        <v>9289</v>
      </c>
      <c r="G3476" t="e">
        <f ca="1">IMAGE("https://shop.sonapharmacy.com/cdn/shop/products/81jKQQoGnuL._AC_SL1500.jpg?v=1611073225")</f>
        <v>#NAME?</v>
      </c>
      <c r="H3476" t="e">
        <f ca="1">IMAGE("https://m.media-amazon.com/images/I/71nFk6vtwUL._AC_UL320_.jpg")</f>
        <v>#NAME?</v>
      </c>
      <c r="I3476" t="s">
        <v>9290</v>
      </c>
      <c r="J3476">
        <v>74.150000000000006</v>
      </c>
      <c r="K3476" s="2" t="s">
        <v>9291</v>
      </c>
      <c r="L3476">
        <v>4</v>
      </c>
      <c r="M3476">
        <v>23</v>
      </c>
      <c r="O3476" t="s">
        <v>26</v>
      </c>
      <c r="P3476" t="s">
        <v>39</v>
      </c>
      <c r="Q3476" t="s">
        <v>9292</v>
      </c>
    </row>
    <row r="3477" spans="1:17" ht="15.75" x14ac:dyDescent="0.25">
      <c r="A3477" s="3" t="str">
        <f>HYPERLINK("https://shop.sonapharmacy.com/products/boiron-oscillococcinum-homeopathic-medicine", "https://shop.sonapharmacy.com/products/boiron-oscillococcinum-homeopathic-medicine")</f>
        <v>https://shop.sonapharmacy.com/products/boiron-oscillococcinum-homeopathic-medicine</v>
      </c>
      <c r="B3477" s="3" t="str">
        <f>HYPERLINK("https://shop.sonapharmacy.com/products/boiron-oscillococcinum-homeopathic-medicine", "https://shop.sonapharmacy.com/products/boiron-oscillococcinum-homeopathic-medicine")</f>
        <v>https://shop.sonapharmacy.com/products/boiron-oscillococcinum-homeopathic-medicine</v>
      </c>
      <c r="C3477" t="s">
        <v>9293</v>
      </c>
      <c r="D3477" t="s">
        <v>9294</v>
      </c>
      <c r="E3477" s="3" t="str">
        <f>HYPERLINK("https://www.amazon.com/Boiron-Oscillococcinum-Homeopathic-Medicine-Flu-Like/dp/B0843Q8JDJ/ref=sr_1_3?keywords=Boiron%C2%AE+Oscillococcinum+Homeopathic+Medicine&amp;qid=1695260104&amp;sr=8-3", "https://www.amazon.com/Boiron-Oscillococcinum-Homeopathic-Medicine-Flu-Like/dp/B0843Q8JDJ/ref=sr_1_3?keywords=Boiron%C2%AE+Oscillococcinum+Homeopathic+Medicine&amp;qid=1695260104&amp;sr=8-3")</f>
        <v>https://www.amazon.com/Boiron-Oscillococcinum-Homeopathic-Medicine-Flu-Like/dp/B0843Q8JDJ/ref=sr_1_3?keywords=Boiron%C2%AE+Oscillococcinum+Homeopathic+Medicine&amp;qid=1695260104&amp;sr=8-3</v>
      </c>
      <c r="F3477" t="s">
        <v>9295</v>
      </c>
      <c r="G3477" t="e">
        <f ca="1">IMAGE("https://shop.sonapharmacy.com/cdn/shop/products/Untitled-80.jpg?v=1592926556")</f>
        <v>#NAME?</v>
      </c>
      <c r="H3477" t="e">
        <f ca="1">IMAGE("https://m.media-amazon.com/images/I/81v2ROEzxWL._AC_UL320_.jpg")</f>
        <v>#NAME?</v>
      </c>
      <c r="I3477" t="s">
        <v>9296</v>
      </c>
      <c r="J3477">
        <v>64.97</v>
      </c>
      <c r="K3477" s="2" t="s">
        <v>9297</v>
      </c>
      <c r="L3477">
        <v>4.9000000000000004</v>
      </c>
      <c r="M3477">
        <v>461</v>
      </c>
      <c r="O3477" t="s">
        <v>26</v>
      </c>
      <c r="P3477" t="s">
        <v>39</v>
      </c>
      <c r="Q3477" t="s">
        <v>9298</v>
      </c>
    </row>
    <row r="3478" spans="1:17" ht="15.75" x14ac:dyDescent="0.25">
      <c r="A3478" s="3" t="str">
        <f>HYPERLINK("https://shop.sonapharmacy.com/products/curad-non-stick-pads", "https://shop.sonapharmacy.com/products/curad-non-stick-pads")</f>
        <v>https://shop.sonapharmacy.com/products/curad-non-stick-pads</v>
      </c>
      <c r="B3478" s="3" t="str">
        <f>HYPERLINK("https://shop.sonapharmacy.com/products/curad-non-stick-pads", "https://shop.sonapharmacy.com/products/curad-non-stick-pads")</f>
        <v>https://shop.sonapharmacy.com/products/curad-non-stick-pads</v>
      </c>
      <c r="C3478" t="s">
        <v>8501</v>
      </c>
      <c r="D3478" t="s">
        <v>9299</v>
      </c>
      <c r="E3478" s="3" t="str">
        <f>HYPERLINK("https://www.amazon.com/Curad-Non-Stick-Adhesive-Inches-Count/dp/B01GK9KFIQ/ref=sr_1_7?keywords=Curad%C2%AE+Non-Stick+Pads&amp;qid=1695260163&amp;sr=8-7", "https://www.amazon.com/Curad-Non-Stick-Adhesive-Inches-Count/dp/B01GK9KFIQ/ref=sr_1_7?keywords=Curad%C2%AE+Non-Stick+Pads&amp;qid=1695260163&amp;sr=8-7")</f>
        <v>https://www.amazon.com/Curad-Non-Stick-Adhesive-Inches-Count/dp/B01GK9KFIQ/ref=sr_1_7?keywords=Curad%C2%AE+Non-Stick+Pads&amp;qid=1695260163&amp;sr=8-7</v>
      </c>
      <c r="F3478" t="s">
        <v>9300</v>
      </c>
      <c r="G3478" t="e">
        <f ca="1">IMAGE("https://shop.sonapharmacy.com/cdn/shop/products/nonsmall.png?v=1607711387")</f>
        <v>#NAME?</v>
      </c>
      <c r="H3478" t="e">
        <f ca="1">IMAGE("https://m.media-amazon.com/images/I/81JusDZJ5PL._AC_UL320_.jpg")</f>
        <v>#NAME?</v>
      </c>
      <c r="I3478" t="s">
        <v>8076</v>
      </c>
      <c r="J3478">
        <v>9.99</v>
      </c>
      <c r="K3478" s="2" t="s">
        <v>9301</v>
      </c>
      <c r="L3478">
        <v>4.7</v>
      </c>
      <c r="M3478">
        <v>326</v>
      </c>
      <c r="O3478" t="s">
        <v>26</v>
      </c>
      <c r="P3478" t="s">
        <v>39</v>
      </c>
      <c r="Q3478" t="s">
        <v>8505</v>
      </c>
    </row>
    <row r="3479" spans="1:17" ht="15.75" x14ac:dyDescent="0.25">
      <c r="A3479" s="3" t="str">
        <f>HYPERLINK("https://shop.sonapharmacy.com/products/goodsense%C2%AE-black-cherry-sugar-free-cough-drops-25ct", "https://shop.sonapharmacy.com/products/goodsense%C2%AE-black-cherry-sugar-free-cough-drops-25ct")</f>
        <v>https://shop.sonapharmacy.com/products/goodsense%C2%AE-black-cherry-sugar-free-cough-drops-25ct</v>
      </c>
      <c r="B3479" s="3" t="str">
        <f>HYPERLINK("https://shop.sonapharmacy.com/products/goodsense%c2%ae-black-cherry-sugar-free-cough-drops-25ct", "https://shop.sonapharmacy.com/products/goodsense%c2%ae-black-cherry-sugar-free-cough-drops-25ct")</f>
        <v>https://shop.sonapharmacy.com/products/goodsense%c2%ae-black-cherry-sugar-free-cough-drops-25ct</v>
      </c>
      <c r="C3479" t="s">
        <v>8073</v>
      </c>
      <c r="D3479" t="s">
        <v>9302</v>
      </c>
      <c r="E3479" s="3" t="str">
        <f>HYPERLINK("https://www.amazon.com/Halls-Cherry-Flavor-Triple-Soothing/dp/B00MHTSFMC/ref=sr_1_8?keywords=GoodSense%C2%AE+Black+Cherry+Sugar+Free+Cough+Drops+25ct&amp;qid=1695260306&amp;sr=8-8", "https://www.amazon.com/Halls-Cherry-Flavor-Triple-Soothing/dp/B00MHTSFMC/ref=sr_1_8?keywords=GoodSense%C2%AE+Black+Cherry+Sugar+Free+Cough+Drops+25ct&amp;qid=1695260306&amp;sr=8-8")</f>
        <v>https://www.amazon.com/Halls-Cherry-Flavor-Triple-Soothing/dp/B00MHTSFMC/ref=sr_1_8?keywords=GoodSense%C2%AE+Black+Cherry+Sugar+Free+Cough+Drops+25ct&amp;qid=1695260306&amp;sr=8-8</v>
      </c>
      <c r="F3479" t="s">
        <v>9303</v>
      </c>
      <c r="G3479" t="e">
        <f ca="1">IMAGE("https://shop.sonapharmacy.com/cdn/shop/products/blackcherrysugarfree.jpg?v=1608235842")</f>
        <v>#NAME?</v>
      </c>
      <c r="H3479" t="e">
        <f ca="1">IMAGE("https://m.media-amazon.com/images/I/817kEfWHE1L._AC_UL320_.jpg")</f>
        <v>#NAME?</v>
      </c>
      <c r="I3479" t="s">
        <v>8076</v>
      </c>
      <c r="J3479">
        <v>9.99</v>
      </c>
      <c r="K3479" s="2" t="s">
        <v>9301</v>
      </c>
      <c r="L3479">
        <v>4.5</v>
      </c>
      <c r="M3479">
        <v>184</v>
      </c>
      <c r="O3479" t="s">
        <v>136</v>
      </c>
      <c r="P3479" t="s">
        <v>39</v>
      </c>
      <c r="Q3479" t="s">
        <v>8078</v>
      </c>
    </row>
    <row r="3480" spans="1:17" ht="15.75" x14ac:dyDescent="0.25">
      <c r="A3480" s="3" t="str">
        <f>HYPERLINK("https://shop.sonapharmacy.com/products/apex%C2%AE-silicone-ear-plugs-2-pair", "https://shop.sonapharmacy.com/products/apex%C2%AE-silicone-ear-plugs-2-pair")</f>
        <v>https://shop.sonapharmacy.com/products/apex%C2%AE-silicone-ear-plugs-2-pair</v>
      </c>
      <c r="B3480" s="3" t="str">
        <f>HYPERLINK("https://shop.sonapharmacy.com/products/apex%c2%ae-silicone-ear-plugs-2-pair", "https://shop.sonapharmacy.com/products/apex%c2%ae-silicone-ear-plugs-2-pair")</f>
        <v>https://shop.sonapharmacy.com/products/apex%c2%ae-silicone-ear-plugs-2-pair</v>
      </c>
      <c r="C3480" t="s">
        <v>8347</v>
      </c>
      <c r="D3480" t="s">
        <v>9304</v>
      </c>
      <c r="E3480" s="3" t="str">
        <f>HYPERLINK("https://www.amazon.com/ROVAZO-Waterproof-Hypoallergenic-Comfortable-Reduction/dp/B07F3LN5QV/ref=sr_1_4?keywords=Apex+Silicone+Ear+Plugs+2+Pair&amp;qid=1695260023&amp;sr=8-4", "https://www.amazon.com/ROVAZO-Waterproof-Hypoallergenic-Comfortable-Reduction/dp/B07F3LN5QV/ref=sr_1_4?keywords=Apex+Silicone+Ear+Plugs+2+Pair&amp;qid=1695260023&amp;sr=8-4")</f>
        <v>https://www.amazon.com/ROVAZO-Waterproof-Hypoallergenic-Comfortable-Reduction/dp/B07F3LN5QV/ref=sr_1_4?keywords=Apex+Silicone+Ear+Plugs+2+Pair&amp;qid=1695260023&amp;sr=8-4</v>
      </c>
      <c r="F3480" t="s">
        <v>9305</v>
      </c>
      <c r="G3480" t="e">
        <f ca="1">IMAGE("https://shop.sonapharmacy.com/cdn/shop/products/apex-soft-silicone-ear-plugs_600x600_9a1280db-cfca-4f37-9f6b-4c750106c735.jpg?v=1611189952")</f>
        <v>#NAME?</v>
      </c>
      <c r="H3480" t="e">
        <f ca="1">IMAGE("https://m.media-amazon.com/images/I/71inbp4ckLL._AC_UL320_.jpg")</f>
        <v>#NAME?</v>
      </c>
      <c r="I3480" t="s">
        <v>8076</v>
      </c>
      <c r="J3480">
        <v>9.99</v>
      </c>
      <c r="K3480" s="2" t="s">
        <v>9301</v>
      </c>
      <c r="L3480">
        <v>4.2</v>
      </c>
      <c r="M3480">
        <v>1015</v>
      </c>
      <c r="O3480" t="s">
        <v>26</v>
      </c>
      <c r="P3480" t="s">
        <v>39</v>
      </c>
      <c r="Q3480" t="s">
        <v>8351</v>
      </c>
    </row>
    <row r="3481" spans="1:17" ht="15.75" x14ac:dyDescent="0.25">
      <c r="A3481" s="3" t="str">
        <f>HYPERLINK("https://shop.sonapharmacy.com/products/major%C2%AE-mintox-maximum-strength-antacid", "https://shop.sonapharmacy.com/products/major%C2%AE-mintox-maximum-strength-antacid")</f>
        <v>https://shop.sonapharmacy.com/products/major%C2%AE-mintox-maximum-strength-antacid</v>
      </c>
      <c r="B3481" s="3" t="str">
        <f>HYPERLINK("https://shop.sonapharmacy.com/products/major%c2%ae-mintox-maximum-strength-antacid", "https://shop.sonapharmacy.com/products/major%c2%ae-mintox-maximum-strength-antacid")</f>
        <v>https://shop.sonapharmacy.com/products/major%c2%ae-mintox-maximum-strength-antacid</v>
      </c>
      <c r="C3481" t="s">
        <v>8635</v>
      </c>
      <c r="D3481" t="s">
        <v>9306</v>
      </c>
      <c r="E3481" s="3" t="str">
        <f>HYPERLINK("https://www.amazon.com/Maximum-Strength-Antacid-Anti-Gas-Generic/dp/B00EDOCLSI/ref=sr_1_1?keywords=Major%C2%AE+Mintox+Maximum+Strength+Antacid&amp;qid=1695260463&amp;sr=8-1", "https://www.amazon.com/Maximum-Strength-Antacid-Anti-Gas-Generic/dp/B00EDOCLSI/ref=sr_1_1?keywords=Major%C2%AE+Mintox+Maximum+Strength+Antacid&amp;qid=1695260463&amp;sr=8-1")</f>
        <v>https://www.amazon.com/Maximum-Strength-Antacid-Anti-Gas-Generic/dp/B00EDOCLSI/ref=sr_1_1?keywords=Major%C2%AE+Mintox+Maximum+Strength+Antacid&amp;qid=1695260463&amp;sr=8-1</v>
      </c>
      <c r="F3481" t="s">
        <v>9307</v>
      </c>
      <c r="G3481" t="e">
        <f ca="1">IMAGE("https://shop.sonapharmacy.com/cdn/shop/products/810nWLAG04L._AC_SL1500.jpg?v=1613748218")</f>
        <v>#NAME?</v>
      </c>
      <c r="H3481" t="e">
        <f ca="1">IMAGE("https://m.media-amazon.com/images/I/810nWLAG04L._AC_UL320_.jpg")</f>
        <v>#NAME?</v>
      </c>
      <c r="I3481" t="s">
        <v>8638</v>
      </c>
      <c r="J3481">
        <v>26.52</v>
      </c>
      <c r="K3481" s="2" t="s">
        <v>9308</v>
      </c>
      <c r="L3481">
        <v>4.5</v>
      </c>
      <c r="M3481">
        <v>612</v>
      </c>
      <c r="O3481" t="s">
        <v>26</v>
      </c>
      <c r="P3481" t="s">
        <v>39</v>
      </c>
      <c r="Q3481" t="s">
        <v>8640</v>
      </c>
    </row>
    <row r="3482" spans="1:17" ht="15.75" x14ac:dyDescent="0.25">
      <c r="A3482" s="3" t="str">
        <f>HYPERLINK("https://shop.sonapharmacy.com/products/aquaphor%C2%AE-lip-repair-tube-10ml", "https://shop.sonapharmacy.com/products/aquaphor%C2%AE-lip-repair-tube-10ml")</f>
        <v>https://shop.sonapharmacy.com/products/aquaphor%C2%AE-lip-repair-tube-10ml</v>
      </c>
      <c r="B3482" s="3" t="str">
        <f>HYPERLINK("https://shop.sonapharmacy.com/products/aquaphor%c2%ae-lip-repair-tube-10ml", "https://shop.sonapharmacy.com/products/aquaphor%c2%ae-lip-repair-tube-10ml")</f>
        <v>https://shop.sonapharmacy.com/products/aquaphor%c2%ae-lip-repair-tube-10ml</v>
      </c>
      <c r="C3482" t="s">
        <v>8831</v>
      </c>
      <c r="D3482" t="s">
        <v>9309</v>
      </c>
      <c r="E3482" s="3" t="str">
        <f>HYPERLINK("https://www.amazon.com/Aquaphor-Lip-Repair-Ointment-Long-lasting/dp/B07ZZGH4MP/ref=sr_1_9?keywords=Aquaphor+Lip+Repair+Tube+10ml&amp;qid=1695260018&amp;sr=8-9", "https://www.amazon.com/Aquaphor-Lip-Repair-Ointment-Long-lasting/dp/B07ZZGH4MP/ref=sr_1_9?keywords=Aquaphor+Lip+Repair+Tube+10ml&amp;qid=1695260018&amp;sr=8-9")</f>
        <v>https://www.amazon.com/Aquaphor-Lip-Repair-Ointment-Long-lasting/dp/B07ZZGH4MP/ref=sr_1_9?keywords=Aquaphor+Lip+Repair+Tube+10ml&amp;qid=1695260018&amp;sr=8-9</v>
      </c>
      <c r="F3482" t="s">
        <v>9310</v>
      </c>
      <c r="G3482" t="e">
        <f ca="1">IMAGE("https://shop.sonapharmacy.com/cdn/shop/products/a9273c19-1d53-4858-abb8-43a4ce27b9d6_1.52617476fb0deabe5812834a044fdaec.jpg?v=1608231857")</f>
        <v>#NAME?</v>
      </c>
      <c r="H3482" t="e">
        <f ca="1">IMAGE("https://m.media-amazon.com/images/I/81yB+3Bc47L._AC_UL320_.jpg")</f>
        <v>#NAME?</v>
      </c>
      <c r="I3482" t="s">
        <v>8834</v>
      </c>
      <c r="J3482">
        <v>22.81</v>
      </c>
      <c r="K3482" s="2" t="s">
        <v>9311</v>
      </c>
      <c r="L3482">
        <v>5</v>
      </c>
      <c r="M3482">
        <v>4</v>
      </c>
      <c r="O3482" t="s">
        <v>26</v>
      </c>
      <c r="P3482" t="s">
        <v>39</v>
      </c>
      <c r="Q3482" t="s">
        <v>8836</v>
      </c>
    </row>
    <row r="3483" spans="1:17" ht="15.75" x14ac:dyDescent="0.25">
      <c r="A3483" s="3" t="str">
        <f>HYPERLINK("https://shop.sonapharmacy.com/products/pantene%C2%AE-classic-clean-conditioner-12fl-oz", "https://shop.sonapharmacy.com/products/pantene%C2%AE-classic-clean-conditioner-12fl-oz")</f>
        <v>https://shop.sonapharmacy.com/products/pantene%C2%AE-classic-clean-conditioner-12fl-oz</v>
      </c>
      <c r="B3483" s="3" t="str">
        <f>HYPERLINK("https://shop.sonapharmacy.com/products/pantene%c2%ae-classic-clean-conditioner-12fl-oz", "https://shop.sonapharmacy.com/products/pantene%c2%ae-classic-clean-conditioner-12fl-oz")</f>
        <v>https://shop.sonapharmacy.com/products/pantene%c2%ae-classic-clean-conditioner-12fl-oz</v>
      </c>
      <c r="C3483" t="s">
        <v>8518</v>
      </c>
      <c r="D3483" t="s">
        <v>9312</v>
      </c>
      <c r="E3483" s="3" t="str">
        <f>HYPERLINK("https://www.amazon.com/Pantene-Pro-v-Classic-Clean-Conditioner/dp/B01N07NN4J/ref=sr_1_2?keywords=Pantene%C2%AE+Pro-V+Classic+Clean+Conditioner+12fl.+oz.&amp;qid=1695260628&amp;sr=8-2", "https://www.amazon.com/Pantene-Pro-v-Classic-Clean-Conditioner/dp/B01N07NN4J/ref=sr_1_2?keywords=Pantene%C2%AE+Pro-V+Classic+Clean+Conditioner+12fl.+oz.&amp;qid=1695260628&amp;sr=8-2")</f>
        <v>https://www.amazon.com/Pantene-Pro-v-Classic-Clean-Conditioner/dp/B01N07NN4J/ref=sr_1_2?keywords=Pantene%C2%AE+Pro-V+Classic+Clean+Conditioner+12fl.+oz.&amp;qid=1695260628&amp;sr=8-2</v>
      </c>
      <c r="F3483" t="s">
        <v>9313</v>
      </c>
      <c r="G3483" t="e">
        <f ca="1">IMAGE("https://shop.sonapharmacy.com/cdn/shop/products/58872a90-0469-4c0f-8cf9-949b317d123c_1.da751a1e28aabb6fc83daeab3e7cf20a.jpg?v=1609165545")</f>
        <v>#NAME?</v>
      </c>
      <c r="H3483" t="e">
        <f ca="1">IMAGE("https://m.media-amazon.com/images/I/61ienwrH0dL._AC_UL320_.jpg")</f>
        <v>#NAME?</v>
      </c>
      <c r="I3483" t="s">
        <v>8160</v>
      </c>
      <c r="J3483">
        <v>19.97</v>
      </c>
      <c r="K3483" s="2" t="s">
        <v>9314</v>
      </c>
      <c r="L3483">
        <v>5</v>
      </c>
      <c r="M3483">
        <v>5</v>
      </c>
      <c r="O3483" t="s">
        <v>136</v>
      </c>
      <c r="P3483" t="s">
        <v>39</v>
      </c>
      <c r="Q3483" t="s">
        <v>8522</v>
      </c>
    </row>
    <row r="3484" spans="1:17" ht="15.75" x14ac:dyDescent="0.25">
      <c r="A3484" s="3" t="str">
        <f>HYPERLINK("https://shop.sonapharmacy.com/products/apex%C2%AE-silicone-ear-plugs-2-pair", "https://shop.sonapharmacy.com/products/apex%C2%AE-silicone-ear-plugs-2-pair")</f>
        <v>https://shop.sonapharmacy.com/products/apex%C2%AE-silicone-ear-plugs-2-pair</v>
      </c>
      <c r="B3484" s="3" t="str">
        <f>HYPERLINK("https://shop.sonapharmacy.com/products/apex%c2%ae-silicone-ear-plugs-2-pair", "https://shop.sonapharmacy.com/products/apex%c2%ae-silicone-ear-plugs-2-pair")</f>
        <v>https://shop.sonapharmacy.com/products/apex%c2%ae-silicone-ear-plugs-2-pair</v>
      </c>
      <c r="C3484" t="s">
        <v>8347</v>
      </c>
      <c r="D3484" t="s">
        <v>9315</v>
      </c>
      <c r="E3484" s="3" t="str">
        <f>HYPERLINK("https://www.amazon.com/Reduction-2-Protection-Sensitivity-Flights-8-Cancelling-Black/dp/B0C5Y5VZ33/ref=sr_1_3?keywords=Apex+Silicone+Ear+Plugs+2+Pair&amp;qid=1695260023&amp;sr=8-3", "https://www.amazon.com/Reduction-2-Protection-Sensitivity-Flights-8-Cancelling-Black/dp/B0C5Y5VZ33/ref=sr_1_3?keywords=Apex+Silicone+Ear+Plugs+2+Pair&amp;qid=1695260023&amp;sr=8-3")</f>
        <v>https://www.amazon.com/Reduction-2-Protection-Sensitivity-Flights-8-Cancelling-Black/dp/B0C5Y5VZ33/ref=sr_1_3?keywords=Apex+Silicone+Ear+Plugs+2+Pair&amp;qid=1695260023&amp;sr=8-3</v>
      </c>
      <c r="F3484" t="s">
        <v>9316</v>
      </c>
      <c r="G3484" t="e">
        <f ca="1">IMAGE("https://shop.sonapharmacy.com/cdn/shop/products/apex-soft-silicone-ear-plugs_600x600_9a1280db-cfca-4f37-9f6b-4c750106c735.jpg?v=1611189952")</f>
        <v>#NAME?</v>
      </c>
      <c r="H3484" t="e">
        <f ca="1">IMAGE("https://m.media-amazon.com/images/I/51xJWCdqJyL._AC_UL320_.jpg")</f>
        <v>#NAME?</v>
      </c>
      <c r="I3484" t="s">
        <v>8076</v>
      </c>
      <c r="J3484">
        <v>9.9499999999999993</v>
      </c>
      <c r="K3484" s="2" t="s">
        <v>9317</v>
      </c>
      <c r="L3484">
        <v>3.9</v>
      </c>
      <c r="M3484">
        <v>10</v>
      </c>
      <c r="O3484" t="s">
        <v>26</v>
      </c>
      <c r="P3484" t="s">
        <v>39</v>
      </c>
      <c r="Q3484" t="s">
        <v>8351</v>
      </c>
    </row>
    <row r="3485" spans="1:17" ht="15.75" x14ac:dyDescent="0.25">
      <c r="A3485" s="3" t="str">
        <f>HYPERLINK("https://shop.sonapharmacy.com/products/accu-chek-guide-test-strips-50-ct", "https://shop.sonapharmacy.com/products/accu-chek-guide-test-strips-50-ct")</f>
        <v>https://shop.sonapharmacy.com/products/accu-chek-guide-test-strips-50-ct</v>
      </c>
      <c r="B3485" s="3" t="str">
        <f>HYPERLINK("https://shop.sonapharmacy.com/products/accu-chek-guide-test-strips-50-ct", "https://shop.sonapharmacy.com/products/accu-chek-guide-test-strips-50-ct")</f>
        <v>https://shop.sonapharmacy.com/products/accu-chek-guide-test-strips-50-ct</v>
      </c>
      <c r="C3485" t="s">
        <v>8734</v>
      </c>
      <c r="D3485" t="s">
        <v>8187</v>
      </c>
      <c r="E3485" s="3" t="str">
        <f>HYPERLINK("https://www.amazon.com/Accu-Chek-Diabetes-Essential-Diabetic-Supplies/dp/B0923FLV2N/ref=sr_1_10?keywords=Accu-Chek+Guide+Test+Strips&amp;qid=1695260023&amp;sr=8-10", "https://www.amazon.com/Accu-Chek-Diabetes-Essential-Diabetic-Supplies/dp/B0923FLV2N/ref=sr_1_10?keywords=Accu-Chek+Guide+Test+Strips&amp;qid=1695260023&amp;sr=8-10")</f>
        <v>https://www.amazon.com/Accu-Chek-Diabetes-Essential-Diabetic-Supplies/dp/B0923FLV2N/ref=sr_1_10?keywords=Accu-Chek+Guide+Test+Strips&amp;qid=1695260023&amp;sr=8-10</v>
      </c>
      <c r="F3485" t="s">
        <v>8188</v>
      </c>
      <c r="G3485" t="e">
        <f ca="1">IMAGE("https://shop.sonapharmacy.com/cdn/shop/products/Accu-ChekGuideTestStrips50ct.yyy.jpg?v=1594217683")</f>
        <v>#NAME?</v>
      </c>
      <c r="H3485" t="e">
        <f ca="1">IMAGE("https://m.media-amazon.com/images/I/715dgzpTBbL._AC_UL320_.jpg")</f>
        <v>#NAME?</v>
      </c>
      <c r="I3485" t="s">
        <v>8737</v>
      </c>
      <c r="J3485">
        <v>115</v>
      </c>
      <c r="K3485" s="2" t="s">
        <v>9318</v>
      </c>
      <c r="L3485">
        <v>4.4000000000000004</v>
      </c>
      <c r="M3485">
        <v>1977</v>
      </c>
      <c r="O3485" t="s">
        <v>26</v>
      </c>
      <c r="P3485" t="s">
        <v>39</v>
      </c>
      <c r="Q3485" t="s">
        <v>8739</v>
      </c>
    </row>
    <row r="3486" spans="1:17" ht="15.75" x14ac:dyDescent="0.25">
      <c r="A3486" s="3" t="str">
        <f>HYPERLINK("https://shop.sonapharmacy.com/products/old-spice-high-endurance-pure-sport-body-wash-18fl-oz", "https://shop.sonapharmacy.com/products/old-spice-high-endurance-pure-sport-body-wash-18fl-oz")</f>
        <v>https://shop.sonapharmacy.com/products/old-spice-high-endurance-pure-sport-body-wash-18fl-oz</v>
      </c>
      <c r="B3486" s="3" t="str">
        <f>HYPERLINK("https://shop.sonapharmacy.com/products/old-spice-high-endurance-pure-sport-body-wash-18fl-oz", "https://shop.sonapharmacy.com/products/old-spice-high-endurance-pure-sport-body-wash-18fl-oz")</f>
        <v>https://shop.sonapharmacy.com/products/old-spice-high-endurance-pure-sport-body-wash-18fl-oz</v>
      </c>
      <c r="C3486" t="s">
        <v>8916</v>
      </c>
      <c r="D3486" t="s">
        <v>9319</v>
      </c>
      <c r="E3486" s="3" t="str">
        <f>HYPERLINK("https://www.amazon.com/Old-Spice-endurance-sport-Ounce/dp/B074XPCV4J/ref=sr_1_1?keywords=Old+Spice+High+Endurance+Pure+Sport+Body+Wash+18fl.+oz.&amp;qid=1695260603&amp;sr=8-1", "https://www.amazon.com/Old-Spice-endurance-sport-Ounce/dp/B074XPCV4J/ref=sr_1_1?keywords=Old+Spice+High+Endurance+Pure+Sport+Body+Wash+18fl.+oz.&amp;qid=1695260603&amp;sr=8-1")</f>
        <v>https://www.amazon.com/Old-Spice-endurance-sport-Ounce/dp/B074XPCV4J/ref=sr_1_1?keywords=Old+Spice+High+Endurance+Pure+Sport+Body+Wash+18fl.+oz.&amp;qid=1695260603&amp;sr=8-1</v>
      </c>
      <c r="F3486" t="s">
        <v>9320</v>
      </c>
      <c r="G3486" t="e">
        <f ca="1">IMAGE("https://shop.sonapharmacy.com/cdn/shop/products/13f57484-3da0-417b-9e06-c938236c196e_1.b91e30808ac13bebc5df666aaa4bd21e.jpg?v=1608490257")</f>
        <v>#NAME?</v>
      </c>
      <c r="H3486" t="e">
        <f ca="1">IMAGE("https://m.media-amazon.com/images/I/71AUUM994iL._AC_UL320_.jpg")</f>
        <v>#NAME?</v>
      </c>
      <c r="I3486" t="s">
        <v>5109</v>
      </c>
      <c r="J3486">
        <v>27.18</v>
      </c>
      <c r="K3486" s="2" t="s">
        <v>9321</v>
      </c>
      <c r="L3486">
        <v>4.8</v>
      </c>
      <c r="M3486">
        <v>139</v>
      </c>
      <c r="O3486" t="s">
        <v>26</v>
      </c>
      <c r="P3486" t="s">
        <v>39</v>
      </c>
      <c r="Q3486" t="s">
        <v>8920</v>
      </c>
    </row>
    <row r="3487" spans="1:17" ht="15.75" x14ac:dyDescent="0.25">
      <c r="A3487"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B3487"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C3487" t="s">
        <v>9322</v>
      </c>
      <c r="D3487" t="s">
        <v>9323</v>
      </c>
      <c r="E3487" s="3" t="str">
        <f>HYPERLINK("https://www.amazon.com/Osteo-Bi-Flex-Strength-5-Loxin-Advanced/dp/B00LV4ZKW2/ref=sr_1_9?keywords=Osteo+Bi-Flex+Joint+Health+Triple+Strength+Supplement+Tablets&amp;qid=1695260695&amp;sr=8-9", "https://www.amazon.com/Osteo-Bi-Flex-Strength-5-Loxin-Advanced/dp/B00LV4ZKW2/ref=sr_1_9?keywords=Osteo+Bi-Flex+Joint+Health+Triple+Strength+Supplement+Tablets&amp;qid=1695260695&amp;sr=8-9")</f>
        <v>https://www.amazon.com/Osteo-Bi-Flex-Strength-5-Loxin-Advanced/dp/B00LV4ZKW2/ref=sr_1_9?keywords=Osteo+Bi-Flex+Joint+Health+Triple+Strength+Supplement+Tablets&amp;qid=1695260695&amp;sr=8-9</v>
      </c>
      <c r="F3487" t="s">
        <v>9324</v>
      </c>
      <c r="G3487" t="e">
        <f ca="1">IMAGE("https://shop.sonapharmacy.com/cdn/shop/products/osteobiflextriplestrengthresized.jpg?v=1592492653")</f>
        <v>#NAME?</v>
      </c>
      <c r="H3487" t="e">
        <f ca="1">IMAGE("https://m.media-amazon.com/images/I/91GoKDrcTwL._AC_UL320_.jpg")</f>
        <v>#NAME?</v>
      </c>
      <c r="I3487" t="s">
        <v>9325</v>
      </c>
      <c r="J3487">
        <v>132.63999999999999</v>
      </c>
      <c r="K3487" s="2" t="s">
        <v>9326</v>
      </c>
      <c r="L3487">
        <v>4.2</v>
      </c>
      <c r="M3487">
        <v>31</v>
      </c>
      <c r="O3487" t="s">
        <v>26</v>
      </c>
      <c r="P3487" t="s">
        <v>39</v>
      </c>
      <c r="Q3487" t="s">
        <v>9327</v>
      </c>
    </row>
    <row r="3488" spans="1:17" ht="15.75" x14ac:dyDescent="0.25">
      <c r="A3488" s="3" t="str">
        <f>HYPERLINK("https://shop.sonapharmacy.com/products/arrid%E2%84%A2-extra-extra-dry%E2%84%A2-regular-solid-deodorant-2-6oz", "https://shop.sonapharmacy.com/products/arrid%E2%84%A2-extra-extra-dry%E2%84%A2-regular-solid-deodorant-2-6oz")</f>
        <v>https://shop.sonapharmacy.com/products/arrid%E2%84%A2-extra-extra-dry%E2%84%A2-regular-solid-deodorant-2-6oz</v>
      </c>
      <c r="B3488" s="3" t="str">
        <f>HYPERLINK("https://shop.sonapharmacy.com/products/arrid%e2%84%a2-extra-extra-dry%e2%84%a2-regular-solid-deodorant-2-6oz", "https://shop.sonapharmacy.com/products/arrid%e2%84%a2-extra-extra-dry%e2%84%a2-regular-solid-deodorant-2-6oz")</f>
        <v>https://shop.sonapharmacy.com/products/arrid%e2%84%a2-extra-extra-dry%e2%84%a2-regular-solid-deodorant-2-6oz</v>
      </c>
      <c r="C3488" t="s">
        <v>8825</v>
      </c>
      <c r="D3488" t="s">
        <v>9328</v>
      </c>
      <c r="E3488" s="3" t="str">
        <f>HYPERLINK("https://www.amazon.com/Arrid-Maximum-Strength-Antiperspirant-Deodorant/dp/B001G7POT8/ref=sr_1_2?keywords=ARRID+Extra+Extra+Dry+Regular+Solid+Deodorant+2.6oz.&amp;qid=1695260024&amp;sr=8-2", "https://www.amazon.com/Arrid-Maximum-Strength-Antiperspirant-Deodorant/dp/B001G7POT8/ref=sr_1_2?keywords=ARRID+Extra+Extra+Dry+Regular+Solid+Deodorant+2.6oz.&amp;qid=1695260024&amp;sr=8-2")</f>
        <v>https://www.amazon.com/Arrid-Maximum-Strength-Antiperspirant-Deodorant/dp/B001G7POT8/ref=sr_1_2?keywords=ARRID+Extra+Extra+Dry+Regular+Solid+Deodorant+2.6oz.&amp;qid=1695260024&amp;sr=8-2</v>
      </c>
      <c r="F3488" t="s">
        <v>9329</v>
      </c>
      <c r="G3488" t="e">
        <f ca="1">IMAGE("https://shop.sonapharmacy.com/cdn/shop/products/02260019062.jpg?v=1609341523")</f>
        <v>#NAME?</v>
      </c>
      <c r="H3488" t="e">
        <f ca="1">IMAGE("https://m.media-amazon.com/images/I/71OtgWjhK6L._AC_UL320_.jpg")</f>
        <v>#NAME?</v>
      </c>
      <c r="I3488" t="s">
        <v>8828</v>
      </c>
      <c r="J3488">
        <v>18.07</v>
      </c>
      <c r="K3488" s="2" t="s">
        <v>9330</v>
      </c>
      <c r="L3488">
        <v>4.7</v>
      </c>
      <c r="M3488">
        <v>1489</v>
      </c>
      <c r="O3488" t="s">
        <v>26</v>
      </c>
      <c r="P3488" t="s">
        <v>39</v>
      </c>
      <c r="Q3488" t="s">
        <v>8830</v>
      </c>
    </row>
    <row r="3489" spans="1:17" ht="15.75" x14ac:dyDescent="0.25">
      <c r="A3489" s="3" t="str">
        <f>HYPERLINK("https://shop.sonapharmacy.com/products/listerine%C2%AE-original-antiseptic-mouthwash-1-0l", "https://shop.sonapharmacy.com/products/listerine%C2%AE-original-antiseptic-mouthwash-1-0l")</f>
        <v>https://shop.sonapharmacy.com/products/listerine%C2%AE-original-antiseptic-mouthwash-1-0l</v>
      </c>
      <c r="B3489" s="3" t="str">
        <f>HYPERLINK("https://shop.sonapharmacy.com/products/listerine%c2%ae-original-antiseptic-mouthwash-1-0l", "https://shop.sonapharmacy.com/products/listerine%c2%ae-original-antiseptic-mouthwash-1-0l")</f>
        <v>https://shop.sonapharmacy.com/products/listerine%c2%ae-original-antiseptic-mouthwash-1-0l</v>
      </c>
      <c r="C3489" t="s">
        <v>8715</v>
      </c>
      <c r="D3489" t="s">
        <v>9331</v>
      </c>
      <c r="E3489" s="3" t="str">
        <f>HYPERLINK("https://www.amazon.com/Listerine-Original-Antiseptic-Mouthwash-Packs/dp/B004AI7KO2/ref=sr_1_4?keywords=Listerine%C2%AE+Original+Antiseptic+Mouthwash&amp;qid=1695260455&amp;sr=8-4", "https://www.amazon.com/Listerine-Original-Antiseptic-Mouthwash-Packs/dp/B004AI7KO2/ref=sr_1_4?keywords=Listerine%C2%AE+Original+Antiseptic+Mouthwash&amp;qid=1695260455&amp;sr=8-4")</f>
        <v>https://www.amazon.com/Listerine-Original-Antiseptic-Mouthwash-Packs/dp/B004AI7KO2/ref=sr_1_4?keywords=Listerine%C2%AE+Original+Antiseptic+Mouthwash&amp;qid=1695260455&amp;sr=8-4</v>
      </c>
      <c r="F3489" t="s">
        <v>9332</v>
      </c>
      <c r="G3489" t="e">
        <f ca="1">IMAGE("https://shop.sonapharmacy.com/cdn/shop/products/a70058ff-41fb-4d2a-b64c-cf59a2256d21.d9285f50277c821f45fbb40b10febc43.jpg?v=1608657131")</f>
        <v>#NAME?</v>
      </c>
      <c r="H3489" t="e">
        <f ca="1">IMAGE("https://m.media-amazon.com/images/I/815SlxfsA6L._AC_UL320_.jpg")</f>
        <v>#NAME?</v>
      </c>
      <c r="I3489" t="s">
        <v>3392</v>
      </c>
      <c r="J3489">
        <v>34.450000000000003</v>
      </c>
      <c r="K3489" s="2" t="s">
        <v>9333</v>
      </c>
      <c r="L3489">
        <v>4.2</v>
      </c>
      <c r="M3489">
        <v>342</v>
      </c>
      <c r="O3489" t="s">
        <v>26</v>
      </c>
      <c r="P3489" t="s">
        <v>39</v>
      </c>
      <c r="Q3489" t="s">
        <v>8719</v>
      </c>
    </row>
    <row r="3490" spans="1:17" ht="15.75" x14ac:dyDescent="0.25">
      <c r="A3490" s="3" t="str">
        <f>HYPERLINK("https://shop.sonapharmacy.com/products/band-aid-cushion-care-gauze-pads", "https://shop.sonapharmacy.com/products/band-aid-cushion-care-gauze-pads")</f>
        <v>https://shop.sonapharmacy.com/products/band-aid-cushion-care-gauze-pads</v>
      </c>
      <c r="B3490" s="3" t="str">
        <f>HYPERLINK("https://shop.sonapharmacy.com/products/band-aid-cushion-care-gauze-pads", "https://shop.sonapharmacy.com/products/band-aid-cushion-care-gauze-pads")</f>
        <v>https://shop.sonapharmacy.com/products/band-aid-cushion-care-gauze-pads</v>
      </c>
      <c r="C3490" t="s">
        <v>9012</v>
      </c>
      <c r="D3490" t="s">
        <v>9334</v>
      </c>
      <c r="E3490" s="3" t="str">
        <f>HYPERLINK("https://www.amazon.com/Band-Aid-Protection-Absorbent-Non-Adhesive-Dressing/dp/B01IAIPRLU/ref=sr_1_9?keywords=BAND-AID%C2%AE+Cushion-Care+Gauze+Pads&amp;qid=1695260110&amp;sr=8-9", "https://www.amazon.com/Band-Aid-Protection-Absorbent-Non-Adhesive-Dressing/dp/B01IAIPRLU/ref=sr_1_9?keywords=BAND-AID%C2%AE+Cushion-Care+Gauze+Pads&amp;qid=1695260110&amp;sr=8-9")</f>
        <v>https://www.amazon.com/Band-Aid-Protection-Absorbent-Non-Adhesive-Dressing/dp/B01IAIPRLU/ref=sr_1_9?keywords=BAND-AID%C2%AE+Cushion-Care+Gauze+Pads&amp;qid=1695260110&amp;sr=8-9</v>
      </c>
      <c r="F3490" t="s">
        <v>9335</v>
      </c>
      <c r="G3490" t="e">
        <f ca="1">IMAGE("https://shop.sonapharmacy.com/cdn/shop/products/band_aid_us_pho_pac_18_1_2727067.jpg?v=1607288415")</f>
        <v>#NAME?</v>
      </c>
      <c r="H3490" t="e">
        <f ca="1">IMAGE("https://m.media-amazon.com/images/I/8170s2LIROL._AC_UY218_.jpg")</f>
        <v>#NAME?</v>
      </c>
      <c r="I3490" t="s">
        <v>9015</v>
      </c>
      <c r="J3490">
        <v>21.04</v>
      </c>
      <c r="K3490" s="2" t="s">
        <v>9336</v>
      </c>
      <c r="L3490">
        <v>4.8</v>
      </c>
      <c r="M3490">
        <v>257</v>
      </c>
      <c r="O3490" t="s">
        <v>26</v>
      </c>
      <c r="P3490" t="s">
        <v>39</v>
      </c>
      <c r="Q3490" t="s">
        <v>9017</v>
      </c>
    </row>
    <row r="3491" spans="1:17" ht="15.75" x14ac:dyDescent="0.25">
      <c r="A3491" s="3" t="str">
        <f>HYPERLINK("https://shop.sonapharmacy.com/products/miralax%C2%AE-osmotic-laxative-powder", "https://shop.sonapharmacy.com/products/miralax%C2%AE-osmotic-laxative-powder")</f>
        <v>https://shop.sonapharmacy.com/products/miralax%C2%AE-osmotic-laxative-powder</v>
      </c>
      <c r="B3491" s="3" t="str">
        <f>HYPERLINK("https://shop.sonapharmacy.com/products/miralax%c2%ae-osmotic-laxative-powder", "https://shop.sonapharmacy.com/products/miralax%c2%ae-osmotic-laxative-powder")</f>
        <v>https://shop.sonapharmacy.com/products/miralax%c2%ae-osmotic-laxative-powder</v>
      </c>
      <c r="C3491" t="s">
        <v>9337</v>
      </c>
      <c r="D3491" t="s">
        <v>8769</v>
      </c>
      <c r="E3491" s="3"/>
      <c r="F3491" t="s">
        <v>8770</v>
      </c>
      <c r="G3491" t="e">
        <f ca="1">IMAGE("https://shop.sonapharmacy.com/cdn/shop/products/81f6hF9NoSL._AC_SL1500.jpg?v=1611083511")</f>
        <v>#NAME?</v>
      </c>
      <c r="H3491" t="e">
        <f ca="1">IMAGE("https://m.media-amazon.com/images/I/61izx6Ri0rL._AC_UL320_.jpg")</f>
        <v>#NAME?</v>
      </c>
      <c r="I3491" t="s">
        <v>8886</v>
      </c>
      <c r="J3491">
        <v>38.21</v>
      </c>
      <c r="K3491" s="2" t="s">
        <v>9338</v>
      </c>
      <c r="L3491">
        <v>4.8</v>
      </c>
      <c r="M3491">
        <v>5537</v>
      </c>
      <c r="O3491" t="s">
        <v>26</v>
      </c>
      <c r="P3491" t="s">
        <v>39</v>
      </c>
      <c r="Q3491" t="s">
        <v>9339</v>
      </c>
    </row>
    <row r="3492" spans="1:17" ht="15.75" x14ac:dyDescent="0.25">
      <c r="A3492" s="3" t="str">
        <f>HYPERLINK("https://shop.sonapharmacy.com/products/old-spice%C2%AE-original-high-endurance-deodorant-3-0oz", "https://shop.sonapharmacy.com/products/old-spice%C2%AE-original-high-endurance-deodorant-3-0oz")</f>
        <v>https://shop.sonapharmacy.com/products/old-spice%C2%AE-original-high-endurance-deodorant-3-0oz</v>
      </c>
      <c r="B3492" s="3" t="str">
        <f>HYPERLINK("https://shop.sonapharmacy.com/products/old-spice%c2%ae-original-high-endurance-deodorant-3-0oz", "https://shop.sonapharmacy.com/products/old-spice%c2%ae-original-high-endurance-deodorant-3-0oz")</f>
        <v>https://shop.sonapharmacy.com/products/old-spice%c2%ae-original-high-endurance-deodorant-3-0oz</v>
      </c>
      <c r="C3492" t="s">
        <v>8203</v>
      </c>
      <c r="D3492" t="s">
        <v>9340</v>
      </c>
      <c r="E3492" s="3" t="str">
        <f>HYPERLINK("https://www.amazon.com/Old-Spice-Endurance-Anti-Perspirant-Deodorant/dp/B01IA9F1DS/ref=sr_1_10?keywords=Old+Spice%C2%AE+Original+High+Endurance+Deodorant+3.0oz.&amp;qid=1695260609&amp;sr=8-10", "https://www.amazon.com/Old-Spice-Endurance-Anti-Perspirant-Deodorant/dp/B01IA9F1DS/ref=sr_1_10?keywords=Old+Spice%C2%AE+Original+High+Endurance+Deodorant+3.0oz.&amp;qid=1695260609&amp;sr=8-10")</f>
        <v>https://www.amazon.com/Old-Spice-Endurance-Anti-Perspirant-Deodorant/dp/B01IA9F1DS/ref=sr_1_10?keywords=Old+Spice%C2%AE+Original+High+Endurance+Deodorant+3.0oz.&amp;qid=1695260609&amp;sr=8-10</v>
      </c>
      <c r="F3492" t="s">
        <v>9341</v>
      </c>
      <c r="G3492" t="e">
        <f ca="1">IMAGE("https://shop.sonapharmacy.com/cdn/shop/products/81d6Zo1KWZL._SL1500.jpg?v=1609094009")</f>
        <v>#NAME?</v>
      </c>
      <c r="H3492" t="e">
        <f ca="1">IMAGE("https://m.media-amazon.com/images/I/51lA2gy3AsL._AC_UL320_.jpg")</f>
        <v>#NAME?</v>
      </c>
      <c r="I3492" t="s">
        <v>8206</v>
      </c>
      <c r="J3492">
        <v>23.16</v>
      </c>
      <c r="K3492" s="2" t="s">
        <v>9342</v>
      </c>
      <c r="L3492">
        <v>4.5999999999999996</v>
      </c>
      <c r="M3492">
        <v>97</v>
      </c>
      <c r="O3492" t="s">
        <v>26</v>
      </c>
      <c r="P3492" t="s">
        <v>39</v>
      </c>
      <c r="Q3492" t="s">
        <v>8208</v>
      </c>
    </row>
    <row r="3493" spans="1:17" ht="15.75" x14ac:dyDescent="0.25">
      <c r="A3493" s="3" t="str">
        <f>HYPERLINK("https://shop.sonapharmacy.com/products/old-spice%C2%AE-classic-fresh-scent-deodorant-3-25oz", "https://shop.sonapharmacy.com/products/old-spice%C2%AE-classic-fresh-scent-deodorant-3-25oz")</f>
        <v>https://shop.sonapharmacy.com/products/old-spice%C2%AE-classic-fresh-scent-deodorant-3-25oz</v>
      </c>
      <c r="B3493" s="3" t="str">
        <f>HYPERLINK("https://shop.sonapharmacy.com/products/old-spice%c2%ae-classic-fresh-scent-deodorant-3-25oz", "https://shop.sonapharmacy.com/products/old-spice%c2%ae-classic-fresh-scent-deodorant-3-25oz")</f>
        <v>https://shop.sonapharmacy.com/products/old-spice%c2%ae-classic-fresh-scent-deodorant-3-25oz</v>
      </c>
      <c r="C3493" t="s">
        <v>8618</v>
      </c>
      <c r="D3493" t="s">
        <v>9343</v>
      </c>
      <c r="E3493" s="3" t="str">
        <f>HYPERLINK("https://www.amazon.com/Old-Spice-Classic-Stick-Deodorant/dp/B00J5K79IC/ref=sr_1_1?keywords=Old+Spice%C2%AE+Classic+Fresh+Scent+Deodorant+3.25oz.&amp;qid=1695260609&amp;sr=8-1", "https://www.amazon.com/Old-Spice-Classic-Stick-Deodorant/dp/B00J5K79IC/ref=sr_1_1?keywords=Old+Spice%C2%AE+Classic+Fresh+Scent+Deodorant+3.25oz.&amp;qid=1695260609&amp;sr=8-1")</f>
        <v>https://www.amazon.com/Old-Spice-Classic-Stick-Deodorant/dp/B00J5K79IC/ref=sr_1_1?keywords=Old+Spice%C2%AE+Classic+Fresh+Scent+Deodorant+3.25oz.&amp;qid=1695260609&amp;sr=8-1</v>
      </c>
      <c r="F3493" t="s">
        <v>9344</v>
      </c>
      <c r="G3493" t="e">
        <f ca="1">IMAGE("https://shop.sonapharmacy.com/cdn/shop/products/3c47a39f-33ad-428f-b8c1-6e29f792b5c1_1.f67a6c27395b5ae6a8bff05fb9856e1f.jpg?v=1609094822")</f>
        <v>#NAME?</v>
      </c>
      <c r="H3493" t="e">
        <f ca="1">IMAGE("https://m.media-amazon.com/images/I/61vZsITGO2L._AC_UL320_.jpg")</f>
        <v>#NAME?</v>
      </c>
      <c r="I3493" t="s">
        <v>8206</v>
      </c>
      <c r="J3493">
        <v>23.16</v>
      </c>
      <c r="K3493" s="2" t="s">
        <v>9342</v>
      </c>
      <c r="L3493">
        <v>4.5999999999999996</v>
      </c>
      <c r="M3493">
        <v>92</v>
      </c>
      <c r="O3493" t="s">
        <v>136</v>
      </c>
      <c r="P3493" t="s">
        <v>39</v>
      </c>
      <c r="Q3493" t="s">
        <v>8622</v>
      </c>
    </row>
    <row r="3494" spans="1:17" ht="15.75" x14ac:dyDescent="0.25">
      <c r="A3494" s="3" t="str">
        <f>HYPERLINK("https://shop.sonapharmacy.com/products/arrid%E2%84%A2-extra-extra-dry%E2%84%A2-regular-solid-deodorant-2-6oz", "https://shop.sonapharmacy.com/products/arrid%E2%84%A2-extra-extra-dry%E2%84%A2-regular-solid-deodorant-2-6oz")</f>
        <v>https://shop.sonapharmacy.com/products/arrid%E2%84%A2-extra-extra-dry%E2%84%A2-regular-solid-deodorant-2-6oz</v>
      </c>
      <c r="B3494" s="3" t="str">
        <f>HYPERLINK("https://shop.sonapharmacy.com/products/arrid%e2%84%a2-extra-extra-dry%e2%84%a2-regular-solid-deodorant-2-6oz", "https://shop.sonapharmacy.com/products/arrid%e2%84%a2-extra-extra-dry%e2%84%a2-regular-solid-deodorant-2-6oz")</f>
        <v>https://shop.sonapharmacy.com/products/arrid%e2%84%a2-extra-extra-dry%e2%84%a2-regular-solid-deodorant-2-6oz</v>
      </c>
      <c r="C3494" t="s">
        <v>8825</v>
      </c>
      <c r="D3494" t="s">
        <v>9345</v>
      </c>
      <c r="E3494" s="3" t="str">
        <f>HYPERLINK("https://www.amazon.com/Arrid-Regular-Scent-Anti-Perspirant-Deodorant/dp/B0792PV7ZD/ref=sr_1_1?keywords=ARRID+Extra+Extra+Dry+Regular+Solid+Deodorant+2.6oz.&amp;qid=1695260024&amp;sr=8-1", "https://www.amazon.com/Arrid-Regular-Scent-Anti-Perspirant-Deodorant/dp/B0792PV7ZD/ref=sr_1_1?keywords=ARRID+Extra+Extra+Dry+Regular+Solid+Deodorant+2.6oz.&amp;qid=1695260024&amp;sr=8-1")</f>
        <v>https://www.amazon.com/Arrid-Regular-Scent-Anti-Perspirant-Deodorant/dp/B0792PV7ZD/ref=sr_1_1?keywords=ARRID+Extra+Extra+Dry+Regular+Solid+Deodorant+2.6oz.&amp;qid=1695260024&amp;sr=8-1</v>
      </c>
      <c r="F3494" t="s">
        <v>9346</v>
      </c>
      <c r="G3494" t="e">
        <f ca="1">IMAGE("https://shop.sonapharmacy.com/cdn/shop/products/02260019062.jpg?v=1609341523")</f>
        <v>#NAME?</v>
      </c>
      <c r="H3494" t="e">
        <f ca="1">IMAGE("https://m.media-amazon.com/images/I/71x8t+7kUFL._AC_UL320_.jpg")</f>
        <v>#NAME?</v>
      </c>
      <c r="I3494" t="s">
        <v>8828</v>
      </c>
      <c r="J3494">
        <v>18</v>
      </c>
      <c r="K3494" s="2" t="s">
        <v>9347</v>
      </c>
      <c r="L3494">
        <v>4.8</v>
      </c>
      <c r="M3494">
        <v>2476</v>
      </c>
      <c r="O3494" t="s">
        <v>26</v>
      </c>
      <c r="P3494" t="s">
        <v>39</v>
      </c>
      <c r="Q3494" t="s">
        <v>8830</v>
      </c>
    </row>
    <row r="3495" spans="1:17" ht="15.75" x14ac:dyDescent="0.25">
      <c r="A3495" s="3" t="str">
        <f>HYPERLINK("https://shop.sonapharmacy.com/products/similasan-kids-cold-mucus-relief%E2%84%A2-plus-echinacea", "https://shop.sonapharmacy.com/products/similasan-kids-cold-mucus-relief%E2%84%A2-plus-echinacea")</f>
        <v>https://shop.sonapharmacy.com/products/similasan-kids-cold-mucus-relief%E2%84%A2-plus-echinacea</v>
      </c>
      <c r="B3495" s="3" t="str">
        <f>HYPERLINK("https://shop.sonapharmacy.com/products/similasan-kids-cold-mucus-relief%e2%84%a2-plus-echinacea", "https://shop.sonapharmacy.com/products/similasan-kids-cold-mucus-relief%e2%84%a2-plus-echinacea")</f>
        <v>https://shop.sonapharmacy.com/products/similasan-kids-cold-mucus-relief%e2%84%a2-plus-echinacea</v>
      </c>
      <c r="C3495" t="s">
        <v>8860</v>
      </c>
      <c r="D3495" t="s">
        <v>9348</v>
      </c>
      <c r="E3495" s="3" t="str">
        <f>HYPERLINK("https://www.amazon.com/Similasan-Mucus-Relief-Syrup-Echinacea/dp/B002F883CC/ref=sr_1_5?keywords=Similasan%C2%AE+Kids+Cold+%26+Mucus+Relief%E2%84%A2+Plus+Echinacea&amp;qid=1695260710&amp;sr=8-5", "https://www.amazon.com/Similasan-Mucus-Relief-Syrup-Echinacea/dp/B002F883CC/ref=sr_1_5?keywords=Similasan%C2%AE+Kids+Cold+%26+Mucus+Relief%E2%84%A2+Plus+Echinacea&amp;qid=1695260710&amp;sr=8-5")</f>
        <v>https://www.amazon.com/Similasan-Mucus-Relief-Syrup-Echinacea/dp/B002F883CC/ref=sr_1_5?keywords=Similasan%C2%AE+Kids+Cold+%26+Mucus+Relief%E2%84%A2+Plus+Echinacea&amp;qid=1695260710&amp;sr=8-5</v>
      </c>
      <c r="F3495" t="s">
        <v>9349</v>
      </c>
      <c r="G3495" t="e">
        <f ca="1">IMAGE("https://shop.sonapharmacy.com/cdn/shop/products/Untitled-143.jpg?v=1593020548")</f>
        <v>#NAME?</v>
      </c>
      <c r="H3495" t="e">
        <f ca="1">IMAGE("https://m.media-amazon.com/images/I/61msKn1uXLL._AC_UL320_.jpg")</f>
        <v>#NAME?</v>
      </c>
      <c r="I3495" t="s">
        <v>8863</v>
      </c>
      <c r="J3495">
        <v>37.33</v>
      </c>
      <c r="K3495" s="2" t="s">
        <v>9350</v>
      </c>
      <c r="L3495">
        <v>4.8</v>
      </c>
      <c r="M3495">
        <v>20</v>
      </c>
      <c r="O3495" t="s">
        <v>26</v>
      </c>
      <c r="P3495" t="s">
        <v>39</v>
      </c>
      <c r="Q3495" t="s">
        <v>8865</v>
      </c>
    </row>
    <row r="3496" spans="1:17" ht="15.75" x14ac:dyDescent="0.25">
      <c r="A3496"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B3496"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C3496" t="s">
        <v>9351</v>
      </c>
      <c r="D3496" t="s">
        <v>9352</v>
      </c>
      <c r="E3496" s="3" t="str">
        <f>HYPERLINK("https://www.amazon.com/Always-Discreet-Incontinence-Postpartum-Protection/dp/B0C3KB1ZBX/ref=sr_1_4?keywords=Always+Discreet+Maximum+Absorbency+XL+Underwear+for+Women+15ct.&amp;qid=1695260003&amp;sr=8-4", "https://www.amazon.com/Always-Discreet-Incontinence-Postpartum-Protection/dp/B0C3KB1ZBX/ref=sr_1_4?keywords=Always+Discreet+Maximum+Absorbency+XL+Underwear+for+Women+15ct.&amp;qid=1695260003&amp;sr=8-4")</f>
        <v>https://www.amazon.com/Always-Discreet-Incontinence-Postpartum-Protection/dp/B0C3KB1ZBX/ref=sr_1_4?keywords=Always+Discreet+Maximum+Absorbency+XL+Underwear+for+Women+15ct.&amp;qid=1695260003&amp;sr=8-4</v>
      </c>
      <c r="F3496" t="s">
        <v>9353</v>
      </c>
      <c r="G3496" t="e">
        <f ca="1">IMAGE("https://shop.sonapharmacy.com/cdn/shop/products/338639f2-0083-468e-b2eb-218450a0aa4f_1.a078bb5a3baa7563816301e343b7d24b.jpg?v=1611074803")</f>
        <v>#NAME?</v>
      </c>
      <c r="H3496" t="e">
        <f ca="1">IMAGE("https://m.media-amazon.com/images/I/81+CVqVZPdL._AC_UL320_.jpg")</f>
        <v>#NAME?</v>
      </c>
      <c r="I3496" t="s">
        <v>3419</v>
      </c>
      <c r="J3496">
        <v>64.319999999999993</v>
      </c>
      <c r="K3496" s="2" t="s">
        <v>9354</v>
      </c>
      <c r="L3496">
        <v>4.2</v>
      </c>
      <c r="M3496">
        <v>6</v>
      </c>
      <c r="O3496" t="s">
        <v>26</v>
      </c>
      <c r="P3496" t="s">
        <v>39</v>
      </c>
      <c r="Q3496" t="s">
        <v>9355</v>
      </c>
    </row>
    <row r="3497" spans="1:17" ht="15.75" x14ac:dyDescent="0.25">
      <c r="A3497" s="3" t="str">
        <f>HYPERLINK("https://shop.sonapharmacy.com/products/alka-seltzer%C2%AE-original-effervescent-tablets", "https://shop.sonapharmacy.com/products/alka-seltzer%C2%AE-original-effervescent-tablets")</f>
        <v>https://shop.sonapharmacy.com/products/alka-seltzer%C2%AE-original-effervescent-tablets</v>
      </c>
      <c r="B3497" s="3" t="str">
        <f>HYPERLINK("https://shop.sonapharmacy.com/products/alka-seltzer%c2%ae-original-effervescent-tablets", "https://shop.sonapharmacy.com/products/alka-seltzer%c2%ae-original-effervescent-tablets")</f>
        <v>https://shop.sonapharmacy.com/products/alka-seltzer%c2%ae-original-effervescent-tablets</v>
      </c>
      <c r="C3497" t="s">
        <v>9356</v>
      </c>
      <c r="D3497" t="s">
        <v>9357</v>
      </c>
      <c r="E3497" s="3" t="str">
        <f>HYPERLINK("https://www.amazon.com/Alka-Seltzer-Original-Effervescent-Tablets-Headache/dp/B0BD5X8XW7/ref=sr_1_2?keywords=Alka-Seltzer+Original+Effervescent+Tablets&amp;qid=1695260013&amp;sr=8-2", "https://www.amazon.com/Alka-Seltzer-Original-Effervescent-Tablets-Headache/dp/B0BD5X8XW7/ref=sr_1_2?keywords=Alka-Seltzer+Original+Effervescent+Tablets&amp;qid=1695260013&amp;sr=8-2")</f>
        <v>https://www.amazon.com/Alka-Seltzer-Original-Effervescent-Tablets-Headache/dp/B0BD5X8XW7/ref=sr_1_2?keywords=Alka-Seltzer+Original+Effervescent+Tablets&amp;qid=1695260013&amp;sr=8-2</v>
      </c>
      <c r="F3497" t="s">
        <v>9358</v>
      </c>
      <c r="G3497" t="e">
        <f ca="1">IMAGE("https://shop.sonapharmacy.com/cdn/shop/products/51rk0IErmAL._AC.jpg?v=1610676312")</f>
        <v>#NAME?</v>
      </c>
      <c r="H3497" t="e">
        <f ca="1">IMAGE("https://m.media-amazon.com/images/I/816ZY9TEDXL._AC_UL320_.jpg")</f>
        <v>#NAME?</v>
      </c>
      <c r="I3497" t="s">
        <v>9015</v>
      </c>
      <c r="J3497">
        <v>20.94</v>
      </c>
      <c r="K3497" s="2" t="s">
        <v>9359</v>
      </c>
      <c r="L3497">
        <v>4.8</v>
      </c>
      <c r="M3497">
        <v>420</v>
      </c>
      <c r="O3497" t="s">
        <v>26</v>
      </c>
      <c r="P3497" t="s">
        <v>39</v>
      </c>
      <c r="Q3497" t="s">
        <v>9360</v>
      </c>
    </row>
    <row r="3498" spans="1:17" ht="15.75" x14ac:dyDescent="0.25">
      <c r="A3498" s="3" t="str">
        <f>HYPERLINK("https://shop.sonapharmacy.com/products/dr-scholls%C2%AE-moleskin-plus-soft-padding-roll", "https://shop.sonapharmacy.com/products/dr-scholls%C2%AE-moleskin-plus-soft-padding-roll")</f>
        <v>https://shop.sonapharmacy.com/products/dr-scholls%C2%AE-moleskin-plus-soft-padding-roll</v>
      </c>
      <c r="B3498" s="3" t="str">
        <f>HYPERLINK("https://shop.sonapharmacy.com/products/dr-scholls%c2%ae-moleskin-plus-soft-padding-roll", "https://shop.sonapharmacy.com/products/dr-scholls%c2%ae-moleskin-plus-soft-padding-roll")</f>
        <v>https://shop.sonapharmacy.com/products/dr-scholls%c2%ae-moleskin-plus-soft-padding-roll</v>
      </c>
      <c r="C3498" t="s">
        <v>8469</v>
      </c>
      <c r="D3498" t="s">
        <v>9361</v>
      </c>
      <c r="E3498" s="3" t="str">
        <f>HYPERLINK("https://www.amazon.com/Scholls-Moleskin-Plus-Padding-Roll/dp/B008CYFUGU/ref=sr_1_9?keywords=Dr.+Scholl%27s%C2%AE+Moleskin+Plus+Soft+Padding+Roll&amp;qid=1695260191&amp;sr=8-9", "https://www.amazon.com/Scholls-Moleskin-Plus-Padding-Roll/dp/B008CYFUGU/ref=sr_1_9?keywords=Dr.+Scholl%27s%C2%AE+Moleskin+Plus+Soft+Padding+Roll&amp;qid=1695260191&amp;sr=8-9")</f>
        <v>https://www.amazon.com/Scholls-Moleskin-Plus-Padding-Roll/dp/B008CYFUGU/ref=sr_1_9?keywords=Dr.+Scholl%27s%C2%AE+Moleskin+Plus+Soft+Padding+Roll&amp;qid=1695260191&amp;sr=8-9</v>
      </c>
      <c r="F3498" t="s">
        <v>9362</v>
      </c>
      <c r="G3498" t="e">
        <f ca="1">IMAGE("https://shop.sonapharmacy.com/cdn/shop/products/81tP9KqA0SL._AC_SL1500.jpg?v=1610328732")</f>
        <v>#NAME?</v>
      </c>
      <c r="H3498" t="e">
        <f ca="1">IMAGE("https://m.media-amazon.com/images/I/619eUt0uImL._AC_UL320_.jpg")</f>
        <v>#NAME?</v>
      </c>
      <c r="I3498" t="s">
        <v>8472</v>
      </c>
      <c r="J3498">
        <v>20.55</v>
      </c>
      <c r="K3498" s="2" t="s">
        <v>9363</v>
      </c>
      <c r="L3498">
        <v>4.4000000000000004</v>
      </c>
      <c r="M3498">
        <v>30</v>
      </c>
      <c r="O3498" t="s">
        <v>26</v>
      </c>
      <c r="P3498" t="s">
        <v>39</v>
      </c>
      <c r="Q3498" t="s">
        <v>8474</v>
      </c>
    </row>
    <row r="3499" spans="1:17" ht="15.75" x14ac:dyDescent="0.25">
      <c r="A3499" s="3" t="str">
        <f>HYPERLINK("https://shop.sonapharmacy.com/products/sundown-vitamin-e-oil-2-5fl", "https://shop.sonapharmacy.com/products/sundown-vitamin-e-oil-2-5fl")</f>
        <v>https://shop.sonapharmacy.com/products/sundown-vitamin-e-oil-2-5fl</v>
      </c>
      <c r="B3499" s="3" t="str">
        <f>HYPERLINK("https://shop.sonapharmacy.com/products/sundown-vitamin-e-oil-2-5fl", "https://shop.sonapharmacy.com/products/sundown-vitamin-e-oil-2-5fl")</f>
        <v>https://shop.sonapharmacy.com/products/sundown-vitamin-e-oil-2-5fl</v>
      </c>
      <c r="C3499" t="s">
        <v>8883</v>
      </c>
      <c r="D3499" t="s">
        <v>9364</v>
      </c>
      <c r="E3499" s="3" t="str">
        <f>HYPERLINK("https://www.amazon.com/Sundown-Naturals-Vitamin-Fluid-Ounce/dp/B07LH4F7XM/ref=sr_1_8?keywords=Sundown+Vitamin+E+Oil+2.5fl&amp;qid=1695260741&amp;sr=8-8", "https://www.amazon.com/Sundown-Naturals-Vitamin-Fluid-Ounce/dp/B07LH4F7XM/ref=sr_1_8?keywords=Sundown+Vitamin+E+Oil+2.5fl&amp;qid=1695260741&amp;sr=8-8")</f>
        <v>https://www.amazon.com/Sundown-Naturals-Vitamin-Fluid-Ounce/dp/B07LH4F7XM/ref=sr_1_8?keywords=Sundown+Vitamin+E+Oil+2.5fl&amp;qid=1695260741&amp;sr=8-8</v>
      </c>
      <c r="F3499" t="s">
        <v>9365</v>
      </c>
      <c r="G3499" t="e">
        <f ca="1">IMAGE("https://shop.sonapharmacy.com/cdn/shop/products/b5528557-4aee-4dfe-a2a2-302b5998af18_1.8e7a790b89db2b249d70e2d54929257f.jpg?v=1608242073")</f>
        <v>#NAME?</v>
      </c>
      <c r="H3499" t="e">
        <f ca="1">IMAGE("https://m.media-amazon.com/images/I/51SAec+2d1L._AC_UL320_.jpg")</f>
        <v>#NAME?</v>
      </c>
      <c r="I3499" t="s">
        <v>8886</v>
      </c>
      <c r="J3499">
        <v>37.96</v>
      </c>
      <c r="K3499" s="2" t="s">
        <v>9366</v>
      </c>
      <c r="L3499">
        <v>4.5999999999999996</v>
      </c>
      <c r="M3499">
        <v>14</v>
      </c>
      <c r="O3499" t="s">
        <v>26</v>
      </c>
      <c r="P3499" t="s">
        <v>39</v>
      </c>
      <c r="Q3499" t="s">
        <v>8888</v>
      </c>
    </row>
    <row r="3500" spans="1:17" ht="15.75" x14ac:dyDescent="0.25">
      <c r="A3500" s="3" t="str">
        <f>HYPERLINK("https://shop.sonapharmacy.com/products/oral-b%C2%AE-deep-clean-toothbrush", "https://shop.sonapharmacy.com/products/oral-b%C2%AE-deep-clean-toothbrush")</f>
        <v>https://shop.sonapharmacy.com/products/oral-b%C2%AE-deep-clean-toothbrush</v>
      </c>
      <c r="B3500" s="3" t="str">
        <f>HYPERLINK("https://shop.sonapharmacy.com/products/oral-b%c2%ae-deep-clean-toothbrush", "https://shop.sonapharmacy.com/products/oral-b%c2%ae-deep-clean-toothbrush")</f>
        <v>https://shop.sonapharmacy.com/products/oral-b%c2%ae-deep-clean-toothbrush</v>
      </c>
      <c r="C3500" t="s">
        <v>9367</v>
      </c>
      <c r="D3500" t="s">
        <v>9368</v>
      </c>
      <c r="E3500" s="3" t="str">
        <f>HYPERLINK("https://www.amazon.com/Oral-B-Complete-Battery-Toothbrush-between/dp/B000ZPK4X8/ref=sr_1_9?keywords=Oral+B%C2%AE+Complete+Deep+Clean+Toothbrush+%5BMedium%5D&amp;qid=1695260620&amp;sr=8-9", "https://www.amazon.com/Oral-B-Complete-Battery-Toothbrush-between/dp/B000ZPK4X8/ref=sr_1_9?keywords=Oral+B%C2%AE+Complete+Deep+Clean+Toothbrush+%5BMedium%5D&amp;qid=1695260620&amp;sr=8-9")</f>
        <v>https://www.amazon.com/Oral-B-Complete-Battery-Toothbrush-between/dp/B000ZPK4X8/ref=sr_1_9?keywords=Oral+B%C2%AE+Complete+Deep+Clean+Toothbrush+%5BMedium%5D&amp;qid=1695260620&amp;sr=8-9</v>
      </c>
      <c r="F3500" t="s">
        <v>9369</v>
      </c>
      <c r="G3500" t="e">
        <f ca="1">IMAGE("https://shop.sonapharmacy.com/cdn/shop/files/Sona-Shop-banner2_0c7162f3-c367-451d-8193-c2967a0e8d8e.jpg?v=1614290083")</f>
        <v>#NAME?</v>
      </c>
      <c r="H3500" t="e">
        <f ca="1">IMAGE("https://m.media-amazon.com/images/I/81o8kRNdZkL._AC_UL320_.jpg")</f>
        <v>#NAME?</v>
      </c>
      <c r="I3500" t="s">
        <v>9370</v>
      </c>
      <c r="J3500">
        <v>17.440000000000001</v>
      </c>
      <c r="K3500" s="2" t="s">
        <v>9371</v>
      </c>
      <c r="L3500">
        <v>3.6</v>
      </c>
      <c r="M3500">
        <v>30</v>
      </c>
      <c r="O3500" t="s">
        <v>26</v>
      </c>
      <c r="P3500" t="s">
        <v>39</v>
      </c>
      <c r="Q3500" t="s">
        <v>9372</v>
      </c>
    </row>
    <row r="3501" spans="1:17" ht="15.75" x14ac:dyDescent="0.25">
      <c r="A3501" s="3" t="str">
        <f>HYPERLINK("https://shop.sonapharmacy.com/products/abreva%C2%AE-cold-sore-fever-blister-treatment-cream-2g", "https://shop.sonapharmacy.com/products/abreva%C2%AE-cold-sore-fever-blister-treatment-cream-2g")</f>
        <v>https://shop.sonapharmacy.com/products/abreva%C2%AE-cold-sore-fever-blister-treatment-cream-2g</v>
      </c>
      <c r="B3501" s="3" t="str">
        <f>HYPERLINK("https://shop.sonapharmacy.com/products/abreva%c2%ae-cold-sore-fever-blister-treatment-cream-2g", "https://shop.sonapharmacy.com/products/abreva%c2%ae-cold-sore-fever-blister-treatment-cream-2g")</f>
        <v>https://shop.sonapharmacy.com/products/abreva%c2%ae-cold-sore-fever-blister-treatment-cream-2g</v>
      </c>
      <c r="C3501" t="s">
        <v>9373</v>
      </c>
      <c r="D3501" t="s">
        <v>9374</v>
      </c>
      <c r="E3501" s="3" t="str">
        <f>HYPERLINK("https://www.amazon.com/Abreva-Cold-Fever-Blister-Treatment/dp/B00EZWS9VQ/ref=sr_1_3?keywords=Abreva+Cold+Sore%2FFever+Blister+Treatment+Cream+2g.&amp;qid=1695260008&amp;sr=8-3", "https://www.amazon.com/Abreva-Cold-Fever-Blister-Treatment/dp/B00EZWS9VQ/ref=sr_1_3?keywords=Abreva+Cold+Sore%2FFever+Blister+Treatment+Cream+2g.&amp;qid=1695260008&amp;sr=8-3")</f>
        <v>https://www.amazon.com/Abreva-Cold-Fever-Blister-Treatment/dp/B00EZWS9VQ/ref=sr_1_3?keywords=Abreva+Cold+Sore%2FFever+Blister+Treatment+Cream+2g.&amp;qid=1695260008&amp;sr=8-3</v>
      </c>
      <c r="F3501" t="s">
        <v>9375</v>
      </c>
      <c r="G3501" t="e">
        <f ca="1">IMAGE("https://shop.sonapharmacy.com/cdn/shop/products/pumptube.jpg?v=1608227735")</f>
        <v>#NAME?</v>
      </c>
      <c r="H3501" t="e">
        <f ca="1">IMAGE("https://m.media-amazon.com/images/I/71IO5w-tPpL._AC_UL320_.jpg")</f>
        <v>#NAME?</v>
      </c>
      <c r="I3501" t="s">
        <v>9376</v>
      </c>
      <c r="J3501">
        <v>97.9</v>
      </c>
      <c r="K3501" s="2" t="s">
        <v>9377</v>
      </c>
      <c r="L3501">
        <v>5</v>
      </c>
      <c r="M3501">
        <v>6</v>
      </c>
      <c r="O3501" t="s">
        <v>26</v>
      </c>
      <c r="P3501" t="s">
        <v>39</v>
      </c>
      <c r="Q3501" t="s">
        <v>9378</v>
      </c>
    </row>
    <row r="3502" spans="1:17" ht="15.75" x14ac:dyDescent="0.25">
      <c r="A3502" s="3" t="str">
        <f>HYPERLINK("https://shop.sonapharmacy.com/products/apex%C2%AE-7-day-medium-pill-organizer", "https://shop.sonapharmacy.com/products/apex%C2%AE-7-day-medium-pill-organizer")</f>
        <v>https://shop.sonapharmacy.com/products/apex%C2%AE-7-day-medium-pill-organizer</v>
      </c>
      <c r="B3502" s="3" t="str">
        <f>HYPERLINK("https://shop.sonapharmacy.com/products/apex%c2%ae-7-day-medium-pill-organizer", "https://shop.sonapharmacy.com/products/apex%c2%ae-7-day-medium-pill-organizer")</f>
        <v>https://shop.sonapharmacy.com/products/apex%c2%ae-7-day-medium-pill-organizer</v>
      </c>
      <c r="C3502" t="s">
        <v>8449</v>
      </c>
      <c r="D3502" t="s">
        <v>9379</v>
      </c>
      <c r="E3502" s="3" t="str">
        <f>HYPERLINK("https://www.amazon.com/Large-Weekly-Pill-Organizer-70027PL70027PL/dp/B000M29NZY/ref=sr_1_8?keywords=Apex+7-Day+Medium+Pill+Organizer&amp;qid=1695260015&amp;sr=8-8", "https://www.amazon.com/Large-Weekly-Pill-Organizer-70027PL70027PL/dp/B000M29NZY/ref=sr_1_8?keywords=Apex+7-Day+Medium+Pill+Organizer&amp;qid=1695260015&amp;sr=8-8")</f>
        <v>https://www.amazon.com/Large-Weekly-Pill-Organizer-70027PL70027PL/dp/B000M29NZY/ref=sr_1_8?keywords=Apex+7-Day+Medium+Pill+Organizer&amp;qid=1695260015&amp;sr=8-8</v>
      </c>
      <c r="F3502" t="s">
        <v>9380</v>
      </c>
      <c r="G3502" t="e">
        <f ca="1">IMAGE("https://shop.sonapharmacy.com/cdn/shop/products/51xN8KL65CL._SL1243.jpg?v=1609956978")</f>
        <v>#NAME?</v>
      </c>
      <c r="H3502" t="e">
        <f ca="1">IMAGE("https://m.media-amazon.com/images/I/71lQAujbpcL._AC_UL320_.jpg")</f>
        <v>#NAME?</v>
      </c>
      <c r="I3502" t="s">
        <v>8217</v>
      </c>
      <c r="J3502">
        <v>7.99</v>
      </c>
      <c r="K3502" s="2" t="s">
        <v>9381</v>
      </c>
      <c r="L3502">
        <v>4.2</v>
      </c>
      <c r="M3502">
        <v>1187</v>
      </c>
      <c r="O3502" t="s">
        <v>26</v>
      </c>
      <c r="P3502" t="s">
        <v>39</v>
      </c>
      <c r="Q3502" t="s">
        <v>8453</v>
      </c>
    </row>
    <row r="3503" spans="1:17" ht="15.75" x14ac:dyDescent="0.25">
      <c r="A3503" s="3" t="str">
        <f>HYPERLINK("https://shop.sonapharmacy.com/products/apex%C2%AE-7-day-medium-pill-organizer", "https://shop.sonapharmacy.com/products/apex%C2%AE-7-day-medium-pill-organizer")</f>
        <v>https://shop.sonapharmacy.com/products/apex%C2%AE-7-day-medium-pill-organizer</v>
      </c>
      <c r="B3503" s="3" t="str">
        <f>HYPERLINK("https://shop.sonapharmacy.com/products/apex%c2%ae-7-day-medium-pill-organizer", "https://shop.sonapharmacy.com/products/apex%c2%ae-7-day-medium-pill-organizer")</f>
        <v>https://shop.sonapharmacy.com/products/apex%c2%ae-7-day-medium-pill-organizer</v>
      </c>
      <c r="C3503" t="s">
        <v>8449</v>
      </c>
      <c r="D3503" t="s">
        <v>9382</v>
      </c>
      <c r="E3503" s="3" t="str">
        <f>HYPERLINK("https://www.amazon.com/Apex-7-Day-Bubble-Lok-Organizer-Translucent/dp/B01AKCRNY8/ref=sr_1_4?keywords=Apex+7-Day+Medium+Pill+Organizer&amp;qid=1695260015&amp;sr=8-4", "https://www.amazon.com/Apex-7-Day-Bubble-Lok-Organizer-Translucent/dp/B01AKCRNY8/ref=sr_1_4?keywords=Apex+7-Day+Medium+Pill+Organizer&amp;qid=1695260015&amp;sr=8-4")</f>
        <v>https://www.amazon.com/Apex-7-Day-Bubble-Lok-Organizer-Translucent/dp/B01AKCRNY8/ref=sr_1_4?keywords=Apex+7-Day+Medium+Pill+Organizer&amp;qid=1695260015&amp;sr=8-4</v>
      </c>
      <c r="F3503" t="s">
        <v>9383</v>
      </c>
      <c r="G3503" t="e">
        <f ca="1">IMAGE("https://shop.sonapharmacy.com/cdn/shop/products/51xN8KL65CL._SL1243.jpg?v=1609956978")</f>
        <v>#NAME?</v>
      </c>
      <c r="H3503" t="e">
        <f ca="1">IMAGE("https://m.media-amazon.com/images/I/5167VqG1UtL._AC_UL320_.jpg")</f>
        <v>#NAME?</v>
      </c>
      <c r="I3503" t="s">
        <v>8217</v>
      </c>
      <c r="J3503">
        <v>7.99</v>
      </c>
      <c r="K3503" s="2" t="s">
        <v>9381</v>
      </c>
      <c r="L3503">
        <v>4.2</v>
      </c>
      <c r="M3503">
        <v>139</v>
      </c>
      <c r="O3503" t="s">
        <v>26</v>
      </c>
      <c r="P3503" t="s">
        <v>39</v>
      </c>
      <c r="Q3503" t="s">
        <v>8453</v>
      </c>
    </row>
    <row r="3504" spans="1:17" ht="15.75" x14ac:dyDescent="0.25">
      <c r="A3504" s="3" t="str">
        <f>HYPERLINK("https://shop.sonapharmacy.com/products/apex%C2%AE-7-day-medium-pill-organizer", "https://shop.sonapharmacy.com/products/apex%C2%AE-7-day-medium-pill-organizer")</f>
        <v>https://shop.sonapharmacy.com/products/apex%C2%AE-7-day-medium-pill-organizer</v>
      </c>
      <c r="B3504" s="3" t="str">
        <f>HYPERLINK("https://shop.sonapharmacy.com/products/apex%c2%ae-7-day-medium-pill-organizer", "https://shop.sonapharmacy.com/products/apex%c2%ae-7-day-medium-pill-organizer")</f>
        <v>https://shop.sonapharmacy.com/products/apex%c2%ae-7-day-medium-pill-organizer</v>
      </c>
      <c r="C3504" t="s">
        <v>8449</v>
      </c>
      <c r="D3504" t="s">
        <v>9384</v>
      </c>
      <c r="E3504" s="3" t="str">
        <f>HYPERLINK("https://www.amazon.com/Apex-Mediplanner-Color-Coded-See-Through-Medication/dp/B000LR9ZNK/ref=sr_1_2?keywords=Apex+7-Day+Medium+Pill+Organizer&amp;qid=1695260015&amp;sr=8-2", "https://www.amazon.com/Apex-Mediplanner-Color-Coded-See-Through-Medication/dp/B000LR9ZNK/ref=sr_1_2?keywords=Apex+7-Day+Medium+Pill+Organizer&amp;qid=1695260015&amp;sr=8-2")</f>
        <v>https://www.amazon.com/Apex-Mediplanner-Color-Coded-See-Through-Medication/dp/B000LR9ZNK/ref=sr_1_2?keywords=Apex+7-Day+Medium+Pill+Organizer&amp;qid=1695260015&amp;sr=8-2</v>
      </c>
      <c r="F3504" t="s">
        <v>9385</v>
      </c>
      <c r="G3504" t="e">
        <f ca="1">IMAGE("https://shop.sonapharmacy.com/cdn/shop/products/51xN8KL65CL._SL1243.jpg?v=1609956978")</f>
        <v>#NAME?</v>
      </c>
      <c r="H3504" t="e">
        <f ca="1">IMAGE("https://m.media-amazon.com/images/I/61d8ACzFhHL._AC_UL320_.jpg")</f>
        <v>#NAME?</v>
      </c>
      <c r="I3504" t="s">
        <v>8217</v>
      </c>
      <c r="J3504">
        <v>7.99</v>
      </c>
      <c r="K3504" s="2" t="s">
        <v>9381</v>
      </c>
      <c r="L3504">
        <v>4.4000000000000004</v>
      </c>
      <c r="M3504">
        <v>6425</v>
      </c>
      <c r="O3504" t="s">
        <v>26</v>
      </c>
      <c r="P3504" t="s">
        <v>39</v>
      </c>
      <c r="Q3504" t="s">
        <v>8453</v>
      </c>
    </row>
    <row r="3505" spans="1:17" ht="15.75" x14ac:dyDescent="0.25">
      <c r="A3505" s="3" t="str">
        <f>HYPERLINK("https://shop.sonapharmacy.com/products/pantene%C2%AE-classic-clean-shampoo-12-6fl-oz", "https://shop.sonapharmacy.com/products/pantene%C2%AE-classic-clean-shampoo-12-6fl-oz")</f>
        <v>https://shop.sonapharmacy.com/products/pantene%C2%AE-classic-clean-shampoo-12-6fl-oz</v>
      </c>
      <c r="B3505" s="3" t="str">
        <f>HYPERLINK("https://shop.sonapharmacy.com/products/pantene%c2%ae-classic-clean-shampoo-12-6fl-oz", "https://shop.sonapharmacy.com/products/pantene%c2%ae-classic-clean-shampoo-12-6fl-oz")</f>
        <v>https://shop.sonapharmacy.com/products/pantene%c2%ae-classic-clean-shampoo-12-6fl-oz</v>
      </c>
      <c r="C3505" t="s">
        <v>8725</v>
      </c>
      <c r="D3505" t="s">
        <v>9386</v>
      </c>
      <c r="E3505" s="3" t="str">
        <f>HYPERLINK("https://www.amazon.com/Pantene-Pro-V-Classic-Clean-Shampoo/dp/B00NFUCLGS/ref=sr_1_7?keywords=Pantene%C2%AE+Pro-V+Classic+Clean+Shampoo+12fl.+oz.&amp;qid=1695260626&amp;sr=8-7", "https://www.amazon.com/Pantene-Pro-V-Classic-Clean-Shampoo/dp/B00NFUCLGS/ref=sr_1_7?keywords=Pantene%C2%AE+Pro-V+Classic+Clean+Shampoo+12fl.+oz.&amp;qid=1695260626&amp;sr=8-7")</f>
        <v>https://www.amazon.com/Pantene-Pro-V-Classic-Clean-Shampoo/dp/B00NFUCLGS/ref=sr_1_7?keywords=Pantene%C2%AE+Pro-V+Classic+Clean+Shampoo+12fl.+oz.&amp;qid=1695260626&amp;sr=8-7</v>
      </c>
      <c r="F3505" t="s">
        <v>9387</v>
      </c>
      <c r="G3505" t="e">
        <f ca="1">IMAGE("https://shop.sonapharmacy.com/cdn/shop/products/15cd010f-3357-47fe-af4e-ec5db33dd69f_1.e7f21d7c02f220665cdc99a4a17eaf1f.jpg?v=1609165266")</f>
        <v>#NAME?</v>
      </c>
      <c r="H3505" t="e">
        <f ca="1">IMAGE("https://m.media-amazon.com/images/I/51DnirLnvAL._AC_UL320_.jpg")</f>
        <v>#NAME?</v>
      </c>
      <c r="I3505" t="s">
        <v>8728</v>
      </c>
      <c r="J3505">
        <v>21.5</v>
      </c>
      <c r="K3505" s="2" t="s">
        <v>9388</v>
      </c>
      <c r="L3505">
        <v>5</v>
      </c>
      <c r="M3505">
        <v>4</v>
      </c>
      <c r="O3505" t="s">
        <v>26</v>
      </c>
      <c r="P3505" t="s">
        <v>39</v>
      </c>
      <c r="Q3505" t="s">
        <v>8730</v>
      </c>
    </row>
    <row r="3506" spans="1:17" ht="15.75" x14ac:dyDescent="0.25">
      <c r="A3506" s="3" t="str">
        <f>HYPERLINK("https://shop.sonapharmacy.com/products/always%C2%AE-thin-daily-liners-regular-absorbency-20ct", "https://shop.sonapharmacy.com/products/always%C2%AE-thin-daily-liners-regular-absorbency-20ct")</f>
        <v>https://shop.sonapharmacy.com/products/always%C2%AE-thin-daily-liners-regular-absorbency-20ct</v>
      </c>
      <c r="B3506" s="3" t="str">
        <f>HYPERLINK("https://shop.sonapharmacy.com/products/always%c2%ae-thin-daily-liners-regular-absorbency-20ct", "https://shop.sonapharmacy.com/products/always%c2%ae-thin-daily-liners-regular-absorbency-20ct")</f>
        <v>https://shop.sonapharmacy.com/products/always%c2%ae-thin-daily-liners-regular-absorbency-20ct</v>
      </c>
      <c r="C3506" t="s">
        <v>8214</v>
      </c>
      <c r="D3506" t="s">
        <v>9389</v>
      </c>
      <c r="E3506" s="3" t="str">
        <f>HYPERLINK("https://www.amazon.com/Always-Daily-Wrapped-Liners-Unscented/dp/B003VD5TMM/ref=sr_1_8?keywords=Always+Thin+Daily+Liners+Regular+Absorbency+20ct.&amp;qid=1695260032&amp;sr=8-8", "https://www.amazon.com/Always-Daily-Wrapped-Liners-Unscented/dp/B003VD5TMM/ref=sr_1_8?keywords=Always+Thin+Daily+Liners+Regular+Absorbency+20ct.&amp;qid=1695260032&amp;sr=8-8")</f>
        <v>https://www.amazon.com/Always-Daily-Wrapped-Liners-Unscented/dp/B003VD5TMM/ref=sr_1_8?keywords=Always+Thin+Daily+Liners+Regular+Absorbency+20ct.&amp;qid=1695260032&amp;sr=8-8</v>
      </c>
      <c r="F3506" t="s">
        <v>9390</v>
      </c>
      <c r="G3506" t="e">
        <f ca="1">IMAGE("https://shop.sonapharmacy.com/cdn/shop/products/images_1.jpg?v=1611189162")</f>
        <v>#NAME?</v>
      </c>
      <c r="H3506" t="e">
        <f ca="1">IMAGE("https://m.media-amazon.com/images/I/71TAYCaSXTL._AC_UL320_.jpg")</f>
        <v>#NAME?</v>
      </c>
      <c r="I3506" t="s">
        <v>8217</v>
      </c>
      <c r="J3506">
        <v>7.97</v>
      </c>
      <c r="K3506" s="2" t="s">
        <v>9391</v>
      </c>
      <c r="L3506">
        <v>4.5999999999999996</v>
      </c>
      <c r="M3506">
        <v>29024</v>
      </c>
      <c r="O3506" t="s">
        <v>26</v>
      </c>
      <c r="P3506" t="s">
        <v>39</v>
      </c>
      <c r="Q3506" t="s">
        <v>8219</v>
      </c>
    </row>
    <row r="3507" spans="1:17" ht="15.75" x14ac:dyDescent="0.25">
      <c r="A3507" s="3" t="str">
        <f>HYPERLINK("https://shop.sonapharmacy.com/products/off-%C2%AE-family-care-insect-repellent-smooth-dry-spray-4oz", "https://shop.sonapharmacy.com/products/off-%C2%AE-family-care-insect-repellent-smooth-dry-spray-4oz")</f>
        <v>https://shop.sonapharmacy.com/products/off-%C2%AE-family-care-insect-repellent-smooth-dry-spray-4oz</v>
      </c>
      <c r="B3507" s="3" t="str">
        <f>HYPERLINK("https://shop.sonapharmacy.com/products/off-%c2%ae-family-care-insect-repellent-smooth-dry-spray-4oz", "https://shop.sonapharmacy.com/products/off-%c2%ae-family-care-insect-repellent-smooth-dry-spray-4oz")</f>
        <v>https://shop.sonapharmacy.com/products/off-%c2%ae-family-care-insect-repellent-smooth-dry-spray-4oz</v>
      </c>
      <c r="C3507" t="s">
        <v>9392</v>
      </c>
      <c r="D3507" t="s">
        <v>9393</v>
      </c>
      <c r="E3507" s="3" t="str">
        <f>HYPERLINK("https://www.amazon.com/Family-Care-Smooth-Insect-Spray/dp/B07FB838Y1/ref=sr_1_4?keywords=OFF%21%C2%AE+Family+Care+Insect+Repellent+Smooth+%26+Dry+Spray+4oz.&amp;qid=1695260656&amp;sr=8-4", "https://www.amazon.com/Family-Care-Smooth-Insect-Spray/dp/B07FB838Y1/ref=sr_1_4?keywords=OFF%21%C2%AE+Family+Care+Insect+Repellent+Smooth+%26+Dry+Spray+4oz.&amp;qid=1695260656&amp;sr=8-4")</f>
        <v>https://www.amazon.com/Family-Care-Smooth-Insect-Spray/dp/B07FB838Y1/ref=sr_1_4?keywords=OFF%21%C2%AE+Family+Care+Insect+Repellent+Smooth+%26+Dry+Spray+4oz.&amp;qid=1695260656&amp;sr=8-4</v>
      </c>
      <c r="F3507" t="s">
        <v>9394</v>
      </c>
      <c r="G3507" t="e">
        <f ca="1">IMAGE("https://shop.sonapharmacy.com/cdn/shop/products/82380d77-220c-40b4-8024-71396ca6a7d8.a797d23efa84ece1415562ae9d549027_4e55f6cf-6eb1-4669-a3ee-922c1347d47c.jpg?v=1610757010")</f>
        <v>#NAME?</v>
      </c>
      <c r="H3507" t="e">
        <f ca="1">IMAGE("https://m.media-amazon.com/images/I/71jfZdj+2hL._AC_UL320_.jpg")</f>
        <v>#NAME?</v>
      </c>
      <c r="I3507" t="s">
        <v>9395</v>
      </c>
      <c r="J3507">
        <v>38.99</v>
      </c>
      <c r="K3507" s="2" t="s">
        <v>9396</v>
      </c>
      <c r="L3507">
        <v>5</v>
      </c>
      <c r="M3507">
        <v>2</v>
      </c>
      <c r="O3507" t="s">
        <v>26</v>
      </c>
      <c r="P3507" t="s">
        <v>39</v>
      </c>
      <c r="Q3507" t="s">
        <v>9397</v>
      </c>
    </row>
    <row r="3508" spans="1:17" ht="15.75" x14ac:dyDescent="0.25">
      <c r="A3508" s="3" t="str">
        <f>HYPERLINK("https://shop.sonapharmacy.com/products/listerine%C2%AE-total-care-mouthwash", "https://shop.sonapharmacy.com/products/listerine%C2%AE-total-care-mouthwash")</f>
        <v>https://shop.sonapharmacy.com/products/listerine%C2%AE-total-care-mouthwash</v>
      </c>
      <c r="B3508" s="3" t="str">
        <f>HYPERLINK("https://shop.sonapharmacy.com/products/listerine%c2%ae-total-care-mouthwash", "https://shop.sonapharmacy.com/products/listerine%c2%ae-total-care-mouthwash")</f>
        <v>https://shop.sonapharmacy.com/products/listerine%c2%ae-total-care-mouthwash</v>
      </c>
      <c r="C3508" t="s">
        <v>8810</v>
      </c>
      <c r="D3508" t="s">
        <v>9398</v>
      </c>
      <c r="E3508" s="3" t="str">
        <f>HYPERLINK("https://www.amazon.com/Listerine-Total-Anticavity-Mouthwash-Fresh/dp/B0070TX89Y/ref=sr_1_9?keywords=Listerine%C2%AE+Total+Care+Mouthwash&amp;qid=1695260463&amp;sr=8-9", "https://www.amazon.com/Listerine-Total-Anticavity-Mouthwash-Fresh/dp/B0070TX89Y/ref=sr_1_9?keywords=Listerine%C2%AE+Total+Care+Mouthwash&amp;qid=1695260463&amp;sr=8-9")</f>
        <v>https://www.amazon.com/Listerine-Total-Anticavity-Mouthwash-Fresh/dp/B0070TX89Y/ref=sr_1_9?keywords=Listerine%C2%AE+Total+Care+Mouthwash&amp;qid=1695260463&amp;sr=8-9</v>
      </c>
      <c r="F3508" t="s">
        <v>9399</v>
      </c>
      <c r="G3508" t="e">
        <f ca="1">IMAGE("https://shop.sonapharmacy.com/cdn/shop/products/81vNiROdiIL._SL1500.jpg?v=1647185014")</f>
        <v>#NAME?</v>
      </c>
      <c r="H3508" t="e">
        <f ca="1">IMAGE("https://m.media-amazon.com/images/I/81xlCoVY5mL._AC_UL320_.jpg")</f>
        <v>#NAME?</v>
      </c>
      <c r="I3508" t="s">
        <v>8813</v>
      </c>
      <c r="J3508">
        <v>29.98</v>
      </c>
      <c r="K3508" s="2" t="s">
        <v>9400</v>
      </c>
      <c r="L3508">
        <v>4.7</v>
      </c>
      <c r="M3508">
        <v>46</v>
      </c>
      <c r="O3508" t="s">
        <v>26</v>
      </c>
      <c r="P3508" t="s">
        <v>39</v>
      </c>
      <c r="Q3508" t="s">
        <v>8815</v>
      </c>
    </row>
    <row r="3509" spans="1:17" ht="15.75" x14ac:dyDescent="0.25">
      <c r="A3509" s="3" t="str">
        <f>HYPERLINK("https://shop.sonapharmacy.com/products/band-aid-skin-flex-bandage", "https://shop.sonapharmacy.com/products/band-aid-skin-flex-bandage")</f>
        <v>https://shop.sonapharmacy.com/products/band-aid-skin-flex-bandage</v>
      </c>
      <c r="B3509" s="3" t="str">
        <f>HYPERLINK("https://shop.sonapharmacy.com/products/band-aid-skin-flex-bandage", "https://shop.sonapharmacy.com/products/band-aid-skin-flex-bandage")</f>
        <v>https://shop.sonapharmacy.com/products/band-aid-skin-flex-bandage</v>
      </c>
      <c r="C3509" t="s">
        <v>8323</v>
      </c>
      <c r="D3509" t="s">
        <v>9401</v>
      </c>
      <c r="E3509" s="3" t="str">
        <f>HYPERLINK("https://www.amazon.com/Band-Aid-Brand-Skin-Flex-Adhesive-Bandages/dp/B075ZC6W51/ref=sr_1_10?keywords=BAND-AID%C2%AE+Skin+Flex+Bandage&amp;qid=1695260066&amp;sr=8-10", "https://www.amazon.com/Band-Aid-Brand-Skin-Flex-Adhesive-Bandages/dp/B075ZC6W51/ref=sr_1_10?keywords=BAND-AID%C2%AE+Skin+Flex+Bandage&amp;qid=1695260066&amp;sr=8-10")</f>
        <v>https://www.amazon.com/Band-Aid-Brand-Skin-Flex-Adhesive-Bandages/dp/B075ZC6W51/ref=sr_1_10?keywords=BAND-AID%C2%AE+Skin+Flex+Bandage&amp;qid=1695260066&amp;sr=8-10</v>
      </c>
      <c r="F3509" t="s">
        <v>9402</v>
      </c>
      <c r="G3509" t="e">
        <f ca="1">IMAGE("https://shop.sonapharmacy.com/cdn/shop/products/bab_381371183470_band_aid_band-aid_skin-flex_aos_25ct_007.jpg?v=1627748646")</f>
        <v>#NAME?</v>
      </c>
      <c r="H3509" t="e">
        <f ca="1">IMAGE("https://m.media-amazon.com/images/I/71hx3g6jTsL._AC_UL320_.jpg")</f>
        <v>#NAME?</v>
      </c>
      <c r="I3509" t="s">
        <v>8326</v>
      </c>
      <c r="J3509">
        <v>26.42</v>
      </c>
      <c r="K3509" s="2" t="s">
        <v>9403</v>
      </c>
      <c r="L3509">
        <v>4.8</v>
      </c>
      <c r="M3509">
        <v>451</v>
      </c>
      <c r="O3509" t="s">
        <v>26</v>
      </c>
      <c r="P3509" t="s">
        <v>39</v>
      </c>
      <c r="Q3509" t="s">
        <v>8328</v>
      </c>
    </row>
    <row r="3510" spans="1:17" ht="15.75" x14ac:dyDescent="0.25">
      <c r="A3510" s="3" t="str">
        <f>HYPERLINK("https://shop.sonapharmacy.com/products/buf-puf-double-sided-body-sponge", "https://shop.sonapharmacy.com/products/buf-puf-double-sided-body-sponge")</f>
        <v>https://shop.sonapharmacy.com/products/buf-puf-double-sided-body-sponge</v>
      </c>
      <c r="B3510" s="3" t="str">
        <f>HYPERLINK("https://shop.sonapharmacy.com/products/buf-puf-double-sided-body-sponge", "https://shop.sonapharmacy.com/products/buf-puf-double-sided-body-sponge")</f>
        <v>https://shop.sonapharmacy.com/products/buf-puf-double-sided-body-sponge</v>
      </c>
      <c r="C3510" t="s">
        <v>8960</v>
      </c>
      <c r="D3510" t="s">
        <v>9404</v>
      </c>
      <c r="E3510" s="3"/>
      <c r="F3510" t="s">
        <v>9405</v>
      </c>
      <c r="G3510" t="e">
        <f ca="1">IMAGE("https://shop.sonapharmacy.com/cdn/shop/products/81GmjrZ2b8L._SL1500.jpg?v=1608495033")</f>
        <v>#NAME?</v>
      </c>
      <c r="H3510" t="e">
        <f ca="1">IMAGE("https://m.media-amazon.com/images/I/81Nn4iV2mTL._AC_UL320_.jpg")</f>
        <v>#NAME?</v>
      </c>
      <c r="I3510" t="s">
        <v>8963</v>
      </c>
      <c r="J3510">
        <v>24.99</v>
      </c>
      <c r="K3510" s="2" t="s">
        <v>9406</v>
      </c>
      <c r="L3510">
        <v>3.2</v>
      </c>
      <c r="M3510">
        <v>272</v>
      </c>
      <c r="O3510" t="s">
        <v>136</v>
      </c>
      <c r="P3510" t="s">
        <v>39</v>
      </c>
      <c r="Q3510" t="s">
        <v>8965</v>
      </c>
    </row>
    <row r="3511" spans="1:17" ht="15.75" x14ac:dyDescent="0.25">
      <c r="A3511" s="3" t="str">
        <f>HYPERLINK("https://shop.sonapharmacy.com/products/buf-puf-double-sided-body-sponge", "https://shop.sonapharmacy.com/products/buf-puf-double-sided-body-sponge")</f>
        <v>https://shop.sonapharmacy.com/products/buf-puf-double-sided-body-sponge</v>
      </c>
      <c r="B3511" s="3" t="str">
        <f>HYPERLINK("https://shop.sonapharmacy.com/products/buf-puf-double-sided-body-sponge", "https://shop.sonapharmacy.com/products/buf-puf-double-sided-body-sponge")</f>
        <v>https://shop.sonapharmacy.com/products/buf-puf-double-sided-body-sponge</v>
      </c>
      <c r="C3511" t="s">
        <v>8960</v>
      </c>
      <c r="D3511" t="s">
        <v>9404</v>
      </c>
      <c r="E3511" s="3" t="str">
        <f>HYPERLINK("https://www.amazon.com/Double-Sponge-Cleansing-Regular-Exfoliating/dp/B09885L2DN/ref=sr_1_9?keywords=Buf-Puf%C2%AE+Double+Sided+Body+Sponge&amp;qid=1695260116&amp;sr=8-9", "https://www.amazon.com/Double-Sponge-Cleansing-Regular-Exfoliating/dp/B09885L2DN/ref=sr_1_9?keywords=Buf-Puf%C2%AE+Double+Sided+Body+Sponge&amp;qid=1695260116&amp;sr=8-9")</f>
        <v>https://www.amazon.com/Double-Sponge-Cleansing-Regular-Exfoliating/dp/B09885L2DN/ref=sr_1_9?keywords=Buf-Puf%C2%AE+Double+Sided+Body+Sponge&amp;qid=1695260116&amp;sr=8-9</v>
      </c>
      <c r="F3511" t="s">
        <v>9405</v>
      </c>
      <c r="G3511" t="e">
        <f ca="1">IMAGE("https://shop.sonapharmacy.com/cdn/shop/products/81GmjrZ2b8L._SL1500.jpg?v=1608495033")</f>
        <v>#NAME?</v>
      </c>
      <c r="H3511" t="e">
        <f ca="1">IMAGE("https://m.media-amazon.com/images/I/81Nn4iV2mTL._AC_UL320_.jpg")</f>
        <v>#NAME?</v>
      </c>
      <c r="I3511" t="s">
        <v>8963</v>
      </c>
      <c r="J3511">
        <v>24.99</v>
      </c>
      <c r="K3511" s="2" t="s">
        <v>9406</v>
      </c>
      <c r="L3511">
        <v>3.2</v>
      </c>
      <c r="M3511">
        <v>272</v>
      </c>
      <c r="O3511" t="s">
        <v>136</v>
      </c>
      <c r="P3511" t="s">
        <v>39</v>
      </c>
      <c r="Q3511" t="s">
        <v>8965</v>
      </c>
    </row>
    <row r="3512" spans="1:17" ht="15.75" x14ac:dyDescent="0.25">
      <c r="A3512" s="3" t="str">
        <f>HYPERLINK("https://shop.sonapharmacy.com/products/duracell%C2%AE-303-357-76-silver-oxide-button-battery", "https://shop.sonapharmacy.com/products/duracell%C2%AE-303-357-76-silver-oxide-button-battery")</f>
        <v>https://shop.sonapharmacy.com/products/duracell%C2%AE-303-357-76-silver-oxide-button-battery</v>
      </c>
      <c r="B3512" s="3" t="str">
        <f>HYPERLINK("https://shop.sonapharmacy.com/products/duracell%c2%ae-303-357-76-silver-oxide-button-battery", "https://shop.sonapharmacy.com/products/duracell%c2%ae-303-357-76-silver-oxide-button-battery")</f>
        <v>https://shop.sonapharmacy.com/products/duracell%c2%ae-303-357-76-silver-oxide-button-battery</v>
      </c>
      <c r="C3512" t="s">
        <v>8329</v>
      </c>
      <c r="D3512" t="s">
        <v>9407</v>
      </c>
      <c r="E3512" s="3" t="str">
        <f>HYPERLINK("https://www.amazon.com/Duracell-SR44W-Silver-Oxide-Battery/dp/B013ILPECG/ref=sr_1_6?keywords=Duracell%C2%AE+303%2F357%2F76+Silver+Oxide+Button+Battery&amp;qid=1695260202&amp;sr=8-6", "https://www.amazon.com/Duracell-SR44W-Silver-Oxide-Battery/dp/B013ILPECG/ref=sr_1_6?keywords=Duracell%C2%AE+303%2F357%2F76+Silver+Oxide+Button+Battery&amp;qid=1695260202&amp;sr=8-6")</f>
        <v>https://www.amazon.com/Duracell-SR44W-Silver-Oxide-Battery/dp/B013ILPECG/ref=sr_1_6?keywords=Duracell%C2%AE+303%2F357%2F76+Silver+Oxide+Button+Battery&amp;qid=1695260202&amp;sr=8-6</v>
      </c>
      <c r="F3512" t="s">
        <v>9408</v>
      </c>
      <c r="G3512" t="e">
        <f ca="1">IMAGE("https://shop.sonapharmacy.com/cdn/shop/products/3099066_A.eps_High_540x_008cc7a8-ba13-4a78-a067-abc0e573a874.jpg?v=1610332687")</f>
        <v>#NAME?</v>
      </c>
      <c r="H3512" t="e">
        <f ca="1">IMAGE("https://m.media-amazon.com/images/I/51oXtaZVyGL._AC_UL320_.jpg")</f>
        <v>#NAME?</v>
      </c>
      <c r="I3512" t="s">
        <v>8332</v>
      </c>
      <c r="J3512">
        <v>34.99</v>
      </c>
      <c r="K3512" s="2" t="s">
        <v>9409</v>
      </c>
      <c r="L3512">
        <v>4.4000000000000004</v>
      </c>
      <c r="M3512">
        <v>106</v>
      </c>
      <c r="O3512" t="s">
        <v>26</v>
      </c>
      <c r="P3512" t="s">
        <v>39</v>
      </c>
      <c r="Q3512" t="s">
        <v>8334</v>
      </c>
    </row>
    <row r="3513" spans="1:17" ht="15.75" x14ac:dyDescent="0.25">
      <c r="A3513" s="3" t="str">
        <f>HYPERLINK("https://shop.sonapharmacy.com/products/prevagen-chewables-dietary-supplement-mixed-berry", "https://shop.sonapharmacy.com/products/prevagen-chewables-dietary-supplement-mixed-berry")</f>
        <v>https://shop.sonapharmacy.com/products/prevagen-chewables-dietary-supplement-mixed-berry</v>
      </c>
      <c r="B3513" s="3" t="str">
        <f>HYPERLINK("https://shop.sonapharmacy.com/products/prevagen-chewables-dietary-supplement-mixed-berry", "https://shop.sonapharmacy.com/products/prevagen-chewables-dietary-supplement-mixed-berry")</f>
        <v>https://shop.sonapharmacy.com/products/prevagen-chewables-dietary-supplement-mixed-berry</v>
      </c>
      <c r="C3513" t="s">
        <v>9410</v>
      </c>
      <c r="D3513" t="s">
        <v>9411</v>
      </c>
      <c r="E3513" s="3" t="str">
        <f>HYPERLINK("https://www.amazon.com/Prevagen-Improves-Memory-Apoaequorin-Supplement/dp/B0892R7XW6/ref=sr_1_2?keywords=Prevagen+Chewables+Dietary+Supplement-+Mixed+Berry&amp;qid=1695260645&amp;sr=8-2", "https://www.amazon.com/Prevagen-Improves-Memory-Apoaequorin-Supplement/dp/B0892R7XW6/ref=sr_1_2?keywords=Prevagen+Chewables+Dietary+Supplement-+Mixed+Berry&amp;qid=1695260645&amp;sr=8-2")</f>
        <v>https://www.amazon.com/Prevagen-Improves-Memory-Apoaequorin-Supplement/dp/B0892R7XW6/ref=sr_1_2?keywords=Prevagen+Chewables+Dietary+Supplement-+Mixed+Berry&amp;qid=1695260645&amp;sr=8-2</v>
      </c>
      <c r="F3513" t="s">
        <v>9412</v>
      </c>
      <c r="G3513" t="e">
        <f ca="1">IMAGE("https://shop.sonapharmacy.com/cdn/shop/products/PrevagenChewablesDietarySupplement-MixedBerry.jpg?v=1594304231")</f>
        <v>#NAME?</v>
      </c>
      <c r="H3513" t="e">
        <f ca="1">IMAGE("https://m.media-amazon.com/images/I/81vSpbRLybL._AC_UL320_.jpg")</f>
        <v>#NAME?</v>
      </c>
      <c r="I3513" t="s">
        <v>3535</v>
      </c>
      <c r="J3513">
        <v>149.85</v>
      </c>
      <c r="K3513" s="2" t="s">
        <v>9413</v>
      </c>
      <c r="L3513">
        <v>4.5</v>
      </c>
      <c r="M3513">
        <v>978</v>
      </c>
      <c r="O3513" t="s">
        <v>39</v>
      </c>
      <c r="P3513" t="s">
        <v>39</v>
      </c>
      <c r="Q3513" t="s">
        <v>9414</v>
      </c>
    </row>
    <row r="3514" spans="1:17" ht="15.75" x14ac:dyDescent="0.25">
      <c r="A3514" s="3" t="str">
        <f>HYPERLINK("https://shop.sonapharmacy.com/products/apex%C2%AE-7-day-medium-pill-organizer", "https://shop.sonapharmacy.com/products/apex%C2%AE-7-day-medium-pill-organizer")</f>
        <v>https://shop.sonapharmacy.com/products/apex%C2%AE-7-day-medium-pill-organizer</v>
      </c>
      <c r="B3514" s="3" t="str">
        <f>HYPERLINK("https://shop.sonapharmacy.com/products/apex%c2%ae-7-day-medium-pill-organizer", "https://shop.sonapharmacy.com/products/apex%c2%ae-7-day-medium-pill-organizer")</f>
        <v>https://shop.sonapharmacy.com/products/apex%c2%ae-7-day-medium-pill-organizer</v>
      </c>
      <c r="C3514" t="s">
        <v>8449</v>
      </c>
      <c r="D3514" t="s">
        <v>9415</v>
      </c>
      <c r="E3514" s="3" t="str">
        <f>HYPERLINK("https://www.amazon.com/Apex-7-Day-Organizer-Bubble-Lok-organizer/dp/B000XPV4P2/ref=sr_1_1?keywords=Apex+7-Day+Medium+Pill+Organizer&amp;qid=1695260015&amp;sr=8-1", "https://www.amazon.com/Apex-7-Day-Organizer-Bubble-Lok-organizer/dp/B000XPV4P2/ref=sr_1_1?keywords=Apex+7-Day+Medium+Pill+Organizer&amp;qid=1695260015&amp;sr=8-1")</f>
        <v>https://www.amazon.com/Apex-7-Day-Organizer-Bubble-Lok-organizer/dp/B000XPV4P2/ref=sr_1_1?keywords=Apex+7-Day+Medium+Pill+Organizer&amp;qid=1695260015&amp;sr=8-1</v>
      </c>
      <c r="F3514" t="s">
        <v>9416</v>
      </c>
      <c r="G3514" t="e">
        <f ca="1">IMAGE("https://shop.sonapharmacy.com/cdn/shop/products/51xN8KL65CL._SL1243.jpg?v=1609956978")</f>
        <v>#NAME?</v>
      </c>
      <c r="H3514" t="e">
        <f ca="1">IMAGE("https://m.media-amazon.com/images/I/31WSCT3IN0L._AC_UL320_.jpg")</f>
        <v>#NAME?</v>
      </c>
      <c r="I3514" t="s">
        <v>8217</v>
      </c>
      <c r="J3514">
        <v>7.86</v>
      </c>
      <c r="K3514" s="2" t="s">
        <v>9417</v>
      </c>
      <c r="L3514">
        <v>3.9</v>
      </c>
      <c r="M3514">
        <v>379</v>
      </c>
      <c r="O3514" t="s">
        <v>26</v>
      </c>
      <c r="P3514" t="s">
        <v>39</v>
      </c>
      <c r="Q3514" t="s">
        <v>8453</v>
      </c>
    </row>
    <row r="3515" spans="1:17" ht="15.75" x14ac:dyDescent="0.25">
      <c r="A3515" s="3" t="str">
        <f>HYPERLINK("https://shop.sonapharmacy.com/products/aveeno%C2%AE-baby-wash-shampoo-8fl-oz", "https://shop.sonapharmacy.com/products/aveeno%C2%AE-baby-wash-shampoo-8fl-oz")</f>
        <v>https://shop.sonapharmacy.com/products/aveeno%C2%AE-baby-wash-shampoo-8fl-oz</v>
      </c>
      <c r="B3515" s="3" t="str">
        <f>HYPERLINK("https://shop.sonapharmacy.com/products/aveeno%c2%ae-baby-wash-shampoo-8fl-oz", "https://shop.sonapharmacy.com/products/aveeno%c2%ae-baby-wash-shampoo-8fl-oz")</f>
        <v>https://shop.sonapharmacy.com/products/aveeno%c2%ae-baby-wash-shampoo-8fl-oz</v>
      </c>
      <c r="C3515" t="s">
        <v>9220</v>
      </c>
      <c r="D3515" t="s">
        <v>9418</v>
      </c>
      <c r="E3515" s="3" t="str">
        <f>HYPERLINK("https://www.amazon.com/Aveeno-Baby-Moisture-Delicate-Colloidal/dp/B08BLW67B2/ref=sr_1_2?keywords=Aveeno%C2%AE+Baby+Wash+%26+Shampoo+8fl.+oz.&amp;qid=1695260033&amp;sr=8-2", "https://www.amazon.com/Aveeno-Baby-Moisture-Delicate-Colloidal/dp/B08BLW67B2/ref=sr_1_2?keywords=Aveeno%C2%AE+Baby+Wash+%26+Shampoo+8fl.+oz.&amp;qid=1695260033&amp;sr=8-2")</f>
        <v>https://www.amazon.com/Aveeno-Baby-Moisture-Delicate-Colloidal/dp/B08BLW67B2/ref=sr_1_2?keywords=Aveeno%C2%AE+Baby+Wash+%26+Shampoo+8fl.+oz.&amp;qid=1695260033&amp;sr=8-2</v>
      </c>
      <c r="F3515" t="s">
        <v>9419</v>
      </c>
      <c r="G3515" t="e">
        <f ca="1">IMAGE("https://shop.sonapharmacy.com/cdn/shop/products/71_jQIqO15L._SL1500.jpg?v=1611191352")</f>
        <v>#NAME?</v>
      </c>
      <c r="H3515" t="e">
        <f ca="1">IMAGE("https://m.media-amazon.com/images/I/61IiuDZccvL._AC_UL320_.jpg")</f>
        <v>#NAME?</v>
      </c>
      <c r="I3515" t="s">
        <v>9223</v>
      </c>
      <c r="J3515">
        <v>33.81</v>
      </c>
      <c r="K3515" s="2" t="s">
        <v>9417</v>
      </c>
      <c r="L3515">
        <v>4.8</v>
      </c>
      <c r="M3515">
        <v>1475</v>
      </c>
      <c r="O3515" t="s">
        <v>26</v>
      </c>
      <c r="P3515" t="s">
        <v>39</v>
      </c>
      <c r="Q3515" t="s">
        <v>9225</v>
      </c>
    </row>
    <row r="3516" spans="1:17" ht="15.75" x14ac:dyDescent="0.25">
      <c r="A3516" s="3" t="str">
        <f>HYPERLINK("https://shop.sonapharmacy.com/products/super-poligrip%C2%AE-comfort-seal-denture-and-partials-adhesive-strips-40ct", "https://shop.sonapharmacy.com/products/super-poligrip%C2%AE-comfort-seal-denture-and-partials-adhesive-strips-40ct")</f>
        <v>https://shop.sonapharmacy.com/products/super-poligrip%C2%AE-comfort-seal-denture-and-partials-adhesive-strips-40ct</v>
      </c>
      <c r="B3516" s="3" t="str">
        <f>HYPERLINK("https://shop.sonapharmacy.com/products/super-poligrip%c2%ae-comfort-seal-denture-and-partials-adhesive-strips-40ct", "https://shop.sonapharmacy.com/products/super-poligrip%c2%ae-comfort-seal-denture-and-partials-adhesive-strips-40ct")</f>
        <v>https://shop.sonapharmacy.com/products/super-poligrip%c2%ae-comfort-seal-denture-and-partials-adhesive-strips-40ct</v>
      </c>
      <c r="C3516" t="s">
        <v>8899</v>
      </c>
      <c r="D3516" t="s">
        <v>9420</v>
      </c>
      <c r="E3516" s="3" t="str">
        <f>HYPERLINK("https://www.amazon.com/Super-Poligrip-Comfort-Denture-Adhesive/dp/B001G7QF5A/ref=sr_1_3?keywords=Super+Poligrip%C2%AE+Comfort+Seal+Denture+and+Partials+Adhesive+Strips+40ct.&amp;qid=1695260775&amp;sr=8-3", "https://www.amazon.com/Super-Poligrip-Comfort-Denture-Adhesive/dp/B001G7QF5A/ref=sr_1_3?keywords=Super+Poligrip%C2%AE+Comfort+Seal+Denture+and+Partials+Adhesive+Strips+40ct.&amp;qid=1695260775&amp;sr=8-3")</f>
        <v>https://www.amazon.com/Super-Poligrip-Comfort-Denture-Adhesive/dp/B001G7QF5A/ref=sr_1_3?keywords=Super+Poligrip%C2%AE+Comfort+Seal+Denture+and+Partials+Adhesive+Strips+40ct.&amp;qid=1695260775&amp;sr=8-3</v>
      </c>
      <c r="F3516" t="s">
        <v>9421</v>
      </c>
      <c r="G3516" t="e">
        <f ca="1">IMAGE("https://shop.sonapharmacy.com/cdn/shop/products/438deaa7-396a-40d2-94ca-164cde549b81.7cee2b848e3eabec95a7853e4439258d.jpg?v=1608647717")</f>
        <v>#NAME?</v>
      </c>
      <c r="H3516" t="e">
        <f ca="1">IMAGE("https://m.media-amazon.com/images/I/717ko5XsLCL._AC_UL320_.jpg")</f>
        <v>#NAME?</v>
      </c>
      <c r="I3516" t="s">
        <v>8902</v>
      </c>
      <c r="J3516">
        <v>25.32</v>
      </c>
      <c r="K3516" s="2" t="s">
        <v>9422</v>
      </c>
      <c r="L3516">
        <v>4.2</v>
      </c>
      <c r="M3516">
        <v>2280</v>
      </c>
      <c r="O3516" t="s">
        <v>136</v>
      </c>
      <c r="P3516" t="s">
        <v>39</v>
      </c>
      <c r="Q3516" t="s">
        <v>8904</v>
      </c>
    </row>
    <row r="3517" spans="1:17" ht="15.75" x14ac:dyDescent="0.25">
      <c r="A3517" s="3" t="str">
        <f>HYPERLINK("https://shop.sonapharmacy.com/products/goodsense%C2%AE-slant-ez-grip-tweezers", "https://shop.sonapharmacy.com/products/goodsense%C2%AE-slant-ez-grip-tweezers")</f>
        <v>https://shop.sonapharmacy.com/products/goodsense%C2%AE-slant-ez-grip-tweezers</v>
      </c>
      <c r="B3517" s="3" t="str">
        <f>HYPERLINK("https://shop.sonapharmacy.com/products/goodsense%c2%ae-slant-ez-grip-tweezers", "https://shop.sonapharmacy.com/products/goodsense%c2%ae-slant-ez-grip-tweezers")</f>
        <v>https://shop.sonapharmacy.com/products/goodsense%c2%ae-slant-ez-grip-tweezers</v>
      </c>
      <c r="C3517" t="s">
        <v>8943</v>
      </c>
      <c r="D3517" t="s">
        <v>9423</v>
      </c>
      <c r="E3517" s="3" t="str">
        <f>HYPERLINK("https://www.amazon.com/Denco-Sow-Good-Tweezers-Assorted/dp/B00CXO7SQ0/ref=sr_1_4?keywords=GoodSense%C2%AE+Slant+EZ+Grip+Tweezers&amp;qid=1695260372&amp;sr=8-4", "https://www.amazon.com/Denco-Sow-Good-Tweezers-Assorted/dp/B00CXO7SQ0/ref=sr_1_4?keywords=GoodSense%C2%AE+Slant+EZ+Grip+Tweezers&amp;qid=1695260372&amp;sr=8-4")</f>
        <v>https://www.amazon.com/Denco-Sow-Good-Tweezers-Assorted/dp/B00CXO7SQ0/ref=sr_1_4?keywords=GoodSense%C2%AE+Slant+EZ+Grip+Tweezers&amp;qid=1695260372&amp;sr=8-4</v>
      </c>
      <c r="F3517" t="s">
        <v>9424</v>
      </c>
      <c r="G3517" t="e">
        <f ca="1">IMAGE("https://shop.sonapharmacy.com/cdn/shop/products/BL00373.jpg?v=1629229077")</f>
        <v>#NAME?</v>
      </c>
      <c r="H3517" t="e">
        <f ca="1">IMAGE("https://m.media-amazon.com/images/I/71qYH-caK3L._AC_UL320_.jpg")</f>
        <v>#NAME?</v>
      </c>
      <c r="I3517" t="s">
        <v>8946</v>
      </c>
      <c r="J3517">
        <v>10.119999999999999</v>
      </c>
      <c r="K3517" s="2" t="s">
        <v>9425</v>
      </c>
      <c r="L3517">
        <v>4.0999999999999996</v>
      </c>
      <c r="M3517">
        <v>197</v>
      </c>
      <c r="O3517" t="s">
        <v>136</v>
      </c>
      <c r="P3517" t="s">
        <v>39</v>
      </c>
      <c r="Q3517" t="s">
        <v>8948</v>
      </c>
    </row>
    <row r="3518" spans="1:17" ht="15.75" x14ac:dyDescent="0.25">
      <c r="A3518" s="3" t="str">
        <f>HYPERLINK("https://shop.sonapharmacy.com/products/free-clear%E2%84%A2-shampoo-for-sensitive-skin-12fl-oz", "https://shop.sonapharmacy.com/products/free-clear%E2%84%A2-shampoo-for-sensitive-skin-12fl-oz")</f>
        <v>https://shop.sonapharmacy.com/products/free-clear%E2%84%A2-shampoo-for-sensitive-skin-12fl-oz</v>
      </c>
      <c r="B3518" s="3" t="str">
        <f>HYPERLINK("https://shop.sonapharmacy.com/products/free-clear%e2%84%a2-shampoo-for-sensitive-skin-12fl-oz", "https://shop.sonapharmacy.com/products/free-clear%e2%84%a2-shampoo-for-sensitive-skin-12fl-oz")</f>
        <v>https://shop.sonapharmacy.com/products/free-clear%e2%84%a2-shampoo-for-sensitive-skin-12fl-oz</v>
      </c>
      <c r="C3518" t="s">
        <v>8819</v>
      </c>
      <c r="D3518" t="s">
        <v>9426</v>
      </c>
      <c r="E3518" s="3" t="str">
        <f>HYPERLINK("https://www.amazon.com/Cleure-Shampoo-Sensitive-Fragrance-Paraben/dp/B09LZXHT6J/ref=sr_1_7?keywords=Free+%26+Clear%E2%84%A2+Shampoo+for+Sensitive+Skin+12fl.+oz.&amp;qid=1695260267&amp;sr=8-7", "https://www.amazon.com/Cleure-Shampoo-Sensitive-Fragrance-Paraben/dp/B09LZXHT6J/ref=sr_1_7?keywords=Free+%26+Clear%E2%84%A2+Shampoo+for+Sensitive+Skin+12fl.+oz.&amp;qid=1695260267&amp;sr=8-7")</f>
        <v>https://www.amazon.com/Cleure-Shampoo-Sensitive-Fragrance-Paraben/dp/B09LZXHT6J/ref=sr_1_7?keywords=Free+%26+Clear%E2%84%A2+Shampoo+for+Sensitive+Skin+12fl.+oz.&amp;qid=1695260267&amp;sr=8-7</v>
      </c>
      <c r="F3518" t="s">
        <v>9427</v>
      </c>
      <c r="G3518" t="e">
        <f ca="1">IMAGE("https://shop.sonapharmacy.com/cdn/shop/products/885b563d-ce23-4710-bda3-ed1d2b177315_1.978f5c1c1b9147f41730dca3766bcf03.jpg?v=1609351681")</f>
        <v>#NAME?</v>
      </c>
      <c r="H3518" t="e">
        <f ca="1">IMAGE("https://m.media-amazon.com/images/I/61WBHwHsFmL._AC_UL320_.jpg")</f>
        <v>#NAME?</v>
      </c>
      <c r="I3518" t="s">
        <v>8822</v>
      </c>
      <c r="J3518">
        <v>20</v>
      </c>
      <c r="K3518" s="2" t="s">
        <v>9428</v>
      </c>
      <c r="L3518">
        <v>4.4000000000000004</v>
      </c>
      <c r="M3518">
        <v>164</v>
      </c>
      <c r="O3518" t="s">
        <v>136</v>
      </c>
      <c r="P3518" t="s">
        <v>39</v>
      </c>
      <c r="Q3518" t="s">
        <v>8824</v>
      </c>
    </row>
    <row r="3519" spans="1:17" ht="15.75" x14ac:dyDescent="0.25">
      <c r="A3519" s="3" t="str">
        <f>HYPERLINK("https://shop.sonapharmacy.com/products/old-spice-high-endurance-pure-sport-body-wash-18fl-oz", "https://shop.sonapharmacy.com/products/old-spice-high-endurance-pure-sport-body-wash-18fl-oz")</f>
        <v>https://shop.sonapharmacy.com/products/old-spice-high-endurance-pure-sport-body-wash-18fl-oz</v>
      </c>
      <c r="B3519" s="3" t="str">
        <f>HYPERLINK("https://shop.sonapharmacy.com/products/old-spice-high-endurance-pure-sport-body-wash-18fl-oz", "https://shop.sonapharmacy.com/products/old-spice-high-endurance-pure-sport-body-wash-18fl-oz")</f>
        <v>https://shop.sonapharmacy.com/products/old-spice-high-endurance-pure-sport-body-wash-18fl-oz</v>
      </c>
      <c r="C3519" t="s">
        <v>8916</v>
      </c>
      <c r="D3519" t="s">
        <v>9429</v>
      </c>
      <c r="E3519" s="3" t="str">
        <f>HYPERLINK("https://www.amazon.com/Old-Spice-Endurance-Sport-Scent/dp/B07D3NR3GQ/ref=sr_1_6?keywords=Old+Spice+High+Endurance+Pure+Sport+Body+Wash+18fl.+oz.&amp;qid=1695260603&amp;sr=8-6", "https://www.amazon.com/Old-Spice-Endurance-Sport-Scent/dp/B07D3NR3GQ/ref=sr_1_6?keywords=Old+Spice+High+Endurance+Pure+Sport+Body+Wash+18fl.+oz.&amp;qid=1695260603&amp;sr=8-6")</f>
        <v>https://www.amazon.com/Old-Spice-Endurance-Sport-Scent/dp/B07D3NR3GQ/ref=sr_1_6?keywords=Old+Spice+High+Endurance+Pure+Sport+Body+Wash+18fl.+oz.&amp;qid=1695260603&amp;sr=8-6</v>
      </c>
      <c r="F3519" t="s">
        <v>9430</v>
      </c>
      <c r="G3519" t="e">
        <f ca="1">IMAGE("https://shop.sonapharmacy.com/cdn/shop/products/13f57484-3da0-417b-9e06-c938236c196e_1.b91e30808ac13bebc5df666aaa4bd21e.jpg?v=1608490257")</f>
        <v>#NAME?</v>
      </c>
      <c r="H3519" t="e">
        <f ca="1">IMAGE("https://m.media-amazon.com/images/I/71kCxm62o6L._AC_UL320_.jpg")</f>
        <v>#NAME?</v>
      </c>
      <c r="I3519" t="s">
        <v>5109</v>
      </c>
      <c r="J3519">
        <v>25.99</v>
      </c>
      <c r="K3519" s="2" t="s">
        <v>9431</v>
      </c>
      <c r="L3519">
        <v>4.7</v>
      </c>
      <c r="M3519">
        <v>18</v>
      </c>
      <c r="O3519" t="s">
        <v>26</v>
      </c>
      <c r="P3519" t="s">
        <v>39</v>
      </c>
      <c r="Q3519" t="s">
        <v>8920</v>
      </c>
    </row>
    <row r="3520" spans="1:17" ht="15.75" x14ac:dyDescent="0.25">
      <c r="A3520" s="3" t="str">
        <f>HYPERLINK("https://shop.sonapharmacy.com/products/boudreauxs-butt-paste%C2%AE-maximum-strength-2oz", "https://shop.sonapharmacy.com/products/boudreauxs-butt-paste%C2%AE-maximum-strength-2oz")</f>
        <v>https://shop.sonapharmacy.com/products/boudreauxs-butt-paste%C2%AE-maximum-strength-2oz</v>
      </c>
      <c r="B3520" s="3" t="str">
        <f>HYPERLINK("https://shop.sonapharmacy.com/products/boudreauxs-butt-paste%c2%ae-maximum-strength-2oz", "https://shop.sonapharmacy.com/products/boudreauxs-butt-paste%c2%ae-maximum-strength-2oz")</f>
        <v>https://shop.sonapharmacy.com/products/boudreauxs-butt-paste%c2%ae-maximum-strength-2oz</v>
      </c>
      <c r="C3520" t="s">
        <v>9432</v>
      </c>
      <c r="D3520" t="s">
        <v>9282</v>
      </c>
      <c r="E3520" s="3" t="str">
        <f>HYPERLINK("https://www.amazon.com/Boudreauxs-Butt-Paste-Ointment-Original/dp/B0CC6D78WK/ref=sr_1_6?keywords=Boudreaux%27s+Butt+Paste%C2%AE+Maximum+Strength+2oz.&amp;qid=1695260100&amp;sr=8-6", "https://www.amazon.com/Boudreauxs-Butt-Paste-Ointment-Original/dp/B0CC6D78WK/ref=sr_1_6?keywords=Boudreaux%27s+Butt+Paste%C2%AE+Maximum+Strength+2oz.&amp;qid=1695260100&amp;sr=8-6")</f>
        <v>https://www.amazon.com/Boudreauxs-Butt-Paste-Ointment-Original/dp/B0CC6D78WK/ref=sr_1_6?keywords=Boudreaux%27s+Butt+Paste%C2%AE+Maximum+Strength+2oz.&amp;qid=1695260100&amp;sr=8-6</v>
      </c>
      <c r="F3520" t="s">
        <v>9283</v>
      </c>
      <c r="G3520" t="e">
        <f ca="1">IMAGE("https://shop.sonapharmacy.com/cdn/shop/products/large_e2a4c4cc-ed74-40df-ac1b-b3ace50f3c5c.jpg?v=1609272228")</f>
        <v>#NAME?</v>
      </c>
      <c r="H3520" t="e">
        <f ca="1">IMAGE("https://m.media-amazon.com/images/I/61QyO3Scv1L._AC_UL320_.jpg")</f>
        <v>#NAME?</v>
      </c>
      <c r="I3520" t="s">
        <v>8498</v>
      </c>
      <c r="J3520">
        <v>28.41</v>
      </c>
      <c r="K3520" s="2" t="s">
        <v>9433</v>
      </c>
      <c r="L3520">
        <v>4.7</v>
      </c>
      <c r="M3520">
        <v>24</v>
      </c>
      <c r="O3520" t="s">
        <v>26</v>
      </c>
      <c r="P3520" t="s">
        <v>39</v>
      </c>
      <c r="Q3520" t="s">
        <v>9434</v>
      </c>
    </row>
    <row r="3521" spans="1:17" ht="15.75" x14ac:dyDescent="0.25">
      <c r="A3521" s="3" t="str">
        <f>HYPERLINK("https://shop.sonapharmacy.com/products/noxzema-ultimate-clear-anti-blemish-pads-90ct", "https://shop.sonapharmacy.com/products/noxzema-ultimate-clear-anti-blemish-pads-90ct")</f>
        <v>https://shop.sonapharmacy.com/products/noxzema-ultimate-clear-anti-blemish-pads-90ct</v>
      </c>
      <c r="B3521" s="3" t="str">
        <f>HYPERLINK("https://shop.sonapharmacy.com/products/noxzema-ultimate-clear-anti-blemish-pads-90ct", "https://shop.sonapharmacy.com/products/noxzema-ultimate-clear-anti-blemish-pads-90ct")</f>
        <v>https://shop.sonapharmacy.com/products/noxzema-ultimate-clear-anti-blemish-pads-90ct</v>
      </c>
      <c r="C3521" t="s">
        <v>9435</v>
      </c>
      <c r="D3521" t="s">
        <v>9436</v>
      </c>
      <c r="E3521" s="3" t="str">
        <f>HYPERLINK("https://www.amazon.com/Noxzema-Ultimate-Clear-Anti-Blemish-90-count/dp/B00347A8FI/ref=sr_1_1?keywords=Noxzema%C2%AE+Ultimate+Clear+Anti-Blemish+Pads+90ct&amp;qid=1695260612&amp;sr=8-1", "https://www.amazon.com/Noxzema-Ultimate-Clear-Anti-Blemish-90-count/dp/B00347A8FI/ref=sr_1_1?keywords=Noxzema%C2%AE+Ultimate+Clear+Anti-Blemish+Pads+90ct&amp;qid=1695260612&amp;sr=8-1")</f>
        <v>https://www.amazon.com/Noxzema-Ultimate-Clear-Anti-Blemish-90-count/dp/B00347A8FI/ref=sr_1_1?keywords=Noxzema%C2%AE+Ultimate+Clear+Anti-Blemish+Pads+90ct&amp;qid=1695260612&amp;sr=8-1</v>
      </c>
      <c r="F3521" t="s">
        <v>9437</v>
      </c>
      <c r="G3521" t="e">
        <f ca="1">IMAGE("https://shop.sonapharmacy.com/cdn/shop/products/GUEST_99243134-9511-43eb-9195-12a6e0acab90.jpg?v=1608240402")</f>
        <v>#NAME?</v>
      </c>
      <c r="H3521" t="e">
        <f ca="1">IMAGE("https://m.media-amazon.com/images/I/61Z62AgNlYL._AC_UL320_.jpg")</f>
        <v>#NAME?</v>
      </c>
      <c r="I3521" t="s">
        <v>9438</v>
      </c>
      <c r="J3521">
        <v>28.14</v>
      </c>
      <c r="K3521" s="2" t="s">
        <v>9439</v>
      </c>
      <c r="L3521">
        <v>4.8</v>
      </c>
      <c r="M3521">
        <v>2863</v>
      </c>
      <c r="O3521" t="s">
        <v>26</v>
      </c>
      <c r="P3521" t="s">
        <v>39</v>
      </c>
      <c r="Q3521" t="s">
        <v>9440</v>
      </c>
    </row>
    <row r="3522" spans="1:17" ht="15.75" x14ac:dyDescent="0.25">
      <c r="A3522" s="3" t="str">
        <f>HYPERLINK("https://shop.sonapharmacy.com/products/fleet%C2%AE-bisacodyl-enema", "https://shop.sonapharmacy.com/products/fleet%C2%AE-bisacodyl-enema")</f>
        <v>https://shop.sonapharmacy.com/products/fleet%C2%AE-bisacodyl-enema</v>
      </c>
      <c r="B3522" s="3" t="str">
        <f>HYPERLINK("https://shop.sonapharmacy.com/products/fleet%c2%ae-bisacodyl-enema", "https://shop.sonapharmacy.com/products/fleet%c2%ae-bisacodyl-enema")</f>
        <v>https://shop.sonapharmacy.com/products/fleet%c2%ae-bisacodyl-enema</v>
      </c>
      <c r="C3522" t="s">
        <v>9441</v>
      </c>
      <c r="D3522" t="s">
        <v>9442</v>
      </c>
      <c r="E3522" s="3" t="str">
        <f>HYPERLINK("https://www.amazon.com/Fleet-Bisacodyl-Enema-1-25-Pack/dp/B0B8GQNJ3G/ref=sr_1_2?keywords=FLEET%C2%AE+Bisacodyl+Enema+%281%29+1.25+fl+oz+Bottle&amp;qid=1695260246&amp;sr=8-2", "https://www.amazon.com/Fleet-Bisacodyl-Enema-1-25-Pack/dp/B0B8GQNJ3G/ref=sr_1_2?keywords=FLEET%C2%AE+Bisacodyl+Enema+%281%29+1.25+fl+oz+Bottle&amp;qid=1695260246&amp;sr=8-2")</f>
        <v>https://www.amazon.com/Fleet-Bisacodyl-Enema-1-25-Pack/dp/B0B8GQNJ3G/ref=sr_1_2?keywords=FLEET%C2%AE+Bisacodyl+Enema+%281%29+1.25+fl+oz+Bottle&amp;qid=1695260246&amp;sr=8-2</v>
      </c>
      <c r="F3522" t="s">
        <v>9443</v>
      </c>
      <c r="G3522" t="e">
        <f ca="1">IMAGE("https://shop.sonapharmacy.com/cdn/shop/products/0e0c0dc0-844a-469b-8d4d-f565b8ff91ac_1.f093073c3cf2fcc154e2ab7fed8c0320.jpg?v=1609350899")</f>
        <v>#NAME?</v>
      </c>
      <c r="H3522" t="e">
        <f ca="1">IMAGE("https://m.media-amazon.com/images/I/41GDTbe0rTL._AC_UL320_.jpg")</f>
        <v>#NAME?</v>
      </c>
      <c r="I3522" t="s">
        <v>9444</v>
      </c>
      <c r="J3522">
        <v>21.38</v>
      </c>
      <c r="K3522" s="2" t="s">
        <v>9445</v>
      </c>
      <c r="L3522">
        <v>4.4000000000000004</v>
      </c>
      <c r="M3522">
        <v>95</v>
      </c>
      <c r="O3522" t="s">
        <v>136</v>
      </c>
      <c r="P3522" t="s">
        <v>39</v>
      </c>
      <c r="Q3522" t="s">
        <v>9446</v>
      </c>
    </row>
    <row r="3523" spans="1:17" ht="15.75" x14ac:dyDescent="0.25">
      <c r="A3523" s="3" t="str">
        <f>HYPERLINK("https://shop.sonapharmacy.com/products/aspercreme-pain-relieving-creme", "https://shop.sonapharmacy.com/products/aspercreme-pain-relieving-creme")</f>
        <v>https://shop.sonapharmacy.com/products/aspercreme-pain-relieving-creme</v>
      </c>
      <c r="B3523" s="3" t="str">
        <f>HYPERLINK("https://shop.sonapharmacy.com/products/aspercreme-pain-relieving-creme", "https://shop.sonapharmacy.com/products/aspercreme-pain-relieving-creme")</f>
        <v>https://shop.sonapharmacy.com/products/aspercreme-pain-relieving-creme</v>
      </c>
      <c r="C3523" t="s">
        <v>8372</v>
      </c>
      <c r="D3523" t="s">
        <v>9447</v>
      </c>
      <c r="E3523" s="3" t="str">
        <f>HYPERLINK("https://www.amazon.com/ASPERCREME-Pain-Relieving-Creme-Pack/dp/B00E4MOAJM/ref=sr_1_1?keywords=Aspercreme+Pain+Relieving+Creme&amp;qid=1695260061&amp;sr=8-1", "https://www.amazon.com/ASPERCREME-Pain-Relieving-Creme-Pack/dp/B00E4MOAJM/ref=sr_1_1?keywords=Aspercreme+Pain+Relieving+Creme&amp;qid=1695260061&amp;sr=8-1")</f>
        <v>https://www.amazon.com/ASPERCREME-Pain-Relieving-Creme-Pack/dp/B00E4MOAJM/ref=sr_1_1?keywords=Aspercreme+Pain+Relieving+Creme&amp;qid=1695260061&amp;sr=8-1</v>
      </c>
      <c r="F3523" t="s">
        <v>9448</v>
      </c>
      <c r="G3523" t="e">
        <f ca="1">IMAGE("https://shop.sonapharmacy.com/cdn/shop/products/71L3ZWcemAL._AC_SL1280.jpg?v=1611192722")</f>
        <v>#NAME?</v>
      </c>
      <c r="H3523" t="e">
        <f ca="1">IMAGE("https://m.media-amazon.com/images/I/61k3ZUPunuL._AC_UL320_.jpg")</f>
        <v>#NAME?</v>
      </c>
      <c r="I3523" t="s">
        <v>8341</v>
      </c>
      <c r="J3523">
        <v>34.950000000000003</v>
      </c>
      <c r="K3523" s="2" t="s">
        <v>9449</v>
      </c>
      <c r="L3523">
        <v>4.5999999999999996</v>
      </c>
      <c r="M3523">
        <v>547</v>
      </c>
      <c r="O3523" t="s">
        <v>26</v>
      </c>
      <c r="P3523" t="s">
        <v>39</v>
      </c>
      <c r="Q3523" t="s">
        <v>8376</v>
      </c>
    </row>
    <row r="3524" spans="1:17" ht="15.75" x14ac:dyDescent="0.25">
      <c r="A3524" s="3" t="str">
        <f>HYPERLINK("https://shop.sonapharmacy.com/products/ayr-saline-nasal-gel-no-drip-sinus-spray", "https://shop.sonapharmacy.com/products/ayr-saline-nasal-gel-no-drip-sinus-spray")</f>
        <v>https://shop.sonapharmacy.com/products/ayr-saline-nasal-gel-no-drip-sinus-spray</v>
      </c>
      <c r="B3524" s="3" t="str">
        <f>HYPERLINK("https://shop.sonapharmacy.com/products/ayr-saline-nasal-gel-no-drip-sinus-spray", "https://shop.sonapharmacy.com/products/ayr-saline-nasal-gel-no-drip-sinus-spray")</f>
        <v>https://shop.sonapharmacy.com/products/ayr-saline-nasal-gel-no-drip-sinus-spray</v>
      </c>
      <c r="C3524" t="s">
        <v>8709</v>
      </c>
      <c r="D3524" t="s">
        <v>9450</v>
      </c>
      <c r="E3524" s="3" t="str">
        <f>HYPERLINK("https://www.amazon.com/Ayr-Saline-Drip-Sinus-Nasal/dp/B01IAI5UAS/ref=sr_1_2?keywords=Ayr%C2%AE+Saline+Nasal+Gel+No-Drip+Sinus+Spray+0.75oz.&amp;qid=1695260047&amp;sr=8-2", "https://www.amazon.com/Ayr-Saline-Drip-Sinus-Nasal/dp/B01IAI5UAS/ref=sr_1_2?keywords=Ayr%C2%AE+Saline+Nasal+Gel+No-Drip+Sinus+Spray+0.75oz.&amp;qid=1695260047&amp;sr=8-2")</f>
        <v>https://www.amazon.com/Ayr-Saline-Drip-Sinus-Nasal/dp/B01IAI5UAS/ref=sr_1_2?keywords=Ayr%C2%AE+Saline+Nasal+Gel+No-Drip+Sinus+Spray+0.75oz.&amp;qid=1695260047&amp;sr=8-2</v>
      </c>
      <c r="F3524" t="s">
        <v>9451</v>
      </c>
      <c r="G3524" t="e">
        <f ca="1">IMAGE("https://shop.sonapharmacy.com/cdn/shop/products/s-l400_2.jpg?v=1610026827")</f>
        <v>#NAME?</v>
      </c>
      <c r="H3524" t="e">
        <f ca="1">IMAGE("https://m.media-amazon.com/images/I/71PRRwK4WdL._AC_UL320_.jpg")</f>
        <v>#NAME?</v>
      </c>
      <c r="I3524" t="s">
        <v>8712</v>
      </c>
      <c r="J3524">
        <v>54.42</v>
      </c>
      <c r="K3524" s="2" t="s">
        <v>9452</v>
      </c>
      <c r="L3524">
        <v>5</v>
      </c>
      <c r="M3524">
        <v>2</v>
      </c>
      <c r="O3524" t="s">
        <v>26</v>
      </c>
      <c r="P3524" t="s">
        <v>39</v>
      </c>
      <c r="Q3524" t="s">
        <v>8714</v>
      </c>
    </row>
    <row r="3525" spans="1:17" ht="15.75" x14ac:dyDescent="0.25">
      <c r="A3525"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B3525"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C3525" t="s">
        <v>9453</v>
      </c>
      <c r="D3525" t="s">
        <v>9454</v>
      </c>
      <c r="E3525" s="3" t="str">
        <f>HYPERLINK("https://www.amazon.com/Depend-Fit-Flex-Underwear-Maximum-Absorbency/dp/B07HJH39X1/ref=sr_1_4?keywords=Depend%C2%AE+For+Men+Fit-Flex+Underwear+Maximum+Absorbency+Large+17ct.&amp;qid=1695260190&amp;sr=8-4", "https://www.amazon.com/Depend-Fit-Flex-Underwear-Maximum-Absorbency/dp/B07HJH39X1/ref=sr_1_4?keywords=Depend%C2%AE+For+Men+Fit-Flex+Underwear+Maximum+Absorbency+Large+17ct.&amp;qid=1695260190&amp;sr=8-4")</f>
        <v>https://www.amazon.com/Depend-Fit-Flex-Underwear-Maximum-Absorbency/dp/B07HJH39X1/ref=sr_1_4?keywords=Depend%C2%AE+For+Men+Fit-Flex+Underwear+Maximum+Absorbency+Large+17ct.&amp;qid=1695260190&amp;sr=8-4</v>
      </c>
      <c r="F3525" t="s">
        <v>9455</v>
      </c>
      <c r="G3525" t="e">
        <f ca="1">IMAGE("https://shop.sonapharmacy.com/cdn/shop/products/8193lwhuLwL._AC_SL1500.jpg?v=1611075729")</f>
        <v>#NAME?</v>
      </c>
      <c r="H3525" t="e">
        <f ca="1">IMAGE("https://m.media-amazon.com/images/I/61UGxaT-ulL._AC_UL320_.jpg")</f>
        <v>#NAME?</v>
      </c>
      <c r="I3525" t="s">
        <v>9290</v>
      </c>
      <c r="J3525">
        <v>69.819999999999993</v>
      </c>
      <c r="K3525" s="2" t="s">
        <v>9456</v>
      </c>
      <c r="L3525">
        <v>5</v>
      </c>
      <c r="M3525">
        <v>1</v>
      </c>
      <c r="O3525" t="s">
        <v>26</v>
      </c>
      <c r="P3525" t="s">
        <v>39</v>
      </c>
      <c r="Q3525" t="s">
        <v>9457</v>
      </c>
    </row>
    <row r="3526" spans="1:17" ht="15.75" x14ac:dyDescent="0.25">
      <c r="A3526" s="3" t="str">
        <f>HYPERLINK("https://shop.sonapharmacy.com/products/pantene%C2%AE-classic-clean-shampoo-12-6fl-oz", "https://shop.sonapharmacy.com/products/pantene%C2%AE-classic-clean-shampoo-12-6fl-oz")</f>
        <v>https://shop.sonapharmacy.com/products/pantene%C2%AE-classic-clean-shampoo-12-6fl-oz</v>
      </c>
      <c r="B3526" s="3" t="str">
        <f>HYPERLINK("https://shop.sonapharmacy.com/products/pantene%c2%ae-classic-clean-shampoo-12-6fl-oz", "https://shop.sonapharmacy.com/products/pantene%c2%ae-classic-clean-shampoo-12-6fl-oz")</f>
        <v>https://shop.sonapharmacy.com/products/pantene%c2%ae-classic-clean-shampoo-12-6fl-oz</v>
      </c>
      <c r="C3526" t="s">
        <v>8725</v>
      </c>
      <c r="D3526" t="s">
        <v>9458</v>
      </c>
      <c r="E3526" s="3" t="str">
        <f>HYPERLINK("https://www.amazon.com/Pantene-Pro-V-Classic-Clean-Shampoo/dp/B00JGQ7ZW0/ref=sr_1_6?keywords=Pantene%C2%AE+Pro-V+Classic+Clean+Shampoo+12fl.+oz.&amp;qid=1695260626&amp;sr=8-6", "https://www.amazon.com/Pantene-Pro-V-Classic-Clean-Shampoo/dp/B00JGQ7ZW0/ref=sr_1_6?keywords=Pantene%C2%AE+Pro-V+Classic+Clean+Shampoo+12fl.+oz.&amp;qid=1695260626&amp;sr=8-6")</f>
        <v>https://www.amazon.com/Pantene-Pro-V-Classic-Clean-Shampoo/dp/B00JGQ7ZW0/ref=sr_1_6?keywords=Pantene%C2%AE+Pro-V+Classic+Clean+Shampoo+12fl.+oz.&amp;qid=1695260626&amp;sr=8-6</v>
      </c>
      <c r="F3526" t="s">
        <v>9459</v>
      </c>
      <c r="G3526" t="e">
        <f ca="1">IMAGE("https://shop.sonapharmacy.com/cdn/shop/products/15cd010f-3357-47fe-af4e-ec5db33dd69f_1.e7f21d7c02f220665cdc99a4a17eaf1f.jpg?v=1609165266")</f>
        <v>#NAME?</v>
      </c>
      <c r="H3526" t="e">
        <f ca="1">IMAGE("https://m.media-amazon.com/images/I/517y+wDUWuL._AC_UL320_.jpg")</f>
        <v>#NAME?</v>
      </c>
      <c r="I3526" t="s">
        <v>8728</v>
      </c>
      <c r="J3526">
        <v>20.91</v>
      </c>
      <c r="K3526" s="2" t="s">
        <v>9460</v>
      </c>
      <c r="L3526">
        <v>4.5999999999999996</v>
      </c>
      <c r="M3526">
        <v>187</v>
      </c>
      <c r="O3526" t="s">
        <v>26</v>
      </c>
      <c r="P3526" t="s">
        <v>39</v>
      </c>
      <c r="Q3526" t="s">
        <v>8730</v>
      </c>
    </row>
    <row r="3527" spans="1:17" ht="15.75" x14ac:dyDescent="0.25">
      <c r="A3527" s="3" t="str">
        <f>HYPERLINK("https://shop.sonapharmacy.com/products/aquaphor%C2%AE-healing-ointment", "https://shop.sonapharmacy.com/products/aquaphor%C2%AE-healing-ointment")</f>
        <v>https://shop.sonapharmacy.com/products/aquaphor%C2%AE-healing-ointment</v>
      </c>
      <c r="B3527" s="3" t="str">
        <f>HYPERLINK("https://shop.sonapharmacy.com/products/aquaphor%c2%ae-healing-ointment", "https://shop.sonapharmacy.com/products/aquaphor%c2%ae-healing-ointment")</f>
        <v>https://shop.sonapharmacy.com/products/aquaphor%c2%ae-healing-ointment</v>
      </c>
      <c r="C3527" t="s">
        <v>9238</v>
      </c>
      <c r="D3527" t="s">
        <v>9461</v>
      </c>
      <c r="E3527" s="3" t="str">
        <f>HYPERLINK("https://www.amazon.com/Aquaphor-Baby-Healing-Ointment-Advanced/dp/B001F0RAVQ/ref=sr_1_10?keywords=Aquaphor+Healing+Ointment&amp;qid=1695260029&amp;sr=8-10", "https://www.amazon.com/Aquaphor-Baby-Healing-Ointment-Advanced/dp/B001F0RAVQ/ref=sr_1_10?keywords=Aquaphor+Healing+Ointment&amp;qid=1695260029&amp;sr=8-10")</f>
        <v>https://www.amazon.com/Aquaphor-Baby-Healing-Ointment-Advanced/dp/B001F0RAVQ/ref=sr_1_10?keywords=Aquaphor+Healing+Ointment&amp;qid=1695260029&amp;sr=8-10</v>
      </c>
      <c r="F3527" t="s">
        <v>9462</v>
      </c>
      <c r="G3527" t="e">
        <f ca="1">IMAGE("https://shop.sonapharmacy.com/cdn/shop/products/83663518614618p.jpg?v=1609722179")</f>
        <v>#NAME?</v>
      </c>
      <c r="H3527" t="e">
        <f ca="1">IMAGE("https://m.media-amazon.com/images/I/51vaPvnbOwL._AC_UL320_.jpg")</f>
        <v>#NAME?</v>
      </c>
      <c r="I3527" t="s">
        <v>9241</v>
      </c>
      <c r="J3527">
        <v>24.34</v>
      </c>
      <c r="K3527" s="2" t="s">
        <v>9463</v>
      </c>
      <c r="L3527">
        <v>4.8</v>
      </c>
      <c r="M3527">
        <v>6607</v>
      </c>
      <c r="O3527" t="s">
        <v>26</v>
      </c>
      <c r="P3527" t="s">
        <v>39</v>
      </c>
      <c r="Q3527" t="s">
        <v>9243</v>
      </c>
    </row>
    <row r="3528" spans="1:17" ht="15.75" x14ac:dyDescent="0.25">
      <c r="A3528" s="3" t="str">
        <f>HYPERLINK("https://shop.sonapharmacy.com/products/align-probiotic-24-7-digestive-support", "https://shop.sonapharmacy.com/products/align-probiotic-24-7-digestive-support")</f>
        <v>https://shop.sonapharmacy.com/products/align-probiotic-24-7-digestive-support</v>
      </c>
      <c r="B3528" s="3" t="str">
        <f>HYPERLINK("https://shop.sonapharmacy.com/products/align-probiotic-24-7-digestive-support", "https://shop.sonapharmacy.com/products/align-probiotic-24-7-digestive-support")</f>
        <v>https://shop.sonapharmacy.com/products/align-probiotic-24-7-digestive-support</v>
      </c>
      <c r="C3528" t="s">
        <v>9464</v>
      </c>
      <c r="D3528" t="s">
        <v>9465</v>
      </c>
      <c r="E3528" s="3" t="str">
        <f>HYPERLINK("https://www.amazon.com/Align-Probiotic-Supplement-Digestive-Capsules/dp/B01IAI1IE0/ref=sr_1_4?keywords=Align+Probiotic+24%2F7+Digestive+Support+Capsules&amp;qid=1695260004&amp;sr=8-4", "https://www.amazon.com/Align-Probiotic-Supplement-Digestive-Capsules/dp/B01IAI1IE0/ref=sr_1_4?keywords=Align+Probiotic+24%2F7+Digestive+Support+Capsules&amp;qid=1695260004&amp;sr=8-4")</f>
        <v>https://www.amazon.com/Align-Probiotic-Supplement-Digestive-Capsules/dp/B01IAI1IE0/ref=sr_1_4?keywords=Align+Probiotic+24%2F7+Digestive+Support+Capsules&amp;qid=1695260004&amp;sr=8-4</v>
      </c>
      <c r="F3528" t="s">
        <v>9466</v>
      </c>
      <c r="G3528" t="e">
        <f ca="1">IMAGE("https://shop.sonapharmacy.com/cdn/shop/products/a1ba3294-73b6-45cf-906d-9cbc4c9cb26f_1.8812d9b99c0fb270ad843db24db916b4.jpg?v=1611188868")</f>
        <v>#NAME?</v>
      </c>
      <c r="H3528" t="e">
        <f ca="1">IMAGE("https://m.media-amazon.com/images/I/81jtrE2vuTL._AC_UL320_.jpg")</f>
        <v>#NAME?</v>
      </c>
      <c r="I3528" t="s">
        <v>9467</v>
      </c>
      <c r="J3528">
        <v>124.95</v>
      </c>
      <c r="K3528" s="2" t="s">
        <v>9468</v>
      </c>
      <c r="L3528">
        <v>5</v>
      </c>
      <c r="M3528">
        <v>2</v>
      </c>
      <c r="O3528" t="s">
        <v>26</v>
      </c>
      <c r="P3528" t="s">
        <v>39</v>
      </c>
      <c r="Q3528" t="s">
        <v>9469</v>
      </c>
    </row>
    <row r="3529" spans="1:17" ht="15.75" x14ac:dyDescent="0.25">
      <c r="A3529" s="3" t="str">
        <f>HYPERLINK("https://shop.sonapharmacy.com/products/goodsense%C2%AE-flexible-fabric-bandages", "https://shop.sonapharmacy.com/products/goodsense%C2%AE-flexible-fabric-bandages")</f>
        <v>https://shop.sonapharmacy.com/products/goodsense%C2%AE-flexible-fabric-bandages</v>
      </c>
      <c r="B3529" s="3" t="str">
        <f>HYPERLINK("https://shop.sonapharmacy.com/products/goodsense%c2%ae-flexible-fabric-bandages", "https://shop.sonapharmacy.com/products/goodsense%c2%ae-flexible-fabric-bandages")</f>
        <v>https://shop.sonapharmacy.com/products/goodsense%c2%ae-flexible-fabric-bandages</v>
      </c>
      <c r="C3529" t="s">
        <v>9244</v>
      </c>
      <c r="D3529" t="s">
        <v>9470</v>
      </c>
      <c r="E3529" s="3" t="str">
        <f>HYPERLINK("https://www.amazon.com/Dealmed-Adhesive-Bandages-Sterile-Breathable/dp/B09K4JY44L/ref=sr_1_10?keywords=GoodSense%C2%AE+Flexible+Fabric+Bandages&amp;qid=1695260315&amp;sr=8-10", "https://www.amazon.com/Dealmed-Adhesive-Bandages-Sterile-Breathable/dp/B09K4JY44L/ref=sr_1_10?keywords=GoodSense%C2%AE+Flexible+Fabric+Bandages&amp;qid=1695260315&amp;sr=8-10")</f>
        <v>https://www.amazon.com/Dealmed-Adhesive-Bandages-Sterile-Breathable/dp/B09K4JY44L/ref=sr_1_10?keywords=GoodSense%C2%AE+Flexible+Fabric+Bandages&amp;qid=1695260315&amp;sr=8-10</v>
      </c>
      <c r="F3529" t="s">
        <v>9471</v>
      </c>
      <c r="G3529" t="e">
        <f ca="1">IMAGE("https://shop.sonapharmacy.com/cdn/shop/products/146894.jpg?v=1607809318")</f>
        <v>#NAME?</v>
      </c>
      <c r="H3529" t="e">
        <f ca="1">IMAGE("https://m.media-amazon.com/images/I/71x+YNShTlL._AC_UL320_.jpg")</f>
        <v>#NAME?</v>
      </c>
      <c r="I3529" t="s">
        <v>9247</v>
      </c>
      <c r="J3529">
        <v>17.989999999999998</v>
      </c>
      <c r="K3529" s="2" t="s">
        <v>9472</v>
      </c>
      <c r="L3529">
        <v>4.5</v>
      </c>
      <c r="M3529">
        <v>1063</v>
      </c>
      <c r="O3529" t="s">
        <v>26</v>
      </c>
      <c r="P3529" t="s">
        <v>39</v>
      </c>
      <c r="Q3529" t="s">
        <v>9249</v>
      </c>
    </row>
    <row r="3530" spans="1:17" ht="15.75" x14ac:dyDescent="0.25">
      <c r="A3530" s="3" t="str">
        <f>HYPERLINK("https://shop.sonapharmacy.com/products/integrative-therapeutics%C2%AE-probiotic-pearls-capsules-30ct", "https://shop.sonapharmacy.com/products/integrative-therapeutics%C2%AE-probiotic-pearls-capsules-30ct")</f>
        <v>https://shop.sonapharmacy.com/products/integrative-therapeutics%C2%AE-probiotic-pearls-capsules-30ct</v>
      </c>
      <c r="B3530" s="3" t="str">
        <f>HYPERLINK("https://shop.sonapharmacy.com/products/integrative-therapeutics%c2%ae-probiotic-pearls-capsules-30ct", "https://shop.sonapharmacy.com/products/integrative-therapeutics%c2%ae-probiotic-pearls-capsules-30ct")</f>
        <v>https://shop.sonapharmacy.com/products/integrative-therapeutics%c2%ae-probiotic-pearls-capsules-30ct</v>
      </c>
      <c r="C3530" t="s">
        <v>9473</v>
      </c>
      <c r="D3530" t="s">
        <v>9474</v>
      </c>
      <c r="E3530" s="3" t="str">
        <f>HYPERLINK("https://www.amazon.com/Integrative-Therapeutics-Lactobacillus-Bifidobacteria-Non-Refrigerated/dp/B003PWDPH0/ref=sr_1_6?keywords=Integrative+Therapeutics%C2%AE+Probiotic+Pearls+Capsules&amp;qid=1695260438&amp;sr=8-6", "https://www.amazon.com/Integrative-Therapeutics-Lactobacillus-Bifidobacteria-Non-Refrigerated/dp/B003PWDPH0/ref=sr_1_6?keywords=Integrative+Therapeutics%C2%AE+Probiotic+Pearls+Capsules&amp;qid=1695260438&amp;sr=8-6")</f>
        <v>https://www.amazon.com/Integrative-Therapeutics-Lactobacillus-Bifidobacteria-Non-Refrigerated/dp/B003PWDPH0/ref=sr_1_6?keywords=Integrative+Therapeutics%C2%AE+Probiotic+Pearls+Capsules&amp;qid=1695260438&amp;sr=8-6</v>
      </c>
      <c r="F3530" t="s">
        <v>9475</v>
      </c>
      <c r="G3530" t="e">
        <f ca="1">IMAGE("https://shop.sonapharmacy.com/cdn/shop/products/61L34pt0USL._AC_SL1387.jpg?v=1620665770")</f>
        <v>#NAME?</v>
      </c>
      <c r="H3530" t="e">
        <f ca="1">IMAGE("https://m.media-amazon.com/images/I/51gSXWByGGL._AC_UL320_.jpg")</f>
        <v>#NAME?</v>
      </c>
      <c r="I3530" t="s">
        <v>9476</v>
      </c>
      <c r="J3530">
        <v>64.5</v>
      </c>
      <c r="K3530" s="2" t="s">
        <v>9477</v>
      </c>
      <c r="L3530">
        <v>4.5</v>
      </c>
      <c r="M3530">
        <v>59</v>
      </c>
      <c r="O3530" t="s">
        <v>136</v>
      </c>
      <c r="P3530" t="s">
        <v>39</v>
      </c>
      <c r="Q3530" t="s">
        <v>9478</v>
      </c>
    </row>
    <row r="3531" spans="1:17" ht="15.75" x14ac:dyDescent="0.25">
      <c r="A3531" s="3" t="str">
        <f>HYPERLINK("https://shop.sonapharmacy.com/products/coricidin-hbp-cold-flu-relief-tablets", "https://shop.sonapharmacy.com/products/coricidin-hbp-cold-flu-relief-tablets")</f>
        <v>https://shop.sonapharmacy.com/products/coricidin-hbp-cold-flu-relief-tablets</v>
      </c>
      <c r="B3531" s="3" t="str">
        <f>HYPERLINK("https://shop.sonapharmacy.com/products/coricidin-hbp-cold-flu-relief-tablets", "https://shop.sonapharmacy.com/products/coricidin-hbp-cold-flu-relief-tablets")</f>
        <v>https://shop.sonapharmacy.com/products/coricidin-hbp-cold-flu-relief-tablets</v>
      </c>
      <c r="C3531" t="s">
        <v>8228</v>
      </c>
      <c r="D3531" t="s">
        <v>9479</v>
      </c>
      <c r="E3531" s="3" t="str">
        <f>HYPERLINK("https://www.amazon.com/Coricidin-Hbp-Cold-Size-20ct/dp/B00EZWTWAI/ref=sr_1_5?keywords=Coricidin%C2%AE+HBP+Cold+%26+Flu+Relief+Tablets&amp;qid=1695260159&amp;sr=8-5", "https://www.amazon.com/Coricidin-Hbp-Cold-Size-20ct/dp/B00EZWTWAI/ref=sr_1_5?keywords=Coricidin%C2%AE+HBP+Cold+%26+Flu+Relief+Tablets&amp;qid=1695260159&amp;sr=8-5")</f>
        <v>https://www.amazon.com/Coricidin-Hbp-Cold-Size-20ct/dp/B00EZWTWAI/ref=sr_1_5?keywords=Coricidin%C2%AE+HBP+Cold+%26+Flu+Relief+Tablets&amp;qid=1695260159&amp;sr=8-5</v>
      </c>
      <c r="F3531" t="s">
        <v>9480</v>
      </c>
      <c r="G3531" t="e">
        <f ca="1">IMAGE("https://shop.sonapharmacy.com/cdn/shop/products/CoricidinHBPCold_FluReliefTablets.png?v=1595528416")</f>
        <v>#NAME?</v>
      </c>
      <c r="H3531" t="e">
        <f ca="1">IMAGE("https://m.media-amazon.com/images/I/81qPZdMChIL._AC_UL320_.jpg")</f>
        <v>#NAME?</v>
      </c>
      <c r="I3531" t="s">
        <v>8231</v>
      </c>
      <c r="J3531">
        <v>45</v>
      </c>
      <c r="K3531" s="2" t="s">
        <v>9481</v>
      </c>
      <c r="L3531">
        <v>4.8</v>
      </c>
      <c r="M3531">
        <v>211</v>
      </c>
      <c r="O3531" t="s">
        <v>26</v>
      </c>
      <c r="P3531" t="s">
        <v>39</v>
      </c>
      <c r="Q3531" t="s">
        <v>8233</v>
      </c>
    </row>
    <row r="3532" spans="1:17" ht="15.75" x14ac:dyDescent="0.25">
      <c r="A3532" s="3" t="str">
        <f>HYPERLINK("https://shop.sonapharmacy.com/products/cara%C2%AE-king-size-deluxe-moist-dry-heating-pad", "https://shop.sonapharmacy.com/products/cara%C2%AE-king-size-deluxe-moist-dry-heating-pad")</f>
        <v>https://shop.sonapharmacy.com/products/cara%C2%AE-king-size-deluxe-moist-dry-heating-pad</v>
      </c>
      <c r="B3532" s="3" t="str">
        <f>HYPERLINK("https://shop.sonapharmacy.com/products/cara%c2%ae-king-size-deluxe-moist-dry-heating-pad", "https://shop.sonapharmacy.com/products/cara%c2%ae-king-size-deluxe-moist-dry-heating-pad")</f>
        <v>https://shop.sonapharmacy.com/products/cara%c2%ae-king-size-deluxe-moist-dry-heating-pad</v>
      </c>
      <c r="C3532" t="s">
        <v>9482</v>
      </c>
      <c r="D3532" t="s">
        <v>8752</v>
      </c>
      <c r="E3532" s="3" t="str">
        <f>HYPERLINK("https://www.amazon.com/Cara-Heating-Moist-King-Select/dp/B00I5N5248/ref=sr_1_2?keywords=Cara%C2%AE+King+Size+Deluxe+Moist%2FDry+Heating+Pad&amp;qid=1695260153&amp;sr=8-2", "https://www.amazon.com/Cara-Heating-Moist-King-Select/dp/B00I5N5248/ref=sr_1_2?keywords=Cara%C2%AE+King+Size+Deluxe+Moist%2FDry+Heating+Pad&amp;qid=1695260153&amp;sr=8-2")</f>
        <v>https://www.amazon.com/Cara-Heating-Moist-King-Select/dp/B00I5N5248/ref=sr_1_2?keywords=Cara%C2%AE+King+Size+Deluxe+Moist%2FDry+Heating+Pad&amp;qid=1695260153&amp;sr=8-2</v>
      </c>
      <c r="F3532" t="s">
        <v>8753</v>
      </c>
      <c r="G3532" t="e">
        <f ca="1">IMAGE("https://shop.sonapharmacy.com/cdn/shop/products/1ddc6c39-9558-443b-8666-5d044b86491e_1.2f7c00ca9379c03e7ab8a9340435a608.jpg?v=1611153613")</f>
        <v>#NAME?</v>
      </c>
      <c r="H3532" t="e">
        <f ca="1">IMAGE("https://m.media-amazon.com/images/I/81Q1XpqH55L._AC_UL320_.jpg")</f>
        <v>#NAME?</v>
      </c>
      <c r="I3532" t="s">
        <v>9483</v>
      </c>
      <c r="J3532">
        <v>134.62</v>
      </c>
      <c r="K3532" s="2" t="s">
        <v>9484</v>
      </c>
      <c r="L3532">
        <v>5</v>
      </c>
      <c r="M3532">
        <v>2</v>
      </c>
      <c r="O3532" t="s">
        <v>26</v>
      </c>
      <c r="P3532" t="s">
        <v>39</v>
      </c>
      <c r="Q3532" t="s">
        <v>9485</v>
      </c>
    </row>
    <row r="3533" spans="1:17" ht="15.75" x14ac:dyDescent="0.25">
      <c r="A3533" s="3" t="str">
        <f>HYPERLINK("https://shop.sonapharmacy.com/products/pedia-lax-liquid-glycerin-suppositories", "https://shop.sonapharmacy.com/products/pedia-lax-liquid-glycerin-suppositories")</f>
        <v>https://shop.sonapharmacy.com/products/pedia-lax-liquid-glycerin-suppositories</v>
      </c>
      <c r="B3533" s="3" t="str">
        <f>HYPERLINK("https://shop.sonapharmacy.com/products/pedia-lax-liquid-glycerin-suppositories", "https://shop.sonapharmacy.com/products/pedia-lax-liquid-glycerin-suppositories")</f>
        <v>https://shop.sonapharmacy.com/products/pedia-lax-liquid-glycerin-suppositories</v>
      </c>
      <c r="C3533" t="s">
        <v>8340</v>
      </c>
      <c r="D3533" t="s">
        <v>8111</v>
      </c>
      <c r="E3533" s="3" t="str">
        <f>HYPERLINK("https://www.amazon.com/Fleet-Pedia-Lax-Liquid-Glycerin-Suppositories/dp/B01IAI4AJU/ref=sr_1_10?keywords=Pedia-Lax%C2%AE+Liquid+Glycerin+Suppositories&amp;qid=1695260624&amp;sr=8-10", "https://www.amazon.com/Fleet-Pedia-Lax-Liquid-Glycerin-Suppositories/dp/B01IAI4AJU/ref=sr_1_10?keywords=Pedia-Lax%C2%AE+Liquid+Glycerin+Suppositories&amp;qid=1695260624&amp;sr=8-10")</f>
        <v>https://www.amazon.com/Fleet-Pedia-Lax-Liquid-Glycerin-Suppositories/dp/B01IAI4AJU/ref=sr_1_10?keywords=Pedia-Lax%C2%AE+Liquid+Glycerin+Suppositories&amp;qid=1695260624&amp;sr=8-10</v>
      </c>
      <c r="F3533" t="s">
        <v>8112</v>
      </c>
      <c r="G3533" t="e">
        <f ca="1">IMAGE("https://shop.sonapharmacy.com/cdn/shop/products/PediaLaxSuppository.png?v=1606852444")</f>
        <v>#NAME?</v>
      </c>
      <c r="H3533" t="e">
        <f ca="1">IMAGE("https://m.media-amazon.com/images/I/71eIfoE6BkL._AC_UL320_.jpg")</f>
        <v>#NAME?</v>
      </c>
      <c r="I3533" t="s">
        <v>8341</v>
      </c>
      <c r="J3533">
        <v>34.619999999999997</v>
      </c>
      <c r="K3533" s="2" t="s">
        <v>9486</v>
      </c>
      <c r="L3533">
        <v>4.9000000000000004</v>
      </c>
      <c r="M3533">
        <v>26</v>
      </c>
      <c r="O3533" t="s">
        <v>26</v>
      </c>
      <c r="P3533" t="s">
        <v>39</v>
      </c>
      <c r="Q3533" t="s">
        <v>8343</v>
      </c>
    </row>
    <row r="3534" spans="1:17" ht="15.75" x14ac:dyDescent="0.25">
      <c r="A3534" s="3" t="str">
        <f>HYPERLINK("https://shop.sonapharmacy.com/products/eos%C2%AE-watermelon-frose-lip-balm", "https://shop.sonapharmacy.com/products/eos%C2%AE-watermelon-frose-lip-balm")</f>
        <v>https://shop.sonapharmacy.com/products/eos%C2%AE-watermelon-frose-lip-balm</v>
      </c>
      <c r="B3534" s="3" t="str">
        <f>HYPERLINK("https://shop.sonapharmacy.com/products/eos%c2%ae-watermelon-frose-lip-balm", "https://shop.sonapharmacy.com/products/eos%c2%ae-watermelon-frose-lip-balm")</f>
        <v>https://shop.sonapharmacy.com/products/eos%c2%ae-watermelon-frose-lip-balm</v>
      </c>
      <c r="C3534" t="s">
        <v>9487</v>
      </c>
      <c r="D3534" t="s">
        <v>9488</v>
      </c>
      <c r="E3534" s="3" t="str">
        <f>HYPERLINK("https://www.amazon.com/eos-Flavor-Sphere-Watermelon-0-39oz/dp/B07QWNQ649/ref=sr_1_10?keywords=EOS%C2%AE+Watermelon+Fros%C3%A9+Lip+Balm&amp;qid=1695260219&amp;sr=8-10", "https://www.amazon.com/eos-Flavor-Sphere-Watermelon-0-39oz/dp/B07QWNQ649/ref=sr_1_10?keywords=EOS%C2%AE+Watermelon+Fros%C3%A9+Lip+Balm&amp;qid=1695260219&amp;sr=8-10")</f>
        <v>https://www.amazon.com/eos-Flavor-Sphere-Watermelon-0-39oz/dp/B07QWNQ649/ref=sr_1_10?keywords=EOS%C2%AE+Watermelon+Fros%C3%A9+Lip+Balm&amp;qid=1695260219&amp;sr=8-10</v>
      </c>
      <c r="F3534" t="s">
        <v>9489</v>
      </c>
      <c r="G3534" t="e">
        <f ca="1">IMAGE("https://shop.sonapharmacy.com/cdn/shop/products/61gAMrKDRrL._AC_SL1400.jpg?v=1613747996")</f>
        <v>#NAME?</v>
      </c>
      <c r="H3534" t="e">
        <f ca="1">IMAGE("https://m.media-amazon.com/images/I/81neDGE-KlL._AC_UL320_.jpg")</f>
        <v>#NAME?</v>
      </c>
      <c r="I3534" t="s">
        <v>9490</v>
      </c>
      <c r="J3534">
        <v>14.63</v>
      </c>
      <c r="K3534" s="2" t="s">
        <v>9491</v>
      </c>
      <c r="L3534">
        <v>4.7</v>
      </c>
      <c r="M3534">
        <v>45</v>
      </c>
      <c r="O3534" t="s">
        <v>26</v>
      </c>
      <c r="P3534" t="s">
        <v>39</v>
      </c>
      <c r="Q3534" t="s">
        <v>9492</v>
      </c>
    </row>
    <row r="3535" spans="1:17" ht="15.75" x14ac:dyDescent="0.25">
      <c r="A3535" s="3" t="str">
        <f>HYPERLINK("https://shop.sonapharmacy.com/products/q-tips-cotton-swabs", "https://shop.sonapharmacy.com/products/q-tips-cotton-swabs")</f>
        <v>https://shop.sonapharmacy.com/products/q-tips-cotton-swabs</v>
      </c>
      <c r="B3535" s="3" t="str">
        <f>HYPERLINK("https://shop.sonapharmacy.com/products/q-tips-cotton-swabs", "https://shop.sonapharmacy.com/products/q-tips-cotton-swabs")</f>
        <v>https://shop.sonapharmacy.com/products/q-tips-cotton-swabs</v>
      </c>
      <c r="C3535" t="s">
        <v>9155</v>
      </c>
      <c r="D3535" t="s">
        <v>9493</v>
      </c>
      <c r="E3535" s="3" t="str">
        <f>HYPERLINK("https://www.amazon.com/Q-tips-Cotton-Swabs-Club-Pack/dp/B003ZTVDBS/ref=sr_1_6?keywords=Q-tips+Cotton+Swabs&amp;qid=1695260660&amp;sr=8-6", "https://www.amazon.com/Q-tips-Cotton-Swabs-Club-Pack/dp/B003ZTVDBS/ref=sr_1_6?keywords=Q-tips+Cotton+Swabs&amp;qid=1695260660&amp;sr=8-6")</f>
        <v>https://www.amazon.com/Q-tips-Cotton-Swabs-Club-Pack/dp/B003ZTVDBS/ref=sr_1_6?keywords=Q-tips+Cotton+Swabs&amp;qid=1695260660&amp;sr=8-6</v>
      </c>
      <c r="F3535" t="s">
        <v>9494</v>
      </c>
      <c r="G3535" t="e">
        <f ca="1">IMAGE("https://shop.sonapharmacy.com/cdn/shop/products/qtips_travel.png?v=1606762585")</f>
        <v>#NAME?</v>
      </c>
      <c r="H3535" t="e">
        <f ca="1">IMAGE("https://m.media-amazon.com/images/I/81P-wg22poL._AC_UL320_.jpg")</f>
        <v>#NAME?</v>
      </c>
      <c r="I3535" t="s">
        <v>8927</v>
      </c>
      <c r="J3535">
        <v>15.15</v>
      </c>
      <c r="K3535" s="2" t="s">
        <v>9495</v>
      </c>
      <c r="L3535">
        <v>4.7</v>
      </c>
      <c r="M3535">
        <v>3391</v>
      </c>
      <c r="O3535" t="s">
        <v>26</v>
      </c>
      <c r="P3535" t="s">
        <v>39</v>
      </c>
      <c r="Q3535" t="s">
        <v>9159</v>
      </c>
    </row>
    <row r="3536" spans="1:17" ht="15.75" x14ac:dyDescent="0.25">
      <c r="A3536" s="3" t="str">
        <f>HYPERLINK("https://shop.sonapharmacy.com/products/foille-medicated-first-aid-ointment-1oz", "https://shop.sonapharmacy.com/products/foille-medicated-first-aid-ointment-1oz")</f>
        <v>https://shop.sonapharmacy.com/products/foille-medicated-first-aid-ointment-1oz</v>
      </c>
      <c r="B3536" s="3" t="str">
        <f>HYPERLINK("https://shop.sonapharmacy.com/products/foille-medicated-first-aid-ointment-1oz", "https://shop.sonapharmacy.com/products/foille-medicated-first-aid-ointment-1oz")</f>
        <v>https://shop.sonapharmacy.com/products/foille-medicated-first-aid-ointment-1oz</v>
      </c>
      <c r="C3536" t="s">
        <v>8677</v>
      </c>
      <c r="D3536" t="s">
        <v>9496</v>
      </c>
      <c r="E3536" s="3" t="str">
        <f>HYPERLINK("https://www.amazon.com/Foille-Medicated-First-Ointment-Pack/dp/B01IAI74WU/ref=sr_1_5?keywords=Foille+Medicated+First+Aid+Ointment+1oz.&amp;qid=1695260242&amp;sr=8-5", "https://www.amazon.com/Foille-Medicated-First-Ointment-Pack/dp/B01IAI74WU/ref=sr_1_5?keywords=Foille+Medicated+First+Aid+Ointment+1oz.&amp;qid=1695260242&amp;sr=8-5")</f>
        <v>https://www.amazon.com/Foille-Medicated-First-Ointment-Pack/dp/B01IAI74WU/ref=sr_1_5?keywords=Foille+Medicated+First+Aid+Ointment+1oz.&amp;qid=1695260242&amp;sr=8-5</v>
      </c>
      <c r="F3536" t="s">
        <v>9497</v>
      </c>
      <c r="G3536" t="e">
        <f ca="1">IMAGE("https://shop.sonapharmacy.com/cdn/shop/products/51q-pUYDQIL._AC_SL1500.jpg?v=1609351378")</f>
        <v>#NAME?</v>
      </c>
      <c r="H3536" t="e">
        <f ca="1">IMAGE("https://m.media-amazon.com/images/I/61keFQSnS0L._AC_UL320_.jpg")</f>
        <v>#NAME?</v>
      </c>
      <c r="I3536" t="s">
        <v>8680</v>
      </c>
      <c r="J3536">
        <v>18.11</v>
      </c>
      <c r="K3536" s="2" t="s">
        <v>9498</v>
      </c>
      <c r="L3536">
        <v>5</v>
      </c>
      <c r="M3536">
        <v>24</v>
      </c>
      <c r="O3536" t="s">
        <v>26</v>
      </c>
      <c r="P3536" t="s">
        <v>39</v>
      </c>
      <c r="Q3536" t="s">
        <v>8682</v>
      </c>
    </row>
    <row r="3537" spans="1:17" ht="15.75" x14ac:dyDescent="0.25">
      <c r="A3537" s="3" t="str">
        <f>HYPERLINK("https://shop.sonapharmacy.com/products/apex%C2%AE-medicine-dropper-3ml", "https://shop.sonapharmacy.com/products/apex%C2%AE-medicine-dropper-3ml")</f>
        <v>https://shop.sonapharmacy.com/products/apex%C2%AE-medicine-dropper-3ml</v>
      </c>
      <c r="B3537" s="3" t="str">
        <f>HYPERLINK("https://shop.sonapharmacy.com/products/apex%c2%ae-medicine-dropper-3ml", "https://shop.sonapharmacy.com/products/apex%c2%ae-medicine-dropper-3ml")</f>
        <v>https://shop.sonapharmacy.com/products/apex%c2%ae-medicine-dropper-3ml</v>
      </c>
      <c r="C3537" t="s">
        <v>9499</v>
      </c>
      <c r="D3537" t="s">
        <v>9500</v>
      </c>
      <c r="E3537" s="3" t="str">
        <f>HYPERLINK("https://www.amazon.com/Graduated-Medicine-Dropper-Pipettes-Rubber/dp/B08R2CYD9N/ref=sr_1_9?keywords=Apex+Medicine+Dropper+3ml.&amp;qid=1695260018&amp;sr=8-9", "https://www.amazon.com/Graduated-Medicine-Dropper-Pipettes-Rubber/dp/B08R2CYD9N/ref=sr_1_9?keywords=Apex+Medicine+Dropper+3ml.&amp;qid=1695260018&amp;sr=8-9")</f>
        <v>https://www.amazon.com/Graduated-Medicine-Dropper-Pipettes-Rubber/dp/B08R2CYD9N/ref=sr_1_9?keywords=Apex+Medicine+Dropper+3ml.&amp;qid=1695260018&amp;sr=8-9</v>
      </c>
      <c r="F3537" t="s">
        <v>9501</v>
      </c>
      <c r="G3537" t="e">
        <f ca="1">IMAGE("https://shop.sonapharmacy.com/cdn/shop/products/5855f9ef-2fd0-4ece-a9d2-fb334410b22a_1.7801b6a674f8fdf70e54a7ecbc65c406_cf95af26-6115-4bf4-aa05-d986a441935d.jpg?v=1611189454")</f>
        <v>#NAME?</v>
      </c>
      <c r="H3537" t="e">
        <f ca="1">IMAGE("https://m.media-amazon.com/images/I/51Lue2k8wfL._AC_UY218_.jpg")</f>
        <v>#NAME?</v>
      </c>
      <c r="I3537" t="s">
        <v>9502</v>
      </c>
      <c r="J3537">
        <v>8.99</v>
      </c>
      <c r="K3537" s="2" t="s">
        <v>9503</v>
      </c>
      <c r="L3537">
        <v>4.5</v>
      </c>
      <c r="M3537">
        <v>258</v>
      </c>
      <c r="O3537" t="s">
        <v>26</v>
      </c>
      <c r="P3537" t="s">
        <v>39</v>
      </c>
      <c r="Q3537" t="s">
        <v>9504</v>
      </c>
    </row>
    <row r="3538" spans="1:17" ht="15.75" x14ac:dyDescent="0.25">
      <c r="A3538" s="3" t="str">
        <f>HYPERLINK("https://shop.sonapharmacy.com/products/florajen-women-high-potency-probiotics", "https://shop.sonapharmacy.com/products/florajen-women-high-potency-probiotics")</f>
        <v>https://shop.sonapharmacy.com/products/florajen-women-high-potency-probiotics</v>
      </c>
      <c r="B3538" s="3" t="str">
        <f>HYPERLINK("https://shop.sonapharmacy.com/products/florajen-women-high-potency-probiotics", "https://shop.sonapharmacy.com/products/florajen-women-high-potency-probiotics")</f>
        <v>https://shop.sonapharmacy.com/products/florajen-women-high-potency-probiotics</v>
      </c>
      <c r="C3538" t="s">
        <v>9505</v>
      </c>
      <c r="D3538" t="s">
        <v>9506</v>
      </c>
      <c r="E3538" s="3" t="str">
        <f>HYPERLINK("https://www.amazon.com/Florajen-Potency-Probiotics-Supplement-Capsules/dp/B01N6UAXUC/ref=sr_1_5?keywords=Florajen+Women+High+Potency+Probiotics&amp;qid=1695260255&amp;sr=8-5", "https://www.amazon.com/Florajen-Potency-Probiotics-Supplement-Capsules/dp/B01N6UAXUC/ref=sr_1_5?keywords=Florajen+Women+High+Potency+Probiotics&amp;qid=1695260255&amp;sr=8-5")</f>
        <v>https://www.amazon.com/Florajen-Potency-Probiotics-Supplement-Capsules/dp/B01N6UAXUC/ref=sr_1_5?keywords=Florajen+Women+High+Potency+Probiotics&amp;qid=1695260255&amp;sr=8-5</v>
      </c>
      <c r="F3538" t="s">
        <v>9507</v>
      </c>
      <c r="G3538" t="e">
        <f ca="1">IMAGE("https://shop.sonapharmacy.com/cdn/shop/products/FlorajenWomenHighPotencyProbiotics.jpg?v=1594303386")</f>
        <v>#NAME?</v>
      </c>
      <c r="H3538" t="e">
        <f ca="1">IMAGE("https://m.media-amazon.com/images/I/71WX+uNtSVL._AC_UL320_.jpg")</f>
        <v>#NAME?</v>
      </c>
      <c r="I3538" t="s">
        <v>9508</v>
      </c>
      <c r="J3538">
        <v>73.290000000000006</v>
      </c>
      <c r="K3538" s="2" t="s">
        <v>9509</v>
      </c>
      <c r="L3538">
        <v>4.0999999999999996</v>
      </c>
      <c r="M3538">
        <v>50</v>
      </c>
      <c r="O3538" t="s">
        <v>136</v>
      </c>
      <c r="P3538" t="s">
        <v>39</v>
      </c>
      <c r="Q3538" t="s">
        <v>9510</v>
      </c>
    </row>
    <row r="3539" spans="1:17" ht="15.75" x14ac:dyDescent="0.25">
      <c r="A3539" s="3" t="str">
        <f>HYPERLINK("https://shop.sonapharmacy.com/products/fixodent%C2%AE-plus-scope-denture-adhesive-cream-2oz", "https://shop.sonapharmacy.com/products/fixodent%C2%AE-plus-scope-denture-adhesive-cream-2oz")</f>
        <v>https://shop.sonapharmacy.com/products/fixodent%C2%AE-plus-scope-denture-adhesive-cream-2oz</v>
      </c>
      <c r="B3539" s="3" t="str">
        <f>HYPERLINK("https://shop.sonapharmacy.com/products/fixodent%c2%ae-plus-scope-denture-adhesive-cream-2oz", "https://shop.sonapharmacy.com/products/fixodent%c2%ae-plus-scope-denture-adhesive-cream-2oz")</f>
        <v>https://shop.sonapharmacy.com/products/fixodent%c2%ae-plus-scope-denture-adhesive-cream-2oz</v>
      </c>
      <c r="C3539" t="s">
        <v>8603</v>
      </c>
      <c r="D3539" t="s">
        <v>9511</v>
      </c>
      <c r="E3539" s="3" t="str">
        <f>HYPERLINK("https://www.amazon.com/Fixodent-Control-Denture-Adhesive-Flavor/dp/B01IA98GJ4/ref=sr_1_3?keywords=Fixodent%C2%AE+Plus+Scope+Denture+Adhesive+Cream+2oz.&amp;qid=1695260276&amp;sr=8-3", "https://www.amazon.com/Fixodent-Control-Denture-Adhesive-Flavor/dp/B01IA98GJ4/ref=sr_1_3?keywords=Fixodent%C2%AE+Plus+Scope+Denture+Adhesive+Cream+2oz.&amp;qid=1695260276&amp;sr=8-3")</f>
        <v>https://www.amazon.com/Fixodent-Control-Denture-Adhesive-Flavor/dp/B01IA98GJ4/ref=sr_1_3?keywords=Fixodent%C2%AE+Plus+Scope+Denture+Adhesive+Cream+2oz.&amp;qid=1695260276&amp;sr=8-3</v>
      </c>
      <c r="F3539" t="s">
        <v>9512</v>
      </c>
      <c r="G3539" t="e">
        <f ca="1">IMAGE("https://shop.sonapharmacy.com/cdn/shop/products/c4ad4c85-c5be-4bf9-aa48-57fc08bf1930_1.02323672f23fe184ba3c29ed08511b88.jpg?v=1608651112")</f>
        <v>#NAME?</v>
      </c>
      <c r="H3539" t="e">
        <f ca="1">IMAGE("https://m.media-amazon.com/images/I/61--Da0plLL._AC_UL320_.jpg")</f>
        <v>#NAME?</v>
      </c>
      <c r="I3539" t="s">
        <v>8606</v>
      </c>
      <c r="J3539">
        <v>26.23</v>
      </c>
      <c r="K3539" s="2" t="s">
        <v>9513</v>
      </c>
      <c r="L3539">
        <v>4.4000000000000004</v>
      </c>
      <c r="M3539">
        <v>77</v>
      </c>
      <c r="O3539" t="s">
        <v>136</v>
      </c>
      <c r="P3539" t="s">
        <v>39</v>
      </c>
      <c r="Q3539" t="s">
        <v>8608</v>
      </c>
    </row>
    <row r="3540" spans="1:17" ht="15.75" x14ac:dyDescent="0.25">
      <c r="A3540" s="3" t="str">
        <f>HYPERLINK("https://shop.sonapharmacy.com/products/old-spice%C2%AE-original-high-endurance-deodorant-3-0oz", "https://shop.sonapharmacy.com/products/old-spice%C2%AE-original-high-endurance-deodorant-3-0oz")</f>
        <v>https://shop.sonapharmacy.com/products/old-spice%C2%AE-original-high-endurance-deodorant-3-0oz</v>
      </c>
      <c r="B3540" s="3" t="str">
        <f>HYPERLINK("https://shop.sonapharmacy.com/products/old-spice%c2%ae-original-high-endurance-deodorant-3-0oz", "https://shop.sonapharmacy.com/products/old-spice%c2%ae-original-high-endurance-deodorant-3-0oz")</f>
        <v>https://shop.sonapharmacy.com/products/old-spice%c2%ae-original-high-endurance-deodorant-3-0oz</v>
      </c>
      <c r="C3540" t="s">
        <v>8203</v>
      </c>
      <c r="D3540" t="s">
        <v>9514</v>
      </c>
      <c r="E3540" s="3" t="str">
        <f>HYPERLINK("https://www.amazon.com/Old-Spice-Endurance-Original-Deodorant/dp/B00BL18J78/ref=sr_1_2?keywords=Old+Spice%C2%AE+Original+High+Endurance+Deodorant+3.0oz.&amp;qid=1695260609&amp;sr=8-2", "https://www.amazon.com/Old-Spice-Endurance-Original-Deodorant/dp/B00BL18J78/ref=sr_1_2?keywords=Old+Spice%C2%AE+Original+High+Endurance+Deodorant+3.0oz.&amp;qid=1695260609&amp;sr=8-2")</f>
        <v>https://www.amazon.com/Old-Spice-Endurance-Original-Deodorant/dp/B00BL18J78/ref=sr_1_2?keywords=Old+Spice%C2%AE+Original+High+Endurance+Deodorant+3.0oz.&amp;qid=1695260609&amp;sr=8-2</v>
      </c>
      <c r="F3540" t="s">
        <v>9515</v>
      </c>
      <c r="G3540" t="e">
        <f ca="1">IMAGE("https://shop.sonapharmacy.com/cdn/shop/products/81d6Zo1KWZL._SL1500.jpg?v=1609094009")</f>
        <v>#NAME?</v>
      </c>
      <c r="H3540" t="e">
        <f ca="1">IMAGE("https://m.media-amazon.com/images/I/81d6Zo1KWZL._AC_UL320_.jpg")</f>
        <v>#NAME?</v>
      </c>
      <c r="I3540" t="s">
        <v>8206</v>
      </c>
      <c r="J3540">
        <v>21.65</v>
      </c>
      <c r="K3540" s="2" t="s">
        <v>9516</v>
      </c>
      <c r="L3540">
        <v>4.8</v>
      </c>
      <c r="M3540">
        <v>364</v>
      </c>
      <c r="O3540" t="s">
        <v>26</v>
      </c>
      <c r="P3540" t="s">
        <v>39</v>
      </c>
      <c r="Q3540" t="s">
        <v>8208</v>
      </c>
    </row>
    <row r="3541" spans="1:17" ht="15.75" x14ac:dyDescent="0.25">
      <c r="A3541" s="3" t="str">
        <f>HYPERLINK("https://shop.sonapharmacy.com/products/old-spice%C2%AE-classic-original-scent-for-men", "https://shop.sonapharmacy.com/products/old-spice%C2%AE-classic-original-scent-for-men")</f>
        <v>https://shop.sonapharmacy.com/products/old-spice%C2%AE-classic-original-scent-for-men</v>
      </c>
      <c r="B3541" s="3" t="str">
        <f>HYPERLINK("https://shop.sonapharmacy.com/products/old-spice%c2%ae-classic-original-scent-for-men", "https://shop.sonapharmacy.com/products/old-spice%c2%ae-classic-original-scent-for-men")</f>
        <v>https://shop.sonapharmacy.com/products/old-spice%c2%ae-classic-original-scent-for-men</v>
      </c>
      <c r="C3541" t="s">
        <v>9517</v>
      </c>
      <c r="D3541" t="s">
        <v>9514</v>
      </c>
      <c r="E3541" s="3" t="str">
        <f>HYPERLINK("https://www.amazon.com/Old-Spice-Endurance-Original-Deodorant/dp/B00BL18J78/ref=sr_1_3?keywords=Old+Spice%C2%AE+Classic+Original+Scent+for+Men&amp;qid=1695260605&amp;sr=8-3", "https://www.amazon.com/Old-Spice-Endurance-Original-Deodorant/dp/B00BL18J78/ref=sr_1_3?keywords=Old+Spice%C2%AE+Classic+Original+Scent+for+Men&amp;qid=1695260605&amp;sr=8-3")</f>
        <v>https://www.amazon.com/Old-Spice-Endurance-Original-Deodorant/dp/B00BL18J78/ref=sr_1_3?keywords=Old+Spice%C2%AE+Classic+Original+Scent+for+Men&amp;qid=1695260605&amp;sr=8-3</v>
      </c>
      <c r="F3541" t="s">
        <v>9515</v>
      </c>
      <c r="G3541" t="e">
        <f ca="1">IMAGE("https://shop.sonapharmacy.com/cdn/shop/products/71PjDe1EYJL._SL1500.jpg?v=1609093235")</f>
        <v>#NAME?</v>
      </c>
      <c r="H3541" t="e">
        <f ca="1">IMAGE("https://m.media-amazon.com/images/I/81d6Zo1KWZL._AC_UL320_.jpg")</f>
        <v>#NAME?</v>
      </c>
      <c r="I3541" t="s">
        <v>8206</v>
      </c>
      <c r="J3541">
        <v>21.65</v>
      </c>
      <c r="K3541" s="2" t="s">
        <v>9516</v>
      </c>
      <c r="L3541">
        <v>4.8</v>
      </c>
      <c r="M3541">
        <v>364</v>
      </c>
      <c r="O3541" t="s">
        <v>136</v>
      </c>
      <c r="P3541" t="s">
        <v>39</v>
      </c>
      <c r="Q3541" t="s">
        <v>9518</v>
      </c>
    </row>
    <row r="3542" spans="1:17" ht="15.75" x14ac:dyDescent="0.25">
      <c r="A3542" s="3" t="str">
        <f>HYPERLINK("https://shop.sonapharmacy.com/products/carefree%C2%AE-original-regular-pantiliners-to-go-fresh-scent-20ct", "https://shop.sonapharmacy.com/products/carefree%C2%AE-original-regular-pantiliners-to-go-fresh-scent-20ct")</f>
        <v>https://shop.sonapharmacy.com/products/carefree%C2%AE-original-regular-pantiliners-to-go-fresh-scent-20ct</v>
      </c>
      <c r="B3542" s="3" t="str">
        <f>HYPERLINK("https://shop.sonapharmacy.com/products/carefree%c2%ae-original-regular-pantiliners-to-go-fresh-scent-20ct", "https://shop.sonapharmacy.com/products/carefree%c2%ae-original-regular-pantiliners-to-go-fresh-scent-20ct")</f>
        <v>https://shop.sonapharmacy.com/products/carefree%c2%ae-original-regular-pantiliners-to-go-fresh-scent-20ct</v>
      </c>
      <c r="C3542" t="s">
        <v>9037</v>
      </c>
      <c r="D3542" t="s">
        <v>9519</v>
      </c>
      <c r="E3542" s="3" t="str">
        <f>HYPERLINK("https://www.amazon.com/Carefree-Original-Pantiliners-Regular-Fresh/dp/B00E3ET71C/ref=sr_1_1?keywords=Carefree%C2%AE+Original+Regular+Pantiliners+To+Go+Fresh+Scent+20ct.&amp;qid=1695260121&amp;sr=8-1", "https://www.amazon.com/Carefree-Original-Pantiliners-Regular-Fresh/dp/B00E3ET71C/ref=sr_1_1?keywords=Carefree%C2%AE+Original+Regular+Pantiliners+To+Go+Fresh+Scent+20ct.&amp;qid=1695260121&amp;sr=8-1")</f>
        <v>https://www.amazon.com/Carefree-Original-Pantiliners-Regular-Fresh/dp/B00E3ET71C/ref=sr_1_1?keywords=Carefree%C2%AE+Original+Regular+Pantiliners+To+Go+Fresh+Scent+20ct.&amp;qid=1695260121&amp;sr=8-1</v>
      </c>
      <c r="F3542" t="s">
        <v>9520</v>
      </c>
      <c r="G3542" t="e">
        <f ca="1">IMAGE("https://shop.sonapharmacy.com/cdn/shop/products/41P97Fcw0TL._AC.jpg?v=1609180313")</f>
        <v>#NAME?</v>
      </c>
      <c r="H3542" t="e">
        <f ca="1">IMAGE("https://m.media-amazon.com/images/I/61HXwqflAmL._AC_UL320_.jpg")</f>
        <v>#NAME?</v>
      </c>
      <c r="I3542" t="s">
        <v>8134</v>
      </c>
      <c r="J3542">
        <v>7.18</v>
      </c>
      <c r="K3542" s="2" t="s">
        <v>9521</v>
      </c>
      <c r="L3542">
        <v>4.2</v>
      </c>
      <c r="M3542">
        <v>41</v>
      </c>
      <c r="O3542" t="s">
        <v>26</v>
      </c>
      <c r="P3542" t="s">
        <v>39</v>
      </c>
      <c r="Q3542" t="s">
        <v>9041</v>
      </c>
    </row>
    <row r="3543" spans="1:17" ht="15.75" x14ac:dyDescent="0.25">
      <c r="A3543" s="3" t="str">
        <f>HYPERLINK("https://shop.sonapharmacy.com/products/advil-200-mg-ibuprofen-tablets", "https://shop.sonapharmacy.com/products/advil-200-mg-ibuprofen-tablets")</f>
        <v>https://shop.sonapharmacy.com/products/advil-200-mg-ibuprofen-tablets</v>
      </c>
      <c r="B3543" s="3" t="str">
        <f>HYPERLINK("https://shop.sonapharmacy.com/products/advil-200-mg-ibuprofen-tablets", "https://shop.sonapharmacy.com/products/advil-200-mg-ibuprofen-tablets")</f>
        <v>https://shop.sonapharmacy.com/products/advil-200-mg-ibuprofen-tablets</v>
      </c>
      <c r="C3543" t="s">
        <v>8377</v>
      </c>
      <c r="D3543" t="s">
        <v>9522</v>
      </c>
      <c r="E3543" s="3" t="str">
        <f>HYPERLINK("https://www.amazon.com/Advil-Reliever-Reducer-Ibuprofen-Diphenhydramine/dp/B085GDF897/ref=sr_1_4?keywords=Advil+200mg+Ibuprofen+Tablets&amp;qid=1695260034&amp;rdc=1&amp;sr=8-4", "https://www.amazon.com/Advil-Reliever-Reducer-Ibuprofen-Diphenhydramine/dp/B085GDF897/ref=sr_1_4?keywords=Advil+200mg+Ibuprofen+Tablets&amp;qid=1695260034&amp;rdc=1&amp;sr=8-4")</f>
        <v>https://www.amazon.com/Advil-Reliever-Reducer-Ibuprofen-Diphenhydramine/dp/B085GDF897/ref=sr_1_4?keywords=Advil+200mg+Ibuprofen+Tablets&amp;qid=1695260034&amp;rdc=1&amp;sr=8-4</v>
      </c>
      <c r="F3543" t="s">
        <v>9523</v>
      </c>
      <c r="G3543" t="e">
        <f ca="1">IMAGE("https://shop.sonapharmacy.com/cdn/shop/products/71csOFCEiJL._SL1200.jpg?v=1611188571")</f>
        <v>#NAME?</v>
      </c>
      <c r="H3543" t="e">
        <f ca="1">IMAGE("https://m.media-amazon.com/images/I/81-asm2GcGL._AC_UL320_.jpg")</f>
        <v>#NAME?</v>
      </c>
      <c r="I3543" t="s">
        <v>8300</v>
      </c>
      <c r="J3543">
        <v>23.49</v>
      </c>
      <c r="K3543" s="2" t="s">
        <v>9524</v>
      </c>
      <c r="L3543">
        <v>4.8</v>
      </c>
      <c r="M3543">
        <v>4052</v>
      </c>
      <c r="O3543" t="s">
        <v>26</v>
      </c>
      <c r="P3543" t="s">
        <v>39</v>
      </c>
      <c r="Q3543" t="s">
        <v>8381</v>
      </c>
    </row>
    <row r="3544" spans="1:17" ht="15.75" x14ac:dyDescent="0.25">
      <c r="A3544" s="3" t="str">
        <f>HYPERLINK("https://shop.sonapharmacy.com/products/basics-red-yeast-rice-600-mg-capsules", "https://shop.sonapharmacy.com/products/basics-red-yeast-rice-600-mg-capsules")</f>
        <v>https://shop.sonapharmacy.com/products/basics-red-yeast-rice-600-mg-capsules</v>
      </c>
      <c r="B3544" s="3" t="str">
        <f>HYPERLINK("https://shop.sonapharmacy.com/products/basics-red-yeast-rice-600-mg-capsules", "https://shop.sonapharmacy.com/products/basics-red-yeast-rice-600-mg-capsules")</f>
        <v>https://shop.sonapharmacy.com/products/basics-red-yeast-rice-600-mg-capsules</v>
      </c>
      <c r="C3544" t="s">
        <v>9105</v>
      </c>
      <c r="D3544" t="s">
        <v>9525</v>
      </c>
      <c r="E3544" s="3" t="str">
        <f>HYPERLINK("https://www.amazon.com/Natures-Bounty-Supplement-Additive-Capsules/dp/B003UZKN9U/ref=sr_1_1?keywords=Basic%27s%C2%AE+Red+Yeast+Rice+600mg+Capsules+100ct.&amp;qid=1695260108&amp;sr=8-1", "https://www.amazon.com/Natures-Bounty-Supplement-Additive-Capsules/dp/B003UZKN9U/ref=sr_1_1?keywords=Basic%27s%C2%AE+Red+Yeast+Rice+600mg+Capsules+100ct.&amp;qid=1695260108&amp;sr=8-1")</f>
        <v>https://www.amazon.com/Natures-Bounty-Supplement-Additive-Capsules/dp/B003UZKN9U/ref=sr_1_1?keywords=Basic%27s%C2%AE+Red+Yeast+Rice+600mg+Capsules+100ct.&amp;qid=1695260108&amp;sr=8-1</v>
      </c>
      <c r="F3544" t="s">
        <v>9526</v>
      </c>
      <c r="G3544" t="e">
        <f ca="1">IMAGE("https://shop.sonapharmacy.com/cdn/shop/products/apimk1isp__77354.1592331582.jpg?v=1609342606")</f>
        <v>#NAME?</v>
      </c>
      <c r="H3544" t="e">
        <f ca="1">IMAGE("https://m.media-amazon.com/images/I/71Czsnh2KSL._AC_UL320_.jpg")</f>
        <v>#NAME?</v>
      </c>
      <c r="I3544" t="s">
        <v>8698</v>
      </c>
      <c r="J3544">
        <v>35.159999999999997</v>
      </c>
      <c r="K3544" s="2" t="s">
        <v>9527</v>
      </c>
      <c r="L3544">
        <v>4.5999999999999996</v>
      </c>
      <c r="M3544">
        <v>6319</v>
      </c>
      <c r="O3544" t="s">
        <v>26</v>
      </c>
      <c r="P3544" t="s">
        <v>39</v>
      </c>
      <c r="Q3544" t="s">
        <v>9109</v>
      </c>
    </row>
    <row r="3545" spans="1:17" ht="15.75" x14ac:dyDescent="0.25">
      <c r="A3545" s="3" t="str">
        <f>HYPERLINK("https://shop.sonapharmacy.com/products/okeeffes-skin-repair-body-lotion-7oz", "https://shop.sonapharmacy.com/products/okeeffes-skin-repair-body-lotion-7oz")</f>
        <v>https://shop.sonapharmacy.com/products/okeeffes-skin-repair-body-lotion-7oz</v>
      </c>
      <c r="B3545" s="3" t="str">
        <f>HYPERLINK("https://shop.sonapharmacy.com/products/okeeffes-skin-repair-body-lotion-7oz", "https://shop.sonapharmacy.com/products/okeeffes-skin-repair-body-lotion-7oz")</f>
        <v>https://shop.sonapharmacy.com/products/okeeffes-skin-repair-body-lotion-7oz</v>
      </c>
      <c r="C3545" t="s">
        <v>8093</v>
      </c>
      <c r="D3545" t="s">
        <v>9528</v>
      </c>
      <c r="E3545" s="3" t="str">
        <f>HYPERLINK("https://www.amazon.com/OKeeffes-Skin-Repair-Body-Lotion/dp/B074NCHBH7/ref=sr_1_3?keywords=O%27Keeffe%27s+Skin+Repair+Body+Lotion+7oz.&amp;qid=1695260599&amp;sr=8-3", "https://www.amazon.com/OKeeffes-Skin-Repair-Body-Lotion/dp/B074NCHBH7/ref=sr_1_3?keywords=O%27Keeffe%27s+Skin+Repair+Body+Lotion+7oz.&amp;qid=1695260599&amp;sr=8-3")</f>
        <v>https://www.amazon.com/OKeeffes-Skin-Repair-Body-Lotion/dp/B074NCHBH7/ref=sr_1_3?keywords=O%27Keeffe%27s+Skin+Repair+Body+Lotion+7oz.&amp;qid=1695260599&amp;sr=8-3</v>
      </c>
      <c r="F3545" t="s">
        <v>9529</v>
      </c>
      <c r="G3545" t="e">
        <f ca="1">IMAGE("https://shop.sonapharmacy.com/cdn/shop/products/3bd16183-fe45-42dc-92f8-debd6868b3ac_1.7c675874396c0c8bd4b5440f108ff7b2.jpg?v=1608410648")</f>
        <v>#NAME?</v>
      </c>
      <c r="H3545" t="e">
        <f ca="1">IMAGE("https://m.media-amazon.com/images/I/71wtYcLHPSL._AC_UL320_.jpg")</f>
        <v>#NAME?</v>
      </c>
      <c r="I3545" t="s">
        <v>8096</v>
      </c>
      <c r="J3545">
        <v>36.19</v>
      </c>
      <c r="K3545" s="2" t="s">
        <v>9530</v>
      </c>
      <c r="L3545">
        <v>4.9000000000000004</v>
      </c>
      <c r="M3545">
        <v>17</v>
      </c>
      <c r="O3545" t="s">
        <v>26</v>
      </c>
      <c r="P3545" t="s">
        <v>39</v>
      </c>
      <c r="Q3545" t="s">
        <v>8098</v>
      </c>
    </row>
    <row r="3546" spans="1:17" ht="15.75" x14ac:dyDescent="0.25">
      <c r="A3546" s="3" t="str">
        <f>HYPERLINK("https://shop.sonapharmacy.com/products/fixodent%C2%AE-plus-scope-denture-adhesive-cream-2oz", "https://shop.sonapharmacy.com/products/fixodent%C2%AE-plus-scope-denture-adhesive-cream-2oz")</f>
        <v>https://shop.sonapharmacy.com/products/fixodent%C2%AE-plus-scope-denture-adhesive-cream-2oz</v>
      </c>
      <c r="B3546" s="3" t="str">
        <f>HYPERLINK("https://shop.sonapharmacy.com/products/fixodent%c2%ae-plus-scope-denture-adhesive-cream-2oz", "https://shop.sonapharmacy.com/products/fixodent%c2%ae-plus-scope-denture-adhesive-cream-2oz")</f>
        <v>https://shop.sonapharmacy.com/products/fixodent%c2%ae-plus-scope-denture-adhesive-cream-2oz</v>
      </c>
      <c r="C3546" t="s">
        <v>8603</v>
      </c>
      <c r="D3546" t="s">
        <v>9531</v>
      </c>
      <c r="E3546" s="3" t="str">
        <f>HYPERLINK("https://www.amazon.com/Fixodent-Control-Denture-Adhesive-Flavor/dp/B001FWXSAG/ref=sr_1_1?keywords=Fixodent%C2%AE+Plus+Scope+Denture+Adhesive+Cream+2oz.&amp;qid=1695260276&amp;sr=8-1", "https://www.amazon.com/Fixodent-Control-Denture-Adhesive-Flavor/dp/B001FWXSAG/ref=sr_1_1?keywords=Fixodent%C2%AE+Plus+Scope+Denture+Adhesive+Cream+2oz.&amp;qid=1695260276&amp;sr=8-1")</f>
        <v>https://www.amazon.com/Fixodent-Control-Denture-Adhesive-Flavor/dp/B001FWXSAG/ref=sr_1_1?keywords=Fixodent%C2%AE+Plus+Scope+Denture+Adhesive+Cream+2oz.&amp;qid=1695260276&amp;sr=8-1</v>
      </c>
      <c r="F3546" t="s">
        <v>9532</v>
      </c>
      <c r="G3546" t="e">
        <f ca="1">IMAGE("https://shop.sonapharmacy.com/cdn/shop/products/c4ad4c85-c5be-4bf9-aa48-57fc08bf1930_1.02323672f23fe184ba3c29ed08511b88.jpg?v=1608651112")</f>
        <v>#NAME?</v>
      </c>
      <c r="H3546" t="e">
        <f ca="1">IMAGE("https://m.media-amazon.com/images/I/71C-9GXWS9L._AC_UL320_.jpg")</f>
        <v>#NAME?</v>
      </c>
      <c r="I3546" t="s">
        <v>8606</v>
      </c>
      <c r="J3546">
        <v>25.96</v>
      </c>
      <c r="K3546" s="2" t="s">
        <v>9533</v>
      </c>
      <c r="L3546">
        <v>4.5999999999999996</v>
      </c>
      <c r="M3546">
        <v>7620</v>
      </c>
      <c r="O3546" t="s">
        <v>136</v>
      </c>
      <c r="P3546" t="s">
        <v>39</v>
      </c>
      <c r="Q3546" t="s">
        <v>8608</v>
      </c>
    </row>
    <row r="3547" spans="1:17" ht="15.75" x14ac:dyDescent="0.25">
      <c r="A3547" s="3" t="str">
        <f>HYPERLINK("https://shop.sonapharmacy.com/products/destin%C2%AE-daily-defense-cream", "https://shop.sonapharmacy.com/products/destin%C2%AE-daily-defense-cream")</f>
        <v>https://shop.sonapharmacy.com/products/destin%C2%AE-daily-defense-cream</v>
      </c>
      <c r="B3547" s="3" t="str">
        <f>HYPERLINK("https://shop.sonapharmacy.com/products/destin%c2%ae-daily-defense-cream", "https://shop.sonapharmacy.com/products/destin%c2%ae-daily-defense-cream")</f>
        <v>https://shop.sonapharmacy.com/products/destin%c2%ae-daily-defense-cream</v>
      </c>
      <c r="C3547" t="s">
        <v>9534</v>
      </c>
      <c r="D3547" t="s">
        <v>9535</v>
      </c>
      <c r="E3547" s="3" t="str">
        <f>HYPERLINK("https://www.amazon.com/Desitin-Rapid-Relief-Creamy-Diaper/dp/B00XX4W22E/ref=sr_1_5?keywords=Desitin%C2%AE+Daily+Defense+Cream&amp;qid=1695260184&amp;sr=8-5", "https://www.amazon.com/Desitin-Rapid-Relief-Creamy-Diaper/dp/B00XX4W22E/ref=sr_1_5?keywords=Desitin%C2%AE+Daily+Defense+Cream&amp;qid=1695260184&amp;sr=8-5")</f>
        <v>https://www.amazon.com/Desitin-Rapid-Relief-Creamy-Diaper/dp/B00XX4W22E/ref=sr_1_5?keywords=Desitin%C2%AE+Daily+Defense+Cream&amp;qid=1695260184&amp;sr=8-5</v>
      </c>
      <c r="F3547" t="s">
        <v>9536</v>
      </c>
      <c r="G3547" t="e">
        <f ca="1">IMAGE("https://shop.sonapharmacy.com/cdn/shop/products/b8d255e3-761d-4dc1-bc22-63911aec1a42.339ed60a62d8c105695012d734e4478b.jpg?v=1609270993")</f>
        <v>#NAME?</v>
      </c>
      <c r="H3547" t="e">
        <f ca="1">IMAGE("https://m.media-amazon.com/images/I/71lv8HDz-qL._AC_UL320_.jpg")</f>
        <v>#NAME?</v>
      </c>
      <c r="I3547" t="s">
        <v>9284</v>
      </c>
      <c r="J3547">
        <v>25.78</v>
      </c>
      <c r="K3547" s="2" t="s">
        <v>9537</v>
      </c>
      <c r="L3547">
        <v>3.3</v>
      </c>
      <c r="M3547">
        <v>8</v>
      </c>
      <c r="O3547" t="s">
        <v>26</v>
      </c>
      <c r="P3547" t="s">
        <v>39</v>
      </c>
      <c r="Q3547" t="s">
        <v>9538</v>
      </c>
    </row>
    <row r="3548" spans="1:17" ht="15.75" x14ac:dyDescent="0.25">
      <c r="A3548" s="3" t="str">
        <f>HYPERLINK("https://shop.sonapharmacy.com/products/citrucel%C2%AE-orange-flavor-sugar-free-fiber-powder-16-9oz", "https://shop.sonapharmacy.com/products/citrucel%C2%AE-orange-flavor-sugar-free-fiber-powder-16-9oz")</f>
        <v>https://shop.sonapharmacy.com/products/citrucel%C2%AE-orange-flavor-sugar-free-fiber-powder-16-9oz</v>
      </c>
      <c r="B3548" s="3" t="str">
        <f>HYPERLINK("https://shop.sonapharmacy.com/products/citrucel%c2%ae-orange-flavor-sugar-free-fiber-powder-16-9oz", "https://shop.sonapharmacy.com/products/citrucel%c2%ae-orange-flavor-sugar-free-fiber-powder-16-9oz")</f>
        <v>https://shop.sonapharmacy.com/products/citrucel%c2%ae-orange-flavor-sugar-free-fiber-powder-16-9oz</v>
      </c>
      <c r="C3548" t="s">
        <v>9539</v>
      </c>
      <c r="D3548" t="s">
        <v>9540</v>
      </c>
      <c r="E3548" s="3" t="str">
        <f>HYPERLINK("https://www.amazon.com/Citrucel-Powder-Sugar-Free-Orange-Flavor/dp/B078YG1Q72/ref=sr_1_2?keywords=Citrucel%C2%AE+Orange+Flavor+Sugar-Free+Fiber+Powder+16.9oz.&amp;qid=1695260135&amp;sr=8-2", "https://www.amazon.com/Citrucel-Powder-Sugar-Free-Orange-Flavor/dp/B078YG1Q72/ref=sr_1_2?keywords=Citrucel%C2%AE+Orange+Flavor+Sugar-Free+Fiber+Powder+16.9oz.&amp;qid=1695260135&amp;sr=8-2")</f>
        <v>https://www.amazon.com/Citrucel-Powder-Sugar-Free-Orange-Flavor/dp/B078YG1Q72/ref=sr_1_2?keywords=Citrucel%C2%AE+Orange+Flavor+Sugar-Free+Fiber+Powder+16.9oz.&amp;qid=1695260135&amp;sr=8-2</v>
      </c>
      <c r="F3548" t="s">
        <v>9541</v>
      </c>
      <c r="G3548" t="e">
        <f ca="1">IMAGE("https://shop.sonapharmacy.com/cdn/shop/products/711W3DclJgL._AC_SL1500.jpg?v=1610982192")</f>
        <v>#NAME?</v>
      </c>
      <c r="H3548" t="e">
        <f ca="1">IMAGE("https://m.media-amazon.com/images/I/812H-FhhzHS._AC_UL320_.jpg")</f>
        <v>#NAME?</v>
      </c>
      <c r="I3548" t="s">
        <v>9542</v>
      </c>
      <c r="J3548">
        <v>83.99</v>
      </c>
      <c r="K3548" s="2" t="s">
        <v>9543</v>
      </c>
      <c r="L3548">
        <v>4.7</v>
      </c>
      <c r="M3548">
        <v>172</v>
      </c>
      <c r="O3548" t="s">
        <v>26</v>
      </c>
      <c r="P3548" t="s">
        <v>39</v>
      </c>
      <c r="Q3548" t="s">
        <v>9544</v>
      </c>
    </row>
    <row r="3549" spans="1:17" ht="15.75" x14ac:dyDescent="0.25">
      <c r="A3549" s="3" t="str">
        <f>HYPERLINK("https://shop.sonapharmacy.com/products/nova%C2%AE-male-urinal-with-cover", "https://shop.sonapharmacy.com/products/nova%C2%AE-male-urinal-with-cover")</f>
        <v>https://shop.sonapharmacy.com/products/nova%C2%AE-male-urinal-with-cover</v>
      </c>
      <c r="B3549" s="3" t="str">
        <f>HYPERLINK("https://shop.sonapharmacy.com/products/nova%c2%ae-male-urinal-with-cover", "https://shop.sonapharmacy.com/products/nova%c2%ae-male-urinal-with-cover")</f>
        <v>https://shop.sonapharmacy.com/products/nova%c2%ae-male-urinal-with-cover</v>
      </c>
      <c r="C3549" t="s">
        <v>9545</v>
      </c>
      <c r="D3549" t="s">
        <v>9546</v>
      </c>
      <c r="E3549" s="3" t="str">
        <f>HYPERLINK("https://www.amazon.com/Carex%C2%AE-32-Male-Urinal-Cover/dp/B00IG0ZQ00/ref=sr_1_7?keywords=Nova%C2%AE+Male+Urinal+with+Cover&amp;qid=1695260595&amp;sr=8-7", "https://www.amazon.com/Carex%C2%AE-32-Male-Urinal-Cover/dp/B00IG0ZQ00/ref=sr_1_7?keywords=Nova%C2%AE+Male+Urinal+with+Cover&amp;qid=1695260595&amp;sr=8-7")</f>
        <v>https://www.amazon.com/Carex%C2%AE-32-Male-Urinal-Cover/dp/B00IG0ZQ00/ref=sr_1_7?keywords=Nova%C2%AE+Male+Urinal+with+Cover&amp;qid=1695260595&amp;sr=8-7</v>
      </c>
      <c r="F3549" t="s">
        <v>9547</v>
      </c>
      <c r="G3549" t="e">
        <f ca="1">IMAGE("https://shop.sonapharmacy.com/cdn/shop/products/51W9mKzt_KL._AC_SL1500.jpg?v=1611079643")</f>
        <v>#NAME?</v>
      </c>
      <c r="H3549" t="e">
        <f ca="1">IMAGE("https://m.media-amazon.com/images/I/71LiPTLP2EL._AC_UL320_.jpg")</f>
        <v>#NAME?</v>
      </c>
      <c r="I3549" t="s">
        <v>9548</v>
      </c>
      <c r="J3549">
        <v>37.450000000000003</v>
      </c>
      <c r="K3549" s="2" t="s">
        <v>9549</v>
      </c>
      <c r="L3549">
        <v>4.7</v>
      </c>
      <c r="M3549">
        <v>37</v>
      </c>
      <c r="O3549" t="s">
        <v>26</v>
      </c>
      <c r="P3549" t="s">
        <v>39</v>
      </c>
      <c r="Q3549" t="s">
        <v>9550</v>
      </c>
    </row>
    <row r="3550" spans="1:17" ht="15.75" x14ac:dyDescent="0.25">
      <c r="A3550" s="3" t="str">
        <f>HYPERLINK("https://shop.sonapharmacy.com/products/st-ives-fresh-skin-apricot-scrub-6oz", "https://shop.sonapharmacy.com/products/st-ives-fresh-skin-apricot-scrub-6oz")</f>
        <v>https://shop.sonapharmacy.com/products/st-ives-fresh-skin-apricot-scrub-6oz</v>
      </c>
      <c r="B3550" s="3" t="str">
        <f>HYPERLINK("https://shop.sonapharmacy.com/products/st-ives-fresh-skin-apricot-scrub-6oz", "https://shop.sonapharmacy.com/products/st-ives-fresh-skin-apricot-scrub-6oz")</f>
        <v>https://shop.sonapharmacy.com/products/st-ives-fresh-skin-apricot-scrub-6oz</v>
      </c>
      <c r="C3550" t="s">
        <v>9551</v>
      </c>
      <c r="D3550" t="s">
        <v>9552</v>
      </c>
      <c r="E3550" s="3" t="str">
        <f>HYPERLINK("https://www.amazon.com/St-Ives-Fresh-Scrub-Apricot/dp/B00J4GRLGM/ref=sr_1_2?keywords=St.+Ives+Fresh+Skin+Apricot+Scrub+6oz.&amp;qid=1695260744&amp;sr=8-2", "https://www.amazon.com/St-Ives-Fresh-Scrub-Apricot/dp/B00J4GRLGM/ref=sr_1_2?keywords=St.+Ives+Fresh+Skin+Apricot+Scrub+6oz.&amp;qid=1695260744&amp;sr=8-2")</f>
        <v>https://www.amazon.com/St-Ives-Fresh-Scrub-Apricot/dp/B00J4GRLGM/ref=sr_1_2?keywords=St.+Ives+Fresh+Skin+Apricot+Scrub+6oz.&amp;qid=1695260744&amp;sr=8-2</v>
      </c>
      <c r="F3550" t="s">
        <v>9553</v>
      </c>
      <c r="G3550" t="e">
        <f ca="1">IMAGE("https://shop.sonapharmacy.com/cdn/shop/products/59bd3b0e-e01d-4a06-ba27-2c08a5545d31_1.0bddf51f07920f2d43488f010f8e3f4c.jpg?v=1608306040")</f>
        <v>#NAME?</v>
      </c>
      <c r="H3550" t="e">
        <f ca="1">IMAGE("https://m.media-amazon.com/images/I/81hR1tgY4wL._AC_UL320_.jpg")</f>
        <v>#NAME?</v>
      </c>
      <c r="I3550" t="s">
        <v>9554</v>
      </c>
      <c r="J3550">
        <v>26.48</v>
      </c>
      <c r="K3550" s="2" t="s">
        <v>9555</v>
      </c>
      <c r="L3550">
        <v>4.7</v>
      </c>
      <c r="M3550">
        <v>2360</v>
      </c>
      <c r="O3550" t="s">
        <v>26</v>
      </c>
      <c r="P3550" t="s">
        <v>39</v>
      </c>
      <c r="Q3550" t="s">
        <v>9556</v>
      </c>
    </row>
    <row r="3551" spans="1:17" ht="15.75" x14ac:dyDescent="0.25">
      <c r="A3551" s="3" t="str">
        <f>HYPERLINK("https://shop.sonapharmacy.com/products/bayer-chewable-81-mg-low-dose-aspirin", "https://shop.sonapharmacy.com/products/bayer-chewable-81-mg-low-dose-aspirin")</f>
        <v>https://shop.sonapharmacy.com/products/bayer-chewable-81-mg-low-dose-aspirin</v>
      </c>
      <c r="B3551" s="3" t="str">
        <f>HYPERLINK("https://shop.sonapharmacy.com/products/bayer-chewable-81-mg-low-dose-aspirin", "https://shop.sonapharmacy.com/products/bayer-chewable-81-mg-low-dose-aspirin")</f>
        <v>https://shop.sonapharmacy.com/products/bayer-chewable-81-mg-low-dose-aspirin</v>
      </c>
      <c r="C3551" t="s">
        <v>8629</v>
      </c>
      <c r="D3551" t="s">
        <v>9557</v>
      </c>
      <c r="E3551" s="3" t="str">
        <f>HYPERLINK("https://www.amazon.com/Bayer-Aspirin-Regimen-Enteric-Coated/dp/B001LFFPT4/ref=sr_1_3?keywords=Bayer%C2%AE+Chewable+81+mg+Low+Dose+Aspirin&amp;qid=1695260078&amp;sr=8-3", "https://www.amazon.com/Bayer-Aspirin-Regimen-Enteric-Coated/dp/B001LFFPT4/ref=sr_1_3?keywords=Bayer%C2%AE+Chewable+81+mg+Low+Dose+Aspirin&amp;qid=1695260078&amp;sr=8-3")</f>
        <v>https://www.amazon.com/Bayer-Aspirin-Regimen-Enteric-Coated/dp/B001LFFPT4/ref=sr_1_3?keywords=Bayer%C2%AE+Chewable+81+mg+Low+Dose+Aspirin&amp;qid=1695260078&amp;sr=8-3</v>
      </c>
      <c r="F3551" t="s">
        <v>9558</v>
      </c>
      <c r="G3551" t="e">
        <f ca="1">IMAGE("https://shop.sonapharmacy.com/cdn/shop/products/Untitled-22.jpg?v=1592598310")</f>
        <v>#NAME?</v>
      </c>
      <c r="H3551" t="e">
        <f ca="1">IMAGE("https://m.media-amazon.com/images/I/61J+5+x+9nL._AC_UL320_.jpg")</f>
        <v>#NAME?</v>
      </c>
      <c r="I3551" t="s">
        <v>8632</v>
      </c>
      <c r="J3551">
        <v>14.97</v>
      </c>
      <c r="K3551" s="2" t="s">
        <v>9559</v>
      </c>
      <c r="L3551">
        <v>4.8</v>
      </c>
      <c r="M3551">
        <v>27050</v>
      </c>
      <c r="O3551" t="s">
        <v>26</v>
      </c>
      <c r="P3551" t="s">
        <v>39</v>
      </c>
      <c r="Q3551" t="s">
        <v>8634</v>
      </c>
    </row>
    <row r="3552" spans="1:17" ht="15.75" x14ac:dyDescent="0.25">
      <c r="A3552" s="3" t="str">
        <f>HYPERLINK("https://shop.sonapharmacy.com/products/attends%C2%AE-underwear-extra-absorbency-youth-small-20ct", "https://shop.sonapharmacy.com/products/attends%C2%AE-underwear-extra-absorbency-youth-small-20ct")</f>
        <v>https://shop.sonapharmacy.com/products/attends%C2%AE-underwear-extra-absorbency-youth-small-20ct</v>
      </c>
      <c r="B3552" s="3" t="str">
        <f>HYPERLINK("https://shop.sonapharmacy.com/products/attends%c2%ae-underwear-extra-absorbency-youth-small-20ct", "https://shop.sonapharmacy.com/products/attends%c2%ae-underwear-extra-absorbency-youth-small-20ct")</f>
        <v>https://shop.sonapharmacy.com/products/attends%c2%ae-underwear-extra-absorbency-youth-small-20ct</v>
      </c>
      <c r="C3552" t="s">
        <v>9255</v>
      </c>
      <c r="D3552" t="s">
        <v>9560</v>
      </c>
      <c r="E3552" s="3" t="str">
        <f>HYPERLINK("https://www.amazon.com/Attends-Disposable-Adult-Underwear-187-7448/dp/B002EIMNVK/ref=sr_1_2?keywords=Attends+Underwear+Extra+Absorbency+Youth%2FSmall+20ct.&amp;qid=1695260028&amp;sr=8-2", "https://www.amazon.com/Attends-Disposable-Adult-Underwear-187-7448/dp/B002EIMNVK/ref=sr_1_2?keywords=Attends+Underwear+Extra+Absorbency+Youth%2FSmall+20ct.&amp;qid=1695260028&amp;sr=8-2")</f>
        <v>https://www.amazon.com/Attends-Disposable-Adult-Underwear-187-7448/dp/B002EIMNVK/ref=sr_1_2?keywords=Attends+Underwear+Extra+Absorbency+Youth%2FSmall+20ct.&amp;qid=1695260028&amp;sr=8-2</v>
      </c>
      <c r="F3552" t="s">
        <v>9561</v>
      </c>
      <c r="G3552" t="e">
        <f ca="1">IMAGE("https://shop.sonapharmacy.com/cdn/shop/products/615UQMYktPL._AC_SL1000.jpg?v=1611077191")</f>
        <v>#NAME?</v>
      </c>
      <c r="H3552" t="e">
        <f ca="1">IMAGE("https://m.media-amazon.com/images/I/71UQUvjS-sL._AC_UL320_.jpg")</f>
        <v>#NAME?</v>
      </c>
      <c r="I3552" t="s">
        <v>9258</v>
      </c>
      <c r="J3552">
        <v>47.33</v>
      </c>
      <c r="K3552" s="2" t="s">
        <v>9562</v>
      </c>
      <c r="L3552">
        <v>4.2</v>
      </c>
      <c r="M3552">
        <v>2033</v>
      </c>
      <c r="O3552" t="s">
        <v>26</v>
      </c>
      <c r="P3552" t="s">
        <v>39</v>
      </c>
      <c r="Q3552" t="s">
        <v>9259</v>
      </c>
    </row>
    <row r="3553" spans="1:17" ht="15.75" x14ac:dyDescent="0.25">
      <c r="A3553" s="3" t="str">
        <f>HYPERLINK("https://shop.sonapharmacy.com/products/band-aid%C2%AE-flexible-rolled-gauze", "https://shop.sonapharmacy.com/products/band-aid%C2%AE-flexible-rolled-gauze")</f>
        <v>https://shop.sonapharmacy.com/products/band-aid%C2%AE-flexible-rolled-gauze</v>
      </c>
      <c r="B3553" s="3" t="str">
        <f>HYPERLINK("https://shop.sonapharmacy.com/products/band-aid%c2%ae-flexible-rolled-gauze", "https://shop.sonapharmacy.com/products/band-aid%c2%ae-flexible-rolled-gauze")</f>
        <v>https://shop.sonapharmacy.com/products/band-aid%c2%ae-flexible-rolled-gauze</v>
      </c>
      <c r="C3553" t="s">
        <v>9206</v>
      </c>
      <c r="D3553" t="s">
        <v>9563</v>
      </c>
      <c r="E3553" s="3" t="str">
        <f>HYPERLINK("https://www.amazon.com/Band-Aid-Products-Flexible-Rolled-Inches/dp/B07BNR4JR2/ref=sr_1_4?keywords=BAND-AID%C2%AE+Flexible+Rolled+Gauze&amp;qid=1695260061&amp;sr=8-4", "https://www.amazon.com/Band-Aid-Products-Flexible-Rolled-Inches/dp/B07BNR4JR2/ref=sr_1_4?keywords=BAND-AID%C2%AE+Flexible+Rolled+Gauze&amp;qid=1695260061&amp;sr=8-4")</f>
        <v>https://www.amazon.com/Band-Aid-Products-Flexible-Rolled-Inches/dp/B07BNR4JR2/ref=sr_1_4?keywords=BAND-AID%C2%AE+Flexible+Rolled+Gauze&amp;qid=1695260061&amp;sr=8-4</v>
      </c>
      <c r="F3553" t="s">
        <v>9564</v>
      </c>
      <c r="G3553" t="e">
        <f ca="1">IMAGE("https://shop.sonapharmacy.com/cdn/shop/products/2x2.5.jpg?v=1607809788")</f>
        <v>#NAME?</v>
      </c>
      <c r="H3553" t="e">
        <f ca="1">IMAGE("https://m.media-amazon.com/images/I/61CpEnovPLL._AC_UL320_.jpg")</f>
        <v>#NAME?</v>
      </c>
      <c r="I3553" t="s">
        <v>8992</v>
      </c>
      <c r="J3553">
        <v>16.29</v>
      </c>
      <c r="K3553" s="2" t="s">
        <v>9565</v>
      </c>
      <c r="L3553">
        <v>3</v>
      </c>
      <c r="M3553">
        <v>3</v>
      </c>
      <c r="O3553" t="s">
        <v>26</v>
      </c>
      <c r="P3553" t="s">
        <v>39</v>
      </c>
      <c r="Q3553" t="s">
        <v>9210</v>
      </c>
    </row>
    <row r="3554" spans="1:17" ht="15.75" x14ac:dyDescent="0.25">
      <c r="A3554" s="3" t="str">
        <f>HYPERLINK("https://shop.sonapharmacy.com/products/advil-200-mg-ibuprofen-tablets", "https://shop.sonapharmacy.com/products/advil-200-mg-ibuprofen-tablets")</f>
        <v>https://shop.sonapharmacy.com/products/advil-200-mg-ibuprofen-tablets</v>
      </c>
      <c r="B3554" s="3" t="str">
        <f>HYPERLINK("https://shop.sonapharmacy.com/products/advil-200-mg-ibuprofen-tablets", "https://shop.sonapharmacy.com/products/advil-200-mg-ibuprofen-tablets")</f>
        <v>https://shop.sonapharmacy.com/products/advil-200-mg-ibuprofen-tablets</v>
      </c>
      <c r="C3554" t="s">
        <v>8377</v>
      </c>
      <c r="D3554" t="s">
        <v>9566</v>
      </c>
      <c r="E3554" s="3" t="str">
        <f>HYPERLINK("https://www.amazon.com/Advil-Ibuprofen-Coated-Tablets-coated-tablets/dp/B000NWT2PO/ref=sr_1_6?keywords=Advil+200mg+Ibuprofen+Tablets&amp;qid=1695260034&amp;sr=8-6", "https://www.amazon.com/Advil-Ibuprofen-Coated-Tablets-coated-tablets/dp/B000NWT2PO/ref=sr_1_6?keywords=Advil+200mg+Ibuprofen+Tablets&amp;qid=1695260034&amp;sr=8-6")</f>
        <v>https://www.amazon.com/Advil-Ibuprofen-Coated-Tablets-coated-tablets/dp/B000NWT2PO/ref=sr_1_6?keywords=Advil+200mg+Ibuprofen+Tablets&amp;qid=1695260034&amp;sr=8-6</v>
      </c>
      <c r="F3554" t="s">
        <v>9567</v>
      </c>
      <c r="G3554" t="e">
        <f ca="1">IMAGE("https://shop.sonapharmacy.com/cdn/shop/products/71csOFCEiJL._SL1200.jpg?v=1611188571")</f>
        <v>#NAME?</v>
      </c>
      <c r="H3554" t="e">
        <f ca="1">IMAGE("https://m.media-amazon.com/images/I/71YIi0QhQxL._AC_UL320_.jpg")</f>
        <v>#NAME?</v>
      </c>
      <c r="I3554" t="s">
        <v>8300</v>
      </c>
      <c r="J3554">
        <v>23.21</v>
      </c>
      <c r="K3554" s="2" t="s">
        <v>9568</v>
      </c>
      <c r="L3554">
        <v>4.9000000000000004</v>
      </c>
      <c r="M3554">
        <v>161</v>
      </c>
      <c r="O3554" t="s">
        <v>26</v>
      </c>
      <c r="P3554" t="s">
        <v>39</v>
      </c>
      <c r="Q3554" t="s">
        <v>8381</v>
      </c>
    </row>
    <row r="3555" spans="1:17" ht="15.75" x14ac:dyDescent="0.25">
      <c r="A3555"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B3555"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C3555" t="s">
        <v>9453</v>
      </c>
      <c r="D3555" t="s">
        <v>9569</v>
      </c>
      <c r="E3555" s="3" t="str">
        <f>HYPERLINK("https://www.amazon.com/Depend-85193-Underwear-Large-Extra/dp/B07D1YWGQ6/ref=sr_1_2?keywords=Depend%C2%AE+For+Men+Fit-Flex+Underwear+Maximum+Absorbency+Large+17ct.&amp;qid=1695260190&amp;sr=8-2", "https://www.amazon.com/Depend-85193-Underwear-Large-Extra/dp/B07D1YWGQ6/ref=sr_1_2?keywords=Depend%C2%AE+For+Men+Fit-Flex+Underwear+Maximum+Absorbency+Large+17ct.&amp;qid=1695260190&amp;sr=8-2")</f>
        <v>https://www.amazon.com/Depend-85193-Underwear-Large-Extra/dp/B07D1YWGQ6/ref=sr_1_2?keywords=Depend%C2%AE+For+Men+Fit-Flex+Underwear+Maximum+Absorbency+Large+17ct.&amp;qid=1695260190&amp;sr=8-2</v>
      </c>
      <c r="F3555" t="s">
        <v>9570</v>
      </c>
      <c r="G3555" t="e">
        <f ca="1">IMAGE("https://shop.sonapharmacy.com/cdn/shop/products/8193lwhuLwL._AC_SL1500.jpg?v=1611075729")</f>
        <v>#NAME?</v>
      </c>
      <c r="H3555" t="e">
        <f ca="1">IMAGE("https://m.media-amazon.com/images/I/61Az4NHCYZL._AC_UL320_.jpg")</f>
        <v>#NAME?</v>
      </c>
      <c r="I3555" t="s">
        <v>9290</v>
      </c>
      <c r="J3555">
        <v>66.900000000000006</v>
      </c>
      <c r="K3555" s="2" t="s">
        <v>9571</v>
      </c>
      <c r="L3555">
        <v>4.5999999999999996</v>
      </c>
      <c r="M3555">
        <v>490</v>
      </c>
      <c r="O3555" t="s">
        <v>26</v>
      </c>
      <c r="P3555" t="s">
        <v>39</v>
      </c>
      <c r="Q3555" t="s">
        <v>9457</v>
      </c>
    </row>
    <row r="3556" spans="1:17" ht="15.75" x14ac:dyDescent="0.25">
      <c r="A3556" s="3" t="str">
        <f>HYPERLINK("https://shop.sonapharmacy.com/products/curad-non-stick-pads", "https://shop.sonapharmacy.com/products/curad-non-stick-pads")</f>
        <v>https://shop.sonapharmacy.com/products/curad-non-stick-pads</v>
      </c>
      <c r="B3556" s="3" t="str">
        <f>HYPERLINK("https://shop.sonapharmacy.com/products/curad-non-stick-pads", "https://shop.sonapharmacy.com/products/curad-non-stick-pads")</f>
        <v>https://shop.sonapharmacy.com/products/curad-non-stick-pads</v>
      </c>
      <c r="C3556" t="s">
        <v>8501</v>
      </c>
      <c r="D3556" t="s">
        <v>9572</v>
      </c>
      <c r="E3556" s="3" t="str">
        <f>HYPERLINK("https://www.amazon.com/Curad-Small-Non-Stick-Adhesive-Inches/dp/B000L2GBI2/ref=sr_1_3?keywords=Curad%C2%AE+Non-Stick+Pads&amp;qid=1695260163&amp;sr=8-3", "https://www.amazon.com/Curad-Small-Non-Stick-Adhesive-Inches/dp/B000L2GBI2/ref=sr_1_3?keywords=Curad%C2%AE+Non-Stick+Pads&amp;qid=1695260163&amp;sr=8-3")</f>
        <v>https://www.amazon.com/Curad-Small-Non-Stick-Adhesive-Inches/dp/B000L2GBI2/ref=sr_1_3?keywords=Curad%C2%AE+Non-Stick+Pads&amp;qid=1695260163&amp;sr=8-3</v>
      </c>
      <c r="F3556" t="s">
        <v>9573</v>
      </c>
      <c r="G3556" t="e">
        <f ca="1">IMAGE("https://shop.sonapharmacy.com/cdn/shop/products/nonsmall.png?v=1607711387")</f>
        <v>#NAME?</v>
      </c>
      <c r="H3556" t="e">
        <f ca="1">IMAGE("https://m.media-amazon.com/images/I/61yTgdTPPwL._AC_UL320_.jpg")</f>
        <v>#NAME?</v>
      </c>
      <c r="I3556" t="s">
        <v>8076</v>
      </c>
      <c r="J3556">
        <v>9.01</v>
      </c>
      <c r="K3556" s="2" t="s">
        <v>9574</v>
      </c>
      <c r="L3556">
        <v>4.5</v>
      </c>
      <c r="M3556">
        <v>712</v>
      </c>
      <c r="O3556" t="s">
        <v>26</v>
      </c>
      <c r="P3556" t="s">
        <v>39</v>
      </c>
      <c r="Q3556" t="s">
        <v>8505</v>
      </c>
    </row>
    <row r="3557" spans="1:17" ht="15.75" x14ac:dyDescent="0.25">
      <c r="A3557" s="3" t="str">
        <f>HYPERLINK("https://shop.sonapharmacy.com/products/okeeffes-working-hands-cream-2-7oz", "https://shop.sonapharmacy.com/products/okeeffes-working-hands-cream-2-7oz")</f>
        <v>https://shop.sonapharmacy.com/products/okeeffes-working-hands-cream-2-7oz</v>
      </c>
      <c r="B3557" s="3" t="str">
        <f>HYPERLINK("https://shop.sonapharmacy.com/products/okeeffes-working-hands-cream-2-7oz", "https://shop.sonapharmacy.com/products/okeeffes-working-hands-cream-2-7oz")</f>
        <v>https://shop.sonapharmacy.com/products/okeeffes-working-hands-cream-2-7oz</v>
      </c>
      <c r="C3557" t="s">
        <v>8312</v>
      </c>
      <c r="D3557" t="s">
        <v>9575</v>
      </c>
      <c r="E3557" s="3" t="str">
        <f>HYPERLINK("https://www.amazon.com/OKeeffes-Working-Hands-Extremely-Cracked/dp/B08LLCMZFS/ref=sr_1_5?keywords=O%27Keeffe%27s+Working+Hands+Cream+2.7oz.&amp;qid=1695260597&amp;sr=8-5", "https://www.amazon.com/OKeeffes-Working-Hands-Extremely-Cracked/dp/B08LLCMZFS/ref=sr_1_5?keywords=O%27Keeffe%27s+Working+Hands+Cream+2.7oz.&amp;qid=1695260597&amp;sr=8-5")</f>
        <v>https://www.amazon.com/OKeeffes-Working-Hands-Extremely-Cracked/dp/B08LLCMZFS/ref=sr_1_5?keywords=O%27Keeffe%27s+Working+Hands+Cream+2.7oz.&amp;qid=1695260597&amp;sr=8-5</v>
      </c>
      <c r="F3557" t="s">
        <v>9576</v>
      </c>
      <c r="G3557" t="e">
        <f ca="1">IMAGE("https://shop.sonapharmacy.com/cdn/shop/products/00be5c22-ab6e-4ab0-b795-94a77c1551f9_2.8f68130d2f977aa423d97d8a89b1994a.jpg?v=1608407194")</f>
        <v>#NAME?</v>
      </c>
      <c r="H3557" t="e">
        <f ca="1">IMAGE("https://m.media-amazon.com/images/I/81JdyHMo33L._AC_UL320_.jpg")</f>
        <v>#NAME?</v>
      </c>
      <c r="I3557" t="s">
        <v>8315</v>
      </c>
      <c r="J3557">
        <v>33.130000000000003</v>
      </c>
      <c r="K3557" s="2" t="s">
        <v>9577</v>
      </c>
      <c r="L3557">
        <v>4.8</v>
      </c>
      <c r="M3557">
        <v>1085</v>
      </c>
      <c r="O3557" t="s">
        <v>26</v>
      </c>
      <c r="P3557" t="s">
        <v>39</v>
      </c>
      <c r="Q3557" t="s">
        <v>8317</v>
      </c>
    </row>
    <row r="3558" spans="1:17" ht="15.75" x14ac:dyDescent="0.25">
      <c r="A3558" s="3" t="str">
        <f>HYPERLINK("https://shop.sonapharmacy.com/products/curad-stainless-steel-bandage-scissors", "https://shop.sonapharmacy.com/products/curad-stainless-steel-bandage-scissors")</f>
        <v>https://shop.sonapharmacy.com/products/curad-stainless-steel-bandage-scissors</v>
      </c>
      <c r="B3558" s="3" t="str">
        <f>HYPERLINK("https://shop.sonapharmacy.com/products/curad-stainless-steel-bandage-scissors", "https://shop.sonapharmacy.com/products/curad-stainless-steel-bandage-scissors")</f>
        <v>https://shop.sonapharmacy.com/products/curad-stainless-steel-bandage-scissors</v>
      </c>
      <c r="C3558" t="s">
        <v>9578</v>
      </c>
      <c r="D3558" t="s">
        <v>9579</v>
      </c>
      <c r="E3558" s="3" t="str">
        <f>HYPERLINK("https://www.amazon.com/Premium-Plaster-Cutting-Scissors-Serrated/dp/B07PHBYZ6X/ref=sr_1_7?keywords=Curad%C2%AE+Stainless+Steel+Bandage+Scissors&amp;qid=1695260182&amp;sr=8-7", "https://www.amazon.com/Premium-Plaster-Cutting-Scissors-Serrated/dp/B07PHBYZ6X/ref=sr_1_7?keywords=Curad%C2%AE+Stainless+Steel+Bandage+Scissors&amp;qid=1695260182&amp;sr=8-7")</f>
        <v>https://www.amazon.com/Premium-Plaster-Cutting-Scissors-Serrated/dp/B07PHBYZ6X/ref=sr_1_7?keywords=Curad%C2%AE+Stainless+Steel+Bandage+Scissors&amp;qid=1695260182&amp;sr=8-7</v>
      </c>
      <c r="F3558" t="s">
        <v>9580</v>
      </c>
      <c r="G3558" t="e">
        <f ca="1">IMAGE("https://shop.sonapharmacy.com/cdn/shop/products/scissors.png?v=1607716795")</f>
        <v>#NAME?</v>
      </c>
      <c r="H3558" t="e">
        <f ca="1">IMAGE("https://m.media-amazon.com/images/I/71kUwbvr7TL._AC_UY218_.jpg")</f>
        <v>#NAME?</v>
      </c>
      <c r="I3558" t="s">
        <v>8728</v>
      </c>
      <c r="J3558">
        <v>19.989999999999998</v>
      </c>
      <c r="K3558" s="2" t="s">
        <v>9581</v>
      </c>
      <c r="L3558">
        <v>4.3</v>
      </c>
      <c r="M3558">
        <v>11</v>
      </c>
      <c r="O3558" t="s">
        <v>26</v>
      </c>
      <c r="P3558" t="s">
        <v>39</v>
      </c>
      <c r="Q3558" t="s">
        <v>9582</v>
      </c>
    </row>
    <row r="3559" spans="1:17" ht="15.75" x14ac:dyDescent="0.25">
      <c r="A3559" s="3" t="str">
        <f>HYPERLINK("https://shop.sonapharmacy.com/products/mucinex-sinus-max-severe-congestion-and-pain-caplets", "https://shop.sonapharmacy.com/products/mucinex-sinus-max-severe-congestion-and-pain-caplets")</f>
        <v>https://shop.sonapharmacy.com/products/mucinex-sinus-max-severe-congestion-and-pain-caplets</v>
      </c>
      <c r="B3559" s="3" t="str">
        <f>HYPERLINK("https://shop.sonapharmacy.com/products/mucinex-sinus-max-severe-congestion-and-pain-caplets", "https://shop.sonapharmacy.com/products/mucinex-sinus-max-severe-congestion-and-pain-caplets")</f>
        <v>https://shop.sonapharmacy.com/products/mucinex-sinus-max-severe-congestion-and-pain-caplets</v>
      </c>
      <c r="C3559" t="s">
        <v>9583</v>
      </c>
      <c r="D3559" t="s">
        <v>9584</v>
      </c>
      <c r="E3559" s="3" t="str">
        <f>HYPERLINK("https://www.amazon.com/Mucinex-Sinus-Max-Severe-Congestion-Caplets/dp/B00EZWRPB6/ref=sr_1_9?keywords=Mucinex%C2%AE+Sinus-Max+Severe+Congestion+and+Pain+Caplets+20ct.&amp;qid=1695260501&amp;sr=8-9", "https://www.amazon.com/Mucinex-Sinus-Max-Severe-Congestion-Caplets/dp/B00EZWRPB6/ref=sr_1_9?keywords=Mucinex%C2%AE+Sinus-Max+Severe+Congestion+and+Pain+Caplets+20ct.&amp;qid=1695260501&amp;sr=8-9")</f>
        <v>https://www.amazon.com/Mucinex-Sinus-Max-Severe-Congestion-Caplets/dp/B00EZWRPB6/ref=sr_1_9?keywords=Mucinex%C2%AE+Sinus-Max+Severe+Congestion+and+Pain+Caplets+20ct.&amp;qid=1695260501&amp;sr=8-9</v>
      </c>
      <c r="F3559" t="s">
        <v>9585</v>
      </c>
      <c r="G3559" t="e">
        <f ca="1">IMAGE("https://shop.sonapharmacy.com/cdn/shop/products/MucinexSinus-MaxSevereCongestionandPainCaplets.jpg?v=1595355232")</f>
        <v>#NAME?</v>
      </c>
      <c r="H3559" t="e">
        <f ca="1">IMAGE("https://m.media-amazon.com/images/I/41cDo8RlYEL._AC_UL320_.jpg")</f>
        <v>#NAME?</v>
      </c>
      <c r="I3559" t="s">
        <v>3458</v>
      </c>
      <c r="J3559">
        <v>78.290000000000006</v>
      </c>
      <c r="K3559" s="2" t="s">
        <v>9586</v>
      </c>
      <c r="L3559">
        <v>4.5999999999999996</v>
      </c>
      <c r="M3559">
        <v>12</v>
      </c>
      <c r="O3559" t="s">
        <v>26</v>
      </c>
      <c r="P3559" t="s">
        <v>39</v>
      </c>
      <c r="Q3559" t="s">
        <v>9587</v>
      </c>
    </row>
    <row r="3560" spans="1:17" ht="15.75" x14ac:dyDescent="0.25">
      <c r="A3560" s="3" t="str">
        <f>HYPERLINK("https://shop.sonapharmacy.com/products/nature-made-stress-b-complex-tablets", "https://shop.sonapharmacy.com/products/nature-made-stress-b-complex-tablets")</f>
        <v>https://shop.sonapharmacy.com/products/nature-made-stress-b-complex-tablets</v>
      </c>
      <c r="B3560" s="3" t="str">
        <f>HYPERLINK("https://shop.sonapharmacy.com/products/nature-made-stress-b-complex-tablets", "https://shop.sonapharmacy.com/products/nature-made-stress-b-complex-tablets")</f>
        <v>https://shop.sonapharmacy.com/products/nature-made-stress-b-complex-tablets</v>
      </c>
      <c r="C3560" t="s">
        <v>9588</v>
      </c>
      <c r="D3560" t="s">
        <v>9589</v>
      </c>
      <c r="E3560" s="3" t="str">
        <f>HYPERLINK("https://www.amazon.com/Nature-Stress-Complex-Tablets-Count/dp/B00M8MMOQ6/ref=sr_1_1?keywords=Nature+Made%C2%AE+Stress+B-Complex+Tablets+75ct.&amp;qid=1695260553&amp;sr=8-1", "https://www.amazon.com/Nature-Stress-Complex-Tablets-Count/dp/B00M8MMOQ6/ref=sr_1_1?keywords=Nature+Made%C2%AE+Stress+B-Complex+Tablets+75ct.&amp;qid=1695260553&amp;sr=8-1")</f>
        <v>https://www.amazon.com/Nature-Stress-Complex-Tablets-Count/dp/B00M8MMOQ6/ref=sr_1_1?keywords=Nature+Made%C2%AE+Stress+B-Complex+Tablets+75ct.&amp;qid=1695260553&amp;sr=8-1</v>
      </c>
      <c r="F3560" t="s">
        <v>9590</v>
      </c>
      <c r="G3560" t="e">
        <f ca="1">IMAGE("https://shop.sonapharmacy.com/cdn/shop/products/71XtdZFCNcL._AC_SL1500.jpg?v=1610046126")</f>
        <v>#NAME?</v>
      </c>
      <c r="H3560" t="e">
        <f ca="1">IMAGE("https://m.media-amazon.com/images/I/61tFWtyJoLL._AC_UL320_.jpg")</f>
        <v>#NAME?</v>
      </c>
      <c r="I3560" t="s">
        <v>9258</v>
      </c>
      <c r="J3560">
        <v>46.95</v>
      </c>
      <c r="K3560" s="2" t="s">
        <v>9591</v>
      </c>
      <c r="L3560">
        <v>5</v>
      </c>
      <c r="M3560">
        <v>102</v>
      </c>
      <c r="O3560" t="s">
        <v>26</v>
      </c>
      <c r="P3560" t="s">
        <v>39</v>
      </c>
      <c r="Q3560" t="s">
        <v>9592</v>
      </c>
    </row>
    <row r="3561" spans="1:17" ht="15.75" x14ac:dyDescent="0.25">
      <c r="A3561" s="3" t="str">
        <f>HYPERLINK("https://shop.sonapharmacy.com/products/dentemp%C2%AE-loose-cap-lost-filling-repair", "https://shop.sonapharmacy.com/products/dentemp%C2%AE-loose-cap-lost-filling-repair")</f>
        <v>https://shop.sonapharmacy.com/products/dentemp%C2%AE-loose-cap-lost-filling-repair</v>
      </c>
      <c r="B3561" s="3" t="str">
        <f>HYPERLINK("https://shop.sonapharmacy.com/products/dentemp%c2%ae-loose-cap-lost-filling-repair", "https://shop.sonapharmacy.com/products/dentemp%c2%ae-loose-cap-lost-filling-repair")</f>
        <v>https://shop.sonapharmacy.com/products/dentemp%c2%ae-loose-cap-lost-filling-repair</v>
      </c>
      <c r="C3561" t="s">
        <v>9593</v>
      </c>
      <c r="D3561" t="s">
        <v>9594</v>
      </c>
      <c r="E3561" s="3" t="str">
        <f>HYPERLINK("https://www.amazon.com/Dentemp-Repair-Fillings-Loose-Strength/dp/B00LNCEIVQ/ref=sr_1_6?keywords=Dentemp%C2%AE+Loose+Cap+%26+Lost+Filling+Repair&amp;qid=1695260175&amp;sr=8-6", "https://www.amazon.com/Dentemp-Repair-Fillings-Loose-Strength/dp/B00LNCEIVQ/ref=sr_1_6?keywords=Dentemp%C2%AE+Loose+Cap+%26+Lost+Filling+Repair&amp;qid=1695260175&amp;sr=8-6")</f>
        <v>https://www.amazon.com/Dentemp-Repair-Fillings-Loose-Strength/dp/B00LNCEIVQ/ref=sr_1_6?keywords=Dentemp%C2%AE+Loose+Cap+%26+Lost+Filling+Repair&amp;qid=1695260175&amp;sr=8-6</v>
      </c>
      <c r="F3561" t="s">
        <v>9595</v>
      </c>
      <c r="G3561" t="e">
        <f ca="1">IMAGE("https://shop.sonapharmacy.com/cdn/shop/products/dentemp-loose-cap-lost-filling.jpg?v=1608570207")</f>
        <v>#NAME?</v>
      </c>
      <c r="H3561" t="e">
        <f ca="1">IMAGE("https://m.media-amazon.com/images/I/81Ixm99MexL._AC_UL320_.jpg")</f>
        <v>#NAME?</v>
      </c>
      <c r="I3561" t="s">
        <v>9241</v>
      </c>
      <c r="J3561">
        <v>23.21</v>
      </c>
      <c r="K3561" s="2" t="s">
        <v>9596</v>
      </c>
      <c r="L3561">
        <v>4.2</v>
      </c>
      <c r="M3561">
        <v>120</v>
      </c>
      <c r="O3561" t="s">
        <v>26</v>
      </c>
      <c r="P3561" t="s">
        <v>39</v>
      </c>
      <c r="Q3561" t="s">
        <v>9597</v>
      </c>
    </row>
    <row r="3562" spans="1:17" ht="15.75" x14ac:dyDescent="0.25">
      <c r="A3562" s="3" t="str">
        <f>HYPERLINK("https://shop.sonapharmacy.com/products/resinol-medicated-ointment-3-3oz", "https://shop.sonapharmacy.com/products/resinol-medicated-ointment-3-3oz")</f>
        <v>https://shop.sonapharmacy.com/products/resinol-medicated-ointment-3-3oz</v>
      </c>
      <c r="B3562" s="3" t="str">
        <f>HYPERLINK("https://shop.sonapharmacy.com/products/resinol-medicated-ointment-3-3oz", "https://shop.sonapharmacy.com/products/resinol-medicated-ointment-3-3oz")</f>
        <v>https://shop.sonapharmacy.com/products/resinol-medicated-ointment-3-3oz</v>
      </c>
      <c r="C3562" t="s">
        <v>8612</v>
      </c>
      <c r="D3562" t="s">
        <v>9598</v>
      </c>
      <c r="E3562" s="3" t="str">
        <f>HYPERLINK("https://www.amazon.com/Analgesic-Protectant-Medicated-Ointment-Quantity/dp/B008RU64IC/ref=sr_1_4?keywords=Resinol+Medicated+Ointment+3.3oz&amp;qid=1695260673&amp;sr=8-4", "https://www.amazon.com/Analgesic-Protectant-Medicated-Ointment-Quantity/dp/B008RU64IC/ref=sr_1_4?keywords=Resinol+Medicated+Ointment+3.3oz&amp;qid=1695260673&amp;sr=8-4")</f>
        <v>https://www.amazon.com/Analgesic-Protectant-Medicated-Ointment-Quantity/dp/B008RU64IC/ref=sr_1_4?keywords=Resinol+Medicated+Ointment+3.3oz&amp;qid=1695260673&amp;sr=8-4</v>
      </c>
      <c r="F3562" t="s">
        <v>9599</v>
      </c>
      <c r="G3562" t="e">
        <f ca="1">IMAGE("https://shop.sonapharmacy.com/cdn/shop/products/61SYOFBFkKL._AC_SL1237.jpg?v=1607970374")</f>
        <v>#NAME?</v>
      </c>
      <c r="H3562" t="e">
        <f ca="1">IMAGE("https://m.media-amazon.com/images/I/51bSkArgl5L._AC_UL320_.jpg")</f>
        <v>#NAME?</v>
      </c>
      <c r="I3562" t="s">
        <v>8615</v>
      </c>
      <c r="J3562">
        <v>50.36</v>
      </c>
      <c r="K3562" s="2" t="s">
        <v>9600</v>
      </c>
      <c r="L3562">
        <v>4.9000000000000004</v>
      </c>
      <c r="M3562">
        <v>22</v>
      </c>
      <c r="O3562" t="s">
        <v>136</v>
      </c>
      <c r="P3562" t="s">
        <v>39</v>
      </c>
      <c r="Q3562" t="s">
        <v>8617</v>
      </c>
    </row>
    <row r="3563" spans="1:17" ht="15.75" x14ac:dyDescent="0.25">
      <c r="A3563" s="3" t="str">
        <f>HYPERLINK("https://shop.sonapharmacy.com/products/phisoderm-anti-blemish-gel-cleanser-6oz", "https://shop.sonapharmacy.com/products/phisoderm-anti-blemish-gel-cleanser-6oz")</f>
        <v>https://shop.sonapharmacy.com/products/phisoderm-anti-blemish-gel-cleanser-6oz</v>
      </c>
      <c r="B3563" s="3" t="str">
        <f>HYPERLINK("https://shop.sonapharmacy.com/products/phisoderm-anti-blemish-gel-cleanser-6oz", "https://shop.sonapharmacy.com/products/phisoderm-anti-blemish-gel-cleanser-6oz")</f>
        <v>https://shop.sonapharmacy.com/products/phisoderm-anti-blemish-gel-cleanser-6oz</v>
      </c>
      <c r="C3563" t="s">
        <v>8099</v>
      </c>
      <c r="D3563" t="s">
        <v>9601</v>
      </c>
      <c r="E3563" s="3" t="str">
        <f>HYPERLINK("https://www.amazon.com/Phisoderm-Anti-Blemish-Gel-Cleanser-pack/dp/B005FN0L1K/ref=sr_1_6?keywords=Phisoderm+Anti-Blemish+Gel+Cleanser+6oz.&amp;qid=1695260646&amp;sr=8-6", "https://www.amazon.com/Phisoderm-Anti-Blemish-Gel-Cleanser-pack/dp/B005FN0L1K/ref=sr_1_6?keywords=Phisoderm+Anti-Blemish+Gel+Cleanser+6oz.&amp;qid=1695260646&amp;sr=8-6")</f>
        <v>https://www.amazon.com/Phisoderm-Anti-Blemish-Gel-Cleanser-pack/dp/B005FN0L1K/ref=sr_1_6?keywords=Phisoderm+Anti-Blemish+Gel+Cleanser+6oz.&amp;qid=1695260646&amp;sr=8-6</v>
      </c>
      <c r="F3563" t="s">
        <v>9602</v>
      </c>
      <c r="G3563" t="e">
        <f ca="1">IMAGE("https://shop.sonapharmacy.com/cdn/shop/products/72de085f-0d9e-4dcc-a7c8-97413c8c71dd_1.8c57de847d24ae111148749ef4a3c57b.jpg?v=1608307791")</f>
        <v>#NAME?</v>
      </c>
      <c r="H3563" t="e">
        <f ca="1">IMAGE("https://m.media-amazon.com/images/I/719dgUIBk8L._AC_UL320_.jpg")</f>
        <v>#NAME?</v>
      </c>
      <c r="I3563" t="s">
        <v>8102</v>
      </c>
      <c r="J3563">
        <v>19.489999999999998</v>
      </c>
      <c r="K3563" s="2" t="s">
        <v>9603</v>
      </c>
      <c r="L3563">
        <v>4.4000000000000004</v>
      </c>
      <c r="M3563">
        <v>67</v>
      </c>
      <c r="O3563" t="s">
        <v>26</v>
      </c>
      <c r="P3563" t="s">
        <v>39</v>
      </c>
      <c r="Q3563" t="s">
        <v>8104</v>
      </c>
    </row>
    <row r="3564" spans="1:17" ht="15.75" x14ac:dyDescent="0.25">
      <c r="A3564" s="3" t="str">
        <f>HYPERLINK("https://shop.sonapharmacy.com/products/afrin%C2%AE-original", "https://shop.sonapharmacy.com/products/afrin%C2%AE-original")</f>
        <v>https://shop.sonapharmacy.com/products/afrin%C2%AE-original</v>
      </c>
      <c r="B3564" s="3" t="str">
        <f>HYPERLINK("https://shop.sonapharmacy.com/products/afrin%c2%ae-original", "https://shop.sonapharmacy.com/products/afrin%c2%ae-original")</f>
        <v>https://shop.sonapharmacy.com/products/afrin%c2%ae-original</v>
      </c>
      <c r="C3564" t="s">
        <v>8143</v>
      </c>
      <c r="D3564" t="s">
        <v>9604</v>
      </c>
      <c r="E3564" s="3" t="str">
        <f>HYPERLINK("https://www.amazon.com/Afrin-Original-Maximum-Strength-Decongestant/dp/B0087W3EF6/ref=sr_1_8?keywords=Afrin+Original+Nasal+Spray&amp;qid=1695260003&amp;sr=8-8", "https://www.amazon.com/Afrin-Original-Maximum-Strength-Decongestant/dp/B0087W3EF6/ref=sr_1_8?keywords=Afrin+Original+Nasal+Spray&amp;qid=1695260003&amp;sr=8-8")</f>
        <v>https://www.amazon.com/Afrin-Original-Maximum-Strength-Decongestant/dp/B0087W3EF6/ref=sr_1_8?keywords=Afrin+Original+Nasal+Spray&amp;qid=1695260003&amp;sr=8-8</v>
      </c>
      <c r="F3564" t="s">
        <v>9605</v>
      </c>
      <c r="G3564" t="e">
        <f ca="1">IMAGE("https://shop.sonapharmacy.com/cdn/shop/products/81lfsEyuTvL._AC_SL1500.jpg?v=1611182746")</f>
        <v>#NAME?</v>
      </c>
      <c r="H3564" t="e">
        <f ca="1">IMAGE("https://m.media-amazon.com/images/I/71a9XtDFopL._AC_UL320_.jpg")</f>
        <v>#NAME?</v>
      </c>
      <c r="I3564" t="s">
        <v>4275</v>
      </c>
      <c r="J3564">
        <v>49</v>
      </c>
      <c r="K3564" s="2" t="s">
        <v>9606</v>
      </c>
      <c r="L3564">
        <v>4.4000000000000004</v>
      </c>
      <c r="M3564">
        <v>44</v>
      </c>
      <c r="O3564" t="s">
        <v>26</v>
      </c>
      <c r="P3564" t="s">
        <v>39</v>
      </c>
      <c r="Q3564" t="s">
        <v>8147</v>
      </c>
    </row>
    <row r="3565" spans="1:17" ht="15.75" x14ac:dyDescent="0.25">
      <c r="A3565" s="3" t="str">
        <f>HYPERLINK("https://shop.sonapharmacy.com/products/dentemp%C2%AE-loose-cap-lost-filling-repair", "https://shop.sonapharmacy.com/products/dentemp%C2%AE-loose-cap-lost-filling-repair")</f>
        <v>https://shop.sonapharmacy.com/products/dentemp%C2%AE-loose-cap-lost-filling-repair</v>
      </c>
      <c r="B3565" s="3" t="str">
        <f>HYPERLINK("https://shop.sonapharmacy.com/products/dentemp%c2%ae-loose-cap-lost-filling-repair", "https://shop.sonapharmacy.com/products/dentemp%c2%ae-loose-cap-lost-filling-repair")</f>
        <v>https://shop.sonapharmacy.com/products/dentemp%c2%ae-loose-cap-lost-filling-repair</v>
      </c>
      <c r="C3565" t="s">
        <v>9593</v>
      </c>
      <c r="D3565" t="s">
        <v>9607</v>
      </c>
      <c r="E3565" s="3" t="str">
        <f>HYPERLINK("https://www.amazon.com/Dentemp-Maximum-Strength-Fillings-Repair/dp/B001GCVJF6/ref=sr_1_3?keywords=Dentemp%C2%AE+Loose+Cap+%26+Lost+Filling+Repair&amp;qid=1695260175&amp;sr=8-3", "https://www.amazon.com/Dentemp-Maximum-Strength-Fillings-Repair/dp/B001GCVJF6/ref=sr_1_3?keywords=Dentemp%C2%AE+Loose+Cap+%26+Lost+Filling+Repair&amp;qid=1695260175&amp;sr=8-3")</f>
        <v>https://www.amazon.com/Dentemp-Maximum-Strength-Fillings-Repair/dp/B001GCVJF6/ref=sr_1_3?keywords=Dentemp%C2%AE+Loose+Cap+%26+Lost+Filling+Repair&amp;qid=1695260175&amp;sr=8-3</v>
      </c>
      <c r="F3565" t="s">
        <v>9608</v>
      </c>
      <c r="G3565" t="e">
        <f ca="1">IMAGE("https://shop.sonapharmacy.com/cdn/shop/products/dentemp-loose-cap-lost-filling.jpg?v=1608570207")</f>
        <v>#NAME?</v>
      </c>
      <c r="H3565" t="e">
        <f ca="1">IMAGE("https://m.media-amazon.com/images/I/81TLdwhRUpL._AC_UL320_.jpg")</f>
        <v>#NAME?</v>
      </c>
      <c r="I3565" t="s">
        <v>9241</v>
      </c>
      <c r="J3565">
        <v>23.04</v>
      </c>
      <c r="K3565" s="2" t="s">
        <v>9609</v>
      </c>
      <c r="L3565">
        <v>4</v>
      </c>
      <c r="M3565">
        <v>886</v>
      </c>
      <c r="O3565" t="s">
        <v>26</v>
      </c>
      <c r="P3565" t="s">
        <v>39</v>
      </c>
      <c r="Q3565" t="s">
        <v>9597</v>
      </c>
    </row>
    <row r="3566" spans="1:17" ht="15.75" x14ac:dyDescent="0.25">
      <c r="A3566" s="3" t="str">
        <f>HYPERLINK("https://shop.sonapharmacy.com/products/apex%C2%AE-glasses-repair-kit", "https://shop.sonapharmacy.com/products/apex%C2%AE-glasses-repair-kit")</f>
        <v>https://shop.sonapharmacy.com/products/apex%C2%AE-glasses-repair-kit</v>
      </c>
      <c r="B3566" s="3" t="str">
        <f>HYPERLINK("https://shop.sonapharmacy.com/products/apex%c2%ae-glasses-repair-kit", "https://shop.sonapharmacy.com/products/apex%c2%ae-glasses-repair-kit")</f>
        <v>https://shop.sonapharmacy.com/products/apex%c2%ae-glasses-repair-kit</v>
      </c>
      <c r="C3566" t="s">
        <v>9610</v>
      </c>
      <c r="D3566" t="s">
        <v>9611</v>
      </c>
      <c r="E3566" s="3" t="str">
        <f>HYPERLINK("https://www.amazon.com/Eyeglass-Repair-Kit-Glasses-Screws/dp/B0B82MDRFR/ref=sr_1_9?keywords=Apex+Glasses+Repair+Kit&amp;qid=1695260010&amp;sr=8-9", "https://www.amazon.com/Eyeglass-Repair-Kit-Glasses-Screws/dp/B0B82MDRFR/ref=sr_1_9?keywords=Apex+Glasses+Repair+Kit&amp;qid=1695260010&amp;sr=8-9")</f>
        <v>https://www.amazon.com/Eyeglass-Repair-Kit-Glasses-Screws/dp/B0B82MDRFR/ref=sr_1_9?keywords=Apex+Glasses+Repair+Kit&amp;qid=1695260010&amp;sr=8-9</v>
      </c>
      <c r="F3566" t="s">
        <v>9612</v>
      </c>
      <c r="G3566" t="e">
        <f ca="1">IMAGE("https://shop.sonapharmacy.com/cdn/shop/products/61DTHhMb4hL._AC_SX679.jpg?v=1609960307")</f>
        <v>#NAME?</v>
      </c>
      <c r="H3566" t="e">
        <f ca="1">IMAGE("https://m.media-amazon.com/images/I/91HVtcEqx3L._AC_UL320_.jpg")</f>
        <v>#NAME?</v>
      </c>
      <c r="I3566" t="s">
        <v>9613</v>
      </c>
      <c r="J3566">
        <v>9.44</v>
      </c>
      <c r="K3566" s="2" t="s">
        <v>9614</v>
      </c>
      <c r="L3566">
        <v>4.4000000000000004</v>
      </c>
      <c r="M3566">
        <v>3849</v>
      </c>
      <c r="O3566" t="s">
        <v>26</v>
      </c>
      <c r="P3566" t="s">
        <v>39</v>
      </c>
      <c r="Q3566" t="s">
        <v>9615</v>
      </c>
    </row>
    <row r="3567" spans="1:17" ht="15.75" x14ac:dyDescent="0.25">
      <c r="A3567" s="3" t="str">
        <f>HYPERLINK("https://shop.sonapharmacy.com/products/old-spice%C2%AE-pure-sport-high-endurance-deodorant-3-0oz", "https://shop.sonapharmacy.com/products/old-spice%C2%AE-pure-sport-high-endurance-deodorant-3-0oz")</f>
        <v>https://shop.sonapharmacy.com/products/old-spice%C2%AE-pure-sport-high-endurance-deodorant-3-0oz</v>
      </c>
      <c r="B3567" s="3" t="str">
        <f>HYPERLINK("https://shop.sonapharmacy.com/products/old-spice%c2%ae-pure-sport-high-endurance-deodorant-3-0oz", "https://shop.sonapharmacy.com/products/old-spice%c2%ae-pure-sport-high-endurance-deodorant-3-0oz")</f>
        <v>https://shop.sonapharmacy.com/products/old-spice%c2%ae-pure-sport-high-endurance-deodorant-3-0oz</v>
      </c>
      <c r="C3567" t="s">
        <v>8720</v>
      </c>
      <c r="D3567" t="s">
        <v>9616</v>
      </c>
      <c r="E3567" s="3" t="str">
        <f>HYPERLINK("https://www.amazon.com/Spice-Endurance-Antiperspirant-Deodorant-Sport/dp/B001F51UC6/ref=sr_1_4?keywords=Old+Spice%C2%AE+Pure+Sport+High+Endurance+Deodorant+3.0oz.&amp;qid=1695260614&amp;sr=8-4", "https://www.amazon.com/Spice-Endurance-Antiperspirant-Deodorant-Sport/dp/B001F51UC6/ref=sr_1_4?keywords=Old+Spice%C2%AE+Pure+Sport+High+Endurance+Deodorant+3.0oz.&amp;qid=1695260614&amp;sr=8-4")</f>
        <v>https://www.amazon.com/Spice-Endurance-Antiperspirant-Deodorant-Sport/dp/B001F51UC6/ref=sr_1_4?keywords=Old+Spice%C2%AE+Pure+Sport+High+Endurance+Deodorant+3.0oz.&amp;qid=1695260614&amp;sr=8-4</v>
      </c>
      <c r="F3567" t="s">
        <v>9617</v>
      </c>
      <c r="G3567" t="e">
        <f ca="1">IMAGE("https://shop.sonapharmacy.com/cdn/shop/products/7c0e29c3-6af7-41b0-bc81-b9238d9e44d1_1.7a977d3723660517c76ddad4c2bf91f5.jpg?v=1609094596")</f>
        <v>#NAME?</v>
      </c>
      <c r="H3567" t="e">
        <f ca="1">IMAGE("https://m.media-amazon.com/images/I/71kimdYC0kL._AC_UL320_.jpg")</f>
        <v>#NAME?</v>
      </c>
      <c r="I3567" t="s">
        <v>8206</v>
      </c>
      <c r="J3567">
        <v>20.91</v>
      </c>
      <c r="K3567" s="2" t="s">
        <v>9618</v>
      </c>
      <c r="L3567">
        <v>4.5999999999999996</v>
      </c>
      <c r="M3567">
        <v>8180</v>
      </c>
      <c r="O3567" t="s">
        <v>26</v>
      </c>
      <c r="P3567" t="s">
        <v>39</v>
      </c>
      <c r="Q3567" t="s">
        <v>8724</v>
      </c>
    </row>
    <row r="3568" spans="1:17" ht="15.75" x14ac:dyDescent="0.25">
      <c r="A3568" s="3" t="str">
        <f>HYPERLINK("https://shop.sonapharmacy.com/products/ricola-lemon-mint-cough-drops", "https://shop.sonapharmacy.com/products/ricola-lemon-mint-cough-drops")</f>
        <v>https://shop.sonapharmacy.com/products/ricola-lemon-mint-cough-drops</v>
      </c>
      <c r="B3568" s="3" t="str">
        <f>HYPERLINK("https://shop.sonapharmacy.com/products/ricola-lemon-mint-cough-drops", "https://shop.sonapharmacy.com/products/ricola-lemon-mint-cough-drops")</f>
        <v>https://shop.sonapharmacy.com/products/ricola-lemon-mint-cough-drops</v>
      </c>
      <c r="C3568" t="s">
        <v>8276</v>
      </c>
      <c r="D3568" t="s">
        <v>9619</v>
      </c>
      <c r="E3568" s="3" t="str">
        <f>HYPERLINK("https://www.amazon.com/Ricola-Sugar-Herbal-Suppressant-Throat/dp/B08653LN2M/ref=sr_1_8?keywords=Ricola+Lemon+Mint+Cough+Drops&amp;qid=1695260692&amp;sr=8-8", "https://www.amazon.com/Ricola-Sugar-Herbal-Suppressant-Throat/dp/B08653LN2M/ref=sr_1_8?keywords=Ricola+Lemon+Mint+Cough+Drops&amp;qid=1695260692&amp;sr=8-8")</f>
        <v>https://www.amazon.com/Ricola-Sugar-Herbal-Suppressant-Throat/dp/B08653LN2M/ref=sr_1_8?keywords=Ricola+Lemon+Mint+Cough+Drops&amp;qid=1695260692&amp;sr=8-8</v>
      </c>
      <c r="F3568" t="s">
        <v>9620</v>
      </c>
      <c r="G3568" t="e">
        <f ca="1">IMAGE("https://shop.sonapharmacy.com/cdn/shop/products/lemonmint_bag_24.png?v=1608220217")</f>
        <v>#NAME?</v>
      </c>
      <c r="H3568" t="e">
        <f ca="1">IMAGE("https://m.media-amazon.com/images/I/8180MGupTsL._AC_UL320_.jpg")</f>
        <v>#NAME?</v>
      </c>
      <c r="I3568" t="s">
        <v>8279</v>
      </c>
      <c r="J3568">
        <v>14.85</v>
      </c>
      <c r="K3568" s="2" t="s">
        <v>9621</v>
      </c>
      <c r="L3568">
        <v>4.7</v>
      </c>
      <c r="M3568">
        <v>232</v>
      </c>
      <c r="O3568" t="s">
        <v>26</v>
      </c>
      <c r="P3568" t="s">
        <v>39</v>
      </c>
      <c r="Q3568" t="s">
        <v>8281</v>
      </c>
    </row>
    <row r="3569" spans="1:17" ht="15.75" x14ac:dyDescent="0.25">
      <c r="A3569" s="3" t="str">
        <f>HYPERLINK("https://shop.sonapharmacy.com/products/airborne-original-immune-support-supplement-chewable-tablets", "https://shop.sonapharmacy.com/products/airborne-original-immune-support-supplement-chewable-tablets")</f>
        <v>https://shop.sonapharmacy.com/products/airborne-original-immune-support-supplement-chewable-tablets</v>
      </c>
      <c r="B3569" s="3" t="str">
        <f>HYPERLINK("https://shop.sonapharmacy.com/products/airborne-original-immune-support-supplement-chewable-tablets", "https://shop.sonapharmacy.com/products/airborne-original-immune-support-supplement-chewable-tablets")</f>
        <v>https://shop.sonapharmacy.com/products/airborne-original-immune-support-supplement-chewable-tablets</v>
      </c>
      <c r="C3569" t="s">
        <v>8382</v>
      </c>
      <c r="D3569" t="s">
        <v>9622</v>
      </c>
      <c r="E3569" s="3" t="str">
        <f>HYPERLINK("https://www.amazon.com/Airborne-Support-Supplement-Vitamin-Chewable/dp/B01IAICNP8/ref=sr_1_6?keywords=Airborne+Original+Immune+Support+Supplement+Chewable+Tablets+32ct.&amp;qid=1695260010&amp;sr=8-6", "https://www.amazon.com/Airborne-Support-Supplement-Vitamin-Chewable/dp/B01IAICNP8/ref=sr_1_6?keywords=Airborne+Original+Immune+Support+Supplement+Chewable+Tablets+32ct.&amp;qid=1695260010&amp;sr=8-6")</f>
        <v>https://www.amazon.com/Airborne-Support-Supplement-Vitamin-Chewable/dp/B01IAICNP8/ref=sr_1_6?keywords=Airborne+Original+Immune+Support+Supplement+Chewable+Tablets+32ct.&amp;qid=1695260010&amp;sr=8-6</v>
      </c>
      <c r="F3569" t="s">
        <v>9623</v>
      </c>
      <c r="G3569" t="e">
        <f ca="1">IMAGE("https://shop.sonapharmacy.com/cdn/shop/products/Untitled-97.jpg?v=1611169249")</f>
        <v>#NAME?</v>
      </c>
      <c r="H3569" t="e">
        <f ca="1">IMAGE("https://m.media-amazon.com/images/I/81NFmV5iP6L._AC_UL320_.jpg")</f>
        <v>#NAME?</v>
      </c>
      <c r="I3569" t="s">
        <v>8385</v>
      </c>
      <c r="J3569">
        <v>39.79</v>
      </c>
      <c r="K3569" s="2" t="s">
        <v>9624</v>
      </c>
      <c r="L3569">
        <v>4.2</v>
      </c>
      <c r="M3569">
        <v>11</v>
      </c>
      <c r="O3569" t="s">
        <v>26</v>
      </c>
      <c r="P3569" t="s">
        <v>39</v>
      </c>
      <c r="Q3569" t="s">
        <v>8387</v>
      </c>
    </row>
    <row r="3570" spans="1:17" ht="15.75" x14ac:dyDescent="0.25">
      <c r="A3570" s="3" t="str">
        <f>HYPERLINK("https://shop.sonapharmacy.com/products/band-aid-cushion-care-gauze-pads", "https://shop.sonapharmacy.com/products/band-aid-cushion-care-gauze-pads")</f>
        <v>https://shop.sonapharmacy.com/products/band-aid-cushion-care-gauze-pads</v>
      </c>
      <c r="B3570" s="3" t="str">
        <f>HYPERLINK("https://shop.sonapharmacy.com/products/band-aid-cushion-care-gauze-pads", "https://shop.sonapharmacy.com/products/band-aid-cushion-care-gauze-pads")</f>
        <v>https://shop.sonapharmacy.com/products/band-aid-cushion-care-gauze-pads</v>
      </c>
      <c r="C3570" t="s">
        <v>9012</v>
      </c>
      <c r="D3570" t="s">
        <v>9625</v>
      </c>
      <c r="E3570" s="3" t="str">
        <f>HYPERLINK("https://www.amazon.com/Band-Aid-Brand-Products-Cushion-Care-Inches/dp/B00OZV2ZE4/ref=sr_1_8?keywords=BAND-AID%C2%AE+Cushion-Care+Gauze+Pads&amp;qid=1695260110&amp;sr=8-8", "https://www.amazon.com/Band-Aid-Brand-Products-Cushion-Care-Inches/dp/B00OZV2ZE4/ref=sr_1_8?keywords=BAND-AID%C2%AE+Cushion-Care+Gauze+Pads&amp;qid=1695260110&amp;sr=8-8")</f>
        <v>https://www.amazon.com/Band-Aid-Brand-Products-Cushion-Care-Inches/dp/B00OZV2ZE4/ref=sr_1_8?keywords=BAND-AID%C2%AE+Cushion-Care+Gauze+Pads&amp;qid=1695260110&amp;sr=8-8</v>
      </c>
      <c r="F3570" t="s">
        <v>9626</v>
      </c>
      <c r="G3570" t="e">
        <f ca="1">IMAGE("https://shop.sonapharmacy.com/cdn/shop/products/band_aid_us_pho_pac_18_1_2727067.jpg?v=1607288415")</f>
        <v>#NAME?</v>
      </c>
      <c r="H3570" t="e">
        <f ca="1">IMAGE("https://m.media-amazon.com/images/I/8170s2LIROL._AC_UY218_.jpg")</f>
        <v>#NAME?</v>
      </c>
      <c r="I3570" t="s">
        <v>9015</v>
      </c>
      <c r="J3570">
        <v>18.86</v>
      </c>
      <c r="K3570" s="2" t="s">
        <v>9627</v>
      </c>
      <c r="L3570">
        <v>4.5999999999999996</v>
      </c>
      <c r="M3570">
        <v>12</v>
      </c>
      <c r="O3570" t="s">
        <v>26</v>
      </c>
      <c r="P3570" t="s">
        <v>39</v>
      </c>
      <c r="Q3570" t="s">
        <v>9017</v>
      </c>
    </row>
    <row r="3571" spans="1:17" ht="15.75" x14ac:dyDescent="0.25">
      <c r="A3571" s="3" t="str">
        <f>HYPERLINK("https://shop.sonapharmacy.com/products/alka-seltzer%C2%AE-original-effervescent-tablets", "https://shop.sonapharmacy.com/products/alka-seltzer%C2%AE-original-effervescent-tablets")</f>
        <v>https://shop.sonapharmacy.com/products/alka-seltzer%C2%AE-original-effervescent-tablets</v>
      </c>
      <c r="B3571" s="3" t="str">
        <f>HYPERLINK("https://shop.sonapharmacy.com/products/alka-seltzer%c2%ae-original-effervescent-tablets", "https://shop.sonapharmacy.com/products/alka-seltzer%c2%ae-original-effervescent-tablets")</f>
        <v>https://shop.sonapharmacy.com/products/alka-seltzer%c2%ae-original-effervescent-tablets</v>
      </c>
      <c r="C3571" t="s">
        <v>9356</v>
      </c>
      <c r="D3571" t="s">
        <v>9628</v>
      </c>
      <c r="E3571" s="3"/>
      <c r="F3571" t="s">
        <v>9629</v>
      </c>
      <c r="G3571" t="e">
        <f ca="1">IMAGE("https://shop.sonapharmacy.com/cdn/shop/products/51rk0IErmAL._AC.jpg?v=1610676312")</f>
        <v>#NAME?</v>
      </c>
      <c r="H3571" t="e">
        <f ca="1">IMAGE("https://m.media-amazon.com/images/I/81IJES-P3lL._AC_UL320_.jpg")</f>
        <v>#NAME?</v>
      </c>
      <c r="I3571" t="s">
        <v>9015</v>
      </c>
      <c r="J3571">
        <v>18.84</v>
      </c>
      <c r="K3571" s="2" t="s">
        <v>9630</v>
      </c>
      <c r="L3571">
        <v>4.8</v>
      </c>
      <c r="M3571">
        <v>2293</v>
      </c>
      <c r="O3571" t="s">
        <v>26</v>
      </c>
      <c r="P3571" t="s">
        <v>39</v>
      </c>
      <c r="Q3571" t="s">
        <v>9360</v>
      </c>
    </row>
    <row r="3572" spans="1:17" ht="15.75" x14ac:dyDescent="0.25">
      <c r="A3572" s="3" t="str">
        <f>HYPERLINK("https://shop.sonapharmacy.com/products/simply-saline%E2%84%A2-extra-strength-severe-congestion", "https://shop.sonapharmacy.com/products/simply-saline%E2%84%A2-extra-strength-severe-congestion")</f>
        <v>https://shop.sonapharmacy.com/products/simply-saline%E2%84%A2-extra-strength-severe-congestion</v>
      </c>
      <c r="B3572" s="3" t="str">
        <f>HYPERLINK("https://shop.sonapharmacy.com/products/simply-saline%e2%84%a2-extra-strength-severe-congestion", "https://shop.sonapharmacy.com/products/simply-saline%e2%84%a2-extra-strength-severe-congestion")</f>
        <v>https://shop.sonapharmacy.com/products/simply-saline%e2%84%a2-extra-strength-severe-congestion</v>
      </c>
      <c r="C3572" t="s">
        <v>9631</v>
      </c>
      <c r="D3572" t="s">
        <v>9632</v>
      </c>
      <c r="E3572" s="3" t="str">
        <f>HYPERLINK("https://www.amazon.com/Simply-Saline-Strength-Severe-Congestion/dp/B01IAIJTOQ/ref=sr_1_3?keywords=Simply+Saline%E2%84%A2+Extra+Strength+Severe+Congestion&amp;qid=1695260713&amp;sr=8-3", "https://www.amazon.com/Simply-Saline-Strength-Severe-Congestion/dp/B01IAIJTOQ/ref=sr_1_3?keywords=Simply+Saline%E2%84%A2+Extra+Strength+Severe+Congestion&amp;qid=1695260713&amp;sr=8-3")</f>
        <v>https://www.amazon.com/Simply-Saline-Strength-Severe-Congestion/dp/B01IAIJTOQ/ref=sr_1_3?keywords=Simply+Saline%E2%84%A2+Extra+Strength+Severe+Congestion&amp;qid=1695260713&amp;sr=8-3</v>
      </c>
      <c r="F3572" t="s">
        <v>9633</v>
      </c>
      <c r="G3572" t="e">
        <f ca="1">IMAGE("https://shop.sonapharmacy.com/cdn/shop/products/71QVqyqwa7L._AC_SL1500__1.jpg?v=1610123866")</f>
        <v>#NAME?</v>
      </c>
      <c r="H3572" t="e">
        <f ca="1">IMAGE("https://m.media-amazon.com/images/I/41GrGjR2sML._AC_UL320_.jpg")</f>
        <v>#NAME?</v>
      </c>
      <c r="I3572" t="s">
        <v>9634</v>
      </c>
      <c r="J3572">
        <v>23.98</v>
      </c>
      <c r="K3572" s="2" t="s">
        <v>9635</v>
      </c>
      <c r="L3572">
        <v>4.7</v>
      </c>
      <c r="M3572">
        <v>808</v>
      </c>
      <c r="O3572" t="s">
        <v>26</v>
      </c>
      <c r="P3572" t="s">
        <v>39</v>
      </c>
      <c r="Q3572" t="s">
        <v>9636</v>
      </c>
    </row>
    <row r="3573" spans="1:17" ht="15.75" x14ac:dyDescent="0.25">
      <c r="A3573" s="3" t="str">
        <f>HYPERLINK("https://shop.sonapharmacy.com/products/aveeno-1-hydrocortisone-anti-itch-cream-1oz", "https://shop.sonapharmacy.com/products/aveeno-1-hydrocortisone-anti-itch-cream-1oz")</f>
        <v>https://shop.sonapharmacy.com/products/aveeno-1-hydrocortisone-anti-itch-cream-1oz</v>
      </c>
      <c r="B3573" s="3" t="str">
        <f>HYPERLINK("https://shop.sonapharmacy.com/products/aveeno-1-hydrocortisone-anti-itch-cream-1oz", "https://shop.sonapharmacy.com/products/aveeno-1-hydrocortisone-anti-itch-cream-1oz")</f>
        <v>https://shop.sonapharmacy.com/products/aveeno-1-hydrocortisone-anti-itch-cream-1oz</v>
      </c>
      <c r="C3573" t="s">
        <v>9637</v>
      </c>
      <c r="D3573" t="s">
        <v>9638</v>
      </c>
      <c r="E3573" s="3" t="str">
        <f>HYPERLINK("https://www.amazon.com/Aveeno-Anti-Itch-Hydrocortisone-Maximum-Strength/dp/B01LTI054W/ref=sr_1_10?keywords=Aveeno+1%25+Hydrocortisone+Anti-Itch+Cream+1oz&amp;qid=1695260025&amp;sr=8-10", "https://www.amazon.com/Aveeno-Anti-Itch-Hydrocortisone-Maximum-Strength/dp/B01LTI054W/ref=sr_1_10?keywords=Aveeno+1%25+Hydrocortisone+Anti-Itch+Cream+1oz&amp;qid=1695260025&amp;sr=8-10")</f>
        <v>https://www.amazon.com/Aveeno-Anti-Itch-Hydrocortisone-Maximum-Strength/dp/B01LTI054W/ref=sr_1_10?keywords=Aveeno+1%25+Hydrocortisone+Anti-Itch+Cream+1oz&amp;qid=1695260025&amp;sr=8-10</v>
      </c>
      <c r="F3573" t="s">
        <v>9639</v>
      </c>
      <c r="G3573" t="e">
        <f ca="1">IMAGE("https://shop.sonapharmacy.com/cdn/shop/products/ave_381370036586_00000_1000wx1000h.jpg?v=1607800061")</f>
        <v>#NAME?</v>
      </c>
      <c r="H3573" t="e">
        <f ca="1">IMAGE("https://m.media-amazon.com/images/I/51pt-czRA4L._AC_UL320_.jpg")</f>
        <v>#NAME?</v>
      </c>
      <c r="I3573" t="s">
        <v>9640</v>
      </c>
      <c r="J3573">
        <v>33.54</v>
      </c>
      <c r="K3573" s="2" t="s">
        <v>9641</v>
      </c>
      <c r="L3573">
        <v>3.9</v>
      </c>
      <c r="M3573">
        <v>5</v>
      </c>
      <c r="O3573" t="s">
        <v>26</v>
      </c>
      <c r="P3573" t="s">
        <v>39</v>
      </c>
      <c r="Q3573" t="s">
        <v>9642</v>
      </c>
    </row>
    <row r="3574" spans="1:17" ht="15.75" x14ac:dyDescent="0.25">
      <c r="A3574" s="3" t="str">
        <f>HYPERLINK("https://shop.sonapharmacy.com/products/bayer-chewable-81-mg-low-dose-aspirin", "https://shop.sonapharmacy.com/products/bayer-chewable-81-mg-low-dose-aspirin")</f>
        <v>https://shop.sonapharmacy.com/products/bayer-chewable-81-mg-low-dose-aspirin</v>
      </c>
      <c r="B3574" s="3" t="str">
        <f>HYPERLINK("https://shop.sonapharmacy.com/products/bayer-chewable-81-mg-low-dose-aspirin", "https://shop.sonapharmacy.com/products/bayer-chewable-81-mg-low-dose-aspirin")</f>
        <v>https://shop.sonapharmacy.com/products/bayer-chewable-81-mg-low-dose-aspirin</v>
      </c>
      <c r="C3574" t="s">
        <v>8629</v>
      </c>
      <c r="D3574" t="s">
        <v>9643</v>
      </c>
      <c r="E3574" s="3" t="str">
        <f>HYPERLINK("https://www.amazon.com/Bayer-Chewable-Aspirin-Cherry-36-Count/dp/B0044QWM16/ref=sr_1_5?keywords=Bayer%C2%AE+Chewable+81+mg+Low+Dose+Aspirin&amp;qid=1695260078&amp;sr=8-5", "https://www.amazon.com/Bayer-Chewable-Aspirin-Cherry-36-Count/dp/B0044QWM16/ref=sr_1_5?keywords=Bayer%C2%AE+Chewable+81+mg+Low+Dose+Aspirin&amp;qid=1695260078&amp;sr=8-5")</f>
        <v>https://www.amazon.com/Bayer-Chewable-Aspirin-Cherry-36-Count/dp/B0044QWM16/ref=sr_1_5?keywords=Bayer%C2%AE+Chewable+81+mg+Low+Dose+Aspirin&amp;qid=1695260078&amp;sr=8-5</v>
      </c>
      <c r="F3574" t="s">
        <v>9644</v>
      </c>
      <c r="G3574" t="e">
        <f ca="1">IMAGE("https://shop.sonapharmacy.com/cdn/shop/products/Untitled-22.jpg?v=1592598310")</f>
        <v>#NAME?</v>
      </c>
      <c r="H3574" t="e">
        <f ca="1">IMAGE("https://m.media-amazon.com/images/I/81afB4wyUYL._AC_UL320_.jpg")</f>
        <v>#NAME?</v>
      </c>
      <c r="I3574" t="s">
        <v>8632</v>
      </c>
      <c r="J3574">
        <v>14.55</v>
      </c>
      <c r="K3574" s="2" t="s">
        <v>9645</v>
      </c>
      <c r="L3574">
        <v>4.8</v>
      </c>
      <c r="M3574">
        <v>1135</v>
      </c>
      <c r="O3574" t="s">
        <v>26</v>
      </c>
      <c r="P3574" t="s">
        <v>39</v>
      </c>
      <c r="Q3574" t="s">
        <v>8634</v>
      </c>
    </row>
    <row r="3575" spans="1:17" ht="15.75" x14ac:dyDescent="0.25">
      <c r="A3575" s="3" t="str">
        <f>HYPERLINK("https://shop.sonapharmacy.com/products/solarcaine-cool-aloe-burn-relief-spray-4-5-oz", "https://shop.sonapharmacy.com/products/solarcaine-cool-aloe-burn-relief-spray-4-5-oz")</f>
        <v>https://shop.sonapharmacy.com/products/solarcaine-cool-aloe-burn-relief-spray-4-5-oz</v>
      </c>
      <c r="B3575" s="3" t="str">
        <f>HYPERLINK("https://shop.sonapharmacy.com/products/solarcaine-cool-aloe-burn-relief-spray-4-5-oz", "https://shop.sonapharmacy.com/products/solarcaine-cool-aloe-burn-relief-spray-4-5-oz")</f>
        <v>https://shop.sonapharmacy.com/products/solarcaine-cool-aloe-burn-relief-spray-4-5-oz</v>
      </c>
      <c r="C3575" t="s">
        <v>9646</v>
      </c>
      <c r="D3575" t="s">
        <v>9647</v>
      </c>
      <c r="E3575" s="3" t="str">
        <f>HYPERLINK("https://www.amazon.com/Solarcaine-Relief-Spray-Lidocaine-Value/dp/B00E4MPKKK/ref=sr_1_3?keywords=Solarcaine%C2%AE+Cool+Aloe+Burn+Relief+Spray+4.5+oz&amp;qid=1695260731&amp;sr=8-3", "https://www.amazon.com/Solarcaine-Relief-Spray-Lidocaine-Value/dp/B00E4MPKKK/ref=sr_1_3?keywords=Solarcaine%C2%AE+Cool+Aloe+Burn+Relief+Spray+4.5+oz&amp;qid=1695260731&amp;sr=8-3")</f>
        <v>https://www.amazon.com/Solarcaine-Relief-Spray-Lidocaine-Value/dp/B00E4MPKKK/ref=sr_1_3?keywords=Solarcaine%C2%AE+Cool+Aloe+Burn+Relief+Spray+4.5+oz&amp;qid=1695260731&amp;sr=8-3</v>
      </c>
      <c r="F3575" t="s">
        <v>9648</v>
      </c>
      <c r="G3575" t="e">
        <f ca="1">IMAGE("https://shop.sonapharmacy.com/cdn/shop/products/1609.jpg?v=1607962555")</f>
        <v>#NAME?</v>
      </c>
      <c r="H3575" t="e">
        <f ca="1">IMAGE("https://m.media-amazon.com/images/I/61eYEwuvNmL._AC_UL320_.jpg")</f>
        <v>#NAME?</v>
      </c>
      <c r="I3575" t="s">
        <v>8880</v>
      </c>
      <c r="J3575">
        <v>29.49</v>
      </c>
      <c r="K3575" s="2" t="s">
        <v>9649</v>
      </c>
      <c r="L3575">
        <v>4.5</v>
      </c>
      <c r="M3575">
        <v>78</v>
      </c>
      <c r="O3575" t="s">
        <v>26</v>
      </c>
      <c r="P3575" t="s">
        <v>39</v>
      </c>
      <c r="Q3575" t="s">
        <v>9650</v>
      </c>
    </row>
    <row r="3576" spans="1:17" ht="15.75" x14ac:dyDescent="0.25">
      <c r="A3576" s="3" t="str">
        <f>HYPERLINK("https://shop.sonapharmacy.com/products/aquaphor%C2%AE-baby-healing-ointment-3oz", "https://shop.sonapharmacy.com/products/aquaphor%C2%AE-baby-healing-ointment-3oz")</f>
        <v>https://shop.sonapharmacy.com/products/aquaphor%C2%AE-baby-healing-ointment-3oz</v>
      </c>
      <c r="B3576" s="3" t="str">
        <f>HYPERLINK("https://shop.sonapharmacy.com/products/aquaphor%c2%ae-baby-healing-ointment-3oz", "https://shop.sonapharmacy.com/products/aquaphor%c2%ae-baby-healing-ointment-3oz")</f>
        <v>https://shop.sonapharmacy.com/products/aquaphor%c2%ae-baby-healing-ointment-3oz</v>
      </c>
      <c r="C3576" t="s">
        <v>8778</v>
      </c>
      <c r="D3576" t="s">
        <v>9651</v>
      </c>
      <c r="E3576" s="3" t="str">
        <f>HYPERLINK("https://www.amazon.com/Aquaphor-Baby-Healing-Ointment-Advanced/dp/B07W3KNQY5/ref=sr_1_6?keywords=Aquaphor+Baby+Healing+Ointment+3oz.&amp;qid=1695260046&amp;sr=8-6", "https://www.amazon.com/Aquaphor-Baby-Healing-Ointment-Advanced/dp/B07W3KNQY5/ref=sr_1_6?keywords=Aquaphor+Baby+Healing+Ointment+3oz.&amp;qid=1695260046&amp;sr=8-6")</f>
        <v>https://www.amazon.com/Aquaphor-Baby-Healing-Ointment-Advanced/dp/B07W3KNQY5/ref=sr_1_6?keywords=Aquaphor+Baby+Healing+Ointment+3oz.&amp;qid=1695260046&amp;sr=8-6</v>
      </c>
      <c r="F3576" t="s">
        <v>9652</v>
      </c>
      <c r="G3576" t="e">
        <f ca="1">IMAGE("https://shop.sonapharmacy.com/cdn/shop/products/71g48qVpgpL._AC_SL1500.jpg?v=1609262462")</f>
        <v>#NAME?</v>
      </c>
      <c r="H3576" t="e">
        <f ca="1">IMAGE("https://m.media-amazon.com/images/I/61aZ9wl0bfL._AC_UL320_.jpg")</f>
        <v>#NAME?</v>
      </c>
      <c r="I3576" t="s">
        <v>8781</v>
      </c>
      <c r="J3576">
        <v>36.880000000000003</v>
      </c>
      <c r="K3576" s="2" t="s">
        <v>9653</v>
      </c>
      <c r="L3576">
        <v>5</v>
      </c>
      <c r="M3576">
        <v>1</v>
      </c>
      <c r="O3576" t="s">
        <v>26</v>
      </c>
      <c r="P3576" t="s">
        <v>39</v>
      </c>
      <c r="Q3576" t="s">
        <v>8783</v>
      </c>
    </row>
    <row r="3577" spans="1:17" ht="15.75" x14ac:dyDescent="0.25">
      <c r="A3577" s="3" t="str">
        <f>HYPERLINK("https://shop.sonapharmacy.com/products/aveeno%C2%AE-stress-relief-moisturizing-lotion-12fl-oz", "https://shop.sonapharmacy.com/products/aveeno%C2%AE-stress-relief-moisturizing-lotion-12fl-oz")</f>
        <v>https://shop.sonapharmacy.com/products/aveeno%C2%AE-stress-relief-moisturizing-lotion-12fl-oz</v>
      </c>
      <c r="B3577" s="3" t="str">
        <f>HYPERLINK("https://shop.sonapharmacy.com/products/aveeno%c2%ae-stress-relief-moisturizing-lotion-12fl-oz", "https://shop.sonapharmacy.com/products/aveeno%c2%ae-stress-relief-moisturizing-lotion-12fl-oz")</f>
        <v>https://shop.sonapharmacy.com/products/aveeno%c2%ae-stress-relief-moisturizing-lotion-12fl-oz</v>
      </c>
      <c r="C3577" t="s">
        <v>9654</v>
      </c>
      <c r="D3577" t="s">
        <v>9655</v>
      </c>
      <c r="E3577" s="3" t="str">
        <f>HYPERLINK("https://www.amazon.com/Aveeno-Active-Naturals-Moisturizing-Lotion/dp/B01CCELDYI/ref=sr_1_7?keywords=Aveeno%C2%AE+Stress+Relief+Moisturizing+Lotion+12fl.+oz.&amp;qid=1695260046&amp;sr=8-7", "https://www.amazon.com/Aveeno-Active-Naturals-Moisturizing-Lotion/dp/B01CCELDYI/ref=sr_1_7?keywords=Aveeno%C2%AE+Stress+Relief+Moisturizing+Lotion+12fl.+oz.&amp;qid=1695260046&amp;sr=8-7")</f>
        <v>https://www.amazon.com/Aveeno-Active-Naturals-Moisturizing-Lotion/dp/B01CCELDYI/ref=sr_1_7?keywords=Aveeno%C2%AE+Stress+Relief+Moisturizing+Lotion+12fl.+oz.&amp;qid=1695260046&amp;sr=8-7</v>
      </c>
      <c r="F3577" t="s">
        <v>9656</v>
      </c>
      <c r="G3577" t="e">
        <f ca="1">IMAGE("https://shop.sonapharmacy.com/cdn/shop/products/40a83764-5436-406b-8b1a-bd97339056c2_1.5cf877934c711e4b3940cf825e34e9cd.jpg?v=1611191913")</f>
        <v>#NAME?</v>
      </c>
      <c r="H3577" t="e">
        <f ca="1">IMAGE("https://m.media-amazon.com/images/I/71M6Tk0jgTL._AC_UL320_.jpg")</f>
        <v>#NAME?</v>
      </c>
      <c r="I3577" t="s">
        <v>9657</v>
      </c>
      <c r="J3577">
        <v>40.450000000000003</v>
      </c>
      <c r="K3577" s="2" t="s">
        <v>9658</v>
      </c>
      <c r="L3577">
        <v>4</v>
      </c>
      <c r="M3577">
        <v>16</v>
      </c>
      <c r="O3577" t="s">
        <v>26</v>
      </c>
      <c r="P3577" t="s">
        <v>39</v>
      </c>
      <c r="Q3577" t="s">
        <v>9659</v>
      </c>
    </row>
    <row r="3578" spans="1:17" ht="15.75" x14ac:dyDescent="0.25">
      <c r="A3578" s="3" t="str">
        <f>HYPERLINK("https://shop.sonapharmacy.com/products/claritin%C2%AE-tablets-24-hour", "https://shop.sonapharmacy.com/products/claritin%C2%AE-tablets-24-hour")</f>
        <v>https://shop.sonapharmacy.com/products/claritin%C2%AE-tablets-24-hour</v>
      </c>
      <c r="B3578" s="3" t="str">
        <f>HYPERLINK("https://shop.sonapharmacy.com/products/claritin%c2%ae-tablets-24-hour", "https://shop.sonapharmacy.com/products/claritin%c2%ae-tablets-24-hour")</f>
        <v>https://shop.sonapharmacy.com/products/claritin%c2%ae-tablets-24-hour</v>
      </c>
      <c r="C3578" t="s">
        <v>8495</v>
      </c>
      <c r="D3578" t="s">
        <v>9660</v>
      </c>
      <c r="E3578" s="3" t="str">
        <f>HYPERLINK("https://www.amazon.com/Claritin-Non-Drowsy-outdoor-Allergies-Tablets/dp/B00XITTFKQ/ref=sr_1_2?keywords=Claritin%C2%AE+Tablets+24-Hour&amp;qid=1695260144&amp;sr=8-2", "https://www.amazon.com/Claritin-Non-Drowsy-outdoor-Allergies-Tablets/dp/B00XITTFKQ/ref=sr_1_2?keywords=Claritin%C2%AE+Tablets+24-Hour&amp;qid=1695260144&amp;sr=8-2")</f>
        <v>https://www.amazon.com/Claritin-Non-Drowsy-outdoor-Allergies-Tablets/dp/B00XITTFKQ/ref=sr_1_2?keywords=Claritin%C2%AE+Tablets+24-Hour&amp;qid=1695260144&amp;sr=8-2</v>
      </c>
      <c r="F3578" t="s">
        <v>9661</v>
      </c>
      <c r="G3578" t="e">
        <f ca="1">IMAGE("https://shop.sonapharmacy.com/cdn/shop/products/Untitled-172.jpg?v=1593451168")</f>
        <v>#NAME?</v>
      </c>
      <c r="H3578" t="e">
        <f ca="1">IMAGE("https://m.media-amazon.com/images/I/816IpELPTCL._AC_UL320_.jpg")</f>
        <v>#NAME?</v>
      </c>
      <c r="I3578" t="s">
        <v>8498</v>
      </c>
      <c r="J3578">
        <v>26.2</v>
      </c>
      <c r="K3578" s="2" t="s">
        <v>9662</v>
      </c>
      <c r="L3578">
        <v>4.8</v>
      </c>
      <c r="M3578">
        <v>2076</v>
      </c>
      <c r="O3578" t="s">
        <v>26</v>
      </c>
      <c r="P3578" t="s">
        <v>39</v>
      </c>
      <c r="Q3578" t="s">
        <v>8500</v>
      </c>
    </row>
    <row r="3579" spans="1:17" ht="15.75" x14ac:dyDescent="0.25">
      <c r="A3579" s="3" t="str">
        <f>HYPERLINK("https://shop.sonapharmacy.com/products/coricidin-hbp-cough-cold-relief-tablets", "https://shop.sonapharmacy.com/products/coricidin-hbp-cough-cold-relief-tablets")</f>
        <v>https://shop.sonapharmacy.com/products/coricidin-hbp-cough-cold-relief-tablets</v>
      </c>
      <c r="B3579" s="3" t="str">
        <f>HYPERLINK("https://shop.sonapharmacy.com/products/coricidin-hbp-cough-cold-relief-tablets", "https://shop.sonapharmacy.com/products/coricidin-hbp-cough-cold-relief-tablets")</f>
        <v>https://shop.sonapharmacy.com/products/coricidin-hbp-cough-cold-relief-tablets</v>
      </c>
      <c r="C3579" t="s">
        <v>9663</v>
      </c>
      <c r="D3579" t="s">
        <v>9664</v>
      </c>
      <c r="E3579" s="3" t="str">
        <f>HYPERLINK("https://www.amazon.com/Coricidin-Antihistamine-Cough-Suppressant-Tablets/dp/B01IAIL9G2/ref=sr_1_4?keywords=Coricidin%C2%AE+HBP+Cough+%26+Cold+Relief+Tablets&amp;qid=1695260160&amp;sr=8-4", "https://www.amazon.com/Coricidin-Antihistamine-Cough-Suppressant-Tablets/dp/B01IAIL9G2/ref=sr_1_4?keywords=Coricidin%C2%AE+HBP+Cough+%26+Cold+Relief+Tablets&amp;qid=1695260160&amp;sr=8-4")</f>
        <v>https://www.amazon.com/Coricidin-Antihistamine-Cough-Suppressant-Tablets/dp/B01IAIL9G2/ref=sr_1_4?keywords=Coricidin%C2%AE+HBP+Cough+%26+Cold+Relief+Tablets&amp;qid=1695260160&amp;sr=8-4</v>
      </c>
      <c r="F3579" t="s">
        <v>9665</v>
      </c>
      <c r="G3579" t="e">
        <f ca="1">IMAGE("https://shop.sonapharmacy.com/cdn/shop/products/CoricidinHBPCough_ColdReliefTablets.png?v=1595523273")</f>
        <v>#NAME?</v>
      </c>
      <c r="H3579" t="e">
        <f ca="1">IMAGE("https://m.media-amazon.com/images/I/81pf9MO3+GL._AC_UL320_.jpg")</f>
        <v>#NAME?</v>
      </c>
      <c r="I3579" t="s">
        <v>8231</v>
      </c>
      <c r="J3579">
        <v>41.71</v>
      </c>
      <c r="K3579" s="2" t="s">
        <v>9666</v>
      </c>
      <c r="L3579">
        <v>4.8</v>
      </c>
      <c r="M3579">
        <v>542</v>
      </c>
      <c r="O3579" t="s">
        <v>26</v>
      </c>
      <c r="P3579" t="s">
        <v>39</v>
      </c>
      <c r="Q3579" t="s">
        <v>9667</v>
      </c>
    </row>
    <row r="3580" spans="1:17" ht="15.75" x14ac:dyDescent="0.25">
      <c r="A3580" s="3" t="str">
        <f>HYPERLINK("https://shop.sonapharmacy.com/products/nova-folding-walker-with-5-inch-wheels", "https://shop.sonapharmacy.com/products/nova-folding-walker-with-5-inch-wheels")</f>
        <v>https://shop.sonapharmacy.com/products/nova-folding-walker-with-5-inch-wheels</v>
      </c>
      <c r="B3580" s="3" t="str">
        <f>HYPERLINK("https://shop.sonapharmacy.com/products/nova-folding-walker-with-5-inch-wheels", "https://shop.sonapharmacy.com/products/nova-folding-walker-with-5-inch-wheels")</f>
        <v>https://shop.sonapharmacy.com/products/nova-folding-walker-with-5-inch-wheels</v>
      </c>
      <c r="C3580" t="s">
        <v>9668</v>
      </c>
      <c r="D3580" t="s">
        <v>9669</v>
      </c>
      <c r="E3580" s="3" t="str">
        <f>HYPERLINK("https://www.amazon.com/NOVA-Bariatric-Rollator-Adjustable-Capacity/dp/B0862QNHMJ/ref=sr_1_3?keywords=Nova+Folding+Walker+with+5+Inch+Wheels&amp;qid=1695260588&amp;sr=8-3", "https://www.amazon.com/NOVA-Bariatric-Rollator-Adjustable-Capacity/dp/B0862QNHMJ/ref=sr_1_3?keywords=Nova+Folding+Walker+with+5+Inch+Wheels&amp;qid=1695260588&amp;sr=8-3")</f>
        <v>https://www.amazon.com/NOVA-Bariatric-Rollator-Adjustable-Capacity/dp/B0862QNHMJ/ref=sr_1_3?keywords=Nova+Folding+Walker+with+5+Inch+Wheels&amp;qid=1695260588&amp;sr=8-3</v>
      </c>
      <c r="F3580" t="s">
        <v>9670</v>
      </c>
      <c r="G3580" t="e">
        <f ca="1">IMAGE("https://shop.sonapharmacy.com/cdn/shop/products/Walker.jpg?v=1607191001")</f>
        <v>#NAME?</v>
      </c>
      <c r="H3580" t="e">
        <f ca="1">IMAGE("https://m.media-amazon.com/images/I/714OEfeqV5L._AC_UL320_.jpg")</f>
        <v>#NAME?</v>
      </c>
      <c r="I3580" t="s">
        <v>9671</v>
      </c>
      <c r="J3580">
        <v>309</v>
      </c>
      <c r="K3580" s="2" t="s">
        <v>9672</v>
      </c>
      <c r="L3580">
        <v>4.2</v>
      </c>
      <c r="M3580">
        <v>47</v>
      </c>
      <c r="O3580" t="s">
        <v>26</v>
      </c>
      <c r="P3580" t="s">
        <v>39</v>
      </c>
      <c r="Q3580" t="s">
        <v>9673</v>
      </c>
    </row>
    <row r="3581" spans="1:17" ht="15.75" x14ac:dyDescent="0.25">
      <c r="A3581" s="3" t="str">
        <f>HYPERLINK("https://shop.sonapharmacy.com/products/boudreauxs-butt-paste%C2%AE-original-diaper-rash-ointment", "https://shop.sonapharmacy.com/products/boudreauxs-butt-paste%C2%AE-original-diaper-rash-ointment")</f>
        <v>https://shop.sonapharmacy.com/products/boudreauxs-butt-paste%C2%AE-original-diaper-rash-ointment</v>
      </c>
      <c r="B3581" s="3" t="str">
        <f>HYPERLINK("https://shop.sonapharmacy.com/products/boudreauxs-butt-paste%c2%ae-original-diaper-rash-ointment", "https://shop.sonapharmacy.com/products/boudreauxs-butt-paste%c2%ae-original-diaper-rash-ointment")</f>
        <v>https://shop.sonapharmacy.com/products/boudreauxs-butt-paste%c2%ae-original-diaper-rash-ointment</v>
      </c>
      <c r="C3581" t="s">
        <v>9281</v>
      </c>
      <c r="D3581" t="s">
        <v>9674</v>
      </c>
      <c r="E3581" s="3" t="str">
        <f>HYPERLINK("https://www.amazon.com/Boudreauxs-Butt-Paste-Ointment-Strength/dp/B01M7Z1BAR/ref=sr_1_10?keywords=Boudreaux%27s+Butt+Paste%C2%AE+Original+Diaper+Rash+Ointment&amp;qid=1695260099&amp;sr=8-10", "https://www.amazon.com/Boudreauxs-Butt-Paste-Ointment-Strength/dp/B01M7Z1BAR/ref=sr_1_10?keywords=Boudreaux%27s+Butt+Paste%C2%AE+Original+Diaper+Rash+Ointment&amp;qid=1695260099&amp;sr=8-10")</f>
        <v>https://www.amazon.com/Boudreauxs-Butt-Paste-Ointment-Strength/dp/B01M7Z1BAR/ref=sr_1_10?keywords=Boudreaux%27s+Butt+Paste%C2%AE+Original+Diaper+Rash+Ointment&amp;qid=1695260099&amp;sr=8-10</v>
      </c>
      <c r="F3581" t="s">
        <v>9675</v>
      </c>
      <c r="G3581" t="e">
        <f ca="1">IMAGE("https://shop.sonapharmacy.com/cdn/shop/products/2oz.jpg?v=1609271951")</f>
        <v>#NAME?</v>
      </c>
      <c r="H3581" t="e">
        <f ca="1">IMAGE("https://m.media-amazon.com/images/I/815s3E96+3L._AC_UL320_.jpg")</f>
        <v>#NAME?</v>
      </c>
      <c r="I3581" t="s">
        <v>9284</v>
      </c>
      <c r="J3581">
        <v>24.59</v>
      </c>
      <c r="K3581" s="2" t="s">
        <v>5147</v>
      </c>
      <c r="L3581">
        <v>4.8</v>
      </c>
      <c r="M3581">
        <v>3980</v>
      </c>
      <c r="O3581" t="s">
        <v>26</v>
      </c>
      <c r="P3581" t="s">
        <v>39</v>
      </c>
      <c r="Q3581" t="s">
        <v>9286</v>
      </c>
    </row>
    <row r="3582" spans="1:17" ht="15.75" x14ac:dyDescent="0.25">
      <c r="A3582" s="3" t="str">
        <f>HYPERLINK("https://shop.sonapharmacy.com/products/apex%C2%AE-dayplanner-pill-organizer", "https://shop.sonapharmacy.com/products/apex%C2%AE-dayplanner-pill-organizer")</f>
        <v>https://shop.sonapharmacy.com/products/apex%C2%AE-dayplanner-pill-organizer</v>
      </c>
      <c r="B3582" s="3" t="str">
        <f>HYPERLINK("https://shop.sonapharmacy.com/products/apex%c2%ae-dayplanner-pill-organizer", "https://shop.sonapharmacy.com/products/apex%c2%ae-dayplanner-pill-organizer")</f>
        <v>https://shop.sonapharmacy.com/products/apex%c2%ae-dayplanner-pill-organizer</v>
      </c>
      <c r="C3582" t="s">
        <v>9676</v>
      </c>
      <c r="D3582" t="s">
        <v>9384</v>
      </c>
      <c r="E3582" s="3" t="str">
        <f>HYPERLINK("https://www.amazon.com/Apex-Mediplanner-Color-Coded-See-Through-Medication/dp/B000LR9ZNK/ref=sr_1_1?keywords=apex+day+planner+pill+organizer&amp;qid=1695260004&amp;sr=8-1", "https://www.amazon.com/Apex-Mediplanner-Color-Coded-See-Through-Medication/dp/B000LR9ZNK/ref=sr_1_1?keywords=apex+day+planner+pill+organizer&amp;qid=1695260004&amp;sr=8-1")</f>
        <v>https://www.amazon.com/Apex-Mediplanner-Color-Coded-See-Through-Medication/dp/B000LR9ZNK/ref=sr_1_1?keywords=apex+day+planner+pill+organizer&amp;qid=1695260004&amp;sr=8-1</v>
      </c>
      <c r="F3582" t="s">
        <v>9385</v>
      </c>
      <c r="G3582" t="e">
        <f ca="1">IMAGE("https://shop.sonapharmacy.com/cdn/shop/products/20170616155330QN4J5F9LM5P6Z_full_580x_4c451385-f9da-4907-926b-936bb87a9d9e.jpg?v=1609961315")</f>
        <v>#NAME?</v>
      </c>
      <c r="H3582" t="e">
        <f ca="1">IMAGE("https://m.media-amazon.com/images/I/61d8ACzFhHL._AC_UL320_.jpg")</f>
        <v>#NAME?</v>
      </c>
      <c r="I3582" t="s">
        <v>8117</v>
      </c>
      <c r="J3582">
        <v>7.99</v>
      </c>
      <c r="K3582" s="2" t="s">
        <v>9677</v>
      </c>
      <c r="L3582">
        <v>4.4000000000000004</v>
      </c>
      <c r="M3582">
        <v>6425</v>
      </c>
      <c r="O3582" t="s">
        <v>26</v>
      </c>
      <c r="P3582" t="s">
        <v>39</v>
      </c>
      <c r="Q3582" t="s">
        <v>9678</v>
      </c>
    </row>
    <row r="3583" spans="1:17" ht="15.75" x14ac:dyDescent="0.25">
      <c r="A3583" s="3" t="str">
        <f>HYPERLINK("https://shop.sonapharmacy.com/products/liquid-i-v-hydration-multiplier-8pck", "https://shop.sonapharmacy.com/products/liquid-i-v-hydration-multiplier-8pck")</f>
        <v>https://shop.sonapharmacy.com/products/liquid-i-v-hydration-multiplier-8pck</v>
      </c>
      <c r="B3583" s="3" t="str">
        <f>HYPERLINK("https://shop.sonapharmacy.com/products/liquid-i-v-hydration-multiplier-8pck", "https://shop.sonapharmacy.com/products/liquid-i-v-hydration-multiplier-8pck")</f>
        <v>https://shop.sonapharmacy.com/products/liquid-i-v-hydration-multiplier-8pck</v>
      </c>
      <c r="C3583" t="s">
        <v>9679</v>
      </c>
      <c r="D3583" t="s">
        <v>9680</v>
      </c>
      <c r="E3583" s="3" t="str">
        <f>HYPERLINK("https://www.amazon.com/Liquid-I-V-Hydration-Multiplier-Single-Serving/dp/B08ZYQJXZL/ref=sr_1_5?keywords=Liquid+I.V%C2%AE+Hydration+Multiplier+Electrolyte+Mix+8pck&amp;qid=1695260452&amp;sr=8-5", "https://www.amazon.com/Liquid-I-V-Hydration-Multiplier-Single-Serving/dp/B08ZYQJXZL/ref=sr_1_5?keywords=Liquid+I.V%C2%AE+Hydration+Multiplier+Electrolyte+Mix+8pck&amp;qid=1695260452&amp;sr=8-5")</f>
        <v>https://www.amazon.com/Liquid-I-V-Hydration-Multiplier-Single-Serving/dp/B08ZYQJXZL/ref=sr_1_5?keywords=Liquid+I.V%C2%AE+Hydration+Multiplier+Electrolyte+Mix+8pck&amp;qid=1695260452&amp;sr=8-5</v>
      </c>
      <c r="F3583" t="s">
        <v>9681</v>
      </c>
      <c r="G3583" t="e">
        <f ca="1">IMAGE("https://shop.sonapharmacy.com/cdn/shop/products/passionfruit.jpg?v=1610031991")</f>
        <v>#NAME?</v>
      </c>
      <c r="H3583" t="e">
        <f ca="1">IMAGE("https://m.media-amazon.com/images/I/81gST0e6nwL._AC_UL320_.jpg")</f>
        <v>#NAME?</v>
      </c>
      <c r="I3583" t="s">
        <v>3458</v>
      </c>
      <c r="J3583">
        <v>74.97</v>
      </c>
      <c r="K3583" s="2" t="s">
        <v>9682</v>
      </c>
      <c r="L3583">
        <v>4.7</v>
      </c>
      <c r="M3583">
        <v>17597</v>
      </c>
      <c r="O3583" t="s">
        <v>26</v>
      </c>
      <c r="P3583" t="s">
        <v>39</v>
      </c>
      <c r="Q3583" t="s">
        <v>9683</v>
      </c>
    </row>
    <row r="3584" spans="1:17" ht="15.75" x14ac:dyDescent="0.25">
      <c r="A3584" s="3" t="str">
        <f>HYPERLINK("https://shop.sonapharmacy.com/products/aveeno-1-hydrocortisone-anti-itch-cream-1oz", "https://shop.sonapharmacy.com/products/aveeno-1-hydrocortisone-anti-itch-cream-1oz")</f>
        <v>https://shop.sonapharmacy.com/products/aveeno-1-hydrocortisone-anti-itch-cream-1oz</v>
      </c>
      <c r="B3584" s="3" t="str">
        <f>HYPERLINK("https://shop.sonapharmacy.com/products/aveeno-1-hydrocortisone-anti-itch-cream-1oz", "https://shop.sonapharmacy.com/products/aveeno-1-hydrocortisone-anti-itch-cream-1oz")</f>
        <v>https://shop.sonapharmacy.com/products/aveeno-1-hydrocortisone-anti-itch-cream-1oz</v>
      </c>
      <c r="C3584" t="s">
        <v>9637</v>
      </c>
      <c r="D3584" t="s">
        <v>9684</v>
      </c>
      <c r="E3584" s="3" t="str">
        <f>HYPERLINK("https://www.amazon.com/AVEENO-Active-Naturals-Hydrocortisone-Anti-Itch/dp/B00620T9HM/ref=sr_1_7?keywords=Aveeno+1%25+Hydrocortisone+Anti-Itch+Cream+1oz&amp;qid=1695260025&amp;sr=8-7", "https://www.amazon.com/AVEENO-Active-Naturals-Hydrocortisone-Anti-Itch/dp/B00620T9HM/ref=sr_1_7?keywords=Aveeno+1%25+Hydrocortisone+Anti-Itch+Cream+1oz&amp;qid=1695260025&amp;sr=8-7")</f>
        <v>https://www.amazon.com/AVEENO-Active-Naturals-Hydrocortisone-Anti-Itch/dp/B00620T9HM/ref=sr_1_7?keywords=Aveeno+1%25+Hydrocortisone+Anti-Itch+Cream+1oz&amp;qid=1695260025&amp;sr=8-7</v>
      </c>
      <c r="F3584" t="s">
        <v>9685</v>
      </c>
      <c r="G3584" t="e">
        <f ca="1">IMAGE("https://shop.sonapharmacy.com/cdn/shop/products/ave_381370036586_00000_1000wx1000h.jpg?v=1607800061")</f>
        <v>#NAME?</v>
      </c>
      <c r="H3584" t="e">
        <f ca="1">IMAGE("https://m.media-amazon.com/images/I/81cXDkM-j6L._AC_UL320_.jpg")</f>
        <v>#NAME?</v>
      </c>
      <c r="I3584" t="s">
        <v>9640</v>
      </c>
      <c r="J3584">
        <v>32.729999999999997</v>
      </c>
      <c r="K3584" s="2" t="s">
        <v>9686</v>
      </c>
      <c r="L3584">
        <v>4.7</v>
      </c>
      <c r="M3584">
        <v>65</v>
      </c>
      <c r="O3584" t="s">
        <v>26</v>
      </c>
      <c r="P3584" t="s">
        <v>39</v>
      </c>
      <c r="Q3584" t="s">
        <v>9642</v>
      </c>
    </row>
    <row r="3585" spans="1:17" ht="15.75" x14ac:dyDescent="0.25">
      <c r="A3585" s="3" t="str">
        <f>HYPERLINK("https://shop.sonapharmacy.com/products/band-aid-tough-strips", "https://shop.sonapharmacy.com/products/band-aid-tough-strips")</f>
        <v>https://shop.sonapharmacy.com/products/band-aid-tough-strips</v>
      </c>
      <c r="B3585" s="3" t="str">
        <f>HYPERLINK("https://shop.sonapharmacy.com/products/band-aid-tough-strips", "https://shop.sonapharmacy.com/products/band-aid-tough-strips")</f>
        <v>https://shop.sonapharmacy.com/products/band-aid-tough-strips</v>
      </c>
      <c r="C3585" t="s">
        <v>9687</v>
      </c>
      <c r="D3585" t="s">
        <v>9688</v>
      </c>
      <c r="E3585" s="3" t="str">
        <f>HYPERLINK("https://www.amazon.com/Band-Aid-Strips-Adhesive-Bandage-Scrapes/dp/B00HQRCIKU/ref=sr_1_8?keywords=BAND-AID%C2%AE+Tough+Strips&amp;qid=1695260064&amp;sr=8-8", "https://www.amazon.com/Band-Aid-Strips-Adhesive-Bandage-Scrapes/dp/B00HQRCIKU/ref=sr_1_8?keywords=BAND-AID%C2%AE+Tough+Strips&amp;qid=1695260064&amp;sr=8-8")</f>
        <v>https://www.amazon.com/Band-Aid-Strips-Adhesive-Bandage-Scrapes/dp/B00HQRCIKU/ref=sr_1_8?keywords=BAND-AID%C2%AE+Tough+Strips&amp;qid=1695260064&amp;sr=8-8</v>
      </c>
      <c r="F3585" t="s">
        <v>9689</v>
      </c>
      <c r="G3585" t="e">
        <f ca="1">IMAGE("https://shop.sonapharmacy.com/cdn/shop/products/bab_381370044246_band_aid_band_aid_tough_strip_xl_10ct_007.jpg?v=1607288053")</f>
        <v>#NAME?</v>
      </c>
      <c r="H3585" t="e">
        <f ca="1">IMAGE("https://m.media-amazon.com/images/I/81mWLqLvopL._AC_UL320_.jpg")</f>
        <v>#NAME?</v>
      </c>
      <c r="I3585" t="s">
        <v>8512</v>
      </c>
      <c r="J3585">
        <v>21.48</v>
      </c>
      <c r="K3585" s="2" t="s">
        <v>9690</v>
      </c>
      <c r="L3585">
        <v>3.5</v>
      </c>
      <c r="M3585">
        <v>38</v>
      </c>
      <c r="O3585" t="s">
        <v>26</v>
      </c>
      <c r="P3585" t="s">
        <v>39</v>
      </c>
      <c r="Q3585" t="s">
        <v>9691</v>
      </c>
    </row>
    <row r="3586" spans="1:17" ht="15.75" x14ac:dyDescent="0.25">
      <c r="A3586" s="3" t="str">
        <f>HYPERLINK("https://shop.sonapharmacy.com/products/eos%C2%AE-sweet-mint-lip-balm", "https://shop.sonapharmacy.com/products/eos%C2%AE-sweet-mint-lip-balm")</f>
        <v>https://shop.sonapharmacy.com/products/eos%C2%AE-sweet-mint-lip-balm</v>
      </c>
      <c r="B3586" s="3" t="str">
        <f>HYPERLINK("https://shop.sonapharmacy.com/products/eos%c2%ae-sweet-mint-lip-balm", "https://shop.sonapharmacy.com/products/eos%c2%ae-sweet-mint-lip-balm")</f>
        <v>https://shop.sonapharmacy.com/products/eos%c2%ae-sweet-mint-lip-balm</v>
      </c>
      <c r="C3586" t="s">
        <v>8435</v>
      </c>
      <c r="D3586" t="s">
        <v>9692</v>
      </c>
      <c r="E3586" s="3" t="str">
        <f>HYPERLINK("https://www.amazon.com/Smooth-Balm-Sphere-Sweet-Mint/dp/B01IADYCP2/ref=sr_1_5?keywords=EOS%C2%AE+Sweet+Mint+Lip+Balm&amp;qid=1695260226&amp;sr=8-5", "https://www.amazon.com/Smooth-Balm-Sphere-Sweet-Mint/dp/B01IADYCP2/ref=sr_1_5?keywords=EOS%C2%AE+Sweet+Mint+Lip+Balm&amp;qid=1695260226&amp;sr=8-5")</f>
        <v>https://www.amazon.com/Smooth-Balm-Sphere-Sweet-Mint/dp/B01IADYCP2/ref=sr_1_5?keywords=EOS%C2%AE+Sweet+Mint+Lip+Balm&amp;qid=1695260226&amp;sr=8-5</v>
      </c>
      <c r="F3586" t="s">
        <v>9693</v>
      </c>
      <c r="G3586" t="e">
        <f ca="1">IMAGE("https://shop.sonapharmacy.com/cdn/shop/products/GUEST_b0fdc7d4-45d7-4d76-93a9-fe22762c8990.jpg?v=1610643893")</f>
        <v>#NAME?</v>
      </c>
      <c r="H3586" t="e">
        <f ca="1">IMAGE("https://m.media-amazon.com/images/I/41UBbv4euGL._AC_UL320_.jpg")</f>
        <v>#NAME?</v>
      </c>
      <c r="I3586" t="s">
        <v>8411</v>
      </c>
      <c r="J3586">
        <v>14.95</v>
      </c>
      <c r="K3586" s="2" t="s">
        <v>9694</v>
      </c>
      <c r="L3586">
        <v>4.5999999999999996</v>
      </c>
      <c r="M3586">
        <v>175</v>
      </c>
      <c r="O3586" t="s">
        <v>26</v>
      </c>
      <c r="P3586" t="s">
        <v>39</v>
      </c>
      <c r="Q3586" t="s">
        <v>8439</v>
      </c>
    </row>
    <row r="3587" spans="1:17" ht="15.75" x14ac:dyDescent="0.25">
      <c r="A3587" s="3" t="str">
        <f>HYPERLINK("https://shop.sonapharmacy.com/products/prevagen-regular-strength-10-mg-capsules", "https://shop.sonapharmacy.com/products/prevagen-regular-strength-10-mg-capsules")</f>
        <v>https://shop.sonapharmacy.com/products/prevagen-regular-strength-10-mg-capsules</v>
      </c>
      <c r="B3587" s="3" t="str">
        <f>HYPERLINK("https://shop.sonapharmacy.com/products/prevagen-regular-strength-10-mg-capsules", "https://shop.sonapharmacy.com/products/prevagen-regular-strength-10-mg-capsules")</f>
        <v>https://shop.sonapharmacy.com/products/prevagen-regular-strength-10-mg-capsules</v>
      </c>
      <c r="C3587" t="s">
        <v>8872</v>
      </c>
      <c r="D3587" t="s">
        <v>9695</v>
      </c>
      <c r="E3587" s="3" t="str">
        <f>HYPERLINK("https://www.amazon.com/Prevagen-Regular-10mg-Count-pack/dp/B019WU42A2/ref=sr_1_6?keywords=Prevagen+Regular+Strength+10+mg+Capsules+30+ct.&amp;qid=1695260646&amp;sr=8-6", "https://www.amazon.com/Prevagen-Regular-10mg-Count-pack/dp/B019WU42A2/ref=sr_1_6?keywords=Prevagen+Regular+Strength+10+mg+Capsules+30+ct.&amp;qid=1695260646&amp;sr=8-6")</f>
        <v>https://www.amazon.com/Prevagen-Regular-10mg-Count-pack/dp/B019WU42A2/ref=sr_1_6?keywords=Prevagen+Regular+Strength+10+mg+Capsules+30+ct.&amp;qid=1695260646&amp;sr=8-6</v>
      </c>
      <c r="F3587" t="s">
        <v>9696</v>
      </c>
      <c r="G3587" t="e">
        <f ca="1">IMAGE("https://shop.sonapharmacy.com/cdn/shop/products/Prevagen.jpg?v=1628795146")</f>
        <v>#NAME?</v>
      </c>
      <c r="H3587" t="e">
        <f ca="1">IMAGE("https://m.media-amazon.com/images/I/81gHpJdJM9L._AC_UL320_.jpg")</f>
        <v>#NAME?</v>
      </c>
      <c r="I3587" t="s">
        <v>6516</v>
      </c>
      <c r="J3587">
        <v>131.41999999999999</v>
      </c>
      <c r="K3587" s="2" t="s">
        <v>9697</v>
      </c>
      <c r="L3587">
        <v>4.3</v>
      </c>
      <c r="M3587">
        <v>7479</v>
      </c>
      <c r="O3587" t="s">
        <v>39</v>
      </c>
      <c r="P3587" t="s">
        <v>39</v>
      </c>
      <c r="Q3587" t="s">
        <v>8876</v>
      </c>
    </row>
    <row r="3588" spans="1:17" ht="15.75" x14ac:dyDescent="0.25">
      <c r="A3588" s="3" t="str">
        <f>HYPERLINK("https://shop.sonapharmacy.com/products/ocusoft%C2%AE-lid-scrub-foaming-eyelid-cleanser", "https://shop.sonapharmacy.com/products/ocusoft%C2%AE-lid-scrub-foaming-eyelid-cleanser")</f>
        <v>https://shop.sonapharmacy.com/products/ocusoft%C2%AE-lid-scrub-foaming-eyelid-cleanser</v>
      </c>
      <c r="B3588" s="3" t="str">
        <f>HYPERLINK("https://shop.sonapharmacy.com/products/ocusoft%c2%ae-lid-scrub-foaming-eyelid-cleanser", "https://shop.sonapharmacy.com/products/ocusoft%c2%ae-lid-scrub-foaming-eyelid-cleanser")</f>
        <v>https://shop.sonapharmacy.com/products/ocusoft%c2%ae-lid-scrub-foaming-eyelid-cleanser</v>
      </c>
      <c r="C3588" t="s">
        <v>9698</v>
      </c>
      <c r="D3588" t="s">
        <v>9699</v>
      </c>
      <c r="E3588" s="3" t="str">
        <f>HYPERLINK("https://www.amazon.com/Ocusoft-Scrub-Foaming-Eyelid-Cleanser/dp/B01BS52MWE/ref=sr_1_9?keywords=Ocusoft%C2%AE+Lid+Scrub+Foaming+Eyelid+Cleanser+7.25fl.+oz.&amp;qid=1695260604&amp;sr=8-9", "https://www.amazon.com/Ocusoft-Scrub-Foaming-Eyelid-Cleanser/dp/B01BS52MWE/ref=sr_1_9?keywords=Ocusoft%C2%AE+Lid+Scrub+Foaming+Eyelid+Cleanser+7.25fl.+oz.&amp;qid=1695260604&amp;sr=8-9")</f>
        <v>https://www.amazon.com/Ocusoft-Scrub-Foaming-Eyelid-Cleanser/dp/B01BS52MWE/ref=sr_1_9?keywords=Ocusoft%C2%AE+Lid+Scrub+Foaming+Eyelid+Cleanser+7.25fl.+oz.&amp;qid=1695260604&amp;sr=8-9</v>
      </c>
      <c r="F3588" t="s">
        <v>9700</v>
      </c>
      <c r="G3588" t="e">
        <f ca="1">IMAGE("https://shop.sonapharmacy.com/cdn/shop/products/0005336_ocusoft-lid-scrub-original-foaming-eyelid-cleanser-72-fl-oz_61823b25-aa74-473b-be31-8db6183c70a0.jpg?v=1629235328")</f>
        <v>#NAME?</v>
      </c>
      <c r="H3588" t="e">
        <f ca="1">IMAGE("https://m.media-amazon.com/images/I/61tXZlV6A9L._AC_UL320_.jpg")</f>
        <v>#NAME?</v>
      </c>
      <c r="I3588" t="s">
        <v>9701</v>
      </c>
      <c r="J3588">
        <v>78.98</v>
      </c>
      <c r="K3588" s="2" t="s">
        <v>9702</v>
      </c>
      <c r="L3588">
        <v>4.9000000000000004</v>
      </c>
      <c r="M3588">
        <v>34</v>
      </c>
      <c r="O3588" t="s">
        <v>136</v>
      </c>
      <c r="P3588" t="s">
        <v>39</v>
      </c>
      <c r="Q3588" t="s">
        <v>9703</v>
      </c>
    </row>
    <row r="3589" spans="1:17" ht="15.75" x14ac:dyDescent="0.25">
      <c r="A3589" s="3" t="str">
        <f>HYPERLINK("https://shop.sonapharmacy.com/products/curad-germ-shield-antimicrobial-gel", "https://shop.sonapharmacy.com/products/curad-germ-shield-antimicrobial-gel")</f>
        <v>https://shop.sonapharmacy.com/products/curad-germ-shield-antimicrobial-gel</v>
      </c>
      <c r="B3589" s="3" t="str">
        <f>HYPERLINK("https://shop.sonapharmacy.com/products/curad-germ-shield-antimicrobial-gel", "https://shop.sonapharmacy.com/products/curad-germ-shield-antimicrobial-gel")</f>
        <v>https://shop.sonapharmacy.com/products/curad-germ-shield-antimicrobial-gel</v>
      </c>
      <c r="C3589" t="s">
        <v>8220</v>
      </c>
      <c r="D3589" t="s">
        <v>9704</v>
      </c>
      <c r="E3589" s="3" t="str">
        <f>HYPERLINK("https://www.amazon.com/Curad-Silver-Solution-Antimicrobial-Wound/dp/B075ZFRC9K/ref=sr_1_2?keywords=Curad%C2%AE+Germ+Shield+Antimicrobial+Gel&amp;qid=1695260174&amp;sr=8-2", "https://www.amazon.com/Curad-Silver-Solution-Antimicrobial-Wound/dp/B075ZFRC9K/ref=sr_1_2?keywords=Curad%C2%AE+Germ+Shield+Antimicrobial+Gel&amp;qid=1695260174&amp;sr=8-2")</f>
        <v>https://www.amazon.com/Curad-Silver-Solution-Antimicrobial-Wound/dp/B075ZFRC9K/ref=sr_1_2?keywords=Curad%C2%AE+Germ+Shield+Antimicrobial+Gel&amp;qid=1695260174&amp;sr=8-2</v>
      </c>
      <c r="F3589" t="s">
        <v>9705</v>
      </c>
      <c r="G3589" t="e">
        <f ca="1">IMAGE("https://shop.sonapharmacy.com/cdn/shop/products/SKU_CUR45951GS_BOX_FRONT_RGB_500x550_a15b9aca-bda1-412b-afa6-e60a82cdb44c.png?v=1607719725")</f>
        <v>#NAME?</v>
      </c>
      <c r="H3589" t="e">
        <f ca="1">IMAGE("https://m.media-amazon.com/images/I/61Zckv2UseL._AC_UL320_.jpg")</f>
        <v>#NAME?</v>
      </c>
      <c r="I3589" t="s">
        <v>8102</v>
      </c>
      <c r="J3589">
        <v>18.64</v>
      </c>
      <c r="K3589" s="2" t="s">
        <v>9706</v>
      </c>
      <c r="L3589">
        <v>4.7</v>
      </c>
      <c r="M3589">
        <v>1465</v>
      </c>
      <c r="O3589" t="s">
        <v>26</v>
      </c>
      <c r="P3589" t="s">
        <v>39</v>
      </c>
      <c r="Q3589" t="s">
        <v>8224</v>
      </c>
    </row>
    <row r="3590" spans="1:17" ht="15.75" x14ac:dyDescent="0.25">
      <c r="A3590" s="3" t="str">
        <f>HYPERLINK("https://shop.sonapharmacy.com/products/hibiclens-antiseptic-antimicrobial-skin-cleanser-8fl-oz", "https://shop.sonapharmacy.com/products/hibiclens-antiseptic-antimicrobial-skin-cleanser-8fl-oz")</f>
        <v>https://shop.sonapharmacy.com/products/hibiclens-antiseptic-antimicrobial-skin-cleanser-8fl-oz</v>
      </c>
      <c r="B3590" s="3" t="str">
        <f>HYPERLINK("https://shop.sonapharmacy.com/products/hibiclens-antiseptic-antimicrobial-skin-cleanser-8fl-oz", "https://shop.sonapharmacy.com/products/hibiclens-antiseptic-antimicrobial-skin-cleanser-8fl-oz")</f>
        <v>https://shop.sonapharmacy.com/products/hibiclens-antiseptic-antimicrobial-skin-cleanser-8fl-oz</v>
      </c>
      <c r="C3590" t="s">
        <v>9707</v>
      </c>
      <c r="D3590" t="s">
        <v>9708</v>
      </c>
      <c r="E3590" s="3" t="str">
        <f>HYPERLINK("https://www.amazon.com/Hibiclens-Antimicrobial-Antiseptic-Cleanser-Hospital/dp/B000GCIC8E/ref=sr_1_7?keywords=Hibiclens+Antiseptic%2FAntimicrobial+Skin+Cleanser+8fl.+oz.&amp;qid=1695260370&amp;sr=8-7", "https://www.amazon.com/Hibiclens-Antimicrobial-Antiseptic-Cleanser-Hospital/dp/B000GCIC8E/ref=sr_1_7?keywords=Hibiclens+Antiseptic%2FAntimicrobial+Skin+Cleanser+8fl.+oz.&amp;qid=1695260370&amp;sr=8-7")</f>
        <v>https://www.amazon.com/Hibiclens-Antimicrobial-Antiseptic-Cleanser-Hospital/dp/B000GCIC8E/ref=sr_1_7?keywords=Hibiclens+Antiseptic%2FAntimicrobial+Skin+Cleanser+8fl.+oz.&amp;qid=1695260370&amp;sr=8-7</v>
      </c>
      <c r="F3590" t="s">
        <v>9709</v>
      </c>
      <c r="G3590" t="e">
        <f ca="1">IMAGE("https://shop.sonapharmacy.com/cdn/shop/products/0009905_hibiclens-skin-cleanser-4-solution-8-ounce-236ml-each.jpg?v=1608143785")</f>
        <v>#NAME?</v>
      </c>
      <c r="H3590" t="e">
        <f ca="1">IMAGE("https://m.media-amazon.com/images/I/81jFjg4G3iL._AC_UL320_.jpg")</f>
        <v>#NAME?</v>
      </c>
      <c r="I3590" t="s">
        <v>9710</v>
      </c>
      <c r="J3590">
        <v>41.9</v>
      </c>
      <c r="K3590" s="2" t="s">
        <v>9711</v>
      </c>
      <c r="L3590">
        <v>4.8</v>
      </c>
      <c r="M3590">
        <v>2588</v>
      </c>
      <c r="O3590" t="s">
        <v>26</v>
      </c>
      <c r="P3590" t="s">
        <v>39</v>
      </c>
      <c r="Q3590" t="s">
        <v>9712</v>
      </c>
    </row>
    <row r="3591" spans="1:17" ht="15.75" x14ac:dyDescent="0.25">
      <c r="A3591" s="3" t="str">
        <f>HYPERLINK("https://shop.sonapharmacy.com/products/degree-sheer-powder-dry-protection-antiperspirant-deodorant-stick", "https://shop.sonapharmacy.com/products/degree-sheer-powder-dry-protection-antiperspirant-deodorant-stick")</f>
        <v>https://shop.sonapharmacy.com/products/degree-sheer-powder-dry-protection-antiperspirant-deodorant-stick</v>
      </c>
      <c r="B3591" s="3" t="str">
        <f>HYPERLINK("https://shop.sonapharmacy.com/products/degree-sheer-powder-dry-protection-antiperspirant-deodorant-stick", "https://shop.sonapharmacy.com/products/degree-sheer-powder-dry-protection-antiperspirant-deodorant-stick")</f>
        <v>https://shop.sonapharmacy.com/products/degree-sheer-powder-dry-protection-antiperspirant-deodorant-stick</v>
      </c>
      <c r="C3591" t="s">
        <v>9713</v>
      </c>
      <c r="D3591" t="s">
        <v>9714</v>
      </c>
      <c r="E3591" s="3" t="str">
        <f>HYPERLINK("https://www.amazon.com/DEGREE-Antiperspirant-Deodorant-Protection-Powder/dp/B08YKGCQJ6/ref=sr_1_2?keywords=Degree%C2%AE+Sheer+Powder+Dry+Protection+Antiperspirant+Deodorant+Stick&amp;qid=1695260188&amp;sr=8-2", "https://www.amazon.com/DEGREE-Antiperspirant-Deodorant-Protection-Powder/dp/B08YKGCQJ6/ref=sr_1_2?keywords=Degree%C2%AE+Sheer+Powder+Dry+Protection+Antiperspirant+Deodorant+Stick&amp;qid=1695260188&amp;sr=8-2")</f>
        <v>https://www.amazon.com/DEGREE-Antiperspirant-Deodorant-Protection-Powder/dp/B08YKGCQJ6/ref=sr_1_2?keywords=Degree%C2%AE+Sheer+Powder+Dry+Protection+Antiperspirant+Deodorant+Stick&amp;qid=1695260188&amp;sr=8-2</v>
      </c>
      <c r="F3591" t="s">
        <v>9715</v>
      </c>
      <c r="G3591" t="e">
        <f ca="1">IMAGE("https://shop.sonapharmacy.com/cdn/shop/products/DegreeSheerFront.png?v=1607051708")</f>
        <v>#NAME?</v>
      </c>
      <c r="H3591" t="e">
        <f ca="1">IMAGE("https://m.media-amazon.com/images/I/815bKrSIfQL._AC_UL320_.jpg")</f>
        <v>#NAME?</v>
      </c>
      <c r="I3591" t="s">
        <v>8264</v>
      </c>
      <c r="J3591">
        <v>18.36</v>
      </c>
      <c r="K3591" s="2" t="s">
        <v>9716</v>
      </c>
      <c r="L3591">
        <v>4.5999999999999996</v>
      </c>
      <c r="M3591">
        <v>22211</v>
      </c>
      <c r="O3591" t="s">
        <v>26</v>
      </c>
      <c r="P3591" t="s">
        <v>39</v>
      </c>
      <c r="Q3591" t="s">
        <v>9717</v>
      </c>
    </row>
    <row r="3592" spans="1:17" ht="15.75" x14ac:dyDescent="0.25">
      <c r="A3592" s="3" t="str">
        <f>HYPERLINK("https://shop.sonapharmacy.com/products/reach%C2%AE-mint-waxed-floss-55yds", "https://shop.sonapharmacy.com/products/reach%C2%AE-mint-waxed-floss-55yds")</f>
        <v>https://shop.sonapharmacy.com/products/reach%C2%AE-mint-waxed-floss-55yds</v>
      </c>
      <c r="B3592" s="3" t="str">
        <f>HYPERLINK("https://shop.sonapharmacy.com/products/reach%c2%ae-mint-waxed-floss-55yds", "https://shop.sonapharmacy.com/products/reach%c2%ae-mint-waxed-floss-55yds")</f>
        <v>https://shop.sonapharmacy.com/products/reach%c2%ae-mint-waxed-floss-55yds</v>
      </c>
      <c r="C3592" t="s">
        <v>8046</v>
      </c>
      <c r="D3592" t="s">
        <v>9718</v>
      </c>
      <c r="E3592" s="3" t="str">
        <f>HYPERLINK("https://www.amazon.com/Reach-Mint-Waxed-Floss-Pack/dp/B013EK49VI/ref=sr_1_1?keywords=Reach%C2%AE+Mint+Waxed+Floss&amp;qid=1695260669&amp;sr=8-1", "https://www.amazon.com/Reach-Mint-Waxed-Floss-Pack/dp/B013EK49VI/ref=sr_1_1?keywords=Reach%C2%AE+Mint+Waxed+Floss&amp;qid=1695260669&amp;sr=8-1")</f>
        <v>https://www.amazon.com/Reach-Mint-Waxed-Floss-Pack/dp/B013EK49VI/ref=sr_1_1?keywords=Reach%C2%AE+Mint+Waxed+Floss&amp;qid=1695260669&amp;sr=8-1</v>
      </c>
      <c r="F3592" t="s">
        <v>9719</v>
      </c>
      <c r="G3592" t="e">
        <f ca="1">IMAGE("https://shop.sonapharmacy.com/cdn/shop/products/reach_mint_waxed_floss.png?v=1608573621")</f>
        <v>#NAME?</v>
      </c>
      <c r="H3592" t="e">
        <f ca="1">IMAGE("https://m.media-amazon.com/images/I/51xQ18WhiLL._AC_UL320_.jpg")</f>
        <v>#NAME?</v>
      </c>
      <c r="I3592" t="s">
        <v>8049</v>
      </c>
      <c r="J3592">
        <v>5.79</v>
      </c>
      <c r="K3592" s="2" t="s">
        <v>9720</v>
      </c>
      <c r="L3592">
        <v>4.7</v>
      </c>
      <c r="M3592">
        <v>19222</v>
      </c>
      <c r="O3592" t="s">
        <v>26</v>
      </c>
      <c r="P3592" t="s">
        <v>39</v>
      </c>
      <c r="Q3592" t="s">
        <v>8051</v>
      </c>
    </row>
    <row r="3593" spans="1:17" ht="15.75" x14ac:dyDescent="0.25">
      <c r="A3593" s="3" t="str">
        <f>HYPERLINK("https://shop.sonapharmacy.com/products/off-%C2%AE-family-care-insect-repellent-smooth-dry-spray-4oz", "https://shop.sonapharmacy.com/products/off-%C2%AE-family-care-insect-repellent-smooth-dry-spray-4oz")</f>
        <v>https://shop.sonapharmacy.com/products/off-%C2%AE-family-care-insect-repellent-smooth-dry-spray-4oz</v>
      </c>
      <c r="B3593" s="3" t="str">
        <f>HYPERLINK("https://shop.sonapharmacy.com/products/off-%c2%ae-family-care-insect-repellent-smooth-dry-spray-4oz", "https://shop.sonapharmacy.com/products/off-%c2%ae-family-care-insect-repellent-smooth-dry-spray-4oz")</f>
        <v>https://shop.sonapharmacy.com/products/off-%c2%ae-family-care-insect-repellent-smooth-dry-spray-4oz</v>
      </c>
      <c r="C3593" t="s">
        <v>9392</v>
      </c>
      <c r="D3593" t="s">
        <v>9721</v>
      </c>
      <c r="E3593" s="3" t="str">
        <f>HYPERLINK("https://www.amazon.com/OFF-Familycare-Insect-Repellent-Smooth/dp/B07FB3PNKR/ref=sr_1_8?keywords=OFF%21%C2%AE+Family+Care+Insect+Repellent+Smooth+%26+Dry+Spray+4oz.&amp;qid=1695260656&amp;sr=8-8", "https://www.amazon.com/OFF-Familycare-Insect-Repellent-Smooth/dp/B07FB3PNKR/ref=sr_1_8?keywords=OFF%21%C2%AE+Family+Care+Insect+Repellent+Smooth+%26+Dry+Spray+4oz.&amp;qid=1695260656&amp;sr=8-8")</f>
        <v>https://www.amazon.com/OFF-Familycare-Insect-Repellent-Smooth/dp/B07FB3PNKR/ref=sr_1_8?keywords=OFF%21%C2%AE+Family+Care+Insect+Repellent+Smooth+%26+Dry+Spray+4oz.&amp;qid=1695260656&amp;sr=8-8</v>
      </c>
      <c r="F3593" t="s">
        <v>9722</v>
      </c>
      <c r="G3593" t="e">
        <f ca="1">IMAGE("https://shop.sonapharmacy.com/cdn/shop/products/82380d77-220c-40b4-8024-71396ca6a7d8.a797d23efa84ece1415562ae9d549027_4e55f6cf-6eb1-4669-a3ee-922c1347d47c.jpg?v=1610757010")</f>
        <v>#NAME?</v>
      </c>
      <c r="H3593" t="e">
        <f ca="1">IMAGE("https://m.media-amazon.com/images/I/61bBFV6cn-S._AC_UL320_.jpg")</f>
        <v>#NAME?</v>
      </c>
      <c r="I3593" t="s">
        <v>9395</v>
      </c>
      <c r="J3593">
        <v>34.4</v>
      </c>
      <c r="K3593" s="2" t="s">
        <v>9723</v>
      </c>
      <c r="L3593">
        <v>4.4000000000000004</v>
      </c>
      <c r="M3593">
        <v>6</v>
      </c>
      <c r="O3593" t="s">
        <v>26</v>
      </c>
      <c r="P3593" t="s">
        <v>39</v>
      </c>
      <c r="Q3593" t="s">
        <v>9397</v>
      </c>
    </row>
    <row r="3594" spans="1:17" ht="15.75" x14ac:dyDescent="0.25">
      <c r="A3594" s="3" t="str">
        <f>HYPERLINK("https://shop.sonapharmacy.com/products/prince-of-peace-ginger-chews-4oz", "https://shop.sonapharmacy.com/products/prince-of-peace-ginger-chews-4oz")</f>
        <v>https://shop.sonapharmacy.com/products/prince-of-peace-ginger-chews-4oz</v>
      </c>
      <c r="B3594" s="3" t="str">
        <f>HYPERLINK("https://shop.sonapharmacy.com/products/prince-of-peace-ginger-chews-4oz", "https://shop.sonapharmacy.com/products/prince-of-peace-ginger-chews-4oz")</f>
        <v>https://shop.sonapharmacy.com/products/prince-of-peace-ginger-chews-4oz</v>
      </c>
      <c r="C3594" t="s">
        <v>8087</v>
      </c>
      <c r="D3594" t="s">
        <v>9724</v>
      </c>
      <c r="E3594" s="3" t="str">
        <f>HYPERLINK("https://www.amazon.com/Prince-Peace-Ginger-Chews-Lemon/dp/B08R5FBLZ6/ref=sr_1_7?keywords=Prince+Of+Peace+Ginger+Chews+4oz.&amp;qid=1695260650&amp;sr=8-7", "https://www.amazon.com/Prince-Peace-Ginger-Chews-Lemon/dp/B08R5FBLZ6/ref=sr_1_7?keywords=Prince+Of+Peace+Ginger+Chews+4oz.&amp;qid=1695260650&amp;sr=8-7")</f>
        <v>https://www.amazon.com/Prince-Peace-Ginger-Chews-Lemon/dp/B08R5FBLZ6/ref=sr_1_7?keywords=Prince+Of+Peace+Ginger+Chews+4oz.&amp;qid=1695260650&amp;sr=8-7</v>
      </c>
      <c r="F3594" t="s">
        <v>9725</v>
      </c>
      <c r="G3594" t="e">
        <f ca="1">IMAGE("https://shop.sonapharmacy.com/cdn/shop/products/original.jpg?v=1613754987")</f>
        <v>#NAME?</v>
      </c>
      <c r="H3594" t="e">
        <f ca="1">IMAGE("https://m.media-amazon.com/images/I/51Z6ZjAEyAS._AC_UL320_.jpg")</f>
        <v>#NAME?</v>
      </c>
      <c r="I3594" t="s">
        <v>8090</v>
      </c>
      <c r="J3594">
        <v>7.05</v>
      </c>
      <c r="K3594" s="2" t="s">
        <v>9726</v>
      </c>
      <c r="L3594">
        <v>4.5999999999999996</v>
      </c>
      <c r="M3594">
        <v>193</v>
      </c>
      <c r="O3594" t="s">
        <v>26</v>
      </c>
      <c r="P3594" t="s">
        <v>39</v>
      </c>
      <c r="Q3594" t="s">
        <v>8092</v>
      </c>
    </row>
    <row r="3595" spans="1:17" ht="15.75" x14ac:dyDescent="0.25">
      <c r="A3595" s="3" t="str">
        <f>HYPERLINK("https://shop.sonapharmacy.com/products/alka-seltzer%C2%AE-heartburn-gas-relief-chews-tropical-punch-32ct", "https://shop.sonapharmacy.com/products/alka-seltzer%C2%AE-heartburn-gas-relief-chews-tropical-punch-32ct")</f>
        <v>https://shop.sonapharmacy.com/products/alka-seltzer%C2%AE-heartburn-gas-relief-chews-tropical-punch-32ct</v>
      </c>
      <c r="B3595" s="3" t="str">
        <f>HYPERLINK("https://shop.sonapharmacy.com/products/alka-seltzer%c2%ae-heartburn-gas-relief-chews-tropical-punch-32ct", "https://shop.sonapharmacy.com/products/alka-seltzer%c2%ae-heartburn-gas-relief-chews-tropical-punch-32ct")</f>
        <v>https://shop.sonapharmacy.com/products/alka-seltzer%c2%ae-heartburn-gas-relief-chews-tropical-punch-32ct</v>
      </c>
      <c r="C3595" t="s">
        <v>8175</v>
      </c>
      <c r="D3595" t="s">
        <v>9727</v>
      </c>
      <c r="E3595" s="3" t="str">
        <f>HYPERLINK("https://www.amazon.com/Alka-Seltzer-Heartburn-Indigestion-Bloating-Pressure/dp/B08QG6KPD2/ref=sr_1_1?keywords=Alka-Seltzer+Heartburn+Gas+Relief+Chews+Tropical+Punch&amp;qid=1695260006&amp;sr=8-1", "https://www.amazon.com/Alka-Seltzer-Heartburn-Indigestion-Bloating-Pressure/dp/B08QG6KPD2/ref=sr_1_1?keywords=Alka-Seltzer+Heartburn+Gas+Relief+Chews+Tropical+Punch&amp;qid=1695260006&amp;sr=8-1")</f>
        <v>https://www.amazon.com/Alka-Seltzer-Heartburn-Indigestion-Bloating-Pressure/dp/B08QG6KPD2/ref=sr_1_1?keywords=Alka-Seltzer+Heartburn+Gas+Relief+Chews+Tropical+Punch&amp;qid=1695260006&amp;sr=8-1</v>
      </c>
      <c r="F3595" t="s">
        <v>9728</v>
      </c>
      <c r="G3595" t="e">
        <f ca="1">IMAGE("https://shop.sonapharmacy.com/cdn/shop/products/81ec1ae0-d212-4df8-9493-d30e16c1d6ad_2.2ded3fb69892b5ccccecbbff2e40283a.jpg?v=1611187068")</f>
        <v>#NAME?</v>
      </c>
      <c r="H3595" t="e">
        <f ca="1">IMAGE("https://m.media-amazon.com/images/I/81ZboUAbZsL._AC_UL320_.jpg")</f>
        <v>#NAME?</v>
      </c>
      <c r="I3595" t="s">
        <v>6757</v>
      </c>
      <c r="J3595">
        <v>26.66</v>
      </c>
      <c r="K3595" s="2" t="s">
        <v>9729</v>
      </c>
      <c r="L3595">
        <v>4.7</v>
      </c>
      <c r="M3595">
        <v>2404</v>
      </c>
      <c r="O3595" t="s">
        <v>26</v>
      </c>
      <c r="P3595" t="s">
        <v>39</v>
      </c>
      <c r="Q3595" t="s">
        <v>8179</v>
      </c>
    </row>
    <row r="3596" spans="1:17" ht="15.75" x14ac:dyDescent="0.25">
      <c r="A3596" s="3" t="str">
        <f>HYPERLINK("https://shop.sonapharmacy.com/products/neutrogena%C2%AE-oil-free-acne-wash-6fl-oz", "https://shop.sonapharmacy.com/products/neutrogena%C2%AE-oil-free-acne-wash-6fl-oz")</f>
        <v>https://shop.sonapharmacy.com/products/neutrogena%C2%AE-oil-free-acne-wash-6fl-oz</v>
      </c>
      <c r="B3596" s="3" t="str">
        <f>HYPERLINK("https://shop.sonapharmacy.com/products/neutrogena%c2%ae-oil-free-acne-wash-6fl-oz", "https://shop.sonapharmacy.com/products/neutrogena%c2%ae-oil-free-acne-wash-6fl-oz")</f>
        <v>https://shop.sonapharmacy.com/products/neutrogena%c2%ae-oil-free-acne-wash-6fl-oz</v>
      </c>
      <c r="C3596" t="s">
        <v>8695</v>
      </c>
      <c r="D3596" t="s">
        <v>9730</v>
      </c>
      <c r="E3596" s="3" t="str">
        <f>HYPERLINK("https://www.amazon.com/Neutrogena-Oil-Free-Acne-Wash-9-10/dp/B00H3R2J8Y/ref=sr_1_10?keywords=Neutrogena%C2%AE+Oil-Free+Acne+Wash+6fl.+oz.&amp;qid=1695260560&amp;sr=8-10", "https://www.amazon.com/Neutrogena-Oil-Free-Acne-Wash-9-10/dp/B00H3R2J8Y/ref=sr_1_10?keywords=Neutrogena%C2%AE+Oil-Free+Acne+Wash+6fl.+oz.&amp;qid=1695260560&amp;sr=8-10")</f>
        <v>https://www.amazon.com/Neutrogena-Oil-Free-Acne-Wash-9-10/dp/B00H3R2J8Y/ref=sr_1_10?keywords=Neutrogena%C2%AE+Oil-Free+Acne+Wash+6fl.+oz.&amp;qid=1695260560&amp;sr=8-10</v>
      </c>
      <c r="F3596" t="s">
        <v>9731</v>
      </c>
      <c r="G3596" t="e">
        <f ca="1">IMAGE("https://shop.sonapharmacy.com/cdn/shop/products/6801710XX_6oz_0.jpg?v=1608304751")</f>
        <v>#NAME?</v>
      </c>
      <c r="H3596" t="e">
        <f ca="1">IMAGE("https://m.media-amazon.com/images/I/71QTOv1M-pL._AC_UL320_.jpg")</f>
        <v>#NAME?</v>
      </c>
      <c r="I3596" t="s">
        <v>8698</v>
      </c>
      <c r="J3596">
        <v>32.72</v>
      </c>
      <c r="K3596" s="2" t="s">
        <v>9732</v>
      </c>
      <c r="L3596">
        <v>4.5999999999999996</v>
      </c>
      <c r="M3596">
        <v>36</v>
      </c>
      <c r="O3596" t="s">
        <v>26</v>
      </c>
      <c r="P3596" t="s">
        <v>39</v>
      </c>
      <c r="Q3596" t="s">
        <v>8700</v>
      </c>
    </row>
    <row r="3597" spans="1:17" ht="15.75" x14ac:dyDescent="0.25">
      <c r="A3597" s="3" t="str">
        <f>HYPERLINK("https://shop.sonapharmacy.com/products/apex%C2%AE-glasses-repair-kit", "https://shop.sonapharmacy.com/products/apex%C2%AE-glasses-repair-kit")</f>
        <v>https://shop.sonapharmacy.com/products/apex%C2%AE-glasses-repair-kit</v>
      </c>
      <c r="B3597" s="3" t="str">
        <f>HYPERLINK("https://shop.sonapharmacy.com/products/apex%c2%ae-glasses-repair-kit", "https://shop.sonapharmacy.com/products/apex%c2%ae-glasses-repair-kit")</f>
        <v>https://shop.sonapharmacy.com/products/apex%c2%ae-glasses-repair-kit</v>
      </c>
      <c r="C3597" t="s">
        <v>9610</v>
      </c>
      <c r="D3597" t="s">
        <v>9733</v>
      </c>
      <c r="E3597" s="3" t="str">
        <f>HYPERLINK("https://www.amazon.com/Kit%EF%BC%8CHiketolight-Sunglasses-Precision-Screwdriver-Eyeglasses/dp/B07V7DH3Y6/ref=sr_1_7?keywords=Apex+Glasses+Repair+Kit&amp;qid=1695260010&amp;sr=8-7", "https://www.amazon.com/Kit%EF%BC%8CHiketolight-Sunglasses-Precision-Screwdriver-Eyeglasses/dp/B07V7DH3Y6/ref=sr_1_7?keywords=Apex+Glasses+Repair+Kit&amp;qid=1695260010&amp;sr=8-7")</f>
        <v>https://www.amazon.com/Kit%EF%BC%8CHiketolight-Sunglasses-Precision-Screwdriver-Eyeglasses/dp/B07V7DH3Y6/ref=sr_1_7?keywords=Apex+Glasses+Repair+Kit&amp;qid=1695260010&amp;sr=8-7</v>
      </c>
      <c r="F3597" t="s">
        <v>9734</v>
      </c>
      <c r="G3597" t="e">
        <f ca="1">IMAGE("https://shop.sonapharmacy.com/cdn/shop/products/61DTHhMb4hL._AC_SX679.jpg?v=1609960307")</f>
        <v>#NAME?</v>
      </c>
      <c r="H3597" t="e">
        <f ca="1">IMAGE("https://m.media-amazon.com/images/I/71EBXuOuEPL._AC_UL320_.jpg")</f>
        <v>#NAME?</v>
      </c>
      <c r="I3597" t="s">
        <v>9613</v>
      </c>
      <c r="J3597">
        <v>8.99</v>
      </c>
      <c r="K3597" s="2" t="s">
        <v>9735</v>
      </c>
      <c r="L3597">
        <v>4.5</v>
      </c>
      <c r="M3597">
        <v>7450</v>
      </c>
      <c r="O3597" t="s">
        <v>26</v>
      </c>
      <c r="P3597" t="s">
        <v>39</v>
      </c>
      <c r="Q3597" t="s">
        <v>9615</v>
      </c>
    </row>
    <row r="3598" spans="1:17" ht="15.75" x14ac:dyDescent="0.25">
      <c r="A3598" s="3" t="str">
        <f>HYPERLINK("https://shop.sonapharmacy.com/products/apex%C2%AE-glasses-repair-kit", "https://shop.sonapharmacy.com/products/apex%C2%AE-glasses-repair-kit")</f>
        <v>https://shop.sonapharmacy.com/products/apex%C2%AE-glasses-repair-kit</v>
      </c>
      <c r="B3598" s="3" t="str">
        <f>HYPERLINK("https://shop.sonapharmacy.com/products/apex%c2%ae-glasses-repair-kit", "https://shop.sonapharmacy.com/products/apex%c2%ae-glasses-repair-kit")</f>
        <v>https://shop.sonapharmacy.com/products/apex%c2%ae-glasses-repair-kit</v>
      </c>
      <c r="C3598" t="s">
        <v>9610</v>
      </c>
      <c r="D3598" t="s">
        <v>9736</v>
      </c>
      <c r="E3598" s="3" t="str">
        <f>HYPERLINK("https://www.amazon.com/TEKPREM-Screwdriver-Eyeglasses-Sunglasses-Replacement/dp/B0BC13KX15/ref=sr_1_8?keywords=Apex+Glasses+Repair+Kit&amp;qid=1695260010&amp;sr=8-8", "https://www.amazon.com/TEKPREM-Screwdriver-Eyeglasses-Sunglasses-Replacement/dp/B0BC13KX15/ref=sr_1_8?keywords=Apex+Glasses+Repair+Kit&amp;qid=1695260010&amp;sr=8-8")</f>
        <v>https://www.amazon.com/TEKPREM-Screwdriver-Eyeglasses-Sunglasses-Replacement/dp/B0BC13KX15/ref=sr_1_8?keywords=Apex+Glasses+Repair+Kit&amp;qid=1695260010&amp;sr=8-8</v>
      </c>
      <c r="F3598" t="s">
        <v>9737</v>
      </c>
      <c r="G3598" t="e">
        <f ca="1">IMAGE("https://shop.sonapharmacy.com/cdn/shop/products/61DTHhMb4hL._AC_SX679.jpg?v=1609960307")</f>
        <v>#NAME?</v>
      </c>
      <c r="H3598" t="e">
        <f ca="1">IMAGE("https://m.media-amazon.com/images/I/81ugs99mNoL._AC_UL320_.jpg")</f>
        <v>#NAME?</v>
      </c>
      <c r="I3598" t="s">
        <v>9613</v>
      </c>
      <c r="J3598">
        <v>8.99</v>
      </c>
      <c r="K3598" s="2" t="s">
        <v>9735</v>
      </c>
      <c r="L3598">
        <v>4.5999999999999996</v>
      </c>
      <c r="M3598">
        <v>313</v>
      </c>
      <c r="O3598" t="s">
        <v>26</v>
      </c>
      <c r="P3598" t="s">
        <v>39</v>
      </c>
      <c r="Q3598" t="s">
        <v>9615</v>
      </c>
    </row>
    <row r="3599" spans="1:17" ht="15.75" x14ac:dyDescent="0.25">
      <c r="A3599" s="3" t="str">
        <f>HYPERLINK("https://shop.sonapharmacy.com/products/fleet%C2%AE-bisacodyl-enema", "https://shop.sonapharmacy.com/products/fleet%C2%AE-bisacodyl-enema")</f>
        <v>https://shop.sonapharmacy.com/products/fleet%C2%AE-bisacodyl-enema</v>
      </c>
      <c r="B3599" s="3" t="str">
        <f>HYPERLINK("https://shop.sonapharmacy.com/products/fleet%c2%ae-bisacodyl-enema", "https://shop.sonapharmacy.com/products/fleet%c2%ae-bisacodyl-enema")</f>
        <v>https://shop.sonapharmacy.com/products/fleet%c2%ae-bisacodyl-enema</v>
      </c>
      <c r="C3599" t="s">
        <v>9441</v>
      </c>
      <c r="D3599" t="s">
        <v>9738</v>
      </c>
      <c r="E3599" s="3" t="str">
        <f>HYPERLINK("https://www.amazon.com/Fleet-Bisacodyl-Enema-1-25-Pack/dp/B01IAHY7BW/ref=sr_1_4?keywords=FLEET%C2%AE+Bisacodyl+Enema+%281%29+1.25+fl+oz+Bottle&amp;qid=1695260246&amp;sr=8-4", "https://www.amazon.com/Fleet-Bisacodyl-Enema-1-25-Pack/dp/B01IAHY7BW/ref=sr_1_4?keywords=FLEET%C2%AE+Bisacodyl+Enema+%281%29+1.25+fl+oz+Bottle&amp;qid=1695260246&amp;sr=8-4")</f>
        <v>https://www.amazon.com/Fleet-Bisacodyl-Enema-1-25-Pack/dp/B01IAHY7BW/ref=sr_1_4?keywords=FLEET%C2%AE+Bisacodyl+Enema+%281%29+1.25+fl+oz+Bottle&amp;qid=1695260246&amp;sr=8-4</v>
      </c>
      <c r="F3599" t="s">
        <v>9739</v>
      </c>
      <c r="G3599" t="e">
        <f ca="1">IMAGE("https://shop.sonapharmacy.com/cdn/shop/products/0e0c0dc0-844a-469b-8d4d-f565b8ff91ac_1.f093073c3cf2fcc154e2ab7fed8c0320.jpg?v=1609350899")</f>
        <v>#NAME?</v>
      </c>
      <c r="H3599" t="e">
        <f ca="1">IMAGE("https://m.media-amazon.com/images/I/41pYbNMD7mL._AC_UL320_.jpg")</f>
        <v>#NAME?</v>
      </c>
      <c r="I3599" t="s">
        <v>9444</v>
      </c>
      <c r="J3599">
        <v>19.079999999999998</v>
      </c>
      <c r="K3599" s="2" t="s">
        <v>9740</v>
      </c>
      <c r="L3599">
        <v>4.3</v>
      </c>
      <c r="M3599">
        <v>13</v>
      </c>
      <c r="O3599" t="s">
        <v>136</v>
      </c>
      <c r="P3599" t="s">
        <v>39</v>
      </c>
      <c r="Q3599" t="s">
        <v>9446</v>
      </c>
    </row>
    <row r="3600" spans="1:17" ht="15.75" x14ac:dyDescent="0.25">
      <c r="A3600"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B3600"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C3600" t="s">
        <v>9351</v>
      </c>
      <c r="D3600" t="s">
        <v>9741</v>
      </c>
      <c r="E3600" s="3" t="str">
        <f>HYPERLINK("https://www.amazon.com/Always-Discreet-Incontinence-Underwear-Maximum/dp/B07F1KR4VW/ref=sr_1_9?keywords=Always+Discreet+Maximum+Absorbency+XL+Underwear+for+Women+15ct.&amp;qid=1695260003&amp;sr=8-9", "https://www.amazon.com/Always-Discreet-Incontinence-Underwear-Maximum/dp/B07F1KR4VW/ref=sr_1_9?keywords=Always+Discreet+Maximum+Absorbency+XL+Underwear+for+Women+15ct.&amp;qid=1695260003&amp;sr=8-9")</f>
        <v>https://www.amazon.com/Always-Discreet-Incontinence-Underwear-Maximum/dp/B07F1KR4VW/ref=sr_1_9?keywords=Always+Discreet+Maximum+Absorbency+XL+Underwear+for+Women+15ct.&amp;qid=1695260003&amp;sr=8-9</v>
      </c>
      <c r="F3600" t="s">
        <v>9742</v>
      </c>
      <c r="G3600" t="e">
        <f ca="1">IMAGE("https://shop.sonapharmacy.com/cdn/shop/products/338639f2-0083-468e-b2eb-218450a0aa4f_1.a078bb5a3baa7563816301e343b7d24b.jpg?v=1611074803")</f>
        <v>#NAME?</v>
      </c>
      <c r="H3600" t="e">
        <f ca="1">IMAGE("https://m.media-amazon.com/images/I/81AHOgICCmL._AC_UL320_.jpg")</f>
        <v>#NAME?</v>
      </c>
      <c r="I3600" t="s">
        <v>3419</v>
      </c>
      <c r="J3600">
        <v>54.99</v>
      </c>
      <c r="K3600" s="2" t="s">
        <v>9743</v>
      </c>
      <c r="L3600">
        <v>4.3</v>
      </c>
      <c r="M3600">
        <v>57</v>
      </c>
      <c r="O3600" t="s">
        <v>26</v>
      </c>
      <c r="P3600" t="s">
        <v>39</v>
      </c>
      <c r="Q3600" t="s">
        <v>9355</v>
      </c>
    </row>
    <row r="3601" spans="1:17" ht="15.75" x14ac:dyDescent="0.25">
      <c r="A3601" s="3" t="str">
        <f>HYPERLINK("https://shop.sonapharmacy.com/products/prilosec-otc%C2%AE-delayed-release-acid-reducer-tablets", "https://shop.sonapharmacy.com/products/prilosec-otc%C2%AE-delayed-release-acid-reducer-tablets")</f>
        <v>https://shop.sonapharmacy.com/products/prilosec-otc%C2%AE-delayed-release-acid-reducer-tablets</v>
      </c>
      <c r="B3601" s="3" t="str">
        <f>HYPERLINK("https://shop.sonapharmacy.com/products/prilosec-otc%c2%ae-delayed-release-acid-reducer-tablets", "https://shop.sonapharmacy.com/products/prilosec-otc%c2%ae-delayed-release-acid-reducer-tablets")</f>
        <v>https://shop.sonapharmacy.com/products/prilosec-otc%c2%ae-delayed-release-acid-reducer-tablets</v>
      </c>
      <c r="C3601" t="s">
        <v>9744</v>
      </c>
      <c r="D3601" t="s">
        <v>9745</v>
      </c>
      <c r="E3601" s="3" t="str">
        <f>HYPERLINK("https://www.amazon.com/Prilosec-Reducer-Delayed-Release-Tablets-Pack-84/dp/B01N4L0YXK/ref=sr_1_6?keywords=Prilosec+OTC%C2%AE+Delayed+Release+Acid+Reducer+Tablets&amp;qid=1695260683&amp;sr=8-6", "https://www.amazon.com/Prilosec-Reducer-Delayed-Release-Tablets-Pack-84/dp/B01N4L0YXK/ref=sr_1_6?keywords=Prilosec+OTC%C2%AE+Delayed+Release+Acid+Reducer+Tablets&amp;qid=1695260683&amp;sr=8-6")</f>
        <v>https://www.amazon.com/Prilosec-Reducer-Delayed-Release-Tablets-Pack-84/dp/B01N4L0YXK/ref=sr_1_6?keywords=Prilosec+OTC%C2%AE+Delayed+Release+Acid+Reducer+Tablets&amp;qid=1695260683&amp;sr=8-6</v>
      </c>
      <c r="F3601" t="s">
        <v>9746</v>
      </c>
      <c r="G3601" t="e">
        <f ca="1">IMAGE("https://shop.sonapharmacy.com/cdn/shop/products/81ogWiPVy2L._AC_SL1500.jpg?v=1611026906")</f>
        <v>#NAME?</v>
      </c>
      <c r="H3601" t="e">
        <f ca="1">IMAGE("https://m.media-amazon.com/images/I/71JBo3DYIrL._AC_UL320_.jpg")</f>
        <v>#NAME?</v>
      </c>
      <c r="I3601" t="s">
        <v>9258</v>
      </c>
      <c r="J3601">
        <v>43.94</v>
      </c>
      <c r="K3601" s="2" t="s">
        <v>9747</v>
      </c>
      <c r="L3601">
        <v>4.8</v>
      </c>
      <c r="M3601">
        <v>1375</v>
      </c>
      <c r="O3601" t="s">
        <v>26</v>
      </c>
      <c r="P3601" t="s">
        <v>39</v>
      </c>
      <c r="Q3601" t="s">
        <v>9748</v>
      </c>
    </row>
    <row r="3602" spans="1:17" ht="15.75" x14ac:dyDescent="0.25">
      <c r="A3602" s="3" t="str">
        <f>HYPERLINK("https://shop.sonapharmacy.com/products/pedia-lax%C2%AE-glycerin-suppositories", "https://shop.sonapharmacy.com/products/pedia-lax%C2%AE-glycerin-suppositories")</f>
        <v>https://shop.sonapharmacy.com/products/pedia-lax%C2%AE-glycerin-suppositories</v>
      </c>
      <c r="B3602" s="3" t="str">
        <f>HYPERLINK("https://shop.sonapharmacy.com/products/pedia-lax%c2%ae-glycerin-suppositories", "https://shop.sonapharmacy.com/products/pedia-lax%c2%ae-glycerin-suppositories")</f>
        <v>https://shop.sonapharmacy.com/products/pedia-lax%c2%ae-glycerin-suppositories</v>
      </c>
      <c r="C3602" t="s">
        <v>8008</v>
      </c>
      <c r="D3602" t="s">
        <v>9749</v>
      </c>
      <c r="E3602" s="3" t="str">
        <f>HYPERLINK("https://www.amazon.com/Pedia-Lax-Fleet-Liquid-Glycerin-Suppositories/dp/B01MXXNT4Z/ref=sr_1_6?keywords=Pedia-Lax%C2%AE+Glycerin+Suppositories&amp;qid=1695260628&amp;sr=8-6", "https://www.amazon.com/Pedia-Lax-Fleet-Liquid-Glycerin-Suppositories/dp/B01MXXNT4Z/ref=sr_1_6?keywords=Pedia-Lax%C2%AE+Glycerin+Suppositories&amp;qid=1695260628&amp;sr=8-6")</f>
        <v>https://www.amazon.com/Pedia-Lax-Fleet-Liquid-Glycerin-Suppositories/dp/B01MXXNT4Z/ref=sr_1_6?keywords=Pedia-Lax%C2%AE+Glycerin+Suppositories&amp;qid=1695260628&amp;sr=8-6</v>
      </c>
      <c r="F3602" t="s">
        <v>9750</v>
      </c>
      <c r="G3602" t="e">
        <f ca="1">IMAGE("https://shop.sonapharmacy.com/cdn/shop/products/pedialaxresized.jpg?v=1592422726")</f>
        <v>#NAME?</v>
      </c>
      <c r="H3602" t="e">
        <f ca="1">IMAGE("https://m.media-amazon.com/images/I/514kDGOsVJL._AC_UL320_.jpg")</f>
        <v>#NAME?</v>
      </c>
      <c r="I3602" t="s">
        <v>7952</v>
      </c>
      <c r="J3602">
        <v>10</v>
      </c>
      <c r="K3602" s="2" t="s">
        <v>9751</v>
      </c>
      <c r="L3602">
        <v>4</v>
      </c>
      <c r="M3602">
        <v>12</v>
      </c>
      <c r="O3602" t="s">
        <v>26</v>
      </c>
      <c r="P3602" t="s">
        <v>39</v>
      </c>
      <c r="Q3602" t="s">
        <v>8012</v>
      </c>
    </row>
    <row r="3603" spans="1:17" ht="15.75" x14ac:dyDescent="0.25">
      <c r="A3603" s="3" t="str">
        <f>HYPERLINK("https://shop.sonapharmacy.com/products/pedia-lax%C2%AE-glycerin-suppositories", "https://shop.sonapharmacy.com/products/pedia-lax%C2%AE-glycerin-suppositories")</f>
        <v>https://shop.sonapharmacy.com/products/pedia-lax%C2%AE-glycerin-suppositories</v>
      </c>
      <c r="B3603" s="3" t="str">
        <f>HYPERLINK("https://shop.sonapharmacy.com/products/pedia-lax%c2%ae-glycerin-suppositories", "https://shop.sonapharmacy.com/products/pedia-lax%c2%ae-glycerin-suppositories")</f>
        <v>https://shop.sonapharmacy.com/products/pedia-lax%c2%ae-glycerin-suppositories</v>
      </c>
      <c r="C3603" t="s">
        <v>8008</v>
      </c>
      <c r="D3603" t="s">
        <v>9752</v>
      </c>
      <c r="E3603" s="3" t="str">
        <f>HYPERLINK("https://www.amazon.com/Fleet-Laxative-Pedia-Lax-Glycerin-Suppositories/dp/B01M7573PC/ref=sr_1_7?keywords=Pedia-Lax%C2%AE+Glycerin+Suppositories&amp;qid=1695260628&amp;sr=8-7", "https://www.amazon.com/Fleet-Laxative-Pedia-Lax-Glycerin-Suppositories/dp/B01M7573PC/ref=sr_1_7?keywords=Pedia-Lax%C2%AE+Glycerin+Suppositories&amp;qid=1695260628&amp;sr=8-7")</f>
        <v>https://www.amazon.com/Fleet-Laxative-Pedia-Lax-Glycerin-Suppositories/dp/B01M7573PC/ref=sr_1_7?keywords=Pedia-Lax%C2%AE+Glycerin+Suppositories&amp;qid=1695260628&amp;sr=8-7</v>
      </c>
      <c r="F3603" t="s">
        <v>9753</v>
      </c>
      <c r="G3603" t="e">
        <f ca="1">IMAGE("https://shop.sonapharmacy.com/cdn/shop/products/pedialaxresized.jpg?v=1592422726")</f>
        <v>#NAME?</v>
      </c>
      <c r="H3603" t="e">
        <f ca="1">IMAGE("https://m.media-amazon.com/images/I/51d55T+yGKL._AC_UL320_.jpg")</f>
        <v>#NAME?</v>
      </c>
      <c r="I3603" t="s">
        <v>7952</v>
      </c>
      <c r="J3603">
        <v>10</v>
      </c>
      <c r="K3603" s="2" t="s">
        <v>9751</v>
      </c>
      <c r="L3603">
        <v>4.8</v>
      </c>
      <c r="M3603">
        <v>4</v>
      </c>
      <c r="O3603" t="s">
        <v>26</v>
      </c>
      <c r="P3603" t="s">
        <v>39</v>
      </c>
      <c r="Q3603" t="s">
        <v>8012</v>
      </c>
    </row>
    <row r="3604" spans="1:17" ht="15.75" x14ac:dyDescent="0.25">
      <c r="A3604" s="3" t="str">
        <f>HYPERLINK("https://shop.sonapharmacy.com/products/apex%C2%AE-weekly-twice-a-day-pill-organizer", "https://shop.sonapharmacy.com/products/apex%C2%AE-weekly-twice-a-day-pill-organizer")</f>
        <v>https://shop.sonapharmacy.com/products/apex%C2%AE-weekly-twice-a-day-pill-organizer</v>
      </c>
      <c r="B3604" s="3" t="str">
        <f>HYPERLINK("https://shop.sonapharmacy.com/products/apex%c2%ae-weekly-twice-a-day-pill-organizer", "https://shop.sonapharmacy.com/products/apex%c2%ae-weekly-twice-a-day-pill-organizer")</f>
        <v>https://shop.sonapharmacy.com/products/apex%c2%ae-weekly-twice-a-day-pill-organizer</v>
      </c>
      <c r="C3604" t="s">
        <v>9754</v>
      </c>
      <c r="D3604" t="s">
        <v>9755</v>
      </c>
      <c r="E3604" s="3" t="str">
        <f>HYPERLINK("https://www.amazon.com/Apex-Twice-Weekly-Organizer-Color/dp/B000RY7PD4/ref=sr_1_3?keywords=Apex+Weekly+Twice-A-Day+Pill+Organizer&amp;qid=1695260022&amp;sr=8-3", "https://www.amazon.com/Apex-Twice-Weekly-Organizer-Color/dp/B000RY7PD4/ref=sr_1_3?keywords=Apex+Weekly+Twice-A-Day+Pill+Organizer&amp;qid=1695260022&amp;sr=8-3")</f>
        <v>https://www.amazon.com/Apex-Twice-Weekly-Organizer-Color/dp/B000RY7PD4/ref=sr_1_3?keywords=Apex+Weekly+Twice-A-Day+Pill+Organizer&amp;qid=1695260022&amp;sr=8-3</v>
      </c>
      <c r="F3604" t="s">
        <v>9756</v>
      </c>
      <c r="G3604" t="e">
        <f ca="1">IMAGE("https://shop.sonapharmacy.com/cdn/shop/products/81bW58qDenL._AC_SL1500.jpg?v=1609957632")</f>
        <v>#NAME?</v>
      </c>
      <c r="H3604" t="e">
        <f ca="1">IMAGE("https://m.media-amazon.com/images/I/41HkSes0UDL._AC_UL320_.jpg")</f>
        <v>#NAME?</v>
      </c>
      <c r="I3604" t="s">
        <v>8983</v>
      </c>
      <c r="J3604">
        <v>20.440000000000001</v>
      </c>
      <c r="K3604" s="2" t="s">
        <v>9757</v>
      </c>
      <c r="L3604">
        <v>3.5</v>
      </c>
      <c r="M3604">
        <v>45</v>
      </c>
      <c r="O3604" t="s">
        <v>26</v>
      </c>
      <c r="P3604" t="s">
        <v>39</v>
      </c>
      <c r="Q3604" t="s">
        <v>9758</v>
      </c>
    </row>
    <row r="3605" spans="1:17" ht="15.75" x14ac:dyDescent="0.25">
      <c r="A3605" s="3" t="str">
        <f>HYPERLINK("https://shop.sonapharmacy.com/products/band-aid-flexible-fabric-100ct-assorted-sizes", "https://shop.sonapharmacy.com/products/band-aid-flexible-fabric-100ct-assorted-sizes")</f>
        <v>https://shop.sonapharmacy.com/products/band-aid-flexible-fabric-100ct-assorted-sizes</v>
      </c>
      <c r="B3605" s="3" t="str">
        <f>HYPERLINK("https://shop.sonapharmacy.com/products/band-aid-flexible-fabric-100ct-assorted-sizes", "https://shop.sonapharmacy.com/products/band-aid-flexible-fabric-100ct-assorted-sizes")</f>
        <v>https://shop.sonapharmacy.com/products/band-aid-flexible-fabric-100ct-assorted-sizes</v>
      </c>
      <c r="C3605" t="s">
        <v>9759</v>
      </c>
      <c r="D3605" t="s">
        <v>9760</v>
      </c>
      <c r="E3605" s="3" t="str">
        <f>HYPERLINK("https://www.amazon.com/Band-aid-Adhesive-Bandages-Flexible-Assorted/dp/B0095IHCBS/ref=sr_1_4?keywords=BAND-AID%C2%AE+Flexible+Fabric+Assorted+Sizes&amp;qid=1695260080&amp;sr=8-4", "https://www.amazon.com/Band-aid-Adhesive-Bandages-Flexible-Assorted/dp/B0095IHCBS/ref=sr_1_4?keywords=BAND-AID%C2%AE+Flexible+Fabric+Assorted+Sizes&amp;qid=1695260080&amp;sr=8-4")</f>
        <v>https://www.amazon.com/Band-aid-Adhesive-Bandages-Flexible-Assorted/dp/B0095IHCBS/ref=sr_1_4?keywords=BAND-AID%C2%AE+Flexible+Fabric+Assorted+Sizes&amp;qid=1695260080&amp;sr=8-4</v>
      </c>
      <c r="F3605" t="s">
        <v>9761</v>
      </c>
      <c r="G3605" t="e">
        <f ca="1">IMAGE("https://shop.sonapharmacy.com/cdn/shop/products/bab_381370044307_band_aid_band_aid_flexible_fabric_assorted_30ct_007.jpg?v=1607202177")</f>
        <v>#NAME?</v>
      </c>
      <c r="H3605" t="e">
        <f ca="1">IMAGE("https://m.media-amazon.com/images/I/31PKIdUGUOL._AC_UL320_.jpg")</f>
        <v>#NAME?</v>
      </c>
      <c r="I3605" t="s">
        <v>8834</v>
      </c>
      <c r="J3605">
        <v>19.12</v>
      </c>
      <c r="K3605" s="2" t="s">
        <v>9762</v>
      </c>
      <c r="L3605">
        <v>4.7</v>
      </c>
      <c r="M3605">
        <v>135</v>
      </c>
      <c r="O3605" t="s">
        <v>26</v>
      </c>
      <c r="P3605" t="s">
        <v>39</v>
      </c>
      <c r="Q3605" t="s">
        <v>9763</v>
      </c>
    </row>
    <row r="3606" spans="1:17" ht="15.75" x14ac:dyDescent="0.25">
      <c r="A3606" s="3" t="str">
        <f>HYPERLINK("https://shop.sonapharmacy.com/products/band-aid-flexible-fabric-100ct-all-one-size", "https://shop.sonapharmacy.com/products/band-aid-flexible-fabric-100ct-all-one-size")</f>
        <v>https://shop.sonapharmacy.com/products/band-aid-flexible-fabric-100ct-all-one-size</v>
      </c>
      <c r="B3606" s="3" t="str">
        <f>HYPERLINK("https://shop.sonapharmacy.com/products/band-aid-flexible-fabric-100ct-all-one-size", "https://shop.sonapharmacy.com/products/band-aid-flexible-fabric-100ct-all-one-size")</f>
        <v>https://shop.sonapharmacy.com/products/band-aid-flexible-fabric-100ct-all-one-size</v>
      </c>
      <c r="C3606" t="s">
        <v>8911</v>
      </c>
      <c r="D3606" t="s">
        <v>9764</v>
      </c>
      <c r="E3606" s="3" t="str">
        <f>HYPERLINK("https://www.amazon.com/Band-Aid-Flexible-Adhesive-Comfortable-Protection/dp/B09SJ289S6/ref=sr_1_5?keywords=BAND-AID%C2%AE+Flexible+Fabric+All+One+Size&amp;qid=1695260052&amp;sr=8-5", "https://www.amazon.com/Band-Aid-Flexible-Adhesive-Comfortable-Protection/dp/B09SJ289S6/ref=sr_1_5?keywords=BAND-AID%C2%AE+Flexible+Fabric+All+One+Size&amp;qid=1695260052&amp;sr=8-5")</f>
        <v>https://www.amazon.com/Band-Aid-Flexible-Adhesive-Comfortable-Protection/dp/B09SJ289S6/ref=sr_1_5?keywords=BAND-AID%C2%AE+Flexible+Fabric+All+One+Size&amp;qid=1695260052&amp;sr=8-5</v>
      </c>
      <c r="F3606" t="s">
        <v>9765</v>
      </c>
      <c r="G3606" t="e">
        <f ca="1">IMAGE("https://shop.sonapharmacy.com/cdn/shop/products/bab_381370044314_band_aid_band_aid_flexible_fabric_aos_30ct_007.jpg?v=1614702050")</f>
        <v>#NAME?</v>
      </c>
      <c r="H3606" t="e">
        <f ca="1">IMAGE("https://m.media-amazon.com/images/I/91z-9FS70ML._AC_UL320_.jpg")</f>
        <v>#NAME?</v>
      </c>
      <c r="I3606" t="s">
        <v>8834</v>
      </c>
      <c r="J3606">
        <v>19.12</v>
      </c>
      <c r="K3606" s="2" t="s">
        <v>9762</v>
      </c>
      <c r="L3606">
        <v>4.8</v>
      </c>
      <c r="M3606">
        <v>3094</v>
      </c>
      <c r="O3606" t="s">
        <v>26</v>
      </c>
      <c r="P3606" t="s">
        <v>39</v>
      </c>
      <c r="Q3606" t="s">
        <v>8915</v>
      </c>
    </row>
    <row r="3607" spans="1:17" ht="15.75" x14ac:dyDescent="0.25">
      <c r="A3607" s="3" t="str">
        <f>HYPERLINK("https://shop.sonapharmacy.com/products/coricidin-hbp-chest-congestion-cough-liquid-gels", "https://shop.sonapharmacy.com/products/coricidin-hbp-chest-congestion-cough-liquid-gels")</f>
        <v>https://shop.sonapharmacy.com/products/coricidin-hbp-chest-congestion-cough-liquid-gels</v>
      </c>
      <c r="B3607" s="3" t="str">
        <f>HYPERLINK("https://shop.sonapharmacy.com/products/coricidin-hbp-chest-congestion-cough-liquid-gels", "https://shop.sonapharmacy.com/products/coricidin-hbp-chest-congestion-cough-liquid-gels")</f>
        <v>https://shop.sonapharmacy.com/products/coricidin-hbp-chest-congestion-cough-liquid-gels</v>
      </c>
      <c r="C3607" t="s">
        <v>9766</v>
      </c>
      <c r="D3607" t="s">
        <v>9767</v>
      </c>
      <c r="E3607" s="3" t="str">
        <f>HYPERLINK("https://www.amazon.com/Coricidin-Chest-Congestion-Cough-Liqui-Gels/dp/B00IARTQDW/ref=sr_1_2?keywords=Coricidin%C2%AE+HBP+Chest+Congestion+%26+Cough+Liquid+Gels&amp;qid=1695260160&amp;sr=8-2", "https://www.amazon.com/Coricidin-Chest-Congestion-Cough-Liqui-Gels/dp/B00IARTQDW/ref=sr_1_2?keywords=Coricidin%C2%AE+HBP+Chest+Congestion+%26+Cough+Liquid+Gels&amp;qid=1695260160&amp;sr=8-2")</f>
        <v>https://www.amazon.com/Coricidin-Chest-Congestion-Cough-Liqui-Gels/dp/B00IARTQDW/ref=sr_1_2?keywords=Coricidin%C2%AE+HBP+Chest+Congestion+%26+Cough+Liquid+Gels&amp;qid=1695260160&amp;sr=8-2</v>
      </c>
      <c r="F3607" t="s">
        <v>9768</v>
      </c>
      <c r="G3607" t="e">
        <f ca="1">IMAGE("https://shop.sonapharmacy.com/cdn/shop/products/CoricidinHBPChestCongestion_CoughLiquidGels.png?v=1595528319")</f>
        <v>#NAME?</v>
      </c>
      <c r="H3607" t="e">
        <f ca="1">IMAGE("https://m.media-amazon.com/images/I/818lXLv94jL._AC_UL320_.jpg")</f>
        <v>#NAME?</v>
      </c>
      <c r="I3607" t="s">
        <v>9769</v>
      </c>
      <c r="J3607">
        <v>42</v>
      </c>
      <c r="K3607" s="2" t="s">
        <v>9770</v>
      </c>
      <c r="L3607">
        <v>4.8</v>
      </c>
      <c r="M3607">
        <v>517</v>
      </c>
      <c r="O3607" t="s">
        <v>26</v>
      </c>
      <c r="P3607" t="s">
        <v>39</v>
      </c>
      <c r="Q3607" t="s">
        <v>9771</v>
      </c>
    </row>
    <row r="3608" spans="1:17" ht="15.75" x14ac:dyDescent="0.25">
      <c r="A3608" s="3" t="str">
        <f>HYPERLINK("https://shop.sonapharmacy.com/products/dr-scholl-s%C2%AE-stylish-step%C2%AE-ball-of-foot-cushions-for-high-heels", "https://shop.sonapharmacy.com/products/dr-scholl-s%C2%AE-stylish-step%C2%AE-ball-of-foot-cushions-for-high-heels")</f>
        <v>https://shop.sonapharmacy.com/products/dr-scholl-s%C2%AE-stylish-step%C2%AE-ball-of-foot-cushions-for-high-heels</v>
      </c>
      <c r="B3608" s="3" t="str">
        <f>HYPERLINK("https://shop.sonapharmacy.com/products/dr-scholl-s%c2%ae-stylish-step%c2%ae-ball-of-foot-cushions-for-high-heels", "https://shop.sonapharmacy.com/products/dr-scholl-s%c2%ae-stylish-step%c2%ae-ball-of-foot-cushions-for-high-heels")</f>
        <v>https://shop.sonapharmacy.com/products/dr-scholl-s%c2%ae-stylish-step%c2%ae-ball-of-foot-cushions-for-high-heels</v>
      </c>
      <c r="C3608" t="s">
        <v>9772</v>
      </c>
      <c r="D3608" t="s">
        <v>9773</v>
      </c>
      <c r="E3608" s="3" t="str">
        <f>HYPERLINK("https://www.amazon.com/Dr-Scholls-Stylish-Cushions-Heels/dp/B07B9GXBF6/ref=sr_1_6?keywords=Dr.+Scholl%E2%80%99s%C2%AE+Stylish+Step%C2%AE+Ball+of+Foot+Cushions+for+High+Heels&amp;qid=1695260216&amp;sr=8-6", "https://www.amazon.com/Dr-Scholls-Stylish-Cushions-Heels/dp/B07B9GXBF6/ref=sr_1_6?keywords=Dr.+Scholl%E2%80%99s%C2%AE+Stylish+Step%C2%AE+Ball+of+Foot+Cushions+for+High+Heels&amp;qid=1695260216&amp;sr=8-6")</f>
        <v>https://www.amazon.com/Dr-Scholls-Stylish-Cushions-Heels/dp/B07B9GXBF6/ref=sr_1_6?keywords=Dr.+Scholl%E2%80%99s%C2%AE+Stylish+Step%C2%AE+Ball+of+Foot+Cushions+for+High+Heels&amp;qid=1695260216&amp;sr=8-6</v>
      </c>
      <c r="F3608" t="s">
        <v>9774</v>
      </c>
      <c r="G3608" t="e">
        <f ca="1">IMAGE("https://shop.sonapharmacy.com/cdn/shop/products/2e45621c-3f2c-429b-9891-4c2961212334_2.ed3f78703faf1f19358da5492ae0a025.jpg?v=1610419107")</f>
        <v>#NAME?</v>
      </c>
      <c r="H3608" t="e">
        <f ca="1">IMAGE("https://m.media-amazon.com/images/I/41a+3BiS5iL._AC_UL320_.jpg")</f>
        <v>#NAME?</v>
      </c>
      <c r="I3608" t="s">
        <v>8341</v>
      </c>
      <c r="J3608">
        <v>30.98</v>
      </c>
      <c r="K3608" s="2" t="s">
        <v>9775</v>
      </c>
      <c r="L3608">
        <v>4</v>
      </c>
      <c r="M3608">
        <v>1</v>
      </c>
      <c r="O3608" t="s">
        <v>26</v>
      </c>
      <c r="P3608" t="s">
        <v>39</v>
      </c>
      <c r="Q3608" t="s">
        <v>9776</v>
      </c>
    </row>
    <row r="3609" spans="1:17" ht="15.75" x14ac:dyDescent="0.25">
      <c r="A3609" s="3" t="str">
        <f>HYPERLINK("https://shop.sonapharmacy.com/products/colace-2-in-1-stool-softener-stimulant-laxative", "https://shop.sonapharmacy.com/products/colace-2-in-1-stool-softener-stimulant-laxative")</f>
        <v>https://shop.sonapharmacy.com/products/colace-2-in-1-stool-softener-stimulant-laxative</v>
      </c>
      <c r="B3609" s="3" t="str">
        <f>HYPERLINK("https://shop.sonapharmacy.com/products/colace-2-in-1-stool-softener-stimulant-laxative", "https://shop.sonapharmacy.com/products/colace-2-in-1-stool-softener-stimulant-laxative")</f>
        <v>https://shop.sonapharmacy.com/products/colace-2-in-1-stool-softener-stimulant-laxative</v>
      </c>
      <c r="C3609" t="s">
        <v>8457</v>
      </c>
      <c r="D3609" t="s">
        <v>9777</v>
      </c>
      <c r="E3609" s="3" t="str">
        <f>HYPERLINK("https://www.amazon.com/Colace-Softener-Stimulant-Laxative-Tablets/dp/B07GTC1QHC/ref=sr_1_8?keywords=Colace%C2%AE+2-IN-1+Stool+Softener+%2B+Stimulant+Laxative&amp;qid=1695260155&amp;sr=8-8", "https://www.amazon.com/Colace-Softener-Stimulant-Laxative-Tablets/dp/B07GTC1QHC/ref=sr_1_8?keywords=Colace%C2%AE+2-IN-1+Stool+Softener+%2B+Stimulant+Laxative&amp;qid=1695260155&amp;sr=8-8")</f>
        <v>https://www.amazon.com/Colace-Softener-Stimulant-Laxative-Tablets/dp/B07GTC1QHC/ref=sr_1_8?keywords=Colace%C2%AE+2-IN-1+Stool+Softener+%2B+Stimulant+Laxative&amp;qid=1695260155&amp;sr=8-8</v>
      </c>
      <c r="F3609" t="s">
        <v>9778</v>
      </c>
      <c r="G3609" t="e">
        <f ca="1">IMAGE("https://shop.sonapharmacy.com/cdn/shop/products/Colace2-IN-1Front.png?v=1606927041")</f>
        <v>#NAME?</v>
      </c>
      <c r="H3609" t="e">
        <f ca="1">IMAGE("https://m.media-amazon.com/images/I/517l94fenyL._AC_UL320_.jpg")</f>
        <v>#NAME?</v>
      </c>
      <c r="I3609" t="s">
        <v>8460</v>
      </c>
      <c r="J3609">
        <v>57.5</v>
      </c>
      <c r="K3609" s="2" t="s">
        <v>9779</v>
      </c>
      <c r="L3609">
        <v>4.3</v>
      </c>
      <c r="M3609">
        <v>12</v>
      </c>
      <c r="O3609" t="s">
        <v>26</v>
      </c>
      <c r="P3609" t="s">
        <v>39</v>
      </c>
      <c r="Q3609" t="s">
        <v>8462</v>
      </c>
    </row>
    <row r="3610" spans="1:17" ht="15.75" x14ac:dyDescent="0.25">
      <c r="A3610" s="3" t="str">
        <f>HYPERLINK("https://shop.sonapharmacy.com/products/prince-of-peace-ginger-chews-4oz", "https://shop.sonapharmacy.com/products/prince-of-peace-ginger-chews-4oz")</f>
        <v>https://shop.sonapharmacy.com/products/prince-of-peace-ginger-chews-4oz</v>
      </c>
      <c r="B3610" s="3" t="str">
        <f>HYPERLINK("https://shop.sonapharmacy.com/products/prince-of-peace-ginger-chews-4oz", "https://shop.sonapharmacy.com/products/prince-of-peace-ginger-chews-4oz")</f>
        <v>https://shop.sonapharmacy.com/products/prince-of-peace-ginger-chews-4oz</v>
      </c>
      <c r="C3610" t="s">
        <v>8087</v>
      </c>
      <c r="D3610" t="s">
        <v>9780</v>
      </c>
      <c r="E3610" s="3" t="str">
        <f>HYPERLINK("https://www.amazon.com/Prince-Peace-Original-Ginger-Chews/dp/B0779PY9KC/ref=sr_1_1?keywords=Prince+Of+Peace+Ginger+Chews+4oz.&amp;qid=1695260650&amp;sr=8-1", "https://www.amazon.com/Prince-Peace-Original-Ginger-Chews/dp/B0779PY9KC/ref=sr_1_1?keywords=Prince+Of+Peace+Ginger+Chews+4oz.&amp;qid=1695260650&amp;sr=8-1")</f>
        <v>https://www.amazon.com/Prince-Peace-Original-Ginger-Chews/dp/B0779PY9KC/ref=sr_1_1?keywords=Prince+Of+Peace+Ginger+Chews+4oz.&amp;qid=1695260650&amp;sr=8-1</v>
      </c>
      <c r="F3610" t="s">
        <v>9781</v>
      </c>
      <c r="G3610" t="e">
        <f ca="1">IMAGE("https://shop.sonapharmacy.com/cdn/shop/products/original.jpg?v=1613754987")</f>
        <v>#NAME?</v>
      </c>
      <c r="H3610" t="e">
        <f ca="1">IMAGE("https://m.media-amazon.com/images/I/81tEAYeUO5L._AC_UL320_.jpg")</f>
        <v>#NAME?</v>
      </c>
      <c r="I3610" t="s">
        <v>8090</v>
      </c>
      <c r="J3610">
        <v>6.8</v>
      </c>
      <c r="K3610" s="2" t="s">
        <v>9782</v>
      </c>
      <c r="L3610">
        <v>4.7</v>
      </c>
      <c r="M3610">
        <v>18302</v>
      </c>
      <c r="O3610" t="s">
        <v>26</v>
      </c>
      <c r="P3610" t="s">
        <v>39</v>
      </c>
      <c r="Q3610" t="s">
        <v>8092</v>
      </c>
    </row>
    <row r="3611" spans="1:17" ht="15.75" x14ac:dyDescent="0.25">
      <c r="A3611"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B3611"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C3611" t="s">
        <v>9453</v>
      </c>
      <c r="D3611" t="s">
        <v>9783</v>
      </c>
      <c r="E3611" s="3" t="str">
        <f>HYPERLINK("https://www.amazon.com/Depend-Incontinence-Underwear-Absorbency-Packaging/dp/B016ETQP8G/ref=sr_1_3?keywords=Depend%C2%AE+For+Men+Fit-Flex+Underwear+Maximum+Absorbency+Large+17ct.&amp;qid=1695260190&amp;sr=8-3", "https://www.amazon.com/Depend-Incontinence-Underwear-Absorbency-Packaging/dp/B016ETQP8G/ref=sr_1_3?keywords=Depend%C2%AE+For+Men+Fit-Flex+Underwear+Maximum+Absorbency+Large+17ct.&amp;qid=1695260190&amp;sr=8-3")</f>
        <v>https://www.amazon.com/Depend-Incontinence-Underwear-Absorbency-Packaging/dp/B016ETQP8G/ref=sr_1_3?keywords=Depend%C2%AE+For+Men+Fit-Flex+Underwear+Maximum+Absorbency+Large+17ct.&amp;qid=1695260190&amp;sr=8-3</v>
      </c>
      <c r="F3611" t="s">
        <v>9784</v>
      </c>
      <c r="G3611" t="e">
        <f ca="1">IMAGE("https://shop.sonapharmacy.com/cdn/shop/products/8193lwhuLwL._AC_SL1500.jpg?v=1611075729")</f>
        <v>#NAME?</v>
      </c>
      <c r="H3611" t="e">
        <f ca="1">IMAGE("https://m.media-amazon.com/images/I/81Dbs2erIoL._AC_UL320_.jpg")</f>
        <v>#NAME?</v>
      </c>
      <c r="I3611" t="s">
        <v>9290</v>
      </c>
      <c r="J3611">
        <v>60.49</v>
      </c>
      <c r="K3611" s="2" t="s">
        <v>9785</v>
      </c>
      <c r="L3611">
        <v>4.5999999999999996</v>
      </c>
      <c r="M3611">
        <v>19593</v>
      </c>
      <c r="O3611" t="s">
        <v>26</v>
      </c>
      <c r="P3611" t="s">
        <v>39</v>
      </c>
      <c r="Q3611" t="s">
        <v>9457</v>
      </c>
    </row>
    <row r="3612" spans="1:17" ht="15.75" x14ac:dyDescent="0.25">
      <c r="A3612" s="3" t="str">
        <f>HYPERLINK("https://shop.sonapharmacy.com/products/q-tips-cotton-swabs", "https://shop.sonapharmacy.com/products/q-tips-cotton-swabs")</f>
        <v>https://shop.sonapharmacy.com/products/q-tips-cotton-swabs</v>
      </c>
      <c r="B3612" s="3" t="str">
        <f>HYPERLINK("https://shop.sonapharmacy.com/products/q-tips-cotton-swabs", "https://shop.sonapharmacy.com/products/q-tips-cotton-swabs")</f>
        <v>https://shop.sonapharmacy.com/products/q-tips-cotton-swabs</v>
      </c>
      <c r="C3612" t="s">
        <v>9155</v>
      </c>
      <c r="D3612" t="s">
        <v>9786</v>
      </c>
      <c r="E3612" s="3" t="str">
        <f>HYPERLINK("https://www.amazon.com/Q-tips-Cotton-Swabs-500-Pack/dp/B0176QMIEQ/ref=sr_1_7?keywords=Q-tips+Cotton+Swabs&amp;qid=1695260660&amp;sr=8-7", "https://www.amazon.com/Q-tips-Cotton-Swabs-500-Pack/dp/B0176QMIEQ/ref=sr_1_7?keywords=Q-tips+Cotton+Swabs&amp;qid=1695260660&amp;sr=8-7")</f>
        <v>https://www.amazon.com/Q-tips-Cotton-Swabs-500-Pack/dp/B0176QMIEQ/ref=sr_1_7?keywords=Q-tips+Cotton+Swabs&amp;qid=1695260660&amp;sr=8-7</v>
      </c>
      <c r="F3612" t="s">
        <v>9787</v>
      </c>
      <c r="G3612" t="e">
        <f ca="1">IMAGE("https://shop.sonapharmacy.com/cdn/shop/products/qtips_travel.png?v=1606762585")</f>
        <v>#NAME?</v>
      </c>
      <c r="H3612" t="e">
        <f ca="1">IMAGE("https://m.media-amazon.com/images/I/81M2h4MMhTL._AC_UL320_.jpg")</f>
        <v>#NAME?</v>
      </c>
      <c r="I3612" t="s">
        <v>8927</v>
      </c>
      <c r="J3612">
        <v>13.24</v>
      </c>
      <c r="K3612" s="2" t="s">
        <v>9788</v>
      </c>
      <c r="L3612">
        <v>4.8</v>
      </c>
      <c r="M3612">
        <v>10431</v>
      </c>
      <c r="O3612" t="s">
        <v>26</v>
      </c>
      <c r="P3612" t="s">
        <v>39</v>
      </c>
      <c r="Q3612" t="s">
        <v>9159</v>
      </c>
    </row>
    <row r="3613" spans="1:17" ht="15.75" x14ac:dyDescent="0.25">
      <c r="A3613" s="3" t="str">
        <f>HYPERLINK("https://shop.sonapharmacy.com/products/foille-medicated-first-aid-ointment-1oz", "https://shop.sonapharmacy.com/products/foille-medicated-first-aid-ointment-1oz")</f>
        <v>https://shop.sonapharmacy.com/products/foille-medicated-first-aid-ointment-1oz</v>
      </c>
      <c r="B3613" s="3" t="str">
        <f>HYPERLINK("https://shop.sonapharmacy.com/products/foille-medicated-first-aid-ointment-1oz", "https://shop.sonapharmacy.com/products/foille-medicated-first-aid-ointment-1oz")</f>
        <v>https://shop.sonapharmacy.com/products/foille-medicated-first-aid-ointment-1oz</v>
      </c>
      <c r="C3613" t="s">
        <v>8677</v>
      </c>
      <c r="D3613" t="s">
        <v>9789</v>
      </c>
      <c r="E3613" s="3" t="str">
        <f>HYPERLINK("https://www.amazon.com/Foille-Medicated-First-Ointment-Pack/dp/B01FAN6RQM/ref=sr_1_10?keywords=Foille+Medicated+First+Aid+Ointment+1oz.&amp;qid=1695260242&amp;sr=8-10", "https://www.amazon.com/Foille-Medicated-First-Ointment-Pack/dp/B01FAN6RQM/ref=sr_1_10?keywords=Foille+Medicated+First+Aid+Ointment+1oz.&amp;qid=1695260242&amp;sr=8-10")</f>
        <v>https://www.amazon.com/Foille-Medicated-First-Ointment-Pack/dp/B01FAN6RQM/ref=sr_1_10?keywords=Foille+Medicated+First+Aid+Ointment+1oz.&amp;qid=1695260242&amp;sr=8-10</v>
      </c>
      <c r="F3613" t="s">
        <v>9790</v>
      </c>
      <c r="G3613" t="e">
        <f ca="1">IMAGE("https://shop.sonapharmacy.com/cdn/shop/products/51q-pUYDQIL._AC_SL1500.jpg?v=1609351378")</f>
        <v>#NAME?</v>
      </c>
      <c r="H3613" t="e">
        <f ca="1">IMAGE("https://m.media-amazon.com/images/I/61yRf2iE4tL._AC_UL320_.jpg")</f>
        <v>#NAME?</v>
      </c>
      <c r="I3613" t="s">
        <v>8680</v>
      </c>
      <c r="J3613">
        <v>15.93</v>
      </c>
      <c r="K3613" s="2" t="s">
        <v>9791</v>
      </c>
      <c r="L3613">
        <v>5</v>
      </c>
      <c r="M3613">
        <v>5</v>
      </c>
      <c r="O3613" t="s">
        <v>26</v>
      </c>
      <c r="P3613" t="s">
        <v>39</v>
      </c>
      <c r="Q3613" t="s">
        <v>8682</v>
      </c>
    </row>
    <row r="3614" spans="1:17" ht="15.75" x14ac:dyDescent="0.25">
      <c r="A3614" s="3" t="str">
        <f>HYPERLINK("https://shop.sonapharmacy.com/products/okeeffes%C2%AE-cooling-relief-lip-repair", "https://shop.sonapharmacy.com/products/okeeffes%C2%AE-cooling-relief-lip-repair")</f>
        <v>https://shop.sonapharmacy.com/products/okeeffes%C2%AE-cooling-relief-lip-repair</v>
      </c>
      <c r="B3614" s="3" t="str">
        <f>HYPERLINK("https://shop.sonapharmacy.com/products/okeeffes%c2%ae-cooling-relief-lip-repair", "https://shop.sonapharmacy.com/products/okeeffes%c2%ae-cooling-relief-lip-repair")</f>
        <v>https://shop.sonapharmacy.com/products/okeeffes%c2%ae-cooling-relief-lip-repair</v>
      </c>
      <c r="C3614" t="s">
        <v>8157</v>
      </c>
      <c r="D3614" t="s">
        <v>9792</v>
      </c>
      <c r="E3614" s="3" t="str">
        <f>HYPERLINK("https://www.amazon.com/OKeeffes-Cooling-Relief-Repair-Cracked/dp/B01M0I78OF/ref=sr_1_10?keywords=O%27Keeffe%27s%C2%AE+Cooling+Relief+Lip+Repair&amp;qid=1695260611&amp;sr=8-10", "https://www.amazon.com/OKeeffes-Cooling-Relief-Repair-Cracked/dp/B01M0I78OF/ref=sr_1_10?keywords=O%27Keeffe%27s%C2%AE+Cooling+Relief+Lip+Repair&amp;qid=1695260611&amp;sr=8-10")</f>
        <v>https://www.amazon.com/OKeeffes-Cooling-Relief-Repair-Cracked/dp/B01M0I78OF/ref=sr_1_10?keywords=O%27Keeffe%27s%C2%AE+Cooling+Relief+Lip+Repair&amp;qid=1695260611&amp;sr=8-10</v>
      </c>
      <c r="F3614" t="s">
        <v>9793</v>
      </c>
      <c r="G3614" t="e">
        <f ca="1">IMAGE("https://shop.sonapharmacy.com/cdn/shop/products/91uQWoqzf5L._AC_SL1500.jpg?v=1608226728")</f>
        <v>#NAME?</v>
      </c>
      <c r="H3614" t="e">
        <f ca="1">IMAGE("https://m.media-amazon.com/images/I/81yVT5ln1OL._AC_UL320_.jpg")</f>
        <v>#NAME?</v>
      </c>
      <c r="I3614" t="s">
        <v>8160</v>
      </c>
      <c r="J3614">
        <v>16.260000000000002</v>
      </c>
      <c r="K3614" s="2" t="s">
        <v>9794</v>
      </c>
      <c r="L3614">
        <v>4.4000000000000004</v>
      </c>
      <c r="M3614">
        <v>145</v>
      </c>
      <c r="O3614" t="s">
        <v>26</v>
      </c>
      <c r="P3614" t="s">
        <v>39</v>
      </c>
      <c r="Q3614" t="s">
        <v>8162</v>
      </c>
    </row>
    <row r="3615" spans="1:17" ht="15.75" x14ac:dyDescent="0.25">
      <c r="A3615" s="3" t="str">
        <f>HYPERLINK("https://shop.sonapharmacy.com/products/citrucel%C2%AE-orange-flavor-sugar-free-fiber-powder-16-9oz", "https://shop.sonapharmacy.com/products/citrucel%C2%AE-orange-flavor-sugar-free-fiber-powder-16-9oz")</f>
        <v>https://shop.sonapharmacy.com/products/citrucel%C2%AE-orange-flavor-sugar-free-fiber-powder-16-9oz</v>
      </c>
      <c r="B3615" s="3" t="str">
        <f>HYPERLINK("https://shop.sonapharmacy.com/products/citrucel%c2%ae-orange-flavor-sugar-free-fiber-powder-16-9oz", "https://shop.sonapharmacy.com/products/citrucel%c2%ae-orange-flavor-sugar-free-fiber-powder-16-9oz")</f>
        <v>https://shop.sonapharmacy.com/products/citrucel%c2%ae-orange-flavor-sugar-free-fiber-powder-16-9oz</v>
      </c>
      <c r="C3615" t="s">
        <v>9539</v>
      </c>
      <c r="D3615" t="s">
        <v>9795</v>
      </c>
      <c r="E3615" s="3" t="str">
        <f>HYPERLINK("https://www.amazon.com/Citrucel-Powder-Sugar-Free-Orange-Flavor/dp/B07GC6QPY4/ref=sr_1_3?keywords=Citrucel%C2%AE+Orange+Flavor+Sugar-Free+Fiber+Powder+16.9oz.&amp;qid=1695260135&amp;sr=8-3", "https://www.amazon.com/Citrucel-Powder-Sugar-Free-Orange-Flavor/dp/B07GC6QPY4/ref=sr_1_3?keywords=Citrucel%C2%AE+Orange+Flavor+Sugar-Free+Fiber+Powder+16.9oz.&amp;qid=1695260135&amp;sr=8-3")</f>
        <v>https://www.amazon.com/Citrucel-Powder-Sugar-Free-Orange-Flavor/dp/B07GC6QPY4/ref=sr_1_3?keywords=Citrucel%C2%AE+Orange+Flavor+Sugar-Free+Fiber+Powder+16.9oz.&amp;qid=1695260135&amp;sr=8-3</v>
      </c>
      <c r="F3615" t="s">
        <v>9796</v>
      </c>
      <c r="G3615" t="e">
        <f ca="1">IMAGE("https://shop.sonapharmacy.com/cdn/shop/products/711W3DclJgL._AC_SL1500.jpg?v=1610982192")</f>
        <v>#NAME?</v>
      </c>
      <c r="H3615" t="e">
        <f ca="1">IMAGE("https://m.media-amazon.com/images/I/812H-FhhzHS._AC_UL320_.jpg")</f>
        <v>#NAME?</v>
      </c>
      <c r="I3615" t="s">
        <v>9542</v>
      </c>
      <c r="J3615">
        <v>74.989999999999995</v>
      </c>
      <c r="K3615" s="2" t="s">
        <v>9797</v>
      </c>
      <c r="L3615">
        <v>4.8</v>
      </c>
      <c r="M3615">
        <v>94</v>
      </c>
      <c r="O3615" t="s">
        <v>26</v>
      </c>
      <c r="P3615" t="s">
        <v>39</v>
      </c>
      <c r="Q3615" t="s">
        <v>9544</v>
      </c>
    </row>
    <row r="3616" spans="1:17" ht="15.75" x14ac:dyDescent="0.25">
      <c r="A3616" s="3" t="str">
        <f>HYPERLINK("https://shop.sonapharmacy.com/products/azo-cranberry%C2%AE-urinary-tract-health-gummies-40ct", "https://shop.sonapharmacy.com/products/azo-cranberry%C2%AE-urinary-tract-health-gummies-40ct")</f>
        <v>https://shop.sonapharmacy.com/products/azo-cranberry%C2%AE-urinary-tract-health-gummies-40ct</v>
      </c>
      <c r="B3616" s="3" t="str">
        <f>HYPERLINK("https://shop.sonapharmacy.com/products/azo-cranberry%c2%ae-urinary-tract-health-gummies-40ct", "https://shop.sonapharmacy.com/products/azo-cranberry%c2%ae-urinary-tract-health-gummies-40ct")</f>
        <v>https://shop.sonapharmacy.com/products/azo-cranberry%c2%ae-urinary-tract-health-gummies-40ct</v>
      </c>
      <c r="C3616" t="s">
        <v>9798</v>
      </c>
      <c r="D3616" t="s">
        <v>9799</v>
      </c>
      <c r="E3616" s="3" t="str">
        <f>HYPERLINK("https://www.amazon.com/AZO-Cranberry-Gummies-Urinary-Health/dp/B01IAIRAQA/ref=sr_1_10?keywords=AZO+Cranberry%C2%AE+Urinary+Tract+Health+Gummies+40ct.&amp;qid=1695260048&amp;sr=8-10", "https://www.amazon.com/AZO-Cranberry-Gummies-Urinary-Health/dp/B01IAIRAQA/ref=sr_1_10?keywords=AZO+Cranberry%C2%AE+Urinary+Tract+Health+Gummies+40ct.&amp;qid=1695260048&amp;sr=8-10")</f>
        <v>https://www.amazon.com/AZO-Cranberry-Gummies-Urinary-Health/dp/B01IAIRAQA/ref=sr_1_10?keywords=AZO+Cranberry%C2%AE+Urinary+Tract+Health+Gummies+40ct.&amp;qid=1695260048&amp;sr=8-10</v>
      </c>
      <c r="F3616" t="s">
        <v>9800</v>
      </c>
      <c r="G3616" t="e">
        <f ca="1">IMAGE("https://shop.sonapharmacy.com/cdn/shop/products/71FVFE1UAmL._AC_SL1500.jpg?v=1611192359")</f>
        <v>#NAME?</v>
      </c>
      <c r="H3616" t="e">
        <f ca="1">IMAGE("https://m.media-amazon.com/images/I/71mZ5Bd5M9L._AC_UL320_.jpg")</f>
        <v>#NAME?</v>
      </c>
      <c r="I3616" t="s">
        <v>8231</v>
      </c>
      <c r="J3616">
        <v>38.71</v>
      </c>
      <c r="K3616" s="2" t="s">
        <v>9801</v>
      </c>
      <c r="L3616">
        <v>4.7</v>
      </c>
      <c r="M3616">
        <v>68</v>
      </c>
      <c r="O3616" t="s">
        <v>26</v>
      </c>
      <c r="P3616" t="s">
        <v>39</v>
      </c>
      <c r="Q3616" t="s">
        <v>9802</v>
      </c>
    </row>
    <row r="3617" spans="1:17" ht="15.75" x14ac:dyDescent="0.25">
      <c r="A3617" s="3" t="str">
        <f>HYPERLINK("https://shop.sonapharmacy.com/products/duracell%C2%AE-aaa-coppertop-alkaline-batteries", "https://shop.sonapharmacy.com/products/duracell%C2%AE-aaa-coppertop-alkaline-batteries")</f>
        <v>https://shop.sonapharmacy.com/products/duracell%C2%AE-aaa-coppertop-alkaline-batteries</v>
      </c>
      <c r="B3617" s="3" t="str">
        <f>HYPERLINK("https://shop.sonapharmacy.com/products/duracell%c2%ae-aaa-coppertop-alkaline-batteries", "https://shop.sonapharmacy.com/products/duracell%c2%ae-aaa-coppertop-alkaline-batteries")</f>
        <v>https://shop.sonapharmacy.com/products/duracell%c2%ae-aaa-coppertop-alkaline-batteries</v>
      </c>
      <c r="C3617" t="s">
        <v>8166</v>
      </c>
      <c r="D3617" t="s">
        <v>9803</v>
      </c>
      <c r="E3617" s="3" t="str">
        <f>HYPERLINK("https://www.amazon.com/Duracell-CopperTop-Batteries-All-Purpose-Household/dp/B07TVM57MZ/ref=sr_1_2?keywords=Duracell%C2%AE+AAA+CopperTop+Alkaline+Batteries&amp;qid=1695260225&amp;sr=8-2", "https://www.amazon.com/Duracell-CopperTop-Batteries-All-Purpose-Household/dp/B07TVM57MZ/ref=sr_1_2?keywords=Duracell%C2%AE+AAA+CopperTop+Alkaline+Batteries&amp;qid=1695260225&amp;sr=8-2")</f>
        <v>https://www.amazon.com/Duracell-CopperTop-Batteries-All-Purpose-Household/dp/B07TVM57MZ/ref=sr_1_2?keywords=Duracell%C2%AE+AAA+CopperTop+Alkaline+Batteries&amp;qid=1695260225&amp;sr=8-2</v>
      </c>
      <c r="F3617" t="s">
        <v>9804</v>
      </c>
      <c r="G3617" t="e">
        <f ca="1">IMAGE("https://shop.sonapharmacy.com/cdn/shop/products/4711941b-a083-4277-8d8a-0a1bce8b082a_1.a291637149acb335ff96c25aae0e8bc1.png?v=1610335288")</f>
        <v>#NAME?</v>
      </c>
      <c r="H3617" t="e">
        <f ca="1">IMAGE("https://m.media-amazon.com/images/I/61P-TGN3FeL._AC_UL320_.jpg")</f>
        <v>#NAME?</v>
      </c>
      <c r="I3617" t="s">
        <v>8169</v>
      </c>
      <c r="J3617">
        <v>26.86</v>
      </c>
      <c r="K3617" s="2" t="s">
        <v>9805</v>
      </c>
      <c r="L3617">
        <v>4.8</v>
      </c>
      <c r="M3617">
        <v>7937</v>
      </c>
      <c r="O3617" t="s">
        <v>26</v>
      </c>
      <c r="P3617" t="s">
        <v>39</v>
      </c>
      <c r="Q3617" t="s">
        <v>8171</v>
      </c>
    </row>
    <row r="3618" spans="1:17" ht="15.75" x14ac:dyDescent="0.25">
      <c r="A3618" s="3" t="str">
        <f>HYPERLINK("https://shop.sonapharmacy.com/products/contour-next-ez-meter", "https://shop.sonapharmacy.com/products/contour-next-ez-meter")</f>
        <v>https://shop.sonapharmacy.com/products/contour-next-ez-meter</v>
      </c>
      <c r="B3618" s="3" t="str">
        <f>HYPERLINK("https://shop.sonapharmacy.com/products/contour-next-ez-meter", "https://shop.sonapharmacy.com/products/contour-next-ez-meter")</f>
        <v>https://shop.sonapharmacy.com/products/contour-next-ez-meter</v>
      </c>
      <c r="C3618" t="s">
        <v>9806</v>
      </c>
      <c r="D3618" t="s">
        <v>9807</v>
      </c>
      <c r="E3618" s="3" t="str">
        <f>HYPERLINK("https://www.amazon.com/Contour-Glucose-Monitoring-Starter-SOLUTION/dp/B01HDWVFB0/ref=sr_1_8?keywords=Contour%C2%AE+Next+EZ+Meter&amp;qid=1695260151&amp;sr=8-8", "https://www.amazon.com/Contour-Glucose-Monitoring-Starter-SOLUTION/dp/B01HDWVFB0/ref=sr_1_8?keywords=Contour%C2%AE+Next+EZ+Meter&amp;qid=1695260151&amp;sr=8-8")</f>
        <v>https://www.amazon.com/Contour-Glucose-Monitoring-Starter-SOLUTION/dp/B01HDWVFB0/ref=sr_1_8?keywords=Contour%C2%AE+Next+EZ+Meter&amp;qid=1695260151&amp;sr=8-8</v>
      </c>
      <c r="F3618" t="s">
        <v>9808</v>
      </c>
      <c r="G3618" t="e">
        <f ca="1">IMAGE("https://shop.sonapharmacy.com/cdn/shop/products/ContourNextEZMeter.jpg?v=1594302465")</f>
        <v>#NAME?</v>
      </c>
      <c r="H3618" t="e">
        <f ca="1">IMAGE("https://m.media-amazon.com/images/I/71bgeN-BtsL._AC_UL320_.jpg")</f>
        <v>#NAME?</v>
      </c>
      <c r="I3618" t="s">
        <v>9809</v>
      </c>
      <c r="J3618">
        <v>69.989999999999995</v>
      </c>
      <c r="K3618" s="2" t="s">
        <v>9810</v>
      </c>
      <c r="L3618">
        <v>4.5</v>
      </c>
      <c r="M3618">
        <v>323</v>
      </c>
      <c r="O3618" t="s">
        <v>26</v>
      </c>
      <c r="P3618" t="s">
        <v>39</v>
      </c>
      <c r="Q3618" t="s">
        <v>9811</v>
      </c>
    </row>
    <row r="3619" spans="1:17" ht="15.75" x14ac:dyDescent="0.25">
      <c r="A3619" s="3" t="str">
        <f>HYPERLINK("https://shop.sonapharmacy.com/products/buf-puf-double-sided-body-sponge", "https://shop.sonapharmacy.com/products/buf-puf-double-sided-body-sponge")</f>
        <v>https://shop.sonapharmacy.com/products/buf-puf-double-sided-body-sponge</v>
      </c>
      <c r="B3619" s="3" t="str">
        <f>HYPERLINK("https://shop.sonapharmacy.com/products/buf-puf-double-sided-body-sponge", "https://shop.sonapharmacy.com/products/buf-puf-double-sided-body-sponge")</f>
        <v>https://shop.sonapharmacy.com/products/buf-puf-double-sided-body-sponge</v>
      </c>
      <c r="C3619" t="s">
        <v>8960</v>
      </c>
      <c r="D3619" t="s">
        <v>9812</v>
      </c>
      <c r="E3619" s="3" t="str">
        <f>HYPERLINK("https://www.amazon.com/Buf-Puf-Double-Sided-Body-Sponge-Pack/dp/B00U1NOXKY/ref=sr_1_8?keywords=Buf-Puf%C2%AE+Double+Sided+Body+Sponge&amp;qid=1695260116&amp;sr=8-8", "https://www.amazon.com/Buf-Puf-Double-Sided-Body-Sponge-Pack/dp/B00U1NOXKY/ref=sr_1_8?keywords=Buf-Puf%C2%AE+Double+Sided+Body+Sponge&amp;qid=1695260116&amp;sr=8-8")</f>
        <v>https://www.amazon.com/Buf-Puf-Double-Sided-Body-Sponge-Pack/dp/B00U1NOXKY/ref=sr_1_8?keywords=Buf-Puf%C2%AE+Double+Sided+Body+Sponge&amp;qid=1695260116&amp;sr=8-8</v>
      </c>
      <c r="F3619" t="s">
        <v>9813</v>
      </c>
      <c r="G3619" t="e">
        <f ca="1">IMAGE("https://shop.sonapharmacy.com/cdn/shop/products/81GmjrZ2b8L._SL1500.jpg?v=1608495033")</f>
        <v>#NAME?</v>
      </c>
      <c r="H3619" t="e">
        <f ca="1">IMAGE("https://m.media-amazon.com/images/I/81KRyPb6pmL._AC_UL320_.jpg")</f>
        <v>#NAME?</v>
      </c>
      <c r="I3619" t="s">
        <v>8963</v>
      </c>
      <c r="J3619">
        <v>21.05</v>
      </c>
      <c r="K3619" s="2" t="s">
        <v>9814</v>
      </c>
      <c r="L3619">
        <v>4.7</v>
      </c>
      <c r="M3619">
        <v>596</v>
      </c>
      <c r="O3619" t="s">
        <v>136</v>
      </c>
      <c r="P3619" t="s">
        <v>39</v>
      </c>
      <c r="Q3619" t="s">
        <v>8965</v>
      </c>
    </row>
    <row r="3620" spans="1:17" ht="15.75" x14ac:dyDescent="0.25">
      <c r="A3620" s="3" t="str">
        <f>HYPERLINK("https://shop.sonapharmacy.com/products/burts-bees%C2%AE-lemon-butter-cuticle-cream-0-60oz", "https://shop.sonapharmacy.com/products/burts-bees%C2%AE-lemon-butter-cuticle-cream-0-60oz")</f>
        <v>https://shop.sonapharmacy.com/products/burts-bees%C2%AE-lemon-butter-cuticle-cream-0-60oz</v>
      </c>
      <c r="B3620" s="3" t="str">
        <f>HYPERLINK("https://shop.sonapharmacy.com/products/burts-bees%c2%ae-lemon-butter-cuticle-cream-0-60oz", "https://shop.sonapharmacy.com/products/burts-bees%c2%ae-lemon-butter-cuticle-cream-0-60oz")</f>
        <v>https://shop.sonapharmacy.com/products/burts-bees%c2%ae-lemon-butter-cuticle-cream-0-60oz</v>
      </c>
      <c r="C3620" t="s">
        <v>8539</v>
      </c>
      <c r="D3620" t="s">
        <v>9815</v>
      </c>
      <c r="E3620" s="3" t="str">
        <f>HYPERLINK("https://www.amazon.com/Burts-Bees-Lemon-Butter-Cuticle/dp/B01AGZKECM/ref=sr_1_3?keywords=Burt%27s+Bees%C2%AE+Lemon+Butter+Cuticle+Cream+0.60oz.&amp;qid=1695260124&amp;sr=8-3", "https://www.amazon.com/Burts-Bees-Lemon-Butter-Cuticle/dp/B01AGZKECM/ref=sr_1_3?keywords=Burt%27s+Bees%C2%AE+Lemon+Butter+Cuticle+Cream+0.60oz.&amp;qid=1695260124&amp;sr=8-3")</f>
        <v>https://www.amazon.com/Burts-Bees-Lemon-Butter-Cuticle/dp/B01AGZKECM/ref=sr_1_3?keywords=Burt%27s+Bees%C2%AE+Lemon+Butter+Cuticle+Cream+0.60oz.&amp;qid=1695260124&amp;sr=8-3</v>
      </c>
      <c r="F3620" t="s">
        <v>9816</v>
      </c>
      <c r="G3620" t="e">
        <f ca="1">IMAGE("https://shop.sonapharmacy.com/cdn/shop/products/0fadcebd-76bc-4875-8263-6bd9c28133f1.3d5d181bb70920ec65fb71d35eaa2949.jpg?v=1610316654")</f>
        <v>#NAME?</v>
      </c>
      <c r="H3620" t="e">
        <f ca="1">IMAGE("https://m.media-amazon.com/images/I/31qZ1J+mJFL._AC_UL320_.jpg")</f>
        <v>#NAME?</v>
      </c>
      <c r="I3620" t="s">
        <v>8542</v>
      </c>
      <c r="J3620">
        <v>16.989999999999998</v>
      </c>
      <c r="K3620" s="2" t="s">
        <v>9817</v>
      </c>
      <c r="L3620">
        <v>4.7</v>
      </c>
      <c r="M3620">
        <v>864</v>
      </c>
      <c r="O3620" t="s">
        <v>26</v>
      </c>
      <c r="P3620" t="s">
        <v>39</v>
      </c>
      <c r="Q3620" t="s">
        <v>8544</v>
      </c>
    </row>
    <row r="3621" spans="1:17" ht="15.75" x14ac:dyDescent="0.25">
      <c r="A3621" s="3" t="str">
        <f>HYPERLINK("https://shop.sonapharmacy.com/products/attends%C2%AE-underwear-extra-absorbency-x-large-14ct", "https://shop.sonapharmacy.com/products/attends%C2%AE-underwear-extra-absorbency-x-large-14ct")</f>
        <v>https://shop.sonapharmacy.com/products/attends%C2%AE-underwear-extra-absorbency-x-large-14ct</v>
      </c>
      <c r="B3621" s="3" t="str">
        <f>HYPERLINK("https://shop.sonapharmacy.com/products/attends%c2%ae-underwear-extra-absorbency-x-large-14ct", "https://shop.sonapharmacy.com/products/attends%c2%ae-underwear-extra-absorbency-x-large-14ct")</f>
        <v>https://shop.sonapharmacy.com/products/attends%c2%ae-underwear-extra-absorbency-x-large-14ct</v>
      </c>
      <c r="C3621" t="s">
        <v>9028</v>
      </c>
      <c r="D3621" t="s">
        <v>9818</v>
      </c>
      <c r="E3621" s="3" t="str">
        <f>HYPERLINK("https://www.amazon.com/Attends-Protective-Underwear-Technology-Incontinence/dp/B00BHSUCIY/ref=sr_1_1?keywords=Attends+Underwear+Extra+Absorbency+X-Large+14ct.&amp;qid=1695260061&amp;sr=8-1", "https://www.amazon.com/Attends-Protective-Underwear-Technology-Incontinence/dp/B00BHSUCIY/ref=sr_1_1?keywords=Attends+Underwear+Extra+Absorbency+X-Large+14ct.&amp;qid=1695260061&amp;sr=8-1")</f>
        <v>https://www.amazon.com/Attends-Protective-Underwear-Technology-Incontinence/dp/B00BHSUCIY/ref=sr_1_1?keywords=Attends+Underwear+Extra+Absorbency+X-Large+14ct.&amp;qid=1695260061&amp;sr=8-1</v>
      </c>
      <c r="F3621" t="s">
        <v>9819</v>
      </c>
      <c r="G3621" t="e">
        <f ca="1">IMAGE("https://shop.sonapharmacy.com/cdn/shop/products/917ssoU70XL._AC_SL1500.jpg?v=1611077702")</f>
        <v>#NAME?</v>
      </c>
      <c r="H3621" t="e">
        <f ca="1">IMAGE("https://m.media-amazon.com/images/I/61t2AC5fd9L._AC_UL320_.jpg")</f>
        <v>#NAME?</v>
      </c>
      <c r="I3621" t="s">
        <v>9031</v>
      </c>
      <c r="J3621">
        <v>50.03</v>
      </c>
      <c r="K3621" s="2" t="s">
        <v>9820</v>
      </c>
      <c r="L3621">
        <v>4.2</v>
      </c>
      <c r="M3621">
        <v>2033</v>
      </c>
      <c r="O3621" t="s">
        <v>26</v>
      </c>
      <c r="P3621" t="s">
        <v>39</v>
      </c>
      <c r="Q3621" t="s">
        <v>9033</v>
      </c>
    </row>
    <row r="3622" spans="1:17" ht="15.75" x14ac:dyDescent="0.25">
      <c r="A3622" s="3" t="str">
        <f>HYPERLINK("https://shop.sonapharmacy.com/products/curad-non-stick-pads", "https://shop.sonapharmacy.com/products/curad-non-stick-pads")</f>
        <v>https://shop.sonapharmacy.com/products/curad-non-stick-pads</v>
      </c>
      <c r="B3622" s="3" t="str">
        <f>HYPERLINK("https://shop.sonapharmacy.com/products/curad-non-stick-pads", "https://shop.sonapharmacy.com/products/curad-non-stick-pads")</f>
        <v>https://shop.sonapharmacy.com/products/curad-non-stick-pads</v>
      </c>
      <c r="C3622" t="s">
        <v>8501</v>
      </c>
      <c r="D3622" t="s">
        <v>9821</v>
      </c>
      <c r="E3622" s="3" t="str">
        <f>HYPERLINK("https://www.amazon.com/Curad-Non-Stick-Pads-3-Inch-Count/dp/B001KYTYLQ/ref=sr_1_1?keywords=Curad%C2%AE+Non-Stick+Pads&amp;qid=1695260163&amp;sr=8-1", "https://www.amazon.com/Curad-Non-Stick-Pads-3-Inch-Count/dp/B001KYTYLQ/ref=sr_1_1?keywords=Curad%C2%AE+Non-Stick+Pads&amp;qid=1695260163&amp;sr=8-1")</f>
        <v>https://www.amazon.com/Curad-Non-Stick-Pads-3-Inch-Count/dp/B001KYTYLQ/ref=sr_1_1?keywords=Curad%C2%AE+Non-Stick+Pads&amp;qid=1695260163&amp;sr=8-1</v>
      </c>
      <c r="F3622" t="s">
        <v>9822</v>
      </c>
      <c r="G3622" t="e">
        <f ca="1">IMAGE("https://shop.sonapharmacy.com/cdn/shop/products/nonsmall.png?v=1607711387")</f>
        <v>#NAME?</v>
      </c>
      <c r="H3622" t="e">
        <f ca="1">IMAGE("https://m.media-amazon.com/images/I/412CBFF60eL._AC_UL320_.jpg")</f>
        <v>#NAME?</v>
      </c>
      <c r="I3622" t="s">
        <v>8076</v>
      </c>
      <c r="J3622">
        <v>7.99</v>
      </c>
      <c r="K3622" s="2" t="s">
        <v>9823</v>
      </c>
      <c r="L3622">
        <v>4.7</v>
      </c>
      <c r="M3622">
        <v>7479</v>
      </c>
      <c r="O3622" t="s">
        <v>26</v>
      </c>
      <c r="P3622" t="s">
        <v>39</v>
      </c>
      <c r="Q3622" t="s">
        <v>8505</v>
      </c>
    </row>
    <row r="3623" spans="1:17" ht="15.75" x14ac:dyDescent="0.25">
      <c r="A3623" s="3" t="str">
        <f>HYPERLINK("https://shop.sonapharmacy.com/products/band-aid-tough-strips", "https://shop.sonapharmacy.com/products/band-aid-tough-strips")</f>
        <v>https://shop.sonapharmacy.com/products/band-aid-tough-strips</v>
      </c>
      <c r="B3623" s="3" t="str">
        <f>HYPERLINK("https://shop.sonapharmacy.com/products/band-aid-tough-strips", "https://shop.sonapharmacy.com/products/band-aid-tough-strips")</f>
        <v>https://shop.sonapharmacy.com/products/band-aid-tough-strips</v>
      </c>
      <c r="C3623" t="s">
        <v>9687</v>
      </c>
      <c r="D3623" t="s">
        <v>9824</v>
      </c>
      <c r="E3623" s="3" t="str">
        <f>HYPERLINK("https://www.amazon.com/Band-Aid-Tough-Strips-Waterproof-Adhesive-Bandages/dp/B013XRB64A/ref=sr_1_9?keywords=BAND-AID%C2%AE+Tough+Strips&amp;qid=1695260064&amp;sr=8-9", "https://www.amazon.com/Band-Aid-Tough-Strips-Waterproof-Adhesive-Bandages/dp/B013XRB64A/ref=sr_1_9?keywords=BAND-AID%C2%AE+Tough+Strips&amp;qid=1695260064&amp;sr=8-9")</f>
        <v>https://www.amazon.com/Band-Aid-Tough-Strips-Waterproof-Adhesive-Bandages/dp/B013XRB64A/ref=sr_1_9?keywords=BAND-AID%C2%AE+Tough+Strips&amp;qid=1695260064&amp;sr=8-9</v>
      </c>
      <c r="F3623" t="s">
        <v>9825</v>
      </c>
      <c r="G3623" t="e">
        <f ca="1">IMAGE("https://shop.sonapharmacy.com/cdn/shop/products/bab_381370044246_band_aid_band_aid_tough_strip_xl_10ct_007.jpg?v=1607288053")</f>
        <v>#NAME?</v>
      </c>
      <c r="H3623" t="e">
        <f ca="1">IMAGE("https://m.media-amazon.com/images/I/312e2-u61oL._AC_UL320_.jpg")</f>
        <v>#NAME?</v>
      </c>
      <c r="I3623" t="s">
        <v>8512</v>
      </c>
      <c r="J3623">
        <v>19.989999999999998</v>
      </c>
      <c r="K3623" s="2" t="s">
        <v>9826</v>
      </c>
      <c r="L3623">
        <v>5</v>
      </c>
      <c r="M3623">
        <v>8</v>
      </c>
      <c r="O3623" t="s">
        <v>26</v>
      </c>
      <c r="P3623" t="s">
        <v>39</v>
      </c>
      <c r="Q3623" t="s">
        <v>9691</v>
      </c>
    </row>
    <row r="3624" spans="1:17" ht="15.75" x14ac:dyDescent="0.25">
      <c r="A3624" s="3" t="str">
        <f>HYPERLINK("https://shop.sonapharmacy.com/products/resinol-medicated-ointment-3-3oz", "https://shop.sonapharmacy.com/products/resinol-medicated-ointment-3-3oz")</f>
        <v>https://shop.sonapharmacy.com/products/resinol-medicated-ointment-3-3oz</v>
      </c>
      <c r="B3624" s="3" t="str">
        <f>HYPERLINK("https://shop.sonapharmacy.com/products/resinol-medicated-ointment-3-3oz", "https://shop.sonapharmacy.com/products/resinol-medicated-ointment-3-3oz")</f>
        <v>https://shop.sonapharmacy.com/products/resinol-medicated-ointment-3-3oz</v>
      </c>
      <c r="C3624" t="s">
        <v>8612</v>
      </c>
      <c r="D3624" t="s">
        <v>9827</v>
      </c>
      <c r="E3624" s="3" t="str">
        <f>HYPERLINK("https://www.amazon.com/Resinol-Medicated-Ointment-3-3-OZ/dp/B01LXPR2ES/ref=sr_1_9?keywords=Resinol+Medicated+Ointment+3.3oz&amp;qid=1695260673&amp;sr=8-9", "https://www.amazon.com/Resinol-Medicated-Ointment-3-3-OZ/dp/B01LXPR2ES/ref=sr_1_9?keywords=Resinol+Medicated+Ointment+3.3oz&amp;qid=1695260673&amp;sr=8-9")</f>
        <v>https://www.amazon.com/Resinol-Medicated-Ointment-3-3-OZ/dp/B01LXPR2ES/ref=sr_1_9?keywords=Resinol+Medicated+Ointment+3.3oz&amp;qid=1695260673&amp;sr=8-9</v>
      </c>
      <c r="F3624" t="s">
        <v>9828</v>
      </c>
      <c r="G3624" t="e">
        <f ca="1">IMAGE("https://shop.sonapharmacy.com/cdn/shop/products/61SYOFBFkKL._AC_SL1237.jpg?v=1607970374")</f>
        <v>#NAME?</v>
      </c>
      <c r="H3624" t="e">
        <f ca="1">IMAGE("https://m.media-amazon.com/images/I/51bSkArgl5L._AC_UL320_.jpg")</f>
        <v>#NAME?</v>
      </c>
      <c r="I3624" t="s">
        <v>8615</v>
      </c>
      <c r="J3624">
        <v>44.94</v>
      </c>
      <c r="K3624" s="2" t="s">
        <v>9829</v>
      </c>
      <c r="L3624">
        <v>5</v>
      </c>
      <c r="M3624">
        <v>3</v>
      </c>
      <c r="O3624" t="s">
        <v>136</v>
      </c>
      <c r="P3624" t="s">
        <v>39</v>
      </c>
      <c r="Q3624" t="s">
        <v>8617</v>
      </c>
    </row>
    <row r="3625" spans="1:17" ht="15.75" x14ac:dyDescent="0.25">
      <c r="A3625" s="3" t="str">
        <f>HYPERLINK("https://shop.sonapharmacy.com/products/claritin%C2%AE-tablets-24-hour", "https://shop.sonapharmacy.com/products/claritin%C2%AE-tablets-24-hour")</f>
        <v>https://shop.sonapharmacy.com/products/claritin%C2%AE-tablets-24-hour</v>
      </c>
      <c r="B3625" s="3" t="str">
        <f>HYPERLINK("https://shop.sonapharmacy.com/products/claritin%c2%ae-tablets-24-hour", "https://shop.sonapharmacy.com/products/claritin%c2%ae-tablets-24-hour")</f>
        <v>https://shop.sonapharmacy.com/products/claritin%c2%ae-tablets-24-hour</v>
      </c>
      <c r="C3625" t="s">
        <v>8495</v>
      </c>
      <c r="D3625" t="s">
        <v>9830</v>
      </c>
      <c r="E3625" s="3" t="str">
        <f>HYPERLINK("https://www.amazon.com/Claritin-Non-Drowsy-Allergy-Tablets-Count/dp/B00AMAHL7S/ref=sr_1_3?keywords=Claritin%C2%AE+Tablets+24-Hour&amp;qid=1695260144&amp;sr=8-3", "https://www.amazon.com/Claritin-Non-Drowsy-Allergy-Tablets-Count/dp/B00AMAHL7S/ref=sr_1_3?keywords=Claritin%C2%AE+Tablets+24-Hour&amp;qid=1695260144&amp;sr=8-3")</f>
        <v>https://www.amazon.com/Claritin-Non-Drowsy-Allergy-Tablets-Count/dp/B00AMAHL7S/ref=sr_1_3?keywords=Claritin%C2%AE+Tablets+24-Hour&amp;qid=1695260144&amp;sr=8-3</v>
      </c>
      <c r="F3625" t="s">
        <v>9831</v>
      </c>
      <c r="G3625" t="e">
        <f ca="1">IMAGE("https://shop.sonapharmacy.com/cdn/shop/products/Untitled-172.jpg?v=1593451168")</f>
        <v>#NAME?</v>
      </c>
      <c r="H3625" t="e">
        <f ca="1">IMAGE("https://m.media-amazon.com/images/I/91HUfeaFTeL._AC_UL320_.jpg")</f>
        <v>#NAME?</v>
      </c>
      <c r="I3625" t="s">
        <v>8498</v>
      </c>
      <c r="J3625">
        <v>24</v>
      </c>
      <c r="K3625" s="2" t="s">
        <v>9832</v>
      </c>
      <c r="L3625">
        <v>4.8</v>
      </c>
      <c r="M3625">
        <v>9116</v>
      </c>
      <c r="O3625" t="s">
        <v>26</v>
      </c>
      <c r="P3625" t="s">
        <v>39</v>
      </c>
      <c r="Q3625" t="s">
        <v>8500</v>
      </c>
    </row>
    <row r="3626" spans="1:17" ht="15.75" x14ac:dyDescent="0.25">
      <c r="A3626" s="3" t="str">
        <f>HYPERLINK("https://shop.sonapharmacy.com/products/prince-of-peace-ginger-chews-4oz", "https://shop.sonapharmacy.com/products/prince-of-peace-ginger-chews-4oz")</f>
        <v>https://shop.sonapharmacy.com/products/prince-of-peace-ginger-chews-4oz</v>
      </c>
      <c r="B3626" s="3" t="str">
        <f>HYPERLINK("https://shop.sonapharmacy.com/products/prince-of-peace-ginger-chews-4oz", "https://shop.sonapharmacy.com/products/prince-of-peace-ginger-chews-4oz")</f>
        <v>https://shop.sonapharmacy.com/products/prince-of-peace-ginger-chews-4oz</v>
      </c>
      <c r="C3626" t="s">
        <v>8087</v>
      </c>
      <c r="D3626" t="s">
        <v>9833</v>
      </c>
      <c r="E3626" s="3" t="str">
        <f>HYPERLINK("https://www.amazon.com/Prince-Peace-Ginger-Chews-Mango/dp/B08R57CB84/ref=sr_1_5?keywords=Prince+Of+Peace+Ginger+Chews+4oz.&amp;qid=1695260650&amp;sr=8-5", "https://www.amazon.com/Prince-Peace-Ginger-Chews-Mango/dp/B08R57CB84/ref=sr_1_5?keywords=Prince+Of+Peace+Ginger+Chews+4oz.&amp;qid=1695260650&amp;sr=8-5")</f>
        <v>https://www.amazon.com/Prince-Peace-Ginger-Chews-Mango/dp/B08R57CB84/ref=sr_1_5?keywords=Prince+Of+Peace+Ginger+Chews+4oz.&amp;qid=1695260650&amp;sr=8-5</v>
      </c>
      <c r="F3626" t="s">
        <v>9834</v>
      </c>
      <c r="G3626" t="e">
        <f ca="1">IMAGE("https://shop.sonapharmacy.com/cdn/shop/products/original.jpg?v=1613754987")</f>
        <v>#NAME?</v>
      </c>
      <c r="H3626" t="e">
        <f ca="1">IMAGE("https://m.media-amazon.com/images/I/81tEAYeUO5L._AC_UL320_.jpg")</f>
        <v>#NAME?</v>
      </c>
      <c r="I3626" t="s">
        <v>8090</v>
      </c>
      <c r="J3626">
        <v>6.61</v>
      </c>
      <c r="K3626" s="2" t="s">
        <v>9835</v>
      </c>
      <c r="L3626">
        <v>4.7</v>
      </c>
      <c r="M3626">
        <v>130</v>
      </c>
      <c r="O3626" t="s">
        <v>26</v>
      </c>
      <c r="P3626" t="s">
        <v>39</v>
      </c>
      <c r="Q3626" t="s">
        <v>8092</v>
      </c>
    </row>
    <row r="3627" spans="1:17" ht="15.75" x14ac:dyDescent="0.25">
      <c r="A3627" s="3" t="str">
        <f>HYPERLINK("https://shop.sonapharmacy.com/products/colgate%C2%AE-plus-soft-toothbrush", "https://shop.sonapharmacy.com/products/colgate%C2%AE-plus-soft-toothbrush")</f>
        <v>https://shop.sonapharmacy.com/products/colgate%C2%AE-plus-soft-toothbrush</v>
      </c>
      <c r="B3627" s="3" t="str">
        <f>HYPERLINK("https://shop.sonapharmacy.com/products/colgate%c2%ae-plus-soft-toothbrush", "https://shop.sonapharmacy.com/products/colgate%c2%ae-plus-soft-toothbrush")</f>
        <v>https://shop.sonapharmacy.com/products/colgate%c2%ae-plus-soft-toothbrush</v>
      </c>
      <c r="C3627" t="s">
        <v>8548</v>
      </c>
      <c r="D3627" t="s">
        <v>9836</v>
      </c>
      <c r="E3627" s="3" t="str">
        <f>HYPERLINK("https://www.amazon.com/Colgate-Plus-Toothbrush-Full-Head/dp/B004WP5WSE/ref=sr_1_1?keywords=Colgate%C2%AE+Plus+Soft+Toothbrush&amp;qid=1695260144&amp;sr=8-1", "https://www.amazon.com/Colgate-Plus-Toothbrush-Full-Head/dp/B004WP5WSE/ref=sr_1_1?keywords=Colgate%C2%AE+Plus+Soft+Toothbrush&amp;qid=1695260144&amp;sr=8-1")</f>
        <v>https://www.amazon.com/Colgate-Plus-Toothbrush-Full-Head/dp/B004WP5WSE/ref=sr_1_1?keywords=Colgate%C2%AE+Plus+Soft+Toothbrush&amp;qid=1695260144&amp;sr=8-1</v>
      </c>
      <c r="F3627" t="s">
        <v>9837</v>
      </c>
      <c r="G3627" t="e">
        <f ca="1">IMAGE("https://shop.sonapharmacy.com/cdn/shop/products/9924432_0000.jpg?v=1608585882")</f>
        <v>#NAME?</v>
      </c>
      <c r="H3627" t="e">
        <f ca="1">IMAGE("https://m.media-amazon.com/images/I/61knkqtSWaL._AC_UL320_.jpg")</f>
        <v>#NAME?</v>
      </c>
      <c r="I3627" t="s">
        <v>8551</v>
      </c>
      <c r="J3627">
        <v>7.61</v>
      </c>
      <c r="K3627" s="2" t="s">
        <v>9838</v>
      </c>
      <c r="L3627">
        <v>4.5</v>
      </c>
      <c r="M3627">
        <v>10</v>
      </c>
      <c r="O3627" t="s">
        <v>26</v>
      </c>
      <c r="P3627" t="s">
        <v>39</v>
      </c>
      <c r="Q3627" t="s">
        <v>8553</v>
      </c>
    </row>
    <row r="3628" spans="1:17" ht="15.75" x14ac:dyDescent="0.25">
      <c r="A3628" s="3" t="str">
        <f>HYPERLINK("https://shop.sonapharmacy.com/products/afrin%C2%AE-original", "https://shop.sonapharmacy.com/products/afrin%C2%AE-original")</f>
        <v>https://shop.sonapharmacy.com/products/afrin%C2%AE-original</v>
      </c>
      <c r="B3628" s="3" t="str">
        <f>HYPERLINK("https://shop.sonapharmacy.com/products/afrin%c2%ae-original", "https://shop.sonapharmacy.com/products/afrin%c2%ae-original")</f>
        <v>https://shop.sonapharmacy.com/products/afrin%c2%ae-original</v>
      </c>
      <c r="C3628" t="s">
        <v>8143</v>
      </c>
      <c r="D3628" t="s">
        <v>9839</v>
      </c>
      <c r="E3628" s="3" t="str">
        <f>HYPERLINK("https://www.amazon.com/Afrin-Nasal-Spray-Original/dp/B00DDZBFNK/ref=sr_1_3?keywords=Afrin+Original+Nasal+Spray&amp;qid=1695260003&amp;sr=8-3", "https://www.amazon.com/Afrin-Nasal-Spray-Original/dp/B00DDZBFNK/ref=sr_1_3?keywords=Afrin+Original+Nasal+Spray&amp;qid=1695260003&amp;sr=8-3")</f>
        <v>https://www.amazon.com/Afrin-Nasal-Spray-Original/dp/B00DDZBFNK/ref=sr_1_3?keywords=Afrin+Original+Nasal+Spray&amp;qid=1695260003&amp;sr=8-3</v>
      </c>
      <c r="F3628" t="s">
        <v>9840</v>
      </c>
      <c r="G3628" t="e">
        <f ca="1">IMAGE("https://shop.sonapharmacy.com/cdn/shop/products/81lfsEyuTvL._AC_SL1500.jpg?v=1611182746")</f>
        <v>#NAME?</v>
      </c>
      <c r="H3628" t="e">
        <f ca="1">IMAGE("https://m.media-amazon.com/images/I/71w+p5RtjNL._AC_UL320_.jpg")</f>
        <v>#NAME?</v>
      </c>
      <c r="I3628" t="s">
        <v>4275</v>
      </c>
      <c r="J3628">
        <v>43.71</v>
      </c>
      <c r="K3628" s="2" t="s">
        <v>9841</v>
      </c>
      <c r="L3628">
        <v>4.7</v>
      </c>
      <c r="M3628">
        <v>3703</v>
      </c>
      <c r="O3628" t="s">
        <v>26</v>
      </c>
      <c r="P3628" t="s">
        <v>39</v>
      </c>
      <c r="Q3628" t="s">
        <v>8147</v>
      </c>
    </row>
    <row r="3629" spans="1:17" ht="15.75" x14ac:dyDescent="0.25">
      <c r="A3629" s="3" t="str">
        <f>HYPERLINK("https://shop.sonapharmacy.com/products/summers-eve%C2%AE-simply-sensitive%C2%AE-on-the-go-cleansing-cloths-16ct", "https://shop.sonapharmacy.com/products/summers-eve%C2%AE-simply-sensitive%C2%AE-on-the-go-cleansing-cloths-16ct")</f>
        <v>https://shop.sonapharmacy.com/products/summers-eve%C2%AE-simply-sensitive%C2%AE-on-the-go-cleansing-cloths-16ct</v>
      </c>
      <c r="B3629" s="3" t="str">
        <f>HYPERLINK("https://shop.sonapharmacy.com/products/summers-eve%c2%ae-simply-sensitive%c2%ae-on-the-go-cleansing-cloths-16ct", "https://shop.sonapharmacy.com/products/summers-eve%c2%ae-simply-sensitive%c2%ae-on-the-go-cleansing-cloths-16ct")</f>
        <v>https://shop.sonapharmacy.com/products/summers-eve%c2%ae-simply-sensitive%c2%ae-on-the-go-cleansing-cloths-16ct</v>
      </c>
      <c r="C3629" t="s">
        <v>8270</v>
      </c>
      <c r="D3629" t="s">
        <v>9842</v>
      </c>
      <c r="E3629" s="3" t="str">
        <f>HYPERLINK("https://www.amazon.com/Summers-Eve-Individually-Cleansing-Sensitive/dp/B078SXQWDK/ref=sr_1_1?keywords=Summer%27s+Eve%C2%AE+Simply+Sensitive%C2%AE+On+The+Go+Cleansing+Cloths+16ct.&amp;qid=1695260737&amp;sr=8-1", "https://www.amazon.com/Summers-Eve-Individually-Cleansing-Sensitive/dp/B078SXQWDK/ref=sr_1_1?keywords=Summer%27s+Eve%C2%AE+Simply+Sensitive%C2%AE+On+The+Go+Cleansing+Cloths+16ct.&amp;qid=1695260737&amp;sr=8-1")</f>
        <v>https://www.amazon.com/Summers-Eve-Individually-Cleansing-Sensitive/dp/B078SXQWDK/ref=sr_1_1?keywords=Summer%27s+Eve%C2%AE+Simply+Sensitive%C2%AE+On+The+Go+Cleansing+Cloths+16ct.&amp;qid=1695260737&amp;sr=8-1</v>
      </c>
      <c r="F3629" t="s">
        <v>9843</v>
      </c>
      <c r="G3629" t="e">
        <f ca="1">IMAGE("https://shop.sonapharmacy.com/cdn/shop/products/large_41c23a1d-d8da-4475-ba3a-8a53b9a03a2c.jpg?v=1609184877")</f>
        <v>#NAME?</v>
      </c>
      <c r="H3629" t="e">
        <f ca="1">IMAGE("https://m.media-amazon.com/images/I/51yqkusbvbL._AC_UL320_.jpg")</f>
        <v>#NAME?</v>
      </c>
      <c r="I3629" t="s">
        <v>8273</v>
      </c>
      <c r="J3629">
        <v>12.8</v>
      </c>
      <c r="K3629" s="2" t="s">
        <v>9844</v>
      </c>
      <c r="L3629">
        <v>4.8</v>
      </c>
      <c r="M3629">
        <v>440</v>
      </c>
      <c r="O3629" t="s">
        <v>26</v>
      </c>
      <c r="P3629" t="s">
        <v>39</v>
      </c>
      <c r="Q3629" t="s">
        <v>8275</v>
      </c>
    </row>
    <row r="3630" spans="1:17" ht="15.75" x14ac:dyDescent="0.25">
      <c r="A3630" s="3" t="str">
        <f>HYPERLINK("https://shop.sonapharmacy.com/products/theraslim", "https://shop.sonapharmacy.com/products/theraslim")</f>
        <v>https://shop.sonapharmacy.com/products/theraslim</v>
      </c>
      <c r="B3630" s="3" t="str">
        <f>HYPERLINK("https://shop.sonapharmacy.com/products/theraslim", "https://shop.sonapharmacy.com/products/theraslim")</f>
        <v>https://shop.sonapharmacy.com/products/theraslim</v>
      </c>
      <c r="C3630" t="s">
        <v>9845</v>
      </c>
      <c r="D3630" t="s">
        <v>9846</v>
      </c>
      <c r="E3630" s="3" t="str">
        <f>HYPERLINK("https://www.amazon.com/Klaire-Labs-Ther-Biotic-Factor-Probiotic/dp/B005FG08ME/ref=sr_1_4?keywords=Klaire+Labs+Theraslim+Capsules&amp;qid=1695260437&amp;sr=8-4", "https://www.amazon.com/Klaire-Labs-Ther-Biotic-Factor-Probiotic/dp/B005FG08ME/ref=sr_1_4?keywords=Klaire+Labs+Theraslim+Capsules&amp;qid=1695260437&amp;sr=8-4")</f>
        <v>https://www.amazon.com/Klaire-Labs-Ther-Biotic-Factor-Probiotic/dp/B005FG08ME/ref=sr_1_4?keywords=Klaire+Labs+Theraslim+Capsules&amp;qid=1695260437&amp;sr=8-4</v>
      </c>
      <c r="F3630" t="s">
        <v>9847</v>
      </c>
      <c r="G3630" t="e">
        <f ca="1">IMAGE("https://shop.sonapharmacy.com/cdn/shop/products/61UgGn_O7ML._AC_SL1500.jpg?v=1609358113")</f>
        <v>#NAME?</v>
      </c>
      <c r="H3630" t="e">
        <f ca="1">IMAGE("https://m.media-amazon.com/images/I/61Z15Os+xML._AC_UL320_.jpg")</f>
        <v>#NAME?</v>
      </c>
      <c r="I3630" t="s">
        <v>3544</v>
      </c>
      <c r="J3630">
        <v>89.99</v>
      </c>
      <c r="K3630" s="2" t="s">
        <v>9848</v>
      </c>
      <c r="L3630">
        <v>4.5</v>
      </c>
      <c r="M3630">
        <v>82</v>
      </c>
      <c r="O3630" t="s">
        <v>26</v>
      </c>
      <c r="P3630" t="s">
        <v>39</v>
      </c>
      <c r="Q3630" t="s">
        <v>9849</v>
      </c>
    </row>
    <row r="3631" spans="1:17" ht="15.75" x14ac:dyDescent="0.25">
      <c r="A3631" s="3" t="str">
        <f>HYPERLINK("https://shop.sonapharmacy.com/products/theraslim", "https://shop.sonapharmacy.com/products/theraslim")</f>
        <v>https://shop.sonapharmacy.com/products/theraslim</v>
      </c>
      <c r="B3631" s="3" t="str">
        <f>HYPERLINK("https://shop.sonapharmacy.com/products/theraslim", "https://shop.sonapharmacy.com/products/theraslim")</f>
        <v>https://shop.sonapharmacy.com/products/theraslim</v>
      </c>
      <c r="C3631" t="s">
        <v>9845</v>
      </c>
      <c r="D3631" t="s">
        <v>9850</v>
      </c>
      <c r="E3631" s="3" t="str">
        <f>HYPERLINK("https://www.amazon.com/Klaire-Labs-Ther-Biotic-Complete-Probiotic/dp/B01AVJEA2I/ref=sr_1_7?keywords=Klaire+Labs+Theraslim+Capsules&amp;qid=1695260437&amp;sr=8-7", "https://www.amazon.com/Klaire-Labs-Ther-Biotic-Complete-Probiotic/dp/B01AVJEA2I/ref=sr_1_7?keywords=Klaire+Labs+Theraslim+Capsules&amp;qid=1695260437&amp;sr=8-7")</f>
        <v>https://www.amazon.com/Klaire-Labs-Ther-Biotic-Complete-Probiotic/dp/B01AVJEA2I/ref=sr_1_7?keywords=Klaire+Labs+Theraslim+Capsules&amp;qid=1695260437&amp;sr=8-7</v>
      </c>
      <c r="F3631" t="s">
        <v>9851</v>
      </c>
      <c r="G3631" t="e">
        <f ca="1">IMAGE("https://shop.sonapharmacy.com/cdn/shop/products/61UgGn_O7ML._AC_SL1500.jpg?v=1609358113")</f>
        <v>#NAME?</v>
      </c>
      <c r="H3631" t="e">
        <f ca="1">IMAGE("https://m.media-amazon.com/images/I/61Ql0kzCevL._AC_UL320_.jpg")</f>
        <v>#NAME?</v>
      </c>
      <c r="I3631" t="s">
        <v>3544</v>
      </c>
      <c r="J3631">
        <v>89.99</v>
      </c>
      <c r="K3631" s="2" t="s">
        <v>9848</v>
      </c>
      <c r="L3631">
        <v>4.5999999999999996</v>
      </c>
      <c r="M3631">
        <v>1901</v>
      </c>
      <c r="O3631" t="s">
        <v>26</v>
      </c>
      <c r="P3631" t="s">
        <v>39</v>
      </c>
      <c r="Q3631" t="s">
        <v>9849</v>
      </c>
    </row>
    <row r="3632" spans="1:17" ht="15.75" x14ac:dyDescent="0.25">
      <c r="A3632" s="3" t="str">
        <f>HYPERLINK("https://shop.sonapharmacy.com/products/liquid-i-v-hydration-multiplier-8pck", "https://shop.sonapharmacy.com/products/liquid-i-v-hydration-multiplier-8pck")</f>
        <v>https://shop.sonapharmacy.com/products/liquid-i-v-hydration-multiplier-8pck</v>
      </c>
      <c r="B3632" s="3" t="str">
        <f>HYPERLINK("https://shop.sonapharmacy.com/products/liquid-i-v-hydration-multiplier-8pck", "https://shop.sonapharmacy.com/products/liquid-i-v-hydration-multiplier-8pck")</f>
        <v>https://shop.sonapharmacy.com/products/liquid-i-v-hydration-multiplier-8pck</v>
      </c>
      <c r="C3632" t="s">
        <v>9679</v>
      </c>
      <c r="D3632" t="s">
        <v>9852</v>
      </c>
      <c r="E3632" s="3" t="str">
        <f>HYPERLINK("https://www.amazon.com/Liquid-I-V-Multiplier-Electrolyte-Supplement/dp/B08PPX1DVF/ref=sr_1_8?keywords=Liquid+I.V%C2%AE+Hydration+Multiplier+Electrolyte+Mix+8pck&amp;qid=1695260452&amp;sr=8-8", "https://www.amazon.com/Liquid-I-V-Multiplier-Electrolyte-Supplement/dp/B08PPX1DVF/ref=sr_1_8?keywords=Liquid+I.V%C2%AE+Hydration+Multiplier+Electrolyte+Mix+8pck&amp;qid=1695260452&amp;sr=8-8")</f>
        <v>https://www.amazon.com/Liquid-I-V-Multiplier-Electrolyte-Supplement/dp/B08PPX1DVF/ref=sr_1_8?keywords=Liquid+I.V%C2%AE+Hydration+Multiplier+Electrolyte+Mix+8pck&amp;qid=1695260452&amp;sr=8-8</v>
      </c>
      <c r="F3632" t="s">
        <v>9853</v>
      </c>
      <c r="G3632" t="e">
        <f ca="1">IMAGE("https://shop.sonapharmacy.com/cdn/shop/products/passionfruit.jpg?v=1610031991")</f>
        <v>#NAME?</v>
      </c>
      <c r="H3632" t="e">
        <f ca="1">IMAGE("https://m.media-amazon.com/images/I/61RpFR01yDL._AC_UL320_.jpg")</f>
        <v>#NAME?</v>
      </c>
      <c r="I3632" t="s">
        <v>3458</v>
      </c>
      <c r="J3632">
        <v>68.989999999999995</v>
      </c>
      <c r="K3632" s="2" t="s">
        <v>9854</v>
      </c>
      <c r="L3632">
        <v>4.8</v>
      </c>
      <c r="M3632">
        <v>877</v>
      </c>
      <c r="O3632" t="s">
        <v>26</v>
      </c>
      <c r="P3632" t="s">
        <v>39</v>
      </c>
      <c r="Q3632" t="s">
        <v>9683</v>
      </c>
    </row>
    <row r="3633" spans="1:17" ht="15.75" x14ac:dyDescent="0.25">
      <c r="A3633" s="3" t="str">
        <f>HYPERLINK("https://shop.sonapharmacy.com/products/goodsense%C2%AE-loratadine-allergy-tablets", "https://shop.sonapharmacy.com/products/goodsense%C2%AE-loratadine-allergy-tablets")</f>
        <v>https://shop.sonapharmacy.com/products/goodsense%C2%AE-loratadine-allergy-tablets</v>
      </c>
      <c r="B3633" s="3" t="str">
        <f>HYPERLINK("https://shop.sonapharmacy.com/products/goodsense%c2%ae-loratadine-allergy-tablets", "https://shop.sonapharmacy.com/products/goodsense%c2%ae-loratadine-allergy-tablets")</f>
        <v>https://shop.sonapharmacy.com/products/goodsense%c2%ae-loratadine-allergy-tablets</v>
      </c>
      <c r="C3633" t="s">
        <v>9855</v>
      </c>
      <c r="D3633" t="s">
        <v>9856</v>
      </c>
      <c r="E3633" s="3" t="str">
        <f>HYPERLINK("https://www.amazon.com/Goodsense-Allergy-Relief-Loratadine-Tablets/dp/B07PD71TYH/ref=sr_1_2?keywords=GoodSense%C2%AE+Loratadine+Allergy+Tablets&amp;qid=1695260354&amp;sr=8-2", "https://www.amazon.com/Goodsense-Allergy-Relief-Loratadine-Tablets/dp/B07PD71TYH/ref=sr_1_2?keywords=GoodSense%C2%AE+Loratadine+Allergy+Tablets&amp;qid=1695260354&amp;sr=8-2")</f>
        <v>https://www.amazon.com/Goodsense-Allergy-Relief-Loratadine-Tablets/dp/B07PD71TYH/ref=sr_1_2?keywords=GoodSense%C2%AE+Loratadine+Allergy+Tablets&amp;qid=1695260354&amp;sr=8-2</v>
      </c>
      <c r="F3633" t="s">
        <v>9857</v>
      </c>
      <c r="G3633" t="e">
        <f ca="1">IMAGE("https://shop.sonapharmacy.com/cdn/shop/products/Untitled-168.jpg?v=1593196295")</f>
        <v>#NAME?</v>
      </c>
      <c r="H3633" t="e">
        <f ca="1">IMAGE("https://m.media-amazon.com/images/I/61KkJA9n73L._AC_UL320_.jpg")</f>
        <v>#NAME?</v>
      </c>
      <c r="I3633" t="s">
        <v>8361</v>
      </c>
      <c r="J3633">
        <v>30.96</v>
      </c>
      <c r="K3633" s="2" t="s">
        <v>9858</v>
      </c>
      <c r="L3633">
        <v>3.6</v>
      </c>
      <c r="M3633">
        <v>5</v>
      </c>
      <c r="O3633" t="s">
        <v>26</v>
      </c>
      <c r="P3633" t="s">
        <v>39</v>
      </c>
      <c r="Q3633" t="s">
        <v>9859</v>
      </c>
    </row>
    <row r="3634" spans="1:17" ht="15.75" x14ac:dyDescent="0.25">
      <c r="A3634" s="3" t="str">
        <f>HYPERLINK("https://shop.sonapharmacy.com/products/burts-bees-baby%E2%84%A2-original-nourishing-lotion-6oz", "https://shop.sonapharmacy.com/products/burts-bees-baby%E2%84%A2-original-nourishing-lotion-6oz")</f>
        <v>https://shop.sonapharmacy.com/products/burts-bees-baby%E2%84%A2-original-nourishing-lotion-6oz</v>
      </c>
      <c r="B3634" s="3" t="str">
        <f>HYPERLINK("https://shop.sonapharmacy.com/products/burts-bees-baby%e2%84%a2-original-nourishing-lotion-6oz", "https://shop.sonapharmacy.com/products/burts-bees-baby%e2%84%a2-original-nourishing-lotion-6oz")</f>
        <v>https://shop.sonapharmacy.com/products/burts-bees-baby%e2%84%a2-original-nourishing-lotion-6oz</v>
      </c>
      <c r="C3634" t="s">
        <v>9860</v>
      </c>
      <c r="D3634" t="s">
        <v>9861</v>
      </c>
      <c r="E3634" s="3" t="str">
        <f>HYPERLINK("https://www.amazon.com/Burts-Bees-Nourishing-Lotion-Original/dp/B01N16I5T1/ref=sr_1_3?keywords=Burt%27s+Bees+Baby%E2%84%A2+Original+Nourishing+Lotion+6oz.&amp;qid=1695260110&amp;sr=8-3", "https://www.amazon.com/Burts-Bees-Nourishing-Lotion-Original/dp/B01N16I5T1/ref=sr_1_3?keywords=Burt%27s+Bees+Baby%E2%84%A2+Original+Nourishing+Lotion+6oz.&amp;qid=1695260110&amp;sr=8-3")</f>
        <v>https://www.amazon.com/Burts-Bees-Nourishing-Lotion-Original/dp/B01N16I5T1/ref=sr_1_3?keywords=Burt%27s+Bees+Baby%E2%84%A2+Original+Nourishing+Lotion+6oz.&amp;qid=1695260110&amp;sr=8-3</v>
      </c>
      <c r="F3634" t="s">
        <v>9862</v>
      </c>
      <c r="G3634" t="e">
        <f ca="1">IMAGE("https://shop.sonapharmacy.com/cdn/shop/products/0e64d96e-35b2-4653-8455-b24e8a8d345b_1.7cd3bca904c667b3712f3ab06f9ba3e3.jpg?v=1609250999")</f>
        <v>#NAME?</v>
      </c>
      <c r="H3634" t="e">
        <f ca="1">IMAGE("https://m.media-amazon.com/images/I/51BT6bcvihL._AC_UL320_.jpg")</f>
        <v>#NAME?</v>
      </c>
      <c r="I3634" t="s">
        <v>3392</v>
      </c>
      <c r="J3634">
        <v>27.49</v>
      </c>
      <c r="K3634" s="2" t="s">
        <v>9863</v>
      </c>
      <c r="L3634">
        <v>4.5999999999999996</v>
      </c>
      <c r="M3634">
        <v>403</v>
      </c>
      <c r="O3634" t="s">
        <v>26</v>
      </c>
      <c r="P3634" t="s">
        <v>39</v>
      </c>
      <c r="Q3634" t="s">
        <v>9864</v>
      </c>
    </row>
    <row r="3635" spans="1:17" ht="15.75" x14ac:dyDescent="0.25">
      <c r="A3635" s="3" t="str">
        <f>HYPERLINK("https://shop.sonapharmacy.com/products/liquid-i-v-hydration-multiplier-8pck", "https://shop.sonapharmacy.com/products/liquid-i-v-hydration-multiplier-8pck")</f>
        <v>https://shop.sonapharmacy.com/products/liquid-i-v-hydration-multiplier-8pck</v>
      </c>
      <c r="B3635" s="3" t="str">
        <f>HYPERLINK("https://shop.sonapharmacy.com/products/liquid-i-v-hydration-multiplier-8pck", "https://shop.sonapharmacy.com/products/liquid-i-v-hydration-multiplier-8pck")</f>
        <v>https://shop.sonapharmacy.com/products/liquid-i-v-hydration-multiplier-8pck</v>
      </c>
      <c r="C3635" t="s">
        <v>9679</v>
      </c>
      <c r="D3635" t="s">
        <v>9865</v>
      </c>
      <c r="E3635" s="3" t="str">
        <f>HYPERLINK("https://www.amazon.com/Liquid-I-V-Hydration-Multiplier-Tangerine/dp/B08MHYC6NM/ref=sr_1_3?keywords=Liquid+I.V%C2%AE+Hydration+Multiplier+Electrolyte+Mix+8pck&amp;qid=1695260452&amp;sr=8-3", "https://www.amazon.com/Liquid-I-V-Hydration-Multiplier-Tangerine/dp/B08MHYC6NM/ref=sr_1_3?keywords=Liquid+I.V%C2%AE+Hydration+Multiplier+Electrolyte+Mix+8pck&amp;qid=1695260452&amp;sr=8-3")</f>
        <v>https://www.amazon.com/Liquid-I-V-Hydration-Multiplier-Tangerine/dp/B08MHYC6NM/ref=sr_1_3?keywords=Liquid+I.V%C2%AE+Hydration+Multiplier+Electrolyte+Mix+8pck&amp;qid=1695260452&amp;sr=8-3</v>
      </c>
      <c r="F3635" t="s">
        <v>9866</v>
      </c>
      <c r="G3635" t="e">
        <f ca="1">IMAGE("https://shop.sonapharmacy.com/cdn/shop/products/passionfruit.jpg?v=1610031991")</f>
        <v>#NAME?</v>
      </c>
      <c r="H3635" t="e">
        <f ca="1">IMAGE("https://m.media-amazon.com/images/I/71WtXtdrVdL._AC_UL320_.jpg")</f>
        <v>#NAME?</v>
      </c>
      <c r="I3635" t="s">
        <v>3458</v>
      </c>
      <c r="J3635">
        <v>68.72</v>
      </c>
      <c r="K3635" s="2" t="s">
        <v>9867</v>
      </c>
      <c r="L3635">
        <v>4.7</v>
      </c>
      <c r="M3635">
        <v>21774</v>
      </c>
      <c r="O3635" t="s">
        <v>26</v>
      </c>
      <c r="P3635" t="s">
        <v>39</v>
      </c>
      <c r="Q3635" t="s">
        <v>9683</v>
      </c>
    </row>
    <row r="3636" spans="1:17" ht="15.75" x14ac:dyDescent="0.25">
      <c r="A3636" s="3" t="str">
        <f>HYPERLINK("https://shop.sonapharmacy.com/products/apex%C2%AE-eye-ear-dropper", "https://shop.sonapharmacy.com/products/apex%C2%AE-eye-ear-dropper")</f>
        <v>https://shop.sonapharmacy.com/products/apex%C2%AE-eye-ear-dropper</v>
      </c>
      <c r="B3636" s="3" t="str">
        <f>HYPERLINK("https://shop.sonapharmacy.com/products/apex%c2%ae-eye-ear-dropper", "https://shop.sonapharmacy.com/products/apex%c2%ae-eye-ear-dropper")</f>
        <v>https://shop.sonapharmacy.com/products/apex%c2%ae-eye-ear-dropper</v>
      </c>
      <c r="C3636" t="s">
        <v>8955</v>
      </c>
      <c r="D3636" t="s">
        <v>9868</v>
      </c>
      <c r="E3636" s="3" t="str">
        <f>HYPERLINK("https://www.amazon.com/Apex-Eye-Ear-Dropper-Pack/dp/B000EGP550/ref=sr_1_1?keywords=Apex+Eye%2FEar+Dropper&amp;qid=1695260017&amp;sr=8-1", "https://www.amazon.com/Apex-Eye-Ear-Dropper-Pack/dp/B000EGP550/ref=sr_1_1?keywords=Apex+Eye%2FEar+Dropper&amp;qid=1695260017&amp;sr=8-1")</f>
        <v>https://www.amazon.com/Apex-Eye-Ear-Dropper-Pack/dp/B000EGP550/ref=sr_1_1?keywords=Apex+Eye%2FEar+Dropper&amp;qid=1695260017&amp;sr=8-1</v>
      </c>
      <c r="F3636" t="s">
        <v>9869</v>
      </c>
      <c r="G3636" t="e">
        <f ca="1">IMAGE("https://shop.sonapharmacy.com/cdn/shop/products/36171_Dropper_For_Eye_or_Ear_00508_Carex8642288722903710044_jpg.jpg?v=1609960124")</f>
        <v>#NAME?</v>
      </c>
      <c r="H3636" t="e">
        <f ca="1">IMAGE("https://m.media-amazon.com/images/I/51KagCp9HtL._AC_UY218_.jpg")</f>
        <v>#NAME?</v>
      </c>
      <c r="I3636" t="s">
        <v>8217</v>
      </c>
      <c r="J3636">
        <v>6.49</v>
      </c>
      <c r="K3636" s="2" t="s">
        <v>9870</v>
      </c>
      <c r="L3636">
        <v>4.4000000000000004</v>
      </c>
      <c r="M3636">
        <v>961</v>
      </c>
      <c r="O3636" t="s">
        <v>26</v>
      </c>
      <c r="P3636" t="s">
        <v>39</v>
      </c>
      <c r="Q3636" t="s">
        <v>8959</v>
      </c>
    </row>
    <row r="3637" spans="1:17" ht="15.75" x14ac:dyDescent="0.25">
      <c r="A3637" s="3" t="str">
        <f>HYPERLINK("https://shop.sonapharmacy.com/products/integrative-therapeutics%C2%AE-probiotic-pearls-capsules-30ct", "https://shop.sonapharmacy.com/products/integrative-therapeutics%C2%AE-probiotic-pearls-capsules-30ct")</f>
        <v>https://shop.sonapharmacy.com/products/integrative-therapeutics%C2%AE-probiotic-pearls-capsules-30ct</v>
      </c>
      <c r="B3637" s="3" t="str">
        <f>HYPERLINK("https://shop.sonapharmacy.com/products/integrative-therapeutics%c2%ae-probiotic-pearls-capsules-30ct", "https://shop.sonapharmacy.com/products/integrative-therapeutics%c2%ae-probiotic-pearls-capsules-30ct")</f>
        <v>https://shop.sonapharmacy.com/products/integrative-therapeutics%c2%ae-probiotic-pearls-capsules-30ct</v>
      </c>
      <c r="C3637" t="s">
        <v>9473</v>
      </c>
      <c r="D3637" t="s">
        <v>9871</v>
      </c>
      <c r="E3637" s="3" t="str">
        <f>HYPERLINK("https://www.amazon.com/Integrative-Therapeutics-Pro-Flora-Concentrate-Technology/dp/B001PYULRW/ref=sr_1_7?keywords=Integrative+Therapeutics%C2%AE+Probiotic+Pearls+Capsules&amp;qid=1695260438&amp;sr=8-7", "https://www.amazon.com/Integrative-Therapeutics-Pro-Flora-Concentrate-Technology/dp/B001PYULRW/ref=sr_1_7?keywords=Integrative+Therapeutics%C2%AE+Probiotic+Pearls+Capsules&amp;qid=1695260438&amp;sr=8-7")</f>
        <v>https://www.amazon.com/Integrative-Therapeutics-Pro-Flora-Concentrate-Technology/dp/B001PYULRW/ref=sr_1_7?keywords=Integrative+Therapeutics%C2%AE+Probiotic+Pearls+Capsules&amp;qid=1695260438&amp;sr=8-7</v>
      </c>
      <c r="F3637" t="s">
        <v>9872</v>
      </c>
      <c r="G3637" t="e">
        <f ca="1">IMAGE("https://shop.sonapharmacy.com/cdn/shop/products/61L34pt0USL._AC_SL1387.jpg?v=1620665770")</f>
        <v>#NAME?</v>
      </c>
      <c r="H3637" t="e">
        <f ca="1">IMAGE("https://m.media-amazon.com/images/I/61wwpxIRlGL._AC_UL320_.jpg")</f>
        <v>#NAME?</v>
      </c>
      <c r="I3637" t="s">
        <v>9476</v>
      </c>
      <c r="J3637">
        <v>53.75</v>
      </c>
      <c r="K3637" s="2" t="s">
        <v>9873</v>
      </c>
      <c r="L3637">
        <v>4.8</v>
      </c>
      <c r="M3637">
        <v>90</v>
      </c>
      <c r="O3637" t="s">
        <v>136</v>
      </c>
      <c r="P3637" t="s">
        <v>39</v>
      </c>
      <c r="Q3637" t="s">
        <v>9478</v>
      </c>
    </row>
    <row r="3638" spans="1:17" ht="15.75" x14ac:dyDescent="0.25">
      <c r="A3638" s="3" t="str">
        <f>HYPERLINK("https://shop.sonapharmacy.com/products/breathe-right-original-nasal-strips", "https://shop.sonapharmacy.com/products/breathe-right-original-nasal-strips")</f>
        <v>https://shop.sonapharmacy.com/products/breathe-right-original-nasal-strips</v>
      </c>
      <c r="B3638" s="3" t="str">
        <f>HYPERLINK("https://shop.sonapharmacy.com/products/breathe-right-original-nasal-strips", "https://shop.sonapharmacy.com/products/breathe-right-original-nasal-strips")</f>
        <v>https://shop.sonapharmacy.com/products/breathe-right-original-nasal-strips</v>
      </c>
      <c r="C3638" t="s">
        <v>8894</v>
      </c>
      <c r="D3638" t="s">
        <v>9874</v>
      </c>
      <c r="E3638" s="3" t="str">
        <f>HYPERLINK("https://www.amazon.com/Strips-Breathe-Right-Original-Large/dp/B006835POY/ref=sr_1_8?keywords=Breathe+Right%C2%AE+Original+Nasal+Strips+Large%2FTan&amp;qid=1695260103&amp;sr=8-8", "https://www.amazon.com/Strips-Breathe-Right-Original-Large/dp/B006835POY/ref=sr_1_8?keywords=Breathe+Right%C2%AE+Original+Nasal+Strips+Large%2FTan&amp;qid=1695260103&amp;sr=8-8")</f>
        <v>https://www.amazon.com/Strips-Breathe-Right-Original-Large/dp/B006835POY/ref=sr_1_8?keywords=Breathe+Right%C2%AE+Original+Nasal+Strips+Large%2FTan&amp;qid=1695260103&amp;sr=8-8</v>
      </c>
      <c r="F3638" t="s">
        <v>9875</v>
      </c>
      <c r="G3638" t="e">
        <f ca="1">IMAGE("https://shop.sonapharmacy.com/cdn/shop/files/Sona-Shop-banner2_0c7162f3-c367-451d-8193-c2967a0e8d8e.jpg?v=1614290083")</f>
        <v>#NAME?</v>
      </c>
      <c r="H3638" t="e">
        <f ca="1">IMAGE("https://m.media-amazon.com/images/I/41+I+vK0rsL._AC_UL320_.jpg")</f>
        <v>#NAME?</v>
      </c>
      <c r="I3638" t="s">
        <v>5295</v>
      </c>
      <c r="J3638">
        <v>45.95</v>
      </c>
      <c r="K3638" s="2" t="s">
        <v>9876</v>
      </c>
      <c r="L3638">
        <v>4.7</v>
      </c>
      <c r="M3638">
        <v>75</v>
      </c>
      <c r="O3638" t="s">
        <v>26</v>
      </c>
      <c r="P3638" t="s">
        <v>39</v>
      </c>
      <c r="Q3638" t="s">
        <v>8898</v>
      </c>
    </row>
    <row r="3639" spans="1:17" ht="15.75" x14ac:dyDescent="0.25">
      <c r="A3639" s="3" t="str">
        <f>HYPERLINK("https://shop.sonapharmacy.com/products/duracell%C2%AE-301-386-silver-oxide-button-battery", "https://shop.sonapharmacy.com/products/duracell%C2%AE-301-386-silver-oxide-button-battery")</f>
        <v>https://shop.sonapharmacy.com/products/duracell%C2%AE-301-386-silver-oxide-button-battery</v>
      </c>
      <c r="B3639" s="3" t="str">
        <f>HYPERLINK("https://shop.sonapharmacy.com/products/duracell%c2%ae-301-386-silver-oxide-button-battery", "https://shop.sonapharmacy.com/products/duracell%c2%ae-301-386-silver-oxide-button-battery")</f>
        <v>https://shop.sonapharmacy.com/products/duracell%c2%ae-301-386-silver-oxide-button-battery</v>
      </c>
      <c r="C3639" t="s">
        <v>9877</v>
      </c>
      <c r="D3639" t="s">
        <v>9878</v>
      </c>
      <c r="E3639" s="3" t="str">
        <f>HYPERLINK("https://www.amazon.com/12-Pack-Duracell-Batteries-Silver-Button/dp/B073ZJQJJR/ref=sr_1_2?keywords=Duracell%C2%AE+301%2F386+Silver+Oxide+Button+Battery&amp;qid=1695260213&amp;sr=8-2", "https://www.amazon.com/12-Pack-Duracell-Batteries-Silver-Button/dp/B073ZJQJJR/ref=sr_1_2?keywords=Duracell%C2%AE+301%2F386+Silver+Oxide+Button+Battery&amp;qid=1695260213&amp;sr=8-2")</f>
        <v>https://www.amazon.com/12-Pack-Duracell-Batteries-Silver-Button/dp/B073ZJQJJR/ref=sr_1_2?keywords=Duracell%C2%AE+301%2F386+Silver+Oxide+Button+Battery&amp;qid=1695260213&amp;sr=8-2</v>
      </c>
      <c r="F3639" t="s">
        <v>9879</v>
      </c>
      <c r="G3639" t="e">
        <f ca="1">IMAGE("https://shop.sonapharmacy.com/cdn/shop/products/61graATYFOL._AC_SL1401.jpg?v=1610332821")</f>
        <v>#NAME?</v>
      </c>
      <c r="H3639" t="e">
        <f ca="1">IMAGE("https://m.media-amazon.com/images/I/81fh1PK3ofL._AC_UL320_.jpg")</f>
        <v>#NAME?</v>
      </c>
      <c r="I3639" t="s">
        <v>8206</v>
      </c>
      <c r="J3639">
        <v>18.25</v>
      </c>
      <c r="K3639" s="2" t="s">
        <v>9880</v>
      </c>
      <c r="L3639">
        <v>4.5</v>
      </c>
      <c r="M3639">
        <v>14</v>
      </c>
      <c r="O3639" t="s">
        <v>26</v>
      </c>
      <c r="P3639" t="s">
        <v>39</v>
      </c>
      <c r="Q3639" t="s">
        <v>9881</v>
      </c>
    </row>
    <row r="3640" spans="1:17" ht="15.75" x14ac:dyDescent="0.25">
      <c r="A3640" s="3" t="str">
        <f>HYPERLINK("https://shop.sonapharmacy.com/products/miralax%C2%AE-osmotic-laxative-powder", "https://shop.sonapharmacy.com/products/miralax%C2%AE-osmotic-laxative-powder")</f>
        <v>https://shop.sonapharmacy.com/products/miralax%C2%AE-osmotic-laxative-powder</v>
      </c>
      <c r="B3640" s="3" t="str">
        <f>HYPERLINK("https://shop.sonapharmacy.com/products/miralax%c2%ae-osmotic-laxative-powder", "https://shop.sonapharmacy.com/products/miralax%c2%ae-osmotic-laxative-powder")</f>
        <v>https://shop.sonapharmacy.com/products/miralax%c2%ae-osmotic-laxative-powder</v>
      </c>
      <c r="C3640" t="s">
        <v>9337</v>
      </c>
      <c r="D3640" t="s">
        <v>9882</v>
      </c>
      <c r="E3640" s="3"/>
      <c r="F3640" t="s">
        <v>9883</v>
      </c>
      <c r="G3640" t="e">
        <f ca="1">IMAGE("https://shop.sonapharmacy.com/cdn/shop/products/81f6hF9NoSL._AC_SL1500.jpg?v=1611083511")</f>
        <v>#NAME?</v>
      </c>
      <c r="H3640" t="e">
        <f ca="1">IMAGE("https://m.media-amazon.com/images/I/71qdVYwbvQL._AC_UL320_.jpg")</f>
        <v>#NAME?</v>
      </c>
      <c r="I3640" t="s">
        <v>8886</v>
      </c>
      <c r="J3640">
        <v>29.99</v>
      </c>
      <c r="K3640" s="2" t="s">
        <v>9884</v>
      </c>
      <c r="L3640">
        <v>4.8</v>
      </c>
      <c r="M3640">
        <v>31379</v>
      </c>
      <c r="O3640" t="s">
        <v>26</v>
      </c>
      <c r="P3640" t="s">
        <v>39</v>
      </c>
      <c r="Q3640" t="s">
        <v>9339</v>
      </c>
    </row>
    <row r="3641" spans="1:17" ht="15.75" x14ac:dyDescent="0.25">
      <c r="A3641" s="3" t="str">
        <f>HYPERLINK("https://shop.sonapharmacy.com/products/miralax%C2%AE-osmotic-laxative-powder", "https://shop.sonapharmacy.com/products/miralax%C2%AE-osmotic-laxative-powder")</f>
        <v>https://shop.sonapharmacy.com/products/miralax%C2%AE-osmotic-laxative-powder</v>
      </c>
      <c r="B3641" s="3" t="str">
        <f>HYPERLINK("https://shop.sonapharmacy.com/products/miralax%c2%ae-osmotic-laxative-powder", "https://shop.sonapharmacy.com/products/miralax%c2%ae-osmotic-laxative-powder")</f>
        <v>https://shop.sonapharmacy.com/products/miralax%c2%ae-osmotic-laxative-powder</v>
      </c>
      <c r="C3641" t="s">
        <v>9337</v>
      </c>
      <c r="D3641" t="s">
        <v>9882</v>
      </c>
      <c r="E3641" s="3"/>
      <c r="F3641" t="s">
        <v>9883</v>
      </c>
      <c r="G3641" t="e">
        <f ca="1">IMAGE("https://shop.sonapharmacy.com/cdn/shop/products/81f6hF9NoSL._AC_SL1500.jpg?v=1611083511")</f>
        <v>#NAME?</v>
      </c>
      <c r="H3641" t="e">
        <f ca="1">IMAGE("https://m.media-amazon.com/images/I/71qdVYwbvQL._AC_UL320_.jpg")</f>
        <v>#NAME?</v>
      </c>
      <c r="I3641" t="s">
        <v>8886</v>
      </c>
      <c r="J3641">
        <v>29.99</v>
      </c>
      <c r="K3641" s="2" t="s">
        <v>9884</v>
      </c>
      <c r="L3641">
        <v>4.8</v>
      </c>
      <c r="M3641">
        <v>31379</v>
      </c>
      <c r="O3641" t="s">
        <v>26</v>
      </c>
      <c r="P3641" t="s">
        <v>39</v>
      </c>
      <c r="Q3641" t="s">
        <v>9339</v>
      </c>
    </row>
    <row r="3642" spans="1:17" ht="15.75" x14ac:dyDescent="0.25">
      <c r="A3642" s="3" t="str">
        <f>HYPERLINK("https://shop.sonapharmacy.com/products/prevagen-extra-strength-capsules-20-mg", "https://shop.sonapharmacy.com/products/prevagen-extra-strength-capsules-20-mg")</f>
        <v>https://shop.sonapharmacy.com/products/prevagen-extra-strength-capsules-20-mg</v>
      </c>
      <c r="B3642" s="3" t="str">
        <f>HYPERLINK("https://shop.sonapharmacy.com/products/prevagen-extra-strength-capsules-20-mg", "https://shop.sonapharmacy.com/products/prevagen-extra-strength-capsules-20-mg")</f>
        <v>https://shop.sonapharmacy.com/products/prevagen-extra-strength-capsules-20-mg</v>
      </c>
      <c r="C3642" t="s">
        <v>9057</v>
      </c>
      <c r="D3642" t="s">
        <v>9885</v>
      </c>
      <c r="E3642" s="3" t="str">
        <f>HYPERLINK("https://www.amazon.com/Prevagen-Extra-Strength-2-Pack/dp/B07THL9WWR/ref=sr_1_10?keywords=Prevagen+Extra+Strength+Capsules+20+mg&amp;qid=1695260651&amp;sr=8-10", "https://www.amazon.com/Prevagen-Extra-Strength-2-Pack/dp/B07THL9WWR/ref=sr_1_10?keywords=Prevagen+Extra+Strength+Capsules+20+mg&amp;qid=1695260651&amp;sr=8-10")</f>
        <v>https://www.amazon.com/Prevagen-Extra-Strength-2-Pack/dp/B07THL9WWR/ref=sr_1_10?keywords=Prevagen+Extra+Strength+Capsules+20+mg&amp;qid=1695260651&amp;sr=8-10</v>
      </c>
      <c r="F3642" t="s">
        <v>9886</v>
      </c>
      <c r="G3642" t="e">
        <f ca="1">IMAGE("https://shop.sonapharmacy.com/cdn/shop/products/PrevagenExtraStrengthCapsules20mg.jpg?v=1594304097")</f>
        <v>#NAME?</v>
      </c>
      <c r="H3642" t="e">
        <f ca="1">IMAGE("https://m.media-amazon.com/images/I/813W61L2KLL._AC_UL320_.jpg")</f>
        <v>#NAME?</v>
      </c>
      <c r="I3642" t="s">
        <v>9060</v>
      </c>
      <c r="J3642">
        <v>181.86</v>
      </c>
      <c r="K3642" s="2" t="s">
        <v>9887</v>
      </c>
      <c r="L3642">
        <v>4.5</v>
      </c>
      <c r="M3642">
        <v>923</v>
      </c>
      <c r="O3642" t="s">
        <v>39</v>
      </c>
      <c r="P3642" t="s">
        <v>39</v>
      </c>
      <c r="Q3642" t="s">
        <v>9062</v>
      </c>
    </row>
    <row r="3643" spans="1:17" ht="15.75" x14ac:dyDescent="0.25">
      <c r="A3643" s="3" t="str">
        <f>HYPERLINK("https://shop.sonapharmacy.com/products/ricola-lemon-mint-cough-drops", "https://shop.sonapharmacy.com/products/ricola-lemon-mint-cough-drops")</f>
        <v>https://shop.sonapharmacy.com/products/ricola-lemon-mint-cough-drops</v>
      </c>
      <c r="B3643" s="3" t="str">
        <f>HYPERLINK("https://shop.sonapharmacy.com/products/ricola-lemon-mint-cough-drops", "https://shop.sonapharmacy.com/products/ricola-lemon-mint-cough-drops")</f>
        <v>https://shop.sonapharmacy.com/products/ricola-lemon-mint-cough-drops</v>
      </c>
      <c r="C3643" t="s">
        <v>8276</v>
      </c>
      <c r="D3643" t="s">
        <v>9888</v>
      </c>
      <c r="E3643" s="3" t="str">
        <f>HYPERLINK("https://www.amazon.com/Ricola-Herbal-Throat-Drops-Lemon/dp/B00AY6RO9U/ref=sr_1_2?keywords=Ricola+Lemon+Mint+Cough+Drops&amp;qid=1695260692&amp;sr=8-2", "https://www.amazon.com/Ricola-Herbal-Throat-Drops-Lemon/dp/B00AY6RO9U/ref=sr_1_2?keywords=Ricola+Lemon+Mint+Cough+Drops&amp;qid=1695260692&amp;sr=8-2")</f>
        <v>https://www.amazon.com/Ricola-Herbal-Throat-Drops-Lemon/dp/B00AY6RO9U/ref=sr_1_2?keywords=Ricola+Lemon+Mint+Cough+Drops&amp;qid=1695260692&amp;sr=8-2</v>
      </c>
      <c r="F3643" t="s">
        <v>9889</v>
      </c>
      <c r="G3643" t="e">
        <f ca="1">IMAGE("https://shop.sonapharmacy.com/cdn/shop/products/lemonmint_bag_24.png?v=1608220217")</f>
        <v>#NAME?</v>
      </c>
      <c r="H3643" t="e">
        <f ca="1">IMAGE("https://m.media-amazon.com/images/I/81dLCwEACDL._AC_UL320_.jpg")</f>
        <v>#NAME?</v>
      </c>
      <c r="I3643" t="s">
        <v>8279</v>
      </c>
      <c r="J3643">
        <v>12.89</v>
      </c>
      <c r="K3643" s="2" t="s">
        <v>9890</v>
      </c>
      <c r="L3643">
        <v>4.8</v>
      </c>
      <c r="M3643">
        <v>4903</v>
      </c>
      <c r="O3643" t="s">
        <v>26</v>
      </c>
      <c r="P3643" t="s">
        <v>39</v>
      </c>
      <c r="Q3643" t="s">
        <v>8281</v>
      </c>
    </row>
    <row r="3644" spans="1:17" ht="15.75" x14ac:dyDescent="0.25">
      <c r="A3644" s="3" t="str">
        <f>HYPERLINK("https://shop.sonapharmacy.com/products/schiff-move-free-joint-health-advanced-plus-msm-tablets", "https://shop.sonapharmacy.com/products/schiff-move-free-joint-health-advanced-plus-msm-tablets")</f>
        <v>https://shop.sonapharmacy.com/products/schiff-move-free-joint-health-advanced-plus-msm-tablets</v>
      </c>
      <c r="B3644" s="3" t="str">
        <f>HYPERLINK("https://shop.sonapharmacy.com/products/schiff-move-free-joint-health-advanced-plus-msm-tablets", "https://shop.sonapharmacy.com/products/schiff-move-free-joint-health-advanced-plus-msm-tablets")</f>
        <v>https://shop.sonapharmacy.com/products/schiff-move-free-joint-health-advanced-plus-msm-tablets</v>
      </c>
      <c r="C3644" t="s">
        <v>8905</v>
      </c>
      <c r="D3644" t="s">
        <v>9891</v>
      </c>
      <c r="E3644" s="3" t="str">
        <f>HYPERLINK("https://www.amazon.com/Move-Free-Advanced-Plus-tablets/dp/B004SH8PD0/ref=sr_1_10?keywords=Schiff+Move+Free+joint+Health+Advanced+Plus+MSM+Tablets&amp;qid=1695260725&amp;sr=8-10", "https://www.amazon.com/Move-Free-Advanced-Plus-tablets/dp/B004SH8PD0/ref=sr_1_10?keywords=Schiff+Move+Free+joint+Health+Advanced+Plus+MSM+Tablets&amp;qid=1695260725&amp;sr=8-10")</f>
        <v>https://www.amazon.com/Move-Free-Advanced-Plus-tablets/dp/B004SH8PD0/ref=sr_1_10?keywords=Schiff+Move+Free+joint+Health+Advanced+Plus+MSM+Tablets&amp;qid=1695260725&amp;sr=8-10</v>
      </c>
      <c r="F3644" t="s">
        <v>9892</v>
      </c>
      <c r="G3644" t="e">
        <f ca="1">IMAGE("https://shop.sonapharmacy.com/cdn/shop/products/movefreehealthresized.jpg?v=1592492207")</f>
        <v>#NAME?</v>
      </c>
      <c r="H3644" t="e">
        <f ca="1">IMAGE("https://m.media-amazon.com/images/I/61HkEZUTeoL._AC_UL320_.jpg")</f>
        <v>#NAME?</v>
      </c>
      <c r="I3644" t="s">
        <v>8908</v>
      </c>
      <c r="J3644">
        <v>103.85</v>
      </c>
      <c r="K3644" s="2" t="s">
        <v>9893</v>
      </c>
      <c r="L3644">
        <v>3.7</v>
      </c>
      <c r="M3644">
        <v>2</v>
      </c>
      <c r="O3644" t="s">
        <v>26</v>
      </c>
      <c r="P3644" t="s">
        <v>39</v>
      </c>
      <c r="Q3644" t="s">
        <v>8910</v>
      </c>
    </row>
    <row r="3645" spans="1:17" ht="15.75" x14ac:dyDescent="0.25">
      <c r="A3645" s="3" t="str">
        <f>HYPERLINK("https://shop.sonapharmacy.com/products/palmers-cocoa-butter-formula-body-lotion-8-5fl-oz", "https://shop.sonapharmacy.com/products/palmers-cocoa-butter-formula-body-lotion-8-5fl-oz")</f>
        <v>https://shop.sonapharmacy.com/products/palmers-cocoa-butter-formula-body-lotion-8-5fl-oz</v>
      </c>
      <c r="B3645" s="3" t="str">
        <f>HYPERLINK("https://shop.sonapharmacy.com/products/palmers-cocoa-butter-formula-body-lotion-8-5fl-oz", "https://shop.sonapharmacy.com/products/palmers-cocoa-butter-formula-body-lotion-8-5fl-oz")</f>
        <v>https://shop.sonapharmacy.com/products/palmers-cocoa-butter-formula-body-lotion-8-5fl-oz</v>
      </c>
      <c r="C3645" t="s">
        <v>8586</v>
      </c>
      <c r="D3645" t="s">
        <v>9894</v>
      </c>
      <c r="E3645" s="3" t="str">
        <f>HYPERLINK("https://www.amazon.com/Palmers-Butter-Formula-Therapy-Vitamin/dp/B07XHCM8P7/ref=sr_1_1?keywords=Palmer%27s+Cocoa+Butter+Formula+Body+Lotion+8.5fl.+oz.&amp;qid=1695260626&amp;sr=8-1", "https://www.amazon.com/Palmers-Butter-Formula-Therapy-Vitamin/dp/B07XHCM8P7/ref=sr_1_1?keywords=Palmer%27s+Cocoa+Butter+Formula+Body+Lotion+8.5fl.+oz.&amp;qid=1695260626&amp;sr=8-1")</f>
        <v>https://www.amazon.com/Palmers-Butter-Formula-Therapy-Vitamin/dp/B07XHCM8P7/ref=sr_1_1?keywords=Palmer%27s+Cocoa+Butter+Formula+Body+Lotion+8.5fl.+oz.&amp;qid=1695260626&amp;sr=8-1</v>
      </c>
      <c r="F3645" t="s">
        <v>9895</v>
      </c>
      <c r="G3645" t="e">
        <f ca="1">IMAGE("https://shop.sonapharmacy.com/cdn/shop/products/ab2c73e2-f908-4dea-840b-e0e91ac70d04_1.67192cb5b27856b7415bf3e3a8b7e3dd.png?v=1608489727")</f>
        <v>#NAME?</v>
      </c>
      <c r="H3645" t="e">
        <f ca="1">IMAGE("https://m.media-amazon.com/images/I/81rkTNVm0OL._AC_UL320_.jpg")</f>
        <v>#NAME?</v>
      </c>
      <c r="I3645" t="s">
        <v>8498</v>
      </c>
      <c r="J3645">
        <v>23.07</v>
      </c>
      <c r="K3645" s="2" t="s">
        <v>9896</v>
      </c>
      <c r="L3645">
        <v>4.8</v>
      </c>
      <c r="M3645">
        <v>2677</v>
      </c>
      <c r="O3645" t="s">
        <v>26</v>
      </c>
      <c r="P3645" t="s">
        <v>39</v>
      </c>
      <c r="Q3645" t="s">
        <v>8590</v>
      </c>
    </row>
    <row r="3646" spans="1:17" ht="15.75" x14ac:dyDescent="0.25">
      <c r="A3646" s="3" t="str">
        <f>HYPERLINK("https://shop.sonapharmacy.com/products/apex%C2%AE-oral-syringe-10ml", "https://shop.sonapharmacy.com/products/apex%C2%AE-oral-syringe-10ml")</f>
        <v>https://shop.sonapharmacy.com/products/apex%C2%AE-oral-syringe-10ml</v>
      </c>
      <c r="B3646" s="3" t="str">
        <f>HYPERLINK("https://shop.sonapharmacy.com/products/apex%c2%ae-oral-syringe-10ml", "https://shop.sonapharmacy.com/products/apex%c2%ae-oral-syringe-10ml")</f>
        <v>https://shop.sonapharmacy.com/products/apex%c2%ae-oral-syringe-10ml</v>
      </c>
      <c r="C3646" t="s">
        <v>8131</v>
      </c>
      <c r="D3646" t="s">
        <v>9897</v>
      </c>
      <c r="E3646" s="3" t="str">
        <f>HYPERLINK("https://www.amazon.com/Individually-Scientific-Measuring-refilling-Applicator/dp/B0C1Y9DPD3/ref=sr_1_7?keywords=Apex+Oral+Syringe+10ml.&amp;qid=1695260012&amp;sr=8-7", "https://www.amazon.com/Individually-Scientific-Measuring-refilling-Applicator/dp/B0C1Y9DPD3/ref=sr_1_7?keywords=Apex+Oral+Syringe+10ml.&amp;qid=1695260012&amp;sr=8-7")</f>
        <v>https://www.amazon.com/Individually-Scientific-Measuring-refilling-Applicator/dp/B0C1Y9DPD3/ref=sr_1_7?keywords=Apex+Oral+Syringe+10ml.&amp;qid=1695260012&amp;sr=8-7</v>
      </c>
      <c r="F3646" t="s">
        <v>9898</v>
      </c>
      <c r="G3646" t="e">
        <f ca="1">IMAGE("https://shop.sonapharmacy.com/cdn/shop/products/000530853.jpg?v=1611189682")</f>
        <v>#NAME?</v>
      </c>
      <c r="H3646" t="e">
        <f ca="1">IMAGE("https://m.media-amazon.com/images/I/71Nwt+K7WSL._AC_UY218_.jpg")</f>
        <v>#NAME?</v>
      </c>
      <c r="I3646" t="s">
        <v>8134</v>
      </c>
      <c r="J3646">
        <v>5.99</v>
      </c>
      <c r="K3646" s="2" t="s">
        <v>9899</v>
      </c>
      <c r="L3646">
        <v>4.9000000000000004</v>
      </c>
      <c r="M3646">
        <v>15</v>
      </c>
      <c r="O3646" t="s">
        <v>26</v>
      </c>
      <c r="P3646" t="s">
        <v>39</v>
      </c>
      <c r="Q3646" t="s">
        <v>8136</v>
      </c>
    </row>
    <row r="3647" spans="1:17" ht="15.75" x14ac:dyDescent="0.25">
      <c r="A3647" s="3" t="str">
        <f>HYPERLINK("https://shop.sonapharmacy.com/products/apex%C2%AE-oral-syringe-10ml", "https://shop.sonapharmacy.com/products/apex%C2%AE-oral-syringe-10ml")</f>
        <v>https://shop.sonapharmacy.com/products/apex%C2%AE-oral-syringe-10ml</v>
      </c>
      <c r="B3647" s="3" t="str">
        <f>HYPERLINK("https://shop.sonapharmacy.com/products/apex%c2%ae-oral-syringe-10ml", "https://shop.sonapharmacy.com/products/apex%c2%ae-oral-syringe-10ml")</f>
        <v>https://shop.sonapharmacy.com/products/apex%c2%ae-oral-syringe-10ml</v>
      </c>
      <c r="C3647" t="s">
        <v>8131</v>
      </c>
      <c r="D3647" t="s">
        <v>9900</v>
      </c>
      <c r="E3647" s="3" t="str">
        <f>HYPERLINK("https://www.amazon.com/10ml-Syringe-Luer-Slip-Tip/dp/B01JJYDFHM/ref=sr_1_5?keywords=Apex+Oral+Syringe+10ml.&amp;qid=1695260012&amp;sr=8-5", "https://www.amazon.com/10ml-Syringe-Luer-Slip-Tip/dp/B01JJYDFHM/ref=sr_1_5?keywords=Apex+Oral+Syringe+10ml.&amp;qid=1695260012&amp;sr=8-5")</f>
        <v>https://www.amazon.com/10ml-Syringe-Luer-Slip-Tip/dp/B01JJYDFHM/ref=sr_1_5?keywords=Apex+Oral+Syringe+10ml.&amp;qid=1695260012&amp;sr=8-5</v>
      </c>
      <c r="F3647" t="s">
        <v>9901</v>
      </c>
      <c r="G3647" t="e">
        <f ca="1">IMAGE("https://shop.sonapharmacy.com/cdn/shop/products/000530853.jpg?v=1611189682")</f>
        <v>#NAME?</v>
      </c>
      <c r="H3647" t="e">
        <f ca="1">IMAGE("https://m.media-amazon.com/images/I/71tF+KvRgeL._AC_UY218_.jpg")</f>
        <v>#NAME?</v>
      </c>
      <c r="I3647" t="s">
        <v>8134</v>
      </c>
      <c r="J3647">
        <v>5.99</v>
      </c>
      <c r="K3647" s="2" t="s">
        <v>9899</v>
      </c>
      <c r="L3647">
        <v>4.7</v>
      </c>
      <c r="M3647">
        <v>1841</v>
      </c>
      <c r="O3647" t="s">
        <v>26</v>
      </c>
      <c r="P3647" t="s">
        <v>39</v>
      </c>
      <c r="Q3647" t="s">
        <v>8136</v>
      </c>
    </row>
    <row r="3648" spans="1:17" ht="15.75" x14ac:dyDescent="0.25">
      <c r="A3648" s="3" t="str">
        <f>HYPERLINK("https://shop.sonapharmacy.com/products/fruit-of-the-earth-aloe-vera-100-gel-6oz", "https://shop.sonapharmacy.com/products/fruit-of-the-earth-aloe-vera-100-gel-6oz")</f>
        <v>https://shop.sonapharmacy.com/products/fruit-of-the-earth-aloe-vera-100-gel-6oz</v>
      </c>
      <c r="B3648" s="3" t="str">
        <f>HYPERLINK("https://shop.sonapharmacy.com/products/fruit-of-the-earth-aloe-vera-100-gel-6oz", "https://shop.sonapharmacy.com/products/fruit-of-the-earth-aloe-vera-100-gel-6oz")</f>
        <v>https://shop.sonapharmacy.com/products/fruit-of-the-earth-aloe-vera-100-gel-6oz</v>
      </c>
      <c r="C3648" t="s">
        <v>8763</v>
      </c>
      <c r="D3648" t="s">
        <v>9902</v>
      </c>
      <c r="E3648" s="3" t="str">
        <f>HYPERLINK("https://www.amazon.com/Fruit-Earth-Aloe-Vera-100/dp/B00H564UCG/ref=sr_1_4?keywords=Fruit+Of+The+Earth+Aloe+Vera+100%25+Gel+6oz.&amp;qid=1695260255&amp;sr=8-4", "https://www.amazon.com/Fruit-Earth-Aloe-Vera-100/dp/B00H564UCG/ref=sr_1_4?keywords=Fruit+Of+The+Earth+Aloe+Vera+100%25+Gel+6oz.&amp;qid=1695260255&amp;sr=8-4")</f>
        <v>https://www.amazon.com/Fruit-Earth-Aloe-Vera-100/dp/B00H564UCG/ref=sr_1_4?keywords=Fruit+Of+The+Earth+Aloe+Vera+100%25+Gel+6oz.&amp;qid=1695260255&amp;sr=8-4</v>
      </c>
      <c r="F3648" t="s">
        <v>9903</v>
      </c>
      <c r="G3648" t="e">
        <f ca="1">IMAGE("https://shop.sonapharmacy.com/cdn/shop/products/aloevera.jpg?v=1607965506")</f>
        <v>#NAME?</v>
      </c>
      <c r="H3648" t="e">
        <f ca="1">IMAGE("https://m.media-amazon.com/images/I/61QSJCr56sL._AC_UL320_.jpg")</f>
        <v>#NAME?</v>
      </c>
      <c r="I3648" t="s">
        <v>8766</v>
      </c>
      <c r="J3648">
        <v>16</v>
      </c>
      <c r="K3648" s="2" t="s">
        <v>9904</v>
      </c>
      <c r="L3648">
        <v>4.7</v>
      </c>
      <c r="M3648">
        <v>1372</v>
      </c>
      <c r="O3648" t="s">
        <v>26</v>
      </c>
      <c r="P3648" t="s">
        <v>39</v>
      </c>
      <c r="Q3648" t="s">
        <v>8768</v>
      </c>
    </row>
    <row r="3649" spans="1:17" ht="15.75" x14ac:dyDescent="0.25">
      <c r="A3649" s="3" t="str">
        <f>HYPERLINK("https://shop.sonapharmacy.com/products/nature-made-400-mcg-folic-acid-tablets", "https://shop.sonapharmacy.com/products/nature-made-400-mcg-folic-acid-tablets")</f>
        <v>https://shop.sonapharmacy.com/products/nature-made-400-mcg-folic-acid-tablets</v>
      </c>
      <c r="B3649" s="3" t="str">
        <f>HYPERLINK("https://shop.sonapharmacy.com/products/nature-made-400-mcg-folic-acid-tablets", "https://shop.sonapharmacy.com/products/nature-made-400-mcg-folic-acid-tablets")</f>
        <v>https://shop.sonapharmacy.com/products/nature-made-400-mcg-folic-acid-tablets</v>
      </c>
      <c r="C3649" t="s">
        <v>9905</v>
      </c>
      <c r="D3649" t="s">
        <v>9906</v>
      </c>
      <c r="E3649" s="3" t="str">
        <f>HYPERLINK("https://www.amazon.com/Nature-Made-Folic-400mcg-Tablets/dp/B01GI4A344/ref=sr_1_4?keywords=Nature+Made%C2%AE+Folic+Acid+400mcg+Tablets+250ct.&amp;qid=1695260567&amp;sr=8-4", "https://www.amazon.com/Nature-Made-Folic-400mcg-Tablets/dp/B01GI4A344/ref=sr_1_4?keywords=Nature+Made%C2%AE+Folic+Acid+400mcg+Tablets+250ct.&amp;qid=1695260567&amp;sr=8-4")</f>
        <v>https://www.amazon.com/Nature-Made-Folic-400mcg-Tablets/dp/B01GI4A344/ref=sr_1_4?keywords=Nature+Made%C2%AE+Folic+Acid+400mcg+Tablets+250ct.&amp;qid=1695260567&amp;sr=8-4</v>
      </c>
      <c r="F3649" t="s">
        <v>9907</v>
      </c>
      <c r="G3649" t="e">
        <f ca="1">IMAGE("https://shop.sonapharmacy.com/cdn/shop/products/71hSyRg10rL._AC_SL1500.jpg?v=1610036350")</f>
        <v>#NAME?</v>
      </c>
      <c r="H3649" t="e">
        <f ca="1">IMAGE("https://m.media-amazon.com/images/I/71tdZxa7aNL._AC_UL320_.jpg")</f>
        <v>#NAME?</v>
      </c>
      <c r="I3649" t="s">
        <v>9554</v>
      </c>
      <c r="J3649">
        <v>22.34</v>
      </c>
      <c r="K3649" s="2" t="s">
        <v>9908</v>
      </c>
      <c r="L3649">
        <v>5</v>
      </c>
      <c r="M3649">
        <v>1</v>
      </c>
      <c r="O3649" t="s">
        <v>26</v>
      </c>
      <c r="P3649" t="s">
        <v>39</v>
      </c>
      <c r="Q3649" t="s">
        <v>9909</v>
      </c>
    </row>
    <row r="3650" spans="1:17" ht="15.75" x14ac:dyDescent="0.25">
      <c r="A3650" s="3" t="str">
        <f>HYPERLINK("https://shop.sonapharmacy.com/products/bayer-genuine-aspirin-325-mg-tablets", "https://shop.sonapharmacy.com/products/bayer-genuine-aspirin-325-mg-tablets")</f>
        <v>https://shop.sonapharmacy.com/products/bayer-genuine-aspirin-325-mg-tablets</v>
      </c>
      <c r="B3650" s="3" t="str">
        <f>HYPERLINK("https://shop.sonapharmacy.com/products/bayer-genuine-aspirin-325-mg-tablets", "https://shop.sonapharmacy.com/products/bayer-genuine-aspirin-325-mg-tablets")</f>
        <v>https://shop.sonapharmacy.com/products/bayer-genuine-aspirin-325-mg-tablets</v>
      </c>
      <c r="C3650" t="s">
        <v>9910</v>
      </c>
      <c r="D3650" t="s">
        <v>9911</v>
      </c>
      <c r="E3650" s="3" t="str">
        <f>HYPERLINK("https://www.amazon.com/Bayer-Aspirin-Enteric-Tablets-Genuine/dp/B0CC3NVK17/ref=sr_1_5?keywords=Bayer%C2%AE+Genuine+Aspirin+325mg+Tablets&amp;qid=1695260088&amp;rdc=1&amp;sr=8-5", "https://www.amazon.com/Bayer-Aspirin-Enteric-Tablets-Genuine/dp/B0CC3NVK17/ref=sr_1_5?keywords=Bayer%C2%AE+Genuine+Aspirin+325mg+Tablets&amp;qid=1695260088&amp;rdc=1&amp;sr=8-5")</f>
        <v>https://www.amazon.com/Bayer-Aspirin-Enteric-Tablets-Genuine/dp/B0CC3NVK17/ref=sr_1_5?keywords=Bayer%C2%AE+Genuine+Aspirin+325mg+Tablets&amp;qid=1695260088&amp;rdc=1&amp;sr=8-5</v>
      </c>
      <c r="F3650" t="s">
        <v>9912</v>
      </c>
      <c r="G3650" t="e">
        <f ca="1">IMAGE("https://shop.sonapharmacy.com/cdn/shop/products/Untitled-26.jpg?v=1592598679")</f>
        <v>#NAME?</v>
      </c>
      <c r="H3650" t="e">
        <f ca="1">IMAGE("https://m.media-amazon.com/images/I/91LJhm71IYL._AC_UL320_.jpg")</f>
        <v>#NAME?</v>
      </c>
      <c r="I3650" t="s">
        <v>8766</v>
      </c>
      <c r="J3650">
        <v>15.99</v>
      </c>
      <c r="K3650" s="2" t="s">
        <v>9913</v>
      </c>
      <c r="L3650">
        <v>4.8</v>
      </c>
      <c r="M3650">
        <v>27050</v>
      </c>
      <c r="O3650" t="s">
        <v>26</v>
      </c>
      <c r="P3650" t="s">
        <v>39</v>
      </c>
      <c r="Q3650" t="s">
        <v>9914</v>
      </c>
    </row>
    <row r="3651" spans="1:17" ht="15.75" x14ac:dyDescent="0.25">
      <c r="A3651" s="3" t="str">
        <f>HYPERLINK("https://shop.sonapharmacy.com/products/pantene%C2%AE-classic-clean-shampoo-12-6fl-oz", "https://shop.sonapharmacy.com/products/pantene%C2%AE-classic-clean-shampoo-12-6fl-oz")</f>
        <v>https://shop.sonapharmacy.com/products/pantene%C2%AE-classic-clean-shampoo-12-6fl-oz</v>
      </c>
      <c r="B3651" s="3" t="str">
        <f>HYPERLINK("https://shop.sonapharmacy.com/products/pantene%c2%ae-classic-clean-shampoo-12-6fl-oz", "https://shop.sonapharmacy.com/products/pantene%c2%ae-classic-clean-shampoo-12-6fl-oz")</f>
        <v>https://shop.sonapharmacy.com/products/pantene%c2%ae-classic-clean-shampoo-12-6fl-oz</v>
      </c>
      <c r="C3651" t="s">
        <v>8725</v>
      </c>
      <c r="D3651" t="s">
        <v>9915</v>
      </c>
      <c r="E3651" s="3" t="str">
        <f>HYPERLINK("https://www.amazon.com/Pantene-Pro-V-Classic-Clean-Shampoo/dp/B000XGIZZ8/ref=sr_1_3?keywords=Pantene%C2%AE+Pro-V+Classic+Clean+Shampoo+12fl.+oz.&amp;qid=1695260626&amp;sr=8-3", "https://www.amazon.com/Pantene-Pro-V-Classic-Clean-Shampoo/dp/B000XGIZZ8/ref=sr_1_3?keywords=Pantene%C2%AE+Pro-V+Classic+Clean+Shampoo+12fl.+oz.&amp;qid=1695260626&amp;sr=8-3")</f>
        <v>https://www.amazon.com/Pantene-Pro-V-Classic-Clean-Shampoo/dp/B000XGIZZ8/ref=sr_1_3?keywords=Pantene%C2%AE+Pro-V+Classic+Clean+Shampoo+12fl.+oz.&amp;qid=1695260626&amp;sr=8-3</v>
      </c>
      <c r="F3651" t="s">
        <v>9916</v>
      </c>
      <c r="G3651" t="e">
        <f ca="1">IMAGE("https://shop.sonapharmacy.com/cdn/shop/products/15cd010f-3357-47fe-af4e-ec5db33dd69f_1.e7f21d7c02f220665cdc99a4a17eaf1f.jpg?v=1609165266")</f>
        <v>#NAME?</v>
      </c>
      <c r="H3651" t="e">
        <f ca="1">IMAGE("https://m.media-amazon.com/images/I/61RJ9r9E4yL._AC_UL320_.jpg")</f>
        <v>#NAME?</v>
      </c>
      <c r="I3651" t="s">
        <v>8728</v>
      </c>
      <c r="J3651">
        <v>16.989999999999998</v>
      </c>
      <c r="K3651" s="2" t="s">
        <v>9917</v>
      </c>
      <c r="L3651">
        <v>4.5999999999999996</v>
      </c>
      <c r="M3651">
        <v>166</v>
      </c>
      <c r="O3651" t="s">
        <v>26</v>
      </c>
      <c r="P3651" t="s">
        <v>39</v>
      </c>
      <c r="Q3651" t="s">
        <v>8730</v>
      </c>
    </row>
    <row r="3652" spans="1:17" ht="15.75" x14ac:dyDescent="0.25">
      <c r="A3652" s="3" t="str">
        <f>HYPERLINK("https://shop.sonapharmacy.com/products/duracell%C2%AE-301-386-silver-oxide-button-battery", "https://shop.sonapharmacy.com/products/duracell%C2%AE-301-386-silver-oxide-button-battery")</f>
        <v>https://shop.sonapharmacy.com/products/duracell%C2%AE-301-386-silver-oxide-button-battery</v>
      </c>
      <c r="B3652" s="3" t="str">
        <f>HYPERLINK("https://shop.sonapharmacy.com/products/duracell%c2%ae-301-386-silver-oxide-button-battery", "https://shop.sonapharmacy.com/products/duracell%c2%ae-301-386-silver-oxide-button-battery")</f>
        <v>https://shop.sonapharmacy.com/products/duracell%c2%ae-301-386-silver-oxide-button-battery</v>
      </c>
      <c r="C3652" t="s">
        <v>9877</v>
      </c>
      <c r="D3652" t="s">
        <v>9918</v>
      </c>
      <c r="E3652" s="3" t="str">
        <f>HYPERLINK("https://www.amazon.com/Murata-Battery-1-55V-Silver-Button/dp/B088KNNWHX/ref=sr_1_7?keywords=Duracell%C2%AE+301%2F386+Silver+Oxide+Button+Battery&amp;qid=1695260213&amp;sr=8-7", "https://www.amazon.com/Murata-Battery-1-55V-Silver-Button/dp/B088KNNWHX/ref=sr_1_7?keywords=Duracell%C2%AE+301%2F386+Silver+Oxide+Button+Battery&amp;qid=1695260213&amp;sr=8-7")</f>
        <v>https://www.amazon.com/Murata-Battery-1-55V-Silver-Button/dp/B088KNNWHX/ref=sr_1_7?keywords=Duracell%C2%AE+301%2F386+Silver+Oxide+Button+Battery&amp;qid=1695260213&amp;sr=8-7</v>
      </c>
      <c r="F3652" t="s">
        <v>9919</v>
      </c>
      <c r="G3652" t="e">
        <f ca="1">IMAGE("https://shop.sonapharmacy.com/cdn/shop/products/61graATYFOL._AC_SL1401.jpg?v=1610332821")</f>
        <v>#NAME?</v>
      </c>
      <c r="H3652" t="e">
        <f ca="1">IMAGE("https://m.media-amazon.com/images/I/81f0XuaLs8L._AC_UL320_.jpg")</f>
        <v>#NAME?</v>
      </c>
      <c r="I3652" t="s">
        <v>8206</v>
      </c>
      <c r="J3652">
        <v>17.989999999999998</v>
      </c>
      <c r="K3652" s="2" t="s">
        <v>9920</v>
      </c>
      <c r="L3652">
        <v>4.2</v>
      </c>
      <c r="M3652">
        <v>4</v>
      </c>
      <c r="O3652" t="s">
        <v>26</v>
      </c>
      <c r="P3652" t="s">
        <v>39</v>
      </c>
      <c r="Q3652" t="s">
        <v>9881</v>
      </c>
    </row>
    <row r="3653" spans="1:17" ht="15.75" x14ac:dyDescent="0.25">
      <c r="A3653" s="3" t="str">
        <f>HYPERLINK("https://shop.sonapharmacy.com/products/boudreauxs-butt-paste%C2%AE-original-diaper-rash-ointment", "https://shop.sonapharmacy.com/products/boudreauxs-butt-paste%C2%AE-original-diaper-rash-ointment")</f>
        <v>https://shop.sonapharmacy.com/products/boudreauxs-butt-paste%C2%AE-original-diaper-rash-ointment</v>
      </c>
      <c r="B3653" s="3" t="str">
        <f>HYPERLINK("https://shop.sonapharmacy.com/products/boudreauxs-butt-paste%c2%ae-original-diaper-rash-ointment", "https://shop.sonapharmacy.com/products/boudreauxs-butt-paste%c2%ae-original-diaper-rash-ointment")</f>
        <v>https://shop.sonapharmacy.com/products/boudreauxs-butt-paste%c2%ae-original-diaper-rash-ointment</v>
      </c>
      <c r="C3653" t="s">
        <v>9281</v>
      </c>
      <c r="D3653" t="s">
        <v>9921</v>
      </c>
      <c r="E3653" s="3" t="str">
        <f>HYPERLINK("https://www.amazon.com/Boudreauxs-Ointment-Original-Paraben-Preservative/dp/B00U37Q54U/ref=sr_1_1?keywords=Boudreaux%27s+Butt+Paste%C2%AE+Original+Diaper+Rash+Ointment&amp;qid=1695260099&amp;rdc=1&amp;sr=8-1", "https://www.amazon.com/Boudreauxs-Ointment-Original-Paraben-Preservative/dp/B00U37Q54U/ref=sr_1_1?keywords=Boudreaux%27s+Butt+Paste%C2%AE+Original+Diaper+Rash+Ointment&amp;qid=1695260099&amp;rdc=1&amp;sr=8-1")</f>
        <v>https://www.amazon.com/Boudreauxs-Ointment-Original-Paraben-Preservative/dp/B00U37Q54U/ref=sr_1_1?keywords=Boudreaux%27s+Butt+Paste%C2%AE+Original+Diaper+Rash+Ointment&amp;qid=1695260099&amp;rdc=1&amp;sr=8-1</v>
      </c>
      <c r="F3653" t="s">
        <v>9922</v>
      </c>
      <c r="G3653" t="e">
        <f ca="1">IMAGE("https://shop.sonapharmacy.com/cdn/shop/products/2oz.jpg?v=1609271951")</f>
        <v>#NAME?</v>
      </c>
      <c r="H3653" t="e">
        <f ca="1">IMAGE("https://m.media-amazon.com/images/I/81CWVFHQODL._AC_UL320_.jpg")</f>
        <v>#NAME?</v>
      </c>
      <c r="I3653" t="s">
        <v>9284</v>
      </c>
      <c r="J3653">
        <v>21.58</v>
      </c>
      <c r="K3653" s="2" t="s">
        <v>9923</v>
      </c>
      <c r="L3653">
        <v>4.8</v>
      </c>
      <c r="M3653">
        <v>9664</v>
      </c>
      <c r="O3653" t="s">
        <v>26</v>
      </c>
      <c r="P3653" t="s">
        <v>39</v>
      </c>
      <c r="Q3653" t="s">
        <v>9286</v>
      </c>
    </row>
    <row r="3654" spans="1:17" ht="15.75" x14ac:dyDescent="0.25">
      <c r="A3654" s="3" t="str">
        <f>HYPERLINK("https://shop.sonapharmacy.com/products/sunbum%C2%AE-original-spf-50-sunscreen-lotion-3oz", "https://shop.sonapharmacy.com/products/sunbum%C2%AE-original-spf-50-sunscreen-lotion-3oz")</f>
        <v>https://shop.sonapharmacy.com/products/sunbum%C2%AE-original-spf-50-sunscreen-lotion-3oz</v>
      </c>
      <c r="B3654" s="3" t="str">
        <f>HYPERLINK("https://shop.sonapharmacy.com/products/sunbum%c2%ae-original-spf-50-sunscreen-lotion-3oz", "https://shop.sonapharmacy.com/products/sunbum%c2%ae-original-spf-50-sunscreen-lotion-3oz")</f>
        <v>https://shop.sonapharmacy.com/products/sunbum%c2%ae-original-spf-50-sunscreen-lotion-3oz</v>
      </c>
      <c r="C3654" t="s">
        <v>9924</v>
      </c>
      <c r="D3654" t="s">
        <v>9925</v>
      </c>
      <c r="E3654" s="3" t="str">
        <f>HYPERLINK("https://www.amazon.com/Sun-Bum-Octinoxate-Oxybenzone-Moisturizing/dp/B09NP3LVNV/ref=sr_1_10?keywords=Sun+Bum%C2%AE+Original+SPF+50+Sunscreen+Lotion&amp;qid=1695260742&amp;sr=8-10", "https://www.amazon.com/Sun-Bum-Octinoxate-Oxybenzone-Moisturizing/dp/B09NP3LVNV/ref=sr_1_10?keywords=Sun+Bum%C2%AE+Original+SPF+50+Sunscreen+Lotion&amp;qid=1695260742&amp;sr=8-10")</f>
        <v>https://www.amazon.com/Sun-Bum-Octinoxate-Oxybenzone-Moisturizing/dp/B09NP3LVNV/ref=sr_1_10?keywords=Sun+Bum%C2%AE+Original+SPF+50+Sunscreen+Lotion&amp;qid=1695260742&amp;sr=8-10</v>
      </c>
      <c r="F3654" t="s">
        <v>9926</v>
      </c>
      <c r="G3654" t="e">
        <f ca="1">IMAGE("https://shop.sonapharmacy.com/cdn/shop/products/71liju0WraL._SL1500.jpg?v=1611868598")</f>
        <v>#NAME?</v>
      </c>
      <c r="H3654" t="e">
        <f ca="1">IMAGE("https://m.media-amazon.com/images/I/61fKhCxOK7L._AC_UL320_.jpg")</f>
        <v>#NAME?</v>
      </c>
      <c r="I3654" t="s">
        <v>4873</v>
      </c>
      <c r="J3654">
        <v>32.99</v>
      </c>
      <c r="K3654" s="2" t="s">
        <v>9927</v>
      </c>
      <c r="L3654">
        <v>5</v>
      </c>
      <c r="M3654">
        <v>2</v>
      </c>
      <c r="O3654" t="s">
        <v>26</v>
      </c>
      <c r="P3654" t="s">
        <v>39</v>
      </c>
      <c r="Q3654" t="s">
        <v>9928</v>
      </c>
    </row>
    <row r="3655" spans="1:17" ht="15.75" x14ac:dyDescent="0.25">
      <c r="A3655" s="3" t="str">
        <f>HYPERLINK("https://shop.sonapharmacy.com/products/apex%C2%AE-baby-ear-syringe", "https://shop.sonapharmacy.com/products/apex%C2%AE-baby-ear-syringe")</f>
        <v>https://shop.sonapharmacy.com/products/apex%C2%AE-baby-ear-syringe</v>
      </c>
      <c r="B3655" s="3" t="str">
        <f>HYPERLINK("https://shop.sonapharmacy.com/products/apex%c2%ae-baby-ear-syringe", "https://shop.sonapharmacy.com/products/apex%c2%ae-baby-ear-syringe")</f>
        <v>https://shop.sonapharmacy.com/products/apex%c2%ae-baby-ear-syringe</v>
      </c>
      <c r="C3655" t="s">
        <v>9929</v>
      </c>
      <c r="D3655" t="s">
        <v>9930</v>
      </c>
      <c r="E3655" s="3" t="str">
        <f>HYPERLINK("https://www.amazon.com/Apex-Ear-Syringe-Pack-3/dp/B000EGP5BO/ref=sr_1_1?keywords=Apex+Baby+Ear+Syringe&amp;qid=1695260016&amp;sr=8-1", "https://www.amazon.com/Apex-Ear-Syringe-Pack-3/dp/B000EGP5BO/ref=sr_1_1?keywords=Apex+Baby+Ear+Syringe&amp;qid=1695260016&amp;sr=8-1")</f>
        <v>https://www.amazon.com/Apex-Ear-Syringe-Pack-3/dp/B000EGP5BO/ref=sr_1_1?keywords=Apex+Baby+Ear+Syringe&amp;qid=1695260016&amp;sr=8-1</v>
      </c>
      <c r="F3655" t="s">
        <v>9931</v>
      </c>
      <c r="G3655" t="e">
        <f ca="1">IMAGE("https://shop.sonapharmacy.com/cdn/shop/products/Apex-Baby-Ear-Syringe.jpg?v=1609959529")</f>
        <v>#NAME?</v>
      </c>
      <c r="H3655" t="e">
        <f ca="1">IMAGE("https://m.media-amazon.com/images/I/41-A1j9jgNL._AC_UL320_.jpg")</f>
        <v>#NAME?</v>
      </c>
      <c r="I3655" t="s">
        <v>9490</v>
      </c>
      <c r="J3655">
        <v>11.84</v>
      </c>
      <c r="K3655" s="2" t="s">
        <v>9932</v>
      </c>
      <c r="L3655">
        <v>2.2999999999999998</v>
      </c>
      <c r="M3655">
        <v>4</v>
      </c>
      <c r="O3655" t="s">
        <v>26</v>
      </c>
      <c r="P3655" t="s">
        <v>39</v>
      </c>
      <c r="Q3655" t="s">
        <v>9933</v>
      </c>
    </row>
    <row r="3656" spans="1:17" ht="15.75" x14ac:dyDescent="0.25">
      <c r="A3656" s="3" t="str">
        <f>HYPERLINK("https://shop.sonapharmacy.com/products/olay-firming-night-cream", "https://shop.sonapharmacy.com/products/olay-firming-night-cream")</f>
        <v>https://shop.sonapharmacy.com/products/olay-firming-night-cream</v>
      </c>
      <c r="B3656" s="3" t="str">
        <f>HYPERLINK("https://shop.sonapharmacy.com/products/olay-firming-night-cream", "https://shop.sonapharmacy.com/products/olay-firming-night-cream")</f>
        <v>https://shop.sonapharmacy.com/products/olay-firming-night-cream</v>
      </c>
      <c r="C3656" t="s">
        <v>9934</v>
      </c>
      <c r="D3656" t="s">
        <v>9935</v>
      </c>
      <c r="E3656" s="3" t="str">
        <f>HYPERLINK("https://www.amazon.com/OLAY-Night-Firming-Cream-Pack/dp/B00IAJET2I/ref=sr_1_5?keywords=Olay+Firming+Night+Cream+2oz.&amp;qid=1695260605&amp;sr=8-5", "https://www.amazon.com/OLAY-Night-Firming-Cream-Pack/dp/B00IAJET2I/ref=sr_1_5?keywords=Olay+Firming+Night+Cream+2oz.&amp;qid=1695260605&amp;sr=8-5")</f>
        <v>https://www.amazon.com/OLAY-Night-Firming-Cream-Pack/dp/B00IAJET2I/ref=sr_1_5?keywords=Olay+Firming+Night+Cream+2oz.&amp;qid=1695260605&amp;sr=8-5</v>
      </c>
      <c r="F3656" t="s">
        <v>9936</v>
      </c>
      <c r="G3656" t="e">
        <f ca="1">IMAGE("https://shop.sonapharmacy.com/cdn/shop/products/8ab34b91-bb31-4d78-b1bd-17a55c1f470c.cc6d41549f1d2b88b521d28e4b88cd02.jpg?v=1608242565")</f>
        <v>#NAME?</v>
      </c>
      <c r="H3656" t="e">
        <f ca="1">IMAGE("https://m.media-amazon.com/images/I/810IIaRXtLL._AC_UL320_.jpg")</f>
        <v>#NAME?</v>
      </c>
      <c r="I3656" t="s">
        <v>9937</v>
      </c>
      <c r="J3656">
        <v>33.6</v>
      </c>
      <c r="K3656" s="2" t="s">
        <v>9938</v>
      </c>
      <c r="L3656">
        <v>5</v>
      </c>
      <c r="M3656">
        <v>1</v>
      </c>
      <c r="O3656" t="s">
        <v>26</v>
      </c>
      <c r="P3656" t="s">
        <v>39</v>
      </c>
      <c r="Q3656" t="s">
        <v>9939</v>
      </c>
    </row>
    <row r="3657" spans="1:17" ht="15.75" x14ac:dyDescent="0.25">
      <c r="A3657" s="3" t="str">
        <f>HYPERLINK("https://shop.sonapharmacy.com/products/macks%C2%AE-pillow-soft%C2%AE-silicone-putty-ear-plugs", "https://shop.sonapharmacy.com/products/macks%C2%AE-pillow-soft%C2%AE-silicone-putty-ear-plugs")</f>
        <v>https://shop.sonapharmacy.com/products/macks%C2%AE-pillow-soft%C2%AE-silicone-putty-ear-plugs</v>
      </c>
      <c r="B3657" s="3" t="str">
        <f>HYPERLINK("https://shop.sonapharmacy.com/products/macks%c2%ae-pillow-soft%c2%ae-silicone-putty-ear-plugs", "https://shop.sonapharmacy.com/products/macks%c2%ae-pillow-soft%c2%ae-silicone-putty-ear-plugs")</f>
        <v>https://shop.sonapharmacy.com/products/macks%c2%ae-pillow-soft%c2%ae-silicone-putty-ear-plugs</v>
      </c>
      <c r="C3657" t="s">
        <v>7949</v>
      </c>
      <c r="D3657" t="s">
        <v>9940</v>
      </c>
      <c r="E3657" s="3" t="str">
        <f>HYPERLINK("https://www.amazon.com/Macks-Pillow-Soft-Silicone-Earplugs/dp/B00SYEHC64/ref=sr_1_2?keywords=Mack%27s%C2%AE+Pillow+Soft%C2%AE+Silicone+Putty+Ear+Plugs&amp;qid=1695260450&amp;sr=8-2", "https://www.amazon.com/Macks-Pillow-Soft-Silicone-Earplugs/dp/B00SYEHC64/ref=sr_1_2?keywords=Mack%27s%C2%AE+Pillow+Soft%C2%AE+Silicone+Putty+Ear+Plugs&amp;qid=1695260450&amp;sr=8-2")</f>
        <v>https://www.amazon.com/Macks-Pillow-Soft-Silicone-Earplugs/dp/B00SYEHC64/ref=sr_1_2?keywords=Mack%27s%C2%AE+Pillow+Soft%C2%AE+Silicone+Putty+Ear+Plugs&amp;qid=1695260450&amp;sr=8-2</v>
      </c>
      <c r="F3657" t="s">
        <v>9941</v>
      </c>
      <c r="G3657" t="e">
        <f ca="1">IMAGE("https://shop.sonapharmacy.com/cdn/shop/products/71Rta0uAlwL._AC_SL1500.jpg?v=1609171871")</f>
        <v>#NAME?</v>
      </c>
      <c r="H3657" t="e">
        <f ca="1">IMAGE("https://m.media-amazon.com/images/I/71Li92tv7vL._AC_UL320_.jpg")</f>
        <v>#NAME?</v>
      </c>
      <c r="I3657" t="s">
        <v>7952</v>
      </c>
      <c r="J3657">
        <v>8.99</v>
      </c>
      <c r="K3657" s="2" t="s">
        <v>9942</v>
      </c>
      <c r="L3657">
        <v>4.5999999999999996</v>
      </c>
      <c r="M3657">
        <v>4182</v>
      </c>
      <c r="O3657" t="s">
        <v>26</v>
      </c>
      <c r="P3657" t="s">
        <v>39</v>
      </c>
      <c r="Q3657" t="s">
        <v>7954</v>
      </c>
    </row>
    <row r="3658" spans="1:17" ht="15.75" x14ac:dyDescent="0.25">
      <c r="A3658" s="3" t="str">
        <f>HYPERLINK("https://shop.sonapharmacy.com/products/major%C2%AE-mintox-maximum-strength-antacid", "https://shop.sonapharmacy.com/products/major%C2%AE-mintox-maximum-strength-antacid")</f>
        <v>https://shop.sonapharmacy.com/products/major%C2%AE-mintox-maximum-strength-antacid</v>
      </c>
      <c r="B3658" s="3" t="str">
        <f>HYPERLINK("https://shop.sonapharmacy.com/products/major%c2%ae-mintox-maximum-strength-antacid", "https://shop.sonapharmacy.com/products/major%c2%ae-mintox-maximum-strength-antacid")</f>
        <v>https://shop.sonapharmacy.com/products/major%c2%ae-mintox-maximum-strength-antacid</v>
      </c>
      <c r="C3658" t="s">
        <v>8635</v>
      </c>
      <c r="D3658" t="s">
        <v>9943</v>
      </c>
      <c r="E3658" s="3" t="str">
        <f>HYPERLINK("https://www.amazon.com/Maximum-Strength-Anti-Gas-Major-Pharmaceuticals/dp/B01AVKPIHI/ref=sr_1_4?keywords=Major%C2%AE+Mintox+Maximum+Strength+Antacid&amp;qid=1695260463&amp;sr=8-4", "https://www.amazon.com/Maximum-Strength-Anti-Gas-Major-Pharmaceuticals/dp/B01AVKPIHI/ref=sr_1_4?keywords=Major%C2%AE+Mintox+Maximum+Strength+Antacid&amp;qid=1695260463&amp;sr=8-4")</f>
        <v>https://www.amazon.com/Maximum-Strength-Anti-Gas-Major-Pharmaceuticals/dp/B01AVKPIHI/ref=sr_1_4?keywords=Major%C2%AE+Mintox+Maximum+Strength+Antacid&amp;qid=1695260463&amp;sr=8-4</v>
      </c>
      <c r="F3658" t="s">
        <v>9944</v>
      </c>
      <c r="G3658" t="e">
        <f ca="1">IMAGE("https://shop.sonapharmacy.com/cdn/shop/products/810nWLAG04L._AC_SL1500.jpg?v=1613748218")</f>
        <v>#NAME?</v>
      </c>
      <c r="H3658" t="e">
        <f ca="1">IMAGE("https://m.media-amazon.com/images/I/71+EBTpF+pL._AC_UL320_.jpg")</f>
        <v>#NAME?</v>
      </c>
      <c r="I3658" t="s">
        <v>8638</v>
      </c>
      <c r="J3658">
        <v>20.02</v>
      </c>
      <c r="K3658" s="2" t="s">
        <v>9945</v>
      </c>
      <c r="L3658">
        <v>4.4000000000000004</v>
      </c>
      <c r="M3658">
        <v>15</v>
      </c>
      <c r="O3658" t="s">
        <v>26</v>
      </c>
      <c r="P3658" t="s">
        <v>39</v>
      </c>
      <c r="Q3658" t="s">
        <v>8640</v>
      </c>
    </row>
    <row r="3659" spans="1:17" ht="15.75" x14ac:dyDescent="0.25">
      <c r="A3659" s="3" t="str">
        <f>HYPERLINK("https://shop.sonapharmacy.com/products/apex%C2%AE-oral-syringe-10ml", "https://shop.sonapharmacy.com/products/apex%C2%AE-oral-syringe-10ml")</f>
        <v>https://shop.sonapharmacy.com/products/apex%C2%AE-oral-syringe-10ml</v>
      </c>
      <c r="B3659" s="3" t="str">
        <f>HYPERLINK("https://shop.sonapharmacy.com/products/apex%c2%ae-oral-syringe-10ml", "https://shop.sonapharmacy.com/products/apex%c2%ae-oral-syringe-10ml")</f>
        <v>https://shop.sonapharmacy.com/products/apex%c2%ae-oral-syringe-10ml</v>
      </c>
      <c r="C3659" t="s">
        <v>8131</v>
      </c>
      <c r="D3659" t="s">
        <v>9946</v>
      </c>
      <c r="E3659" s="3" t="str">
        <f>HYPERLINK("https://www.amazon.com/Apex-Oral-Syringe-Filler-Tube/dp/B000OOJOU4/ref=sr_1_1?keywords=Apex+Oral+Syringe+10ml.&amp;qid=1695260012&amp;sr=8-1", "https://www.amazon.com/Apex-Oral-Syringe-Filler-Tube/dp/B000OOJOU4/ref=sr_1_1?keywords=Apex+Oral+Syringe+10ml.&amp;qid=1695260012&amp;sr=8-1")</f>
        <v>https://www.amazon.com/Apex-Oral-Syringe-Filler-Tube/dp/B000OOJOU4/ref=sr_1_1?keywords=Apex+Oral+Syringe+10ml.&amp;qid=1695260012&amp;sr=8-1</v>
      </c>
      <c r="F3659" t="s">
        <v>9947</v>
      </c>
      <c r="G3659" t="e">
        <f ca="1">IMAGE("https://shop.sonapharmacy.com/cdn/shop/products/000530853.jpg?v=1611189682")</f>
        <v>#NAME?</v>
      </c>
      <c r="H3659" t="e">
        <f ca="1">IMAGE("https://m.media-amazon.com/images/I/61KmzY4Z5cL._AC_UY218_.jpg")</f>
        <v>#NAME?</v>
      </c>
      <c r="I3659" t="s">
        <v>8134</v>
      </c>
      <c r="J3659">
        <v>5.89</v>
      </c>
      <c r="K3659" s="2" t="s">
        <v>9948</v>
      </c>
      <c r="L3659">
        <v>4</v>
      </c>
      <c r="M3659">
        <v>132</v>
      </c>
      <c r="O3659" t="s">
        <v>26</v>
      </c>
      <c r="P3659" t="s">
        <v>39</v>
      </c>
      <c r="Q3659" t="s">
        <v>8136</v>
      </c>
    </row>
    <row r="3660" spans="1:17" ht="15.75" x14ac:dyDescent="0.25">
      <c r="A3660" s="3" t="str">
        <f>HYPERLINK("https://shop.sonapharmacy.com/products/recticare%C2%AE-anorectal-cream-30g", "https://shop.sonapharmacy.com/products/recticare%C2%AE-anorectal-cream-30g")</f>
        <v>https://shop.sonapharmacy.com/products/recticare%C2%AE-anorectal-cream-30g</v>
      </c>
      <c r="B3660" s="3" t="str">
        <f>HYPERLINK("https://shop.sonapharmacy.com/products/recticare%c2%ae-anorectal-cream-30g", "https://shop.sonapharmacy.com/products/recticare%c2%ae-anorectal-cream-30g")</f>
        <v>https://shop.sonapharmacy.com/products/recticare%c2%ae-anorectal-cream-30g</v>
      </c>
      <c r="C3660" t="s">
        <v>9949</v>
      </c>
      <c r="D3660" t="s">
        <v>9950</v>
      </c>
      <c r="E3660" s="3" t="str">
        <f>HYPERLINK("https://www.amazon.com/RectiCare-Anorectal-Cream-30g-Pack/dp/B01IAIDYX8/ref=sr_1_4?keywords=RectiCare%C2%AE+Anorectal+Cream+%2830g%29&amp;qid=1695260673&amp;sr=8-4", "https://www.amazon.com/RectiCare-Anorectal-Cream-30g-Pack/dp/B01IAIDYX8/ref=sr_1_4?keywords=RectiCare%C2%AE+Anorectal+Cream+%2830g%29&amp;qid=1695260673&amp;sr=8-4")</f>
        <v>https://www.amazon.com/RectiCare-Anorectal-Cream-30g-Pack/dp/B01IAIDYX8/ref=sr_1_4?keywords=RectiCare%C2%AE+Anorectal+Cream+%2830g%29&amp;qid=1695260673&amp;sr=8-4</v>
      </c>
      <c r="F3660" t="s">
        <v>9951</v>
      </c>
      <c r="G3660" t="e">
        <f ca="1">IMAGE("https://shop.sonapharmacy.com/cdn/shop/products/7dba678d-15e3-4983-a688-6935abae073a.093cb4a2b30f9135eea587b7ea25886e.png?v=1610122554")</f>
        <v>#NAME?</v>
      </c>
      <c r="H3660" t="e">
        <f ca="1">IMAGE("https://m.media-amazon.com/images/I/41G3dPBvzoL._AC_UL320_.jpg")</f>
        <v>#NAME?</v>
      </c>
      <c r="I3660" t="s">
        <v>3566</v>
      </c>
      <c r="J3660">
        <v>114.99</v>
      </c>
      <c r="K3660" s="2" t="s">
        <v>9952</v>
      </c>
      <c r="L3660">
        <v>5</v>
      </c>
      <c r="M3660">
        <v>1</v>
      </c>
      <c r="O3660" t="s">
        <v>26</v>
      </c>
      <c r="P3660" t="s">
        <v>39</v>
      </c>
      <c r="Q3660" t="s">
        <v>9953</v>
      </c>
    </row>
    <row r="3661" spans="1:17" ht="15.75" x14ac:dyDescent="0.25">
      <c r="A3661" s="3" t="str">
        <f>HYPERLINK("https://shop.sonapharmacy.com/products/nexcare-flexible-clear-tape-with-dispenser", "https://shop.sonapharmacy.com/products/nexcare-flexible-clear-tape-with-dispenser")</f>
        <v>https://shop.sonapharmacy.com/products/nexcare-flexible-clear-tape-with-dispenser</v>
      </c>
      <c r="B3661" s="3" t="str">
        <f>HYPERLINK("https://shop.sonapharmacy.com/products/nexcare-flexible-clear-tape-with-dispenser", "https://shop.sonapharmacy.com/products/nexcare-flexible-clear-tape-with-dispenser")</f>
        <v>https://shop.sonapharmacy.com/products/nexcare-flexible-clear-tape-with-dispenser</v>
      </c>
      <c r="C3661" t="s">
        <v>8757</v>
      </c>
      <c r="D3661" t="s">
        <v>9954</v>
      </c>
      <c r="E3661" s="3" t="str">
        <f>HYPERLINK("https://www.amazon.com/Nexcare-Flexible-Clear-Tape-Inch/dp/B0792LBDYY/ref=sr_1_4?keywords=Nexcare+Flexible+Clear+Tape&amp;qid=1695260581&amp;sr=8-4", "https://www.amazon.com/Nexcare-Flexible-Clear-Tape-Inch/dp/B0792LBDYY/ref=sr_1_4?keywords=Nexcare+Flexible+Clear+Tape&amp;qid=1695260581&amp;sr=8-4")</f>
        <v>https://www.amazon.com/Nexcare-Flexible-Clear-Tape-Inch/dp/B0792LBDYY/ref=sr_1_4?keywords=Nexcare+Flexible+Clear+Tape&amp;qid=1695260581&amp;sr=8-4</v>
      </c>
      <c r="F3661" t="s">
        <v>9955</v>
      </c>
      <c r="G3661" t="e">
        <f ca="1">IMAGE("https://shop.sonapharmacy.com/cdn/shop/products/3M-Nexcare-Flexible-Clear-First-Aid-Tape-779.jpg?v=1607704429")</f>
        <v>#NAME?</v>
      </c>
      <c r="H3661" t="e">
        <f ca="1">IMAGE("https://m.media-amazon.com/images/I/61epG+yyCoL._AC_UL320_.jpg")</f>
        <v>#NAME?</v>
      </c>
      <c r="I3661" t="s">
        <v>8760</v>
      </c>
      <c r="J3661">
        <v>19.13</v>
      </c>
      <c r="K3661" s="2" t="s">
        <v>9956</v>
      </c>
      <c r="L3661">
        <v>4.7</v>
      </c>
      <c r="M3661">
        <v>30</v>
      </c>
      <c r="O3661" t="s">
        <v>26</v>
      </c>
      <c r="P3661" t="s">
        <v>39</v>
      </c>
      <c r="Q3661" t="s">
        <v>8762</v>
      </c>
    </row>
    <row r="3662" spans="1:17" ht="15.75" x14ac:dyDescent="0.25">
      <c r="A3662" s="3" t="str">
        <f>HYPERLINK("https://shop.sonapharmacy.com/products/apex%C2%AE-eye-ear-dropper", "https://shop.sonapharmacy.com/products/apex%C2%AE-eye-ear-dropper")</f>
        <v>https://shop.sonapharmacy.com/products/apex%C2%AE-eye-ear-dropper</v>
      </c>
      <c r="B3662" s="3" t="str">
        <f>HYPERLINK("https://shop.sonapharmacy.com/products/apex%c2%ae-eye-ear-dropper", "https://shop.sonapharmacy.com/products/apex%c2%ae-eye-ear-dropper")</f>
        <v>https://shop.sonapharmacy.com/products/apex%c2%ae-eye-ear-dropper</v>
      </c>
      <c r="C3662" t="s">
        <v>8955</v>
      </c>
      <c r="D3662" t="s">
        <v>9957</v>
      </c>
      <c r="E3662" s="3" t="str">
        <f>HYPERLINK("https://www.amazon.com/Straight-Glass-Medicine-Dropper-Calibrated/dp/B0071S5Y46/ref=sr_1_9?keywords=Apex+Eye%2FEar+Dropper&amp;qid=1695260017&amp;sr=8-9", "https://www.amazon.com/Straight-Glass-Medicine-Dropper-Calibrated/dp/B0071S5Y46/ref=sr_1_9?keywords=Apex+Eye%2FEar+Dropper&amp;qid=1695260017&amp;sr=8-9")</f>
        <v>https://www.amazon.com/Straight-Glass-Medicine-Dropper-Calibrated/dp/B0071S5Y46/ref=sr_1_9?keywords=Apex+Eye%2FEar+Dropper&amp;qid=1695260017&amp;sr=8-9</v>
      </c>
      <c r="F3662" t="s">
        <v>9958</v>
      </c>
      <c r="G3662" t="e">
        <f ca="1">IMAGE("https://shop.sonapharmacy.com/cdn/shop/products/36171_Dropper_For_Eye_or_Ear_00508_Carex8642288722903710044_jpg.jpg?v=1609960124")</f>
        <v>#NAME?</v>
      </c>
      <c r="H3662" t="e">
        <f ca="1">IMAGE("https://m.media-amazon.com/images/I/51UysyAYIzL._AC_UY218_.jpg")</f>
        <v>#NAME?</v>
      </c>
      <c r="I3662" t="s">
        <v>8217</v>
      </c>
      <c r="J3662">
        <v>6.2</v>
      </c>
      <c r="K3662" s="2" t="s">
        <v>9959</v>
      </c>
      <c r="L3662">
        <v>4.5999999999999996</v>
      </c>
      <c r="M3662">
        <v>5629</v>
      </c>
      <c r="O3662" t="s">
        <v>26</v>
      </c>
      <c r="P3662" t="s">
        <v>39</v>
      </c>
      <c r="Q3662" t="s">
        <v>8959</v>
      </c>
    </row>
    <row r="3663" spans="1:17" ht="15.75" x14ac:dyDescent="0.25">
      <c r="A3663" s="3" t="str">
        <f>HYPERLINK("https://shop.sonapharmacy.com/products/oral-b%C2%AE-deep-clean-toothbrush", "https://shop.sonapharmacy.com/products/oral-b%C2%AE-deep-clean-toothbrush")</f>
        <v>https://shop.sonapharmacy.com/products/oral-b%C2%AE-deep-clean-toothbrush</v>
      </c>
      <c r="B3663" s="3" t="str">
        <f>HYPERLINK("https://shop.sonapharmacy.com/products/oral-b%c2%ae-deep-clean-toothbrush", "https://shop.sonapharmacy.com/products/oral-b%c2%ae-deep-clean-toothbrush")</f>
        <v>https://shop.sonapharmacy.com/products/oral-b%c2%ae-deep-clean-toothbrush</v>
      </c>
      <c r="C3663" t="s">
        <v>9367</v>
      </c>
      <c r="D3663" t="s">
        <v>9960</v>
      </c>
      <c r="E3663" s="3" t="str">
        <f>HYPERLINK("https://www.amazon.com/Oral-B-Complete-Clean-Bristles-Toothbrush/dp/B0000C4KJA/ref=sr_1_6?keywords=Oral+B%C2%AE+Complete+Deep+Clean+Toothbrush+%5BMedium%5D&amp;qid=1695260620&amp;sr=8-6", "https://www.amazon.com/Oral-B-Complete-Clean-Bristles-Toothbrush/dp/B0000C4KJA/ref=sr_1_6?keywords=Oral+B%C2%AE+Complete+Deep+Clean+Toothbrush+%5BMedium%5D&amp;qid=1695260620&amp;sr=8-6")</f>
        <v>https://www.amazon.com/Oral-B-Complete-Clean-Bristles-Toothbrush/dp/B0000C4KJA/ref=sr_1_6?keywords=Oral+B%C2%AE+Complete+Deep+Clean+Toothbrush+%5BMedium%5D&amp;qid=1695260620&amp;sr=8-6</v>
      </c>
      <c r="F3663" t="s">
        <v>9961</v>
      </c>
      <c r="G3663" t="e">
        <f ca="1">IMAGE("https://shop.sonapharmacy.com/cdn/shop/files/Sona-Shop-banner2_0c7162f3-c367-451d-8193-c2967a0e8d8e.jpg?v=1614290083")</f>
        <v>#NAME?</v>
      </c>
      <c r="H3663" t="e">
        <f ca="1">IMAGE("https://m.media-amazon.com/images/I/71f4bjUcwYL._AC_UL320_.jpg")</f>
        <v>#NAME?</v>
      </c>
      <c r="I3663" t="s">
        <v>9370</v>
      </c>
      <c r="J3663">
        <v>13.34</v>
      </c>
      <c r="K3663" s="2" t="s">
        <v>9962</v>
      </c>
      <c r="L3663">
        <v>4.3</v>
      </c>
      <c r="M3663">
        <v>243</v>
      </c>
      <c r="O3663" t="s">
        <v>26</v>
      </c>
      <c r="P3663" t="s">
        <v>39</v>
      </c>
      <c r="Q3663" t="s">
        <v>9372</v>
      </c>
    </row>
    <row r="3664" spans="1:17" ht="15.75" x14ac:dyDescent="0.25">
      <c r="A3664" s="3" t="str">
        <f>HYPERLINK("https://shop.sonapharmacy.com/products/biogaia%C2%AE-probiotic-drops-with-vitamin-d3-10ml", "https://shop.sonapharmacy.com/products/biogaia%C2%AE-probiotic-drops-with-vitamin-d3-10ml")</f>
        <v>https://shop.sonapharmacy.com/products/biogaia%C2%AE-probiotic-drops-with-vitamin-d3-10ml</v>
      </c>
      <c r="B3664" s="3" t="str">
        <f>HYPERLINK("https://shop.sonapharmacy.com/products/biogaia%c2%ae-probiotic-drops-with-vitamin-d3-10ml", "https://shop.sonapharmacy.com/products/biogaia%c2%ae-probiotic-drops-with-vitamin-d3-10ml")</f>
        <v>https://shop.sonapharmacy.com/products/biogaia%c2%ae-probiotic-drops-with-vitamin-d3-10ml</v>
      </c>
      <c r="C3664" t="s">
        <v>9963</v>
      </c>
      <c r="D3664" t="s">
        <v>9964</v>
      </c>
      <c r="E3664" s="3" t="str">
        <f>HYPERLINK("https://www.amazon.com/BioGaia-ProTectis-Drops-Vitamin-D3/dp/B01AVJ8I5I/ref=sr_1_2?keywords=BioGaia%C2%AE+Protectis+Probiotic+Drops+with+Vitamin+D3+10ml.&amp;qid=1695260089&amp;sr=8-2", "https://www.amazon.com/BioGaia-ProTectis-Drops-Vitamin-D3/dp/B01AVJ8I5I/ref=sr_1_2?keywords=BioGaia%C2%AE+Protectis+Probiotic+Drops+with+Vitamin+D3+10ml.&amp;qid=1695260089&amp;sr=8-2")</f>
        <v>https://www.amazon.com/BioGaia-ProTectis-Drops-Vitamin-D3/dp/B01AVJ8I5I/ref=sr_1_2?keywords=BioGaia%C2%AE+Protectis+Probiotic+Drops+with+Vitamin+D3+10ml.&amp;qid=1695260089&amp;sr=8-2</v>
      </c>
      <c r="F3664" t="s">
        <v>9965</v>
      </c>
      <c r="G3664" t="e">
        <f ca="1">IMAGE("https://shop.sonapharmacy.com/cdn/shop/products/612o76TZDqL._AC_SL1500.jpg?v=1612372325")</f>
        <v>#NAME?</v>
      </c>
      <c r="H3664" t="e">
        <f ca="1">IMAGE("https://m.media-amazon.com/images/I/61aAnANmNML._AC_UL320_.jpg")</f>
        <v>#NAME?</v>
      </c>
      <c r="I3664" t="s">
        <v>9966</v>
      </c>
      <c r="J3664">
        <v>111.96</v>
      </c>
      <c r="K3664" s="2" t="s">
        <v>9967</v>
      </c>
      <c r="L3664">
        <v>5</v>
      </c>
      <c r="M3664">
        <v>3</v>
      </c>
      <c r="O3664" t="s">
        <v>26</v>
      </c>
      <c r="P3664" t="s">
        <v>39</v>
      </c>
      <c r="Q3664" t="s">
        <v>9968</v>
      </c>
    </row>
    <row r="3665" spans="1:17" ht="15.75" x14ac:dyDescent="0.25">
      <c r="A3665" s="3" t="str">
        <f>HYPERLINK("https://shop.sonapharmacy.com/products/aveeeno%C2%AE-soothing-oatmeal-bath-treatment-8-packets", "https://shop.sonapharmacy.com/products/aveeeno%C2%AE-soothing-oatmeal-bath-treatment-8-packets")</f>
        <v>https://shop.sonapharmacy.com/products/aveeeno%C2%AE-soothing-oatmeal-bath-treatment-8-packets</v>
      </c>
      <c r="B3665" s="3" t="str">
        <f>HYPERLINK("https://shop.sonapharmacy.com/products/aveeeno%c2%ae-soothing-oatmeal-bath-treatment-8-packets", "https://shop.sonapharmacy.com/products/aveeeno%c2%ae-soothing-oatmeal-bath-treatment-8-packets")</f>
        <v>https://shop.sonapharmacy.com/products/aveeeno%c2%ae-soothing-oatmeal-bath-treatment-8-packets</v>
      </c>
      <c r="C3665" t="s">
        <v>9969</v>
      </c>
      <c r="D3665" t="s">
        <v>9970</v>
      </c>
      <c r="E3665" s="3" t="str">
        <f>HYPERLINK("https://www.amazon.com/AVEENO-Naturals-Soothing-Treatment-Packets/dp/B01IA96KV0/ref=sr_1_2?keywords=Aveeno%C2%AE+Soothing+Oatmeal+Bath+Treatment+8+Packets&amp;qid=1695260037&amp;sr=8-2", "https://www.amazon.com/AVEENO-Naturals-Soothing-Treatment-Packets/dp/B01IA96KV0/ref=sr_1_2?keywords=Aveeno%C2%AE+Soothing+Oatmeal+Bath+Treatment+8+Packets&amp;qid=1695260037&amp;sr=8-2")</f>
        <v>https://www.amazon.com/AVEENO-Naturals-Soothing-Treatment-Packets/dp/B01IA96KV0/ref=sr_1_2?keywords=Aveeno%C2%AE+Soothing+Oatmeal+Bath+Treatment+8+Packets&amp;qid=1695260037&amp;sr=8-2</v>
      </c>
      <c r="F3665" t="s">
        <v>9971</v>
      </c>
      <c r="G3665" t="e">
        <f ca="1">IMAGE("https://shop.sonapharmacy.com/cdn/shop/products/ave_381370036401_00000_1000wx1000h.jpg?v=1608487068")</f>
        <v>#NAME?</v>
      </c>
      <c r="H3665" t="e">
        <f ca="1">IMAGE("https://m.media-amazon.com/images/I/61po9XxEqAL._AC_UL320_.jpg")</f>
        <v>#NAME?</v>
      </c>
      <c r="I3665" t="s">
        <v>8781</v>
      </c>
      <c r="J3665">
        <v>31.38</v>
      </c>
      <c r="K3665" s="2" t="s">
        <v>9972</v>
      </c>
      <c r="L3665">
        <v>4.4000000000000004</v>
      </c>
      <c r="M3665">
        <v>31</v>
      </c>
      <c r="O3665" t="s">
        <v>26</v>
      </c>
      <c r="P3665" t="s">
        <v>39</v>
      </c>
      <c r="Q3665" t="s">
        <v>9973</v>
      </c>
    </row>
    <row r="3666" spans="1:17" ht="15.75" x14ac:dyDescent="0.25">
      <c r="A3666" s="3" t="str">
        <f>HYPERLINK("https://shop.sonapharmacy.com/products/fixodent-complete-original-denture-adhesive-cream-2-4-oz", "https://shop.sonapharmacy.com/products/fixodent-complete-original-denture-adhesive-cream-2-4-oz")</f>
        <v>https://shop.sonapharmacy.com/products/fixodent-complete-original-denture-adhesive-cream-2-4-oz</v>
      </c>
      <c r="B3666" s="3" t="str">
        <f>HYPERLINK("https://shop.sonapharmacy.com/products/fixodent-complete-original-denture-adhesive-cream-2-4-oz", "https://shop.sonapharmacy.com/products/fixodent-complete-original-denture-adhesive-cream-2-4-oz")</f>
        <v>https://shop.sonapharmacy.com/products/fixodent-complete-original-denture-adhesive-cream-2-4-oz</v>
      </c>
      <c r="C3666" t="s">
        <v>9974</v>
      </c>
      <c r="D3666" t="s">
        <v>9975</v>
      </c>
      <c r="E3666" s="3" t="str">
        <f>HYPERLINK("https://www.amazon.com/Fixodent-Original-Denture-Adhesive-Cream-2-4/dp/B00J7GA1EI/ref=sr_1_5?keywords=Fixodent%C2%AE+Complete+Original+Denture+Adhesive+Cream+2.4+oz&amp;qid=1695260243&amp;sr=8-5", "https://www.amazon.com/Fixodent-Original-Denture-Adhesive-Cream-2-4/dp/B00J7GA1EI/ref=sr_1_5?keywords=Fixodent%C2%AE+Complete+Original+Denture+Adhesive+Cream+2.4+oz&amp;qid=1695260243&amp;sr=8-5")</f>
        <v>https://www.amazon.com/Fixodent-Original-Denture-Adhesive-Cream-2-4/dp/B00J7GA1EI/ref=sr_1_5?keywords=Fixodent%C2%AE+Complete+Original+Denture+Adhesive+Cream+2.4+oz&amp;qid=1695260243&amp;sr=8-5</v>
      </c>
      <c r="F3666" t="s">
        <v>9976</v>
      </c>
      <c r="G3666" t="e">
        <f ca="1">IMAGE("https://shop.sonapharmacy.com/cdn/shop/products/00719501_2.jpg?v=1609350426")</f>
        <v>#NAME?</v>
      </c>
      <c r="H3666" t="e">
        <f ca="1">IMAGE("https://m.media-amazon.com/images/I/71stqxVtynL._AC_UL320_.jpg")</f>
        <v>#NAME?</v>
      </c>
      <c r="I3666" t="s">
        <v>8606</v>
      </c>
      <c r="J3666">
        <v>21.26</v>
      </c>
      <c r="K3666" s="2" t="s">
        <v>9977</v>
      </c>
      <c r="L3666">
        <v>4.7</v>
      </c>
      <c r="M3666">
        <v>1856</v>
      </c>
      <c r="O3666" t="s">
        <v>26</v>
      </c>
      <c r="P3666" t="s">
        <v>39</v>
      </c>
      <c r="Q3666" t="s">
        <v>9978</v>
      </c>
    </row>
    <row r="3667" spans="1:17" ht="15.75" x14ac:dyDescent="0.25">
      <c r="A3667" s="3" t="str">
        <f>HYPERLINK("https://shop.sonapharmacy.com/products/gum%C2%AE-orthodontic-wax-vitamin-e-and-aloe-vera", "https://shop.sonapharmacy.com/products/gum%C2%AE-orthodontic-wax-vitamin-e-and-aloe-vera")</f>
        <v>https://shop.sonapharmacy.com/products/gum%C2%AE-orthodontic-wax-vitamin-e-and-aloe-vera</v>
      </c>
      <c r="B3667" s="3" t="str">
        <f>HYPERLINK("https://shop.sonapharmacy.com/products/gum%c2%ae-orthodontic-wax-vitamin-e-and-aloe-vera", "https://shop.sonapharmacy.com/products/gum%c2%ae-orthodontic-wax-vitamin-e-and-aloe-vera")</f>
        <v>https://shop.sonapharmacy.com/products/gum%c2%ae-orthodontic-wax-vitamin-e-and-aloe-vera</v>
      </c>
      <c r="C3667" t="s">
        <v>9979</v>
      </c>
      <c r="D3667" t="s">
        <v>9980</v>
      </c>
      <c r="E3667" s="3" t="str">
        <f>HYPERLINK("https://www.amazon.com/New-Genuine-Orthowax-Plus-competitors/dp/B08T8RWFQJ/ref=sr_1_2?keywords=GUM%C2%AE+Orthodontic+Wax+%2B+Vitamin+E+and+Aloe+Vera&amp;qid=1695260370&amp;sr=8-2", "https://www.amazon.com/New-Genuine-Orthowax-Plus-competitors/dp/B08T8RWFQJ/ref=sr_1_2?keywords=GUM%C2%AE+Orthodontic+Wax+%2B+Vitamin+E+and+Aloe+Vera&amp;qid=1695260370&amp;sr=8-2")</f>
        <v>https://www.amazon.com/New-Genuine-Orthowax-Plus-competitors/dp/B08T8RWFQJ/ref=sr_1_2?keywords=GUM%C2%AE+Orthodontic+Wax+%2B+Vitamin+E+and+Aloe+Vera&amp;qid=1695260370&amp;sr=8-2</v>
      </c>
      <c r="F3667" t="s">
        <v>9981</v>
      </c>
      <c r="G3667" t="e">
        <f ca="1">IMAGE("https://shop.sonapharmacy.com/cdn/shop/products/070942007238_hero-alt.jpg?v=1608576402")</f>
        <v>#NAME?</v>
      </c>
      <c r="H3667" t="e">
        <f ca="1">IMAGE("https://m.media-amazon.com/images/I/812tmoMeGbS._AC_UL320_.jpg")</f>
        <v>#NAME?</v>
      </c>
      <c r="I3667" t="s">
        <v>9982</v>
      </c>
      <c r="J3667">
        <v>10.69</v>
      </c>
      <c r="K3667" s="2" t="s">
        <v>9983</v>
      </c>
      <c r="L3667">
        <v>4.4000000000000004</v>
      </c>
      <c r="M3667">
        <v>576</v>
      </c>
      <c r="O3667" t="s">
        <v>26</v>
      </c>
      <c r="P3667" t="s">
        <v>39</v>
      </c>
      <c r="Q3667" t="s">
        <v>9984</v>
      </c>
    </row>
    <row r="3668" spans="1:17" ht="15.75" x14ac:dyDescent="0.25">
      <c r="A3668" s="3" t="str">
        <f>HYPERLINK("https://shop.sonapharmacy.com/products/fixodent-complete-original-denture-adhesive-cream-2-4-oz", "https://shop.sonapharmacy.com/products/fixodent-complete-original-denture-adhesive-cream-2-4-oz")</f>
        <v>https://shop.sonapharmacy.com/products/fixodent-complete-original-denture-adhesive-cream-2-4-oz</v>
      </c>
      <c r="B3668" s="3" t="str">
        <f>HYPERLINK("https://shop.sonapharmacy.com/products/fixodent-complete-original-denture-adhesive-cream-2-4-oz", "https://shop.sonapharmacy.com/products/fixodent-complete-original-denture-adhesive-cream-2-4-oz")</f>
        <v>https://shop.sonapharmacy.com/products/fixodent-complete-original-denture-adhesive-cream-2-4-oz</v>
      </c>
      <c r="C3668" t="s">
        <v>9974</v>
      </c>
      <c r="D3668" t="s">
        <v>9985</v>
      </c>
      <c r="E3668" s="3" t="str">
        <f>HYPERLINK("https://www.amazon.com/Fixodent-Complete-Original-Denture-Adhesive/dp/B071QXQS8V/ref=sr_1_4?keywords=Fixodent%C2%AE+Complete+Original+Denture+Adhesive+Cream+2.4+oz&amp;qid=1695260243&amp;sr=8-4", "https://www.amazon.com/Fixodent-Complete-Original-Denture-Adhesive/dp/B071QXQS8V/ref=sr_1_4?keywords=Fixodent%C2%AE+Complete+Original+Denture+Adhesive+Cream+2.4+oz&amp;qid=1695260243&amp;sr=8-4")</f>
        <v>https://www.amazon.com/Fixodent-Complete-Original-Denture-Adhesive/dp/B071QXQS8V/ref=sr_1_4?keywords=Fixodent%C2%AE+Complete+Original+Denture+Adhesive+Cream+2.4+oz&amp;qid=1695260243&amp;sr=8-4</v>
      </c>
      <c r="F3668" t="s">
        <v>9986</v>
      </c>
      <c r="G3668" t="e">
        <f ca="1">IMAGE("https://shop.sonapharmacy.com/cdn/shop/products/00719501_2.jpg?v=1609350426")</f>
        <v>#NAME?</v>
      </c>
      <c r="H3668" t="e">
        <f ca="1">IMAGE("https://m.media-amazon.com/images/I/81zJIsvG7VL._AC_UL320_.jpg")</f>
        <v>#NAME?</v>
      </c>
      <c r="I3668" t="s">
        <v>8606</v>
      </c>
      <c r="J3668">
        <v>21.19</v>
      </c>
      <c r="K3668" s="2" t="s">
        <v>9987</v>
      </c>
      <c r="L3668">
        <v>4.5999999999999996</v>
      </c>
      <c r="M3668">
        <v>97</v>
      </c>
      <c r="O3668" t="s">
        <v>26</v>
      </c>
      <c r="P3668" t="s">
        <v>39</v>
      </c>
      <c r="Q3668" t="s">
        <v>9978</v>
      </c>
    </row>
    <row r="3669" spans="1:17" ht="15.75" x14ac:dyDescent="0.25">
      <c r="A3669" s="3" t="str">
        <f>HYPERLINK("https://shop.sonapharmacy.com/products/pedia-lax-liquid-glycerin-suppositories", "https://shop.sonapharmacy.com/products/pedia-lax-liquid-glycerin-suppositories")</f>
        <v>https://shop.sonapharmacy.com/products/pedia-lax-liquid-glycerin-suppositories</v>
      </c>
      <c r="B3669" s="3" t="str">
        <f>HYPERLINK("https://shop.sonapharmacy.com/products/pedia-lax-liquid-glycerin-suppositories", "https://shop.sonapharmacy.com/products/pedia-lax-liquid-glycerin-suppositories")</f>
        <v>https://shop.sonapharmacy.com/products/pedia-lax-liquid-glycerin-suppositories</v>
      </c>
      <c r="C3669" t="s">
        <v>8340</v>
      </c>
      <c r="D3669" t="s">
        <v>8239</v>
      </c>
      <c r="E3669" s="3" t="str">
        <f>HYPERLINK("https://www.amazon.com/Fleet-Laxative-Pedia-Lax-Glycerin-Suppositories/dp/B0064FKSVG/ref=sr_1_5?keywords=Pedia-Lax%C2%AE+Liquid+Glycerin+Suppositories&amp;qid=1695260624&amp;sr=8-5", "https://www.amazon.com/Fleet-Laxative-Pedia-Lax-Glycerin-Suppositories/dp/B0064FKSVG/ref=sr_1_5?keywords=Pedia-Lax%C2%AE+Liquid+Glycerin+Suppositories&amp;qid=1695260624&amp;sr=8-5")</f>
        <v>https://www.amazon.com/Fleet-Laxative-Pedia-Lax-Glycerin-Suppositories/dp/B0064FKSVG/ref=sr_1_5?keywords=Pedia-Lax%C2%AE+Liquid+Glycerin+Suppositories&amp;qid=1695260624&amp;sr=8-5</v>
      </c>
      <c r="F3669" t="s">
        <v>8240</v>
      </c>
      <c r="G3669" t="e">
        <f ca="1">IMAGE("https://shop.sonapharmacy.com/cdn/shop/products/PediaLaxSuppository.png?v=1606852444")</f>
        <v>#NAME?</v>
      </c>
      <c r="H3669" t="e">
        <f ca="1">IMAGE("https://m.media-amazon.com/images/I/71v6rL71FnL._AC_UL320_.jpg")</f>
        <v>#NAME?</v>
      </c>
      <c r="I3669" t="s">
        <v>8341</v>
      </c>
      <c r="J3669">
        <v>27.55</v>
      </c>
      <c r="K3669" s="2" t="s">
        <v>9987</v>
      </c>
      <c r="L3669">
        <v>4.7</v>
      </c>
      <c r="M3669">
        <v>45</v>
      </c>
      <c r="O3669" t="s">
        <v>26</v>
      </c>
      <c r="P3669" t="s">
        <v>39</v>
      </c>
      <c r="Q3669" t="s">
        <v>8343</v>
      </c>
    </row>
    <row r="3670" spans="1:17" ht="15.75" x14ac:dyDescent="0.25">
      <c r="A3670" s="3" t="str">
        <f>HYPERLINK("https://shop.sonapharmacy.com/products/nexcare-opticlude", "https://shop.sonapharmacy.com/products/nexcare-opticlude")</f>
        <v>https://shop.sonapharmacy.com/products/nexcare-opticlude</v>
      </c>
      <c r="B3670" s="3" t="str">
        <f>HYPERLINK("https://shop.sonapharmacy.com/products/nexcare-opticlude", "https://shop.sonapharmacy.com/products/nexcare-opticlude")</f>
        <v>https://shop.sonapharmacy.com/products/nexcare-opticlude</v>
      </c>
      <c r="C3670" t="s">
        <v>8566</v>
      </c>
      <c r="D3670" t="s">
        <v>9988</v>
      </c>
      <c r="E3670" s="3" t="str">
        <f>HYPERLINK("https://www.amazon.com/Nexcare-Opticlude-Orthoptic-Patches-Regular/dp/B01M6CF1D7/ref=sr_1_10?keywords=Nexcare+Opticlude+Eye+Patch&amp;qid=1695260565&amp;sr=8-10", "https://www.amazon.com/Nexcare-Opticlude-Orthoptic-Patches-Regular/dp/B01M6CF1D7/ref=sr_1_10?keywords=Nexcare+Opticlude+Eye+Patch&amp;qid=1695260565&amp;sr=8-10")</f>
        <v>https://www.amazon.com/Nexcare-Opticlude-Orthoptic-Patches-Regular/dp/B01M6CF1D7/ref=sr_1_10?keywords=Nexcare+Opticlude+Eye+Patch&amp;qid=1695260565&amp;sr=8-10</v>
      </c>
      <c r="F3670" t="s">
        <v>9989</v>
      </c>
      <c r="G3670" t="e">
        <f ca="1">IMAGE("https://shop.sonapharmacy.com/cdn/shop/products/us-1539-opticlude-eyepatch.jpg?v=1607704873")</f>
        <v>#NAME?</v>
      </c>
      <c r="H3670" t="e">
        <f ca="1">IMAGE("https://m.media-amazon.com/images/I/71EQXS49nbL._AC_UL320_.jpg")</f>
        <v>#NAME?</v>
      </c>
      <c r="I3670" t="s">
        <v>4296</v>
      </c>
      <c r="J3670">
        <v>34.99</v>
      </c>
      <c r="K3670" s="2" t="s">
        <v>9990</v>
      </c>
      <c r="L3670">
        <v>4.0999999999999996</v>
      </c>
      <c r="M3670">
        <v>15</v>
      </c>
      <c r="O3670" t="s">
        <v>26</v>
      </c>
      <c r="P3670" t="s">
        <v>39</v>
      </c>
      <c r="Q3670" t="s">
        <v>8570</v>
      </c>
    </row>
    <row r="3671" spans="1:17" ht="15.75" x14ac:dyDescent="0.25">
      <c r="A3671" s="3" t="str">
        <f>HYPERLINK("https://shop.sonapharmacy.com/products/midol%C2%AE-complete-menstrual-pain-relief-caplets-24ct", "https://shop.sonapharmacy.com/products/midol%C2%AE-complete-menstrual-pain-relief-caplets-24ct")</f>
        <v>https://shop.sonapharmacy.com/products/midol%C2%AE-complete-menstrual-pain-relief-caplets-24ct</v>
      </c>
      <c r="B3671" s="3" t="str">
        <f>HYPERLINK("https://shop.sonapharmacy.com/products/midol%c2%ae-complete-menstrual-pain-relief-caplets-24ct", "https://shop.sonapharmacy.com/products/midol%c2%ae-complete-menstrual-pain-relief-caplets-24ct")</f>
        <v>https://shop.sonapharmacy.com/products/midol%c2%ae-complete-menstrual-pain-relief-caplets-24ct</v>
      </c>
      <c r="C3671" t="s">
        <v>9991</v>
      </c>
      <c r="D3671" t="s">
        <v>9992</v>
      </c>
      <c r="E3671" s="3" t="str">
        <f>HYPERLINK("https://www.amazon.com/Midol-Complete-Caplets-Acetaminophen-Menstrual/dp/B0BBZN3HVG/ref=sr_1_7?keywords=Midol%C2%AE+Complete+Menstrual+Pain+Relief+Caplets+24ct.&amp;qid=1695260482&amp;sr=8-7", "https://www.amazon.com/Midol-Complete-Caplets-Acetaminophen-Menstrual/dp/B0BBZN3HVG/ref=sr_1_7?keywords=Midol%C2%AE+Complete+Menstrual+Pain+Relief+Caplets+24ct.&amp;qid=1695260482&amp;sr=8-7")</f>
        <v>https://www.amazon.com/Midol-Complete-Caplets-Acetaminophen-Menstrual/dp/B0BBZN3HVG/ref=sr_1_7?keywords=Midol%C2%AE+Complete+Menstrual+Pain+Relief+Caplets+24ct.&amp;qid=1695260482&amp;sr=8-7</v>
      </c>
      <c r="F3671" t="s">
        <v>9993</v>
      </c>
      <c r="G3671" t="e">
        <f ca="1">IMAGE("https://shop.sonapharmacy.com/cdn/shop/products/c92b8ea6-042e-40a0-88ad-5727b5e2669f.b7fd012296cdd841ecc61105024db3a6.jpg?v=1609176403")</f>
        <v>#NAME?</v>
      </c>
      <c r="H3671" t="e">
        <f ca="1">IMAGE("https://m.media-amazon.com/images/I/51+rU7m1P7L._AC_UL320_.jpg")</f>
        <v>#NAME?</v>
      </c>
      <c r="I3671" t="s">
        <v>8361</v>
      </c>
      <c r="J3671">
        <v>29.12</v>
      </c>
      <c r="K3671" s="2" t="s">
        <v>9994</v>
      </c>
      <c r="L3671">
        <v>4.8</v>
      </c>
      <c r="M3671">
        <v>1629</v>
      </c>
      <c r="O3671" t="s">
        <v>26</v>
      </c>
      <c r="P3671" t="s">
        <v>39</v>
      </c>
      <c r="Q3671" t="s">
        <v>9995</v>
      </c>
    </row>
    <row r="3672" spans="1:17" ht="15.75" x14ac:dyDescent="0.25">
      <c r="A3672" s="3" t="str">
        <f>HYPERLINK("https://shop.sonapharmacy.com/products/johnsons%C2%AE-aloe-vitamin-e-powder", "https://shop.sonapharmacy.com/products/johnsons%C2%AE-aloe-vitamin-e-powder")</f>
        <v>https://shop.sonapharmacy.com/products/johnsons%C2%AE-aloe-vitamin-e-powder</v>
      </c>
      <c r="B3672" s="3" t="str">
        <f>HYPERLINK("https://shop.sonapharmacy.com/products/johnsons%c2%ae-aloe-vitamin-e-powder", "https://shop.sonapharmacy.com/products/johnsons%c2%ae-aloe-vitamin-e-powder")</f>
        <v>https://shop.sonapharmacy.com/products/johnsons%c2%ae-aloe-vitamin-e-powder</v>
      </c>
      <c r="C3672" t="s">
        <v>8082</v>
      </c>
      <c r="D3672" t="s">
        <v>9996</v>
      </c>
      <c r="E3672" s="3" t="str">
        <f>HYPERLINK("https://www.amazon.com/JOHNSONS-Baby-Powder-Soothing-Vitamin/dp/B01IAI9R7A/ref=sr_1_6?keywords=Johnson%27s%C2%AE+Aloe+%26+Vitamin+E+Powder&amp;qid=1695260488&amp;sr=8-6", "https://www.amazon.com/JOHNSONS-Baby-Powder-Soothing-Vitamin/dp/B01IAI9R7A/ref=sr_1_6?keywords=Johnson%27s%C2%AE+Aloe+%26+Vitamin+E+Powder&amp;qid=1695260488&amp;sr=8-6")</f>
        <v>https://www.amazon.com/JOHNSONS-Baby-Powder-Soothing-Vitamin/dp/B01IAI9R7A/ref=sr_1_6?keywords=Johnson%27s%C2%AE+Aloe+%26+Vitamin+E+Powder&amp;qid=1695260488&amp;sr=8-6</v>
      </c>
      <c r="F3672" t="s">
        <v>9997</v>
      </c>
      <c r="G3672" t="e">
        <f ca="1">IMAGE("https://shop.sonapharmacy.com/cdn/shop/products/41ZWPhAz-CL._AC_SL1000.jpg?v=1609256209")</f>
        <v>#NAME?</v>
      </c>
      <c r="H3672" t="e">
        <f ca="1">IMAGE("https://m.media-amazon.com/images/I/51nm6cbcP3L._AC_UL320_.jpg")</f>
        <v>#NAME?</v>
      </c>
      <c r="I3672" t="s">
        <v>8034</v>
      </c>
      <c r="J3672">
        <v>9.99</v>
      </c>
      <c r="K3672" s="2" t="s">
        <v>9998</v>
      </c>
      <c r="L3672">
        <v>4.5999999999999996</v>
      </c>
      <c r="M3672">
        <v>34</v>
      </c>
      <c r="O3672" t="s">
        <v>26</v>
      </c>
      <c r="P3672" t="s">
        <v>39</v>
      </c>
      <c r="Q3672" t="s">
        <v>8086</v>
      </c>
    </row>
    <row r="3673" spans="1:17" ht="15.75" x14ac:dyDescent="0.25">
      <c r="A3673" s="3" t="str">
        <f>HYPERLINK("https://shop.sonapharmacy.com/products/halls-relief-black-cherry-sugar-free-drops-25ct", "https://shop.sonapharmacy.com/products/halls-relief-black-cherry-sugar-free-drops-25ct")</f>
        <v>https://shop.sonapharmacy.com/products/halls-relief-black-cherry-sugar-free-drops-25ct</v>
      </c>
      <c r="B3673" s="3" t="str">
        <f>HYPERLINK("https://shop.sonapharmacy.com/products/halls-relief-black-cherry-sugar-free-drops-25ct", "https://shop.sonapharmacy.com/products/halls-relief-black-cherry-sugar-free-drops-25ct")</f>
        <v>https://shop.sonapharmacy.com/products/halls-relief-black-cherry-sugar-free-drops-25ct</v>
      </c>
      <c r="C3673" t="s">
        <v>8163</v>
      </c>
      <c r="D3673" t="s">
        <v>9302</v>
      </c>
      <c r="E3673" s="3" t="str">
        <f>HYPERLINK("https://www.amazon.com/Halls-Cherry-Flavor-Triple-Soothing/dp/B00MHTSFMC/ref=sr_1_4?keywords=Halls%C2%AE+Relief+Black+Cherry+Sugar-Free+Cough+Drops+25ct&amp;qid=1695260378&amp;sr=8-4", "https://www.amazon.com/Halls-Cherry-Flavor-Triple-Soothing/dp/B00MHTSFMC/ref=sr_1_4?keywords=Halls%C2%AE+Relief+Black+Cherry+Sugar-Free+Cough+Drops+25ct&amp;qid=1695260378&amp;sr=8-4")</f>
        <v>https://www.amazon.com/Halls-Cherry-Flavor-Triple-Soothing/dp/B00MHTSFMC/ref=sr_1_4?keywords=Halls%C2%AE+Relief+Black+Cherry+Sugar-Free+Cough+Drops+25ct&amp;qid=1695260378&amp;sr=8-4</v>
      </c>
      <c r="F3673" t="s">
        <v>9303</v>
      </c>
      <c r="G3673" t="e">
        <f ca="1">IMAGE("https://shop.sonapharmacy.com/cdn/shop/products/HALLS_SF_Menthol_BlackCherry_25ct.png?v=1608218492")</f>
        <v>#NAME?</v>
      </c>
      <c r="H3673" t="e">
        <f ca="1">IMAGE("https://m.media-amazon.com/images/I/817kEfWHE1L._AC_UL320_.jpg")</f>
        <v>#NAME?</v>
      </c>
      <c r="I3673" t="s">
        <v>8034</v>
      </c>
      <c r="J3673">
        <v>9.99</v>
      </c>
      <c r="K3673" s="2" t="s">
        <v>9998</v>
      </c>
      <c r="L3673">
        <v>4.5</v>
      </c>
      <c r="M3673">
        <v>184</v>
      </c>
      <c r="O3673" t="s">
        <v>136</v>
      </c>
      <c r="P3673" t="s">
        <v>39</v>
      </c>
      <c r="Q3673" t="s">
        <v>8165</v>
      </c>
    </row>
    <row r="3674" spans="1:17" ht="15.75" x14ac:dyDescent="0.25">
      <c r="A3674" s="3" t="str">
        <f>HYPERLINK("https://shop.sonapharmacy.com/products/nix-premium-metal-lice-two-sided-comb", "https://shop.sonapharmacy.com/products/nix-premium-metal-lice-two-sided-comb")</f>
        <v>https://shop.sonapharmacy.com/products/nix-premium-metal-lice-two-sided-comb</v>
      </c>
      <c r="B3674" s="3" t="str">
        <f>HYPERLINK("https://shop.sonapharmacy.com/products/nix-premium-metal-lice-two-sided-comb", "https://shop.sonapharmacy.com/products/nix-premium-metal-lice-two-sided-comb")</f>
        <v>https://shop.sonapharmacy.com/products/nix-premium-metal-lice-two-sided-comb</v>
      </c>
      <c r="C3674" t="s">
        <v>9999</v>
      </c>
      <c r="D3674" t="s">
        <v>10000</v>
      </c>
      <c r="E3674" s="3" t="str">
        <f>HYPERLINK("https://www.amazon.com/Premium-Metal-Sided-Lice-Remover/dp/B00GSZUF0Q/ref=sr_1_4?keywords=Nix+Premium+Metal+Lice+Two+Sided+Comb&amp;qid=1695260572&amp;sr=8-4", "https://www.amazon.com/Premium-Metal-Sided-Lice-Remover/dp/B00GSZUF0Q/ref=sr_1_4?keywords=Nix+Premium+Metal+Lice+Two+Sided+Comb&amp;qid=1695260572&amp;sr=8-4")</f>
        <v>https://www.amazon.com/Premium-Metal-Sided-Lice-Remover/dp/B00GSZUF0Q/ref=sr_1_4?keywords=Nix+Premium+Metal+Lice+Two+Sided+Comb&amp;qid=1695260572&amp;sr=8-4</v>
      </c>
      <c r="F3674" t="s">
        <v>10001</v>
      </c>
      <c r="G3674" t="e">
        <f ca="1">IMAGE("https://shop.sonapharmacy.com/cdn/shop/products/6118_WK_7dL._AC_SL1500.jpg?v=1608136365")</f>
        <v>#NAME?</v>
      </c>
      <c r="H3674" t="e">
        <f ca="1">IMAGE("https://m.media-amazon.com/images/I/61kpZifcqZL._AC_UL320_.jpg")</f>
        <v>#NAME?</v>
      </c>
      <c r="I3674" t="s">
        <v>8760</v>
      </c>
      <c r="J3674">
        <v>18.82</v>
      </c>
      <c r="K3674" s="2" t="s">
        <v>10002</v>
      </c>
      <c r="L3674">
        <v>4</v>
      </c>
      <c r="M3674">
        <v>3</v>
      </c>
      <c r="O3674" t="s">
        <v>26</v>
      </c>
      <c r="P3674" t="s">
        <v>39</v>
      </c>
      <c r="Q3674" t="s">
        <v>10003</v>
      </c>
    </row>
    <row r="3675" spans="1:17" ht="15.75" x14ac:dyDescent="0.25">
      <c r="A3675" s="3" t="str">
        <f>HYPERLINK("https://shop.sonapharmacy.com/products/st-ives-fresh-skin-apricot-scrub-6oz", "https://shop.sonapharmacy.com/products/st-ives-fresh-skin-apricot-scrub-6oz")</f>
        <v>https://shop.sonapharmacy.com/products/st-ives-fresh-skin-apricot-scrub-6oz</v>
      </c>
      <c r="B3675" s="3" t="str">
        <f>HYPERLINK("https://shop.sonapharmacy.com/products/st-ives-fresh-skin-apricot-scrub-6oz", "https://shop.sonapharmacy.com/products/st-ives-fresh-skin-apricot-scrub-6oz")</f>
        <v>https://shop.sonapharmacy.com/products/st-ives-fresh-skin-apricot-scrub-6oz</v>
      </c>
      <c r="C3675" t="s">
        <v>9551</v>
      </c>
      <c r="D3675" t="s">
        <v>10004</v>
      </c>
      <c r="E3675" s="3" t="str">
        <f>HYPERLINK("https://www.amazon.com/St-Ives-Fresh-Apricot-Invigorating/dp/B01AVFMO7U/ref=sr_1_5?keywords=St.+Ives+Fresh+Skin+Apricot+Scrub+6oz.&amp;qid=1695260744&amp;sr=8-5", "https://www.amazon.com/St-Ives-Fresh-Apricot-Invigorating/dp/B01AVFMO7U/ref=sr_1_5?keywords=St.+Ives+Fresh+Skin+Apricot+Scrub+6oz.&amp;qid=1695260744&amp;sr=8-5")</f>
        <v>https://www.amazon.com/St-Ives-Fresh-Apricot-Invigorating/dp/B01AVFMO7U/ref=sr_1_5?keywords=St.+Ives+Fresh+Skin+Apricot+Scrub+6oz.&amp;qid=1695260744&amp;sr=8-5</v>
      </c>
      <c r="F3675" t="s">
        <v>10005</v>
      </c>
      <c r="G3675" t="e">
        <f ca="1">IMAGE("https://shop.sonapharmacy.com/cdn/shop/products/59bd3b0e-e01d-4a06-ba27-2c08a5545d31_1.0bddf51f07920f2d43488f010f8e3f4c.jpg?v=1608306040")</f>
        <v>#NAME?</v>
      </c>
      <c r="H3675" t="e">
        <f ca="1">IMAGE("https://m.media-amazon.com/images/I/61yghXFxsHL._AC_UL320_.jpg")</f>
        <v>#NAME?</v>
      </c>
      <c r="I3675" t="s">
        <v>9554</v>
      </c>
      <c r="J3675">
        <v>21.57</v>
      </c>
      <c r="K3675" s="2" t="s">
        <v>10006</v>
      </c>
      <c r="L3675">
        <v>4.7</v>
      </c>
      <c r="M3675">
        <v>4</v>
      </c>
      <c r="O3675" t="s">
        <v>26</v>
      </c>
      <c r="P3675" t="s">
        <v>39</v>
      </c>
      <c r="Q3675" t="s">
        <v>9556</v>
      </c>
    </row>
    <row r="3676" spans="1:17" ht="15.75" x14ac:dyDescent="0.25">
      <c r="A3676" s="3" t="str">
        <f>HYPERLINK("https://shop.sonapharmacy.com/products/prevagen-professional-formula-capsules-40-mg", "https://shop.sonapharmacy.com/products/prevagen-professional-formula-capsules-40-mg")</f>
        <v>https://shop.sonapharmacy.com/products/prevagen-professional-formula-capsules-40-mg</v>
      </c>
      <c r="B3676" s="3" t="str">
        <f>HYPERLINK("https://shop.sonapharmacy.com/products/prevagen-professional-formula-capsules-40-mg", "https://shop.sonapharmacy.com/products/prevagen-professional-formula-capsules-40-mg")</f>
        <v>https://shop.sonapharmacy.com/products/prevagen-professional-formula-capsules-40-mg</v>
      </c>
      <c r="C3676" t="s">
        <v>10007</v>
      </c>
      <c r="D3676" t="s">
        <v>10008</v>
      </c>
      <c r="E3676" s="3" t="str">
        <f>HYPERLINK("https://www.amazon.com/Prevagen-Improves-Memory-Professional-Apoaequorin/dp/B0BN6YB64Z/ref=sr_1_1?keywords=Prevagen+Professional+Formula+Capsules+40+mg&amp;qid=1695260663&amp;sr=8-1", "https://www.amazon.com/Prevagen-Improves-Memory-Professional-Apoaequorin/dp/B0BN6YB64Z/ref=sr_1_1?keywords=Prevagen+Professional+Formula+Capsules+40+mg&amp;qid=1695260663&amp;sr=8-1")</f>
        <v>https://www.amazon.com/Prevagen-Improves-Memory-Professional-Apoaequorin/dp/B0BN6YB64Z/ref=sr_1_1?keywords=Prevagen+Professional+Formula+Capsules+40+mg&amp;qid=1695260663&amp;sr=8-1</v>
      </c>
      <c r="F3676" t="s">
        <v>10009</v>
      </c>
      <c r="G3676" t="e">
        <f ca="1">IMAGE("https://shop.sonapharmacy.com/cdn/shop/products/PrevagenProfessionalFormulaCapsules40mg.jpg?v=1594303580")</f>
        <v>#NAME?</v>
      </c>
      <c r="H3676" t="e">
        <f ca="1">IMAGE("https://m.media-amazon.com/images/I/71QtD0uF6NL._AC_UL320_.jpg")</f>
        <v>#NAME?</v>
      </c>
      <c r="I3676" t="s">
        <v>7024</v>
      </c>
      <c r="J3676">
        <v>217.38</v>
      </c>
      <c r="K3676" s="2" t="s">
        <v>10010</v>
      </c>
      <c r="L3676">
        <v>4.3</v>
      </c>
      <c r="M3676">
        <v>69</v>
      </c>
      <c r="O3676" t="s">
        <v>136</v>
      </c>
      <c r="P3676" t="s">
        <v>39</v>
      </c>
      <c r="Q3676" t="s">
        <v>10011</v>
      </c>
    </row>
    <row r="3677" spans="1:17" ht="15.75" x14ac:dyDescent="0.25">
      <c r="A3677" s="3" t="str">
        <f>HYPERLINK("https://shop.sonapharmacy.com/products/oasis%C2%AE-mouth-moisturizing-spray-mild-mint-1fl-oz", "https://shop.sonapharmacy.com/products/oasis%C2%AE-mouth-moisturizing-spray-mild-mint-1fl-oz")</f>
        <v>https://shop.sonapharmacy.com/products/oasis%C2%AE-mouth-moisturizing-spray-mild-mint-1fl-oz</v>
      </c>
      <c r="B3677" s="3" t="str">
        <f>HYPERLINK("https://shop.sonapharmacy.com/products/oasis%c2%ae-mouth-moisturizing-spray-mild-mint-1fl-oz", "https://shop.sonapharmacy.com/products/oasis%c2%ae-mouth-moisturizing-spray-mild-mint-1fl-oz")</f>
        <v>https://shop.sonapharmacy.com/products/oasis%c2%ae-mouth-moisturizing-spray-mild-mint-1fl-oz</v>
      </c>
      <c r="C3677" t="s">
        <v>9069</v>
      </c>
      <c r="D3677" t="s">
        <v>10012</v>
      </c>
      <c r="E3677" s="3" t="str">
        <f>HYPERLINK("https://www.amazon.com/Oasis-Moisturizing-Mouth-Spray-Mild/dp/B00FY48XWY/ref=sr_1_4?keywords=Oasis%C2%AE+Mouth+Moisturizing+Spray+Mild+Mint+1fl.oz.&amp;qid=1695260612&amp;sr=8-4", "https://www.amazon.com/Oasis-Moisturizing-Mouth-Spray-Mild/dp/B00FY48XWY/ref=sr_1_4?keywords=Oasis%C2%AE+Mouth+Moisturizing+Spray+Mild+Mint+1fl.oz.&amp;qid=1695260612&amp;sr=8-4")</f>
        <v>https://www.amazon.com/Oasis-Moisturizing-Mouth-Spray-Mild/dp/B00FY48XWY/ref=sr_1_4?keywords=Oasis%C2%AE+Mouth+Moisturizing+Spray+Mild+Mint+1fl.oz.&amp;qid=1695260612&amp;sr=8-4</v>
      </c>
      <c r="F3677" t="s">
        <v>10013</v>
      </c>
      <c r="G3677" t="e">
        <f ca="1">IMAGE("https://shop.sonapharmacy.com/cdn/shop/products/8f8c84aa-9bad-4bac-a54f-e8f111c224fc_1.d51e86c174f0c880125a11b6bef87077.jpg?v=1608566621")</f>
        <v>#NAME?</v>
      </c>
      <c r="H3677" t="e">
        <f ca="1">IMAGE("https://m.media-amazon.com/images/I/71wQTEZxK5L._AC_UL320_.jpg")</f>
        <v>#NAME?</v>
      </c>
      <c r="I3677" t="s">
        <v>9072</v>
      </c>
      <c r="J3677">
        <v>24.25</v>
      </c>
      <c r="K3677" s="2" t="s">
        <v>10014</v>
      </c>
      <c r="L3677">
        <v>4.5</v>
      </c>
      <c r="M3677">
        <v>177</v>
      </c>
      <c r="O3677" t="s">
        <v>26</v>
      </c>
      <c r="P3677" t="s">
        <v>39</v>
      </c>
      <c r="Q3677" t="s">
        <v>9074</v>
      </c>
    </row>
    <row r="3678" spans="1:17" ht="15.75" x14ac:dyDescent="0.25">
      <c r="A3678" s="3" t="str">
        <f>HYPERLINK("https://shop.sonapharmacy.com/products/foille-medicated-first-aid-ointment-1oz", "https://shop.sonapharmacy.com/products/foille-medicated-first-aid-ointment-1oz")</f>
        <v>https://shop.sonapharmacy.com/products/foille-medicated-first-aid-ointment-1oz</v>
      </c>
      <c r="B3678" s="3" t="str">
        <f>HYPERLINK("https://shop.sonapharmacy.com/products/foille-medicated-first-aid-ointment-1oz", "https://shop.sonapharmacy.com/products/foille-medicated-first-aid-ointment-1oz")</f>
        <v>https://shop.sonapharmacy.com/products/foille-medicated-first-aid-ointment-1oz</v>
      </c>
      <c r="C3678" t="s">
        <v>8677</v>
      </c>
      <c r="D3678" t="s">
        <v>9789</v>
      </c>
      <c r="E3678" s="3" t="str">
        <f>HYPERLINK("https://www.amazon.com/Foille-Medicated-First-Ointment-Pack/dp/B01IAI72NG/ref=sr_1_4?keywords=Foille+Medicated+First+Aid+Ointment+1oz.&amp;qid=1695260242&amp;sr=8-4", "https://www.amazon.com/Foille-Medicated-First-Ointment-Pack/dp/B01IAI72NG/ref=sr_1_4?keywords=Foille+Medicated+First+Aid+Ointment+1oz.&amp;qid=1695260242&amp;sr=8-4")</f>
        <v>https://www.amazon.com/Foille-Medicated-First-Ointment-Pack/dp/B01IAI72NG/ref=sr_1_4?keywords=Foille+Medicated+First+Aid+Ointment+1oz.&amp;qid=1695260242&amp;sr=8-4</v>
      </c>
      <c r="F3678" t="s">
        <v>10015</v>
      </c>
      <c r="G3678" t="e">
        <f ca="1">IMAGE("https://shop.sonapharmacy.com/cdn/shop/products/51q-pUYDQIL._AC_SL1500.jpg?v=1609351378")</f>
        <v>#NAME?</v>
      </c>
      <c r="H3678" t="e">
        <f ca="1">IMAGE("https://m.media-amazon.com/images/I/61yRf2iE4tL._AC_UL320_.jpg")</f>
        <v>#NAME?</v>
      </c>
      <c r="I3678" t="s">
        <v>8680</v>
      </c>
      <c r="J3678">
        <v>14.45</v>
      </c>
      <c r="K3678" s="2" t="s">
        <v>10016</v>
      </c>
      <c r="L3678">
        <v>4.9000000000000004</v>
      </c>
      <c r="M3678">
        <v>196</v>
      </c>
      <c r="O3678" t="s">
        <v>26</v>
      </c>
      <c r="P3678" t="s">
        <v>39</v>
      </c>
      <c r="Q3678" t="s">
        <v>8682</v>
      </c>
    </row>
    <row r="3679" spans="1:17" ht="15.75" x14ac:dyDescent="0.25">
      <c r="A3679" s="3" t="str">
        <f>HYPERLINK("https://shop.sonapharmacy.com/products/blue-star-anti-itch-medicated-ointment-2oz", "https://shop.sonapharmacy.com/products/blue-star-anti-itch-medicated-ointment-2oz")</f>
        <v>https://shop.sonapharmacy.com/products/blue-star-anti-itch-medicated-ointment-2oz</v>
      </c>
      <c r="B3679" s="3" t="str">
        <f>HYPERLINK("https://shop.sonapharmacy.com/products/blue-star-anti-itch-medicated-ointment-2oz", "https://shop.sonapharmacy.com/products/blue-star-anti-itch-medicated-ointment-2oz")</f>
        <v>https://shop.sonapharmacy.com/products/blue-star-anti-itch-medicated-ointment-2oz</v>
      </c>
      <c r="C3679" t="s">
        <v>10017</v>
      </c>
      <c r="D3679" t="s">
        <v>10018</v>
      </c>
      <c r="E3679" s="3" t="str">
        <f>HYPERLINK("https://www.amazon.com/Blue-Star-Anti-Itch-Medicated-Ointment/dp/B00FQR8Y1E/ref=sr_1_4?keywords=Blue+Star%C2%AE+Anti-Itch+Medicated+Ointment+2oz.&amp;qid=1695260101&amp;sr=8-4", "https://www.amazon.com/Blue-Star-Anti-Itch-Medicated-Ointment/dp/B00FQR8Y1E/ref=sr_1_4?keywords=Blue+Star%C2%AE+Anti-Itch+Medicated+Ointment+2oz.&amp;qid=1695260101&amp;sr=8-4")</f>
        <v>https://www.amazon.com/Blue-Star-Anti-Itch-Medicated-Ointment/dp/B00FQR8Y1E/ref=sr_1_4?keywords=Blue+Star%C2%AE+Anti-Itch+Medicated+Ointment+2oz.&amp;qid=1695260101&amp;sr=8-4</v>
      </c>
      <c r="F3679" t="s">
        <v>10019</v>
      </c>
      <c r="G3679" t="e">
        <f ca="1">IMAGE("https://shop.sonapharmacy.com/cdn/shop/products/apivrbugg__33256.1592338106.jpg?v=1607974281")</f>
        <v>#NAME?</v>
      </c>
      <c r="H3679" t="e">
        <f ca="1">IMAGE("https://m.media-amazon.com/images/I/81fNXLyQWIL._AC_UL320_.jpg")</f>
        <v>#NAME?</v>
      </c>
      <c r="I3679" t="s">
        <v>4873</v>
      </c>
      <c r="J3679">
        <v>32.15</v>
      </c>
      <c r="K3679" s="2" t="s">
        <v>10020</v>
      </c>
      <c r="L3679">
        <v>4.7</v>
      </c>
      <c r="M3679">
        <v>45</v>
      </c>
      <c r="O3679" t="s">
        <v>26</v>
      </c>
      <c r="P3679" t="s">
        <v>39</v>
      </c>
      <c r="Q3679" t="s">
        <v>10021</v>
      </c>
    </row>
    <row r="3680" spans="1:17" ht="15.75" x14ac:dyDescent="0.25">
      <c r="A3680"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B3680"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C3680" t="s">
        <v>8889</v>
      </c>
      <c r="D3680" t="s">
        <v>10022</v>
      </c>
      <c r="E3680" s="3" t="str">
        <f>HYPERLINK("https://www.amazon.com/Colgate-Breath-Strips-Whitening-Toothpaste/dp/B01IA9DV9O/ref=sr_1_3?keywords=Colgate%C2%AE+Max+Fresh%C2%AE+With+Breath+Strips+Clean+Mint+Toothpaste+6oz.&amp;qid=1695260147&amp;sr=8-3", "https://www.amazon.com/Colgate-Breath-Strips-Whitening-Toothpaste/dp/B01IA9DV9O/ref=sr_1_3?keywords=Colgate%C2%AE+Max+Fresh%C2%AE+With+Breath+Strips+Clean+Mint+Toothpaste+6oz.&amp;qid=1695260147&amp;sr=8-3")</f>
        <v>https://www.amazon.com/Colgate-Breath-Strips-Whitening-Toothpaste/dp/B01IA9DV9O/ref=sr_1_3?keywords=Colgate%C2%AE+Max+Fresh%C2%AE+With+Breath+Strips+Clean+Mint+Toothpaste+6oz.&amp;qid=1695260147&amp;sr=8-3</v>
      </c>
      <c r="F3680" t="s">
        <v>10023</v>
      </c>
      <c r="G3680" t="e">
        <f ca="1">IMAGE("https://shop.sonapharmacy.com/cdn/shop/products/c6289988-8c06-4eaa-9b0b-ecd363befe31_1.0de5bc9f4f35f28fcf4241c46ae2d5e0.png?v=1608652798")</f>
        <v>#NAME?</v>
      </c>
      <c r="H3680" t="e">
        <f ca="1">IMAGE("https://m.media-amazon.com/images/I/61GLUHq8SSL._AC_UL320_.jpg")</f>
        <v>#NAME?</v>
      </c>
      <c r="I3680" t="s">
        <v>8102</v>
      </c>
      <c r="J3680">
        <v>16.05</v>
      </c>
      <c r="K3680" s="2" t="s">
        <v>10024</v>
      </c>
      <c r="L3680">
        <v>4.8</v>
      </c>
      <c r="M3680">
        <v>11</v>
      </c>
      <c r="O3680" t="s">
        <v>26</v>
      </c>
      <c r="P3680" t="s">
        <v>39</v>
      </c>
      <c r="Q3680" t="s">
        <v>8893</v>
      </c>
    </row>
    <row r="3681" spans="1:17" ht="15.75" x14ac:dyDescent="0.25">
      <c r="A3681" s="3" t="str">
        <f>HYPERLINK("https://shop.sonapharmacy.com/products/blue-star-anti-itch-medicated-ointment-2oz", "https://shop.sonapharmacy.com/products/blue-star-anti-itch-medicated-ointment-2oz")</f>
        <v>https://shop.sonapharmacy.com/products/blue-star-anti-itch-medicated-ointment-2oz</v>
      </c>
      <c r="B3681" s="3" t="str">
        <f>HYPERLINK("https://shop.sonapharmacy.com/products/blue-star-anti-itch-medicated-ointment-2oz", "https://shop.sonapharmacy.com/products/blue-star-anti-itch-medicated-ointment-2oz")</f>
        <v>https://shop.sonapharmacy.com/products/blue-star-anti-itch-medicated-ointment-2oz</v>
      </c>
      <c r="C3681" t="s">
        <v>10017</v>
      </c>
      <c r="D3681" t="s">
        <v>10025</v>
      </c>
      <c r="E3681" s="3" t="str">
        <f>HYPERLINK("https://www.amazon.com/Blue-Star-Anti-Itch-Medicated-Ointment/dp/B078YFXM3D/ref=sr_1_7?keywords=Blue+Star%C2%AE+Anti-Itch+Medicated+Ointment+2oz.&amp;qid=1695260101&amp;sr=8-7", "https://www.amazon.com/Blue-Star-Anti-Itch-Medicated-Ointment/dp/B078YFXM3D/ref=sr_1_7?keywords=Blue+Star%C2%AE+Anti-Itch+Medicated+Ointment+2oz.&amp;qid=1695260101&amp;sr=8-7")</f>
        <v>https://www.amazon.com/Blue-Star-Anti-Itch-Medicated-Ointment/dp/B078YFXM3D/ref=sr_1_7?keywords=Blue+Star%C2%AE+Anti-Itch+Medicated+Ointment+2oz.&amp;qid=1695260101&amp;sr=8-7</v>
      </c>
      <c r="F3681" t="s">
        <v>10026</v>
      </c>
      <c r="G3681" t="e">
        <f ca="1">IMAGE("https://shop.sonapharmacy.com/cdn/shop/products/apivrbugg__33256.1592338106.jpg?v=1607974281")</f>
        <v>#NAME?</v>
      </c>
      <c r="H3681" t="e">
        <f ca="1">IMAGE("https://m.media-amazon.com/images/I/61x9d3DFDhL._AC_UL320_.jpg")</f>
        <v>#NAME?</v>
      </c>
      <c r="I3681" t="s">
        <v>4873</v>
      </c>
      <c r="J3681">
        <v>32.03</v>
      </c>
      <c r="K3681" s="2" t="s">
        <v>10027</v>
      </c>
      <c r="L3681">
        <v>5</v>
      </c>
      <c r="M3681">
        <v>4</v>
      </c>
      <c r="O3681" t="s">
        <v>26</v>
      </c>
      <c r="P3681" t="s">
        <v>39</v>
      </c>
      <c r="Q3681" t="s">
        <v>10021</v>
      </c>
    </row>
    <row r="3682" spans="1:17" ht="15.75" x14ac:dyDescent="0.25">
      <c r="A3682" s="3" t="str">
        <f>HYPERLINK("https://shop.sonapharmacy.com/products/noxzema-original-deep-cleansing-cream-12oz", "https://shop.sonapharmacy.com/products/noxzema-original-deep-cleansing-cream-12oz")</f>
        <v>https://shop.sonapharmacy.com/products/noxzema-original-deep-cleansing-cream-12oz</v>
      </c>
      <c r="B3682" s="3" t="str">
        <f>HYPERLINK("https://shop.sonapharmacy.com/products/noxzema-original-deep-cleansing-cream-12oz", "https://shop.sonapharmacy.com/products/noxzema-original-deep-cleansing-cream-12oz")</f>
        <v>https://shop.sonapharmacy.com/products/noxzema-original-deep-cleansing-cream-12oz</v>
      </c>
      <c r="C3682" t="s">
        <v>10028</v>
      </c>
      <c r="D3682" t="s">
        <v>10029</v>
      </c>
      <c r="E3682" s="3" t="str">
        <f>HYPERLINK("https://www.amazon.com/Noxzema-Classic-Clean-Original-Cleansing/dp/B01KYQFPAO/ref=sr_1_3?keywords=Noxzema%C2%AE+Original+Deep+Cleansing+Cream+12oz&amp;qid=1695260611&amp;sr=8-3", "https://www.amazon.com/Noxzema-Classic-Clean-Original-Cleansing/dp/B01KYQFPAO/ref=sr_1_3?keywords=Noxzema%C2%AE+Original+Deep+Cleansing+Cream+12oz&amp;qid=1695260611&amp;sr=8-3")</f>
        <v>https://www.amazon.com/Noxzema-Classic-Clean-Original-Cleansing/dp/B01KYQFPAO/ref=sr_1_3?keywords=Noxzema%C2%AE+Original+Deep+Cleansing+Cream+12oz&amp;qid=1695260611&amp;sr=8-3</v>
      </c>
      <c r="F3682" t="s">
        <v>10030</v>
      </c>
      <c r="G3682" t="e">
        <f ca="1">IMAGE("https://shop.sonapharmacy.com/cdn/shop/products/999999-55451580007.jpg?v=1608240595")</f>
        <v>#NAME?</v>
      </c>
      <c r="H3682" t="e">
        <f ca="1">IMAGE("https://m.media-amazon.com/images/I/717OBoIJLpL._AC_UL320_.jpg")</f>
        <v>#NAME?</v>
      </c>
      <c r="I3682" t="s">
        <v>8498</v>
      </c>
      <c r="J3682">
        <v>22.06</v>
      </c>
      <c r="K3682" s="2" t="s">
        <v>10031</v>
      </c>
      <c r="L3682">
        <v>4.5999999999999996</v>
      </c>
      <c r="M3682">
        <v>18</v>
      </c>
      <c r="O3682" t="s">
        <v>26</v>
      </c>
      <c r="P3682" t="s">
        <v>39</v>
      </c>
      <c r="Q3682" t="s">
        <v>10032</v>
      </c>
    </row>
    <row r="3683" spans="1:17" ht="15.75" x14ac:dyDescent="0.25">
      <c r="A3683" s="3" t="str">
        <f>HYPERLINK("https://shop.sonapharmacy.com/products/old-spice%C2%AE-original-high-endurance-deodorant-3-0oz", "https://shop.sonapharmacy.com/products/old-spice%C2%AE-original-high-endurance-deodorant-3-0oz")</f>
        <v>https://shop.sonapharmacy.com/products/old-spice%C2%AE-original-high-endurance-deodorant-3-0oz</v>
      </c>
      <c r="B3683" s="3" t="str">
        <f>HYPERLINK("https://shop.sonapharmacy.com/products/old-spice%c2%ae-original-high-endurance-deodorant-3-0oz", "https://shop.sonapharmacy.com/products/old-spice%c2%ae-original-high-endurance-deodorant-3-0oz")</f>
        <v>https://shop.sonapharmacy.com/products/old-spice%c2%ae-original-high-endurance-deodorant-3-0oz</v>
      </c>
      <c r="C3683" t="s">
        <v>8203</v>
      </c>
      <c r="D3683" t="s">
        <v>10033</v>
      </c>
      <c r="E3683" s="3" t="str">
        <f>HYPERLINK("https://www.amazon.com/Old-Spice-Endurance-Anti-Perspirant-Deodorant/dp/B005LGYCUW/ref=sr_1_8?keywords=Old+Spice%C2%AE+Original+High+Endurance+Deodorant+3.0oz.&amp;qid=1695260609&amp;sr=8-8", "https://www.amazon.com/Old-Spice-Endurance-Anti-Perspirant-Deodorant/dp/B005LGYCUW/ref=sr_1_8?keywords=Old+Spice%C2%AE+Original+High+Endurance+Deodorant+3.0oz.&amp;qid=1695260609&amp;sr=8-8")</f>
        <v>https://www.amazon.com/Old-Spice-Endurance-Anti-Perspirant-Deodorant/dp/B005LGYCUW/ref=sr_1_8?keywords=Old+Spice%C2%AE+Original+High+Endurance+Deodorant+3.0oz.&amp;qid=1695260609&amp;sr=8-8</v>
      </c>
      <c r="F3683" t="s">
        <v>10034</v>
      </c>
      <c r="G3683" t="e">
        <f ca="1">IMAGE("https://shop.sonapharmacy.com/cdn/shop/products/81d6Zo1KWZL._SL1500.jpg?v=1609094009")</f>
        <v>#NAME?</v>
      </c>
      <c r="H3683" t="e">
        <f ca="1">IMAGE("https://m.media-amazon.com/images/I/61TUf6KKxfS._AC_UL320_.jpg")</f>
        <v>#NAME?</v>
      </c>
      <c r="I3683" t="s">
        <v>8206</v>
      </c>
      <c r="J3683">
        <v>17.22</v>
      </c>
      <c r="K3683" s="2" t="s">
        <v>10035</v>
      </c>
      <c r="L3683">
        <v>4.5999999999999996</v>
      </c>
      <c r="M3683">
        <v>1868</v>
      </c>
      <c r="O3683" t="s">
        <v>26</v>
      </c>
      <c r="P3683" t="s">
        <v>39</v>
      </c>
      <c r="Q3683" t="s">
        <v>8208</v>
      </c>
    </row>
    <row r="3684" spans="1:17" ht="15.75" x14ac:dyDescent="0.25">
      <c r="A3684" s="3" t="str">
        <f>HYPERLINK("https://shop.sonapharmacy.com/products/curad-germ-shield-antimicrobial-gel", "https://shop.sonapharmacy.com/products/curad-germ-shield-antimicrobial-gel")</f>
        <v>https://shop.sonapharmacy.com/products/curad-germ-shield-antimicrobial-gel</v>
      </c>
      <c r="B3684" s="3" t="str">
        <f>HYPERLINK("https://shop.sonapharmacy.com/products/curad-germ-shield-antimicrobial-gel", "https://shop.sonapharmacy.com/products/curad-germ-shield-antimicrobial-gel")</f>
        <v>https://shop.sonapharmacy.com/products/curad-germ-shield-antimicrobial-gel</v>
      </c>
      <c r="C3684" t="s">
        <v>8220</v>
      </c>
      <c r="D3684" t="s">
        <v>10036</v>
      </c>
      <c r="E3684" s="3" t="str">
        <f>HYPERLINK("https://www.amazon.com/GermShield-Antimicrobial-topical-diabetic-bacteria/dp/B077XMJRX1/ref=sr_1_1?keywords=Curad%C2%AE+Germ+Shield+Antimicrobial+Gel&amp;qid=1695260174&amp;sr=8-1", "https://www.amazon.com/GermShield-Antimicrobial-topical-diabetic-bacteria/dp/B077XMJRX1/ref=sr_1_1?keywords=Curad%C2%AE+Germ+Shield+Antimicrobial+Gel&amp;qid=1695260174&amp;sr=8-1")</f>
        <v>https://www.amazon.com/GermShield-Antimicrobial-topical-diabetic-bacteria/dp/B077XMJRX1/ref=sr_1_1?keywords=Curad%C2%AE+Germ+Shield+Antimicrobial+Gel&amp;qid=1695260174&amp;sr=8-1</v>
      </c>
      <c r="F3684" t="s">
        <v>10037</v>
      </c>
      <c r="G3684" t="e">
        <f ca="1">IMAGE("https://shop.sonapharmacy.com/cdn/shop/products/SKU_CUR45951GS_BOX_FRONT_RGB_500x550_a15b9aca-bda1-412b-afa6-e60a82cdb44c.png?v=1607719725")</f>
        <v>#NAME?</v>
      </c>
      <c r="H3684" t="e">
        <f ca="1">IMAGE("https://m.media-amazon.com/images/I/51u+pk19d9L._AC_UL320_.jpg")</f>
        <v>#NAME?</v>
      </c>
      <c r="I3684" t="s">
        <v>8102</v>
      </c>
      <c r="J3684">
        <v>15.93</v>
      </c>
      <c r="K3684" s="2" t="s">
        <v>10038</v>
      </c>
      <c r="L3684">
        <v>4.8</v>
      </c>
      <c r="M3684">
        <v>628</v>
      </c>
      <c r="O3684" t="s">
        <v>26</v>
      </c>
      <c r="P3684" t="s">
        <v>39</v>
      </c>
      <c r="Q3684" t="s">
        <v>8224</v>
      </c>
    </row>
    <row r="3685" spans="1:17" ht="15.75" x14ac:dyDescent="0.25">
      <c r="A3685" s="3" t="str">
        <f>HYPERLINK("https://shop.sonapharmacy.com/products/chloraseptic-fast-acting-sore-throat-reliever-spray", "https://shop.sonapharmacy.com/products/chloraseptic-fast-acting-sore-throat-reliever-spray")</f>
        <v>https://shop.sonapharmacy.com/products/chloraseptic-fast-acting-sore-throat-reliever-spray</v>
      </c>
      <c r="B3685" s="3" t="str">
        <f>HYPERLINK("https://shop.sonapharmacy.com/products/chloraseptic-fast-acting-sore-throat-reliever-spray", "https://shop.sonapharmacy.com/products/chloraseptic-fast-acting-sore-throat-reliever-spray")</f>
        <v>https://shop.sonapharmacy.com/products/chloraseptic-fast-acting-sore-throat-reliever-spray</v>
      </c>
      <c r="C3685" t="s">
        <v>10039</v>
      </c>
      <c r="D3685" t="s">
        <v>10040</v>
      </c>
      <c r="E3685" s="3" t="str">
        <f>HYPERLINK("https://www.amazon.com/Chloraseptic-Liquid-Center-Lozenges-Cherry-18ct-Pack/dp/B004RRHUPA/ref=sr_1_8?keywords=Chloraseptic+Fast+Acting+Sore+Throat+Relieving+Spray&amp;qid=1695260130&amp;sr=8-8", "https://www.amazon.com/Chloraseptic-Liquid-Center-Lozenges-Cherry-18ct-Pack/dp/B004RRHUPA/ref=sr_1_8?keywords=Chloraseptic+Fast+Acting+Sore+Throat+Relieving+Spray&amp;qid=1695260130&amp;sr=8-8")</f>
        <v>https://www.amazon.com/Chloraseptic-Liquid-Center-Lozenges-Cherry-18ct-Pack/dp/B004RRHUPA/ref=sr_1_8?keywords=Chloraseptic+Fast+Acting+Sore+Throat+Relieving+Spray&amp;qid=1695260130&amp;sr=8-8</v>
      </c>
      <c r="F3685" t="s">
        <v>10041</v>
      </c>
      <c r="G3685" t="e">
        <f ca="1">IMAGE("https://shop.sonapharmacy.com/cdn/shop/products/ChlorasepticFastActingSoreThroatRelievingSpray.jpg?v=1595010975")</f>
        <v>#NAME?</v>
      </c>
      <c r="H3685" t="e">
        <f ca="1">IMAGE("https://m.media-amazon.com/images/I/717N1qY0xgL._AC_UL320_.jpg")</f>
        <v>#NAME?</v>
      </c>
      <c r="I3685" t="s">
        <v>8361</v>
      </c>
      <c r="J3685">
        <v>28.6</v>
      </c>
      <c r="K3685" s="2" t="s">
        <v>10042</v>
      </c>
      <c r="L3685">
        <v>5</v>
      </c>
      <c r="M3685">
        <v>4</v>
      </c>
      <c r="O3685" t="s">
        <v>26</v>
      </c>
      <c r="P3685" t="s">
        <v>39</v>
      </c>
      <c r="Q3685" t="s">
        <v>10043</v>
      </c>
    </row>
    <row r="3686" spans="1:17" ht="15.75" x14ac:dyDescent="0.25">
      <c r="A3686" s="3" t="str">
        <f>HYPERLINK("https://shop.sonapharmacy.com/products/oral-b%C2%AE-deep-clean-toothbrush", "https://shop.sonapharmacy.com/products/oral-b%C2%AE-deep-clean-toothbrush")</f>
        <v>https://shop.sonapharmacy.com/products/oral-b%C2%AE-deep-clean-toothbrush</v>
      </c>
      <c r="B3686" s="3" t="str">
        <f>HYPERLINK("https://shop.sonapharmacy.com/products/oral-b%c2%ae-deep-clean-toothbrush", "https://shop.sonapharmacy.com/products/oral-b%c2%ae-deep-clean-toothbrush")</f>
        <v>https://shop.sonapharmacy.com/products/oral-b%c2%ae-deep-clean-toothbrush</v>
      </c>
      <c r="C3686" t="s">
        <v>9367</v>
      </c>
      <c r="D3686" t="s">
        <v>10044</v>
      </c>
      <c r="E3686" s="3" t="str">
        <f>HYPERLINK("https://www.amazon.com/Oral-B-Complete-Bristles-Toothbrush-Colors/dp/B008I2ILDK/ref=sr_1_4?keywords=Oral+B%C2%AE+Complete+Deep+Clean+Toothbrush+%5BMedium%5D&amp;qid=1695260620&amp;sr=8-4", "https://www.amazon.com/Oral-B-Complete-Bristles-Toothbrush-Colors/dp/B008I2ILDK/ref=sr_1_4?keywords=Oral+B%C2%AE+Complete+Deep+Clean+Toothbrush+%5BMedium%5D&amp;qid=1695260620&amp;sr=8-4")</f>
        <v>https://www.amazon.com/Oral-B-Complete-Bristles-Toothbrush-Colors/dp/B008I2ILDK/ref=sr_1_4?keywords=Oral+B%C2%AE+Complete+Deep+Clean+Toothbrush+%5BMedium%5D&amp;qid=1695260620&amp;sr=8-4</v>
      </c>
      <c r="F3686" t="s">
        <v>10045</v>
      </c>
      <c r="G3686" t="e">
        <f ca="1">IMAGE("https://shop.sonapharmacy.com/cdn/shop/files/Sona-Shop-banner2_0c7162f3-c367-451d-8193-c2967a0e8d8e.jpg?v=1614290083")</f>
        <v>#NAME?</v>
      </c>
      <c r="H3686" t="e">
        <f ca="1">IMAGE("https://m.media-amazon.com/images/I/919OwoyFmvL._AC_UL320_.jpg")</f>
        <v>#NAME?</v>
      </c>
      <c r="I3686" t="s">
        <v>9370</v>
      </c>
      <c r="J3686">
        <v>13</v>
      </c>
      <c r="K3686" s="2" t="s">
        <v>10046</v>
      </c>
      <c r="L3686">
        <v>4.2</v>
      </c>
      <c r="M3686">
        <v>372</v>
      </c>
      <c r="O3686" t="s">
        <v>26</v>
      </c>
      <c r="P3686" t="s">
        <v>39</v>
      </c>
      <c r="Q3686" t="s">
        <v>9372</v>
      </c>
    </row>
    <row r="3687" spans="1:17" ht="15.75" x14ac:dyDescent="0.25">
      <c r="A3687" s="3" t="str">
        <f>HYPERLINK("https://shop.sonapharmacy.com/products/aquaphor%C2%AE-healing-ointment", "https://shop.sonapharmacy.com/products/aquaphor%C2%AE-healing-ointment")</f>
        <v>https://shop.sonapharmacy.com/products/aquaphor%C2%AE-healing-ointment</v>
      </c>
      <c r="B3687" s="3" t="str">
        <f>HYPERLINK("https://shop.sonapharmacy.com/products/aquaphor%c2%ae-healing-ointment", "https://shop.sonapharmacy.com/products/aquaphor%c2%ae-healing-ointment")</f>
        <v>https://shop.sonapharmacy.com/products/aquaphor%c2%ae-healing-ointment</v>
      </c>
      <c r="C3687" t="s">
        <v>9238</v>
      </c>
      <c r="D3687" t="s">
        <v>10047</v>
      </c>
      <c r="E3687" s="3" t="str">
        <f>HYPERLINK("https://www.amazon.com/Aquaphor-Healing-Ointment-Protectant-Cracked/dp/B076FT4R4H/ref=sr_1_4?keywords=Aquaphor+Healing+Ointment&amp;qid=1695260029&amp;rdc=1&amp;sr=8-4", "https://www.amazon.com/Aquaphor-Healing-Ointment-Protectant-Cracked/dp/B076FT4R4H/ref=sr_1_4?keywords=Aquaphor+Healing+Ointment&amp;qid=1695260029&amp;rdc=1&amp;sr=8-4")</f>
        <v>https://www.amazon.com/Aquaphor-Healing-Ointment-Protectant-Cracked/dp/B076FT4R4H/ref=sr_1_4?keywords=Aquaphor+Healing+Ointment&amp;qid=1695260029&amp;rdc=1&amp;sr=8-4</v>
      </c>
      <c r="F3687" t="s">
        <v>10048</v>
      </c>
      <c r="G3687" t="e">
        <f ca="1">IMAGE("https://shop.sonapharmacy.com/cdn/shop/products/83663518614618p.jpg?v=1609722179")</f>
        <v>#NAME?</v>
      </c>
      <c r="H3687" t="e">
        <f ca="1">IMAGE("https://m.media-amazon.com/images/I/71o+UZ-sBdL._AC_UL320_.jpg")</f>
        <v>#NAME?</v>
      </c>
      <c r="I3687" t="s">
        <v>9241</v>
      </c>
      <c r="J3687">
        <v>18.84</v>
      </c>
      <c r="K3687" s="2" t="s">
        <v>10049</v>
      </c>
      <c r="L3687">
        <v>4.8</v>
      </c>
      <c r="M3687">
        <v>12231</v>
      </c>
      <c r="O3687" t="s">
        <v>26</v>
      </c>
      <c r="P3687" t="s">
        <v>39</v>
      </c>
      <c r="Q3687" t="s">
        <v>9243</v>
      </c>
    </row>
    <row r="3688" spans="1:17" ht="15.75" x14ac:dyDescent="0.25">
      <c r="A3688"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3688"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3688" t="s">
        <v>8597</v>
      </c>
      <c r="D3688" t="s">
        <v>10050</v>
      </c>
      <c r="E3688" s="3" t="str">
        <f>HYPERLINK("https://www.amazon.com/Arm-Hammer-Advance-Whitening-Toothpaste/dp/B013KXAWBU/ref=sr_1_2?keywords=Arm+%26+Hammer+Advance+White%E2%84%A2+Extreme+Whitening+Toothpaste+6oz.&amp;qid=1695260040&amp;sr=8-2", "https://www.amazon.com/Arm-Hammer-Advance-Whitening-Toothpaste/dp/B013KXAWBU/ref=sr_1_2?keywords=Arm+%26+Hammer+Advance+White%E2%84%A2+Extreme+Whitening+Toothpaste+6oz.&amp;qid=1695260040&amp;sr=8-2")</f>
        <v>https://www.amazon.com/Arm-Hammer-Advance-Whitening-Toothpaste/dp/B013KXAWBU/ref=sr_1_2?keywords=Arm+%26+Hammer+Advance+White%E2%84%A2+Extreme+Whitening+Toothpaste+6oz.&amp;qid=1695260040&amp;sr=8-2</v>
      </c>
      <c r="F3688" t="s">
        <v>10051</v>
      </c>
      <c r="G3688" t="e">
        <f ca="1">IMAGE("https://shop.sonapharmacy.com/cdn/shop/products/39e8f462-49a9-4142-bb95-6876f7f6bade.baebaa1c7268bbcf245f186bddbf5223_1.jpg?v=1611254657")</f>
        <v>#NAME?</v>
      </c>
      <c r="H3688" t="e">
        <f ca="1">IMAGE("https://m.media-amazon.com/images/I/618JhLYm7aL._AC_UL320_.jpg")</f>
        <v>#NAME?</v>
      </c>
      <c r="I3688" t="s">
        <v>8600</v>
      </c>
      <c r="J3688">
        <v>17.22</v>
      </c>
      <c r="K3688" s="2" t="s">
        <v>10052</v>
      </c>
      <c r="L3688">
        <v>4.5999999999999996</v>
      </c>
      <c r="M3688">
        <v>10</v>
      </c>
      <c r="O3688" t="s">
        <v>26</v>
      </c>
      <c r="P3688" t="s">
        <v>39</v>
      </c>
      <c r="Q3688" t="s">
        <v>8602</v>
      </c>
    </row>
    <row r="3689" spans="1:17" ht="15.75" x14ac:dyDescent="0.25">
      <c r="A3689" s="3" t="str">
        <f>HYPERLINK("https://shop.sonapharmacy.com/products/afrin%C2%AE-original", "https://shop.sonapharmacy.com/products/afrin%C2%AE-original")</f>
        <v>https://shop.sonapharmacy.com/products/afrin%C2%AE-original</v>
      </c>
      <c r="B3689" s="3" t="str">
        <f>HYPERLINK("https://shop.sonapharmacy.com/products/afrin%c2%ae-original", "https://shop.sonapharmacy.com/products/afrin%c2%ae-original")</f>
        <v>https://shop.sonapharmacy.com/products/afrin%c2%ae-original</v>
      </c>
      <c r="C3689" t="s">
        <v>8143</v>
      </c>
      <c r="D3689" t="s">
        <v>10053</v>
      </c>
      <c r="E3689" s="3" t="str">
        <f>HYPERLINK("https://www.amazon.com/Afrin-Original-Nasal-Spray-Count/dp/B00AK4SWXS/ref=sr_1_2?keywords=Afrin+Original+Nasal+Spray&amp;qid=1695260003&amp;sr=8-2", "https://www.amazon.com/Afrin-Original-Nasal-Spray-Count/dp/B00AK4SWXS/ref=sr_1_2?keywords=Afrin+Original+Nasal+Spray&amp;qid=1695260003&amp;sr=8-2")</f>
        <v>https://www.amazon.com/Afrin-Original-Nasal-Spray-Count/dp/B00AK4SWXS/ref=sr_1_2?keywords=Afrin+Original+Nasal+Spray&amp;qid=1695260003&amp;sr=8-2</v>
      </c>
      <c r="F3689" t="s">
        <v>10054</v>
      </c>
      <c r="G3689" t="e">
        <f ca="1">IMAGE("https://shop.sonapharmacy.com/cdn/shop/products/81lfsEyuTvL._AC_SL1500.jpg?v=1611182746")</f>
        <v>#NAME?</v>
      </c>
      <c r="H3689" t="e">
        <f ca="1">IMAGE("https://m.media-amazon.com/images/I/91JtR7-MRsL._AC_UL320_.jpg")</f>
        <v>#NAME?</v>
      </c>
      <c r="I3689" t="s">
        <v>4275</v>
      </c>
      <c r="J3689">
        <v>39.92</v>
      </c>
      <c r="K3689" s="2" t="s">
        <v>10055</v>
      </c>
      <c r="L3689">
        <v>4.7</v>
      </c>
      <c r="M3689">
        <v>1089</v>
      </c>
      <c r="O3689" t="s">
        <v>26</v>
      </c>
      <c r="P3689" t="s">
        <v>39</v>
      </c>
      <c r="Q3689" t="s">
        <v>8147</v>
      </c>
    </row>
    <row r="3690" spans="1:17" ht="15.75" x14ac:dyDescent="0.25">
      <c r="A3690" s="3" t="str">
        <f>HYPERLINK("https://shop.sonapharmacy.com/products/lil-critters-omega-3-dha-60-gummies", "https://shop.sonapharmacy.com/products/lil-critters-omega-3-dha-60-gummies")</f>
        <v>https://shop.sonapharmacy.com/products/lil-critters-omega-3-dha-60-gummies</v>
      </c>
      <c r="B3690" s="3" t="str">
        <f>HYPERLINK("https://shop.sonapharmacy.com/products/lil-critters-omega-3-dha-60-gummies", "https://shop.sonapharmacy.com/products/lil-critters-omega-3-dha-60-gummies")</f>
        <v>https://shop.sonapharmacy.com/products/lil-critters-omega-3-dha-60-gummies</v>
      </c>
      <c r="C3690" t="s">
        <v>10056</v>
      </c>
      <c r="D3690" t="s">
        <v>10057</v>
      </c>
      <c r="E3690" s="3" t="str">
        <f>HYPERLINK("https://www.amazon.com/Complete-Feel-Great-365-Supplement/dp/B06Y1C5DHC/ref=sr_1_8?keywords=L%27il+Critters+Omega-3+DHA+60+Gummies&amp;qid=1695260432&amp;sr=8-8", "https://www.amazon.com/Complete-Feel-Great-365-Supplement/dp/B06Y1C5DHC/ref=sr_1_8?keywords=L%27il+Critters+Omega-3+DHA+60+Gummies&amp;qid=1695260432&amp;sr=8-8")</f>
        <v>https://www.amazon.com/Complete-Feel-Great-365-Supplement/dp/B06Y1C5DHC/ref=sr_1_8?keywords=L%27il+Critters+Omega-3+DHA+60+Gummies&amp;qid=1695260432&amp;sr=8-8</v>
      </c>
      <c r="F3690" t="s">
        <v>10058</v>
      </c>
      <c r="G3690" t="e">
        <f ca="1">IMAGE("https://shop.sonapharmacy.com/cdn/shop/products/L_ilCrittersOmega-3DHA60Gummies.png?v=1594927814")</f>
        <v>#NAME?</v>
      </c>
      <c r="H3690" t="e">
        <f ca="1">IMAGE("https://m.media-amazon.com/images/I/71+uIYezncL._AC_UL320_.jpg")</f>
        <v>#NAME?</v>
      </c>
      <c r="I3690" t="s">
        <v>10059</v>
      </c>
      <c r="J3690">
        <v>24.99</v>
      </c>
      <c r="K3690" s="2" t="s">
        <v>10060</v>
      </c>
      <c r="L3690">
        <v>4.4000000000000004</v>
      </c>
      <c r="M3690">
        <v>5125</v>
      </c>
      <c r="O3690" t="s">
        <v>26</v>
      </c>
      <c r="P3690" t="s">
        <v>39</v>
      </c>
      <c r="Q3690" t="s">
        <v>10061</v>
      </c>
    </row>
    <row r="3691" spans="1:17" ht="15.75" x14ac:dyDescent="0.25">
      <c r="A3691" s="3" t="str">
        <f>HYPERLINK("https://shop.sonapharmacy.com/products/lil-critters-omega-3-dha-60-gummies", "https://shop.sonapharmacy.com/products/lil-critters-omega-3-dha-60-gummies")</f>
        <v>https://shop.sonapharmacy.com/products/lil-critters-omega-3-dha-60-gummies</v>
      </c>
      <c r="B3691" s="3" t="str">
        <f>HYPERLINK("https://shop.sonapharmacy.com/products/lil-critters-omega-3-dha-60-gummies", "https://shop.sonapharmacy.com/products/lil-critters-omega-3-dha-60-gummies")</f>
        <v>https://shop.sonapharmacy.com/products/lil-critters-omega-3-dha-60-gummies</v>
      </c>
      <c r="C3691" t="s">
        <v>10056</v>
      </c>
      <c r="D3691" t="s">
        <v>10062</v>
      </c>
      <c r="E3691" s="3" t="str">
        <f>HYPERLINK("https://www.amazon.com/Lil-Critters-Omega-Gummy-Bears/dp/B091ML4FJG/ref=sr_1_5?keywords=L%27il+Critters+Omega-3+DHA+60+Gummies&amp;qid=1695260432&amp;sr=8-5", "https://www.amazon.com/Lil-Critters-Omega-Gummy-Bears/dp/B091ML4FJG/ref=sr_1_5?keywords=L%27il+Critters+Omega-3+DHA+60+Gummies&amp;qid=1695260432&amp;sr=8-5")</f>
        <v>https://www.amazon.com/Lil-Critters-Omega-Gummy-Bears/dp/B091ML4FJG/ref=sr_1_5?keywords=L%27il+Critters+Omega-3+DHA+60+Gummies&amp;qid=1695260432&amp;sr=8-5</v>
      </c>
      <c r="F3691" t="s">
        <v>10063</v>
      </c>
      <c r="G3691" t="e">
        <f ca="1">IMAGE("https://shop.sonapharmacy.com/cdn/shop/products/L_ilCrittersOmega-3DHA60Gummies.png?v=1594927814")</f>
        <v>#NAME?</v>
      </c>
      <c r="H3691" t="e">
        <f ca="1">IMAGE("https://m.media-amazon.com/images/I/71JQKvNeYlL._AC_UL320_.jpg")</f>
        <v>#NAME?</v>
      </c>
      <c r="I3691" t="s">
        <v>10059</v>
      </c>
      <c r="J3691">
        <v>24.95</v>
      </c>
      <c r="K3691" s="2" t="s">
        <v>10064</v>
      </c>
      <c r="L3691">
        <v>4.3</v>
      </c>
      <c r="M3691">
        <v>31</v>
      </c>
      <c r="O3691" t="s">
        <v>26</v>
      </c>
      <c r="P3691" t="s">
        <v>39</v>
      </c>
      <c r="Q3691" t="s">
        <v>10061</v>
      </c>
    </row>
    <row r="3692" spans="1:17" ht="15.75" x14ac:dyDescent="0.25">
      <c r="A3692" s="3" t="str">
        <f>HYPERLINK("https://shop.sonapharmacy.com/products/benadryl-extra-strength-itch-stopping-cream-1oz", "https://shop.sonapharmacy.com/products/benadryl-extra-strength-itch-stopping-cream-1oz")</f>
        <v>https://shop.sonapharmacy.com/products/benadryl-extra-strength-itch-stopping-cream-1oz</v>
      </c>
      <c r="B3692" s="3" t="str">
        <f>HYPERLINK("https://shop.sonapharmacy.com/products/benadryl-extra-strength-itch-stopping-cream-1oz", "https://shop.sonapharmacy.com/products/benadryl-extra-strength-itch-stopping-cream-1oz")</f>
        <v>https://shop.sonapharmacy.com/products/benadryl-extra-strength-itch-stopping-cream-1oz</v>
      </c>
      <c r="C3692" t="s">
        <v>10065</v>
      </c>
      <c r="D3692" t="s">
        <v>10066</v>
      </c>
      <c r="E3692" s="3" t="str">
        <f>HYPERLINK("https://www.amazon.com/Benadryl-Stopping-Cream-Extra-Strength/dp/B01HDOGTLO/ref=sr_1_3?keywords=Benadryl%C2%AE+Extra+Strength+Itch+Stopping+Cream+1oz.&amp;qid=1695260092&amp;sr=8-3", "https://www.amazon.com/Benadryl-Stopping-Cream-Extra-Strength/dp/B01HDOGTLO/ref=sr_1_3?keywords=Benadryl%C2%AE+Extra+Strength+Itch+Stopping+Cream+1oz.&amp;qid=1695260092&amp;sr=8-3")</f>
        <v>https://www.amazon.com/Benadryl-Stopping-Cream-Extra-Strength/dp/B01HDOGTLO/ref=sr_1_3?keywords=Benadryl%C2%AE+Extra+Strength+Itch+Stopping+Cream+1oz.&amp;qid=1695260092&amp;sr=8-3</v>
      </c>
      <c r="F3692" t="s">
        <v>10067</v>
      </c>
      <c r="G3692" t="e">
        <f ca="1">IMAGE("https://shop.sonapharmacy.com/cdn/shop/products/f4e27adb-a1eb-4d0f-881e-df1b61b25943.fafc45726b036587cac19a19fefc7bd1.jpg?v=1611255510")</f>
        <v>#NAME?</v>
      </c>
      <c r="H3692" t="e">
        <f ca="1">IMAGE("https://m.media-amazon.com/images/I/71ohv6mV+iL._AC_UL320_.jpg")</f>
        <v>#NAME?</v>
      </c>
      <c r="I3692" t="s">
        <v>3392</v>
      </c>
      <c r="J3692">
        <v>25.21</v>
      </c>
      <c r="K3692" s="2" t="s">
        <v>10068</v>
      </c>
      <c r="L3692">
        <v>4.7</v>
      </c>
      <c r="M3692">
        <v>346</v>
      </c>
      <c r="O3692" t="s">
        <v>26</v>
      </c>
      <c r="P3692" t="s">
        <v>39</v>
      </c>
      <c r="Q3692" t="s">
        <v>10069</v>
      </c>
    </row>
    <row r="3693" spans="1:17" ht="15.75" x14ac:dyDescent="0.25">
      <c r="A3693" s="3" t="str">
        <f>HYPERLINK("https://shop.sonapharmacy.com/products/basics-red-yeast-rice-600-mg-capsules", "https://shop.sonapharmacy.com/products/basics-red-yeast-rice-600-mg-capsules")</f>
        <v>https://shop.sonapharmacy.com/products/basics-red-yeast-rice-600-mg-capsules</v>
      </c>
      <c r="B3693" s="3" t="str">
        <f>HYPERLINK("https://shop.sonapharmacy.com/products/basics-red-yeast-rice-600-mg-capsules", "https://shop.sonapharmacy.com/products/basics-red-yeast-rice-600-mg-capsules")</f>
        <v>https://shop.sonapharmacy.com/products/basics-red-yeast-rice-600-mg-capsules</v>
      </c>
      <c r="C3693" t="s">
        <v>9105</v>
      </c>
      <c r="D3693" t="s">
        <v>10070</v>
      </c>
      <c r="E3693" s="3" t="str">
        <f>HYPERLINK("https://www.amazon.com/Natures-Bounty-Supplement-Additive-Capsules/dp/B0BS5J9NXK/ref=sr_1_6?keywords=Basic%27s%C2%AE+Red+Yeast+Rice+600mg+Capsules+100ct.&amp;qid=1695260108&amp;sr=8-6", "https://www.amazon.com/Natures-Bounty-Supplement-Additive-Capsules/dp/B0BS5J9NXK/ref=sr_1_6?keywords=Basic%27s%C2%AE+Red+Yeast+Rice+600mg+Capsules+100ct.&amp;qid=1695260108&amp;sr=8-6")</f>
        <v>https://www.amazon.com/Natures-Bounty-Supplement-Additive-Capsules/dp/B0BS5J9NXK/ref=sr_1_6?keywords=Basic%27s%C2%AE+Red+Yeast+Rice+600mg+Capsules+100ct.&amp;qid=1695260108&amp;sr=8-6</v>
      </c>
      <c r="F3693" t="s">
        <v>10071</v>
      </c>
      <c r="G3693" t="e">
        <f ca="1">IMAGE("https://shop.sonapharmacy.com/cdn/shop/products/apimk1isp__77354.1592331582.jpg?v=1609342606")</f>
        <v>#NAME?</v>
      </c>
      <c r="H3693" t="e">
        <f ca="1">IMAGE("https://m.media-amazon.com/images/I/61ZSKVyp42L._AC_UL320_.jpg")</f>
        <v>#NAME?</v>
      </c>
      <c r="I3693" t="s">
        <v>8698</v>
      </c>
      <c r="J3693">
        <v>27.86</v>
      </c>
      <c r="K3693" s="2" t="s">
        <v>10068</v>
      </c>
      <c r="L3693">
        <v>4.7</v>
      </c>
      <c r="M3693">
        <v>4</v>
      </c>
      <c r="O3693" t="s">
        <v>26</v>
      </c>
      <c r="P3693" t="s">
        <v>39</v>
      </c>
      <c r="Q3693" t="s">
        <v>9109</v>
      </c>
    </row>
    <row r="3694" spans="1:17" ht="15.75" x14ac:dyDescent="0.25">
      <c r="A3694" s="3" t="str">
        <f>HYPERLINK("https://shop.sonapharmacy.com/products/prince-of-peace-ginger-chews-4oz", "https://shop.sonapharmacy.com/products/prince-of-peace-ginger-chews-4oz")</f>
        <v>https://shop.sonapharmacy.com/products/prince-of-peace-ginger-chews-4oz</v>
      </c>
      <c r="B3694" s="3" t="str">
        <f>HYPERLINK("https://shop.sonapharmacy.com/products/prince-of-peace-ginger-chews-4oz", "https://shop.sonapharmacy.com/products/prince-of-peace-ginger-chews-4oz")</f>
        <v>https://shop.sonapharmacy.com/products/prince-of-peace-ginger-chews-4oz</v>
      </c>
      <c r="C3694" t="s">
        <v>8087</v>
      </c>
      <c r="D3694" t="s">
        <v>10072</v>
      </c>
      <c r="E3694" s="3" t="str">
        <f>HYPERLINK("https://www.amazon.com/Prince-Peace-Natural-Flavored-Individually/dp/B0848WF1XF/ref=sr_1_6?keywords=Prince+Of+Peace+Ginger+Chews+4oz.&amp;qid=1695260650&amp;sr=8-6", "https://www.amazon.com/Prince-Peace-Natural-Flavored-Individually/dp/B0848WF1XF/ref=sr_1_6?keywords=Prince+Of+Peace+Ginger+Chews+4oz.&amp;qid=1695260650&amp;sr=8-6")</f>
        <v>https://www.amazon.com/Prince-Peace-Natural-Flavored-Individually/dp/B0848WF1XF/ref=sr_1_6?keywords=Prince+Of+Peace+Ginger+Chews+4oz.&amp;qid=1695260650&amp;sr=8-6</v>
      </c>
      <c r="F3694" t="s">
        <v>10073</v>
      </c>
      <c r="G3694" t="e">
        <f ca="1">IMAGE("https://shop.sonapharmacy.com/cdn/shop/products/original.jpg?v=1613754987")</f>
        <v>#NAME?</v>
      </c>
      <c r="H3694" t="e">
        <f ca="1">IMAGE("https://m.media-amazon.com/images/I/81EtJLpiOlL._AC_UL320_.jpg")</f>
        <v>#NAME?</v>
      </c>
      <c r="I3694" t="s">
        <v>8090</v>
      </c>
      <c r="J3694">
        <v>5.99</v>
      </c>
      <c r="K3694" s="2" t="s">
        <v>10074</v>
      </c>
      <c r="L3694">
        <v>4.7</v>
      </c>
      <c r="M3694">
        <v>1215</v>
      </c>
      <c r="O3694" t="s">
        <v>26</v>
      </c>
      <c r="P3694" t="s">
        <v>39</v>
      </c>
      <c r="Q3694" t="s">
        <v>8092</v>
      </c>
    </row>
    <row r="3695" spans="1:17" ht="15.75" x14ac:dyDescent="0.25">
      <c r="A3695" s="3" t="str">
        <f>HYPERLINK("https://shop.sonapharmacy.com/products/similasan-kids-cold-mucus-relief%E2%84%A2-plus-echinacea", "https://shop.sonapharmacy.com/products/similasan-kids-cold-mucus-relief%E2%84%A2-plus-echinacea")</f>
        <v>https://shop.sonapharmacy.com/products/similasan-kids-cold-mucus-relief%E2%84%A2-plus-echinacea</v>
      </c>
      <c r="B3695" s="3" t="str">
        <f>HYPERLINK("https://shop.sonapharmacy.com/products/similasan-kids-cold-mucus-relief%e2%84%a2-plus-echinacea", "https://shop.sonapharmacy.com/products/similasan-kids-cold-mucus-relief%e2%84%a2-plus-echinacea")</f>
        <v>https://shop.sonapharmacy.com/products/similasan-kids-cold-mucus-relief%e2%84%a2-plus-echinacea</v>
      </c>
      <c r="C3695" t="s">
        <v>8860</v>
      </c>
      <c r="D3695" t="s">
        <v>10075</v>
      </c>
      <c r="E3695" s="3" t="str">
        <f>HYPERLINK("https://www.amazon.com/Similasan-Relief-Echinacea-Immunity-Support/dp/B0752RJH7X/ref=sr_1_3?keywords=Similasan%C2%AE+Kids+Cold+%26+Mucus+Relief%E2%84%A2+Plus+Echinacea&amp;qid=1695260710&amp;sr=8-3", "https://www.amazon.com/Similasan-Relief-Echinacea-Immunity-Support/dp/B0752RJH7X/ref=sr_1_3?keywords=Similasan%C2%AE+Kids+Cold+%26+Mucus+Relief%E2%84%A2+Plus+Echinacea&amp;qid=1695260710&amp;sr=8-3")</f>
        <v>https://www.amazon.com/Similasan-Relief-Echinacea-Immunity-Support/dp/B0752RJH7X/ref=sr_1_3?keywords=Similasan%C2%AE+Kids+Cold+%26+Mucus+Relief%E2%84%A2+Plus+Echinacea&amp;qid=1695260710&amp;sr=8-3</v>
      </c>
      <c r="F3695" t="s">
        <v>10076</v>
      </c>
      <c r="G3695" t="e">
        <f ca="1">IMAGE("https://shop.sonapharmacy.com/cdn/shop/products/Untitled-143.jpg?v=1593020548")</f>
        <v>#NAME?</v>
      </c>
      <c r="H3695" t="e">
        <f ca="1">IMAGE("https://m.media-amazon.com/images/I/41TxVBpLYbL._AC_UL320_.jpg")</f>
        <v>#NAME?</v>
      </c>
      <c r="I3695" t="s">
        <v>8863</v>
      </c>
      <c r="J3695">
        <v>27.39</v>
      </c>
      <c r="K3695" s="2" t="s">
        <v>10077</v>
      </c>
      <c r="L3695">
        <v>4.8</v>
      </c>
      <c r="M3695">
        <v>7</v>
      </c>
      <c r="O3695" t="s">
        <v>26</v>
      </c>
      <c r="P3695" t="s">
        <v>39</v>
      </c>
      <c r="Q3695" t="s">
        <v>8865</v>
      </c>
    </row>
    <row r="3696" spans="1:17" ht="15.75" x14ac:dyDescent="0.25">
      <c r="A3696" s="3" t="str">
        <f>HYPERLINK("https://shop.sonapharmacy.com/products/preggie-pops%C2%AE-7-lollipops", "https://shop.sonapharmacy.com/products/preggie-pops%C2%AE-7-lollipops")</f>
        <v>https://shop.sonapharmacy.com/products/preggie-pops%C2%AE-7-lollipops</v>
      </c>
      <c r="B3696" s="3" t="str">
        <f>HYPERLINK("https://shop.sonapharmacy.com/products/preggie-pops%c2%ae-7-lollipops", "https://shop.sonapharmacy.com/products/preggie-pops%c2%ae-7-lollipops")</f>
        <v>https://shop.sonapharmacy.com/products/preggie-pops%c2%ae-7-lollipops</v>
      </c>
      <c r="C3696" t="s">
        <v>10078</v>
      </c>
      <c r="D3696" t="s">
        <v>10079</v>
      </c>
      <c r="E3696" s="3" t="str">
        <f>HYPERLINK("https://www.amazon.com/Preggie-Lollipops-Sickness-Pregnancy-Pregnant/dp/B0BW38ZGX2/ref=sr_1_1?keywords=Preggie+Pops%C2%AE+7+Lollipops&amp;qid=1695260636&amp;sr=8-1", "https://www.amazon.com/Preggie-Lollipops-Sickness-Pregnancy-Pregnant/dp/B0BW38ZGX2/ref=sr_1_1?keywords=Preggie+Pops%C2%AE+7+Lollipops&amp;qid=1695260636&amp;sr=8-1")</f>
        <v>https://www.amazon.com/Preggie-Lollipops-Sickness-Pregnancy-Pregnant/dp/B0BW38ZGX2/ref=sr_1_1?keywords=Preggie+Pops%C2%AE+7+Lollipops&amp;qid=1695260636&amp;sr=8-1</v>
      </c>
      <c r="F3696" t="s">
        <v>10080</v>
      </c>
      <c r="G3696" t="e">
        <f ca="1">IMAGE("https://shop.sonapharmacy.com/cdn/shop/products/f0003a4a-67f3-45bf-bb96-1e51917ddb73_1.cabda37d572bde0fbdfaec6a7281837a.jpg?v=1609269904")</f>
        <v>#NAME?</v>
      </c>
      <c r="H3696" t="e">
        <f ca="1">IMAGE("https://m.media-amazon.com/images/I/51mMBBg1ttL._AC_UL320_.jpg")</f>
        <v>#NAME?</v>
      </c>
      <c r="I3696" t="s">
        <v>10081</v>
      </c>
      <c r="J3696">
        <v>12</v>
      </c>
      <c r="K3696" s="2" t="s">
        <v>10082</v>
      </c>
      <c r="L3696">
        <v>4.2</v>
      </c>
      <c r="M3696">
        <v>1788</v>
      </c>
      <c r="O3696" t="s">
        <v>26</v>
      </c>
      <c r="P3696" t="s">
        <v>39</v>
      </c>
      <c r="Q3696" t="s">
        <v>10083</v>
      </c>
    </row>
    <row r="3697" spans="1:17" ht="15.75" x14ac:dyDescent="0.25">
      <c r="A3697" s="3" t="str">
        <f>HYPERLINK("https://shop.sonapharmacy.com/products/sona-methyl-b-complex", "https://shop.sonapharmacy.com/products/sona-methyl-b-complex")</f>
        <v>https://shop.sonapharmacy.com/products/sona-methyl-b-complex</v>
      </c>
      <c r="B3697" s="3" t="str">
        <f>HYPERLINK("https://shop.sonapharmacy.com/products/sona-methyl-b-complex", "https://shop.sonapharmacy.com/products/sona-methyl-b-complex")</f>
        <v>https://shop.sonapharmacy.com/products/sona-methyl-b-complex</v>
      </c>
      <c r="C3697" t="s">
        <v>10084</v>
      </c>
      <c r="D3697" t="s">
        <v>10085</v>
      </c>
      <c r="E3697" s="3" t="str">
        <f>HYPERLINK("https://www.amazon.com/MethylPro-L-Methylfolate-B-Complex-Active-Capsules/dp/B07H532C66/ref=sr_1_8?keywords=Sona+Methyl+B+Complex&amp;qid=1695260722&amp;sr=8-8", "https://www.amazon.com/MethylPro-L-Methylfolate-B-Complex-Active-Capsules/dp/B07H532C66/ref=sr_1_8?keywords=Sona+Methyl+B+Complex&amp;qid=1695260722&amp;sr=8-8")</f>
        <v>https://www.amazon.com/MethylPro-L-Methylfolate-B-Complex-Active-Capsules/dp/B07H532C66/ref=sr_1_8?keywords=Sona+Methyl+B+Complex&amp;qid=1695260722&amp;sr=8-8</v>
      </c>
      <c r="F3697" t="s">
        <v>10086</v>
      </c>
      <c r="G3697" t="e">
        <f ca="1">IMAGE("https://shop.sonapharmacy.com/cdn/shop/files/MethylBComplex_SonaShop.jpg?v=1692302519")</f>
        <v>#NAME?</v>
      </c>
      <c r="H3697" t="e">
        <f ca="1">IMAGE("https://m.media-amazon.com/images/I/611xXaxCZPL._AC_UL320_.jpg")</f>
        <v>#NAME?</v>
      </c>
      <c r="I3697" t="s">
        <v>10087</v>
      </c>
      <c r="J3697">
        <v>99.95</v>
      </c>
      <c r="K3697" s="2" t="s">
        <v>10088</v>
      </c>
      <c r="L3697">
        <v>4.5999999999999996</v>
      </c>
      <c r="M3697">
        <v>230</v>
      </c>
      <c r="O3697" t="s">
        <v>26</v>
      </c>
      <c r="P3697" t="s">
        <v>39</v>
      </c>
      <c r="Q3697" t="s">
        <v>10089</v>
      </c>
    </row>
    <row r="3698" spans="1:17" ht="15.75" x14ac:dyDescent="0.25">
      <c r="A3698" s="3" t="str">
        <f>HYPERLINK("https://shop.sonapharmacy.com/products/apex%C2%AE-eye-ear-dropper", "https://shop.sonapharmacy.com/products/apex%C2%AE-eye-ear-dropper")</f>
        <v>https://shop.sonapharmacy.com/products/apex%C2%AE-eye-ear-dropper</v>
      </c>
      <c r="B3698" s="3" t="str">
        <f>HYPERLINK("https://shop.sonapharmacy.com/products/apex%c2%ae-eye-ear-dropper", "https://shop.sonapharmacy.com/products/apex%c2%ae-eye-ear-dropper")</f>
        <v>https://shop.sonapharmacy.com/products/apex%c2%ae-eye-ear-dropper</v>
      </c>
      <c r="C3698" t="s">
        <v>8955</v>
      </c>
      <c r="D3698" t="s">
        <v>10090</v>
      </c>
      <c r="E3698" s="3" t="str">
        <f>HYPERLINK("https://www.amazon.com/Apex-00508-Eye-Ear-Dropper/dp/B00MYR270I/ref=sr_1_2?keywords=Apex+Eye%2FEar+Dropper&amp;qid=1695260017&amp;sr=8-2", "https://www.amazon.com/Apex-00508-Eye-Ear-Dropper/dp/B00MYR270I/ref=sr_1_2?keywords=Apex+Eye%2FEar+Dropper&amp;qid=1695260017&amp;sr=8-2")</f>
        <v>https://www.amazon.com/Apex-00508-Eye-Ear-Dropper/dp/B00MYR270I/ref=sr_1_2?keywords=Apex+Eye%2FEar+Dropper&amp;qid=1695260017&amp;sr=8-2</v>
      </c>
      <c r="F3698" t="s">
        <v>10091</v>
      </c>
      <c r="G3698" t="e">
        <f ca="1">IMAGE("https://shop.sonapharmacy.com/cdn/shop/products/36171_Dropper_For_Eye_or_Ear_00508_Carex8642288722903710044_jpg.jpg?v=1609960124")</f>
        <v>#NAME?</v>
      </c>
      <c r="H3698" t="e">
        <f ca="1">IMAGE("https://m.media-amazon.com/images/I/51fCiw-ceuL._AC_UY218_.jpg")</f>
        <v>#NAME?</v>
      </c>
      <c r="I3698" t="s">
        <v>8217</v>
      </c>
      <c r="J3698">
        <v>5.92</v>
      </c>
      <c r="K3698" s="2" t="s">
        <v>10092</v>
      </c>
      <c r="L3698">
        <v>4.3</v>
      </c>
      <c r="M3698">
        <v>64</v>
      </c>
      <c r="O3698" t="s">
        <v>26</v>
      </c>
      <c r="P3698" t="s">
        <v>39</v>
      </c>
      <c r="Q3698" t="s">
        <v>8959</v>
      </c>
    </row>
    <row r="3699" spans="1:17" ht="15.75" x14ac:dyDescent="0.25">
      <c r="A3699" s="3" t="str">
        <f>HYPERLINK("https://shop.sonapharmacy.com/products/ricola-lemon-mint-cough-drops", "https://shop.sonapharmacy.com/products/ricola-lemon-mint-cough-drops")</f>
        <v>https://shop.sonapharmacy.com/products/ricola-lemon-mint-cough-drops</v>
      </c>
      <c r="B3699" s="3" t="str">
        <f>HYPERLINK("https://shop.sonapharmacy.com/products/ricola-lemon-mint-cough-drops", "https://shop.sonapharmacy.com/products/ricola-lemon-mint-cough-drops")</f>
        <v>https://shop.sonapharmacy.com/products/ricola-lemon-mint-cough-drops</v>
      </c>
      <c r="C3699" t="s">
        <v>8276</v>
      </c>
      <c r="D3699" t="s">
        <v>10093</v>
      </c>
      <c r="E3699" s="3" t="str">
        <f>HYPERLINK("https://www.amazon.com/Ricola-Herbal-Suppressant-Throat-Drops/dp/B08HGX3DB1/ref=sr_1_6?keywords=Ricola+Lemon+Mint+Cough+Drops&amp;qid=1695260692&amp;sr=8-6", "https://www.amazon.com/Ricola-Herbal-Suppressant-Throat-Drops/dp/B08HGX3DB1/ref=sr_1_6?keywords=Ricola+Lemon+Mint+Cough+Drops&amp;qid=1695260692&amp;sr=8-6")</f>
        <v>https://www.amazon.com/Ricola-Herbal-Suppressant-Throat-Drops/dp/B08HGX3DB1/ref=sr_1_6?keywords=Ricola+Lemon+Mint+Cough+Drops&amp;qid=1695260692&amp;sr=8-6</v>
      </c>
      <c r="F3699" t="s">
        <v>10094</v>
      </c>
      <c r="G3699" t="e">
        <f ca="1">IMAGE("https://shop.sonapharmacy.com/cdn/shop/products/lemonmint_bag_24.png?v=1608220217")</f>
        <v>#NAME?</v>
      </c>
      <c r="H3699" t="e">
        <f ca="1">IMAGE("https://m.media-amazon.com/images/I/71UHQS4qUlL._AC_UL320_.jpg")</f>
        <v>#NAME?</v>
      </c>
      <c r="I3699" t="s">
        <v>8279</v>
      </c>
      <c r="J3699">
        <v>11.99</v>
      </c>
      <c r="K3699" s="2" t="s">
        <v>10095</v>
      </c>
      <c r="L3699">
        <v>4.7</v>
      </c>
      <c r="M3699">
        <v>10207</v>
      </c>
      <c r="O3699" t="s">
        <v>26</v>
      </c>
      <c r="P3699" t="s">
        <v>39</v>
      </c>
      <c r="Q3699" t="s">
        <v>8281</v>
      </c>
    </row>
    <row r="3700" spans="1:17" ht="15.75" x14ac:dyDescent="0.25">
      <c r="A3700" s="3" t="str">
        <f>HYPERLINK("https://shop.sonapharmacy.com/products/burts-bees-baby%E2%84%A2-original-nourishing-lotion-6oz", "https://shop.sonapharmacy.com/products/burts-bees-baby%E2%84%A2-original-nourishing-lotion-6oz")</f>
        <v>https://shop.sonapharmacy.com/products/burts-bees-baby%E2%84%A2-original-nourishing-lotion-6oz</v>
      </c>
      <c r="B3700" s="3" t="str">
        <f>HYPERLINK("https://shop.sonapharmacy.com/products/burts-bees-baby%e2%84%a2-original-nourishing-lotion-6oz", "https://shop.sonapharmacy.com/products/burts-bees-baby%e2%84%a2-original-nourishing-lotion-6oz")</f>
        <v>https://shop.sonapharmacy.com/products/burts-bees-baby%e2%84%a2-original-nourishing-lotion-6oz</v>
      </c>
      <c r="C3700" t="s">
        <v>9860</v>
      </c>
      <c r="D3700" t="s">
        <v>10096</v>
      </c>
      <c r="E3700" s="3" t="str">
        <f>HYPERLINK("https://www.amazon.com/Burts-Bees-Baby-Nourishing-Packaging/dp/B006L1OB48/ref=sr_1_1?keywords=Burt%27s+Bees+Baby%E2%84%A2+Original+Nourishing+Lotion+6oz.&amp;qid=1695260110&amp;sr=8-1", "https://www.amazon.com/Burts-Bees-Baby-Nourishing-Packaging/dp/B006L1OB48/ref=sr_1_1?keywords=Burt%27s+Bees+Baby%E2%84%A2+Original+Nourishing+Lotion+6oz.&amp;qid=1695260110&amp;sr=8-1")</f>
        <v>https://www.amazon.com/Burts-Bees-Baby-Nourishing-Packaging/dp/B006L1OB48/ref=sr_1_1?keywords=Burt%27s+Bees+Baby%E2%84%A2+Original+Nourishing+Lotion+6oz.&amp;qid=1695260110&amp;sr=8-1</v>
      </c>
      <c r="F3700" t="s">
        <v>10097</v>
      </c>
      <c r="G3700" t="e">
        <f ca="1">IMAGE("https://shop.sonapharmacy.com/cdn/shop/products/0e64d96e-35b2-4653-8455-b24e8a8d345b_1.7cd3bca904c667b3712f3ab06f9ba3e3.jpg?v=1609250999")</f>
        <v>#NAME?</v>
      </c>
      <c r="H3700" t="e">
        <f ca="1">IMAGE("https://m.media-amazon.com/images/I/81A9THBFOZS._AC_UL320_.jpg")</f>
        <v>#NAME?</v>
      </c>
      <c r="I3700" t="s">
        <v>3392</v>
      </c>
      <c r="J3700">
        <v>25</v>
      </c>
      <c r="K3700" s="2" t="s">
        <v>10098</v>
      </c>
      <c r="L3700">
        <v>4.7</v>
      </c>
      <c r="M3700">
        <v>899</v>
      </c>
      <c r="O3700" t="s">
        <v>26</v>
      </c>
      <c r="P3700" t="s">
        <v>39</v>
      </c>
      <c r="Q3700" t="s">
        <v>9864</v>
      </c>
    </row>
    <row r="3701" spans="1:17" ht="15.75" x14ac:dyDescent="0.25">
      <c r="A3701" s="3" t="str">
        <f>HYPERLINK("https://shop.sonapharmacy.com/products/coricidin-hbp-cold-flu-relief-tablets", "https://shop.sonapharmacy.com/products/coricidin-hbp-cold-flu-relief-tablets")</f>
        <v>https://shop.sonapharmacy.com/products/coricidin-hbp-cold-flu-relief-tablets</v>
      </c>
      <c r="B3701" s="3" t="str">
        <f>HYPERLINK("https://shop.sonapharmacy.com/products/coricidin-hbp-cold-flu-relief-tablets", "https://shop.sonapharmacy.com/products/coricidin-hbp-cold-flu-relief-tablets")</f>
        <v>https://shop.sonapharmacy.com/products/coricidin-hbp-cold-flu-relief-tablets</v>
      </c>
      <c r="C3701" t="s">
        <v>8228</v>
      </c>
      <c r="D3701" t="s">
        <v>10099</v>
      </c>
      <c r="E3701" s="3" t="str">
        <f>HYPERLINK("https://www.amazon.com/Coricidin-HBP-Cold-Tablets-Pack/dp/B00IARTD8A/ref=sr_1_2?keywords=Coricidin%C2%AE+HBP+Cold+%26+Flu+Relief+Tablets&amp;qid=1695260159&amp;sr=8-2", "https://www.amazon.com/Coricidin-HBP-Cold-Tablets-Pack/dp/B00IARTD8A/ref=sr_1_2?keywords=Coricidin%C2%AE+HBP+Cold+%26+Flu+Relief+Tablets&amp;qid=1695260159&amp;sr=8-2")</f>
        <v>https://www.amazon.com/Coricidin-HBP-Cold-Tablets-Pack/dp/B00IARTD8A/ref=sr_1_2?keywords=Coricidin%C2%AE+HBP+Cold+%26+Flu+Relief+Tablets&amp;qid=1695260159&amp;sr=8-2</v>
      </c>
      <c r="F3701" t="s">
        <v>10100</v>
      </c>
      <c r="G3701" t="e">
        <f ca="1">IMAGE("https://shop.sonapharmacy.com/cdn/shop/products/CoricidinHBPCold_FluReliefTablets.png?v=1595528416")</f>
        <v>#NAME?</v>
      </c>
      <c r="H3701" t="e">
        <f ca="1">IMAGE("https://m.media-amazon.com/images/I/81qPZdMChIL._AC_UL320_.jpg")</f>
        <v>#NAME?</v>
      </c>
      <c r="I3701" t="s">
        <v>8231</v>
      </c>
      <c r="J3701">
        <v>34.36</v>
      </c>
      <c r="K3701" s="2" t="s">
        <v>10101</v>
      </c>
      <c r="L3701">
        <v>4.8</v>
      </c>
      <c r="M3701">
        <v>215</v>
      </c>
      <c r="O3701" t="s">
        <v>26</v>
      </c>
      <c r="P3701" t="s">
        <v>39</v>
      </c>
      <c r="Q3701" t="s">
        <v>8233</v>
      </c>
    </row>
    <row r="3702" spans="1:17" ht="15.75" x14ac:dyDescent="0.25">
      <c r="A3702" s="3" t="str">
        <f>HYPERLINK("https://shop.sonapharmacy.com/products/sudafed-sinus-pressure-pain-relief-tablets", "https://shop.sonapharmacy.com/products/sudafed-sinus-pressure-pain-relief-tablets")</f>
        <v>https://shop.sonapharmacy.com/products/sudafed-sinus-pressure-pain-relief-tablets</v>
      </c>
      <c r="B3702" s="3" t="str">
        <f>HYPERLINK("https://shop.sonapharmacy.com/products/sudafed-sinus-pressure-pain-relief-tablets", "https://shop.sonapharmacy.com/products/sudafed-sinus-pressure-pain-relief-tablets")</f>
        <v>https://shop.sonapharmacy.com/products/sudafed-sinus-pressure-pain-relief-tablets</v>
      </c>
      <c r="C3702" t="s">
        <v>10102</v>
      </c>
      <c r="D3702" t="s">
        <v>10103</v>
      </c>
      <c r="E3702" s="3" t="str">
        <f>HYPERLINK("https://www.amazon.com/Sudafed-Congestion-Non-Drowsy-Decongestant-Phenylephrine/dp/B073SZMK7Y/ref=sr_1_4?keywords=Sudafed+Sinus+Pressure+Pain+Relief+Tablets&amp;qid=1695260732&amp;sr=8-4", "https://www.amazon.com/Sudafed-Congestion-Non-Drowsy-Decongestant-Phenylephrine/dp/B073SZMK7Y/ref=sr_1_4?keywords=Sudafed+Sinus+Pressure+Pain+Relief+Tablets&amp;qid=1695260732&amp;sr=8-4")</f>
        <v>https://www.amazon.com/Sudafed-Congestion-Non-Drowsy-Decongestant-Phenylephrine/dp/B073SZMK7Y/ref=sr_1_4?keywords=Sudafed+Sinus+Pressure+Pain+Relief+Tablets&amp;qid=1695260732&amp;sr=8-4</v>
      </c>
      <c r="F3702" t="s">
        <v>10104</v>
      </c>
      <c r="G3702" t="e">
        <f ca="1">IMAGE("https://shop.sonapharmacy.com/cdn/shop/products/SudafedSinusPressure_PainReliefTablets.jpg?v=1595445751")</f>
        <v>#NAME?</v>
      </c>
      <c r="H3702" t="e">
        <f ca="1">IMAGE("https://m.media-amazon.com/images/I/81f6MlstAKL._AC_UL320_.jpg")</f>
        <v>#NAME?</v>
      </c>
      <c r="I3702" t="s">
        <v>10105</v>
      </c>
      <c r="J3702">
        <v>26.96</v>
      </c>
      <c r="K3702" s="2" t="s">
        <v>10106</v>
      </c>
      <c r="L3702">
        <v>4.5</v>
      </c>
      <c r="M3702">
        <v>80</v>
      </c>
      <c r="O3702" t="s">
        <v>26</v>
      </c>
      <c r="P3702" t="s">
        <v>39</v>
      </c>
      <c r="Q3702" t="s">
        <v>10107</v>
      </c>
    </row>
    <row r="3703" spans="1:17" ht="15.75" x14ac:dyDescent="0.25">
      <c r="A3703" s="3" t="str">
        <f>HYPERLINK("https://shop.sonapharmacy.com/products/aveeno%C2%AE-baby-eczema-therapy-soothing-bath-treatment-5-packets", "https://shop.sonapharmacy.com/products/aveeno%C2%AE-baby-eczema-therapy-soothing-bath-treatment-5-packets")</f>
        <v>https://shop.sonapharmacy.com/products/aveeno%C2%AE-baby-eczema-therapy-soothing-bath-treatment-5-packets</v>
      </c>
      <c r="B3703" s="3" t="str">
        <f>HYPERLINK("https://shop.sonapharmacy.com/products/aveeno%c2%ae-baby-eczema-therapy-soothing-bath-treatment-5-packets", "https://shop.sonapharmacy.com/products/aveeno%c2%ae-baby-eczema-therapy-soothing-bath-treatment-5-packets")</f>
        <v>https://shop.sonapharmacy.com/products/aveeno%c2%ae-baby-eczema-therapy-soothing-bath-treatment-5-packets</v>
      </c>
      <c r="C3703" t="s">
        <v>8358</v>
      </c>
      <c r="D3703" t="s">
        <v>10108</v>
      </c>
      <c r="E3703" s="3" t="str">
        <f>HYPERLINK("https://www.amazon.com/Aveeno-Therapy-Soothing-Treatment-Count-3-75oz/dp/B00UGPK1CQ/ref=sr_1_7?keywords=Aveeno%C2%AE+Baby+Eczema+Therapy+Soothing+Bath+Treatment+5+Packets&amp;qid=1695260069&amp;sr=8-7", "https://www.amazon.com/Aveeno-Therapy-Soothing-Treatment-Count-3-75oz/dp/B00UGPK1CQ/ref=sr_1_7?keywords=Aveeno%C2%AE+Baby+Eczema+Therapy+Soothing+Bath+Treatment+5+Packets&amp;qid=1695260069&amp;sr=8-7")</f>
        <v>https://www.amazon.com/Aveeno-Therapy-Soothing-Treatment-Count-3-75oz/dp/B00UGPK1CQ/ref=sr_1_7?keywords=Aveeno%C2%AE+Baby+Eczema+Therapy+Soothing+Bath+Treatment+5+Packets&amp;qid=1695260069&amp;sr=8-7</v>
      </c>
      <c r="F3703" t="s">
        <v>10109</v>
      </c>
      <c r="G3703" t="e">
        <f ca="1">IMAGE("https://shop.sonapharmacy.com/cdn/shop/products/a729c548-0d9f-4d0f-8daa-78868f96e785_1.83bc2f43df44df9a1f4d283cda01793e.jpg?v=1608487310")</f>
        <v>#NAME?</v>
      </c>
      <c r="H3703" t="e">
        <f ca="1">IMAGE("https://m.media-amazon.com/images/I/81rbVhwuCFL._AC_UL320_.jpg")</f>
        <v>#NAME?</v>
      </c>
      <c r="I3703" t="s">
        <v>8361</v>
      </c>
      <c r="J3703">
        <v>27.96</v>
      </c>
      <c r="K3703" s="2" t="s">
        <v>10110</v>
      </c>
      <c r="L3703">
        <v>4.8</v>
      </c>
      <c r="M3703">
        <v>39</v>
      </c>
      <c r="O3703" t="s">
        <v>26</v>
      </c>
      <c r="P3703" t="s">
        <v>39</v>
      </c>
      <c r="Q3703" t="s">
        <v>8363</v>
      </c>
    </row>
    <row r="3704" spans="1:17" ht="15.75" x14ac:dyDescent="0.25">
      <c r="A3704" s="3" t="str">
        <f>HYPERLINK("https://shop.sonapharmacy.com/products/goodsense%C2%AE-rolled-gauze-2-x-2-5yds", "https://shop.sonapharmacy.com/products/goodsense%C2%AE-rolled-gauze-2-x-2-5yds")</f>
        <v>https://shop.sonapharmacy.com/products/goodsense%C2%AE-rolled-gauze-2-x-2-5yds</v>
      </c>
      <c r="B3704" s="3" t="str">
        <f>HYPERLINK("https://shop.sonapharmacy.com/products/goodsense%c2%ae-rolled-gauze-2-x-2-5yds", "https://shop.sonapharmacy.com/products/goodsense%c2%ae-rolled-gauze-2-x-2-5yds")</f>
        <v>https://shop.sonapharmacy.com/products/goodsense%c2%ae-rolled-gauze-2-x-2-5yds</v>
      </c>
      <c r="C3704" t="s">
        <v>10111</v>
      </c>
      <c r="D3704" t="s">
        <v>10112</v>
      </c>
      <c r="E3704" s="3" t="str">
        <f>HYPERLINK("https://www.amazon.com/BAND-AID-Brand-Flexible-Rolled-2-5YDS/dp/B074KMG89H/ref=sr_1_4?keywords=GoodSense%C2%AE+Rolled+Gauze+2in+x+2.5yds&amp;qid=1695260348&amp;sr=8-4", "https://www.amazon.com/BAND-AID-Brand-Flexible-Rolled-2-5YDS/dp/B074KMG89H/ref=sr_1_4?keywords=GoodSense%C2%AE+Rolled+Gauze+2in+x+2.5yds&amp;qid=1695260348&amp;sr=8-4")</f>
        <v>https://www.amazon.com/BAND-AID-Brand-Flexible-Rolled-2-5YDS/dp/B074KMG89H/ref=sr_1_4?keywords=GoodSense%C2%AE+Rolled+Gauze+2in+x+2.5yds&amp;qid=1695260348&amp;sr=8-4</v>
      </c>
      <c r="F3704" t="s">
        <v>10113</v>
      </c>
      <c r="G3704" t="e">
        <f ca="1">IMAGE("https://shop.sonapharmacy.com/cdn/shop/products/2in.jpg?v=1607808646")</f>
        <v>#NAME?</v>
      </c>
      <c r="H3704" t="e">
        <f ca="1">IMAGE("https://m.media-amazon.com/images/I/61CpEnovPLL._AC_UY218_.jpg")</f>
        <v>#NAME?</v>
      </c>
      <c r="I3704" t="s">
        <v>8183</v>
      </c>
      <c r="J3704">
        <v>9.8699999999999992</v>
      </c>
      <c r="K3704" s="2" t="s">
        <v>10114</v>
      </c>
      <c r="L3704">
        <v>4.5</v>
      </c>
      <c r="M3704">
        <v>90</v>
      </c>
      <c r="O3704" t="s">
        <v>26</v>
      </c>
      <c r="P3704" t="s">
        <v>39</v>
      </c>
      <c r="Q3704" t="s">
        <v>10115</v>
      </c>
    </row>
    <row r="3705" spans="1:17" ht="15.75" x14ac:dyDescent="0.25">
      <c r="A3705" s="3" t="str">
        <f>HYPERLINK("https://shop.sonapharmacy.com/products/benadryl%C2%AE-original-strength-itch-stopping-cream-1oz", "https://shop.sonapharmacy.com/products/benadryl%C2%AE-original-strength-itch-stopping-cream-1oz")</f>
        <v>https://shop.sonapharmacy.com/products/benadryl%C2%AE-original-strength-itch-stopping-cream-1oz</v>
      </c>
      <c r="B3705" s="3" t="str">
        <f>HYPERLINK("https://shop.sonapharmacy.com/products/benadryl%c2%ae-original-strength-itch-stopping-cream-1oz", "https://shop.sonapharmacy.com/products/benadryl%c2%ae-original-strength-itch-stopping-cream-1oz")</f>
        <v>https://shop.sonapharmacy.com/products/benadryl%c2%ae-original-strength-itch-stopping-cream-1oz</v>
      </c>
      <c r="C3705" t="s">
        <v>8484</v>
      </c>
      <c r="D3705" t="s">
        <v>10116</v>
      </c>
      <c r="E3705" s="3" t="str">
        <f>HYPERLINK("https://www.amazon.com/Benadryl-Stopping-Cream-Original-Strength/dp/B08NV38SBS/ref=sr_1_3?keywords=Benadryl%C2%AE+Original+Strength+Itch+Stopping+Cream+1oz&amp;qid=1695260112&amp;sr=8-3", "https://www.amazon.com/Benadryl-Stopping-Cream-Original-Strength/dp/B08NV38SBS/ref=sr_1_3?keywords=Benadryl%C2%AE+Original+Strength+Itch+Stopping+Cream+1oz&amp;qid=1695260112&amp;sr=8-3")</f>
        <v>https://www.amazon.com/Benadryl-Stopping-Cream-Original-Strength/dp/B08NV38SBS/ref=sr_1_3?keywords=Benadryl%C2%AE+Original+Strength+Itch+Stopping+Cream+1oz&amp;qid=1695260112&amp;sr=8-3</v>
      </c>
      <c r="F3705" t="s">
        <v>10117</v>
      </c>
      <c r="G3705" t="e">
        <f ca="1">IMAGE("https://shop.sonapharmacy.com/cdn/shop/products/44103667-6875-436e-b776-cf3d6402ef0d_1.65737eb7090c77f7aa9709f0319524eb.jpg?v=1611255561")</f>
        <v>#NAME?</v>
      </c>
      <c r="H3705" t="e">
        <f ca="1">IMAGE("https://m.media-amazon.com/images/I/71lJ9auzDgL._AC_UL320_.jpg")</f>
        <v>#NAME?</v>
      </c>
      <c r="I3705" t="s">
        <v>8487</v>
      </c>
      <c r="J3705">
        <v>22.86</v>
      </c>
      <c r="K3705" s="2" t="s">
        <v>10118</v>
      </c>
      <c r="L3705">
        <v>4.7</v>
      </c>
      <c r="M3705">
        <v>7</v>
      </c>
      <c r="O3705" t="s">
        <v>26</v>
      </c>
      <c r="P3705" t="s">
        <v>39</v>
      </c>
      <c r="Q3705" t="s">
        <v>8489</v>
      </c>
    </row>
    <row r="3706" spans="1:17" ht="15.75" x14ac:dyDescent="0.25">
      <c r="A3706" s="3" t="str">
        <f>HYPERLINK("https://shop.sonapharmacy.com/products/prilosec-otc%C2%AE-delayed-release-acid-reducer-tablets", "https://shop.sonapharmacy.com/products/prilosec-otc%C2%AE-delayed-release-acid-reducer-tablets")</f>
        <v>https://shop.sonapharmacy.com/products/prilosec-otc%C2%AE-delayed-release-acid-reducer-tablets</v>
      </c>
      <c r="B3706" s="3" t="str">
        <f>HYPERLINK("https://shop.sonapharmacy.com/products/prilosec-otc%c2%ae-delayed-release-acid-reducer-tablets", "https://shop.sonapharmacy.com/products/prilosec-otc%c2%ae-delayed-release-acid-reducer-tablets")</f>
        <v>https://shop.sonapharmacy.com/products/prilosec-otc%c2%ae-delayed-release-acid-reducer-tablets</v>
      </c>
      <c r="C3706" t="s">
        <v>9744</v>
      </c>
      <c r="D3706" t="s">
        <v>10119</v>
      </c>
      <c r="E3706" s="3" t="str">
        <f>HYPERLINK("https://www.amazon.com/Prilosec-Reducer-Delayed-Release-Tablets-Wildberry/dp/B01IAIKPN0/ref=sr_1_7?keywords=Prilosec+OTC%C2%AE+Delayed+Release+Acid+Reducer+Tablets&amp;qid=1695260683&amp;sr=8-7", "https://www.amazon.com/Prilosec-Reducer-Delayed-Release-Tablets-Wildberry/dp/B01IAIKPN0/ref=sr_1_7?keywords=Prilosec+OTC%C2%AE+Delayed+Release+Acid+Reducer+Tablets&amp;qid=1695260683&amp;sr=8-7")</f>
        <v>https://www.amazon.com/Prilosec-Reducer-Delayed-Release-Tablets-Wildberry/dp/B01IAIKPN0/ref=sr_1_7?keywords=Prilosec+OTC%C2%AE+Delayed+Release+Acid+Reducer+Tablets&amp;qid=1695260683&amp;sr=8-7</v>
      </c>
      <c r="F3706" t="s">
        <v>10120</v>
      </c>
      <c r="G3706" t="e">
        <f ca="1">IMAGE("https://shop.sonapharmacy.com/cdn/shop/products/81ogWiPVy2L._AC_SL1500.jpg?v=1611026906")</f>
        <v>#NAME?</v>
      </c>
      <c r="H3706" t="e">
        <f ca="1">IMAGE("https://m.media-amazon.com/images/I/710K36l8OvL._AC_UL320_.jpg")</f>
        <v>#NAME?</v>
      </c>
      <c r="I3706" t="s">
        <v>9258</v>
      </c>
      <c r="J3706">
        <v>37</v>
      </c>
      <c r="K3706" s="2" t="s">
        <v>10121</v>
      </c>
      <c r="L3706">
        <v>4.8</v>
      </c>
      <c r="M3706">
        <v>478</v>
      </c>
      <c r="O3706" t="s">
        <v>26</v>
      </c>
      <c r="P3706" t="s">
        <v>39</v>
      </c>
      <c r="Q3706" t="s">
        <v>9748</v>
      </c>
    </row>
    <row r="3707" spans="1:17" ht="15.75" x14ac:dyDescent="0.25">
      <c r="A3707" s="3" t="str">
        <f>HYPERLINK("https://shop.sonapharmacy.com/products/old-spice%C2%AE-classic-original-scent-for-men", "https://shop.sonapharmacy.com/products/old-spice%C2%AE-classic-original-scent-for-men")</f>
        <v>https://shop.sonapharmacy.com/products/old-spice%C2%AE-classic-original-scent-for-men</v>
      </c>
      <c r="B3707" s="3" t="str">
        <f>HYPERLINK("https://shop.sonapharmacy.com/products/old-spice%c2%ae-classic-original-scent-for-men", "https://shop.sonapharmacy.com/products/old-spice%c2%ae-classic-original-scent-for-men")</f>
        <v>https://shop.sonapharmacy.com/products/old-spice%c2%ae-classic-original-scent-for-men</v>
      </c>
      <c r="C3707" t="s">
        <v>9517</v>
      </c>
      <c r="D3707" t="s">
        <v>10122</v>
      </c>
      <c r="E3707" s="3" t="str">
        <f>HYPERLINK("https://www.amazon.com/Old-Spice-Deodorant-Ounce-Original/dp/B00HA71DNE/ref=sr_1_1?keywords=Old+Spice%C2%AE+Classic+Original+Scent+for+Men&amp;qid=1695260605&amp;sr=8-1", "https://www.amazon.com/Old-Spice-Deodorant-Ounce-Original/dp/B00HA71DNE/ref=sr_1_1?keywords=Old+Spice%C2%AE+Classic+Original+Scent+for+Men&amp;qid=1695260605&amp;sr=8-1")</f>
        <v>https://www.amazon.com/Old-Spice-Deodorant-Ounce-Original/dp/B00HA71DNE/ref=sr_1_1?keywords=Old+Spice%C2%AE+Classic+Original+Scent+for+Men&amp;qid=1695260605&amp;sr=8-1</v>
      </c>
      <c r="F3707" t="s">
        <v>10123</v>
      </c>
      <c r="G3707" t="e">
        <f ca="1">IMAGE("https://shop.sonapharmacy.com/cdn/shop/products/71PjDe1EYJL._SL1500.jpg?v=1609093235")</f>
        <v>#NAME?</v>
      </c>
      <c r="H3707" t="e">
        <f ca="1">IMAGE("https://m.media-amazon.com/images/I/81cEb0CZveL._AC_UL320_.jpg")</f>
        <v>#NAME?</v>
      </c>
      <c r="I3707" t="s">
        <v>8206</v>
      </c>
      <c r="J3707">
        <v>16.59</v>
      </c>
      <c r="K3707" s="2" t="s">
        <v>10124</v>
      </c>
      <c r="L3707">
        <v>4.7</v>
      </c>
      <c r="M3707">
        <v>407</v>
      </c>
      <c r="O3707" t="s">
        <v>136</v>
      </c>
      <c r="P3707" t="s">
        <v>39</v>
      </c>
      <c r="Q3707" t="s">
        <v>9518</v>
      </c>
    </row>
    <row r="3708" spans="1:17" ht="15.75" x14ac:dyDescent="0.25">
      <c r="A3708" s="3" t="str">
        <f>HYPERLINK("https://shop.sonapharmacy.com/products/old-spice%C2%AE-original-high-endurance-deodorant-3-0oz", "https://shop.sonapharmacy.com/products/old-spice%C2%AE-original-high-endurance-deodorant-3-0oz")</f>
        <v>https://shop.sonapharmacy.com/products/old-spice%C2%AE-original-high-endurance-deodorant-3-0oz</v>
      </c>
      <c r="B3708" s="3" t="str">
        <f>HYPERLINK("https://shop.sonapharmacy.com/products/old-spice%c2%ae-original-high-endurance-deodorant-3-0oz", "https://shop.sonapharmacy.com/products/old-spice%c2%ae-original-high-endurance-deodorant-3-0oz")</f>
        <v>https://shop.sonapharmacy.com/products/old-spice%c2%ae-original-high-endurance-deodorant-3-0oz</v>
      </c>
      <c r="C3708" t="s">
        <v>8203</v>
      </c>
      <c r="D3708" t="s">
        <v>10122</v>
      </c>
      <c r="E3708" s="3" t="str">
        <f>HYPERLINK("https://www.amazon.com/Old-Spice-Deodorant-Ounce-Original/dp/B00HA71DNE/ref=sr_1_3?keywords=Old+Spice%C2%AE+Original+High+Endurance+Deodorant+3.0oz.&amp;qid=1695260609&amp;sr=8-3", "https://www.amazon.com/Old-Spice-Deodorant-Ounce-Original/dp/B00HA71DNE/ref=sr_1_3?keywords=Old+Spice%C2%AE+Original+High+Endurance+Deodorant+3.0oz.&amp;qid=1695260609&amp;sr=8-3")</f>
        <v>https://www.amazon.com/Old-Spice-Deodorant-Ounce-Original/dp/B00HA71DNE/ref=sr_1_3?keywords=Old+Spice%C2%AE+Original+High+Endurance+Deodorant+3.0oz.&amp;qid=1695260609&amp;sr=8-3</v>
      </c>
      <c r="F3708" t="s">
        <v>10123</v>
      </c>
      <c r="G3708" t="e">
        <f ca="1">IMAGE("https://shop.sonapharmacy.com/cdn/shop/products/81d6Zo1KWZL._SL1500.jpg?v=1609094009")</f>
        <v>#NAME?</v>
      </c>
      <c r="H3708" t="e">
        <f ca="1">IMAGE("https://m.media-amazon.com/images/I/81cEb0CZveL._AC_UL320_.jpg")</f>
        <v>#NAME?</v>
      </c>
      <c r="I3708" t="s">
        <v>8206</v>
      </c>
      <c r="J3708">
        <v>16.59</v>
      </c>
      <c r="K3708" s="2" t="s">
        <v>10124</v>
      </c>
      <c r="L3708">
        <v>4.7</v>
      </c>
      <c r="M3708">
        <v>407</v>
      </c>
      <c r="O3708" t="s">
        <v>26</v>
      </c>
      <c r="P3708" t="s">
        <v>39</v>
      </c>
      <c r="Q3708" t="s">
        <v>8208</v>
      </c>
    </row>
    <row r="3709" spans="1:17" ht="15.75" x14ac:dyDescent="0.25">
      <c r="A3709" s="3" t="str">
        <f>HYPERLINK("https://shop.sonapharmacy.com/products/afrin%C2%AE-original", "https://shop.sonapharmacy.com/products/afrin%C2%AE-original")</f>
        <v>https://shop.sonapharmacy.com/products/afrin%C2%AE-original</v>
      </c>
      <c r="B3709" s="3" t="str">
        <f>HYPERLINK("https://shop.sonapharmacy.com/products/afrin%c2%ae-original", "https://shop.sonapharmacy.com/products/afrin%c2%ae-original")</f>
        <v>https://shop.sonapharmacy.com/products/afrin%c2%ae-original</v>
      </c>
      <c r="C3709" t="s">
        <v>8143</v>
      </c>
      <c r="D3709" t="s">
        <v>10125</v>
      </c>
      <c r="E3709" s="3" t="str">
        <f>HYPERLINK("https://www.amazon.com/Afrin-Nasal-Spray-Relief-Original/dp/B01BVXDF9C/ref=sr_1_6?keywords=Afrin+Original+Nasal+Spray&amp;qid=1695260003&amp;sr=8-6", "https://www.amazon.com/Afrin-Nasal-Spray-Relief-Original/dp/B01BVXDF9C/ref=sr_1_6?keywords=Afrin+Original+Nasal+Spray&amp;qid=1695260003&amp;sr=8-6")</f>
        <v>https://www.amazon.com/Afrin-Nasal-Spray-Relief-Original/dp/B01BVXDF9C/ref=sr_1_6?keywords=Afrin+Original+Nasal+Spray&amp;qid=1695260003&amp;sr=8-6</v>
      </c>
      <c r="F3709" t="s">
        <v>10126</v>
      </c>
      <c r="G3709" t="e">
        <f ca="1">IMAGE("https://shop.sonapharmacy.com/cdn/shop/products/81lfsEyuTvL._AC_SL1500.jpg?v=1611182746")</f>
        <v>#NAME?</v>
      </c>
      <c r="H3709" t="e">
        <f ca="1">IMAGE("https://m.media-amazon.com/images/I/615wUc90AzL._AC_UL320_.jpg")</f>
        <v>#NAME?</v>
      </c>
      <c r="I3709" t="s">
        <v>4275</v>
      </c>
      <c r="J3709">
        <v>38.74</v>
      </c>
      <c r="K3709" s="2" t="s">
        <v>10127</v>
      </c>
      <c r="L3709">
        <v>4.2</v>
      </c>
      <c r="M3709">
        <v>56</v>
      </c>
      <c r="O3709" t="s">
        <v>26</v>
      </c>
      <c r="P3709" t="s">
        <v>39</v>
      </c>
      <c r="Q3709" t="s">
        <v>8147</v>
      </c>
    </row>
    <row r="3710" spans="1:17" ht="15.75" x14ac:dyDescent="0.25">
      <c r="A3710" s="3" t="str">
        <f>HYPERLINK("https://shop.sonapharmacy.com/products/prevagen-regular-strength-10-mg-capsules", "https://shop.sonapharmacy.com/products/prevagen-regular-strength-10-mg-capsules")</f>
        <v>https://shop.sonapharmacy.com/products/prevagen-regular-strength-10-mg-capsules</v>
      </c>
      <c r="B3710" s="3" t="str">
        <f>HYPERLINK("https://shop.sonapharmacy.com/products/prevagen-regular-strength-10-mg-capsules", "https://shop.sonapharmacy.com/products/prevagen-regular-strength-10-mg-capsules")</f>
        <v>https://shop.sonapharmacy.com/products/prevagen-regular-strength-10-mg-capsules</v>
      </c>
      <c r="C3710" t="s">
        <v>8872</v>
      </c>
      <c r="D3710" t="s">
        <v>10128</v>
      </c>
      <c r="E3710" s="3" t="str">
        <f>HYPERLINK("https://www.amazon.com/Prevagen-90-Capsules/dp/B00HMTFR3W/ref=sr_1_5?keywords=Prevagen+Regular+Strength+10+mg+Capsules+30+ct.&amp;qid=1695260646&amp;sr=8-5", "https://www.amazon.com/Prevagen-90-Capsules/dp/B00HMTFR3W/ref=sr_1_5?keywords=Prevagen+Regular+Strength+10+mg+Capsules+30+ct.&amp;qid=1695260646&amp;sr=8-5")</f>
        <v>https://www.amazon.com/Prevagen-90-Capsules/dp/B00HMTFR3W/ref=sr_1_5?keywords=Prevagen+Regular+Strength+10+mg+Capsules+30+ct.&amp;qid=1695260646&amp;sr=8-5</v>
      </c>
      <c r="F3710" t="s">
        <v>10129</v>
      </c>
      <c r="G3710" t="e">
        <f ca="1">IMAGE("https://shop.sonapharmacy.com/cdn/shop/products/Prevagen.jpg?v=1628795146")</f>
        <v>#NAME?</v>
      </c>
      <c r="H3710" t="e">
        <f ca="1">IMAGE("https://m.media-amazon.com/images/I/812oiF1S2UL._AC_UL320_.jpg")</f>
        <v>#NAME?</v>
      </c>
      <c r="I3710" t="s">
        <v>6516</v>
      </c>
      <c r="J3710">
        <v>107.85</v>
      </c>
      <c r="K3710" s="2" t="s">
        <v>10130</v>
      </c>
      <c r="L3710">
        <v>4.5</v>
      </c>
      <c r="M3710">
        <v>2711</v>
      </c>
      <c r="O3710" t="s">
        <v>39</v>
      </c>
      <c r="P3710" t="s">
        <v>39</v>
      </c>
      <c r="Q3710" t="s">
        <v>8876</v>
      </c>
    </row>
    <row r="3711" spans="1:17" ht="15.75" x14ac:dyDescent="0.25">
      <c r="A3711" s="3" t="str">
        <f>HYPERLINK("https://shop.sonapharmacy.com/products/phisoderm-anti-blemish-gel-cleanser-6oz", "https://shop.sonapharmacy.com/products/phisoderm-anti-blemish-gel-cleanser-6oz")</f>
        <v>https://shop.sonapharmacy.com/products/phisoderm-anti-blemish-gel-cleanser-6oz</v>
      </c>
      <c r="B3711" s="3" t="str">
        <f>HYPERLINK("https://shop.sonapharmacy.com/products/phisoderm-anti-blemish-gel-cleanser-6oz", "https://shop.sonapharmacy.com/products/phisoderm-anti-blemish-gel-cleanser-6oz")</f>
        <v>https://shop.sonapharmacy.com/products/phisoderm-anti-blemish-gel-cleanser-6oz</v>
      </c>
      <c r="C3711" t="s">
        <v>8099</v>
      </c>
      <c r="D3711" t="s">
        <v>10131</v>
      </c>
      <c r="E3711" s="3" t="str">
        <f>HYPERLINK("https://www.amazon.com/Phisoderm-Anti-Blemish-Gel-Cleanser-Pack/dp/B00MASBF36/ref=sr_1_5?keywords=Phisoderm+Anti-Blemish+Gel+Cleanser+6oz.&amp;qid=1695260646&amp;sr=8-5", "https://www.amazon.com/Phisoderm-Anti-Blemish-Gel-Cleanser-Pack/dp/B00MASBF36/ref=sr_1_5?keywords=Phisoderm+Anti-Blemish+Gel+Cleanser+6oz.&amp;qid=1695260646&amp;sr=8-5")</f>
        <v>https://www.amazon.com/Phisoderm-Anti-Blemish-Gel-Cleanser-Pack/dp/B00MASBF36/ref=sr_1_5?keywords=Phisoderm+Anti-Blemish+Gel+Cleanser+6oz.&amp;qid=1695260646&amp;sr=8-5</v>
      </c>
      <c r="F3711" t="s">
        <v>10132</v>
      </c>
      <c r="G3711" t="e">
        <f ca="1">IMAGE("https://shop.sonapharmacy.com/cdn/shop/products/72de085f-0d9e-4dcc-a7c8-97413c8c71dd_1.8c57de847d24ae111148749ef4a3c57b.jpg?v=1608307791")</f>
        <v>#NAME?</v>
      </c>
      <c r="H3711" t="e">
        <f ca="1">IMAGE("https://m.media-amazon.com/images/I/71Df+9EEfVL._AC_UL320_.jpg")</f>
        <v>#NAME?</v>
      </c>
      <c r="I3711" t="s">
        <v>8102</v>
      </c>
      <c r="J3711">
        <v>15.3</v>
      </c>
      <c r="K3711" s="2" t="s">
        <v>10133</v>
      </c>
      <c r="L3711">
        <v>4.7</v>
      </c>
      <c r="M3711">
        <v>360</v>
      </c>
      <c r="O3711" t="s">
        <v>26</v>
      </c>
      <c r="P3711" t="s">
        <v>39</v>
      </c>
      <c r="Q3711" t="s">
        <v>8104</v>
      </c>
    </row>
    <row r="3712" spans="1:17" ht="15.75" x14ac:dyDescent="0.25">
      <c r="A3712" s="3" t="str">
        <f>HYPERLINK("https://shop.sonapharmacy.com/products/k-y-jelly-personal-water-based-lubricant-4oz", "https://shop.sonapharmacy.com/products/k-y-jelly-personal-water-based-lubricant-4oz")</f>
        <v>https://shop.sonapharmacy.com/products/k-y-jelly-personal-water-based-lubricant-4oz</v>
      </c>
      <c r="B3712" s="3" t="str">
        <f>HYPERLINK("https://shop.sonapharmacy.com/products/k-y-jelly-personal-water-based-lubricant-4oz", "https://shop.sonapharmacy.com/products/k-y-jelly-personal-water-based-lubricant-4oz")</f>
        <v>https://shop.sonapharmacy.com/products/k-y-jelly-personal-water-based-lubricant-4oz</v>
      </c>
      <c r="C3712" t="s">
        <v>10134</v>
      </c>
      <c r="D3712" t="s">
        <v>10135</v>
      </c>
      <c r="E3712" s="3" t="str">
        <f>HYPERLINK("https://www.amazon.com/K-Y-Personal-Lubricant-Bottles-Premium/dp/B0064FKE56/ref=sr_1_2?keywords=K-Y+Jelly+Personal+Water+Based+Lubricant+4oz.&amp;qid=1695260421&amp;sr=8-2", "https://www.amazon.com/K-Y-Personal-Lubricant-Bottles-Premium/dp/B0064FKE56/ref=sr_1_2?keywords=K-Y+Jelly+Personal+Water+Based+Lubricant+4oz.&amp;qid=1695260421&amp;sr=8-2")</f>
        <v>https://www.amazon.com/K-Y-Personal-Lubricant-Bottles-Premium/dp/B0064FKE56/ref=sr_1_2?keywords=K-Y+Jelly+Personal+Water+Based+Lubricant+4oz.&amp;qid=1695260421&amp;sr=8-2</v>
      </c>
      <c r="F3712" t="s">
        <v>10136</v>
      </c>
      <c r="G3712" t="e">
        <f ca="1">IMAGE("https://shop.sonapharmacy.com/cdn/shop/products/86776234-c427-41c0-8efa-feaaf30ed9ed.6806403a8e961d7993884e4947cc74ed.jpg?v=1609185249")</f>
        <v>#NAME?</v>
      </c>
      <c r="H3712" t="e">
        <f ca="1">IMAGE("https://m.media-amazon.com/images/I/719wnZ2v8+L._AC_UL320_.jpg")</f>
        <v>#NAME?</v>
      </c>
      <c r="I3712" t="s">
        <v>8863</v>
      </c>
      <c r="J3712">
        <v>26.56</v>
      </c>
      <c r="K3712" s="2" t="s">
        <v>10137</v>
      </c>
      <c r="L3712">
        <v>4.5</v>
      </c>
      <c r="M3712">
        <v>22280</v>
      </c>
      <c r="O3712" t="s">
        <v>26</v>
      </c>
      <c r="P3712" t="s">
        <v>39</v>
      </c>
      <c r="Q3712" t="s">
        <v>10138</v>
      </c>
    </row>
    <row r="3713" spans="1:17" ht="15.75" x14ac:dyDescent="0.25">
      <c r="A3713" s="3" t="str">
        <f>HYPERLINK("https://shop.sonapharmacy.com/products/sunbum%C2%AE-original-spf-50-sunscreen-lotion-3oz", "https://shop.sonapharmacy.com/products/sunbum%C2%AE-original-spf-50-sunscreen-lotion-3oz")</f>
        <v>https://shop.sonapharmacy.com/products/sunbum%C2%AE-original-spf-50-sunscreen-lotion-3oz</v>
      </c>
      <c r="B3713" s="3" t="str">
        <f>HYPERLINK("https://shop.sonapharmacy.com/products/sunbum%c2%ae-original-spf-50-sunscreen-lotion-3oz", "https://shop.sonapharmacy.com/products/sunbum%c2%ae-original-spf-50-sunscreen-lotion-3oz")</f>
        <v>https://shop.sonapharmacy.com/products/sunbum%c2%ae-original-spf-50-sunscreen-lotion-3oz</v>
      </c>
      <c r="C3713" t="s">
        <v>9924</v>
      </c>
      <c r="D3713" t="s">
        <v>10139</v>
      </c>
      <c r="E3713" s="3" t="str">
        <f>HYPERLINK("https://www.amazon.com/Sun-Bum-octinoxate-Oxybenzone-Moisturizing/dp/B086R2JQZH/ref=sr_1_4?keywords=Sun+Bum%C2%AE+Original+SPF+50+Sunscreen+Lotion&amp;qid=1695260742&amp;sr=8-4", "https://www.amazon.com/Sun-Bum-octinoxate-Oxybenzone-Moisturizing/dp/B086R2JQZH/ref=sr_1_4?keywords=Sun+Bum%C2%AE+Original+SPF+50+Sunscreen+Lotion&amp;qid=1695260742&amp;sr=8-4")</f>
        <v>https://www.amazon.com/Sun-Bum-octinoxate-Oxybenzone-Moisturizing/dp/B086R2JQZH/ref=sr_1_4?keywords=Sun+Bum%C2%AE+Original+SPF+50+Sunscreen+Lotion&amp;qid=1695260742&amp;sr=8-4</v>
      </c>
      <c r="F3713" t="s">
        <v>10140</v>
      </c>
      <c r="G3713" t="e">
        <f ca="1">IMAGE("https://shop.sonapharmacy.com/cdn/shop/products/71liju0WraL._SL1500.jpg?v=1611868598")</f>
        <v>#NAME?</v>
      </c>
      <c r="H3713" t="e">
        <f ca="1">IMAGE("https://m.media-amazon.com/images/I/81+XkasfFSL._AC_UL320_.jpg")</f>
        <v>#NAME?</v>
      </c>
      <c r="I3713" t="s">
        <v>4873</v>
      </c>
      <c r="J3713">
        <v>30.5</v>
      </c>
      <c r="K3713" s="2" t="s">
        <v>10141</v>
      </c>
      <c r="L3713">
        <v>4.8</v>
      </c>
      <c r="M3713">
        <v>989</v>
      </c>
      <c r="O3713" t="s">
        <v>26</v>
      </c>
      <c r="P3713" t="s">
        <v>39</v>
      </c>
      <c r="Q3713" t="s">
        <v>9928</v>
      </c>
    </row>
    <row r="3714" spans="1:17" ht="15.75" x14ac:dyDescent="0.25">
      <c r="A3714" s="3" t="str">
        <f>HYPERLINK("https://shop.sonapharmacy.com/products/old-spice%C2%AE-pure-sport-high-endurance-deodorant-3-0oz", "https://shop.sonapharmacy.com/products/old-spice%C2%AE-pure-sport-high-endurance-deodorant-3-0oz")</f>
        <v>https://shop.sonapharmacy.com/products/old-spice%C2%AE-pure-sport-high-endurance-deodorant-3-0oz</v>
      </c>
      <c r="B3714" s="3" t="str">
        <f>HYPERLINK("https://shop.sonapharmacy.com/products/old-spice%c2%ae-pure-sport-high-endurance-deodorant-3-0oz", "https://shop.sonapharmacy.com/products/old-spice%c2%ae-pure-sport-high-endurance-deodorant-3-0oz")</f>
        <v>https://shop.sonapharmacy.com/products/old-spice%c2%ae-pure-sport-high-endurance-deodorant-3-0oz</v>
      </c>
      <c r="C3714" t="s">
        <v>8720</v>
      </c>
      <c r="D3714" t="s">
        <v>10142</v>
      </c>
      <c r="E3714" s="3" t="str">
        <f>HYPERLINK("https://www.amazon.com/Health-Beauty-03891-Deodorant-Endurance/dp/B00GXITDII/ref=sr_1_6?keywords=Old+Spice%C2%AE+Pure+Sport+High+Endurance+Deodorant+3.0oz.&amp;qid=1695260614&amp;sr=8-6", "https://www.amazon.com/Health-Beauty-03891-Deodorant-Endurance/dp/B00GXITDII/ref=sr_1_6?keywords=Old+Spice%C2%AE+Pure+Sport+High+Endurance+Deodorant+3.0oz.&amp;qid=1695260614&amp;sr=8-6")</f>
        <v>https://www.amazon.com/Health-Beauty-03891-Deodorant-Endurance/dp/B00GXITDII/ref=sr_1_6?keywords=Old+Spice%C2%AE+Pure+Sport+High+Endurance+Deodorant+3.0oz.&amp;qid=1695260614&amp;sr=8-6</v>
      </c>
      <c r="F3714" t="s">
        <v>10143</v>
      </c>
      <c r="G3714" t="e">
        <f ca="1">IMAGE("https://shop.sonapharmacy.com/cdn/shop/products/7c0e29c3-6af7-41b0-bc81-b9238d9e44d1_1.7a977d3723660517c76ddad4c2bf91f5.jpg?v=1609094596")</f>
        <v>#NAME?</v>
      </c>
      <c r="H3714" t="e">
        <f ca="1">IMAGE("https://m.media-amazon.com/images/I/71G+IOGMErL._AC_UL320_.jpg")</f>
        <v>#NAME?</v>
      </c>
      <c r="I3714" t="s">
        <v>8206</v>
      </c>
      <c r="J3714">
        <v>16.45</v>
      </c>
      <c r="K3714" s="2" t="s">
        <v>10144</v>
      </c>
      <c r="L3714">
        <v>4.5999999999999996</v>
      </c>
      <c r="M3714">
        <v>7623</v>
      </c>
      <c r="O3714" t="s">
        <v>26</v>
      </c>
      <c r="P3714" t="s">
        <v>39</v>
      </c>
      <c r="Q3714" t="s">
        <v>8724</v>
      </c>
    </row>
    <row r="3715" spans="1:17" ht="15.75" x14ac:dyDescent="0.25">
      <c r="A3715" s="3" t="str">
        <f>HYPERLINK("https://shop.sonapharmacy.com/products/good-sense-ibuprofen-liquid-capsules", "https://shop.sonapharmacy.com/products/good-sense-ibuprofen-liquid-capsules")</f>
        <v>https://shop.sonapharmacy.com/products/good-sense-ibuprofen-liquid-capsules</v>
      </c>
      <c r="B3715" s="3" t="str">
        <f>HYPERLINK("https://shop.sonapharmacy.com/products/good-sense-ibuprofen-liquid-capsules", "https://shop.sonapharmacy.com/products/good-sense-ibuprofen-liquid-capsules")</f>
        <v>https://shop.sonapharmacy.com/products/good-sense-ibuprofen-liquid-capsules</v>
      </c>
      <c r="C3715" t="s">
        <v>10145</v>
      </c>
      <c r="D3715" t="s">
        <v>10146</v>
      </c>
      <c r="E3715" s="3" t="str">
        <f>HYPERLINK("https://www.amazon.com/Amazon-Basic-Care-Liquid-Gels-Liquid-Filled/dp/B096XX72TB/ref=sr_1_8?keywords=GoodSense%C2%AE+Ibuprofen+Liquid+Capsules&amp;qid=1695260322&amp;sr=8-8", "https://www.amazon.com/Amazon-Basic-Care-Liquid-Gels-Liquid-Filled/dp/B096XX72TB/ref=sr_1_8?keywords=GoodSense%C2%AE+Ibuprofen+Liquid+Capsules&amp;qid=1695260322&amp;sr=8-8")</f>
        <v>https://www.amazon.com/Amazon-Basic-Care-Liquid-Gels-Liquid-Filled/dp/B096XX72TB/ref=sr_1_8?keywords=GoodSense%C2%AE+Ibuprofen+Liquid+Capsules&amp;qid=1695260322&amp;sr=8-8</v>
      </c>
      <c r="F3715" t="s">
        <v>10147</v>
      </c>
      <c r="G3715" t="e">
        <f ca="1">IMAGE("https://shop.sonapharmacy.com/cdn/shop/products/PLD0086.jpg?v=1609353567")</f>
        <v>#NAME?</v>
      </c>
      <c r="H3715" t="e">
        <f ca="1">IMAGE("https://m.media-amazon.com/images/I/71qH+rAyNzL._AC_UL320_.jpg")</f>
        <v>#NAME?</v>
      </c>
      <c r="I3715" t="s">
        <v>8902</v>
      </c>
      <c r="J3715">
        <v>18.579999999999998</v>
      </c>
      <c r="K3715" s="2" t="s">
        <v>10148</v>
      </c>
      <c r="L3715">
        <v>4.8</v>
      </c>
      <c r="M3715">
        <v>1813</v>
      </c>
      <c r="O3715" t="s">
        <v>26</v>
      </c>
      <c r="P3715" t="s">
        <v>39</v>
      </c>
      <c r="Q3715" t="s">
        <v>10149</v>
      </c>
    </row>
    <row r="3716" spans="1:17" ht="15.75" x14ac:dyDescent="0.25">
      <c r="A3716" s="3" t="str">
        <f>HYPERLINK("https://shop.sonapharmacy.com/products/pond-s%C2%AE-cold-cream-make-up-remover-6-1oz", "https://shop.sonapharmacy.com/products/pond-s%C2%AE-cold-cream-make-up-remover-6-1oz")</f>
        <v>https://shop.sonapharmacy.com/products/pond-s%C2%AE-cold-cream-make-up-remover-6-1oz</v>
      </c>
      <c r="B3716" s="3" t="str">
        <f>HYPERLINK("https://shop.sonapharmacy.com/products/pond-s%c2%ae-cold-cream-make-up-remover-6-1oz", "https://shop.sonapharmacy.com/products/pond-s%c2%ae-cold-cream-make-up-remover-6-1oz")</f>
        <v>https://shop.sonapharmacy.com/products/pond-s%c2%ae-cold-cream-make-up-remover-6-1oz</v>
      </c>
      <c r="C3716" t="s">
        <v>10150</v>
      </c>
      <c r="D3716" t="s">
        <v>10151</v>
      </c>
      <c r="E3716" s="3" t="str">
        <f>HYPERLINK("https://www.amazon.com/Ponds-Cream-Make-Up-Remover-Fragrance-Free/dp/B07T1N3P5L/ref=sr_1_7?keywords=POND%E2%80%99S%C2%AE+Cold+Cream+Make-Up+Remover+6.1oz&amp;qid=1695260696&amp;sr=8-7", "https://www.amazon.com/Ponds-Cream-Make-Up-Remover-Fragrance-Free/dp/B07T1N3P5L/ref=sr_1_7?keywords=POND%E2%80%99S%C2%AE+Cold+Cream+Make-Up+Remover+6.1oz&amp;qid=1695260696&amp;sr=8-7")</f>
        <v>https://www.amazon.com/Ponds-Cream-Make-Up-Remover-Fragrance-Free/dp/B07T1N3P5L/ref=sr_1_7?keywords=POND%E2%80%99S%C2%AE+Cold+Cream+Make-Up+Remover+6.1oz&amp;qid=1695260696&amp;sr=8-7</v>
      </c>
      <c r="F3716" t="s">
        <v>10152</v>
      </c>
      <c r="G3716" t="e">
        <f ca="1">IMAGE("https://shop.sonapharmacy.com/cdn/shop/products/233bad93-6828-42d1-806b-ff164795663f_1.53afe850e33b153fa5a01ac3ceadfd71.jpg?v=1608241660")</f>
        <v>#NAME?</v>
      </c>
      <c r="H3716" t="e">
        <f ca="1">IMAGE("https://m.media-amazon.com/images/I/61RbrJ13hML._AC_UL320_.jpg")</f>
        <v>#NAME?</v>
      </c>
      <c r="I3716" t="s">
        <v>10153</v>
      </c>
      <c r="J3716">
        <v>29</v>
      </c>
      <c r="K3716" s="2" t="s">
        <v>10154</v>
      </c>
      <c r="L3716">
        <v>4.3</v>
      </c>
      <c r="M3716">
        <v>18</v>
      </c>
      <c r="O3716" t="s">
        <v>26</v>
      </c>
      <c r="P3716" t="s">
        <v>39</v>
      </c>
      <c r="Q3716" t="s">
        <v>10155</v>
      </c>
    </row>
    <row r="3717" spans="1:17" ht="15.75" x14ac:dyDescent="0.25">
      <c r="A3717" s="3" t="str">
        <f>HYPERLINK("https://shop.sonapharmacy.com/products/bd-home-sharps-container", "https://shop.sonapharmacy.com/products/bd-home-sharps-container")</f>
        <v>https://shop.sonapharmacy.com/products/bd-home-sharps-container</v>
      </c>
      <c r="B3717" s="3" t="str">
        <f>HYPERLINK("https://shop.sonapharmacy.com/products/bd-home-sharps-container", "https://shop.sonapharmacy.com/products/bd-home-sharps-container")</f>
        <v>https://shop.sonapharmacy.com/products/bd-home-sharps-container</v>
      </c>
      <c r="C3717" t="s">
        <v>8261</v>
      </c>
      <c r="D3717" t="s">
        <v>10156</v>
      </c>
      <c r="E3717" s="3" t="str">
        <f>HYPERLINK("https://www.amazon.com/Disposal-Container-Oakridge-Products-Touchfree/dp/B00X6L1U6S/ref=sr_1_7?keywords=BD%C2%AE+Home+Sharps+Container&amp;qid=1695260089&amp;sr=8-7", "https://www.amazon.com/Disposal-Container-Oakridge-Products-Touchfree/dp/B00X6L1U6S/ref=sr_1_7?keywords=BD%C2%AE+Home+Sharps+Container&amp;qid=1695260089&amp;sr=8-7")</f>
        <v>https://www.amazon.com/Disposal-Container-Oakridge-Products-Touchfree/dp/B00X6L1U6S/ref=sr_1_7?keywords=BD%C2%AE+Home+Sharps+Container&amp;qid=1695260089&amp;sr=8-7</v>
      </c>
      <c r="F3717" t="s">
        <v>10157</v>
      </c>
      <c r="G3717" t="e">
        <f ca="1">IMAGE("https://shop.sonapharmacy.com/cdn/shop/products/001655246.jpg?v=1609343493")</f>
        <v>#NAME?</v>
      </c>
      <c r="H3717" t="e">
        <f ca="1">IMAGE("https://m.media-amazon.com/images/I/610h2zDWqAL._AC_UL320_.jpg")</f>
        <v>#NAME?</v>
      </c>
      <c r="I3717" t="s">
        <v>8264</v>
      </c>
      <c r="J3717">
        <v>14.97</v>
      </c>
      <c r="K3717" s="2" t="s">
        <v>10158</v>
      </c>
      <c r="L3717">
        <v>4.8</v>
      </c>
      <c r="M3717">
        <v>2840</v>
      </c>
      <c r="O3717" t="s">
        <v>26</v>
      </c>
      <c r="P3717" t="s">
        <v>39</v>
      </c>
      <c r="Q3717" t="s">
        <v>8266</v>
      </c>
    </row>
    <row r="3718" spans="1:17" ht="15.75" x14ac:dyDescent="0.25">
      <c r="A3718" s="3" t="str">
        <f>HYPERLINK("https://shop.sonapharmacy.com/products/johnsons%C2%AE-aloe-vitamin-e-powder", "https://shop.sonapharmacy.com/products/johnsons%C2%AE-aloe-vitamin-e-powder")</f>
        <v>https://shop.sonapharmacy.com/products/johnsons%C2%AE-aloe-vitamin-e-powder</v>
      </c>
      <c r="B3718" s="3" t="str">
        <f>HYPERLINK("https://shop.sonapharmacy.com/products/johnsons%c2%ae-aloe-vitamin-e-powder", "https://shop.sonapharmacy.com/products/johnsons%c2%ae-aloe-vitamin-e-powder")</f>
        <v>https://shop.sonapharmacy.com/products/johnsons%c2%ae-aloe-vitamin-e-powder</v>
      </c>
      <c r="C3718" t="s">
        <v>8082</v>
      </c>
      <c r="D3718" t="s">
        <v>10159</v>
      </c>
      <c r="E3718" s="3" t="str">
        <f>HYPERLINK("https://www.amazon.com/Johnsons-Baby-Naturally-Cornstarch-Hypoallergenic/dp/B005GX5218/ref=sr_1_4?keywords=Johnson%27s%C2%AE+Aloe+%26+Vitamin+E+Powder&amp;qid=1695260488&amp;sr=8-4", "https://www.amazon.com/Johnsons-Baby-Naturally-Cornstarch-Hypoallergenic/dp/B005GX5218/ref=sr_1_4?keywords=Johnson%27s%C2%AE+Aloe+%26+Vitamin+E+Powder&amp;qid=1695260488&amp;sr=8-4")</f>
        <v>https://www.amazon.com/Johnsons-Baby-Naturally-Cornstarch-Hypoallergenic/dp/B005GX5218/ref=sr_1_4?keywords=Johnson%27s%C2%AE+Aloe+%26+Vitamin+E+Powder&amp;qid=1695260488&amp;sr=8-4</v>
      </c>
      <c r="F3718" t="s">
        <v>10160</v>
      </c>
      <c r="G3718" t="e">
        <f ca="1">IMAGE("https://shop.sonapharmacy.com/cdn/shop/products/41ZWPhAz-CL._AC_SL1000.jpg?v=1609256209")</f>
        <v>#NAME?</v>
      </c>
      <c r="H3718" t="e">
        <f ca="1">IMAGE("https://m.media-amazon.com/images/I/71gaMWOEgOL._AC_UL320_.jpg")</f>
        <v>#NAME?</v>
      </c>
      <c r="I3718" t="s">
        <v>8034</v>
      </c>
      <c r="J3718">
        <v>9.3800000000000008</v>
      </c>
      <c r="K3718" s="2" t="s">
        <v>10161</v>
      </c>
      <c r="L3718">
        <v>4.7</v>
      </c>
      <c r="M3718">
        <v>4760</v>
      </c>
      <c r="O3718" t="s">
        <v>26</v>
      </c>
      <c r="P3718" t="s">
        <v>39</v>
      </c>
      <c r="Q3718" t="s">
        <v>8086</v>
      </c>
    </row>
    <row r="3719" spans="1:17" ht="15.75" x14ac:dyDescent="0.25">
      <c r="A3719" s="3" t="str">
        <f>HYPERLINK("https://shop.sonapharmacy.com/products/americaine-benzocaine-topical-anesthetic-spray-2-fl-oz", "https://shop.sonapharmacy.com/products/americaine-benzocaine-topical-anesthetic-spray-2-fl-oz")</f>
        <v>https://shop.sonapharmacy.com/products/americaine-benzocaine-topical-anesthetic-spray-2-fl-oz</v>
      </c>
      <c r="B3719" s="3" t="str">
        <f>HYPERLINK("https://shop.sonapharmacy.com/products/americaine-benzocaine-topical-anesthetic-spray-2-fl-oz", "https://shop.sonapharmacy.com/products/americaine-benzocaine-topical-anesthetic-spray-2-fl-oz")</f>
        <v>https://shop.sonapharmacy.com/products/americaine-benzocaine-topical-anesthetic-spray-2-fl-oz</v>
      </c>
      <c r="C3719" t="s">
        <v>9183</v>
      </c>
      <c r="D3719" t="s">
        <v>10162</v>
      </c>
      <c r="E3719" s="3" t="str">
        <f>HYPERLINK("https://www.amazon.com/Americaine-Benzocaine-Topical-Anesthetic-First/dp/B004X8LCT8/ref=sr_1_5?keywords=Americaine+Benzocaine+Topical+Anesthetic+Spray+2+fl.+oz.&amp;qid=1695260003&amp;sr=8-5", "https://www.amazon.com/Americaine-Benzocaine-Topical-Anesthetic-First/dp/B004X8LCT8/ref=sr_1_5?keywords=Americaine+Benzocaine+Topical+Anesthetic+Spray+2+fl.+oz.&amp;qid=1695260003&amp;sr=8-5")</f>
        <v>https://www.amazon.com/Americaine-Benzocaine-Topical-Anesthetic-First/dp/B004X8LCT8/ref=sr_1_5?keywords=Americaine+Benzocaine+Topical+Anesthetic+Spray+2+fl.+oz.&amp;qid=1695260003&amp;sr=8-5</v>
      </c>
      <c r="F3719" t="s">
        <v>10163</v>
      </c>
      <c r="G3719" t="e">
        <f ca="1">IMAGE("https://shop.sonapharmacy.com/cdn/shop/products/410yvWTaP7L._AC.jpg?v=1607971628")</f>
        <v>#NAME?</v>
      </c>
      <c r="H3719" t="e">
        <f ca="1">IMAGE("https://m.media-amazon.com/images/I/71JHNvHayhL._AC_UY218_.jpg")</f>
        <v>#NAME?</v>
      </c>
      <c r="I3719" t="s">
        <v>9137</v>
      </c>
      <c r="J3719">
        <v>22.67</v>
      </c>
      <c r="K3719" s="2" t="s">
        <v>10164</v>
      </c>
      <c r="L3719">
        <v>4.5999999999999996</v>
      </c>
      <c r="M3719">
        <v>51</v>
      </c>
      <c r="O3719" t="s">
        <v>26</v>
      </c>
      <c r="P3719" t="s">
        <v>39</v>
      </c>
      <c r="Q3719" t="s">
        <v>9187</v>
      </c>
    </row>
    <row r="3720" spans="1:17" ht="15.75" x14ac:dyDescent="0.25">
      <c r="A3720" s="3" t="str">
        <f>HYPERLINK("https://shop.sonapharmacy.com/products/burts-bees%C2%AE-lemon-butter-cuticle-cream-0-60oz", "https://shop.sonapharmacy.com/products/burts-bees%C2%AE-lemon-butter-cuticle-cream-0-60oz")</f>
        <v>https://shop.sonapharmacy.com/products/burts-bees%C2%AE-lemon-butter-cuticle-cream-0-60oz</v>
      </c>
      <c r="B3720" s="3" t="str">
        <f>HYPERLINK("https://shop.sonapharmacy.com/products/burts-bees%c2%ae-lemon-butter-cuticle-cream-0-60oz", "https://shop.sonapharmacy.com/products/burts-bees%c2%ae-lemon-butter-cuticle-cream-0-60oz")</f>
        <v>https://shop.sonapharmacy.com/products/burts-bees%c2%ae-lemon-butter-cuticle-cream-0-60oz</v>
      </c>
      <c r="C3720" t="s">
        <v>8539</v>
      </c>
      <c r="D3720" t="s">
        <v>10165</v>
      </c>
      <c r="E3720" s="3" t="str">
        <f>HYPERLINK("https://www.amazon.com/Burts-Bees-Natural-Butter-Cuticle/dp/B002GP5XD6/ref=sr_1_1?keywords=Burt%27s+Bees%C2%AE+Lemon+Butter+Cuticle+Cream+0.60oz.&amp;qid=1695260124&amp;sr=8-1", "https://www.amazon.com/Burts-Bees-Natural-Butter-Cuticle/dp/B002GP5XD6/ref=sr_1_1?keywords=Burt%27s+Bees%C2%AE+Lemon+Butter+Cuticle+Cream+0.60oz.&amp;qid=1695260124&amp;sr=8-1")</f>
        <v>https://www.amazon.com/Burts-Bees-Natural-Butter-Cuticle/dp/B002GP5XD6/ref=sr_1_1?keywords=Burt%27s+Bees%C2%AE+Lemon+Butter+Cuticle+Cream+0.60oz.&amp;qid=1695260124&amp;sr=8-1</v>
      </c>
      <c r="F3720" t="s">
        <v>10166</v>
      </c>
      <c r="G3720" t="e">
        <f ca="1">IMAGE("https://shop.sonapharmacy.com/cdn/shop/products/0fadcebd-76bc-4875-8263-6bd9c28133f1.3d5d181bb70920ec65fb71d35eaa2949.jpg?v=1610316654")</f>
        <v>#NAME?</v>
      </c>
      <c r="H3720" t="e">
        <f ca="1">IMAGE("https://m.media-amazon.com/images/I/81zeqo0GGFL._AC_UL320_.jpg")</f>
        <v>#NAME?</v>
      </c>
      <c r="I3720" t="s">
        <v>8542</v>
      </c>
      <c r="J3720">
        <v>14.67</v>
      </c>
      <c r="K3720" s="2" t="s">
        <v>10167</v>
      </c>
      <c r="L3720">
        <v>4.7</v>
      </c>
      <c r="M3720">
        <v>2128</v>
      </c>
      <c r="O3720" t="s">
        <v>26</v>
      </c>
      <c r="P3720" t="s">
        <v>39</v>
      </c>
      <c r="Q3720" t="s">
        <v>8544</v>
      </c>
    </row>
    <row r="3721" spans="1:17" ht="15.75" x14ac:dyDescent="0.25">
      <c r="A3721" s="3" t="str">
        <f>HYPERLINK("https://shop.sonapharmacy.com/products/band-aid%C2%AE-tru-stay-plastic-strip-60ct", "https://shop.sonapharmacy.com/products/band-aid%C2%AE-tru-stay-plastic-strip-60ct")</f>
        <v>https://shop.sonapharmacy.com/products/band-aid%C2%AE-tru-stay-plastic-strip-60ct</v>
      </c>
      <c r="B3721" s="3" t="str">
        <f>HYPERLINK("https://shop.sonapharmacy.com/products/band-aid%c2%ae-tru-stay-plastic-strip-60ct", "https://shop.sonapharmacy.com/products/band-aid%c2%ae-tru-stay-plastic-strip-60ct")</f>
        <v>https://shop.sonapharmacy.com/products/band-aid%c2%ae-tru-stay-plastic-strip-60ct</v>
      </c>
      <c r="C3721" t="s">
        <v>10168</v>
      </c>
      <c r="D3721" t="s">
        <v>10169</v>
      </c>
      <c r="E3721" s="3" t="str">
        <f>HYPERLINK("https://www.amazon.com/Band-Aid-Tru-Stay-Plastic-Adhesive-Bandages/dp/B0C3PP6KZN/ref=sr_1_1?keywords=BAND-AID%C2%AE+Tru-Stay+Plastic+Strip+60ct&amp;qid=1695260076&amp;sr=8-1", "https://www.amazon.com/Band-Aid-Tru-Stay-Plastic-Adhesive-Bandages/dp/B0C3PP6KZN/ref=sr_1_1?keywords=BAND-AID%C2%AE+Tru-Stay+Plastic+Strip+60ct&amp;qid=1695260076&amp;sr=8-1")</f>
        <v>https://www.amazon.com/Band-Aid-Tru-Stay-Plastic-Adhesive-Bandages/dp/B0C3PP6KZN/ref=sr_1_1?keywords=BAND-AID%C2%AE+Tru-Stay+Plastic+Strip+60ct&amp;qid=1695260076&amp;sr=8-1</v>
      </c>
      <c r="F3721" t="s">
        <v>10170</v>
      </c>
      <c r="G3721" t="e">
        <f ca="1">IMAGE("https://shop.sonapharmacy.com/cdn/shop/products/bab_381370056355_100023188_band_aid_band_aid_tru_stay_plastic_aos_60ct_007.jpg?v=1607810924")</f>
        <v>#NAME?</v>
      </c>
      <c r="H3721" t="e">
        <f ca="1">IMAGE("https://m.media-amazon.com/images/I/61C13XcX+QL._AC_UL320_.jpg")</f>
        <v>#NAME?</v>
      </c>
      <c r="I3721" t="s">
        <v>8992</v>
      </c>
      <c r="J3721">
        <v>12.49</v>
      </c>
      <c r="K3721" s="2" t="s">
        <v>10171</v>
      </c>
      <c r="L3721">
        <v>4.8</v>
      </c>
      <c r="M3721">
        <v>9</v>
      </c>
      <c r="O3721" t="s">
        <v>26</v>
      </c>
      <c r="P3721" t="s">
        <v>39</v>
      </c>
      <c r="Q3721" t="s">
        <v>10172</v>
      </c>
    </row>
    <row r="3722" spans="1:17" ht="15.75" x14ac:dyDescent="0.25">
      <c r="A3722" s="3" t="str">
        <f>HYPERLINK("https://shop.sonapharmacy.com/products/boiron-oscillococcinum-homeopathic-medicine", "https://shop.sonapharmacy.com/products/boiron-oscillococcinum-homeopathic-medicine")</f>
        <v>https://shop.sonapharmacy.com/products/boiron-oscillococcinum-homeopathic-medicine</v>
      </c>
      <c r="B3722" s="3" t="str">
        <f>HYPERLINK("https://shop.sonapharmacy.com/products/boiron-oscillococcinum-homeopathic-medicine", "https://shop.sonapharmacy.com/products/boiron-oscillococcinum-homeopathic-medicine")</f>
        <v>https://shop.sonapharmacy.com/products/boiron-oscillococcinum-homeopathic-medicine</v>
      </c>
      <c r="C3722" t="s">
        <v>9293</v>
      </c>
      <c r="D3722" t="s">
        <v>10173</v>
      </c>
      <c r="E3722" s="3" t="str">
        <f>HYPERLINK("https://www.amazon.com/Boiron-Oscillococcinum-Coldcalm-Tablets-Bundle/dp/B0BGJZZ8V4/ref=sr_1_5?keywords=Boiron%C2%AE+Oscillococcinum+Homeopathic+Medicine&amp;qid=1695260104&amp;sr=8-5", "https://www.amazon.com/Boiron-Oscillococcinum-Coldcalm-Tablets-Bundle/dp/B0BGJZZ8V4/ref=sr_1_5?keywords=Boiron%C2%AE+Oscillococcinum+Homeopathic+Medicine&amp;qid=1695260104&amp;sr=8-5")</f>
        <v>https://www.amazon.com/Boiron-Oscillococcinum-Coldcalm-Tablets-Bundle/dp/B0BGJZZ8V4/ref=sr_1_5?keywords=Boiron%C2%AE+Oscillococcinum+Homeopathic+Medicine&amp;qid=1695260104&amp;sr=8-5</v>
      </c>
      <c r="F3722" t="s">
        <v>10174</v>
      </c>
      <c r="G3722" t="e">
        <f ca="1">IMAGE("https://shop.sonapharmacy.com/cdn/shop/products/Untitled-80.jpg?v=1592926556")</f>
        <v>#NAME?</v>
      </c>
      <c r="H3722" t="e">
        <f ca="1">IMAGE("https://m.media-amazon.com/images/I/71bcDxIMScL._AC_UL320_.jpg")</f>
        <v>#NAME?</v>
      </c>
      <c r="I3722" t="s">
        <v>9296</v>
      </c>
      <c r="J3722">
        <v>44.95</v>
      </c>
      <c r="K3722" s="2" t="s">
        <v>10175</v>
      </c>
      <c r="L3722">
        <v>4.7</v>
      </c>
      <c r="M3722">
        <v>28</v>
      </c>
      <c r="O3722" t="s">
        <v>26</v>
      </c>
      <c r="P3722" t="s">
        <v>39</v>
      </c>
      <c r="Q3722" t="s">
        <v>9298</v>
      </c>
    </row>
    <row r="3723" spans="1:17" ht="15.75" x14ac:dyDescent="0.25">
      <c r="A3723" s="3" t="str">
        <f>HYPERLINK("https://shop.sonapharmacy.com/products/goodsense%C2%AE-comfort-grip-nail-clipper", "https://shop.sonapharmacy.com/products/goodsense%C2%AE-comfort-grip-nail-clipper")</f>
        <v>https://shop.sonapharmacy.com/products/goodsense%C2%AE-comfort-grip-nail-clipper</v>
      </c>
      <c r="B3723" s="3" t="str">
        <f>HYPERLINK("https://shop.sonapharmacy.com/products/goodsense%c2%ae-comfort-grip-nail-clipper", "https://shop.sonapharmacy.com/products/goodsense%c2%ae-comfort-grip-nail-clipper")</f>
        <v>https://shop.sonapharmacy.com/products/goodsense%c2%ae-comfort-grip-nail-clipper</v>
      </c>
      <c r="C3723" t="s">
        <v>10176</v>
      </c>
      <c r="D3723" t="s">
        <v>10177</v>
      </c>
      <c r="E3723" s="3" t="str">
        <f>HYPERLINK("https://www.amazon.com/Clippers-Removable-Fingernails-Stainless-Arthritis/dp/B0C1XMVN4P/ref=sr_1_7?keywords=GoodSense%C2%AE+Comfort+Grip+Nail+Clipper&amp;qid=1695260321&amp;sr=8-7", "https://www.amazon.com/Clippers-Removable-Fingernails-Stainless-Arthritis/dp/B0C1XMVN4P/ref=sr_1_7?keywords=GoodSense%C2%AE+Comfort+Grip+Nail+Clipper&amp;qid=1695260321&amp;sr=8-7")</f>
        <v>https://www.amazon.com/Clippers-Removable-Fingernails-Stainless-Arthritis/dp/B0C1XMVN4P/ref=sr_1_7?keywords=GoodSense%C2%AE+Comfort+Grip+Nail+Clipper&amp;qid=1695260321&amp;sr=8-7</v>
      </c>
      <c r="F3723" t="s">
        <v>10178</v>
      </c>
      <c r="G3723" t="e">
        <f ca="1">IMAGE("https://shop.sonapharmacy.com/cdn/shop/products/5713934-1_1.jpg?v=1610910601")</f>
        <v>#NAME?</v>
      </c>
      <c r="H3723" t="e">
        <f ca="1">IMAGE("https://m.media-amazon.com/images/I/71v0g-zf9WL._AC_UL320_.jpg")</f>
        <v>#NAME?</v>
      </c>
      <c r="I3723" t="s">
        <v>10179</v>
      </c>
      <c r="J3723">
        <v>8.09</v>
      </c>
      <c r="K3723" s="2" t="s">
        <v>10180</v>
      </c>
      <c r="L3723">
        <v>4.4000000000000004</v>
      </c>
      <c r="M3723">
        <v>43</v>
      </c>
      <c r="O3723" t="s">
        <v>136</v>
      </c>
      <c r="P3723" t="s">
        <v>39</v>
      </c>
      <c r="Q3723" t="s">
        <v>10181</v>
      </c>
    </row>
    <row r="3724" spans="1:17" ht="15.75" x14ac:dyDescent="0.25">
      <c r="A3724" s="3" t="str">
        <f>HYPERLINK("https://shop.sonapharmacy.com/products/contour-next-ez-meter", "https://shop.sonapharmacy.com/products/contour-next-ez-meter")</f>
        <v>https://shop.sonapharmacy.com/products/contour-next-ez-meter</v>
      </c>
      <c r="B3724" s="3" t="str">
        <f>HYPERLINK("https://shop.sonapharmacy.com/products/contour-next-ez-meter", "https://shop.sonapharmacy.com/products/contour-next-ez-meter")</f>
        <v>https://shop.sonapharmacy.com/products/contour-next-ez-meter</v>
      </c>
      <c r="C3724" t="s">
        <v>9806</v>
      </c>
      <c r="D3724" t="s">
        <v>10182</v>
      </c>
      <c r="E3724" s="3" t="str">
        <f>HYPERLINK("https://www.amazon.com/Contour-Diabetes-Testing-Lancets-Solution/dp/B00NG0MSPQ/ref=sr_1_2?keywords=Contour%C2%AE+Next+EZ+Meter&amp;qid=1695260151&amp;sr=8-2", "https://www.amazon.com/Contour-Diabetes-Testing-Lancets-Solution/dp/B00NG0MSPQ/ref=sr_1_2?keywords=Contour%C2%AE+Next+EZ+Meter&amp;qid=1695260151&amp;sr=8-2")</f>
        <v>https://www.amazon.com/Contour-Diabetes-Testing-Lancets-Solution/dp/B00NG0MSPQ/ref=sr_1_2?keywords=Contour%C2%AE+Next+EZ+Meter&amp;qid=1695260151&amp;sr=8-2</v>
      </c>
      <c r="F3724" t="s">
        <v>10183</v>
      </c>
      <c r="G3724" t="e">
        <f ca="1">IMAGE("https://shop.sonapharmacy.com/cdn/shop/products/ContourNextEZMeter.jpg?v=1594302465")</f>
        <v>#NAME?</v>
      </c>
      <c r="H3724" t="e">
        <f ca="1">IMAGE("https://m.media-amazon.com/images/I/71VxBax5LyL._AC_UL320_.jpg")</f>
        <v>#NAME?</v>
      </c>
      <c r="I3724" t="s">
        <v>9809</v>
      </c>
      <c r="J3724">
        <v>59.99</v>
      </c>
      <c r="K3724" s="2" t="s">
        <v>10184</v>
      </c>
      <c r="L3724">
        <v>4.5999999999999996</v>
      </c>
      <c r="M3724">
        <v>3401</v>
      </c>
      <c r="O3724" t="s">
        <v>26</v>
      </c>
      <c r="P3724" t="s">
        <v>39</v>
      </c>
      <c r="Q3724" t="s">
        <v>9811</v>
      </c>
    </row>
    <row r="3725" spans="1:17" ht="15.75" x14ac:dyDescent="0.25">
      <c r="A3725" s="3" t="str">
        <f>HYPERLINK("https://shop.sonapharmacy.com/products/sunbum%C2%AE-original-spf-30-sunscreen-lip-balm", "https://shop.sonapharmacy.com/products/sunbum%C2%AE-original-spf-30-sunscreen-lip-balm")</f>
        <v>https://shop.sonapharmacy.com/products/sunbum%C2%AE-original-spf-30-sunscreen-lip-balm</v>
      </c>
      <c r="B3725" s="3" t="str">
        <f>HYPERLINK("https://shop.sonapharmacy.com/products/sunbum%c2%ae-original-spf-30-sunscreen-lip-balm", "https://shop.sonapharmacy.com/products/sunbum%c2%ae-original-spf-30-sunscreen-lip-balm")</f>
        <v>https://shop.sonapharmacy.com/products/sunbum%c2%ae-original-spf-30-sunscreen-lip-balm</v>
      </c>
      <c r="C3725" t="s">
        <v>8534</v>
      </c>
      <c r="D3725" t="s">
        <v>10185</v>
      </c>
      <c r="E3725" s="3" t="str">
        <f>HYPERLINK("https://www.amazon.com/Organic-Liplux-Sunscreen-Protection-Spectrum/dp/B08TVYFGLZ/ref=sr_1_6?keywords=Sun+Bum%C2%AE+Original+SPF+30+Sunscreen+Lip+Balm&amp;qid=1695260758&amp;sr=8-6", "https://www.amazon.com/Organic-Liplux-Sunscreen-Protection-Spectrum/dp/B08TVYFGLZ/ref=sr_1_6?keywords=Sun+Bum%C2%AE+Original+SPF+30+Sunscreen+Lip+Balm&amp;qid=1695260758&amp;sr=8-6")</f>
        <v>https://www.amazon.com/Organic-Liplux-Sunscreen-Protection-Spectrum/dp/B08TVYFGLZ/ref=sr_1_6?keywords=Sun+Bum%C2%AE+Original+SPF+30+Sunscreen+Lip+Balm&amp;qid=1695260758&amp;sr=8-6</v>
      </c>
      <c r="F3725" t="s">
        <v>10186</v>
      </c>
      <c r="G3725" t="e">
        <f ca="1">IMAGE("https://shop.sonapharmacy.com/cdn/shop/products/71AEzBiAaUL._AC_SL1500.jpg?v=1611872104")</f>
        <v>#NAME?</v>
      </c>
      <c r="H3725" t="e">
        <f ca="1">IMAGE("https://m.media-amazon.com/images/I/71q2eTme8gL._AC_UL320_.jpg")</f>
        <v>#NAME?</v>
      </c>
      <c r="I3725" t="s">
        <v>8411</v>
      </c>
      <c r="J3725">
        <v>12</v>
      </c>
      <c r="K3725" s="2" t="s">
        <v>10187</v>
      </c>
      <c r="L3725">
        <v>4.4000000000000004</v>
      </c>
      <c r="M3725">
        <v>866</v>
      </c>
      <c r="O3725" t="s">
        <v>26</v>
      </c>
      <c r="P3725" t="s">
        <v>39</v>
      </c>
      <c r="Q3725" t="s">
        <v>8538</v>
      </c>
    </row>
    <row r="3726" spans="1:17" ht="15.75" x14ac:dyDescent="0.25">
      <c r="A3726" s="3" t="str">
        <f>HYPERLINK("https://shop.sonapharmacy.com/products/ayr-saline-nasal-gel-no-drip-sinus-spray", "https://shop.sonapharmacy.com/products/ayr-saline-nasal-gel-no-drip-sinus-spray")</f>
        <v>https://shop.sonapharmacy.com/products/ayr-saline-nasal-gel-no-drip-sinus-spray</v>
      </c>
      <c r="B3726" s="3" t="str">
        <f>HYPERLINK("https://shop.sonapharmacy.com/products/ayr-saline-nasal-gel-no-drip-sinus-spray", "https://shop.sonapharmacy.com/products/ayr-saline-nasal-gel-no-drip-sinus-spray")</f>
        <v>https://shop.sonapharmacy.com/products/ayr-saline-nasal-gel-no-drip-sinus-spray</v>
      </c>
      <c r="C3726" t="s">
        <v>8709</v>
      </c>
      <c r="D3726" t="s">
        <v>10188</v>
      </c>
      <c r="E3726" s="3" t="str">
        <f>HYPERLINK("https://www.amazon.com/Ayr-Saline-Drip-Sinus-Nasal/dp/B00FQR9STQ/ref=sr_1_6?keywords=Ayr%C2%AE+Saline+Nasal+Gel+No-Drip+Sinus+Spray+0.75oz.&amp;qid=1695260047&amp;sr=8-6", "https://www.amazon.com/Ayr-Saline-Drip-Sinus-Nasal/dp/B00FQR9STQ/ref=sr_1_6?keywords=Ayr%C2%AE+Saline+Nasal+Gel+No-Drip+Sinus+Spray+0.75oz.&amp;qid=1695260047&amp;sr=8-6")</f>
        <v>https://www.amazon.com/Ayr-Saline-Drip-Sinus-Nasal/dp/B00FQR9STQ/ref=sr_1_6?keywords=Ayr%C2%AE+Saline+Nasal+Gel+No-Drip+Sinus+Spray+0.75oz.&amp;qid=1695260047&amp;sr=8-6</v>
      </c>
      <c r="F3726" t="s">
        <v>10189</v>
      </c>
      <c r="G3726" t="e">
        <f ca="1">IMAGE("https://shop.sonapharmacy.com/cdn/shop/products/s-l400_2.jpg?v=1610026827")</f>
        <v>#NAME?</v>
      </c>
      <c r="H3726" t="e">
        <f ca="1">IMAGE("https://m.media-amazon.com/images/I/71PRRwK4WdL._AC_UL320_.jpg")</f>
        <v>#NAME?</v>
      </c>
      <c r="I3726" t="s">
        <v>8712</v>
      </c>
      <c r="J3726">
        <v>39.76</v>
      </c>
      <c r="K3726" s="2" t="s">
        <v>10190</v>
      </c>
      <c r="L3726">
        <v>4.7</v>
      </c>
      <c r="M3726">
        <v>39</v>
      </c>
      <c r="O3726" t="s">
        <v>26</v>
      </c>
      <c r="P3726" t="s">
        <v>39</v>
      </c>
      <c r="Q3726" t="s">
        <v>8714</v>
      </c>
    </row>
    <row r="3727" spans="1:17" ht="15.75" x14ac:dyDescent="0.25">
      <c r="A3727" s="3" t="str">
        <f>HYPERLINK("https://shop.sonapharmacy.com/products/lemon-eucalyptus-essential-oil-5-oz", "https://shop.sonapharmacy.com/products/lemon-eucalyptus-essential-oil-5-oz")</f>
        <v>https://shop.sonapharmacy.com/products/lemon-eucalyptus-essential-oil-5-oz</v>
      </c>
      <c r="B3727" s="3" t="str">
        <f>HYPERLINK("https://shop.sonapharmacy.com/products/lemon-eucalyptus-essential-oil-5-oz", "https://shop.sonapharmacy.com/products/lemon-eucalyptus-essential-oil-5-oz")</f>
        <v>https://shop.sonapharmacy.com/products/lemon-eucalyptus-essential-oil-5-oz</v>
      </c>
      <c r="C3727" t="s">
        <v>8414</v>
      </c>
      <c r="D3727" t="s">
        <v>10191</v>
      </c>
      <c r="E3727" s="3" t="str">
        <f>HYPERLINK("https://www.amazon.com/Aura-Cacia-Essential-Lemon-Eucalyptus/dp/B005GWXAEK/ref=sr_1_5?keywords=Aura+Cacia+Lemon+Eucalyptus+Essential+Oil+0.5+oz.&amp;qid=1695260029&amp;sr=8-5", "https://www.amazon.com/Aura-Cacia-Essential-Lemon-Eucalyptus/dp/B005GWXAEK/ref=sr_1_5?keywords=Aura+Cacia+Lemon+Eucalyptus+Essential+Oil+0.5+oz.&amp;qid=1695260029&amp;sr=8-5")</f>
        <v>https://www.amazon.com/Aura-Cacia-Essential-Lemon-Eucalyptus/dp/B005GWXAEK/ref=sr_1_5?keywords=Aura+Cacia+Lemon+Eucalyptus+Essential+Oil+0.5+oz.&amp;qid=1695260029&amp;sr=8-5</v>
      </c>
      <c r="F3727" t="s">
        <v>10192</v>
      </c>
      <c r="G3727" t="e">
        <f ca="1">IMAGE("https://shop.sonapharmacy.com/cdn/shop/products/1_aura-cacia-lemon-eucalyptus-191285-front.jpg?v=1609358391")</f>
        <v>#NAME?</v>
      </c>
      <c r="H3727" t="e">
        <f ca="1">IMAGE("https://m.media-amazon.com/images/I/61kU4nzRx8L._AC_UL320_.jpg")</f>
        <v>#NAME?</v>
      </c>
      <c r="I3727" t="s">
        <v>8417</v>
      </c>
      <c r="J3727">
        <v>16.899999999999999</v>
      </c>
      <c r="K3727" s="2" t="s">
        <v>10193</v>
      </c>
      <c r="L3727">
        <v>4.5999999999999996</v>
      </c>
      <c r="M3727">
        <v>5</v>
      </c>
      <c r="O3727" t="s">
        <v>26</v>
      </c>
      <c r="P3727" t="s">
        <v>39</v>
      </c>
      <c r="Q3727" t="s">
        <v>8419</v>
      </c>
    </row>
    <row r="3728" spans="1:17" ht="15.75" x14ac:dyDescent="0.25">
      <c r="A3728" s="3" t="str">
        <f>HYPERLINK("https://shop.sonapharmacy.com/products/sunbum%C2%AE-cocobalm-lip-balm", "https://shop.sonapharmacy.com/products/sunbum%C2%AE-cocobalm-lip-balm")</f>
        <v>https://shop.sonapharmacy.com/products/sunbum%C2%AE-cocobalm-lip-balm</v>
      </c>
      <c r="B3728" s="3" t="str">
        <f>HYPERLINK("https://shop.sonapharmacy.com/products/sunbum%c2%ae-cocobalm-lip-balm", "https://shop.sonapharmacy.com/products/sunbum%c2%ae-cocobalm-lip-balm")</f>
        <v>https://shop.sonapharmacy.com/products/sunbum%c2%ae-cocobalm-lip-balm</v>
      </c>
      <c r="C3728" t="s">
        <v>8849</v>
      </c>
      <c r="D3728" t="s">
        <v>10194</v>
      </c>
      <c r="E3728" s="3" t="str">
        <f>HYPERLINK("https://www.amazon.com/Sun-Bum-Cocobalm-Hydrating-Silicone/dp/B0BVQDPNR3/ref=sr_1_2?keywords=Sun+Bum%C2%AE+CocoBalm+Lip+Balm&amp;qid=1695260753&amp;sr=8-2", "https://www.amazon.com/Sun-Bum-Cocobalm-Hydrating-Silicone/dp/B0BVQDPNR3/ref=sr_1_2?keywords=Sun+Bum%C2%AE+CocoBalm+Lip+Balm&amp;qid=1695260753&amp;sr=8-2")</f>
        <v>https://www.amazon.com/Sun-Bum-Cocobalm-Hydrating-Silicone/dp/B0BVQDPNR3/ref=sr_1_2?keywords=Sun+Bum%C2%AE+CocoBalm+Lip+Balm&amp;qid=1695260753&amp;sr=8-2</v>
      </c>
      <c r="F3728" t="s">
        <v>10195</v>
      </c>
      <c r="G3728" t="e">
        <f ca="1">IMAGE("https://shop.sonapharmacy.com/cdn/shop/products/61Ji1GGeIIL._SL1500.jpg?v=1611872841")</f>
        <v>#NAME?</v>
      </c>
      <c r="H3728" t="e">
        <f ca="1">IMAGE("https://m.media-amazon.com/images/I/41Z+o8o8AEL._AC_UL320_.jpg")</f>
        <v>#NAME?</v>
      </c>
      <c r="I3728" t="s">
        <v>8411</v>
      </c>
      <c r="J3728">
        <v>11.97</v>
      </c>
      <c r="K3728" s="2" t="s">
        <v>4455</v>
      </c>
      <c r="L3728">
        <v>4.8</v>
      </c>
      <c r="M3728">
        <v>5</v>
      </c>
      <c r="O3728" t="s">
        <v>26</v>
      </c>
      <c r="P3728" t="s">
        <v>39</v>
      </c>
      <c r="Q3728" t="s">
        <v>8853</v>
      </c>
    </row>
    <row r="3729" spans="1:17" ht="15.75" x14ac:dyDescent="0.25">
      <c r="A3729" s="3" t="str">
        <f>HYPERLINK("https://shop.sonapharmacy.com/products/prevagen-chewables-dietary-supplement-mixed-berry", "https://shop.sonapharmacy.com/products/prevagen-chewables-dietary-supplement-mixed-berry")</f>
        <v>https://shop.sonapharmacy.com/products/prevagen-chewables-dietary-supplement-mixed-berry</v>
      </c>
      <c r="B3729" s="3" t="str">
        <f>HYPERLINK("https://shop.sonapharmacy.com/products/prevagen-chewables-dietary-supplement-mixed-berry", "https://shop.sonapharmacy.com/products/prevagen-chewables-dietary-supplement-mixed-berry")</f>
        <v>https://shop.sonapharmacy.com/products/prevagen-chewables-dietary-supplement-mixed-berry</v>
      </c>
      <c r="C3729" t="s">
        <v>9410</v>
      </c>
      <c r="D3729" t="s">
        <v>10196</v>
      </c>
      <c r="E3729" s="3" t="str">
        <f>HYPERLINK("https://www.amazon.com/Prevagen-Improves-Memory-Apoaequorin-Supplement/dp/B0892T927J/ref=sr_1_5?keywords=Prevagen+Chewables+Dietary+Supplement-+Mixed+Berry&amp;qid=1695260645&amp;sr=8-5", "https://www.amazon.com/Prevagen-Improves-Memory-Apoaequorin-Supplement/dp/B0892T927J/ref=sr_1_5?keywords=Prevagen+Chewables+Dietary+Supplement-+Mixed+Berry&amp;qid=1695260645&amp;sr=8-5")</f>
        <v>https://www.amazon.com/Prevagen-Improves-Memory-Apoaequorin-Supplement/dp/B0892T927J/ref=sr_1_5?keywords=Prevagen+Chewables+Dietary+Supplement-+Mixed+Berry&amp;qid=1695260645&amp;sr=8-5</v>
      </c>
      <c r="F3729" t="s">
        <v>10197</v>
      </c>
      <c r="G3729" t="e">
        <f ca="1">IMAGE("https://shop.sonapharmacy.com/cdn/shop/products/PrevagenChewablesDietarySupplement-MixedBerry.jpg?v=1594304231")</f>
        <v>#NAME?</v>
      </c>
      <c r="H3729" t="e">
        <f ca="1">IMAGE("https://m.media-amazon.com/images/I/91NVNWc9EqL._AC_UL320_.jpg")</f>
        <v>#NAME?</v>
      </c>
      <c r="I3729" t="s">
        <v>3535</v>
      </c>
      <c r="J3729">
        <v>107.85</v>
      </c>
      <c r="K3729" s="2" t="s">
        <v>10198</v>
      </c>
      <c r="L3729">
        <v>4.4000000000000004</v>
      </c>
      <c r="M3729">
        <v>1606</v>
      </c>
      <c r="O3729" t="s">
        <v>39</v>
      </c>
      <c r="P3729" t="s">
        <v>39</v>
      </c>
      <c r="Q3729" t="s">
        <v>9414</v>
      </c>
    </row>
    <row r="3730" spans="1:17" ht="15.75" x14ac:dyDescent="0.25">
      <c r="A3730" s="3" t="str">
        <f>HYPERLINK("https://shop.sonapharmacy.com/products/prevagen-regular-strength-10mg-chewable-tablets-30ct", "https://shop.sonapharmacy.com/products/prevagen-regular-strength-10mg-chewable-tablets-30ct")</f>
        <v>https://shop.sonapharmacy.com/products/prevagen-regular-strength-10mg-chewable-tablets-30ct</v>
      </c>
      <c r="B3730" s="3" t="str">
        <f>HYPERLINK("https://shop.sonapharmacy.com/products/prevagen-regular-strength-10mg-chewable-tablets-30ct", "https://shop.sonapharmacy.com/products/prevagen-regular-strength-10mg-chewable-tablets-30ct")</f>
        <v>https://shop.sonapharmacy.com/products/prevagen-regular-strength-10mg-chewable-tablets-30ct</v>
      </c>
      <c r="C3730" t="s">
        <v>10199</v>
      </c>
      <c r="D3730" t="s">
        <v>10200</v>
      </c>
      <c r="E3730" s="3" t="str">
        <f>HYPERLINK("https://www.amazon.com/Prevagen-Variety-Pack-Strength-Apoaequorin/dp/B0BV8Y211P/ref=sr_1_10?keywords=Prevagen%C2%AE+Regular+Strength+10mg+Chewable+Tablets+30ct.&amp;qid=1695260665&amp;sr=8-10", "https://www.amazon.com/Prevagen-Variety-Pack-Strength-Apoaequorin/dp/B0BV8Y211P/ref=sr_1_10?keywords=Prevagen%C2%AE+Regular+Strength+10mg+Chewable+Tablets+30ct.&amp;qid=1695260665&amp;sr=8-10")</f>
        <v>https://www.amazon.com/Prevagen-Variety-Pack-Strength-Apoaequorin/dp/B0BV8Y211P/ref=sr_1_10?keywords=Prevagen%C2%AE+Regular+Strength+10mg+Chewable+Tablets+30ct.&amp;qid=1695260665&amp;sr=8-10</v>
      </c>
      <c r="F3730" t="s">
        <v>10201</v>
      </c>
      <c r="G3730" t="e">
        <f ca="1">IMAGE("https://shop.sonapharmacy.com/cdn/shop/products/Orange-SF-Front-900x900-1_edbedbf4-8a26-4f5b-b794-bfb0d75c278b.jpg?v=1618357798")</f>
        <v>#NAME?</v>
      </c>
      <c r="H3730" t="e">
        <f ca="1">IMAGE("https://m.media-amazon.com/images/I/71gESdP1Q-L._AC_UL320_.jpg")</f>
        <v>#NAME?</v>
      </c>
      <c r="I3730" t="s">
        <v>3535</v>
      </c>
      <c r="J3730">
        <v>107.85</v>
      </c>
      <c r="K3730" s="2" t="s">
        <v>10198</v>
      </c>
      <c r="L3730">
        <v>3.8</v>
      </c>
      <c r="M3730">
        <v>4</v>
      </c>
      <c r="O3730" t="s">
        <v>39</v>
      </c>
      <c r="P3730" t="s">
        <v>39</v>
      </c>
      <c r="Q3730" t="s">
        <v>10202</v>
      </c>
    </row>
    <row r="3731" spans="1:17" ht="15.75" x14ac:dyDescent="0.25">
      <c r="A3731" s="3" t="str">
        <f>HYPERLINK("https://shop.sonapharmacy.com/products/advil-200-mg-ibuprofen-tablets", "https://shop.sonapharmacy.com/products/advil-200-mg-ibuprofen-tablets")</f>
        <v>https://shop.sonapharmacy.com/products/advil-200-mg-ibuprofen-tablets</v>
      </c>
      <c r="B3731" s="3" t="str">
        <f>HYPERLINK("https://shop.sonapharmacy.com/products/advil-200-mg-ibuprofen-tablets", "https://shop.sonapharmacy.com/products/advil-200-mg-ibuprofen-tablets")</f>
        <v>https://shop.sonapharmacy.com/products/advil-200-mg-ibuprofen-tablets</v>
      </c>
      <c r="C3731" t="s">
        <v>8377</v>
      </c>
      <c r="D3731" t="s">
        <v>10203</v>
      </c>
      <c r="E3731" s="3" t="str">
        <f>HYPERLINK("https://www.amazon.com/Advil-WL0151-50-Ibuprofen-Relief-Standard/dp/B07GPLX3RY/ref=sr_1_8?keywords=Advil+200mg+Ibuprofen+Tablets&amp;qid=1695260034&amp;sr=8-8", "https://www.amazon.com/Advil-WL0151-50-Ibuprofen-Relief-Standard/dp/B07GPLX3RY/ref=sr_1_8?keywords=Advil+200mg+Ibuprofen+Tablets&amp;qid=1695260034&amp;sr=8-8")</f>
        <v>https://www.amazon.com/Advil-WL0151-50-Ibuprofen-Relief-Standard/dp/B07GPLX3RY/ref=sr_1_8?keywords=Advil+200mg+Ibuprofen+Tablets&amp;qid=1695260034&amp;sr=8-8</v>
      </c>
      <c r="F3731" t="s">
        <v>10204</v>
      </c>
      <c r="G3731" t="e">
        <f ca="1">IMAGE("https://shop.sonapharmacy.com/cdn/shop/products/71csOFCEiJL._SL1200.jpg?v=1611188571")</f>
        <v>#NAME?</v>
      </c>
      <c r="H3731" t="e">
        <f ca="1">IMAGE("https://m.media-amazon.com/images/I/61Z3Bt17hTL._AC_UL320_.jpg")</f>
        <v>#NAME?</v>
      </c>
      <c r="I3731" t="s">
        <v>8300</v>
      </c>
      <c r="J3731">
        <v>17.649999999999999</v>
      </c>
      <c r="K3731" s="2" t="s">
        <v>10205</v>
      </c>
      <c r="L3731">
        <v>4.7</v>
      </c>
      <c r="M3731">
        <v>79</v>
      </c>
      <c r="O3731" t="s">
        <v>26</v>
      </c>
      <c r="P3731" t="s">
        <v>39</v>
      </c>
      <c r="Q3731" t="s">
        <v>8381</v>
      </c>
    </row>
    <row r="3732" spans="1:17" ht="15.75" x14ac:dyDescent="0.25">
      <c r="A3732" s="3" t="str">
        <f>HYPERLINK("https://shop.sonapharmacy.com/products/sunbum%C2%AE-original-spf-30-sunscreen-spray-6oz", "https://shop.sonapharmacy.com/products/sunbum%C2%AE-original-spf-30-sunscreen-spray-6oz")</f>
        <v>https://shop.sonapharmacy.com/products/sunbum%C2%AE-original-spf-30-sunscreen-spray-6oz</v>
      </c>
      <c r="B3732" s="3" t="str">
        <f>HYPERLINK("https://shop.sonapharmacy.com/products/sunbum%c2%ae-original-spf-30-sunscreen-spray-6oz", "https://shop.sonapharmacy.com/products/sunbum%c2%ae-original-spf-30-sunscreen-spray-6oz")</f>
        <v>https://shop.sonapharmacy.com/products/sunbum%c2%ae-original-spf-30-sunscreen-spray-6oz</v>
      </c>
      <c r="C3732" t="s">
        <v>10206</v>
      </c>
      <c r="D3732" t="s">
        <v>10207</v>
      </c>
      <c r="E3732" s="3" t="str">
        <f>HYPERLINK("https://www.amazon.com/Sun-Bum-Spray-Sunscreen-Pack/dp/B01C64NN8I/ref=sr_1_10?keywords=Sun+Bum%C2%AE+Original+SPF+30+Sunscreen+Spray+6oz.&amp;qid=1695260749&amp;sr=8-10", "https://www.amazon.com/Sun-Bum-Spray-Sunscreen-Pack/dp/B01C64NN8I/ref=sr_1_10?keywords=Sun+Bum%C2%AE+Original+SPF+30+Sunscreen+Spray+6oz.&amp;qid=1695260749&amp;sr=8-10")</f>
        <v>https://www.amazon.com/Sun-Bum-Spray-Sunscreen-Pack/dp/B01C64NN8I/ref=sr_1_10?keywords=Sun+Bum%C2%AE+Original+SPF+30+Sunscreen+Spray+6oz.&amp;qid=1695260749&amp;sr=8-10</v>
      </c>
      <c r="F3732" t="s">
        <v>10208</v>
      </c>
      <c r="G3732" t="e">
        <f ca="1">IMAGE("https://shop.sonapharmacy.com/cdn/shop/products/71Z-XuOhvOL._AC_SL1500.jpg?v=1611870033")</f>
        <v>#NAME?</v>
      </c>
      <c r="H3732" t="e">
        <f ca="1">IMAGE("https://m.media-amazon.com/images/I/71mg3yffrkL._AC_UL320_.jpg")</f>
        <v>#NAME?</v>
      </c>
      <c r="I3732" t="s">
        <v>3394</v>
      </c>
      <c r="J3732">
        <v>47.89</v>
      </c>
      <c r="K3732" s="2" t="s">
        <v>10209</v>
      </c>
      <c r="L3732">
        <v>4.8</v>
      </c>
      <c r="M3732">
        <v>850</v>
      </c>
      <c r="O3732" t="s">
        <v>26</v>
      </c>
      <c r="P3732" t="s">
        <v>39</v>
      </c>
      <c r="Q3732" t="s">
        <v>10210</v>
      </c>
    </row>
    <row r="3733" spans="1:17" ht="15.75" x14ac:dyDescent="0.25">
      <c r="A3733" s="3" t="str">
        <f>HYPERLINK("https://shop.sonapharmacy.com/products/nivea-essentially-enriched-body-lotion-16-9fl-oz", "https://shop.sonapharmacy.com/products/nivea-essentially-enriched-body-lotion-16-9fl-oz")</f>
        <v>https://shop.sonapharmacy.com/products/nivea-essentially-enriched-body-lotion-16-9fl-oz</v>
      </c>
      <c r="B3733" s="3" t="str">
        <f>HYPERLINK("https://shop.sonapharmacy.com/products/nivea-essentially-enriched-body-lotion-16-9fl-oz", "https://shop.sonapharmacy.com/products/nivea-essentially-enriched-body-lotion-16-9fl-oz")</f>
        <v>https://shop.sonapharmacy.com/products/nivea-essentially-enriched-body-lotion-16-9fl-oz</v>
      </c>
      <c r="C3733" t="s">
        <v>10211</v>
      </c>
      <c r="D3733" t="s">
        <v>10212</v>
      </c>
      <c r="E3733" s="3" t="str">
        <f>HYPERLINK("https://www.amazon.com/Nivea-Body-Lotion-Essentially-Enriched/dp/B07257CJ8J/ref=sr_1_8?keywords=Nivea%C2%AE+Essentially+Enriched+Body+Lotion+16.9fl.+oz.&amp;qid=1695260587&amp;sr=8-8", "https://www.amazon.com/Nivea-Body-Lotion-Essentially-Enriched/dp/B07257CJ8J/ref=sr_1_8?keywords=Nivea%C2%AE+Essentially+Enriched+Body+Lotion+16.9fl.+oz.&amp;qid=1695260587&amp;sr=8-8")</f>
        <v>https://www.amazon.com/Nivea-Body-Lotion-Essentially-Enriched/dp/B07257CJ8J/ref=sr_1_8?keywords=Nivea%C2%AE+Essentially+Enriched+Body+Lotion+16.9fl.+oz.&amp;qid=1695260587&amp;sr=8-8</v>
      </c>
      <c r="F3733" t="s">
        <v>10213</v>
      </c>
      <c r="G3733" t="e">
        <f ca="1">IMAGE("https://shop.sonapharmacy.com/cdn/shop/products/f048afad-2eef-4628-b1ab-85a0426496fd_1.ad2fb8eb11168a5b11c0e79ff8cb5499.jpg?v=1608409161")</f>
        <v>#NAME?</v>
      </c>
      <c r="H3733" t="e">
        <f ca="1">IMAGE("https://m.media-amazon.com/images/I/717mNMIN-2L._AC_UL320_.jpg")</f>
        <v>#NAME?</v>
      </c>
      <c r="I3733" t="s">
        <v>8863</v>
      </c>
      <c r="J3733">
        <v>25.99</v>
      </c>
      <c r="K3733" s="2" t="s">
        <v>10214</v>
      </c>
      <c r="L3733">
        <v>4.4000000000000004</v>
      </c>
      <c r="M3733">
        <v>145</v>
      </c>
      <c r="O3733" t="s">
        <v>26</v>
      </c>
      <c r="P3733" t="s">
        <v>39</v>
      </c>
      <c r="Q3733" t="s">
        <v>10215</v>
      </c>
    </row>
    <row r="3734" spans="1:17" ht="15.75" x14ac:dyDescent="0.25">
      <c r="A3734" s="3" t="str">
        <f>HYPERLINK("https://shop.sonapharmacy.com/products/prevail%C2%AE-overnight-underwear-for-men-large-extra-large-16ct", "https://shop.sonapharmacy.com/products/prevail%C2%AE-overnight-underwear-for-men-large-extra-large-16ct")</f>
        <v>https://shop.sonapharmacy.com/products/prevail%C2%AE-overnight-underwear-for-men-large-extra-large-16ct</v>
      </c>
      <c r="B3734" s="3" t="str">
        <f>HYPERLINK("https://shop.sonapharmacy.com/products/prevail%c2%ae-overnight-underwear-for-men-large-extra-large-16ct", "https://shop.sonapharmacy.com/products/prevail%c2%ae-overnight-underwear-for-men-large-extra-large-16ct")</f>
        <v>https://shop.sonapharmacy.com/products/prevail%c2%ae-overnight-underwear-for-men-large-extra-large-16ct</v>
      </c>
      <c r="C3734" t="s">
        <v>10216</v>
      </c>
      <c r="D3734" t="s">
        <v>10217</v>
      </c>
      <c r="E3734" s="3" t="str">
        <f>HYPERLINK("https://www.amazon.com/Depend-Incontinence-Underwear-Disposable-Extra-Large/dp/B0BLGPYYGL/ref=sr_1_4?keywords=Prevail%C2%AE+Overnight+Underwear+For+Men+Large%2FExtra+Large+16ct.&amp;qid=1695260650&amp;rdc=1&amp;sr=8-4", "https://www.amazon.com/Depend-Incontinence-Underwear-Disposable-Extra-Large/dp/B0BLGPYYGL/ref=sr_1_4?keywords=Prevail%C2%AE+Overnight+Underwear+For+Men+Large%2FExtra+Large+16ct.&amp;qid=1695260650&amp;rdc=1&amp;sr=8-4")</f>
        <v>https://www.amazon.com/Depend-Incontinence-Underwear-Disposable-Extra-Large/dp/B0BLGPYYGL/ref=sr_1_4?keywords=Prevail%C2%AE+Overnight+Underwear+For+Men+Large%2FExtra+Large+16ct.&amp;qid=1695260650&amp;rdc=1&amp;sr=8-4</v>
      </c>
      <c r="F3734" t="s">
        <v>10218</v>
      </c>
      <c r="G3734" t="e">
        <f ca="1">IMAGE("https://shop.sonapharmacy.com/cdn/shop/products/81pmM2aabqL._AC_SL1500.jpg?v=1611071969")</f>
        <v>#NAME?</v>
      </c>
      <c r="H3734" t="e">
        <f ca="1">IMAGE("https://m.media-amazon.com/images/I/81Ktp7Fp8tL._AC_UL320_.jpg")</f>
        <v>#NAME?</v>
      </c>
      <c r="I3734" t="s">
        <v>10219</v>
      </c>
      <c r="J3734">
        <v>56.48</v>
      </c>
      <c r="K3734" s="2" t="s">
        <v>10220</v>
      </c>
      <c r="L3734">
        <v>4.5999999999999996</v>
      </c>
      <c r="M3734">
        <v>569</v>
      </c>
      <c r="O3734" t="s">
        <v>136</v>
      </c>
      <c r="P3734" t="s">
        <v>39</v>
      </c>
      <c r="Q3734" t="s">
        <v>10221</v>
      </c>
    </row>
    <row r="3735" spans="1:17" ht="15.75" x14ac:dyDescent="0.25">
      <c r="A3735" s="3" t="str">
        <f>HYPERLINK("https://shop.sonapharmacy.com/products/band-aid-skin-flex-bandage", "https://shop.sonapharmacy.com/products/band-aid-skin-flex-bandage")</f>
        <v>https://shop.sonapharmacy.com/products/band-aid-skin-flex-bandage</v>
      </c>
      <c r="B3735" s="3" t="str">
        <f>HYPERLINK("https://shop.sonapharmacy.com/products/band-aid-skin-flex-bandage", "https://shop.sonapharmacy.com/products/band-aid-skin-flex-bandage")</f>
        <v>https://shop.sonapharmacy.com/products/band-aid-skin-flex-bandage</v>
      </c>
      <c r="C3735" t="s">
        <v>8323</v>
      </c>
      <c r="D3735" t="s">
        <v>10222</v>
      </c>
      <c r="E3735" s="3" t="str">
        <f>HYPERLINK("https://www.amazon.com/Band-Aid-Skin-Flex-Adhesive-Bandages-Flexible/dp/B09DQ2TY6W/ref=sr_1_4?keywords=BAND-AID%C2%AE+Skin+Flex+Bandage&amp;qid=1695260066&amp;sr=8-4", "https://www.amazon.com/Band-Aid-Skin-Flex-Adhesive-Bandages-Flexible/dp/B09DQ2TY6W/ref=sr_1_4?keywords=BAND-AID%C2%AE+Skin+Flex+Bandage&amp;qid=1695260066&amp;sr=8-4")</f>
        <v>https://www.amazon.com/Band-Aid-Skin-Flex-Adhesive-Bandages-Flexible/dp/B09DQ2TY6W/ref=sr_1_4?keywords=BAND-AID%C2%AE+Skin+Flex+Bandage&amp;qid=1695260066&amp;sr=8-4</v>
      </c>
      <c r="F3735" t="s">
        <v>10223</v>
      </c>
      <c r="G3735" t="e">
        <f ca="1">IMAGE("https://shop.sonapharmacy.com/cdn/shop/products/bab_381371183470_band_aid_band-aid_skin-flex_aos_25ct_007.jpg?v=1627748646")</f>
        <v>#NAME?</v>
      </c>
      <c r="H3735" t="e">
        <f ca="1">IMAGE("https://m.media-amazon.com/images/I/81jynNrFX5L._AC_UL320_.jpg")</f>
        <v>#NAME?</v>
      </c>
      <c r="I3735" t="s">
        <v>8326</v>
      </c>
      <c r="J3735">
        <v>18.88</v>
      </c>
      <c r="K3735" s="2" t="s">
        <v>10224</v>
      </c>
      <c r="L3735">
        <v>4.7</v>
      </c>
      <c r="M3735">
        <v>271</v>
      </c>
      <c r="O3735" t="s">
        <v>26</v>
      </c>
      <c r="P3735" t="s">
        <v>39</v>
      </c>
      <c r="Q3735" t="s">
        <v>8328</v>
      </c>
    </row>
    <row r="3736" spans="1:17" ht="15.75" x14ac:dyDescent="0.25">
      <c r="A3736" s="3" t="str">
        <f>HYPERLINK("https://shop.sonapharmacy.com/products/t-sal%C2%AE-therapeutic-scalp-build-up-control-shampoo-4-5fl-oz", "https://shop.sonapharmacy.com/products/t-sal%C2%AE-therapeutic-scalp-build-up-control-shampoo-4-5fl-oz")</f>
        <v>https://shop.sonapharmacy.com/products/t-sal%C2%AE-therapeutic-scalp-build-up-control-shampoo-4-5fl-oz</v>
      </c>
      <c r="B3736" s="3" t="str">
        <f>HYPERLINK("https://shop.sonapharmacy.com/products/t-sal%c2%ae-therapeutic-scalp-build-up-control-shampoo-4-5fl-oz", "https://shop.sonapharmacy.com/products/t-sal%c2%ae-therapeutic-scalp-build-up-control-shampoo-4-5fl-oz")</f>
        <v>https://shop.sonapharmacy.com/products/t-sal%c2%ae-therapeutic-scalp-build-up-control-shampoo-4-5fl-oz</v>
      </c>
      <c r="C3736" t="s">
        <v>10225</v>
      </c>
      <c r="D3736" t="s">
        <v>10226</v>
      </c>
      <c r="E3736" s="3" t="str">
        <f>HYPERLINK("https://www.amazon.com/Neutrogena-Therapeutic-Salicylic-Seborrheic-Dermatitis/dp/B0BV65MQWQ/ref=sr_1_5?keywords=Neutrogena%C2%AE+T%2FSal%C2%AE+Therapeutic+Scalp+Build-Up+Control+Shampoo+4.5fl.+oz.&amp;qid=1695260596&amp;sr=8-5", "https://www.amazon.com/Neutrogena-Therapeutic-Salicylic-Seborrheic-Dermatitis/dp/B0BV65MQWQ/ref=sr_1_5?keywords=Neutrogena%C2%AE+T%2FSal%C2%AE+Therapeutic+Scalp+Build-Up+Control+Shampoo+4.5fl.+oz.&amp;qid=1695260596&amp;sr=8-5")</f>
        <v>https://www.amazon.com/Neutrogena-Therapeutic-Salicylic-Seborrheic-Dermatitis/dp/B0BV65MQWQ/ref=sr_1_5?keywords=Neutrogena%C2%AE+T%2FSal%C2%AE+Therapeutic+Scalp+Build-Up+Control+Shampoo+4.5fl.+oz.&amp;qid=1695260596&amp;sr=8-5</v>
      </c>
      <c r="F3736" t="s">
        <v>10227</v>
      </c>
      <c r="G3736" t="e">
        <f ca="1">IMAGE("https://shop.sonapharmacy.com/cdn/shop/products/6809650-nov2020-11.jpg?v=1609166639")</f>
        <v>#NAME?</v>
      </c>
      <c r="H3736" t="e">
        <f ca="1">IMAGE("https://m.media-amazon.com/images/I/51qIuQbu33L._AC_UL320_.jpg")</f>
        <v>#NAME?</v>
      </c>
      <c r="I3736" t="s">
        <v>10228</v>
      </c>
      <c r="J3736">
        <v>29.28</v>
      </c>
      <c r="K3736" s="2" t="s">
        <v>10229</v>
      </c>
      <c r="L3736">
        <v>4.8</v>
      </c>
      <c r="M3736">
        <v>13</v>
      </c>
      <c r="O3736" t="s">
        <v>26</v>
      </c>
      <c r="P3736" t="s">
        <v>39</v>
      </c>
      <c r="Q3736" t="s">
        <v>10230</v>
      </c>
    </row>
    <row r="3737" spans="1:17" ht="15.75" x14ac:dyDescent="0.25">
      <c r="A3737" s="3" t="str">
        <f>HYPERLINK("https://shop.sonapharmacy.com/products/liquid-i-v-hydration-multiplier-8pck", "https://shop.sonapharmacy.com/products/liquid-i-v-hydration-multiplier-8pck")</f>
        <v>https://shop.sonapharmacy.com/products/liquid-i-v-hydration-multiplier-8pck</v>
      </c>
      <c r="B3737" s="3" t="str">
        <f>HYPERLINK("https://shop.sonapharmacy.com/products/liquid-i-v-hydration-multiplier-8pck", "https://shop.sonapharmacy.com/products/liquid-i-v-hydration-multiplier-8pck")</f>
        <v>https://shop.sonapharmacy.com/products/liquid-i-v-hydration-multiplier-8pck</v>
      </c>
      <c r="C3737" t="s">
        <v>9679</v>
      </c>
      <c r="D3737" t="s">
        <v>10231</v>
      </c>
      <c r="E3737" s="3" t="str">
        <f>HYPERLINK("https://www.amazon.com/Liquid-I-V-Multiplier-Electrolyte-Supplement/dp/B079P4SKML/ref=sr_1_6?keywords=Liquid+I.V%C2%AE+Hydration+Multiplier+Electrolyte+Mix+8pck&amp;qid=1695260452&amp;sr=8-6", "https://www.amazon.com/Liquid-I-V-Multiplier-Electrolyte-Supplement/dp/B079P4SKML/ref=sr_1_6?keywords=Liquid+I.V%C2%AE+Hydration+Multiplier+Electrolyte+Mix+8pck&amp;qid=1695260452&amp;sr=8-6")</f>
        <v>https://www.amazon.com/Liquid-I-V-Multiplier-Electrolyte-Supplement/dp/B079P4SKML/ref=sr_1_6?keywords=Liquid+I.V%C2%AE+Hydration+Multiplier+Electrolyte+Mix+8pck&amp;qid=1695260452&amp;sr=8-6</v>
      </c>
      <c r="F3737" t="s">
        <v>10232</v>
      </c>
      <c r="G3737" t="e">
        <f ca="1">IMAGE("https://shop.sonapharmacy.com/cdn/shop/products/passionfruit.jpg?v=1610031991")</f>
        <v>#NAME?</v>
      </c>
      <c r="H3737" t="e">
        <f ca="1">IMAGE("https://m.media-amazon.com/images/I/81LYd8IcGbL._AC_UL320_.jpg")</f>
        <v>#NAME?</v>
      </c>
      <c r="I3737" t="s">
        <v>3458</v>
      </c>
      <c r="J3737">
        <v>59.45</v>
      </c>
      <c r="K3737" s="2" t="s">
        <v>10233</v>
      </c>
      <c r="L3737">
        <v>4.7</v>
      </c>
      <c r="M3737">
        <v>30650</v>
      </c>
      <c r="O3737" t="s">
        <v>26</v>
      </c>
      <c r="P3737" t="s">
        <v>39</v>
      </c>
      <c r="Q3737" t="s">
        <v>9683</v>
      </c>
    </row>
    <row r="3738" spans="1:17" ht="15.75" x14ac:dyDescent="0.25">
      <c r="A3738" s="3" t="str">
        <f>HYPERLINK("https://shop.sonapharmacy.com/products/st-ives-fresh-skin-apricot-scrub-6oz", "https://shop.sonapharmacy.com/products/st-ives-fresh-skin-apricot-scrub-6oz")</f>
        <v>https://shop.sonapharmacy.com/products/st-ives-fresh-skin-apricot-scrub-6oz</v>
      </c>
      <c r="B3738" s="3" t="str">
        <f>HYPERLINK("https://shop.sonapharmacy.com/products/st-ives-fresh-skin-apricot-scrub-6oz", "https://shop.sonapharmacy.com/products/st-ives-fresh-skin-apricot-scrub-6oz")</f>
        <v>https://shop.sonapharmacy.com/products/st-ives-fresh-skin-apricot-scrub-6oz</v>
      </c>
      <c r="C3738" t="s">
        <v>9551</v>
      </c>
      <c r="D3738" t="s">
        <v>10234</v>
      </c>
      <c r="E3738" s="3" t="str">
        <f>HYPERLINK("https://www.amazon.com/St-Ives-Control-Scrub-Apricot/dp/B01HTJTS3O/ref=sr_1_7?keywords=St.+Ives+Fresh+Skin+Apricot+Scrub+6oz.&amp;qid=1695260744&amp;sr=8-7", "https://www.amazon.com/St-Ives-Control-Scrub-Apricot/dp/B01HTJTS3O/ref=sr_1_7?keywords=St.+Ives+Fresh+Skin+Apricot+Scrub+6oz.&amp;qid=1695260744&amp;sr=8-7")</f>
        <v>https://www.amazon.com/St-Ives-Control-Scrub-Apricot/dp/B01HTJTS3O/ref=sr_1_7?keywords=St.+Ives+Fresh+Skin+Apricot+Scrub+6oz.&amp;qid=1695260744&amp;sr=8-7</v>
      </c>
      <c r="F3738" t="s">
        <v>10235</v>
      </c>
      <c r="G3738" t="e">
        <f ca="1">IMAGE("https://shop.sonapharmacy.com/cdn/shop/products/59bd3b0e-e01d-4a06-ba27-2c08a5545d31_1.0bddf51f07920f2d43488f010f8e3f4c.jpg?v=1608306040")</f>
        <v>#NAME?</v>
      </c>
      <c r="H3738" t="e">
        <f ca="1">IMAGE("https://m.media-amazon.com/images/I/81eNba52ylL._AC_UL320_.jpg")</f>
        <v>#NAME?</v>
      </c>
      <c r="I3738" t="s">
        <v>9554</v>
      </c>
      <c r="J3738">
        <v>19.82</v>
      </c>
      <c r="K3738" s="2" t="s">
        <v>10236</v>
      </c>
      <c r="L3738">
        <v>4.8</v>
      </c>
      <c r="M3738">
        <v>7578</v>
      </c>
      <c r="O3738" t="s">
        <v>26</v>
      </c>
      <c r="P3738" t="s">
        <v>39</v>
      </c>
      <c r="Q3738" t="s">
        <v>9556</v>
      </c>
    </row>
    <row r="3739" spans="1:17" ht="15.75" x14ac:dyDescent="0.25">
      <c r="A3739" s="3" t="str">
        <f>HYPERLINK("https://shop.sonapharmacy.com/products/cetaphil%C2%AE-moisturizing-cream-for-dry-sensitive-skin-3-oz-tube", "https://shop.sonapharmacy.com/products/cetaphil%C2%AE-moisturizing-cream-for-dry-sensitive-skin-3-oz-tube")</f>
        <v>https://shop.sonapharmacy.com/products/cetaphil%C2%AE-moisturizing-cream-for-dry-sensitive-skin-3-oz-tube</v>
      </c>
      <c r="B3739" s="3" t="str">
        <f>HYPERLINK("https://shop.sonapharmacy.com/products/cetaphil%c2%ae-moisturizing-cream-for-dry-sensitive-skin-3-oz-tube", "https://shop.sonapharmacy.com/products/cetaphil%c2%ae-moisturizing-cream-for-dry-sensitive-skin-3-oz-tube")</f>
        <v>https://shop.sonapharmacy.com/products/cetaphil%c2%ae-moisturizing-cream-for-dry-sensitive-skin-3-oz-tube</v>
      </c>
      <c r="C3739" t="s">
        <v>10237</v>
      </c>
      <c r="D3739" t="s">
        <v>10238</v>
      </c>
      <c r="E3739" s="3" t="str">
        <f>HYPERLINK("https://www.amazon.com/Moisturizer-Hydrating-Moisturizing-Non-Comedogenic-Non-Greasy/dp/B01H20MA62/ref=sr_1_6?keywords=Cetaphil%C2%AE+Moisturizing+Cream+for+Very+Dry%2C+Sensitive+Skin&amp;qid=1695260122&amp;sr=8-6", "https://www.amazon.com/Moisturizer-Hydrating-Moisturizing-Non-Comedogenic-Non-Greasy/dp/B01H20MA62/ref=sr_1_6?keywords=Cetaphil%C2%AE+Moisturizing+Cream+for+Very+Dry%2C+Sensitive+Skin&amp;qid=1695260122&amp;sr=8-6")</f>
        <v>https://www.amazon.com/Moisturizer-Hydrating-Moisturizing-Non-Comedogenic-Non-Greasy/dp/B01H20MA62/ref=sr_1_6?keywords=Cetaphil%C2%AE+Moisturizing+Cream+for+Very+Dry%2C+Sensitive+Skin&amp;qid=1695260122&amp;sr=8-6</v>
      </c>
      <c r="F3739" t="s">
        <v>10239</v>
      </c>
      <c r="G3739" t="e">
        <f ca="1">IMAGE("https://shop.sonapharmacy.com/cdn/shop/products/0287a847-b7a0-4280-bd41-731df3f8db66_1.ebd8a2e7f6d3f5a00be3e2559e5614de.jpg?v=1608312157")</f>
        <v>#NAME?</v>
      </c>
      <c r="H3739" t="e">
        <f ca="1">IMAGE("https://m.media-amazon.com/images/I/61DQxXo3XkL._AC_UL320_.jpg")</f>
        <v>#NAME?</v>
      </c>
      <c r="I3739" t="s">
        <v>10240</v>
      </c>
      <c r="J3739">
        <v>19.48</v>
      </c>
      <c r="K3739" s="2" t="s">
        <v>10241</v>
      </c>
      <c r="L3739">
        <v>4.5999999999999996</v>
      </c>
      <c r="M3739">
        <v>3378</v>
      </c>
      <c r="O3739" t="s">
        <v>26</v>
      </c>
      <c r="P3739" t="s">
        <v>39</v>
      </c>
      <c r="Q3739" t="s">
        <v>10242</v>
      </c>
    </row>
    <row r="3740" spans="1:17" ht="15.75" x14ac:dyDescent="0.25">
      <c r="A3740" s="3" t="str">
        <f>HYPERLINK("https://shop.sonapharmacy.com/products/resinol-medicated-ointment-3-3oz", "https://shop.sonapharmacy.com/products/resinol-medicated-ointment-3-3oz")</f>
        <v>https://shop.sonapharmacy.com/products/resinol-medicated-ointment-3-3oz</v>
      </c>
      <c r="B3740" s="3" t="str">
        <f>HYPERLINK("https://shop.sonapharmacy.com/products/resinol-medicated-ointment-3-3oz", "https://shop.sonapharmacy.com/products/resinol-medicated-ointment-3-3oz")</f>
        <v>https://shop.sonapharmacy.com/products/resinol-medicated-ointment-3-3oz</v>
      </c>
      <c r="C3740" t="s">
        <v>8612</v>
      </c>
      <c r="D3740" t="s">
        <v>10243</v>
      </c>
      <c r="E3740" s="3" t="str">
        <f>HYPERLINK("https://www.amazon.com/Resinol-Medicated-Ointment-3-30-Pack/dp/B004LTDALM/ref=sr_1_2?keywords=Resinol+Medicated+Ointment+3.3oz&amp;qid=1695260673&amp;sr=8-2", "https://www.amazon.com/Resinol-Medicated-Ointment-3-30-Pack/dp/B004LTDALM/ref=sr_1_2?keywords=Resinol+Medicated+Ointment+3.3oz&amp;qid=1695260673&amp;sr=8-2")</f>
        <v>https://www.amazon.com/Resinol-Medicated-Ointment-3-30-Pack/dp/B004LTDALM/ref=sr_1_2?keywords=Resinol+Medicated+Ointment+3.3oz&amp;qid=1695260673&amp;sr=8-2</v>
      </c>
      <c r="F3740" t="s">
        <v>10244</v>
      </c>
      <c r="G3740" t="e">
        <f ca="1">IMAGE("https://shop.sonapharmacy.com/cdn/shop/products/61SYOFBFkKL._AC_SL1237.jpg?v=1607970374")</f>
        <v>#NAME?</v>
      </c>
      <c r="H3740" t="e">
        <f ca="1">IMAGE("https://m.media-amazon.com/images/I/7133to7ndHL._AC_UL320_.jpg")</f>
        <v>#NAME?</v>
      </c>
      <c r="I3740" t="s">
        <v>8615</v>
      </c>
      <c r="J3740">
        <v>38.04</v>
      </c>
      <c r="K3740" s="2" t="s">
        <v>10245</v>
      </c>
      <c r="L3740">
        <v>4.9000000000000004</v>
      </c>
      <c r="M3740">
        <v>386</v>
      </c>
      <c r="O3740" t="s">
        <v>136</v>
      </c>
      <c r="P3740" t="s">
        <v>39</v>
      </c>
      <c r="Q3740" t="s">
        <v>8617</v>
      </c>
    </row>
    <row r="3741" spans="1:17" ht="15.75" x14ac:dyDescent="0.25">
      <c r="A3741" s="3" t="str">
        <f>HYPERLINK("https://shop.sonapharmacy.com/products/curad-germ-shield-antimicrobial-gel", "https://shop.sonapharmacy.com/products/curad-germ-shield-antimicrobial-gel")</f>
        <v>https://shop.sonapharmacy.com/products/curad-germ-shield-antimicrobial-gel</v>
      </c>
      <c r="B3741" s="3" t="str">
        <f>HYPERLINK("https://shop.sonapharmacy.com/products/curad-germ-shield-antimicrobial-gel", "https://shop.sonapharmacy.com/products/curad-germ-shield-antimicrobial-gel")</f>
        <v>https://shop.sonapharmacy.com/products/curad-germ-shield-antimicrobial-gel</v>
      </c>
      <c r="C3741" t="s">
        <v>8220</v>
      </c>
      <c r="D3741" t="s">
        <v>10246</v>
      </c>
      <c r="E3741" s="3" t="str">
        <f>HYPERLINK("https://www.amazon.com/Curad-Germ-Shield-Antimicrobial-0-50/dp/B004YHL3FG/ref=sr_1_4?keywords=Curad%C2%AE+Germ+Shield+Antimicrobial+Gel&amp;qid=1695260174&amp;sr=8-4", "https://www.amazon.com/Curad-Germ-Shield-Antimicrobial-0-50/dp/B004YHL3FG/ref=sr_1_4?keywords=Curad%C2%AE+Germ+Shield+Antimicrobial+Gel&amp;qid=1695260174&amp;sr=8-4")</f>
        <v>https://www.amazon.com/Curad-Germ-Shield-Antimicrobial-0-50/dp/B004YHL3FG/ref=sr_1_4?keywords=Curad%C2%AE+Germ+Shield+Antimicrobial+Gel&amp;qid=1695260174&amp;sr=8-4</v>
      </c>
      <c r="F3741" t="s">
        <v>10247</v>
      </c>
      <c r="G3741" t="e">
        <f ca="1">IMAGE("https://shop.sonapharmacy.com/cdn/shop/products/SKU_CUR45951GS_BOX_FRONT_RGB_500x550_a15b9aca-bda1-412b-afa6-e60a82cdb44c.png?v=1607719725")</f>
        <v>#NAME?</v>
      </c>
      <c r="H3741" t="e">
        <f ca="1">IMAGE("https://m.media-amazon.com/images/I/61h0mNpKsKL._AC_UL320_.jpg")</f>
        <v>#NAME?</v>
      </c>
      <c r="I3741" t="s">
        <v>8102</v>
      </c>
      <c r="J3741">
        <v>14.71</v>
      </c>
      <c r="K3741" s="2" t="s">
        <v>10248</v>
      </c>
      <c r="L3741">
        <v>4.7</v>
      </c>
      <c r="M3741">
        <v>712</v>
      </c>
      <c r="O3741" t="s">
        <v>26</v>
      </c>
      <c r="P3741" t="s">
        <v>39</v>
      </c>
      <c r="Q3741" t="s">
        <v>8224</v>
      </c>
    </row>
    <row r="3742" spans="1:17" ht="15.75" x14ac:dyDescent="0.25">
      <c r="A3742" s="3" t="str">
        <f>HYPERLINK("https://shop.sonapharmacy.com/products/goodsense%C2%AE-athletes-foot-spray-miconazole-nitrate-2-5-3oz", "https://shop.sonapharmacy.com/products/goodsense%C2%AE-athletes-foot-spray-miconazole-nitrate-2-5-3oz")</f>
        <v>https://shop.sonapharmacy.com/products/goodsense%C2%AE-athletes-foot-spray-miconazole-nitrate-2-5-3oz</v>
      </c>
      <c r="B3742" s="3" t="str">
        <f>HYPERLINK("https://shop.sonapharmacy.com/products/goodsense%c2%ae-athletes-foot-spray-miconazole-nitrate-2-5-3oz", "https://shop.sonapharmacy.com/products/goodsense%c2%ae-athletes-foot-spray-miconazole-nitrate-2-5-3oz")</f>
        <v>https://shop.sonapharmacy.com/products/goodsense%c2%ae-athletes-foot-spray-miconazole-nitrate-2-5-3oz</v>
      </c>
      <c r="C3742" t="s">
        <v>10249</v>
      </c>
      <c r="D3742" t="s">
        <v>10250</v>
      </c>
      <c r="E3742" s="3" t="str">
        <f>HYPERLINK("https://www.amazon.com/Lotrimin-Deodorant-Antifungal-Miconazole-Clinically/dp/B0039NN80O/ref=sr_1_3?keywords=GoodSense%C2%AE+Athlete%27s+Foot+Spray+Miconazole+Nitrate+2%25+5.3oz.&amp;qid=1695260304&amp;sr=8-3", "https://www.amazon.com/Lotrimin-Deodorant-Antifungal-Miconazole-Clinically/dp/B0039NN80O/ref=sr_1_3?keywords=GoodSense%C2%AE+Athlete%27s+Foot+Spray+Miconazole+Nitrate+2%25+5.3oz.&amp;qid=1695260304&amp;sr=8-3")</f>
        <v>https://www.amazon.com/Lotrimin-Deodorant-Antifungal-Miconazole-Clinically/dp/B0039NN80O/ref=sr_1_3?keywords=GoodSense%C2%AE+Athlete%27s+Foot+Spray+Miconazole+Nitrate+2%25+5.3oz.&amp;qid=1695260304&amp;sr=8-3</v>
      </c>
      <c r="F3742" t="s">
        <v>10251</v>
      </c>
      <c r="G3742" t="e">
        <f ca="1">IMAGE("https://shop.sonapharmacy.com/cdn/shop/products/716084_067f9891-d801-4705-8061-8e03c1c25faf.jpg?v=1610414170")</f>
        <v>#NAME?</v>
      </c>
      <c r="H3742" t="e">
        <f ca="1">IMAGE("https://m.media-amazon.com/images/I/814-a3B3zcL._AC_UL320_.jpg")</f>
        <v>#NAME?</v>
      </c>
      <c r="I3742" t="s">
        <v>10252</v>
      </c>
      <c r="J3742">
        <v>26.31</v>
      </c>
      <c r="K3742" s="2" t="s">
        <v>10253</v>
      </c>
      <c r="L3742">
        <v>4.5999999999999996</v>
      </c>
      <c r="M3742">
        <v>8880</v>
      </c>
      <c r="O3742" t="s">
        <v>136</v>
      </c>
      <c r="P3742" t="s">
        <v>39</v>
      </c>
      <c r="Q3742" t="s">
        <v>10254</v>
      </c>
    </row>
    <row r="3743" spans="1:17" ht="15.75" x14ac:dyDescent="0.25">
      <c r="A3743" s="3" t="str">
        <f>HYPERLINK("https://shop.sonapharmacy.com/products/coricidin-hbp-chest-congestion-cough-liquid-gels", "https://shop.sonapharmacy.com/products/coricidin-hbp-chest-congestion-cough-liquid-gels")</f>
        <v>https://shop.sonapharmacy.com/products/coricidin-hbp-chest-congestion-cough-liquid-gels</v>
      </c>
      <c r="B3743" s="3" t="str">
        <f>HYPERLINK("https://shop.sonapharmacy.com/products/coricidin-hbp-chest-congestion-cough-liquid-gels", "https://shop.sonapharmacy.com/products/coricidin-hbp-chest-congestion-cough-liquid-gels")</f>
        <v>https://shop.sonapharmacy.com/products/coricidin-hbp-chest-congestion-cough-liquid-gels</v>
      </c>
      <c r="C3743" t="s">
        <v>9766</v>
      </c>
      <c r="D3743" t="s">
        <v>10255</v>
      </c>
      <c r="E3743" s="3" t="str">
        <f>HYPERLINK("https://www.amazon.com/Coricidin-Chest-Congestion-Cough-Liqui-Gels/dp/B00IARSQYC/ref=sr_1_3?keywords=Coricidin%C2%AE+HBP+Chest+Congestion+%26+Cough+Liquid+Gels&amp;qid=1695260160&amp;sr=8-3", "https://www.amazon.com/Coricidin-Chest-Congestion-Cough-Liqui-Gels/dp/B00IARSQYC/ref=sr_1_3?keywords=Coricidin%C2%AE+HBP+Chest+Congestion+%26+Cough+Liquid+Gels&amp;qid=1695260160&amp;sr=8-3")</f>
        <v>https://www.amazon.com/Coricidin-Chest-Congestion-Cough-Liqui-Gels/dp/B00IARSQYC/ref=sr_1_3?keywords=Coricidin%C2%AE+HBP+Chest+Congestion+%26+Cough+Liquid+Gels&amp;qid=1695260160&amp;sr=8-3</v>
      </c>
      <c r="F3743" t="s">
        <v>10256</v>
      </c>
      <c r="G3743" t="e">
        <f ca="1">IMAGE("https://shop.sonapharmacy.com/cdn/shop/products/CoricidinHBPChestCongestion_CoughLiquidGels.png?v=1595528319")</f>
        <v>#NAME?</v>
      </c>
      <c r="H3743" t="e">
        <f ca="1">IMAGE("https://m.media-amazon.com/images/I/818lXLv94jL._AC_UL320_.jpg")</f>
        <v>#NAME?</v>
      </c>
      <c r="I3743" t="s">
        <v>9769</v>
      </c>
      <c r="J3743">
        <v>33.840000000000003</v>
      </c>
      <c r="K3743" s="2" t="s">
        <v>10257</v>
      </c>
      <c r="L3743">
        <v>4.9000000000000004</v>
      </c>
      <c r="M3743">
        <v>52</v>
      </c>
      <c r="O3743" t="s">
        <v>26</v>
      </c>
      <c r="P3743" t="s">
        <v>39</v>
      </c>
      <c r="Q3743" t="s">
        <v>9771</v>
      </c>
    </row>
    <row r="3744" spans="1:17" ht="15.75" x14ac:dyDescent="0.25">
      <c r="A3744" s="3" t="str">
        <f>HYPERLINK("https://shop.sonapharmacy.com/products/carefree%C2%AE-original-regular-pantiliners-to-go-fresh-scent-20ct", "https://shop.sonapharmacy.com/products/carefree%C2%AE-original-regular-pantiliners-to-go-fresh-scent-20ct")</f>
        <v>https://shop.sonapharmacy.com/products/carefree%C2%AE-original-regular-pantiliners-to-go-fresh-scent-20ct</v>
      </c>
      <c r="B3744" s="3" t="str">
        <f>HYPERLINK("https://shop.sonapharmacy.com/products/carefree%c2%ae-original-regular-pantiliners-to-go-fresh-scent-20ct", "https://shop.sonapharmacy.com/products/carefree%c2%ae-original-regular-pantiliners-to-go-fresh-scent-20ct")</f>
        <v>https://shop.sonapharmacy.com/products/carefree%c2%ae-original-regular-pantiliners-to-go-fresh-scent-20ct</v>
      </c>
      <c r="C3744" t="s">
        <v>9037</v>
      </c>
      <c r="D3744" t="s">
        <v>10258</v>
      </c>
      <c r="E3744" s="3" t="str">
        <f>HYPERLINK("https://www.amazon.com/Carefree-Original-Regular-Fresh-Pantiliners/dp/B0054BMJ3G/ref=sr_1_2?keywords=Carefree%C2%AE+Original+Regular+Pantiliners+To+Go+Fresh+Scent+20ct.&amp;qid=1695260121&amp;sr=8-2", "https://www.amazon.com/Carefree-Original-Regular-Fresh-Pantiliners/dp/B0054BMJ3G/ref=sr_1_2?keywords=Carefree%C2%AE+Original+Regular+Pantiliners+To+Go+Fresh+Scent+20ct.&amp;qid=1695260121&amp;sr=8-2")</f>
        <v>https://www.amazon.com/Carefree-Original-Regular-Fresh-Pantiliners/dp/B0054BMJ3G/ref=sr_1_2?keywords=Carefree%C2%AE+Original+Regular+Pantiliners+To+Go+Fresh+Scent+20ct.&amp;qid=1695260121&amp;sr=8-2</v>
      </c>
      <c r="F3744" t="s">
        <v>10259</v>
      </c>
      <c r="G3744" t="e">
        <f ca="1">IMAGE("https://shop.sonapharmacy.com/cdn/shop/products/41P97Fcw0TL._AC.jpg?v=1609180313")</f>
        <v>#NAME?</v>
      </c>
      <c r="H3744" t="e">
        <f ca="1">IMAGE("https://m.media-amazon.com/images/I/61HXwqflAmL._AC_UL320_.jpg")</f>
        <v>#NAME?</v>
      </c>
      <c r="I3744" t="s">
        <v>8134</v>
      </c>
      <c r="J3744">
        <v>5.27</v>
      </c>
      <c r="K3744" s="2" t="s">
        <v>10260</v>
      </c>
      <c r="L3744">
        <v>4.3</v>
      </c>
      <c r="M3744">
        <v>19</v>
      </c>
      <c r="O3744" t="s">
        <v>26</v>
      </c>
      <c r="P3744" t="s">
        <v>39</v>
      </c>
      <c r="Q3744" t="s">
        <v>9041</v>
      </c>
    </row>
    <row r="3745" spans="1:17" ht="15.75" x14ac:dyDescent="0.25">
      <c r="A3745"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B3745"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C3745" t="s">
        <v>9453</v>
      </c>
      <c r="D3745" t="s">
        <v>10261</v>
      </c>
      <c r="E3745" s="3" t="str">
        <f>HYPERLINK("https://www.amazon.com/Depend-FIT-Flex-Incontinence-Underwear-Absorbency/dp/B010OVU55Y/ref=sr_1_1?keywords=Depend%C2%AE+For+Men+Fit-Flex+Underwear+Maximum+Absorbency+Large+17ct.&amp;qid=1695260190&amp;sr=8-1", "https://www.amazon.com/Depend-FIT-Flex-Incontinence-Underwear-Absorbency/dp/B010OVU55Y/ref=sr_1_1?keywords=Depend%C2%AE+For+Men+Fit-Flex+Underwear+Maximum+Absorbency+Large+17ct.&amp;qid=1695260190&amp;sr=8-1")</f>
        <v>https://www.amazon.com/Depend-FIT-Flex-Incontinence-Underwear-Absorbency/dp/B010OVU55Y/ref=sr_1_1?keywords=Depend%C2%AE+For+Men+Fit-Flex+Underwear+Maximum+Absorbency+Large+17ct.&amp;qid=1695260190&amp;sr=8-1</v>
      </c>
      <c r="F3745" t="s">
        <v>10262</v>
      </c>
      <c r="G3745" t="e">
        <f ca="1">IMAGE("https://shop.sonapharmacy.com/cdn/shop/products/8193lwhuLwL._AC_SL1500.jpg?v=1611075729")</f>
        <v>#NAME?</v>
      </c>
      <c r="H3745" t="e">
        <f ca="1">IMAGE("https://m.media-amazon.com/images/I/9109XZgtroL._AC_UL320_.jpg")</f>
        <v>#NAME?</v>
      </c>
      <c r="I3745" t="s">
        <v>9290</v>
      </c>
      <c r="J3745">
        <v>49.99</v>
      </c>
      <c r="K3745" s="2" t="s">
        <v>10263</v>
      </c>
      <c r="L3745">
        <v>4.4000000000000004</v>
      </c>
      <c r="M3745">
        <v>69</v>
      </c>
      <c r="O3745" t="s">
        <v>26</v>
      </c>
      <c r="P3745" t="s">
        <v>39</v>
      </c>
      <c r="Q3745" t="s">
        <v>9457</v>
      </c>
    </row>
    <row r="3746" spans="1:17" ht="15.75" x14ac:dyDescent="0.25">
      <c r="A3746" s="3" t="str">
        <f>HYPERLINK("https://shop.sonapharmacy.com/products/prevagen-extra-strength-chewables-20-mg", "https://shop.sonapharmacy.com/products/prevagen-extra-strength-chewables-20-mg")</f>
        <v>https://shop.sonapharmacy.com/products/prevagen-extra-strength-chewables-20-mg</v>
      </c>
      <c r="B3746" s="3" t="str">
        <f>HYPERLINK("https://shop.sonapharmacy.com/products/prevagen-extra-strength-chewables-20-mg", "https://shop.sonapharmacy.com/products/prevagen-extra-strength-chewables-20-mg")</f>
        <v>https://shop.sonapharmacy.com/products/prevagen-extra-strength-chewables-20-mg</v>
      </c>
      <c r="C3746" t="s">
        <v>10264</v>
      </c>
      <c r="D3746" t="s">
        <v>10265</v>
      </c>
      <c r="E3746" s="3" t="str">
        <f>HYPERLINK("https://www.amazon.com/Prevagen-Improves-Memory-Apoaequorin-Attractive/dp/B0BN6W94HQ/ref=sr_1_9?keywords=Prevagen+Extra+Strength+Chewables+20+mg&amp;qid=1695260655&amp;sr=8-9", "https://www.amazon.com/Prevagen-Improves-Memory-Apoaequorin-Attractive/dp/B0BN6W94HQ/ref=sr_1_9?keywords=Prevagen+Extra+Strength+Chewables+20+mg&amp;qid=1695260655&amp;sr=8-9")</f>
        <v>https://www.amazon.com/Prevagen-Improves-Memory-Apoaequorin-Attractive/dp/B0BN6W94HQ/ref=sr_1_9?keywords=Prevagen+Extra+Strength+Chewables+20+mg&amp;qid=1695260655&amp;sr=8-9</v>
      </c>
      <c r="F3746" t="s">
        <v>10266</v>
      </c>
      <c r="G3746" t="e">
        <f ca="1">IMAGE("https://shop.sonapharmacy.com/cdn/shop/products/PrevagenExtraStrengthChewables20mg.jpg?v=1594303828")</f>
        <v>#NAME?</v>
      </c>
      <c r="H3746" t="e">
        <f ca="1">IMAGE("https://m.media-amazon.com/images/I/710KnN8AqTL._AC_UL320_.jpg")</f>
        <v>#NAME?</v>
      </c>
      <c r="I3746" t="s">
        <v>10267</v>
      </c>
      <c r="J3746">
        <v>150.85</v>
      </c>
      <c r="K3746" s="2" t="s">
        <v>10268</v>
      </c>
      <c r="L3746">
        <v>4.5999999999999996</v>
      </c>
      <c r="M3746">
        <v>139</v>
      </c>
      <c r="O3746" t="s">
        <v>39</v>
      </c>
      <c r="P3746" t="s">
        <v>39</v>
      </c>
      <c r="Q3746" t="s">
        <v>10269</v>
      </c>
    </row>
    <row r="3747" spans="1:17" ht="15.75" x14ac:dyDescent="0.25">
      <c r="A3747" s="3" t="str">
        <f>HYPERLINK("https://shop.sonapharmacy.com/products/huggies-natural-care-unscented-sensitive-baby-wipes-64ct", "https://shop.sonapharmacy.com/products/huggies-natural-care-unscented-sensitive-baby-wipes-64ct")</f>
        <v>https://shop.sonapharmacy.com/products/huggies-natural-care-unscented-sensitive-baby-wipes-64ct</v>
      </c>
      <c r="B3747" s="3" t="str">
        <f>HYPERLINK("https://shop.sonapharmacy.com/products/huggies-natural-care-unscented-sensitive-baby-wipes-64ct", "https://shop.sonapharmacy.com/products/huggies-natural-care-unscented-sensitive-baby-wipes-64ct")</f>
        <v>https://shop.sonapharmacy.com/products/huggies-natural-care-unscented-sensitive-baby-wipes-64ct</v>
      </c>
      <c r="C3747" t="s">
        <v>8180</v>
      </c>
      <c r="D3747" t="s">
        <v>10270</v>
      </c>
      <c r="E3747" s="3" t="str">
        <f>HYPERLINK("https://www.amazon.com/HUGGIES-Natural-Care-Wipes-sheets/dp/B00BMQR9UA/ref=sr_1_2?keywords=Huggies+Natural+Care+Unscented+Sensitive+Baby+Wipes+56ct.&amp;qid=1695260373&amp;sr=8-2", "https://www.amazon.com/HUGGIES-Natural-Care-Wipes-sheets/dp/B00BMQR9UA/ref=sr_1_2?keywords=Huggies+Natural+Care+Unscented+Sensitive+Baby+Wipes+56ct.&amp;qid=1695260373&amp;sr=8-2")</f>
        <v>https://www.amazon.com/HUGGIES-Natural-Care-Wipes-sheets/dp/B00BMQR9UA/ref=sr_1_2?keywords=Huggies+Natural+Care+Unscented+Sensitive+Baby+Wipes+56ct.&amp;qid=1695260373&amp;sr=8-2</v>
      </c>
      <c r="F3747" t="s">
        <v>10271</v>
      </c>
      <c r="G3747" t="e">
        <f ca="1">IMAGE("https://shop.sonapharmacy.com/cdn/shop/products/HuggiesFront.png?v=1624633749")</f>
        <v>#NAME?</v>
      </c>
      <c r="H3747" t="e">
        <f ca="1">IMAGE("https://m.media-amazon.com/images/I/81dBccdXxEL._AC_UL320_.jpg")</f>
        <v>#NAME?</v>
      </c>
      <c r="I3747" t="s">
        <v>8183</v>
      </c>
      <c r="J3747">
        <v>9.3800000000000008</v>
      </c>
      <c r="K3747" s="2" t="s">
        <v>10272</v>
      </c>
      <c r="L3747">
        <v>4.5</v>
      </c>
      <c r="M3747">
        <v>187</v>
      </c>
      <c r="O3747" t="s">
        <v>26</v>
      </c>
      <c r="P3747" t="s">
        <v>39</v>
      </c>
      <c r="Q3747" t="s">
        <v>8185</v>
      </c>
    </row>
    <row r="3748" spans="1:17" ht="15.75" x14ac:dyDescent="0.25">
      <c r="A3748" s="3" t="str">
        <f>HYPERLINK("https://shop.sonapharmacy.com/products/pedifix%C2%AE-arch-support-bandage-one-size-fits-most", "https://shop.sonapharmacy.com/products/pedifix%C2%AE-arch-support-bandage-one-size-fits-most")</f>
        <v>https://shop.sonapharmacy.com/products/pedifix%C2%AE-arch-support-bandage-one-size-fits-most</v>
      </c>
      <c r="B3748" s="3" t="str">
        <f>HYPERLINK("https://shop.sonapharmacy.com/products/pedifix%c2%ae-arch-support-bandage-one-size-fits-most", "https://shop.sonapharmacy.com/products/pedifix%c2%ae-arch-support-bandage-one-size-fits-most")</f>
        <v>https://shop.sonapharmacy.com/products/pedifix%c2%ae-arch-support-bandage-one-size-fits-most</v>
      </c>
      <c r="C3748" t="s">
        <v>10273</v>
      </c>
      <c r="D3748" t="s">
        <v>10274</v>
      </c>
      <c r="E3748" s="3" t="str">
        <f>HYPERLINK("https://www.amazon.com/PediFix-Arch-Bandage-Size-Fits/dp/B01IAHXQ7I/ref=sr_1_2?keywords=PediFix%C2%AE+Arch+Support+Bandage+One+Size+Fits+Most&amp;qid=1695260633&amp;sr=8-2", "https://www.amazon.com/PediFix-Arch-Bandage-Size-Fits/dp/B01IAHXQ7I/ref=sr_1_2?keywords=PediFix%C2%AE+Arch+Support+Bandage+One+Size+Fits+Most&amp;qid=1695260633&amp;sr=8-2")</f>
        <v>https://www.amazon.com/PediFix-Arch-Bandage-Size-Fits/dp/B01IAHXQ7I/ref=sr_1_2?keywords=PediFix%C2%AE+Arch+Support+Bandage+One+Size+Fits+Most&amp;qid=1695260633&amp;sr=8-2</v>
      </c>
      <c r="F3748" t="s">
        <v>10275</v>
      </c>
      <c r="G3748" t="e">
        <f ca="1">IMAGE("https://shop.sonapharmacy.com/cdn/shop/products/61HZ5CBsNbL._AC_SL1024.jpg?v=1610476015")</f>
        <v>#NAME?</v>
      </c>
      <c r="H3748" t="e">
        <f ca="1">IMAGE("https://m.media-amazon.com/images/I/41IGya-AyjL._AC_UL320_.jpg")</f>
        <v>#NAME?</v>
      </c>
      <c r="I3748" t="s">
        <v>10276</v>
      </c>
      <c r="J3748">
        <v>34.950000000000003</v>
      </c>
      <c r="K3748" s="2" t="s">
        <v>10277</v>
      </c>
      <c r="L3748">
        <v>4.4000000000000004</v>
      </c>
      <c r="M3748">
        <v>8</v>
      </c>
      <c r="O3748" t="s">
        <v>26</v>
      </c>
      <c r="P3748" t="s">
        <v>39</v>
      </c>
      <c r="Q3748" t="s">
        <v>10278</v>
      </c>
    </row>
    <row r="3749" spans="1:17" ht="15.75" x14ac:dyDescent="0.25">
      <c r="A3749" s="3" t="str">
        <f>HYPERLINK("https://shop.sonapharmacy.com/products/goodsense%C2%AE-clearlax-laxative-powder", "https://shop.sonapharmacy.com/products/goodsense%C2%AE-clearlax-laxative-powder")</f>
        <v>https://shop.sonapharmacy.com/products/goodsense%C2%AE-clearlax-laxative-powder</v>
      </c>
      <c r="B3749" s="3" t="str">
        <f>HYPERLINK("https://shop.sonapharmacy.com/products/goodsense%c2%ae-clearlax-laxative-powder", "https://shop.sonapharmacy.com/products/goodsense%c2%ae-clearlax-laxative-powder")</f>
        <v>https://shop.sonapharmacy.com/products/goodsense%c2%ae-clearlax-laxative-powder</v>
      </c>
      <c r="C3749" t="s">
        <v>8137</v>
      </c>
      <c r="D3749" t="s">
        <v>10279</v>
      </c>
      <c r="E3749" s="3" t="str">
        <f>HYPERLINK("https://www.amazon.com/Basic-Care-Clearlax-Polyethylene-Laxative/dp/B074F2FSX5/ref=sr_1_5?keywords=GoodSense%C2%AE+ClearLax+Laxative+Powder&amp;qid=1695260311&amp;sr=8-5", "https://www.amazon.com/Basic-Care-Clearlax-Polyethylene-Laxative/dp/B074F2FSX5/ref=sr_1_5?keywords=GoodSense%C2%AE+ClearLax+Laxative+Powder&amp;qid=1695260311&amp;sr=8-5")</f>
        <v>https://www.amazon.com/Basic-Care-Clearlax-Polyethylene-Laxative/dp/B074F2FSX5/ref=sr_1_5?keywords=GoodSense%C2%AE+ClearLax+Laxative+Powder&amp;qid=1695260311&amp;sr=8-5</v>
      </c>
      <c r="F3749" t="s">
        <v>10280</v>
      </c>
      <c r="G3749" t="e">
        <f ca="1">IMAGE("https://shop.sonapharmacy.com/cdn/shop/products/110890.jpg?v=1611081016")</f>
        <v>#NAME?</v>
      </c>
      <c r="H3749" t="e">
        <f ca="1">IMAGE("https://m.media-amazon.com/images/I/51oe-qFY3GL._AC_UL320_.jpg")</f>
        <v>#NAME?</v>
      </c>
      <c r="I3749" t="s">
        <v>8140</v>
      </c>
      <c r="J3749">
        <v>19.48</v>
      </c>
      <c r="K3749" s="2" t="s">
        <v>10281</v>
      </c>
      <c r="L3749">
        <v>4.7</v>
      </c>
      <c r="M3749">
        <v>29374</v>
      </c>
      <c r="O3749" t="s">
        <v>26</v>
      </c>
      <c r="P3749" t="s">
        <v>39</v>
      </c>
      <c r="Q3749" t="s">
        <v>8142</v>
      </c>
    </row>
    <row r="3750" spans="1:17" ht="15.75" x14ac:dyDescent="0.25">
      <c r="A3750" s="3" t="str">
        <f>HYPERLINK("https://shop.sonapharmacy.com/products/colace-2-in-1-stool-softener-stimulant-laxative", "https://shop.sonapharmacy.com/products/colace-2-in-1-stool-softener-stimulant-laxative")</f>
        <v>https://shop.sonapharmacy.com/products/colace-2-in-1-stool-softener-stimulant-laxative</v>
      </c>
      <c r="B3750" s="3" t="str">
        <f>HYPERLINK("https://shop.sonapharmacy.com/products/colace-2-in-1-stool-softener-stimulant-laxative", "https://shop.sonapharmacy.com/products/colace-2-in-1-stool-softener-stimulant-laxative")</f>
        <v>https://shop.sonapharmacy.com/products/colace-2-in-1-stool-softener-stimulant-laxative</v>
      </c>
      <c r="C3750" t="s">
        <v>8457</v>
      </c>
      <c r="D3750" t="s">
        <v>10282</v>
      </c>
      <c r="E3750" s="3" t="str">
        <f>HYPERLINK("https://www.amazon.com/Colace-Softener-Stimulant-Laxative-Tablets/dp/B07GTB38K3/ref=sr_1_3?keywords=Colace%C2%AE+2-IN-1+Stool+Softener+%2B+Stimulant+Laxative&amp;qid=1695260155&amp;sr=8-3", "https://www.amazon.com/Colace-Softener-Stimulant-Laxative-Tablets/dp/B07GTB38K3/ref=sr_1_3?keywords=Colace%C2%AE+2-IN-1+Stool+Softener+%2B+Stimulant+Laxative&amp;qid=1695260155&amp;sr=8-3")</f>
        <v>https://www.amazon.com/Colace-Softener-Stimulant-Laxative-Tablets/dp/B07GTB38K3/ref=sr_1_3?keywords=Colace%C2%AE+2-IN-1+Stool+Softener+%2B+Stimulant+Laxative&amp;qid=1695260155&amp;sr=8-3</v>
      </c>
      <c r="F3750" t="s">
        <v>10283</v>
      </c>
      <c r="G3750" t="e">
        <f ca="1">IMAGE("https://shop.sonapharmacy.com/cdn/shop/products/Colace2-IN-1Front.png?v=1606927041")</f>
        <v>#NAME?</v>
      </c>
      <c r="H3750" t="e">
        <f ca="1">IMAGE("https://m.media-amazon.com/images/I/517l94fenyL._AC_UL320_.jpg")</f>
        <v>#NAME?</v>
      </c>
      <c r="I3750" t="s">
        <v>8460</v>
      </c>
      <c r="J3750">
        <v>46.68</v>
      </c>
      <c r="K3750" s="2" t="s">
        <v>10284</v>
      </c>
      <c r="L3750">
        <v>4.7</v>
      </c>
      <c r="M3750">
        <v>205</v>
      </c>
      <c r="O3750" t="s">
        <v>26</v>
      </c>
      <c r="P3750" t="s">
        <v>39</v>
      </c>
      <c r="Q3750" t="s">
        <v>8462</v>
      </c>
    </row>
    <row r="3751" spans="1:17" ht="15.75" x14ac:dyDescent="0.25">
      <c r="A3751" s="3" t="str">
        <f>HYPERLINK("https://shop.sonapharmacy.com/products/goodsense%C2%AE-instant-ice-compress", "https://shop.sonapharmacy.com/products/goodsense%C2%AE-instant-ice-compress")</f>
        <v>https://shop.sonapharmacy.com/products/goodsense%C2%AE-instant-ice-compress</v>
      </c>
      <c r="B3751" s="3" t="str">
        <f>HYPERLINK("https://shop.sonapharmacy.com/products/goodsense%c2%ae-instant-ice-compress", "https://shop.sonapharmacy.com/products/goodsense%c2%ae-instant-ice-compress")</f>
        <v>https://shop.sonapharmacy.com/products/goodsense%c2%ae-instant-ice-compress</v>
      </c>
      <c r="C3751" t="s">
        <v>8352</v>
      </c>
      <c r="D3751" t="s">
        <v>10285</v>
      </c>
      <c r="E3751" s="3" t="str">
        <f>HYPERLINK("https://www.amazon.com/Disposable-Instant-Packs-Pack-Refrigeration/dp/B0C47NP4FL/ref=sr_1_1?keywords=GoodSense%C2%AE+Instant+Ice+Compress&amp;qid=1695260355&amp;sr=8-1", "https://www.amazon.com/Disposable-Instant-Packs-Pack-Refrigeration/dp/B0C47NP4FL/ref=sr_1_1?keywords=GoodSense%C2%AE+Instant+Ice+Compress&amp;qid=1695260355&amp;sr=8-1")</f>
        <v>https://www.amazon.com/Disposable-Instant-Packs-Pack-Refrigeration/dp/B0C47NP4FL/ref=sr_1_1?keywords=GoodSense%C2%AE+Instant+Ice+Compress&amp;qid=1695260355&amp;sr=8-1</v>
      </c>
      <c r="F3751" t="s">
        <v>10286</v>
      </c>
      <c r="G3751" t="e">
        <f ca="1">IMAGE("https://shop.sonapharmacy.com/cdn/shop/products/large_c74b53f8-f838-43e3-afb8-f2daf7fd0c4e.jpg?v=1607958159")</f>
        <v>#NAME?</v>
      </c>
      <c r="H3751" t="e">
        <f ca="1">IMAGE("https://m.media-amazon.com/images/I/71TTYdJGSoL._AC_UL320_.jpg")</f>
        <v>#NAME?</v>
      </c>
      <c r="I3751" t="s">
        <v>8355</v>
      </c>
      <c r="J3751">
        <v>9.48</v>
      </c>
      <c r="K3751" s="2" t="s">
        <v>10287</v>
      </c>
      <c r="L3751">
        <v>4.4000000000000004</v>
      </c>
      <c r="M3751">
        <v>21</v>
      </c>
      <c r="O3751" t="s">
        <v>26</v>
      </c>
      <c r="P3751" t="s">
        <v>39</v>
      </c>
      <c r="Q3751" t="s">
        <v>8357</v>
      </c>
    </row>
    <row r="3752" spans="1:17" ht="15.75" x14ac:dyDescent="0.25">
      <c r="A3752" s="3" t="str">
        <f>HYPERLINK("https://shop.sonapharmacy.com/products/oral-b%C2%AE-deep-clean-toothbrush", "https://shop.sonapharmacy.com/products/oral-b%C2%AE-deep-clean-toothbrush")</f>
        <v>https://shop.sonapharmacy.com/products/oral-b%C2%AE-deep-clean-toothbrush</v>
      </c>
      <c r="B3752" s="3" t="str">
        <f>HYPERLINK("https://shop.sonapharmacy.com/products/oral-b%c2%ae-deep-clean-toothbrush", "https://shop.sonapharmacy.com/products/oral-b%c2%ae-deep-clean-toothbrush")</f>
        <v>https://shop.sonapharmacy.com/products/oral-b%c2%ae-deep-clean-toothbrush</v>
      </c>
      <c r="C3752" t="s">
        <v>9367</v>
      </c>
      <c r="D3752" t="s">
        <v>10288</v>
      </c>
      <c r="E3752" s="3" t="str">
        <f>HYPERLINK("https://www.amazon.com/Oral-B-Complete-Clean-Toothbrush-Colors/dp/B0BGQLGHY6/ref=sr_1_2?keywords=Oral+B%C2%AE+Complete+Deep+Clean+Toothbrush+%5BMedium%5D&amp;qid=1695260620&amp;sr=8-2", "https://www.amazon.com/Oral-B-Complete-Clean-Toothbrush-Colors/dp/B0BGQLGHY6/ref=sr_1_2?keywords=Oral+B%C2%AE+Complete+Deep+Clean+Toothbrush+%5BMedium%5D&amp;qid=1695260620&amp;sr=8-2")</f>
        <v>https://www.amazon.com/Oral-B-Complete-Clean-Toothbrush-Colors/dp/B0BGQLGHY6/ref=sr_1_2?keywords=Oral+B%C2%AE+Complete+Deep+Clean+Toothbrush+%5BMedium%5D&amp;qid=1695260620&amp;sr=8-2</v>
      </c>
      <c r="F3752" t="s">
        <v>10289</v>
      </c>
      <c r="G3752" t="e">
        <f ca="1">IMAGE("https://shop.sonapharmacy.com/cdn/shop/files/Sona-Shop-banner2_0c7162f3-c367-451d-8193-c2967a0e8d8e.jpg?v=1614290083")</f>
        <v>#NAME?</v>
      </c>
      <c r="H3752" t="e">
        <f ca="1">IMAGE("https://m.media-amazon.com/images/I/71TbiWft9CL._AC_UL320_.jpg")</f>
        <v>#NAME?</v>
      </c>
      <c r="I3752" t="s">
        <v>9370</v>
      </c>
      <c r="J3752">
        <v>12</v>
      </c>
      <c r="K3752" s="2" t="s">
        <v>10290</v>
      </c>
      <c r="L3752">
        <v>4.8</v>
      </c>
      <c r="M3752">
        <v>26</v>
      </c>
      <c r="O3752" t="s">
        <v>26</v>
      </c>
      <c r="P3752" t="s">
        <v>39</v>
      </c>
      <c r="Q3752" t="s">
        <v>9372</v>
      </c>
    </row>
    <row r="3753" spans="1:17" ht="15.75" x14ac:dyDescent="0.25">
      <c r="A3753"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3753"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3753" t="s">
        <v>8597</v>
      </c>
      <c r="D3753" t="s">
        <v>10291</v>
      </c>
      <c r="E3753" s="3" t="str">
        <f>HYPERLINK("https://www.amazon.com/Arm-Hammer-Advance-Whitening-Toothpaste/dp/B011QHSD0E/ref=sr_1_1?keywords=Arm+%26+Hammer+Advance+White%E2%84%A2+Extreme+Whitening+Toothpaste+6oz.&amp;qid=1695260040&amp;sr=8-1", "https://www.amazon.com/Arm-Hammer-Advance-Whitening-Toothpaste/dp/B011QHSD0E/ref=sr_1_1?keywords=Arm+%26+Hammer+Advance+White%E2%84%A2+Extreme+Whitening+Toothpaste+6oz.&amp;qid=1695260040&amp;sr=8-1")</f>
        <v>https://www.amazon.com/Arm-Hammer-Advance-Whitening-Toothpaste/dp/B011QHSD0E/ref=sr_1_1?keywords=Arm+%26+Hammer+Advance+White%E2%84%A2+Extreme+Whitening+Toothpaste+6oz.&amp;qid=1695260040&amp;sr=8-1</v>
      </c>
      <c r="F3753" t="s">
        <v>10292</v>
      </c>
      <c r="G3753" t="e">
        <f ca="1">IMAGE("https://shop.sonapharmacy.com/cdn/shop/products/39e8f462-49a9-4142-bb95-6876f7f6bade.baebaa1c7268bbcf245f186bddbf5223_1.jpg?v=1611254657")</f>
        <v>#NAME?</v>
      </c>
      <c r="H3753" t="e">
        <f ca="1">IMAGE("https://m.media-amazon.com/images/I/618JhLYm7aL._AC_UL320_.jpg")</f>
        <v>#NAME?</v>
      </c>
      <c r="I3753" t="s">
        <v>8600</v>
      </c>
      <c r="J3753">
        <v>15.92</v>
      </c>
      <c r="K3753" s="2" t="s">
        <v>10293</v>
      </c>
      <c r="L3753">
        <v>4.7</v>
      </c>
      <c r="M3753">
        <v>2505</v>
      </c>
      <c r="O3753" t="s">
        <v>26</v>
      </c>
      <c r="P3753" t="s">
        <v>39</v>
      </c>
      <c r="Q3753" t="s">
        <v>8602</v>
      </c>
    </row>
    <row r="3754" spans="1:17" ht="15.75" x14ac:dyDescent="0.25">
      <c r="A3754" s="3" t="str">
        <f>HYPERLINK("https://shop.sonapharmacy.com/products/duracell%C2%AE-aa-coppertop-alkaline-batteries", "https://shop.sonapharmacy.com/products/duracell%C2%AE-aa-coppertop-alkaline-batteries")</f>
        <v>https://shop.sonapharmacy.com/products/duracell%C2%AE-aa-coppertop-alkaline-batteries</v>
      </c>
      <c r="B3754" s="3" t="str">
        <f>HYPERLINK("https://shop.sonapharmacy.com/products/duracell%c2%ae-aa-coppertop-alkaline-batteries", "https://shop.sonapharmacy.com/products/duracell%c2%ae-aa-coppertop-alkaline-batteries")</f>
        <v>https://shop.sonapharmacy.com/products/duracell%c2%ae-aa-coppertop-alkaline-batteries</v>
      </c>
      <c r="C3754" t="s">
        <v>9023</v>
      </c>
      <c r="D3754" t="s">
        <v>10294</v>
      </c>
      <c r="E3754" s="3" t="str">
        <f>HYPERLINK("https://www.amazon.com/Duracell-Bulk-Mn1500Bkd-Coppertop-01501/dp/B016MH38N0/ref=sr_1_1?keywords=Duracell%C2%AE+AA+CopperTop+Alkaline+Batteries&amp;qid=1695260202&amp;sr=8-1", "https://www.amazon.com/Duracell-Bulk-Mn1500Bkd-Coppertop-01501/dp/B016MH38N0/ref=sr_1_1?keywords=Duracell%C2%AE+AA+CopperTop+Alkaline+Batteries&amp;qid=1695260202&amp;sr=8-1")</f>
        <v>https://www.amazon.com/Duracell-Bulk-Mn1500Bkd-Coppertop-01501/dp/B016MH38N0/ref=sr_1_1?keywords=Duracell%C2%AE+AA+CopperTop+Alkaline+Batteries&amp;qid=1695260202&amp;sr=8-1</v>
      </c>
      <c r="F3754" t="s">
        <v>10295</v>
      </c>
      <c r="G3754" t="e">
        <f ca="1">IMAGE("https://shop.sonapharmacy.com/cdn/shop/products/b3e62c3a-da6e-4a57-a7e4-c37556c20cce_1.d37a55fc5e4e20c625490346499e718f.png?v=1610335054")</f>
        <v>#NAME?</v>
      </c>
      <c r="H3754" t="e">
        <f ca="1">IMAGE("https://m.media-amazon.com/images/I/71fBlqlwreL._AC_UL320_.jpg")</f>
        <v>#NAME?</v>
      </c>
      <c r="I3754" t="s">
        <v>8169</v>
      </c>
      <c r="J3754">
        <v>22.3</v>
      </c>
      <c r="K3754" s="2" t="s">
        <v>10296</v>
      </c>
      <c r="L3754">
        <v>4.8</v>
      </c>
      <c r="M3754">
        <v>6104</v>
      </c>
      <c r="O3754" t="s">
        <v>26</v>
      </c>
      <c r="P3754" t="s">
        <v>39</v>
      </c>
      <c r="Q3754" t="s">
        <v>9027</v>
      </c>
    </row>
    <row r="3755" spans="1:17" ht="15.75" x14ac:dyDescent="0.25">
      <c r="A3755" s="3" t="str">
        <f>HYPERLINK("https://shop.sonapharmacy.com/products/prevagen-extra-strength-chewables-20-mg", "https://shop.sonapharmacy.com/products/prevagen-extra-strength-chewables-20-mg")</f>
        <v>https://shop.sonapharmacy.com/products/prevagen-extra-strength-chewables-20-mg</v>
      </c>
      <c r="B3755" s="3" t="str">
        <f>HYPERLINK("https://shop.sonapharmacy.com/products/prevagen-extra-strength-chewables-20-mg", "https://shop.sonapharmacy.com/products/prevagen-extra-strength-chewables-20-mg")</f>
        <v>https://shop.sonapharmacy.com/products/prevagen-extra-strength-chewables-20-mg</v>
      </c>
      <c r="C3755" t="s">
        <v>10264</v>
      </c>
      <c r="D3755" t="s">
        <v>9411</v>
      </c>
      <c r="E3755" s="3" t="str">
        <f>HYPERLINK("https://www.amazon.com/Prevagen-Improves-Memory-Apoaequorin-Supplement/dp/B0892R7XW6/ref=sr_1_2?keywords=Prevagen+Extra+Strength+Chewables+20+mg&amp;qid=1695260655&amp;sr=8-2", "https://www.amazon.com/Prevagen-Improves-Memory-Apoaequorin-Supplement/dp/B0892R7XW6/ref=sr_1_2?keywords=Prevagen+Extra+Strength+Chewables+20+mg&amp;qid=1695260655&amp;sr=8-2")</f>
        <v>https://www.amazon.com/Prevagen-Improves-Memory-Apoaequorin-Supplement/dp/B0892R7XW6/ref=sr_1_2?keywords=Prevagen+Extra+Strength+Chewables+20+mg&amp;qid=1695260655&amp;sr=8-2</v>
      </c>
      <c r="F3755" t="s">
        <v>9412</v>
      </c>
      <c r="G3755" t="e">
        <f ca="1">IMAGE("https://shop.sonapharmacy.com/cdn/shop/products/PrevagenExtraStrengthChewables20mg.jpg?v=1594303828")</f>
        <v>#NAME?</v>
      </c>
      <c r="H3755" t="e">
        <f ca="1">IMAGE("https://m.media-amazon.com/images/I/81vSpbRLybL._AC_UL320_.jpg")</f>
        <v>#NAME?</v>
      </c>
      <c r="I3755" t="s">
        <v>10267</v>
      </c>
      <c r="J3755">
        <v>149.85</v>
      </c>
      <c r="K3755" s="2" t="s">
        <v>10297</v>
      </c>
      <c r="L3755">
        <v>4.5</v>
      </c>
      <c r="M3755">
        <v>978</v>
      </c>
      <c r="O3755" t="s">
        <v>39</v>
      </c>
      <c r="P3755" t="s">
        <v>39</v>
      </c>
      <c r="Q3755" t="s">
        <v>10269</v>
      </c>
    </row>
    <row r="3756" spans="1:17" ht="15.75" x14ac:dyDescent="0.25">
      <c r="A3756" s="3" t="str">
        <f>HYPERLINK("https://shop.sonapharmacy.com/products/prevagen-extra-strength-chewables-20-mg", "https://shop.sonapharmacy.com/products/prevagen-extra-strength-chewables-20-mg")</f>
        <v>https://shop.sonapharmacy.com/products/prevagen-extra-strength-chewables-20-mg</v>
      </c>
      <c r="B3756" s="3" t="str">
        <f>HYPERLINK("https://shop.sonapharmacy.com/products/prevagen-extra-strength-chewables-20-mg", "https://shop.sonapharmacy.com/products/prevagen-extra-strength-chewables-20-mg")</f>
        <v>https://shop.sonapharmacy.com/products/prevagen-extra-strength-chewables-20-mg</v>
      </c>
      <c r="C3756" t="s">
        <v>10264</v>
      </c>
      <c r="D3756" t="s">
        <v>10298</v>
      </c>
      <c r="E3756" s="3" t="str">
        <f>HYPERLINK("https://www.amazon.com/Prevagen-Improves-Memory-Apoaequorin-Attractive/dp/B0BN7HW4TL/ref=sr_1_4?keywords=Prevagen+Extra+Strength+Chewables+20+mg&amp;qid=1695260655&amp;sr=8-4", "https://www.amazon.com/Prevagen-Improves-Memory-Apoaequorin-Attractive/dp/B0BN7HW4TL/ref=sr_1_4?keywords=Prevagen+Extra+Strength+Chewables+20+mg&amp;qid=1695260655&amp;sr=8-4")</f>
        <v>https://www.amazon.com/Prevagen-Improves-Memory-Apoaequorin-Attractive/dp/B0BN7HW4TL/ref=sr_1_4?keywords=Prevagen+Extra+Strength+Chewables+20+mg&amp;qid=1695260655&amp;sr=8-4</v>
      </c>
      <c r="F3756" t="s">
        <v>10299</v>
      </c>
      <c r="G3756" t="e">
        <f ca="1">IMAGE("https://shop.sonapharmacy.com/cdn/shop/products/PrevagenExtraStrengthChewables20mg.jpg?v=1594303828")</f>
        <v>#NAME?</v>
      </c>
      <c r="H3756" t="e">
        <f ca="1">IMAGE("https://m.media-amazon.com/images/I/71kd24fbR7L._AC_UL320_.jpg")</f>
        <v>#NAME?</v>
      </c>
      <c r="I3756" t="s">
        <v>10267</v>
      </c>
      <c r="J3756">
        <v>149.85</v>
      </c>
      <c r="K3756" s="2" t="s">
        <v>10297</v>
      </c>
      <c r="L3756">
        <v>4.5</v>
      </c>
      <c r="M3756">
        <v>48</v>
      </c>
      <c r="O3756" t="s">
        <v>39</v>
      </c>
      <c r="P3756" t="s">
        <v>39</v>
      </c>
      <c r="Q3756" t="s">
        <v>10269</v>
      </c>
    </row>
    <row r="3757" spans="1:17" ht="15.75" x14ac:dyDescent="0.25">
      <c r="A3757" s="3" t="str">
        <f>HYPERLINK("https://shop.sonapharmacy.com/products/ban-unscented-roll-on-antiperspirant-deodorant", "https://shop.sonapharmacy.com/products/ban-unscented-roll-on-antiperspirant-deodorant")</f>
        <v>https://shop.sonapharmacy.com/products/ban-unscented-roll-on-antiperspirant-deodorant</v>
      </c>
      <c r="B3757" s="3" t="str">
        <f>HYPERLINK("https://shop.sonapharmacy.com/products/ban-unscented-roll-on-antiperspirant-deodorant", "https://shop.sonapharmacy.com/products/ban-unscented-roll-on-antiperspirant-deodorant")</f>
        <v>https://shop.sonapharmacy.com/products/ban-unscented-roll-on-antiperspirant-deodorant</v>
      </c>
      <c r="C3757" t="s">
        <v>10300</v>
      </c>
      <c r="D3757" t="s">
        <v>10301</v>
      </c>
      <c r="E3757" s="3" t="str">
        <f>HYPERLINK("https://www.amazon.com/Ban-Antiperspirant-Deodorant-Unscented-3-5-Ounce/dp/B00SM3ZJK8/ref=sr_1_2?keywords=Ban%C2%AE+Unscented+Roll-On+Antiperspirant+Deodorant+3.5fl.+oz.&amp;qid=1695260063&amp;sr=8-2", "https://www.amazon.com/Ban-Antiperspirant-Deodorant-Unscented-3-5-Ounce/dp/B00SM3ZJK8/ref=sr_1_2?keywords=Ban%C2%AE+Unscented+Roll-On+Antiperspirant+Deodorant+3.5fl.+oz.&amp;qid=1695260063&amp;sr=8-2")</f>
        <v>https://www.amazon.com/Ban-Antiperspirant-Deodorant-Unscented-3-5-Ounce/dp/B00SM3ZJK8/ref=sr_1_2?keywords=Ban%C2%AE+Unscented+Roll-On+Antiperspirant+Deodorant+3.5fl.+oz.&amp;qid=1695260063&amp;sr=8-2</v>
      </c>
      <c r="F3757" t="s">
        <v>10302</v>
      </c>
      <c r="G3757" t="e">
        <f ca="1">IMAGE("https://shop.sonapharmacy.com/cdn/shop/products/BanUnscentedRollFront.png?v=1607047723")</f>
        <v>#NAME?</v>
      </c>
      <c r="H3757" t="e">
        <f ca="1">IMAGE("https://m.media-amazon.com/images/I/71UHSupIWbL._AC_UL320_.jpg")</f>
        <v>#NAME?</v>
      </c>
      <c r="I3757" t="s">
        <v>10303</v>
      </c>
      <c r="J3757">
        <v>19.829999999999998</v>
      </c>
      <c r="K3757" s="2" t="s">
        <v>10304</v>
      </c>
      <c r="L3757">
        <v>4.8</v>
      </c>
      <c r="M3757">
        <v>10803</v>
      </c>
      <c r="O3757" t="s">
        <v>26</v>
      </c>
      <c r="P3757" t="s">
        <v>39</v>
      </c>
      <c r="Q3757" t="s">
        <v>10305</v>
      </c>
    </row>
    <row r="3758" spans="1:17" ht="15.75" x14ac:dyDescent="0.25">
      <c r="A3758" s="3" t="str">
        <f>HYPERLINK("https://shop.sonapharmacy.com/products/boudreauxs-butt-paste%C2%AE-original-diaper-rash-ointment", "https://shop.sonapharmacy.com/products/boudreauxs-butt-paste%C2%AE-original-diaper-rash-ointment")</f>
        <v>https://shop.sonapharmacy.com/products/boudreauxs-butt-paste%C2%AE-original-diaper-rash-ointment</v>
      </c>
      <c r="B3758" s="3" t="str">
        <f>HYPERLINK("https://shop.sonapharmacy.com/products/boudreauxs-butt-paste%c2%ae-original-diaper-rash-ointment", "https://shop.sonapharmacy.com/products/boudreauxs-butt-paste%c2%ae-original-diaper-rash-ointment")</f>
        <v>https://shop.sonapharmacy.com/products/boudreauxs-butt-paste%c2%ae-original-diaper-rash-ointment</v>
      </c>
      <c r="C3758" t="s">
        <v>9281</v>
      </c>
      <c r="D3758" t="s">
        <v>10306</v>
      </c>
      <c r="E3758" s="3" t="str">
        <f>HYPERLINK("https://www.amazon.com/Boudreauxs-Butt-Paste-Ointment-Original/dp/B077JMD3ND/ref=sr_1_2?keywords=Boudreaux%27s+Butt+Paste%C2%AE+Original+Diaper+Rash+Ointment&amp;qid=1695260099&amp;sr=8-2", "https://www.amazon.com/Boudreauxs-Butt-Paste-Ointment-Original/dp/B077JMD3ND/ref=sr_1_2?keywords=Boudreaux%27s+Butt+Paste%C2%AE+Original+Diaper+Rash+Ointment&amp;qid=1695260099&amp;sr=8-2")</f>
        <v>https://www.amazon.com/Boudreauxs-Butt-Paste-Ointment-Original/dp/B077JMD3ND/ref=sr_1_2?keywords=Boudreaux%27s+Butt+Paste%C2%AE+Original+Diaper+Rash+Ointment&amp;qid=1695260099&amp;sr=8-2</v>
      </c>
      <c r="F3758" t="s">
        <v>10307</v>
      </c>
      <c r="G3758" t="e">
        <f ca="1">IMAGE("https://shop.sonapharmacy.com/cdn/shop/products/2oz.jpg?v=1609271951")</f>
        <v>#NAME?</v>
      </c>
      <c r="H3758" t="e">
        <f ca="1">IMAGE("https://m.media-amazon.com/images/I/51y49-0ywzL._AC_UL320_.jpg")</f>
        <v>#NAME?</v>
      </c>
      <c r="I3758" t="s">
        <v>9284</v>
      </c>
      <c r="J3758">
        <v>18.95</v>
      </c>
      <c r="K3758" s="2" t="s">
        <v>10308</v>
      </c>
      <c r="L3758">
        <v>4.3</v>
      </c>
      <c r="M3758">
        <v>25</v>
      </c>
      <c r="O3758" t="s">
        <v>26</v>
      </c>
      <c r="P3758" t="s">
        <v>39</v>
      </c>
      <c r="Q3758" t="s">
        <v>9286</v>
      </c>
    </row>
    <row r="3759" spans="1:17" ht="15.75" x14ac:dyDescent="0.25">
      <c r="A3759" s="3" t="str">
        <f>HYPERLINK("https://shop.sonapharmacy.com/products/ocusoft%C2%AE-retaine%C2%AE-mgd-ophthalmic-emulsion-30ct", "https://shop.sonapharmacy.com/products/ocusoft%C2%AE-retaine%C2%AE-mgd-ophthalmic-emulsion-30ct")</f>
        <v>https://shop.sonapharmacy.com/products/ocusoft%C2%AE-retaine%C2%AE-mgd-ophthalmic-emulsion-30ct</v>
      </c>
      <c r="B3759" s="3" t="str">
        <f>HYPERLINK("https://shop.sonapharmacy.com/products/ocusoft%c2%ae-retaine%c2%ae-mgd-ophthalmic-emulsion-30ct", "https://shop.sonapharmacy.com/products/ocusoft%c2%ae-retaine%c2%ae-mgd-ophthalmic-emulsion-30ct")</f>
        <v>https://shop.sonapharmacy.com/products/ocusoft%c2%ae-retaine%c2%ae-mgd-ophthalmic-emulsion-30ct</v>
      </c>
      <c r="C3759" t="s">
        <v>10309</v>
      </c>
      <c r="D3759" t="s">
        <v>10310</v>
      </c>
      <c r="E3759" s="3" t="str">
        <f>HYPERLINK("https://www.amazon.com/Retaine-Ophthalmic-Emulsion-Preservative-Free-Drops/dp/B01H4LWNDO/ref=sr_1_6?keywords=Ocusoft%C2%AE+Retaine%C2%AE+MGD+Ophthalmic+Emulsion+Eye+Drops&amp;qid=1695260628&amp;sr=8-6", "https://www.amazon.com/Retaine-Ophthalmic-Emulsion-Preservative-Free-Drops/dp/B01H4LWNDO/ref=sr_1_6?keywords=Ocusoft%C2%AE+Retaine%C2%AE+MGD+Ophthalmic+Emulsion+Eye+Drops&amp;qid=1695260628&amp;sr=8-6")</f>
        <v>https://www.amazon.com/Retaine-Ophthalmic-Emulsion-Preservative-Free-Drops/dp/B01H4LWNDO/ref=sr_1_6?keywords=Ocusoft%C2%AE+Retaine%C2%AE+MGD+Ophthalmic+Emulsion+Eye+Drops&amp;qid=1695260628&amp;sr=8-6</v>
      </c>
      <c r="F3759" t="s">
        <v>10311</v>
      </c>
      <c r="G3759" t="e">
        <f ca="1">IMAGE("https://shop.sonapharmacy.com/cdn/shop/products/3a6705b9-2892-4aba-9207-75b7a70643f4.af2a21a9b5707bfbb5956709d46e3988.jpg?v=1608666681")</f>
        <v>#NAME?</v>
      </c>
      <c r="H3759" t="e">
        <f ca="1">IMAGE("https://m.media-amazon.com/images/I/716HeUBGifL._AC_UL320_.jpg")</f>
        <v>#NAME?</v>
      </c>
      <c r="I3759" t="s">
        <v>3413</v>
      </c>
      <c r="J3759">
        <v>69.95</v>
      </c>
      <c r="K3759" s="2" t="s">
        <v>10312</v>
      </c>
      <c r="L3759">
        <v>4.5999999999999996</v>
      </c>
      <c r="M3759">
        <v>90</v>
      </c>
      <c r="O3759" t="s">
        <v>26</v>
      </c>
      <c r="P3759" t="s">
        <v>39</v>
      </c>
      <c r="Q3759" t="s">
        <v>10313</v>
      </c>
    </row>
    <row r="3760" spans="1:17" ht="15.75" x14ac:dyDescent="0.25">
      <c r="A3760" s="3" t="str">
        <f>HYPERLINK("https://shop.sonapharmacy.com/products/halls-defense-assorted-citrus-30ct", "https://shop.sonapharmacy.com/products/halls-defense-assorted-citrus-30ct")</f>
        <v>https://shop.sonapharmacy.com/products/halls-defense-assorted-citrus-30ct</v>
      </c>
      <c r="B3760" s="3" t="str">
        <f>HYPERLINK("https://shop.sonapharmacy.com/products/halls-defense-assorted-citrus-30ct", "https://shop.sonapharmacy.com/products/halls-defense-assorted-citrus-30ct")</f>
        <v>https://shop.sonapharmacy.com/products/halls-defense-assorted-citrus-30ct</v>
      </c>
      <c r="C3760" t="s">
        <v>10314</v>
      </c>
      <c r="D3760" t="s">
        <v>10315</v>
      </c>
      <c r="E3760" s="3" t="str">
        <f>HYPERLINK("https://www.amazon.com/Halls-Defense-Vitamin-Assorted-30-Count/dp/B07MT4MT8B/ref=sr_1_1?keywords=Halls%C2%AE+Defense+Assorted+Citrus+Cough+Drops+30ct&amp;qid=1695260378&amp;sr=8-1", "https://www.amazon.com/Halls-Defense-Vitamin-Assorted-30-Count/dp/B07MT4MT8B/ref=sr_1_1?keywords=Halls%C2%AE+Defense+Assorted+Citrus+Cough+Drops+30ct&amp;qid=1695260378&amp;sr=8-1")</f>
        <v>https://www.amazon.com/Halls-Defense-Vitamin-Assorted-30-Count/dp/B07MT4MT8B/ref=sr_1_1?keywords=Halls%C2%AE+Defense+Assorted+Citrus+Cough+Drops+30ct&amp;qid=1695260378&amp;sr=8-1</v>
      </c>
      <c r="F3760" t="s">
        <v>10316</v>
      </c>
      <c r="G3760" t="e">
        <f ca="1">IMAGE("https://shop.sonapharmacy.com/cdn/shop/products/HALLS_Defense_AssortedCitrus_30ct.png?v=1609199325")</f>
        <v>#NAME?</v>
      </c>
      <c r="H3760" t="e">
        <f ca="1">IMAGE("https://m.media-amazon.com/images/I/61vnbxNiQpL._AC_UL320_.jpg")</f>
        <v>#NAME?</v>
      </c>
      <c r="I3760" t="s">
        <v>8034</v>
      </c>
      <c r="J3760">
        <v>8.99</v>
      </c>
      <c r="K3760" s="2" t="s">
        <v>10317</v>
      </c>
      <c r="L3760">
        <v>4.7</v>
      </c>
      <c r="M3760">
        <v>1390</v>
      </c>
      <c r="O3760" t="s">
        <v>26</v>
      </c>
      <c r="P3760" t="s">
        <v>39</v>
      </c>
      <c r="Q3760" t="s">
        <v>10318</v>
      </c>
    </row>
    <row r="3761" spans="1:17" ht="15.75" x14ac:dyDescent="0.25">
      <c r="A3761" s="3" t="str">
        <f>HYPERLINK("https://shop.sonapharmacy.com/products/salonpas%C2%AE-pain-relieving-jet-spray-with-maximum-strength-lidocaine", "https://shop.sonapharmacy.com/products/salonpas%C2%AE-pain-relieving-jet-spray-with-maximum-strength-lidocaine")</f>
        <v>https://shop.sonapharmacy.com/products/salonpas%C2%AE-pain-relieving-jet-spray-with-maximum-strength-lidocaine</v>
      </c>
      <c r="B3761" s="3" t="str">
        <f>HYPERLINK("https://shop.sonapharmacy.com/products/salonpas%c2%ae-pain-relieving-jet-spray-with-maximum-strength-lidocaine", "https://shop.sonapharmacy.com/products/salonpas%c2%ae-pain-relieving-jet-spray-with-maximum-strength-lidocaine")</f>
        <v>https://shop.sonapharmacy.com/products/salonpas%c2%ae-pain-relieving-jet-spray-with-maximum-strength-lidocaine</v>
      </c>
      <c r="C3761" t="s">
        <v>10319</v>
      </c>
      <c r="D3761" t="s">
        <v>10320</v>
      </c>
      <c r="E3761" s="3" t="str">
        <f>HYPERLINK("https://www.amazon.com/Salonpas-Pain-Relieving-Spray-Pack/dp/B082D21NRC/ref=sr_1_3?keywords=Salonpas%C2%AE+Pain+Relieving+Jet+Spray&amp;qid=1695260696&amp;sr=8-3", "https://www.amazon.com/Salonpas-Pain-Relieving-Spray-Pack/dp/B082D21NRC/ref=sr_1_3?keywords=Salonpas%C2%AE+Pain+Relieving+Jet+Spray&amp;qid=1695260696&amp;sr=8-3")</f>
        <v>https://www.amazon.com/Salonpas-Pain-Relieving-Spray-Pack/dp/B082D21NRC/ref=sr_1_3?keywords=Salonpas%C2%AE+Pain+Relieving+Jet+Spray&amp;qid=1695260696&amp;sr=8-3</v>
      </c>
      <c r="F3761" t="s">
        <v>10321</v>
      </c>
      <c r="G3761" t="e">
        <f ca="1">IMAGE("https://shop.sonapharmacy.com/cdn/shop/products/7948a0dd-7927-4fc3-917e-0fdd93255875.6ac17ff675d7094789a7341c4fdfc58f.jpg?v=1613749979")</f>
        <v>#NAME?</v>
      </c>
      <c r="H3761" t="e">
        <f ca="1">IMAGE("https://m.media-amazon.com/images/I/41iceUyf6IL._AC_UL320_.jpg")</f>
        <v>#NAME?</v>
      </c>
      <c r="I3761" t="s">
        <v>10322</v>
      </c>
      <c r="J3761">
        <v>34.29</v>
      </c>
      <c r="K3761" s="2" t="s">
        <v>10323</v>
      </c>
      <c r="L3761">
        <v>4.9000000000000004</v>
      </c>
      <c r="M3761">
        <v>27</v>
      </c>
      <c r="O3761" t="s">
        <v>26</v>
      </c>
      <c r="P3761" t="s">
        <v>39</v>
      </c>
      <c r="Q3761" t="s">
        <v>10324</v>
      </c>
    </row>
    <row r="3762" spans="1:17" ht="15.75" x14ac:dyDescent="0.25">
      <c r="A3762" s="3" t="str">
        <f>HYPERLINK("https://shop.sonapharmacy.com/products/sunbum%C2%AE-original-spf-30-sunscreen-lotion", "https://shop.sonapharmacy.com/products/sunbum%C2%AE-original-spf-30-sunscreen-lotion")</f>
        <v>https://shop.sonapharmacy.com/products/sunbum%C2%AE-original-spf-30-sunscreen-lotion</v>
      </c>
      <c r="B3762" s="3" t="str">
        <f>HYPERLINK("https://shop.sonapharmacy.com/products/sunbum%c2%ae-original-spf-30-sunscreen-lotion", "https://shop.sonapharmacy.com/products/sunbum%c2%ae-original-spf-30-sunscreen-lotion")</f>
        <v>https://shop.sonapharmacy.com/products/sunbum%c2%ae-original-spf-30-sunscreen-lotion</v>
      </c>
      <c r="C3762" t="s">
        <v>10325</v>
      </c>
      <c r="D3762" t="s">
        <v>10326</v>
      </c>
      <c r="E3762" s="3" t="str">
        <f>HYPERLINK("https://www.amazon.com/Sun-Bum-octinoxate-Oxybenzone-Moisturizing/dp/B086R4H837/ref=sr_1_4?keywords=Sun+Bum%C2%AE+Original+SPF+30+Sunscreen+Lotion&amp;qid=1695260773&amp;sr=8-4", "https://www.amazon.com/Sun-Bum-octinoxate-Oxybenzone-Moisturizing/dp/B086R4H837/ref=sr_1_4?keywords=Sun+Bum%C2%AE+Original+SPF+30+Sunscreen+Lotion&amp;qid=1695260773&amp;sr=8-4")</f>
        <v>https://www.amazon.com/Sun-Bum-octinoxate-Oxybenzone-Moisturizing/dp/B086R4H837/ref=sr_1_4?keywords=Sun+Bum%C2%AE+Original+SPF+30+Sunscreen+Lotion&amp;qid=1695260773&amp;sr=8-4</v>
      </c>
      <c r="F3762" t="s">
        <v>10327</v>
      </c>
      <c r="G3762" t="e">
        <f ca="1">IMAGE("https://shop.sonapharmacy.com/cdn/shop/products/7112Mn16XDL._SL1500.jpg?v=1611869378")</f>
        <v>#NAME?</v>
      </c>
      <c r="H3762" t="e">
        <f ca="1">IMAGE("https://m.media-amazon.com/images/I/81sf4ziZVRL._AC_UL320_.jpg")</f>
        <v>#NAME?</v>
      </c>
      <c r="I3762" t="s">
        <v>4873</v>
      </c>
      <c r="J3762">
        <v>29.01</v>
      </c>
      <c r="K3762" s="2" t="s">
        <v>10328</v>
      </c>
      <c r="L3762">
        <v>4.9000000000000004</v>
      </c>
      <c r="M3762">
        <v>980</v>
      </c>
      <c r="O3762" t="s">
        <v>26</v>
      </c>
      <c r="P3762" t="s">
        <v>39</v>
      </c>
      <c r="Q3762" t="s">
        <v>10329</v>
      </c>
    </row>
    <row r="3763" spans="1:17" ht="15.75" x14ac:dyDescent="0.25">
      <c r="A3763" s="3" t="str">
        <f>HYPERLINK("https://shop.sonapharmacy.com/products/norms-farms-elderberry-extract-8-oz", "https://shop.sonapharmacy.com/products/norms-farms-elderberry-extract-8-oz")</f>
        <v>https://shop.sonapharmacy.com/products/norms-farms-elderberry-extract-8-oz</v>
      </c>
      <c r="B3763" s="3" t="str">
        <f>HYPERLINK("https://shop.sonapharmacy.com/products/norms-farms-elderberry-extract-8-oz", "https://shop.sonapharmacy.com/products/norms-farms-elderberry-extract-8-oz")</f>
        <v>https://shop.sonapharmacy.com/products/norms-farms-elderberry-extract-8-oz</v>
      </c>
      <c r="C3763" t="s">
        <v>10330</v>
      </c>
      <c r="D3763" t="s">
        <v>10331</v>
      </c>
      <c r="E3763" s="3" t="str">
        <f>HYPERLINK("https://www.amazon.com/Norms-Farms-Elderberry-Extract-Bottle/dp/B07DLCBKY1/ref=sr_1_1?keywords=Norm%27s+Farms+Elderberry+Extract+8oz&amp;qid=1695260577&amp;sr=8-1", "https://www.amazon.com/Norms-Farms-Elderberry-Extract-Bottle/dp/B07DLCBKY1/ref=sr_1_1?keywords=Norm%27s+Farms+Elderberry+Extract+8oz&amp;qid=1695260577&amp;sr=8-1")</f>
        <v>https://www.amazon.com/Norms-Farms-Elderberry-Extract-Bottle/dp/B07DLCBKY1/ref=sr_1_1?keywords=Norm%27s+Farms+Elderberry+Extract+8oz&amp;qid=1695260577&amp;sr=8-1</v>
      </c>
      <c r="F3763" t="s">
        <v>10332</v>
      </c>
      <c r="G3763" t="e">
        <f ca="1">IMAGE("https://shop.sonapharmacy.com/cdn/shop/products/NormsFarmsEldExtFront.png?v=1605979598")</f>
        <v>#NAME?</v>
      </c>
      <c r="H3763" t="e">
        <f ca="1">IMAGE("https://m.media-amazon.com/images/I/61-JPzKRIuL._AC_UL320_.jpg")</f>
        <v>#NAME?</v>
      </c>
      <c r="I3763" t="s">
        <v>3458</v>
      </c>
      <c r="J3763">
        <v>57.99</v>
      </c>
      <c r="K3763" s="2" t="s">
        <v>10333</v>
      </c>
      <c r="L3763">
        <v>4.5999999999999996</v>
      </c>
      <c r="M3763">
        <v>792</v>
      </c>
      <c r="O3763" t="s">
        <v>26</v>
      </c>
      <c r="P3763" t="s">
        <v>39</v>
      </c>
      <c r="Q3763" t="s">
        <v>10334</v>
      </c>
    </row>
    <row r="3764" spans="1:17" ht="15.75" x14ac:dyDescent="0.25">
      <c r="A3764" s="3" t="str">
        <f>HYPERLINK("https://shop.sonapharmacy.com/products/airborne-original-immune-support-supplement-chewable-tablets", "https://shop.sonapharmacy.com/products/airborne-original-immune-support-supplement-chewable-tablets")</f>
        <v>https://shop.sonapharmacy.com/products/airborne-original-immune-support-supplement-chewable-tablets</v>
      </c>
      <c r="B3764" s="3" t="str">
        <f>HYPERLINK("https://shop.sonapharmacy.com/products/airborne-original-immune-support-supplement-chewable-tablets", "https://shop.sonapharmacy.com/products/airborne-original-immune-support-supplement-chewable-tablets")</f>
        <v>https://shop.sonapharmacy.com/products/airborne-original-immune-support-supplement-chewable-tablets</v>
      </c>
      <c r="C3764" t="s">
        <v>8382</v>
      </c>
      <c r="D3764" t="s">
        <v>10335</v>
      </c>
      <c r="E3764" s="3" t="str">
        <f>HYPERLINK("https://www.amazon.com/Vitamin-1000mg-Serving-Airborne-Supplement/dp/B08QZMJBFR/ref=sr_1_10?keywords=Airborne+Original+Immune+Support+Supplement+Chewable+Tablets+32ct.&amp;qid=1695260010&amp;sr=8-10", "https://www.amazon.com/Vitamin-1000mg-Serving-Airborne-Supplement/dp/B08QZMJBFR/ref=sr_1_10?keywords=Airborne+Original+Immune+Support+Supplement+Chewable+Tablets+32ct.&amp;qid=1695260010&amp;sr=8-10")</f>
        <v>https://www.amazon.com/Vitamin-1000mg-Serving-Airborne-Supplement/dp/B08QZMJBFR/ref=sr_1_10?keywords=Airborne+Original+Immune+Support+Supplement+Chewable+Tablets+32ct.&amp;qid=1695260010&amp;sr=8-10</v>
      </c>
      <c r="F3764" t="s">
        <v>10336</v>
      </c>
      <c r="G3764" t="e">
        <f ca="1">IMAGE("https://shop.sonapharmacy.com/cdn/shop/products/Untitled-97.jpg?v=1611169249")</f>
        <v>#NAME?</v>
      </c>
      <c r="H3764" t="e">
        <f ca="1">IMAGE("https://m.media-amazon.com/images/I/71Cp5BKvnmL._AC_UL320_.jpg")</f>
        <v>#NAME?</v>
      </c>
      <c r="I3764" t="s">
        <v>8385</v>
      </c>
      <c r="J3764">
        <v>29.73</v>
      </c>
      <c r="K3764" s="2" t="s">
        <v>10337</v>
      </c>
      <c r="L3764">
        <v>4.8</v>
      </c>
      <c r="M3764">
        <v>520</v>
      </c>
      <c r="O3764" t="s">
        <v>26</v>
      </c>
      <c r="P3764" t="s">
        <v>39</v>
      </c>
      <c r="Q3764" t="s">
        <v>8387</v>
      </c>
    </row>
    <row r="3765" spans="1:17" ht="15.75" x14ac:dyDescent="0.25">
      <c r="A3765" s="3" t="str">
        <f>HYPERLINK("https://shop.sonapharmacy.com/products/oasis%C2%AE-mouth-moisturizing-spray-mild-mint-1fl-oz", "https://shop.sonapharmacy.com/products/oasis%C2%AE-mouth-moisturizing-spray-mild-mint-1fl-oz")</f>
        <v>https://shop.sonapharmacy.com/products/oasis%C2%AE-mouth-moisturizing-spray-mild-mint-1fl-oz</v>
      </c>
      <c r="B3765" s="3" t="str">
        <f>HYPERLINK("https://shop.sonapharmacy.com/products/oasis%c2%ae-mouth-moisturizing-spray-mild-mint-1fl-oz", "https://shop.sonapharmacy.com/products/oasis%c2%ae-mouth-moisturizing-spray-mild-mint-1fl-oz")</f>
        <v>https://shop.sonapharmacy.com/products/oasis%c2%ae-mouth-moisturizing-spray-mild-mint-1fl-oz</v>
      </c>
      <c r="C3765" t="s">
        <v>9069</v>
      </c>
      <c r="D3765" t="s">
        <v>10338</v>
      </c>
      <c r="E3765" s="3" t="str">
        <f>HYPERLINK("https://www.amazon.com/Oasis-Moisturizing-Mouth-Spray-Mild/dp/B01IA9DHL6/ref=sr_1_2?keywords=Oasis%C2%AE+Mouth+Moisturizing+Spray+Mild+Mint+1fl.oz.&amp;qid=1695260612&amp;sr=8-2", "https://www.amazon.com/Oasis-Moisturizing-Mouth-Spray-Mild/dp/B01IA9DHL6/ref=sr_1_2?keywords=Oasis%C2%AE+Mouth+Moisturizing+Spray+Mild+Mint+1fl.oz.&amp;qid=1695260612&amp;sr=8-2")</f>
        <v>https://www.amazon.com/Oasis-Moisturizing-Mouth-Spray-Mild/dp/B01IA9DHL6/ref=sr_1_2?keywords=Oasis%C2%AE+Mouth+Moisturizing+Spray+Mild+Mint+1fl.oz.&amp;qid=1695260612&amp;sr=8-2</v>
      </c>
      <c r="F3765" t="s">
        <v>10339</v>
      </c>
      <c r="G3765" t="e">
        <f ca="1">IMAGE("https://shop.sonapharmacy.com/cdn/shop/products/8f8c84aa-9bad-4bac-a54f-e8f111c224fc_1.d51e86c174f0c880125a11b6bef87077.jpg?v=1608566621")</f>
        <v>#NAME?</v>
      </c>
      <c r="H3765" t="e">
        <f ca="1">IMAGE("https://m.media-amazon.com/images/I/61aCH9a3YcL._AC_UL320_.jpg")</f>
        <v>#NAME?</v>
      </c>
      <c r="I3765" t="s">
        <v>9072</v>
      </c>
      <c r="J3765">
        <v>21.75</v>
      </c>
      <c r="K3765" s="2" t="s">
        <v>10340</v>
      </c>
      <c r="L3765">
        <v>5</v>
      </c>
      <c r="M3765">
        <v>2</v>
      </c>
      <c r="O3765" t="s">
        <v>26</v>
      </c>
      <c r="P3765" t="s">
        <v>39</v>
      </c>
      <c r="Q3765" t="s">
        <v>9074</v>
      </c>
    </row>
    <row r="3766" spans="1:17" ht="15.75" x14ac:dyDescent="0.25">
      <c r="A3766"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B3766"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C3766" t="s">
        <v>9453</v>
      </c>
      <c r="D3766" t="s">
        <v>10341</v>
      </c>
      <c r="E3766" s="3" t="str">
        <f>HYPERLINK("https://www.amazon.com/FIT-Flex-Incontinence-Underwear-Maximum-Absorbency/dp/B07PJGF8LQ/ref=sr_1_7?keywords=Depend%C2%AE+For+Men+Fit-Flex+Underwear+Maximum+Absorbency+Large+17ct.&amp;qid=1695260190&amp;sr=8-7", "https://www.amazon.com/FIT-Flex-Incontinence-Underwear-Maximum-Absorbency/dp/B07PJGF8LQ/ref=sr_1_7?keywords=Depend%C2%AE+For+Men+Fit-Flex+Underwear+Maximum+Absorbency+Large+17ct.&amp;qid=1695260190&amp;sr=8-7")</f>
        <v>https://www.amazon.com/FIT-Flex-Incontinence-Underwear-Maximum-Absorbency/dp/B07PJGF8LQ/ref=sr_1_7?keywords=Depend%C2%AE+For+Men+Fit-Flex+Underwear+Maximum+Absorbency+Large+17ct.&amp;qid=1695260190&amp;sr=8-7</v>
      </c>
      <c r="F3766" t="s">
        <v>10342</v>
      </c>
      <c r="G3766" t="e">
        <f ca="1">IMAGE("https://shop.sonapharmacy.com/cdn/shop/products/8193lwhuLwL._AC_SL1500.jpg?v=1611075729")</f>
        <v>#NAME?</v>
      </c>
      <c r="H3766" t="e">
        <f ca="1">IMAGE("https://m.media-amazon.com/images/I/6170uRndnvL._AC_UL320_.jpg")</f>
        <v>#NAME?</v>
      </c>
      <c r="I3766" t="s">
        <v>9290</v>
      </c>
      <c r="J3766">
        <v>48.99</v>
      </c>
      <c r="K3766" s="2" t="s">
        <v>10343</v>
      </c>
      <c r="L3766">
        <v>5</v>
      </c>
      <c r="M3766">
        <v>1</v>
      </c>
      <c r="O3766" t="s">
        <v>26</v>
      </c>
      <c r="P3766" t="s">
        <v>39</v>
      </c>
      <c r="Q3766" t="s">
        <v>9457</v>
      </c>
    </row>
    <row r="3767" spans="1:17" ht="15.75" x14ac:dyDescent="0.25">
      <c r="A3767" s="3" t="str">
        <f>HYPERLINK("https://shop.sonapharmacy.com/products/band-aid-flexible-fabric-100ct-all-one-size", "https://shop.sonapharmacy.com/products/band-aid-flexible-fabric-100ct-all-one-size")</f>
        <v>https://shop.sonapharmacy.com/products/band-aid-flexible-fabric-100ct-all-one-size</v>
      </c>
      <c r="B3767" s="3" t="str">
        <f>HYPERLINK("https://shop.sonapharmacy.com/products/band-aid-flexible-fabric-100ct-all-one-size", "https://shop.sonapharmacy.com/products/band-aid-flexible-fabric-100ct-all-one-size")</f>
        <v>https://shop.sonapharmacy.com/products/band-aid-flexible-fabric-100ct-all-one-size</v>
      </c>
      <c r="C3767" t="s">
        <v>8911</v>
      </c>
      <c r="D3767" t="s">
        <v>10344</v>
      </c>
      <c r="E3767" s="3" t="str">
        <f>HYPERLINK("https://www.amazon.com/Band-Aid-Flexible-Fabric-Size-Bandages/dp/B003AXUQMQ/ref=sr_1_8?keywords=BAND-AID%C2%AE+Flexible+Fabric+All+One+Size&amp;qid=1695260052&amp;sr=8-8", "https://www.amazon.com/Band-Aid-Flexible-Fabric-Size-Bandages/dp/B003AXUQMQ/ref=sr_1_8?keywords=BAND-AID%C2%AE+Flexible+Fabric+All+One+Size&amp;qid=1695260052&amp;sr=8-8")</f>
        <v>https://www.amazon.com/Band-Aid-Flexible-Fabric-Size-Bandages/dp/B003AXUQMQ/ref=sr_1_8?keywords=BAND-AID%C2%AE+Flexible+Fabric+All+One+Size&amp;qid=1695260052&amp;sr=8-8</v>
      </c>
      <c r="F3767" t="s">
        <v>10345</v>
      </c>
      <c r="G3767" t="e">
        <f ca="1">IMAGE("https://shop.sonapharmacy.com/cdn/shop/products/bab_381370044314_band_aid_band_aid_flexible_fabric_aos_30ct_007.jpg?v=1614702050")</f>
        <v>#NAME?</v>
      </c>
      <c r="H3767" t="e">
        <f ca="1">IMAGE("https://m.media-amazon.com/images/I/71s4Lxs+VzL._AC_UL320_.jpg")</f>
        <v>#NAME?</v>
      </c>
      <c r="I3767" t="s">
        <v>8834</v>
      </c>
      <c r="J3767">
        <v>15.02</v>
      </c>
      <c r="K3767" s="2" t="s">
        <v>10346</v>
      </c>
      <c r="L3767">
        <v>5</v>
      </c>
      <c r="M3767">
        <v>1</v>
      </c>
      <c r="O3767" t="s">
        <v>26</v>
      </c>
      <c r="P3767" t="s">
        <v>39</v>
      </c>
      <c r="Q3767" t="s">
        <v>8915</v>
      </c>
    </row>
    <row r="3768" spans="1:17" ht="15.75" x14ac:dyDescent="0.25">
      <c r="A3768" s="3" t="str">
        <f>HYPERLINK("https://shop.sonapharmacy.com/products/norms-farms-elderberry-organic-gummies", "https://shop.sonapharmacy.com/products/norms-farms-elderberry-organic-gummies")</f>
        <v>https://shop.sonapharmacy.com/products/norms-farms-elderberry-organic-gummies</v>
      </c>
      <c r="B3768" s="3" t="str">
        <f>HYPERLINK("https://shop.sonapharmacy.com/products/norms-farms-elderberry-organic-gummies", "https://shop.sonapharmacy.com/products/norms-farms-elderberry-organic-gummies")</f>
        <v>https://shop.sonapharmacy.com/products/norms-farms-elderberry-organic-gummies</v>
      </c>
      <c r="C3768" t="s">
        <v>10347</v>
      </c>
      <c r="D3768" t="s">
        <v>10348</v>
      </c>
      <c r="E3768" s="3" t="str">
        <f>HYPERLINK("https://www.amazon.com/Norms-Elderberry-Organic-Gummies-Vitamin/dp/B08GLGSNGQ/ref=sr_1_2?keywords=Norms+Farms+Elderberry+Organic+Gummies&amp;qid=1695260576&amp;sr=8-2", "https://www.amazon.com/Norms-Elderberry-Organic-Gummies-Vitamin/dp/B08GLGSNGQ/ref=sr_1_2?keywords=Norms+Farms+Elderberry+Organic+Gummies&amp;qid=1695260576&amp;sr=8-2")</f>
        <v>https://www.amazon.com/Norms-Elderberry-Organic-Gummies-Vitamin/dp/B08GLGSNGQ/ref=sr_1_2?keywords=Norms+Farms+Elderberry+Organic+Gummies&amp;qid=1695260576&amp;sr=8-2</v>
      </c>
      <c r="F3768" t="s">
        <v>10349</v>
      </c>
      <c r="G3768" t="e">
        <f ca="1">IMAGE("https://shop.sonapharmacy.com/cdn/shop/products/NormsFarmsGummyFront.png?v=1605978541")</f>
        <v>#NAME?</v>
      </c>
      <c r="H3768" t="e">
        <f ca="1">IMAGE("https://m.media-amazon.com/images/I/811-3RenpfL._AC_UL320_.jpg")</f>
        <v>#NAME?</v>
      </c>
      <c r="I3768" t="s">
        <v>6011</v>
      </c>
      <c r="J3768">
        <v>64.56</v>
      </c>
      <c r="K3768" s="2" t="s">
        <v>10350</v>
      </c>
      <c r="L3768">
        <v>3.6</v>
      </c>
      <c r="M3768">
        <v>7</v>
      </c>
      <c r="O3768" t="s">
        <v>26</v>
      </c>
      <c r="P3768" t="s">
        <v>39</v>
      </c>
      <c r="Q3768" t="s">
        <v>10351</v>
      </c>
    </row>
    <row r="3769" spans="1:17" ht="15.75" x14ac:dyDescent="0.25">
      <c r="A3769" s="3" t="str">
        <f>HYPERLINK("https://shop.sonapharmacy.com/products/resinol-medicated-ointment-3-3oz", "https://shop.sonapharmacy.com/products/resinol-medicated-ointment-3-3oz")</f>
        <v>https://shop.sonapharmacy.com/products/resinol-medicated-ointment-3-3oz</v>
      </c>
      <c r="B3769" s="3" t="str">
        <f>HYPERLINK("https://shop.sonapharmacy.com/products/resinol-medicated-ointment-3-3oz", "https://shop.sonapharmacy.com/products/resinol-medicated-ointment-3-3oz")</f>
        <v>https://shop.sonapharmacy.com/products/resinol-medicated-ointment-3-3oz</v>
      </c>
      <c r="C3769" t="s">
        <v>8612</v>
      </c>
      <c r="D3769" t="s">
        <v>10352</v>
      </c>
      <c r="E3769" s="3" t="str">
        <f>HYPERLINK("https://www.amazon.com/Resinol-Medicated-Ointment-Pack-2/dp/B01N1ZI1JN/ref=sr_1_7?keywords=Resinol+Medicated+Ointment+3.3oz&amp;qid=1695260673&amp;sr=8-7", "https://www.amazon.com/Resinol-Medicated-Ointment-Pack-2/dp/B01N1ZI1JN/ref=sr_1_7?keywords=Resinol+Medicated+Ointment+3.3oz&amp;qid=1695260673&amp;sr=8-7")</f>
        <v>https://www.amazon.com/Resinol-Medicated-Ointment-Pack-2/dp/B01N1ZI1JN/ref=sr_1_7?keywords=Resinol+Medicated+Ointment+3.3oz&amp;qid=1695260673&amp;sr=8-7</v>
      </c>
      <c r="F3769" t="s">
        <v>10353</v>
      </c>
      <c r="G3769" t="e">
        <f ca="1">IMAGE("https://shop.sonapharmacy.com/cdn/shop/products/61SYOFBFkKL._AC_SL1237.jpg?v=1607970374")</f>
        <v>#NAME?</v>
      </c>
      <c r="H3769" t="e">
        <f ca="1">IMAGE("https://m.media-amazon.com/images/I/71M7+DO4QsL._AC_UL320_.jpg")</f>
        <v>#NAME?</v>
      </c>
      <c r="I3769" t="s">
        <v>8615</v>
      </c>
      <c r="J3769">
        <v>36.99</v>
      </c>
      <c r="K3769" s="2" t="s">
        <v>10354</v>
      </c>
      <c r="L3769">
        <v>5</v>
      </c>
      <c r="M3769">
        <v>1</v>
      </c>
      <c r="O3769" t="s">
        <v>136</v>
      </c>
      <c r="P3769" t="s">
        <v>39</v>
      </c>
      <c r="Q3769" t="s">
        <v>8617</v>
      </c>
    </row>
    <row r="3770" spans="1:17" ht="15.75" x14ac:dyDescent="0.25">
      <c r="A3770" s="3" t="str">
        <f>HYPERLINK("https://shop.sonapharmacy.com/products/curad-flex-fabric-bandages", "https://shop.sonapharmacy.com/products/curad-flex-fabric-bandages")</f>
        <v>https://shop.sonapharmacy.com/products/curad-flex-fabric-bandages</v>
      </c>
      <c r="B3770" s="3" t="str">
        <f>HYPERLINK("https://shop.sonapharmacy.com/products/curad-flex-fabric-bandages", "https://shop.sonapharmacy.com/products/curad-flex-fabric-bandages")</f>
        <v>https://shop.sonapharmacy.com/products/curad-flex-fabric-bandages</v>
      </c>
      <c r="C3770" t="s">
        <v>10355</v>
      </c>
      <c r="D3770" t="s">
        <v>10356</v>
      </c>
      <c r="E3770" s="3" t="str">
        <f>HYPERLINK("https://www.amazon.com/Curad-CURCC320BC-Variety-Assorted-Bandages/dp/B01DRINT36/ref=sr_1_10?keywords=Curad%C2%AE+Flex-Fabric+Bandages&amp;qid=1695260173&amp;sr=8-10", "https://www.amazon.com/Curad-CURCC320BC-Variety-Assorted-Bandages/dp/B01DRINT36/ref=sr_1_10?keywords=Curad%C2%AE+Flex-Fabric+Bandages&amp;qid=1695260173&amp;sr=8-10")</f>
        <v>https://www.amazon.com/Curad-CURCC320BC-Variety-Assorted-Bandages/dp/B01DRINT36/ref=sr_1_10?keywords=Curad%C2%AE+Flex-Fabric+Bandages&amp;qid=1695260173&amp;sr=8-10</v>
      </c>
      <c r="F3770" t="s">
        <v>10357</v>
      </c>
      <c r="G3770" t="e">
        <f ca="1">IMAGE("https://shop.sonapharmacy.com/cdn/shop/products/flexstrip.png?v=1607709917")</f>
        <v>#NAME?</v>
      </c>
      <c r="H3770" t="e">
        <f ca="1">IMAGE("https://m.media-amazon.com/images/I/514zAxIWPTL._AC_UL320_.jpg")</f>
        <v>#NAME?</v>
      </c>
      <c r="I3770" t="s">
        <v>8680</v>
      </c>
      <c r="J3770">
        <v>12.87</v>
      </c>
      <c r="K3770" s="2" t="s">
        <v>10358</v>
      </c>
      <c r="L3770">
        <v>4.7</v>
      </c>
      <c r="M3770">
        <v>5653</v>
      </c>
      <c r="O3770" t="s">
        <v>26</v>
      </c>
      <c r="P3770" t="s">
        <v>39</v>
      </c>
      <c r="Q3770" t="s">
        <v>10359</v>
      </c>
    </row>
    <row r="3771" spans="1:17" ht="15.75" x14ac:dyDescent="0.25">
      <c r="A3771" s="3" t="str">
        <f>HYPERLINK("https://shop.sonapharmacy.com/products/fleet%C2%AE-liquid-glycerin-suppositories-4", "https://shop.sonapharmacy.com/products/fleet%C2%AE-liquid-glycerin-suppositories-4")</f>
        <v>https://shop.sonapharmacy.com/products/fleet%C2%AE-liquid-glycerin-suppositories-4</v>
      </c>
      <c r="B3771" s="3" t="str">
        <f>HYPERLINK("https://shop.sonapharmacy.com/products/fleet%c2%ae-liquid-glycerin-suppositories-4", "https://shop.sonapharmacy.com/products/fleet%c2%ae-liquid-glycerin-suppositories-4")</f>
        <v>https://shop.sonapharmacy.com/products/fleet%c2%ae-liquid-glycerin-suppositories-4</v>
      </c>
      <c r="C3771" t="s">
        <v>8663</v>
      </c>
      <c r="D3771" t="s">
        <v>10360</v>
      </c>
      <c r="E3771" s="3"/>
      <c r="F3771" t="s">
        <v>10361</v>
      </c>
      <c r="G3771" t="e">
        <f ca="1">IMAGE("https://shop.sonapharmacy.com/cdn/shop/products/61jAlYCKusL._SL1000.jpg?v=1609350996")</f>
        <v>#NAME?</v>
      </c>
      <c r="H3771" t="e">
        <f ca="1">IMAGE("https://m.media-amazon.com/images/I/71+xuyQObtL._AC_UL320_.jpg")</f>
        <v>#NAME?</v>
      </c>
      <c r="I3771" t="s">
        <v>8557</v>
      </c>
      <c r="J3771">
        <v>19.25</v>
      </c>
      <c r="K3771" s="2" t="s">
        <v>10362</v>
      </c>
      <c r="L3771">
        <v>4.5999999999999996</v>
      </c>
      <c r="M3771">
        <v>220</v>
      </c>
      <c r="O3771" t="s">
        <v>136</v>
      </c>
      <c r="P3771" t="s">
        <v>39</v>
      </c>
      <c r="Q3771" t="s">
        <v>8667</v>
      </c>
    </row>
    <row r="3772" spans="1:17" ht="15.75" x14ac:dyDescent="0.25">
      <c r="A3772" s="3" t="str">
        <f>HYPERLINK("https://shop.sonapharmacy.com/products/fleet%C2%AE-liquid-glycerin-suppositories-4", "https://shop.sonapharmacy.com/products/fleet%C2%AE-liquid-glycerin-suppositories-4")</f>
        <v>https://shop.sonapharmacy.com/products/fleet%C2%AE-liquid-glycerin-suppositories-4</v>
      </c>
      <c r="B3772" s="3" t="str">
        <f>HYPERLINK("https://shop.sonapharmacy.com/products/fleet%c2%ae-liquid-glycerin-suppositories-4", "https://shop.sonapharmacy.com/products/fleet%c2%ae-liquid-glycerin-suppositories-4")</f>
        <v>https://shop.sonapharmacy.com/products/fleet%c2%ae-liquid-glycerin-suppositories-4</v>
      </c>
      <c r="C3772" t="s">
        <v>8663</v>
      </c>
      <c r="D3772" t="s">
        <v>10360</v>
      </c>
      <c r="E3772" s="3"/>
      <c r="F3772" t="s">
        <v>10361</v>
      </c>
      <c r="G3772" t="e">
        <f ca="1">IMAGE("https://shop.sonapharmacy.com/cdn/shop/products/61jAlYCKusL._SL1000.jpg?v=1609350996")</f>
        <v>#NAME?</v>
      </c>
      <c r="H3772" t="e">
        <f ca="1">IMAGE("https://m.media-amazon.com/images/I/71+xuyQObtL._AC_UL320_.jpg")</f>
        <v>#NAME?</v>
      </c>
      <c r="I3772" t="s">
        <v>8557</v>
      </c>
      <c r="J3772">
        <v>19.25</v>
      </c>
      <c r="K3772" s="2" t="s">
        <v>10362</v>
      </c>
      <c r="L3772">
        <v>4.5999999999999996</v>
      </c>
      <c r="M3772">
        <v>220</v>
      </c>
      <c r="O3772" t="s">
        <v>136</v>
      </c>
      <c r="P3772" t="s">
        <v>39</v>
      </c>
      <c r="Q3772" t="s">
        <v>8667</v>
      </c>
    </row>
    <row r="3773" spans="1:17" ht="15.75" x14ac:dyDescent="0.25">
      <c r="A3773" s="3" t="str">
        <f>HYPERLINK("https://shop.sonapharmacy.com/products/sundown-vitamin-e-oil-2-5fl", "https://shop.sonapharmacy.com/products/sundown-vitamin-e-oil-2-5fl")</f>
        <v>https://shop.sonapharmacy.com/products/sundown-vitamin-e-oil-2-5fl</v>
      </c>
      <c r="B3773" s="3" t="str">
        <f>HYPERLINK("https://shop.sonapharmacy.com/products/sundown-vitamin-e-oil-2-5fl", "https://shop.sonapharmacy.com/products/sundown-vitamin-e-oil-2-5fl")</f>
        <v>https://shop.sonapharmacy.com/products/sundown-vitamin-e-oil-2-5fl</v>
      </c>
      <c r="C3773" t="s">
        <v>8883</v>
      </c>
      <c r="D3773" t="s">
        <v>10363</v>
      </c>
      <c r="E3773" s="3" t="str">
        <f>HYPERLINK("https://www.amazon.com/Sundown-Naturals-Vitamin-Ounce-Bottle/dp/B001GAOG6M/ref=sr_1_3?keywords=Sundown+Vitamin+E+Oil+2.5fl&amp;qid=1695260741&amp;sr=8-3", "https://www.amazon.com/Sundown-Naturals-Vitamin-Ounce-Bottle/dp/B001GAOG6M/ref=sr_1_3?keywords=Sundown+Vitamin+E+Oil+2.5fl&amp;qid=1695260741&amp;sr=8-3")</f>
        <v>https://www.amazon.com/Sundown-Naturals-Vitamin-Ounce-Bottle/dp/B001GAOG6M/ref=sr_1_3?keywords=Sundown+Vitamin+E+Oil+2.5fl&amp;qid=1695260741&amp;sr=8-3</v>
      </c>
      <c r="F3773" t="s">
        <v>10364</v>
      </c>
      <c r="G3773" t="e">
        <f ca="1">IMAGE("https://shop.sonapharmacy.com/cdn/shop/products/b5528557-4aee-4dfe-a2a2-302b5998af18_1.8e7a790b89db2b249d70e2d54929257f.jpg?v=1608242073")</f>
        <v>#NAME?</v>
      </c>
      <c r="H3773" t="e">
        <f ca="1">IMAGE("https://m.media-amazon.com/images/I/61XUITzojOL._AC_UL320_.jpg")</f>
        <v>#NAME?</v>
      </c>
      <c r="I3773" t="s">
        <v>8886</v>
      </c>
      <c r="J3773">
        <v>25.42</v>
      </c>
      <c r="K3773" s="2" t="s">
        <v>10365</v>
      </c>
      <c r="L3773">
        <v>4.5</v>
      </c>
      <c r="M3773">
        <v>784</v>
      </c>
      <c r="O3773" t="s">
        <v>26</v>
      </c>
      <c r="P3773" t="s">
        <v>39</v>
      </c>
      <c r="Q3773" t="s">
        <v>8888</v>
      </c>
    </row>
    <row r="3774" spans="1:17" ht="15.75" x14ac:dyDescent="0.25">
      <c r="A3774" s="3" t="str">
        <f>HYPERLINK("https://shop.sonapharmacy.com/products/nature-made-vitamin-c-1000-mg-tablets", "https://shop.sonapharmacy.com/products/nature-made-vitamin-c-1000-mg-tablets")</f>
        <v>https://shop.sonapharmacy.com/products/nature-made-vitamin-c-1000-mg-tablets</v>
      </c>
      <c r="B3774" s="3" t="str">
        <f>HYPERLINK("https://shop.sonapharmacy.com/products/nature-made-vitamin-c-1000-mg-tablets", "https://shop.sonapharmacy.com/products/nature-made-vitamin-c-1000-mg-tablets")</f>
        <v>https://shop.sonapharmacy.com/products/nature-made-vitamin-c-1000-mg-tablets</v>
      </c>
      <c r="C3774" t="s">
        <v>10366</v>
      </c>
      <c r="D3774" t="s">
        <v>10367</v>
      </c>
      <c r="E3774" s="3" t="str">
        <f>HYPERLINK("https://www.amazon.com/Nature-Made-Vitamin-Dietary-Supplement/dp/B00EZWSY20/ref=sr_1_5?keywords=Nature+Made%C2%AE+Vitamin+C+1000mg+Tablets+100ct.&amp;qid=1695260544&amp;sr=8-5", "https://www.amazon.com/Nature-Made-Vitamin-Dietary-Supplement/dp/B00EZWSY20/ref=sr_1_5?keywords=Nature+Made%C2%AE+Vitamin+C+1000mg+Tablets+100ct.&amp;qid=1695260544&amp;sr=8-5")</f>
        <v>https://www.amazon.com/Nature-Made-Vitamin-Dietary-Supplement/dp/B00EZWSY20/ref=sr_1_5?keywords=Nature+Made%C2%AE+Vitamin+C+1000mg+Tablets+100ct.&amp;qid=1695260544&amp;sr=8-5</v>
      </c>
      <c r="F3774" t="s">
        <v>10368</v>
      </c>
      <c r="G3774" t="e">
        <f ca="1">IMAGE("https://shop.sonapharmacy.com/cdn/shop/products/71l0v1vOrUL._AC_SL1500.jpg?v=1610040168")</f>
        <v>#NAME?</v>
      </c>
      <c r="H3774" t="e">
        <f ca="1">IMAGE("https://m.media-amazon.com/images/I/61IylTa+t4L._AC_UL320_.jpg")</f>
        <v>#NAME?</v>
      </c>
      <c r="I3774" t="s">
        <v>10369</v>
      </c>
      <c r="J3774">
        <v>42.99</v>
      </c>
      <c r="K3774" s="2" t="s">
        <v>10370</v>
      </c>
      <c r="L3774">
        <v>3.2</v>
      </c>
      <c r="M3774">
        <v>4</v>
      </c>
      <c r="O3774" t="s">
        <v>26</v>
      </c>
      <c r="P3774" t="s">
        <v>39</v>
      </c>
      <c r="Q3774" t="s">
        <v>10371</v>
      </c>
    </row>
    <row r="3775" spans="1:17" ht="15.75" x14ac:dyDescent="0.25">
      <c r="A3775" s="3" t="str">
        <f>HYPERLINK("https://shop.sonapharmacy.com/products/band-aid-skin-flex-bandage", "https://shop.sonapharmacy.com/products/band-aid-skin-flex-bandage")</f>
        <v>https://shop.sonapharmacy.com/products/band-aid-skin-flex-bandage</v>
      </c>
      <c r="B3775" s="3" t="str">
        <f>HYPERLINK("https://shop.sonapharmacy.com/products/band-aid-skin-flex-bandage", "https://shop.sonapharmacy.com/products/band-aid-skin-flex-bandage")</f>
        <v>https://shop.sonapharmacy.com/products/band-aid-skin-flex-bandage</v>
      </c>
      <c r="C3775" t="s">
        <v>8323</v>
      </c>
      <c r="D3775" t="s">
        <v>10372</v>
      </c>
      <c r="E3775" s="3" t="str">
        <f>HYPERLINK("https://www.amazon.com/Band-Aid-Brand-Skin-Flex-Adhesive-Bandages/dp/B075SRKG7T/ref=sr_1_8?keywords=BAND-AID%C2%AE+Skin+Flex+Bandage&amp;qid=1695260066&amp;sr=8-8", "https://www.amazon.com/Band-Aid-Brand-Skin-Flex-Adhesive-Bandages/dp/B075SRKG7T/ref=sr_1_8?keywords=BAND-AID%C2%AE+Skin+Flex+Bandage&amp;qid=1695260066&amp;sr=8-8")</f>
        <v>https://www.amazon.com/Band-Aid-Brand-Skin-Flex-Adhesive-Bandages/dp/B075SRKG7T/ref=sr_1_8?keywords=BAND-AID%C2%AE+Skin+Flex+Bandage&amp;qid=1695260066&amp;sr=8-8</v>
      </c>
      <c r="F3775" t="s">
        <v>10373</v>
      </c>
      <c r="G3775" t="e">
        <f ca="1">IMAGE("https://shop.sonapharmacy.com/cdn/shop/products/bab_381371183470_band_aid_band-aid_skin-flex_aos_25ct_007.jpg?v=1627748646")</f>
        <v>#NAME?</v>
      </c>
      <c r="H3775" t="e">
        <f ca="1">IMAGE("https://m.media-amazon.com/images/I/81wsIGRnUXL._AC_UL320_.jpg")</f>
        <v>#NAME?</v>
      </c>
      <c r="I3775" t="s">
        <v>8326</v>
      </c>
      <c r="J3775">
        <v>17.98</v>
      </c>
      <c r="K3775" s="2" t="s">
        <v>10374</v>
      </c>
      <c r="L3775">
        <v>4.5999999999999996</v>
      </c>
      <c r="M3775">
        <v>1410</v>
      </c>
      <c r="O3775" t="s">
        <v>26</v>
      </c>
      <c r="P3775" t="s">
        <v>39</v>
      </c>
      <c r="Q3775" t="s">
        <v>8328</v>
      </c>
    </row>
    <row r="3776" spans="1:17" ht="15.75" x14ac:dyDescent="0.25">
      <c r="A3776" s="3" t="str">
        <f>HYPERLINK("https://shop.sonapharmacy.com/products/band-aid-tough-strips", "https://shop.sonapharmacy.com/products/band-aid-tough-strips")</f>
        <v>https://shop.sonapharmacy.com/products/band-aid-tough-strips</v>
      </c>
      <c r="B3776" s="3" t="str">
        <f>HYPERLINK("https://shop.sonapharmacy.com/products/band-aid-tough-strips", "https://shop.sonapharmacy.com/products/band-aid-tough-strips")</f>
        <v>https://shop.sonapharmacy.com/products/band-aid-tough-strips</v>
      </c>
      <c r="C3776" t="s">
        <v>9687</v>
      </c>
      <c r="D3776" t="s">
        <v>10375</v>
      </c>
      <c r="E3776" s="3" t="str">
        <f>HYPERLINK("https://www.amazon.com/Band-Aid-Brand-Strips-Adhesive-Bandage/dp/B09FP7LDJW/ref=sr_1_1?keywords=BAND-AID%C2%AE+Tough+Strips&amp;qid=1695260064&amp;sr=8-1", "https://www.amazon.com/Band-Aid-Brand-Strips-Adhesive-Bandage/dp/B09FP7LDJW/ref=sr_1_1?keywords=BAND-AID%C2%AE+Tough+Strips&amp;qid=1695260064&amp;sr=8-1")</f>
        <v>https://www.amazon.com/Band-Aid-Brand-Strips-Adhesive-Bandage/dp/B09FP7LDJW/ref=sr_1_1?keywords=BAND-AID%C2%AE+Tough+Strips&amp;qid=1695260064&amp;sr=8-1</v>
      </c>
      <c r="F3776" t="s">
        <v>10376</v>
      </c>
      <c r="G3776" t="e">
        <f ca="1">IMAGE("https://shop.sonapharmacy.com/cdn/shop/products/bab_381370044246_band_aid_band_aid_tough_strip_xl_10ct_007.jpg?v=1607288053")</f>
        <v>#NAME?</v>
      </c>
      <c r="H3776" t="e">
        <f ca="1">IMAGE("https://m.media-amazon.com/images/I/91HJXzGJ+fL._AC_UL320_.jpg")</f>
        <v>#NAME?</v>
      </c>
      <c r="I3776" t="s">
        <v>8512</v>
      </c>
      <c r="J3776">
        <v>16.239999999999998</v>
      </c>
      <c r="K3776" s="2" t="s">
        <v>10377</v>
      </c>
      <c r="L3776">
        <v>4.7</v>
      </c>
      <c r="M3776">
        <v>6223</v>
      </c>
      <c r="O3776" t="s">
        <v>26</v>
      </c>
      <c r="P3776" t="s">
        <v>39</v>
      </c>
      <c r="Q3776" t="s">
        <v>9691</v>
      </c>
    </row>
    <row r="3777" spans="1:17" ht="15.75" x14ac:dyDescent="0.25">
      <c r="A3777" s="3" t="str">
        <f>HYPERLINK("https://shop.sonapharmacy.com/products/major%C2%AE-mintox-maximum-strength-antacid", "https://shop.sonapharmacy.com/products/major%C2%AE-mintox-maximum-strength-antacid")</f>
        <v>https://shop.sonapharmacy.com/products/major%C2%AE-mintox-maximum-strength-antacid</v>
      </c>
      <c r="B3777" s="3" t="str">
        <f>HYPERLINK("https://shop.sonapharmacy.com/products/major%c2%ae-mintox-maximum-strength-antacid", "https://shop.sonapharmacy.com/products/major%c2%ae-mintox-maximum-strength-antacid")</f>
        <v>https://shop.sonapharmacy.com/products/major%c2%ae-mintox-maximum-strength-antacid</v>
      </c>
      <c r="C3777" t="s">
        <v>8635</v>
      </c>
      <c r="D3777" t="s">
        <v>10378</v>
      </c>
      <c r="E3777" s="3" t="str">
        <f>HYPERLINK("https://www.amazon.com/Maximum-Strength-Anti-Gas-Major-Pharmaceuticals/dp/B01AVKDJWE/ref=sr_1_6?keywords=Major%C2%AE+Mintox+Maximum+Strength+Antacid&amp;qid=1695260463&amp;sr=8-6", "https://www.amazon.com/Maximum-Strength-Anti-Gas-Major-Pharmaceuticals/dp/B01AVKDJWE/ref=sr_1_6?keywords=Major%C2%AE+Mintox+Maximum+Strength+Antacid&amp;qid=1695260463&amp;sr=8-6")</f>
        <v>https://www.amazon.com/Maximum-Strength-Anti-Gas-Major-Pharmaceuticals/dp/B01AVKDJWE/ref=sr_1_6?keywords=Major%C2%AE+Mintox+Maximum+Strength+Antacid&amp;qid=1695260463&amp;sr=8-6</v>
      </c>
      <c r="F3777" t="s">
        <v>10379</v>
      </c>
      <c r="G3777" t="e">
        <f ca="1">IMAGE("https://shop.sonapharmacy.com/cdn/shop/products/810nWLAG04L._AC_SL1500.jpg?v=1613748218")</f>
        <v>#NAME?</v>
      </c>
      <c r="H3777" t="e">
        <f ca="1">IMAGE("https://m.media-amazon.com/images/I/41wRJNYdskL._AC_UL320_.jpg")</f>
        <v>#NAME?</v>
      </c>
      <c r="I3777" t="s">
        <v>8638</v>
      </c>
      <c r="J3777">
        <v>17.22</v>
      </c>
      <c r="K3777" s="2" t="s">
        <v>10380</v>
      </c>
      <c r="L3777">
        <v>1</v>
      </c>
      <c r="M3777">
        <v>1</v>
      </c>
      <c r="O3777" t="s">
        <v>26</v>
      </c>
      <c r="P3777" t="s">
        <v>39</v>
      </c>
      <c r="Q3777" t="s">
        <v>8640</v>
      </c>
    </row>
    <row r="3778" spans="1:17" ht="15.75" x14ac:dyDescent="0.25">
      <c r="A3778" s="3" t="str">
        <f>HYPERLINK("https://shop.sonapharmacy.com/products/prevagen-chewables-dietary-supplement-mixed-berry", "https://shop.sonapharmacy.com/products/prevagen-chewables-dietary-supplement-mixed-berry")</f>
        <v>https://shop.sonapharmacy.com/products/prevagen-chewables-dietary-supplement-mixed-berry</v>
      </c>
      <c r="B3778" s="3" t="str">
        <f>HYPERLINK("https://shop.sonapharmacy.com/products/prevagen-chewables-dietary-supplement-mixed-berry", "https://shop.sonapharmacy.com/products/prevagen-chewables-dietary-supplement-mixed-berry")</f>
        <v>https://shop.sonapharmacy.com/products/prevagen-chewables-dietary-supplement-mixed-berry</v>
      </c>
      <c r="C3778" t="s">
        <v>9410</v>
      </c>
      <c r="D3778" t="s">
        <v>10381</v>
      </c>
      <c r="E3778" s="3" t="str">
        <f>HYPERLINK("https://www.amazon.com/Prevagen-Improves-Memory-Apoaequorin-Supplement/dp/B0892RTHGW/ref=sr_1_3?keywords=Prevagen+Chewables+Dietary+Supplement-+Mixed+Berry&amp;qid=1695260645&amp;sr=8-3", "https://www.amazon.com/Prevagen-Improves-Memory-Apoaequorin-Supplement/dp/B0892RTHGW/ref=sr_1_3?keywords=Prevagen+Chewables+Dietary+Supplement-+Mixed+Berry&amp;qid=1695260645&amp;sr=8-3")</f>
        <v>https://www.amazon.com/Prevagen-Improves-Memory-Apoaequorin-Supplement/dp/B0892RTHGW/ref=sr_1_3?keywords=Prevagen+Chewables+Dietary+Supplement-+Mixed+Berry&amp;qid=1695260645&amp;sr=8-3</v>
      </c>
      <c r="F3778" t="s">
        <v>10382</v>
      </c>
      <c r="G3778" t="e">
        <f ca="1">IMAGE("https://shop.sonapharmacy.com/cdn/shop/products/PrevagenChewablesDietarySupplement-MixedBerry.jpg?v=1594304231")</f>
        <v>#NAME?</v>
      </c>
      <c r="H3778" t="e">
        <f ca="1">IMAGE("https://m.media-amazon.com/images/I/81rOZcd3VUL._AC_UL320_.jpg")</f>
        <v>#NAME?</v>
      </c>
      <c r="I3778" t="s">
        <v>3535</v>
      </c>
      <c r="J3778">
        <v>101.9</v>
      </c>
      <c r="K3778" s="2" t="s">
        <v>10383</v>
      </c>
      <c r="L3778">
        <v>4.4000000000000004</v>
      </c>
      <c r="M3778">
        <v>3046</v>
      </c>
      <c r="O3778" t="s">
        <v>39</v>
      </c>
      <c r="P3778" t="s">
        <v>39</v>
      </c>
      <c r="Q3778" t="s">
        <v>9414</v>
      </c>
    </row>
    <row r="3779" spans="1:17" ht="15.75" x14ac:dyDescent="0.25">
      <c r="A3779" s="3" t="str">
        <f>HYPERLINK("https://shop.sonapharmacy.com/products/refresh%C2%AE-p-m-preservative-free-lubricant-eye-ointment", "https://shop.sonapharmacy.com/products/refresh%C2%AE-p-m-preservative-free-lubricant-eye-ointment")</f>
        <v>https://shop.sonapharmacy.com/products/refresh%C2%AE-p-m-preservative-free-lubricant-eye-ointment</v>
      </c>
      <c r="B3779" s="3" t="str">
        <f>HYPERLINK("https://shop.sonapharmacy.com/products/refresh%c2%ae-p-m-preservative-free-lubricant-eye-ointment", "https://shop.sonapharmacy.com/products/refresh%c2%ae-p-m-preservative-free-lubricant-eye-ointment")</f>
        <v>https://shop.sonapharmacy.com/products/refresh%c2%ae-p-m-preservative-free-lubricant-eye-ointment</v>
      </c>
      <c r="C3779" t="s">
        <v>10384</v>
      </c>
      <c r="D3779" t="s">
        <v>10385</v>
      </c>
      <c r="E3779" s="3" t="str">
        <f>HYPERLINK("https://www.amazon.com/Major-LubriFresh-P-M-Preservative-Ointment/dp/B01MZC13LL/ref=sr_1_10?keywords=Refresh%C2%AE+P.M+Preservative+Free+Lubricant+Eye+Ointment&amp;qid=1695260717&amp;sr=8-10", "https://www.amazon.com/Major-LubriFresh-P-M-Preservative-Ointment/dp/B01MZC13LL/ref=sr_1_10?keywords=Refresh%C2%AE+P.M+Preservative+Free+Lubricant+Eye+Ointment&amp;qid=1695260717&amp;sr=8-10")</f>
        <v>https://www.amazon.com/Major-LubriFresh-P-M-Preservative-Ointment/dp/B01MZC13LL/ref=sr_1_10?keywords=Refresh%C2%AE+P.M+Preservative+Free+Lubricant+Eye+Ointment&amp;qid=1695260717&amp;sr=8-10</v>
      </c>
      <c r="F3779" t="s">
        <v>10386</v>
      </c>
      <c r="G3779" t="e">
        <f ca="1">IMAGE("https://shop.sonapharmacy.com/cdn/shop/products/71FoyWuxXtL._AC_SL1500.jpg?v=1613749260")</f>
        <v>#NAME?</v>
      </c>
      <c r="H3779" t="e">
        <f ca="1">IMAGE("https://m.media-amazon.com/images/I/61DIZujtGNL._AC_UL320_.jpg")</f>
        <v>#NAME?</v>
      </c>
      <c r="I3779" t="s">
        <v>10387</v>
      </c>
      <c r="J3779">
        <v>39.99</v>
      </c>
      <c r="K3779" s="2" t="s">
        <v>10388</v>
      </c>
      <c r="L3779">
        <v>4.9000000000000004</v>
      </c>
      <c r="M3779">
        <v>15</v>
      </c>
      <c r="O3779" t="s">
        <v>26</v>
      </c>
      <c r="P3779" t="s">
        <v>39</v>
      </c>
      <c r="Q3779" t="s">
        <v>10389</v>
      </c>
    </row>
    <row r="3780" spans="1:17" ht="15.75" x14ac:dyDescent="0.25">
      <c r="A3780" s="3" t="str">
        <f>HYPERLINK("https://shop.sonapharmacy.com/products/basics-red-yeast-rice-600-mg-capsules", "https://shop.sonapharmacy.com/products/basics-red-yeast-rice-600-mg-capsules")</f>
        <v>https://shop.sonapharmacy.com/products/basics-red-yeast-rice-600-mg-capsules</v>
      </c>
      <c r="B3780" s="3" t="str">
        <f>HYPERLINK("https://shop.sonapharmacy.com/products/basics-red-yeast-rice-600-mg-capsules", "https://shop.sonapharmacy.com/products/basics-red-yeast-rice-600-mg-capsules")</f>
        <v>https://shop.sonapharmacy.com/products/basics-red-yeast-rice-600-mg-capsules</v>
      </c>
      <c r="C3780" t="s">
        <v>9105</v>
      </c>
      <c r="D3780" t="s">
        <v>10390</v>
      </c>
      <c r="E3780" s="3" t="str">
        <f>HYPERLINK("https://www.amazon.com/Dietary-Supplement-Available-Capsules-Sticker/dp/B0C8LNP7KT/ref=sr_1_7?keywords=Basic%27s%C2%AE+Red+Yeast+Rice+600mg+Capsules+100ct.&amp;qid=1695260108&amp;sr=8-7", "https://www.amazon.com/Dietary-Supplement-Available-Capsules-Sticker/dp/B0C8LNP7KT/ref=sr_1_7?keywords=Basic%27s%C2%AE+Red+Yeast+Rice+600mg+Capsules+100ct.&amp;qid=1695260108&amp;sr=8-7")</f>
        <v>https://www.amazon.com/Dietary-Supplement-Available-Capsules-Sticker/dp/B0C8LNP7KT/ref=sr_1_7?keywords=Basic%27s%C2%AE+Red+Yeast+Rice+600mg+Capsules+100ct.&amp;qid=1695260108&amp;sr=8-7</v>
      </c>
      <c r="F3780" t="s">
        <v>10391</v>
      </c>
      <c r="G3780" t="e">
        <f ca="1">IMAGE("https://shop.sonapharmacy.com/cdn/shop/products/apimk1isp__77354.1592331582.jpg?v=1609342606")</f>
        <v>#NAME?</v>
      </c>
      <c r="H3780" t="e">
        <f ca="1">IMAGE("https://m.media-amazon.com/images/I/812pCU-sf9L._AC_UL320_.jpg")</f>
        <v>#NAME?</v>
      </c>
      <c r="I3780" t="s">
        <v>8698</v>
      </c>
      <c r="J3780">
        <v>24.97</v>
      </c>
      <c r="K3780" s="2" t="s">
        <v>10392</v>
      </c>
      <c r="L3780">
        <v>5</v>
      </c>
      <c r="M3780">
        <v>1</v>
      </c>
      <c r="O3780" t="s">
        <v>26</v>
      </c>
      <c r="P3780" t="s">
        <v>39</v>
      </c>
      <c r="Q3780" t="s">
        <v>9109</v>
      </c>
    </row>
    <row r="3781" spans="1:17" ht="15.75" x14ac:dyDescent="0.25">
      <c r="A3781" s="3" t="str">
        <f>HYPERLINK("https://shop.sonapharmacy.com/products/aveeno%C2%AE-daily-moisturizing-body-wash-12fl-oz", "https://shop.sonapharmacy.com/products/aveeno%C2%AE-daily-moisturizing-body-wash-12fl-oz")</f>
        <v>https://shop.sonapharmacy.com/products/aveeno%C2%AE-daily-moisturizing-body-wash-12fl-oz</v>
      </c>
      <c r="B3781" s="3" t="str">
        <f>HYPERLINK("https://shop.sonapharmacy.com/products/aveeno%c2%ae-daily-moisturizing-body-wash-12fl-oz", "https://shop.sonapharmacy.com/products/aveeno%c2%ae-daily-moisturizing-body-wash-12fl-oz")</f>
        <v>https://shop.sonapharmacy.com/products/aveeno%c2%ae-daily-moisturizing-body-wash-12fl-oz</v>
      </c>
      <c r="C3781" t="s">
        <v>8657</v>
      </c>
      <c r="D3781" t="s">
        <v>10393</v>
      </c>
      <c r="E3781" s="3" t="str">
        <f>HYPERLINK("https://www.amazon.com/Aveeno-Moisturizing-Soothing-Soap-Free-Fragrance/dp/B08RK43V7P/ref=sr_1_2?keywords=Aveeno%C2%AE+Daily+Moisturizing+Body+Wash+12fl.+oz.&amp;qid=1695260037&amp;sr=8-2", "https://www.amazon.com/Aveeno-Moisturizing-Soothing-Soap-Free-Fragrance/dp/B08RK43V7P/ref=sr_1_2?keywords=Aveeno%C2%AE+Daily+Moisturizing+Body+Wash+12fl.+oz.&amp;qid=1695260037&amp;sr=8-2")</f>
        <v>https://www.amazon.com/Aveeno-Moisturizing-Soothing-Soap-Free-Fragrance/dp/B08RK43V7P/ref=sr_1_2?keywords=Aveeno%C2%AE+Daily+Moisturizing+Body+Wash+12fl.+oz.&amp;qid=1695260037&amp;sr=8-2</v>
      </c>
      <c r="F3781" t="s">
        <v>10394</v>
      </c>
      <c r="G3781" t="e">
        <f ca="1">IMAGE("https://shop.sonapharmacy.com/cdn/shop/products/ave_381370014188_dailymoist_bodywash_12oz_00000_1000w_1000h.jpg?v=1611191757")</f>
        <v>#NAME?</v>
      </c>
      <c r="H3781" t="e">
        <f ca="1">IMAGE("https://m.media-amazon.com/images/I/71e8jCilS8L._AC_UL320_.jpg")</f>
        <v>#NAME?</v>
      </c>
      <c r="I3781" t="s">
        <v>8660</v>
      </c>
      <c r="J3781">
        <v>25.93</v>
      </c>
      <c r="K3781" s="2" t="s">
        <v>10395</v>
      </c>
      <c r="L3781">
        <v>4.8</v>
      </c>
      <c r="M3781">
        <v>2427</v>
      </c>
      <c r="O3781" t="s">
        <v>136</v>
      </c>
      <c r="P3781" t="s">
        <v>39</v>
      </c>
      <c r="Q3781" t="s">
        <v>8662</v>
      </c>
    </row>
    <row r="3782" spans="1:17" ht="15.75" x14ac:dyDescent="0.25">
      <c r="A3782" s="3" t="str">
        <f>HYPERLINK("https://shop.sonapharmacy.com/products/lipo-flavonoid-plus-ear-ringing-reduction-tablets", "https://shop.sonapharmacy.com/products/lipo-flavonoid-plus-ear-ringing-reduction-tablets")</f>
        <v>https://shop.sonapharmacy.com/products/lipo-flavonoid-plus-ear-ringing-reduction-tablets</v>
      </c>
      <c r="B3782" s="3" t="str">
        <f>HYPERLINK("https://shop.sonapharmacy.com/products/lipo-flavonoid-plus-ear-ringing-reduction-tablets", "https://shop.sonapharmacy.com/products/lipo-flavonoid-plus-ear-ringing-reduction-tablets")</f>
        <v>https://shop.sonapharmacy.com/products/lipo-flavonoid-plus-ear-ringing-reduction-tablets</v>
      </c>
      <c r="C3782" t="s">
        <v>10396</v>
      </c>
      <c r="D3782" t="s">
        <v>10397</v>
      </c>
      <c r="E3782" s="3" t="str">
        <f>HYPERLINK("https://www.amazon.com/Flavonoid-Tinnitus-Ringing-Vitamins-Bioflavonoids/dp/B01M1NHMEC/ref=sr_1_4?keywords=Lipo+Flavonoid+Plus+Ear+Ringing+Reduction+Tablets&amp;qid=1695260442&amp;sr=8-4", "https://www.amazon.com/Flavonoid-Tinnitus-Ringing-Vitamins-Bioflavonoids/dp/B01M1NHMEC/ref=sr_1_4?keywords=Lipo+Flavonoid+Plus+Ear+Ringing+Reduction+Tablets&amp;qid=1695260442&amp;sr=8-4")</f>
        <v>https://www.amazon.com/Flavonoid-Tinnitus-Ringing-Vitamins-Bioflavonoids/dp/B01M1NHMEC/ref=sr_1_4?keywords=Lipo+Flavonoid+Plus+Ear+Ringing+Reduction+Tablets&amp;qid=1695260442&amp;sr=8-4</v>
      </c>
      <c r="F3782" t="s">
        <v>10398</v>
      </c>
      <c r="G3782" t="e">
        <f ca="1">IMAGE("https://shop.sonapharmacy.com/cdn/shop/products/LipoFlavonoidPlusEarRingingReductionTablets.jpg?v=1594930866")</f>
        <v>#NAME?</v>
      </c>
      <c r="H3782" t="e">
        <f ca="1">IMAGE("https://m.media-amazon.com/images/I/71yX6tZFLPL._AC_UL320_.jpg")</f>
        <v>#NAME?</v>
      </c>
      <c r="I3782" t="s">
        <v>10399</v>
      </c>
      <c r="J3782">
        <v>94.9</v>
      </c>
      <c r="K3782" s="2" t="s">
        <v>10400</v>
      </c>
      <c r="L3782">
        <v>4.0999999999999996</v>
      </c>
      <c r="M3782">
        <v>3222</v>
      </c>
      <c r="O3782" t="s">
        <v>26</v>
      </c>
      <c r="P3782" t="s">
        <v>39</v>
      </c>
      <c r="Q3782" t="s">
        <v>10401</v>
      </c>
    </row>
    <row r="3783" spans="1:17" ht="15.75" x14ac:dyDescent="0.25">
      <c r="A3783" s="3" t="str">
        <f>HYPERLINK("https://shop.sonapharmacy.com/products/old-spice-high-endurance-pure-sport-body-wash-18fl-oz", "https://shop.sonapharmacy.com/products/old-spice-high-endurance-pure-sport-body-wash-18fl-oz")</f>
        <v>https://shop.sonapharmacy.com/products/old-spice-high-endurance-pure-sport-body-wash-18fl-oz</v>
      </c>
      <c r="B3783" s="3" t="str">
        <f>HYPERLINK("https://shop.sonapharmacy.com/products/old-spice-high-endurance-pure-sport-body-wash-18fl-oz", "https://shop.sonapharmacy.com/products/old-spice-high-endurance-pure-sport-body-wash-18fl-oz")</f>
        <v>https://shop.sonapharmacy.com/products/old-spice-high-endurance-pure-sport-body-wash-18fl-oz</v>
      </c>
      <c r="C3783" t="s">
        <v>8916</v>
      </c>
      <c r="D3783" t="s">
        <v>10402</v>
      </c>
      <c r="E3783" s="3" t="str">
        <f>HYPERLINK("https://www.amazon.com/Old-Spice-High-Endurance-Fresh/dp/B00JF2JMK8/ref=sr_1_8?keywords=Old+Spice+High+Endurance+Pure+Sport+Body+Wash+18fl.+oz.&amp;qid=1695260603&amp;sr=8-8", "https://www.amazon.com/Old-Spice-High-Endurance-Fresh/dp/B00JF2JMK8/ref=sr_1_8?keywords=Old+Spice+High+Endurance+Pure+Sport+Body+Wash+18fl.+oz.&amp;qid=1695260603&amp;sr=8-8")</f>
        <v>https://www.amazon.com/Old-Spice-High-Endurance-Fresh/dp/B00JF2JMK8/ref=sr_1_8?keywords=Old+Spice+High+Endurance+Pure+Sport+Body+Wash+18fl.+oz.&amp;qid=1695260603&amp;sr=8-8</v>
      </c>
      <c r="F3783" t="s">
        <v>10403</v>
      </c>
      <c r="G3783" t="e">
        <f ca="1">IMAGE("https://shop.sonapharmacy.com/cdn/shop/products/13f57484-3da0-417b-9e06-c938236c196e_1.b91e30808ac13bebc5df666aaa4bd21e.jpg?v=1608490257")</f>
        <v>#NAME?</v>
      </c>
      <c r="H3783" t="e">
        <f ca="1">IMAGE("https://m.media-amazon.com/images/I/7116v8Acu4L._AC_UL320_.jpg")</f>
        <v>#NAME?</v>
      </c>
      <c r="I3783" t="s">
        <v>5109</v>
      </c>
      <c r="J3783">
        <v>17.690000000000001</v>
      </c>
      <c r="K3783" s="2" t="s">
        <v>10404</v>
      </c>
      <c r="L3783">
        <v>4.8</v>
      </c>
      <c r="M3783">
        <v>173</v>
      </c>
      <c r="O3783" t="s">
        <v>26</v>
      </c>
      <c r="P3783" t="s">
        <v>39</v>
      </c>
      <c r="Q3783" t="s">
        <v>8920</v>
      </c>
    </row>
    <row r="3784" spans="1:17" ht="15.75" x14ac:dyDescent="0.25">
      <c r="A3784" s="3" t="str">
        <f>HYPERLINK("https://shop.sonapharmacy.com/products/apex%C2%AE-dayplanner-pill-organizer", "https://shop.sonapharmacy.com/products/apex%C2%AE-dayplanner-pill-organizer")</f>
        <v>https://shop.sonapharmacy.com/products/apex%C2%AE-dayplanner-pill-organizer</v>
      </c>
      <c r="B3784" s="3" t="str">
        <f>HYPERLINK("https://shop.sonapharmacy.com/products/apex%c2%ae-dayplanner-pill-organizer", "https://shop.sonapharmacy.com/products/apex%c2%ae-dayplanner-pill-organizer")</f>
        <v>https://shop.sonapharmacy.com/products/apex%c2%ae-dayplanner-pill-organizer</v>
      </c>
      <c r="C3784" t="s">
        <v>9676</v>
      </c>
      <c r="D3784" t="s">
        <v>10405</v>
      </c>
      <c r="E3784" s="3" t="str">
        <f>HYPERLINK("https://www.amazon.com/Apex-Organizer-Color-Coded-See-Through-Medication/dp/B000EGKTEW/ref=sr_1_2?keywords=apex+day+planner+pill+organizer&amp;qid=1695260004&amp;sr=8-2", "https://www.amazon.com/Apex-Organizer-Color-Coded-See-Through-Medication/dp/B000EGKTEW/ref=sr_1_2?keywords=apex+day+planner+pill+organizer&amp;qid=1695260004&amp;sr=8-2")</f>
        <v>https://www.amazon.com/Apex-Organizer-Color-Coded-See-Through-Medication/dp/B000EGKTEW/ref=sr_1_2?keywords=apex+day+planner+pill+organizer&amp;qid=1695260004&amp;sr=8-2</v>
      </c>
      <c r="F3784" t="s">
        <v>10406</v>
      </c>
      <c r="G3784" t="e">
        <f ca="1">IMAGE("https://shop.sonapharmacy.com/cdn/shop/products/20170616155330QN4J5F9LM5P6Z_full_580x_4c451385-f9da-4907-926b-936bb87a9d9e.jpg?v=1609961315")</f>
        <v>#NAME?</v>
      </c>
      <c r="H3784" t="e">
        <f ca="1">IMAGE("https://m.media-amazon.com/images/I/715fu30hc2L._AC_UL320_.jpg")</f>
        <v>#NAME?</v>
      </c>
      <c r="I3784" t="s">
        <v>8117</v>
      </c>
      <c r="J3784">
        <v>5.99</v>
      </c>
      <c r="K3784" s="2" t="s">
        <v>10407</v>
      </c>
      <c r="L3784">
        <v>4.3</v>
      </c>
      <c r="M3784">
        <v>12585</v>
      </c>
      <c r="O3784" t="s">
        <v>26</v>
      </c>
      <c r="P3784" t="s">
        <v>39</v>
      </c>
      <c r="Q3784" t="s">
        <v>9678</v>
      </c>
    </row>
    <row r="3785" spans="1:17" ht="15.75" x14ac:dyDescent="0.25">
      <c r="A3785" s="3" t="str">
        <f>HYPERLINK("https://shop.sonapharmacy.com/products/aspercreme-pain-relieving-creme", "https://shop.sonapharmacy.com/products/aspercreme-pain-relieving-creme")</f>
        <v>https://shop.sonapharmacy.com/products/aspercreme-pain-relieving-creme</v>
      </c>
      <c r="B3785" s="3" t="str">
        <f>HYPERLINK("https://shop.sonapharmacy.com/products/aspercreme-pain-relieving-creme", "https://shop.sonapharmacy.com/products/aspercreme-pain-relieving-creme")</f>
        <v>https://shop.sonapharmacy.com/products/aspercreme-pain-relieving-creme</v>
      </c>
      <c r="C3785" t="s">
        <v>8372</v>
      </c>
      <c r="D3785" t="s">
        <v>10408</v>
      </c>
      <c r="E3785" s="3" t="str">
        <f>HYPERLINK("https://www.amazon.com/ASPERCREME-Pain-Relieving-Creme-Pack/dp/B01IAI42HU/ref=sr_1_3?keywords=Aspercreme+Pain+Relieving+Creme&amp;qid=1695260061&amp;sr=8-3", "https://www.amazon.com/ASPERCREME-Pain-Relieving-Creme-Pack/dp/B01IAI42HU/ref=sr_1_3?keywords=Aspercreme+Pain+Relieving+Creme&amp;qid=1695260061&amp;sr=8-3")</f>
        <v>https://www.amazon.com/ASPERCREME-Pain-Relieving-Creme-Pack/dp/B01IAI42HU/ref=sr_1_3?keywords=Aspercreme+Pain+Relieving+Creme&amp;qid=1695260061&amp;sr=8-3</v>
      </c>
      <c r="F3785" t="s">
        <v>10409</v>
      </c>
      <c r="G3785" t="e">
        <f ca="1">IMAGE("https://shop.sonapharmacy.com/cdn/shop/products/71L3ZWcemAL._AC_SL1280.jpg?v=1611192722")</f>
        <v>#NAME?</v>
      </c>
      <c r="H3785" t="e">
        <f ca="1">IMAGE("https://m.media-amazon.com/images/I/61k3ZUPunuL._AC_UL320_.jpg")</f>
        <v>#NAME?</v>
      </c>
      <c r="I3785" t="s">
        <v>8341</v>
      </c>
      <c r="J3785">
        <v>23.85</v>
      </c>
      <c r="K3785" s="2" t="s">
        <v>10410</v>
      </c>
      <c r="L3785">
        <v>4.5</v>
      </c>
      <c r="M3785">
        <v>177</v>
      </c>
      <c r="O3785" t="s">
        <v>26</v>
      </c>
      <c r="P3785" t="s">
        <v>39</v>
      </c>
      <c r="Q3785" t="s">
        <v>8376</v>
      </c>
    </row>
    <row r="3786" spans="1:17" ht="15.75" x14ac:dyDescent="0.25">
      <c r="A3786"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B3786"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C3786" t="s">
        <v>9018</v>
      </c>
      <c r="D3786" t="s">
        <v>10411</v>
      </c>
      <c r="E3786" s="3" t="str">
        <f>HYPERLINK("https://www.amazon.com/Degree-Shower-Protection-Antiperspirant-Deodorant/dp/B00GMP4MOM/ref=sr_1_6?keywords=Degree%C2%AE+Shower+Clean+Dry+Protection+Antiperspirant+Deodorant+Stick&amp;qid=1695260181&amp;sr=8-6", "https://www.amazon.com/Degree-Shower-Protection-Antiperspirant-Deodorant/dp/B00GMP4MOM/ref=sr_1_6?keywords=Degree%C2%AE+Shower+Clean+Dry+Protection+Antiperspirant+Deodorant+Stick&amp;qid=1695260181&amp;sr=8-6")</f>
        <v>https://www.amazon.com/Degree-Shower-Protection-Antiperspirant-Deodorant/dp/B00GMP4MOM/ref=sr_1_6?keywords=Degree%C2%AE+Shower+Clean+Dry+Protection+Antiperspirant+Deodorant+Stick&amp;qid=1695260181&amp;sr=8-6</v>
      </c>
      <c r="F3786" t="s">
        <v>10412</v>
      </c>
      <c r="G3786" t="e">
        <f ca="1">IMAGE("https://shop.sonapharmacy.com/cdn/shop/products/DegreeShowerFront.png?v=1607052182")</f>
        <v>#NAME?</v>
      </c>
      <c r="H3786" t="e">
        <f ca="1">IMAGE("https://m.media-amazon.com/images/I/61JWrmGwcLL._AC_UL320_.jpg")</f>
        <v>#NAME?</v>
      </c>
      <c r="I3786" t="s">
        <v>8264</v>
      </c>
      <c r="J3786">
        <v>13.82</v>
      </c>
      <c r="K3786" s="2" t="s">
        <v>10413</v>
      </c>
      <c r="L3786">
        <v>5</v>
      </c>
      <c r="M3786">
        <v>8</v>
      </c>
      <c r="O3786" t="s">
        <v>26</v>
      </c>
      <c r="P3786" t="s">
        <v>39</v>
      </c>
      <c r="Q3786" t="s">
        <v>9022</v>
      </c>
    </row>
    <row r="3787" spans="1:17" ht="15.75" x14ac:dyDescent="0.25">
      <c r="A3787" s="3" t="str">
        <f>HYPERLINK("https://shop.sonapharmacy.com/products/apex%C2%AE-7-day-medium-pill-organizer", "https://shop.sonapharmacy.com/products/apex%C2%AE-7-day-medium-pill-organizer")</f>
        <v>https://shop.sonapharmacy.com/products/apex%C2%AE-7-day-medium-pill-organizer</v>
      </c>
      <c r="B3787" s="3" t="str">
        <f>HYPERLINK("https://shop.sonapharmacy.com/products/apex%c2%ae-7-day-medium-pill-organizer", "https://shop.sonapharmacy.com/products/apex%c2%ae-7-day-medium-pill-organizer")</f>
        <v>https://shop.sonapharmacy.com/products/apex%c2%ae-7-day-medium-pill-organizer</v>
      </c>
      <c r="C3787" t="s">
        <v>8449</v>
      </c>
      <c r="D3787" t="s">
        <v>10414</v>
      </c>
      <c r="E3787" s="3" t="str">
        <f>HYPERLINK("https://www.amazon.com/Apex-Push-Open-Organizer-Purple/dp/B01LYN1480/ref=sr_1_9?keywords=Apex+7-Day+Medium+Pill+Organizer&amp;qid=1695260015&amp;sr=8-9", "https://www.amazon.com/Apex-Push-Open-Organizer-Purple/dp/B01LYN1480/ref=sr_1_9?keywords=Apex+7-Day+Medium+Pill+Organizer&amp;qid=1695260015&amp;sr=8-9")</f>
        <v>https://www.amazon.com/Apex-Push-Open-Organizer-Purple/dp/B01LYN1480/ref=sr_1_9?keywords=Apex+7-Day+Medium+Pill+Organizer&amp;qid=1695260015&amp;sr=8-9</v>
      </c>
      <c r="F3787" t="s">
        <v>10415</v>
      </c>
      <c r="G3787" t="e">
        <f ca="1">IMAGE("https://shop.sonapharmacy.com/cdn/shop/products/51xN8KL65CL._SL1243.jpg?v=1609956978")</f>
        <v>#NAME?</v>
      </c>
      <c r="H3787" t="e">
        <f ca="1">IMAGE("https://m.media-amazon.com/images/I/51b1FbsPqDL._AC_UL320_.jpg")</f>
        <v>#NAME?</v>
      </c>
      <c r="I3787" t="s">
        <v>8217</v>
      </c>
      <c r="J3787">
        <v>5.29</v>
      </c>
      <c r="K3787" s="2" t="s">
        <v>10416</v>
      </c>
      <c r="L3787">
        <v>4.2</v>
      </c>
      <c r="M3787">
        <v>48</v>
      </c>
      <c r="O3787" t="s">
        <v>26</v>
      </c>
      <c r="P3787" t="s">
        <v>39</v>
      </c>
      <c r="Q3787" t="s">
        <v>8453</v>
      </c>
    </row>
    <row r="3788" spans="1:17" ht="15.75" x14ac:dyDescent="0.25">
      <c r="A3788" s="3" t="str">
        <f>HYPERLINK("https://shop.sonapharmacy.com/products/dulcolax-stool-softener", "https://shop.sonapharmacy.com/products/dulcolax-stool-softener")</f>
        <v>https://shop.sonapharmacy.com/products/dulcolax-stool-softener</v>
      </c>
      <c r="B3788" s="3" t="str">
        <f>HYPERLINK("https://shop.sonapharmacy.com/products/dulcolax-stool-softener", "https://shop.sonapharmacy.com/products/dulcolax-stool-softener")</f>
        <v>https://shop.sonapharmacy.com/products/dulcolax-stool-softener</v>
      </c>
      <c r="C3788" t="s">
        <v>10417</v>
      </c>
      <c r="D3788" t="s">
        <v>10418</v>
      </c>
      <c r="E3788" s="3" t="str">
        <f>HYPERLINK("https://www.amazon.com/Colace-Stimulant-Free-Dependable-Occasional-Constipation/dp/B09RS1WN8Y/ref=sr_1_7?keywords=Dulcolax%C2%AE+Stimulant-Free+Stool+Softener&amp;qid=1695260237&amp;rdc=1&amp;sr=8-7", "https://www.amazon.com/Colace-Stimulant-Free-Dependable-Occasional-Constipation/dp/B09RS1WN8Y/ref=sr_1_7?keywords=Dulcolax%C2%AE+Stimulant-Free+Stool+Softener&amp;qid=1695260237&amp;rdc=1&amp;sr=8-7")</f>
        <v>https://www.amazon.com/Colace-Stimulant-Free-Dependable-Occasional-Constipation/dp/B09RS1WN8Y/ref=sr_1_7?keywords=Dulcolax%C2%AE+Stimulant-Free+Stool+Softener&amp;qid=1695260237&amp;rdc=1&amp;sr=8-7</v>
      </c>
      <c r="F3788" t="s">
        <v>10419</v>
      </c>
      <c r="G3788" t="e">
        <f ca="1">IMAGE("https://shop.sonapharmacy.com/cdn/shop/products/Dulcolaxfront.png?v=1606929104")</f>
        <v>#NAME?</v>
      </c>
      <c r="H3788" t="e">
        <f ca="1">IMAGE("https://m.media-amazon.com/images/I/71wfuKmQDSL._AC_UL320_.jpg")</f>
        <v>#NAME?</v>
      </c>
      <c r="I3788" t="s">
        <v>9048</v>
      </c>
      <c r="J3788">
        <v>19.54</v>
      </c>
      <c r="K3788" s="2" t="s">
        <v>10420</v>
      </c>
      <c r="L3788">
        <v>4.5999999999999996</v>
      </c>
      <c r="M3788">
        <v>11298</v>
      </c>
      <c r="O3788" t="s">
        <v>26</v>
      </c>
      <c r="P3788" t="s">
        <v>39</v>
      </c>
      <c r="Q3788" t="s">
        <v>10421</v>
      </c>
    </row>
    <row r="3789" spans="1:17" ht="15.75" x14ac:dyDescent="0.25">
      <c r="A3789" s="3" t="str">
        <f>HYPERLINK("https://shop.sonapharmacy.com/products/prevagen-extra-strength-capsules-20-mg", "https://shop.sonapharmacy.com/products/prevagen-extra-strength-capsules-20-mg")</f>
        <v>https://shop.sonapharmacy.com/products/prevagen-extra-strength-capsules-20-mg</v>
      </c>
      <c r="B3789" s="3" t="str">
        <f>HYPERLINK("https://shop.sonapharmacy.com/products/prevagen-extra-strength-capsules-20-mg", "https://shop.sonapharmacy.com/products/prevagen-extra-strength-capsules-20-mg")</f>
        <v>https://shop.sonapharmacy.com/products/prevagen-extra-strength-capsules-20-mg</v>
      </c>
      <c r="C3789" t="s">
        <v>9057</v>
      </c>
      <c r="D3789" t="s">
        <v>10265</v>
      </c>
      <c r="E3789" s="3" t="str">
        <f>HYPERLINK("https://www.amazon.com/Prevagen-Improves-Memory-Apoaequorin-Attractive/dp/B0BN6W94HQ/ref=sr_1_8?keywords=Prevagen+Extra+Strength+Capsules+20+mg&amp;qid=1695260651&amp;sr=8-8", "https://www.amazon.com/Prevagen-Improves-Memory-Apoaequorin-Attractive/dp/B0BN6W94HQ/ref=sr_1_8?keywords=Prevagen+Extra+Strength+Capsules+20+mg&amp;qid=1695260651&amp;sr=8-8")</f>
        <v>https://www.amazon.com/Prevagen-Improves-Memory-Apoaequorin-Attractive/dp/B0BN6W94HQ/ref=sr_1_8?keywords=Prevagen+Extra+Strength+Capsules+20+mg&amp;qid=1695260651&amp;sr=8-8</v>
      </c>
      <c r="F3789" t="s">
        <v>10266</v>
      </c>
      <c r="G3789" t="e">
        <f ca="1">IMAGE("https://shop.sonapharmacy.com/cdn/shop/products/PrevagenExtraStrengthCapsules20mg.jpg?v=1594304097")</f>
        <v>#NAME?</v>
      </c>
      <c r="H3789" t="e">
        <f ca="1">IMAGE("https://m.media-amazon.com/images/I/710KnN8AqTL._AC_UL320_.jpg")</f>
        <v>#NAME?</v>
      </c>
      <c r="I3789" t="s">
        <v>9060</v>
      </c>
      <c r="J3789">
        <v>150.85</v>
      </c>
      <c r="K3789" s="2" t="s">
        <v>10422</v>
      </c>
      <c r="L3789">
        <v>4.5999999999999996</v>
      </c>
      <c r="M3789">
        <v>139</v>
      </c>
      <c r="O3789" t="s">
        <v>39</v>
      </c>
      <c r="P3789" t="s">
        <v>39</v>
      </c>
      <c r="Q3789" t="s">
        <v>9062</v>
      </c>
    </row>
    <row r="3790" spans="1:17" ht="15.75" x14ac:dyDescent="0.25">
      <c r="A3790" s="3" t="str">
        <f>HYPERLINK("https://shop.sonapharmacy.com/products/fruit-of-the-earth-aloe-vera-100-gel-6oz", "https://shop.sonapharmacy.com/products/fruit-of-the-earth-aloe-vera-100-gel-6oz")</f>
        <v>https://shop.sonapharmacy.com/products/fruit-of-the-earth-aloe-vera-100-gel-6oz</v>
      </c>
      <c r="B3790" s="3" t="str">
        <f>HYPERLINK("https://shop.sonapharmacy.com/products/fruit-of-the-earth-aloe-vera-100-gel-6oz", "https://shop.sonapharmacy.com/products/fruit-of-the-earth-aloe-vera-100-gel-6oz")</f>
        <v>https://shop.sonapharmacy.com/products/fruit-of-the-earth-aloe-vera-100-gel-6oz</v>
      </c>
      <c r="C3790" t="s">
        <v>8763</v>
      </c>
      <c r="D3790" t="s">
        <v>10423</v>
      </c>
      <c r="E3790" s="3" t="str">
        <f>HYPERLINK("https://www.amazon.com/Fruit-Earth-100-Aloe-Ounce/dp/B01CTRLSH0/ref=sr_1_5?keywords=Fruit+Of+The+Earth+Aloe+Vera+100%25+Gel+6oz.&amp;qid=1695260255&amp;sr=8-5", "https://www.amazon.com/Fruit-Earth-100-Aloe-Ounce/dp/B01CTRLSH0/ref=sr_1_5?keywords=Fruit+Of+The+Earth+Aloe+Vera+100%25+Gel+6oz.&amp;qid=1695260255&amp;sr=8-5")</f>
        <v>https://www.amazon.com/Fruit-Earth-100-Aloe-Ounce/dp/B01CTRLSH0/ref=sr_1_5?keywords=Fruit+Of+The+Earth+Aloe+Vera+100%25+Gel+6oz.&amp;qid=1695260255&amp;sr=8-5</v>
      </c>
      <c r="F3790" t="s">
        <v>10424</v>
      </c>
      <c r="G3790" t="e">
        <f ca="1">IMAGE("https://shop.sonapharmacy.com/cdn/shop/products/aloevera.jpg?v=1607965506")</f>
        <v>#NAME?</v>
      </c>
      <c r="H3790" t="e">
        <f ca="1">IMAGE("https://m.media-amazon.com/images/I/81RUXvcvEYL._AC_UL320_.jpg")</f>
        <v>#NAME?</v>
      </c>
      <c r="I3790" t="s">
        <v>8766</v>
      </c>
      <c r="J3790">
        <v>13.38</v>
      </c>
      <c r="K3790" s="2" t="s">
        <v>10425</v>
      </c>
      <c r="L3790">
        <v>4.5999999999999996</v>
      </c>
      <c r="M3790">
        <v>4973</v>
      </c>
      <c r="O3790" t="s">
        <v>26</v>
      </c>
      <c r="P3790" t="s">
        <v>39</v>
      </c>
      <c r="Q3790" t="s">
        <v>8768</v>
      </c>
    </row>
    <row r="3791" spans="1:17" ht="15.75" x14ac:dyDescent="0.25">
      <c r="A3791" s="3" t="str">
        <f>HYPERLINK("https://shop.sonapharmacy.com/products/duracell%C2%AE-301-386-silver-oxide-button-battery", "https://shop.sonapharmacy.com/products/duracell%C2%AE-301-386-silver-oxide-button-battery")</f>
        <v>https://shop.sonapharmacy.com/products/duracell%C2%AE-301-386-silver-oxide-button-battery</v>
      </c>
      <c r="B3791" s="3" t="str">
        <f>HYPERLINK("https://shop.sonapharmacy.com/products/duracell%c2%ae-301-386-silver-oxide-button-battery", "https://shop.sonapharmacy.com/products/duracell%c2%ae-301-386-silver-oxide-button-battery")</f>
        <v>https://shop.sonapharmacy.com/products/duracell%c2%ae-301-386-silver-oxide-button-battery</v>
      </c>
      <c r="C3791" t="s">
        <v>9877</v>
      </c>
      <c r="D3791" t="s">
        <v>10426</v>
      </c>
      <c r="E3791" s="3" t="str">
        <f>HYPERLINK("https://www.amazon.com/LOOPACELL-1-55V-Silver-Battery-Batteries/dp/B0756M5M91/ref=sr_1_8?keywords=Duracell%C2%AE+301%2F386+Silver+Oxide+Button+Battery&amp;qid=1695260213&amp;sr=8-8", "https://www.amazon.com/LOOPACELL-1-55V-Silver-Battery-Batteries/dp/B0756M5M91/ref=sr_1_8?keywords=Duracell%C2%AE+301%2F386+Silver+Oxide+Button+Battery&amp;qid=1695260213&amp;sr=8-8")</f>
        <v>https://www.amazon.com/LOOPACELL-1-55V-Silver-Battery-Batteries/dp/B0756M5M91/ref=sr_1_8?keywords=Duracell%C2%AE+301%2F386+Silver+Oxide+Button+Battery&amp;qid=1695260213&amp;sr=8-8</v>
      </c>
      <c r="F3791" t="s">
        <v>10427</v>
      </c>
      <c r="G3791" t="e">
        <f ca="1">IMAGE("https://shop.sonapharmacy.com/cdn/shop/products/61graATYFOL._AC_SL1401.jpg?v=1610332821")</f>
        <v>#NAME?</v>
      </c>
      <c r="H3791" t="e">
        <f ca="1">IMAGE("https://m.media-amazon.com/images/I/618EofJ39rL._AC_UL320_.jpg")</f>
        <v>#NAME?</v>
      </c>
      <c r="I3791" t="s">
        <v>8206</v>
      </c>
      <c r="J3791">
        <v>14.99</v>
      </c>
      <c r="K3791" s="2" t="s">
        <v>10428</v>
      </c>
      <c r="L3791">
        <v>4.4000000000000004</v>
      </c>
      <c r="M3791">
        <v>2</v>
      </c>
      <c r="O3791" t="s">
        <v>26</v>
      </c>
      <c r="P3791" t="s">
        <v>39</v>
      </c>
      <c r="Q3791" t="s">
        <v>9881</v>
      </c>
    </row>
    <row r="3792" spans="1:17" ht="15.75" x14ac:dyDescent="0.25">
      <c r="A3792" s="3" t="str">
        <f>HYPERLINK("https://shop.sonapharmacy.com/products/eos%C2%AE-watermelon-frose-lip-balm", "https://shop.sonapharmacy.com/products/eos%C2%AE-watermelon-frose-lip-balm")</f>
        <v>https://shop.sonapharmacy.com/products/eos%C2%AE-watermelon-frose-lip-balm</v>
      </c>
      <c r="B3792" s="3" t="str">
        <f>HYPERLINK("https://shop.sonapharmacy.com/products/eos%c2%ae-watermelon-frose-lip-balm", "https://shop.sonapharmacy.com/products/eos%c2%ae-watermelon-frose-lip-balm")</f>
        <v>https://shop.sonapharmacy.com/products/eos%c2%ae-watermelon-frose-lip-balm</v>
      </c>
      <c r="C3792" t="s">
        <v>9487</v>
      </c>
      <c r="D3792" t="s">
        <v>10429</v>
      </c>
      <c r="E3792" s="3" t="str">
        <f>HYPERLINK("https://www.amazon.com/eos-Watermelon-Pomegranate-Champagne-Moisture/dp/B0BVT3JY47/ref=sr_1_4?keywords=EOS%C2%AE+Watermelon+Fros%C3%A9+Lip+Balm&amp;qid=1695260219&amp;sr=8-4", "https://www.amazon.com/eos-Watermelon-Pomegranate-Champagne-Moisture/dp/B0BVT3JY47/ref=sr_1_4?keywords=EOS%C2%AE+Watermelon+Fros%C3%A9+Lip+Balm&amp;qid=1695260219&amp;sr=8-4")</f>
        <v>https://www.amazon.com/eos-Watermelon-Pomegranate-Champagne-Moisture/dp/B0BVT3JY47/ref=sr_1_4?keywords=EOS%C2%AE+Watermelon+Fros%C3%A9+Lip+Balm&amp;qid=1695260219&amp;sr=8-4</v>
      </c>
      <c r="F3792" t="s">
        <v>10430</v>
      </c>
      <c r="G3792" t="e">
        <f ca="1">IMAGE("https://shop.sonapharmacy.com/cdn/shop/products/61gAMrKDRrL._AC_SL1400.jpg?v=1613747996")</f>
        <v>#NAME?</v>
      </c>
      <c r="H3792" t="e">
        <f ca="1">IMAGE("https://m.media-amazon.com/images/I/71F3GQbte1L._AC_UL320_.jpg")</f>
        <v>#NAME?</v>
      </c>
      <c r="I3792" t="s">
        <v>9490</v>
      </c>
      <c r="J3792">
        <v>9.98</v>
      </c>
      <c r="K3792" s="2" t="s">
        <v>10431</v>
      </c>
      <c r="L3792">
        <v>4.8</v>
      </c>
      <c r="M3792">
        <v>1901</v>
      </c>
      <c r="O3792" t="s">
        <v>26</v>
      </c>
      <c r="P3792" t="s">
        <v>39</v>
      </c>
      <c r="Q3792" t="s">
        <v>9492</v>
      </c>
    </row>
    <row r="3793" spans="1:17" ht="15.75" x14ac:dyDescent="0.25">
      <c r="A3793" s="3" t="str">
        <f>HYPERLINK("https://shop.sonapharmacy.com/products/nexcare-opticlude", "https://shop.sonapharmacy.com/products/nexcare-opticlude")</f>
        <v>https://shop.sonapharmacy.com/products/nexcare-opticlude</v>
      </c>
      <c r="B3793" s="3" t="str">
        <f>HYPERLINK("https://shop.sonapharmacy.com/products/nexcare-opticlude", "https://shop.sonapharmacy.com/products/nexcare-opticlude")</f>
        <v>https://shop.sonapharmacy.com/products/nexcare-opticlude</v>
      </c>
      <c r="C3793" t="s">
        <v>8566</v>
      </c>
      <c r="D3793" t="s">
        <v>10432</v>
      </c>
      <c r="E3793" s="3" t="str">
        <f>HYPERLINK("https://www.amazon.com/Nexcare-Opticlude-Orthoptic-Patches-Junior/dp/B01IAI3VNG/ref=sr_1_4?keywords=Nexcare+Opticlude+Eye+Patch&amp;qid=1695260565&amp;sr=8-4", "https://www.amazon.com/Nexcare-Opticlude-Orthoptic-Patches-Junior/dp/B01IAI3VNG/ref=sr_1_4?keywords=Nexcare+Opticlude+Eye+Patch&amp;qid=1695260565&amp;sr=8-4")</f>
        <v>https://www.amazon.com/Nexcare-Opticlude-Orthoptic-Patches-Junior/dp/B01IAI3VNG/ref=sr_1_4?keywords=Nexcare+Opticlude+Eye+Patch&amp;qid=1695260565&amp;sr=8-4</v>
      </c>
      <c r="F3793" t="s">
        <v>10433</v>
      </c>
      <c r="G3793" t="e">
        <f ca="1">IMAGE("https://shop.sonapharmacy.com/cdn/shop/products/us-1539-opticlude-eyepatch.jpg?v=1607704873")</f>
        <v>#NAME?</v>
      </c>
      <c r="H3793" t="e">
        <f ca="1">IMAGE("https://m.media-amazon.com/images/I/71EkofQ4EEL._AC_UL320_.jpg")</f>
        <v>#NAME?</v>
      </c>
      <c r="I3793" t="s">
        <v>4296</v>
      </c>
      <c r="J3793">
        <v>29.95</v>
      </c>
      <c r="K3793" s="2" t="s">
        <v>10434</v>
      </c>
      <c r="L3793">
        <v>5</v>
      </c>
      <c r="M3793">
        <v>3</v>
      </c>
      <c r="O3793" t="s">
        <v>26</v>
      </c>
      <c r="P3793" t="s">
        <v>39</v>
      </c>
      <c r="Q3793" t="s">
        <v>8570</v>
      </c>
    </row>
    <row r="3794" spans="1:17" ht="15.75" x14ac:dyDescent="0.25">
      <c r="A3794" s="3" t="str">
        <f>HYPERLINK("https://shop.sonapharmacy.com/products/prevagen-extra-strength-capsules-20-mg", "https://shop.sonapharmacy.com/products/prevagen-extra-strength-capsules-20-mg")</f>
        <v>https://shop.sonapharmacy.com/products/prevagen-extra-strength-capsules-20-mg</v>
      </c>
      <c r="B3794" s="3" t="str">
        <f>HYPERLINK("https://shop.sonapharmacy.com/products/prevagen-extra-strength-capsules-20-mg", "https://shop.sonapharmacy.com/products/prevagen-extra-strength-capsules-20-mg")</f>
        <v>https://shop.sonapharmacy.com/products/prevagen-extra-strength-capsules-20-mg</v>
      </c>
      <c r="C3794" t="s">
        <v>9057</v>
      </c>
      <c r="D3794" t="s">
        <v>9411</v>
      </c>
      <c r="E3794" s="3" t="str">
        <f>HYPERLINK("https://www.amazon.com/Prevagen-Improves-Memory-Apoaequorin-Supplement/dp/B0892R7XW6/ref=sr_1_7?keywords=Prevagen+Extra+Strength+Capsules+20+mg&amp;qid=1695260651&amp;sr=8-7", "https://www.amazon.com/Prevagen-Improves-Memory-Apoaequorin-Supplement/dp/B0892R7XW6/ref=sr_1_7?keywords=Prevagen+Extra+Strength+Capsules+20+mg&amp;qid=1695260651&amp;sr=8-7")</f>
        <v>https://www.amazon.com/Prevagen-Improves-Memory-Apoaequorin-Supplement/dp/B0892R7XW6/ref=sr_1_7?keywords=Prevagen+Extra+Strength+Capsules+20+mg&amp;qid=1695260651&amp;sr=8-7</v>
      </c>
      <c r="F3794" t="s">
        <v>9412</v>
      </c>
      <c r="G3794" t="e">
        <f ca="1">IMAGE("https://shop.sonapharmacy.com/cdn/shop/products/PrevagenExtraStrengthCapsules20mg.jpg?v=1594304097")</f>
        <v>#NAME?</v>
      </c>
      <c r="H3794" t="e">
        <f ca="1">IMAGE("https://m.media-amazon.com/images/I/81vSpbRLybL._AC_UL320_.jpg")</f>
        <v>#NAME?</v>
      </c>
      <c r="I3794" t="s">
        <v>9060</v>
      </c>
      <c r="J3794">
        <v>149.85</v>
      </c>
      <c r="K3794" s="2" t="s">
        <v>10435</v>
      </c>
      <c r="L3794">
        <v>4.5</v>
      </c>
      <c r="M3794">
        <v>978</v>
      </c>
      <c r="O3794" t="s">
        <v>39</v>
      </c>
      <c r="P3794" t="s">
        <v>39</v>
      </c>
      <c r="Q3794" t="s">
        <v>9062</v>
      </c>
    </row>
    <row r="3795" spans="1:17" ht="15.75" x14ac:dyDescent="0.25">
      <c r="A3795" s="3" t="str">
        <f>HYPERLINK("https://shop.sonapharmacy.com/products/schiff-move-free-joint-health-advanced-plus-msm-tablets", "https://shop.sonapharmacy.com/products/schiff-move-free-joint-health-advanced-plus-msm-tablets")</f>
        <v>https://shop.sonapharmacy.com/products/schiff-move-free-joint-health-advanced-plus-msm-tablets</v>
      </c>
      <c r="B3795" s="3" t="str">
        <f>HYPERLINK("https://shop.sonapharmacy.com/products/schiff-move-free-joint-health-advanced-plus-msm-tablets", "https://shop.sonapharmacy.com/products/schiff-move-free-joint-health-advanced-plus-msm-tablets")</f>
        <v>https://shop.sonapharmacy.com/products/schiff-move-free-joint-health-advanced-plus-msm-tablets</v>
      </c>
      <c r="C3795" t="s">
        <v>8905</v>
      </c>
      <c r="D3795" t="s">
        <v>10436</v>
      </c>
      <c r="E3795" s="3" t="str">
        <f>HYPERLINK("https://www.amazon.com/Move-Free-Advanced-Vitamin-tablets/dp/B013AR4NBG/ref=sr_1_9?keywords=Schiff+Move+Free+joint+Health+Advanced+Plus+MSM+Tablets&amp;qid=1695260725&amp;sr=8-9", "https://www.amazon.com/Move-Free-Advanced-Vitamin-tablets/dp/B013AR4NBG/ref=sr_1_9?keywords=Schiff+Move+Free+joint+Health+Advanced+Plus+MSM+Tablets&amp;qid=1695260725&amp;sr=8-9")</f>
        <v>https://www.amazon.com/Move-Free-Advanced-Vitamin-tablets/dp/B013AR4NBG/ref=sr_1_9?keywords=Schiff+Move+Free+joint+Health+Advanced+Plus+MSM+Tablets&amp;qid=1695260725&amp;sr=8-9</v>
      </c>
      <c r="F3795" t="s">
        <v>10437</v>
      </c>
      <c r="G3795" t="e">
        <f ca="1">IMAGE("https://shop.sonapharmacy.com/cdn/shop/products/movefreehealthresized.jpg?v=1592492207")</f>
        <v>#NAME?</v>
      </c>
      <c r="H3795" t="e">
        <f ca="1">IMAGE("https://m.media-amazon.com/images/I/61dD+Bo0QiL._AC_UL320_.jpg")</f>
        <v>#NAME?</v>
      </c>
      <c r="I3795" t="s">
        <v>8908</v>
      </c>
      <c r="J3795">
        <v>85.93</v>
      </c>
      <c r="K3795" s="2" t="s">
        <v>10438</v>
      </c>
      <c r="L3795">
        <v>5</v>
      </c>
      <c r="M3795">
        <v>1</v>
      </c>
      <c r="O3795" t="s">
        <v>26</v>
      </c>
      <c r="P3795" t="s">
        <v>39</v>
      </c>
      <c r="Q3795" t="s">
        <v>8910</v>
      </c>
    </row>
    <row r="3796" spans="1:17" ht="15.75" x14ac:dyDescent="0.25">
      <c r="A3796" s="3" t="str">
        <f>HYPERLINK("https://shop.sonapharmacy.com/products/poise%C2%AE-pads-ultimate-absorbency-regular-length-33ct", "https://shop.sonapharmacy.com/products/poise%C2%AE-pads-ultimate-absorbency-regular-length-33ct")</f>
        <v>https://shop.sonapharmacy.com/products/poise%C2%AE-pads-ultimate-absorbency-regular-length-33ct</v>
      </c>
      <c r="B3796" s="3" t="str">
        <f>HYPERLINK("https://shop.sonapharmacy.com/products/poise%c2%ae-pads-ultimate-absorbency-regular-length-33ct", "https://shop.sonapharmacy.com/products/poise%c2%ae-pads-ultimate-absorbency-regular-length-33ct")</f>
        <v>https://shop.sonapharmacy.com/products/poise%c2%ae-pads-ultimate-absorbency-regular-length-33ct</v>
      </c>
      <c r="C3796" t="s">
        <v>9287</v>
      </c>
      <c r="D3796" t="s">
        <v>10439</v>
      </c>
      <c r="E3796" s="3" t="str">
        <f>HYPERLINK("https://www.amazon.com/Poise-Incontinence-Ultimate-Absorbency-Regular/dp/B06W5CN2ZK/ref=sr_1_2?keywords=Poise%C2%AE+Pads+Ultimate+Absorbency+Regular+Length+33ct.&amp;qid=1695260641&amp;rdc=1&amp;sr=8-2", "https://www.amazon.com/Poise-Incontinence-Ultimate-Absorbency-Regular/dp/B06W5CN2ZK/ref=sr_1_2?keywords=Poise%C2%AE+Pads+Ultimate+Absorbency+Regular+Length+33ct.&amp;qid=1695260641&amp;rdc=1&amp;sr=8-2")</f>
        <v>https://www.amazon.com/Poise-Incontinence-Ultimate-Absorbency-Regular/dp/B06W5CN2ZK/ref=sr_1_2?keywords=Poise%C2%AE+Pads+Ultimate+Absorbency+Regular+Length+33ct.&amp;qid=1695260641&amp;rdc=1&amp;sr=8-2</v>
      </c>
      <c r="F3796" t="s">
        <v>10440</v>
      </c>
      <c r="G3796" t="e">
        <f ca="1">IMAGE("https://shop.sonapharmacy.com/cdn/shop/products/81jKQQoGnuL._AC_SL1500.jpg?v=1611073225")</f>
        <v>#NAME?</v>
      </c>
      <c r="H3796" t="e">
        <f ca="1">IMAGE("https://m.media-amazon.com/images/I/818H4Ybnh9L._AC_UL320_.jpg")</f>
        <v>#NAME?</v>
      </c>
      <c r="I3796" t="s">
        <v>9290</v>
      </c>
      <c r="J3796">
        <v>46.99</v>
      </c>
      <c r="K3796" s="2" t="s">
        <v>10441</v>
      </c>
      <c r="L3796">
        <v>4.5999999999999996</v>
      </c>
      <c r="M3796">
        <v>6288</v>
      </c>
      <c r="O3796" t="s">
        <v>26</v>
      </c>
      <c r="P3796" t="s">
        <v>39</v>
      </c>
      <c r="Q3796" t="s">
        <v>9292</v>
      </c>
    </row>
    <row r="3797" spans="1:17" ht="15.75" x14ac:dyDescent="0.25">
      <c r="A3797" s="3" t="str">
        <f>HYPERLINK("https://shop.sonapharmacy.com/products/contour-next-ez-meter", "https://shop.sonapharmacy.com/products/contour-next-ez-meter")</f>
        <v>https://shop.sonapharmacy.com/products/contour-next-ez-meter</v>
      </c>
      <c r="B3797" s="3" t="str">
        <f>HYPERLINK("https://shop.sonapharmacy.com/products/contour-next-ez-meter", "https://shop.sonapharmacy.com/products/contour-next-ez-meter")</f>
        <v>https://shop.sonapharmacy.com/products/contour-next-ez-meter</v>
      </c>
      <c r="C3797" t="s">
        <v>9806</v>
      </c>
      <c r="D3797" t="s">
        <v>10442</v>
      </c>
      <c r="E3797" s="3" t="str">
        <f>HYPERLINK("https://www.amazon.com/Contour-Diabetes-Testing-Glucose-Solution/dp/B01HDWVFHO/ref=sr_1_7?keywords=Contour%C2%AE+Next+EZ+Meter&amp;qid=1695260151&amp;sr=8-7", "https://www.amazon.com/Contour-Diabetes-Testing-Glucose-Solution/dp/B01HDWVFHO/ref=sr_1_7?keywords=Contour%C2%AE+Next+EZ+Meter&amp;qid=1695260151&amp;sr=8-7")</f>
        <v>https://www.amazon.com/Contour-Diabetes-Testing-Glucose-Solution/dp/B01HDWVFHO/ref=sr_1_7?keywords=Contour%C2%AE+Next+EZ+Meter&amp;qid=1695260151&amp;sr=8-7</v>
      </c>
      <c r="F3797" t="s">
        <v>10443</v>
      </c>
      <c r="G3797" t="e">
        <f ca="1">IMAGE("https://shop.sonapharmacy.com/cdn/shop/products/ContourNextEZMeter.jpg?v=1594302465")</f>
        <v>#NAME?</v>
      </c>
      <c r="H3797" t="e">
        <f ca="1">IMAGE("https://m.media-amazon.com/images/I/61O6ef7r0PL._AC_UL320_.jpg")</f>
        <v>#NAME?</v>
      </c>
      <c r="I3797" t="s">
        <v>9809</v>
      </c>
      <c r="J3797">
        <v>54.99</v>
      </c>
      <c r="K3797" s="2" t="s">
        <v>10444</v>
      </c>
      <c r="L3797">
        <v>4.5999999999999996</v>
      </c>
      <c r="M3797">
        <v>630</v>
      </c>
      <c r="O3797" t="s">
        <v>26</v>
      </c>
      <c r="P3797" t="s">
        <v>39</v>
      </c>
      <c r="Q3797" t="s">
        <v>9811</v>
      </c>
    </row>
    <row r="3798" spans="1:17" ht="15.75" x14ac:dyDescent="0.25">
      <c r="A3798" s="3" t="str">
        <f>HYPERLINK("https://shop.sonapharmacy.com/products/always%C2%AE-maxi-size-5-extra-heavy-unscented-overnight-pads-with-wings-20ct", "https://shop.sonapharmacy.com/products/always%C2%AE-maxi-size-5-extra-heavy-unscented-overnight-pads-with-wings-20ct")</f>
        <v>https://shop.sonapharmacy.com/products/always%C2%AE-maxi-size-5-extra-heavy-unscented-overnight-pads-with-wings-20ct</v>
      </c>
      <c r="B3798" s="3" t="str">
        <f>HYPERLINK("https://shop.sonapharmacy.com/products/always%c2%ae-maxi-size-5-extra-heavy-unscented-overnight-pads-with-wings-20ct", "https://shop.sonapharmacy.com/products/always%c2%ae-maxi-size-5-extra-heavy-unscented-overnight-pads-with-wings-20ct")</f>
        <v>https://shop.sonapharmacy.com/products/always%c2%ae-maxi-size-5-extra-heavy-unscented-overnight-pads-with-wings-20ct</v>
      </c>
      <c r="C3798" t="s">
        <v>8877</v>
      </c>
      <c r="D3798" t="s">
        <v>10445</v>
      </c>
      <c r="E3798" s="3" t="str">
        <f>HYPERLINK("https://www.amazon.com/Always-Infinity-Feminine-Overnight-Unscented/dp/B07NLXKYWN/ref=sr_1_8?keywords=Always+Maxi+Size+5+Extra+Heavy+Unscented+Overnight+Pads+with+Wings+20ct.&amp;qid=1695260003&amp;sr=8-8", "https://www.amazon.com/Always-Infinity-Feminine-Overnight-Unscented/dp/B07NLXKYWN/ref=sr_1_8?keywords=Always+Maxi+Size+5+Extra+Heavy+Unscented+Overnight+Pads+with+Wings+20ct.&amp;qid=1695260003&amp;sr=8-8")</f>
        <v>https://www.amazon.com/Always-Infinity-Feminine-Overnight-Unscented/dp/B07NLXKYWN/ref=sr_1_8?keywords=Always+Maxi+Size+5+Extra+Heavy+Unscented+Overnight+Pads+with+Wings+20ct.&amp;qid=1695260003&amp;sr=8-8</v>
      </c>
      <c r="F3798" t="s">
        <v>10446</v>
      </c>
      <c r="G3798" t="e">
        <f ca="1">IMAGE("https://shop.sonapharmacy.com/cdn/shop/products/f85907b4-6cb1-40e1-8ffb-d041bcc3b3a7_1.7c196897b875635d3dc81fa597313ccd.jpg?v=1609183812")</f>
        <v>#NAME?</v>
      </c>
      <c r="H3798" t="e">
        <f ca="1">IMAGE("https://m.media-amazon.com/images/I/81gylXGP4rL._AC_UL320_.jpg")</f>
        <v>#NAME?</v>
      </c>
      <c r="I3798" t="s">
        <v>8880</v>
      </c>
      <c r="J3798">
        <v>21.24</v>
      </c>
      <c r="K3798" s="2" t="s">
        <v>10447</v>
      </c>
      <c r="L3798">
        <v>4.7</v>
      </c>
      <c r="M3798">
        <v>17167</v>
      </c>
      <c r="O3798" t="s">
        <v>26</v>
      </c>
      <c r="P3798" t="s">
        <v>39</v>
      </c>
      <c r="Q3798" t="s">
        <v>8882</v>
      </c>
    </row>
    <row r="3799" spans="1:17" ht="15.75" x14ac:dyDescent="0.25">
      <c r="A3799" s="3" t="str">
        <f>HYPERLINK("https://shop.sonapharmacy.com/products/blue-star-anti-itch-medicated-ointment-2oz", "https://shop.sonapharmacy.com/products/blue-star-anti-itch-medicated-ointment-2oz")</f>
        <v>https://shop.sonapharmacy.com/products/blue-star-anti-itch-medicated-ointment-2oz</v>
      </c>
      <c r="B3799" s="3" t="str">
        <f>HYPERLINK("https://shop.sonapharmacy.com/products/blue-star-anti-itch-medicated-ointment-2oz", "https://shop.sonapharmacy.com/products/blue-star-anti-itch-medicated-ointment-2oz")</f>
        <v>https://shop.sonapharmacy.com/products/blue-star-anti-itch-medicated-ointment-2oz</v>
      </c>
      <c r="C3799" t="s">
        <v>10017</v>
      </c>
      <c r="D3799" t="s">
        <v>10448</v>
      </c>
      <c r="E3799" s="3" t="str">
        <f>HYPERLINK("https://www.amazon.com/Blue-Anti-Itch-Medicated-Ointment-Packof/dp/B07FN84FLP/ref=sr_1_8?keywords=Blue+Star%C2%AE+Anti-Itch+Medicated+Ointment+2oz.&amp;qid=1695260101&amp;sr=8-8", "https://www.amazon.com/Blue-Anti-Itch-Medicated-Ointment-Packof/dp/B07FN84FLP/ref=sr_1_8?keywords=Blue+Star%C2%AE+Anti-Itch+Medicated+Ointment+2oz.&amp;qid=1695260101&amp;sr=8-8")</f>
        <v>https://www.amazon.com/Blue-Anti-Itch-Medicated-Ointment-Packof/dp/B07FN84FLP/ref=sr_1_8?keywords=Blue+Star%C2%AE+Anti-Itch+Medicated+Ointment+2oz.&amp;qid=1695260101&amp;sr=8-8</v>
      </c>
      <c r="F3799" t="s">
        <v>10449</v>
      </c>
      <c r="G3799" t="e">
        <f ca="1">IMAGE("https://shop.sonapharmacy.com/cdn/shop/products/apivrbugg__33256.1592338106.jpg?v=1607974281")</f>
        <v>#NAME?</v>
      </c>
      <c r="H3799" t="e">
        <f ca="1">IMAGE("https://m.media-amazon.com/images/I/41pyru2dvzL._AC_UL320_.jpg")</f>
        <v>#NAME?</v>
      </c>
      <c r="I3799" t="s">
        <v>4873</v>
      </c>
      <c r="J3799">
        <v>27.59</v>
      </c>
      <c r="K3799" s="2" t="s">
        <v>10450</v>
      </c>
      <c r="L3799">
        <v>5</v>
      </c>
      <c r="M3799">
        <v>2</v>
      </c>
      <c r="O3799" t="s">
        <v>26</v>
      </c>
      <c r="P3799" t="s">
        <v>39</v>
      </c>
      <c r="Q3799" t="s">
        <v>10021</v>
      </c>
    </row>
    <row r="3800" spans="1:17" ht="15.75" x14ac:dyDescent="0.25">
      <c r="A3800" s="3" t="str">
        <f>HYPERLINK("https://shop.sonapharmacy.com/products/alka-seltzer%C2%AE-original-effervescent-tablets", "https://shop.sonapharmacy.com/products/alka-seltzer%C2%AE-original-effervescent-tablets")</f>
        <v>https://shop.sonapharmacy.com/products/alka-seltzer%C2%AE-original-effervescent-tablets</v>
      </c>
      <c r="B3800" s="3" t="str">
        <f>HYPERLINK("https://shop.sonapharmacy.com/products/alka-seltzer%c2%ae-original-effervescent-tablets", "https://shop.sonapharmacy.com/products/alka-seltzer%c2%ae-original-effervescent-tablets")</f>
        <v>https://shop.sonapharmacy.com/products/alka-seltzer%c2%ae-original-effervescent-tablets</v>
      </c>
      <c r="C3800" t="s">
        <v>9356</v>
      </c>
      <c r="D3800" t="s">
        <v>10451</v>
      </c>
      <c r="E3800" s="3" t="str">
        <f>HYPERLINK("https://www.amazon.com/Alka-Seltzer-Plus-Severe-Cold-Effervescent/dp/B09L8J3H2M/ref=sr_1_3?keywords=Alka-Seltzer+Original+Effervescent+Tablets&amp;qid=1695260013&amp;rdc=1&amp;sr=8-3", "https://www.amazon.com/Alka-Seltzer-Plus-Severe-Cold-Effervescent/dp/B09L8J3H2M/ref=sr_1_3?keywords=Alka-Seltzer+Original+Effervescent+Tablets&amp;qid=1695260013&amp;rdc=1&amp;sr=8-3")</f>
        <v>https://www.amazon.com/Alka-Seltzer-Plus-Severe-Cold-Effervescent/dp/B09L8J3H2M/ref=sr_1_3?keywords=Alka-Seltzer+Original+Effervescent+Tablets&amp;qid=1695260013&amp;rdc=1&amp;sr=8-3</v>
      </c>
      <c r="F3800" t="s">
        <v>10452</v>
      </c>
      <c r="G3800" t="e">
        <f ca="1">IMAGE("https://shop.sonapharmacy.com/cdn/shop/products/51rk0IErmAL._AC.jpg?v=1610676312")</f>
        <v>#NAME?</v>
      </c>
      <c r="H3800" t="e">
        <f ca="1">IMAGE("https://m.media-amazon.com/images/I/81vgCmvcFzL._AC_UL320_.jpg")</f>
        <v>#NAME?</v>
      </c>
      <c r="I3800" t="s">
        <v>9015</v>
      </c>
      <c r="J3800">
        <v>13.48</v>
      </c>
      <c r="K3800" s="2" t="s">
        <v>10453</v>
      </c>
      <c r="L3800">
        <v>4.8</v>
      </c>
      <c r="M3800">
        <v>2002</v>
      </c>
      <c r="O3800" t="s">
        <v>26</v>
      </c>
      <c r="P3800" t="s">
        <v>39</v>
      </c>
      <c r="Q3800" t="s">
        <v>9360</v>
      </c>
    </row>
    <row r="3801" spans="1:17" ht="15.75" x14ac:dyDescent="0.25">
      <c r="A3801" s="3" t="str">
        <f>HYPERLINK("https://shop.sonapharmacy.com/products/salonpas%C2%AE-pain-relieving-jet-spray-with-maximum-strength-lidocaine", "https://shop.sonapharmacy.com/products/salonpas%C2%AE-pain-relieving-jet-spray-with-maximum-strength-lidocaine")</f>
        <v>https://shop.sonapharmacy.com/products/salonpas%C2%AE-pain-relieving-jet-spray-with-maximum-strength-lidocaine</v>
      </c>
      <c r="B3801" s="3" t="str">
        <f>HYPERLINK("https://shop.sonapharmacy.com/products/salonpas%c2%ae-pain-relieving-jet-spray-with-maximum-strength-lidocaine", "https://shop.sonapharmacy.com/products/salonpas%c2%ae-pain-relieving-jet-spray-with-maximum-strength-lidocaine")</f>
        <v>https://shop.sonapharmacy.com/products/salonpas%c2%ae-pain-relieving-jet-spray-with-maximum-strength-lidocaine</v>
      </c>
      <c r="C3801" t="s">
        <v>10319</v>
      </c>
      <c r="D3801" t="s">
        <v>10454</v>
      </c>
      <c r="E3801" s="3" t="str">
        <f>HYPERLINK("https://www.amazon.com/Salonpas-Pain-Relieving-Jet-Spray/dp/B008IX66JK/ref=sr_1_5?keywords=Salonpas%C2%AE+Pain+Relieving+Jet+Spray&amp;qid=1695260696&amp;sr=8-5", "https://www.amazon.com/Salonpas-Pain-Relieving-Jet-Spray/dp/B008IX66JK/ref=sr_1_5?keywords=Salonpas%C2%AE+Pain+Relieving+Jet+Spray&amp;qid=1695260696&amp;sr=8-5")</f>
        <v>https://www.amazon.com/Salonpas-Pain-Relieving-Jet-Spray/dp/B008IX66JK/ref=sr_1_5?keywords=Salonpas%C2%AE+Pain+Relieving+Jet+Spray&amp;qid=1695260696&amp;sr=8-5</v>
      </c>
      <c r="F3801" t="s">
        <v>10455</v>
      </c>
      <c r="G3801" t="e">
        <f ca="1">IMAGE("https://shop.sonapharmacy.com/cdn/shop/products/7948a0dd-7927-4fc3-917e-0fdd93255875.6ac17ff675d7094789a7341c4fdfc58f.jpg?v=1613749979")</f>
        <v>#NAME?</v>
      </c>
      <c r="H3801" t="e">
        <f ca="1">IMAGE("https://m.media-amazon.com/images/I/71a7eE7ZERL._AC_UL320_.jpg")</f>
        <v>#NAME?</v>
      </c>
      <c r="I3801" t="s">
        <v>10322</v>
      </c>
      <c r="J3801">
        <v>32.479999999999997</v>
      </c>
      <c r="K3801" s="2" t="s">
        <v>10456</v>
      </c>
      <c r="L3801">
        <v>4.8</v>
      </c>
      <c r="M3801">
        <v>500</v>
      </c>
      <c r="O3801" t="s">
        <v>26</v>
      </c>
      <c r="P3801" t="s">
        <v>39</v>
      </c>
      <c r="Q3801" t="s">
        <v>10324</v>
      </c>
    </row>
    <row r="3802" spans="1:17" ht="15.75" x14ac:dyDescent="0.25">
      <c r="A3802" s="3" t="str">
        <f>HYPERLINK("https://shop.sonapharmacy.com/products/nature-made-time-release-b-100-complex-tablets", "https://shop.sonapharmacy.com/products/nature-made-time-release-b-100-complex-tablets")</f>
        <v>https://shop.sonapharmacy.com/products/nature-made-time-release-b-100-complex-tablets</v>
      </c>
      <c r="B3802" s="3" t="str">
        <f>HYPERLINK("https://shop.sonapharmacy.com/products/nature-made-time-release-b-100-complex-tablets", "https://shop.sonapharmacy.com/products/nature-made-time-release-b-100-complex-tablets")</f>
        <v>https://shop.sonapharmacy.com/products/nature-made-time-release-b-100-complex-tablets</v>
      </c>
      <c r="C3802" t="s">
        <v>10457</v>
      </c>
      <c r="D3802" t="s">
        <v>10458</v>
      </c>
      <c r="E3802" s="3" t="str">
        <f>HYPERLINK("https://www.amazon.com/Nature-Made-Balanced-Riboflavin-Pantothenic/dp/B0029O0BS6/ref=sr_1_2?keywords=Nature+Made%C2%AE+Time+Release+B-100+Complex+Tablets+60ct.&amp;qid=1695260539&amp;sr=8-2", "https://www.amazon.com/Nature-Made-Balanced-Riboflavin-Pantothenic/dp/B0029O0BS6/ref=sr_1_2?keywords=Nature+Made%C2%AE+Time+Release+B-100+Complex+Tablets+60ct.&amp;qid=1695260539&amp;sr=8-2")</f>
        <v>https://www.amazon.com/Nature-Made-Balanced-Riboflavin-Pantothenic/dp/B0029O0BS6/ref=sr_1_2?keywords=Nature+Made%C2%AE+Time+Release+B-100+Complex+Tablets+60ct.&amp;qid=1695260539&amp;sr=8-2</v>
      </c>
      <c r="F3802" t="s">
        <v>10459</v>
      </c>
      <c r="G3802" t="e">
        <f ca="1">IMAGE("https://shop.sonapharmacy.com/cdn/shop/products/71M3nMTArrL._AC_SL1500.jpg?v=1610049384")</f>
        <v>#NAME?</v>
      </c>
      <c r="H3802" t="e">
        <f ca="1">IMAGE("https://m.media-amazon.com/images/I/71n3tNtHLsL._AC_UL320_.jpg")</f>
        <v>#NAME?</v>
      </c>
      <c r="I3802" t="s">
        <v>10460</v>
      </c>
      <c r="J3802">
        <v>50.22</v>
      </c>
      <c r="K3802" s="2" t="s">
        <v>10461</v>
      </c>
      <c r="L3802">
        <v>4.7</v>
      </c>
      <c r="M3802">
        <v>255</v>
      </c>
      <c r="O3802" t="s">
        <v>26</v>
      </c>
      <c r="P3802" t="s">
        <v>39</v>
      </c>
      <c r="Q3802" t="s">
        <v>10462</v>
      </c>
    </row>
    <row r="3803" spans="1:17" ht="15.75" x14ac:dyDescent="0.25">
      <c r="A3803" s="3" t="str">
        <f>HYPERLINK("https://shop.sonapharmacy.com/products/sunbum%C2%AE-after-sun-cool-down-lotion-3fl-oz", "https://shop.sonapharmacy.com/products/sunbum%C2%AE-after-sun-cool-down-lotion-3fl-oz")</f>
        <v>https://shop.sonapharmacy.com/products/sunbum%C2%AE-after-sun-cool-down-lotion-3fl-oz</v>
      </c>
      <c r="B3803" s="3" t="str">
        <f>HYPERLINK("https://shop.sonapharmacy.com/products/sunbum%c2%ae-after-sun-cool-down-lotion-3fl-oz", "https://shop.sonapharmacy.com/products/sunbum%c2%ae-after-sun-cool-down-lotion-3fl-oz")</f>
        <v>https://shop.sonapharmacy.com/products/sunbum%c2%ae-after-sun-cool-down-lotion-3fl-oz</v>
      </c>
      <c r="C3803" t="s">
        <v>10463</v>
      </c>
      <c r="D3803" t="s">
        <v>10464</v>
      </c>
      <c r="E3803" s="3" t="str">
        <f>HYPERLINK("https://www.amazon.com/Sun-Bum-pwvLv-Hydrating-After/dp/B072HVGSJN/ref=sr_1_7?keywords=Sun+Bum%C2%AE+After+Sun+Cool+Down+Lotion&amp;qid=1695260733&amp;sr=8-7", "https://www.amazon.com/Sun-Bum-pwvLv-Hydrating-After/dp/B072HVGSJN/ref=sr_1_7?keywords=Sun+Bum%C2%AE+After+Sun+Cool+Down+Lotion&amp;qid=1695260733&amp;sr=8-7")</f>
        <v>https://www.amazon.com/Sun-Bum-pwvLv-Hydrating-After/dp/B072HVGSJN/ref=sr_1_7?keywords=Sun+Bum%C2%AE+After+Sun+Cool+Down+Lotion&amp;qid=1695260733&amp;sr=8-7</v>
      </c>
      <c r="F3803" t="s">
        <v>10465</v>
      </c>
      <c r="G3803" t="e">
        <f ca="1">IMAGE("https://shop.sonapharmacy.com/cdn/shop/products/a5a83c38-73f5-476c-9809-d631e9fa1de9_1.becde44019f64609642f026cbe40180a.jpg?v=1611159956")</f>
        <v>#NAME?</v>
      </c>
      <c r="H3803" t="e">
        <f ca="1">IMAGE("https://m.media-amazon.com/images/I/61mvtoJ22fL._AC_UL320_.jpg")</f>
        <v>#NAME?</v>
      </c>
      <c r="I3803" t="s">
        <v>3392</v>
      </c>
      <c r="J3803">
        <v>21.98</v>
      </c>
      <c r="K3803" s="2" t="s">
        <v>10466</v>
      </c>
      <c r="L3803">
        <v>4.9000000000000004</v>
      </c>
      <c r="M3803">
        <v>114</v>
      </c>
      <c r="O3803" t="s">
        <v>26</v>
      </c>
      <c r="P3803" t="s">
        <v>39</v>
      </c>
      <c r="Q3803" t="s">
        <v>10467</v>
      </c>
    </row>
    <row r="3804" spans="1:17" ht="15.75" x14ac:dyDescent="0.25">
      <c r="A3804"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3804"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3804" t="s">
        <v>8597</v>
      </c>
      <c r="D3804" t="s">
        <v>10468</v>
      </c>
      <c r="E3804" s="3" t="str">
        <f>HYPERLINK("https://www.amazon.com/Advance-Peroxide-Toothpaste-Extreme-Whitening/dp/B00LO2XXGG/ref=sr_1_7?keywords=Arm+%26+Hammer+Advance+White%E2%84%A2+Extreme+Whitening+Toothpaste+6oz.&amp;qid=1695260040&amp;sr=8-7", "https://www.amazon.com/Advance-Peroxide-Toothpaste-Extreme-Whitening/dp/B00LO2XXGG/ref=sr_1_7?keywords=Arm+%26+Hammer+Advance+White%E2%84%A2+Extreme+Whitening+Toothpaste+6oz.&amp;qid=1695260040&amp;sr=8-7")</f>
        <v>https://www.amazon.com/Advance-Peroxide-Toothpaste-Extreme-Whitening/dp/B00LO2XXGG/ref=sr_1_7?keywords=Arm+%26+Hammer+Advance+White%E2%84%A2+Extreme+Whitening+Toothpaste+6oz.&amp;qid=1695260040&amp;sr=8-7</v>
      </c>
      <c r="F3804" t="s">
        <v>10469</v>
      </c>
      <c r="G3804" t="e">
        <f ca="1">IMAGE("https://shop.sonapharmacy.com/cdn/shop/products/39e8f462-49a9-4142-bb95-6876f7f6bade.baebaa1c7268bbcf245f186bddbf5223_1.jpg?v=1611254657")</f>
        <v>#NAME?</v>
      </c>
      <c r="H3804" t="e">
        <f ca="1">IMAGE("https://m.media-amazon.com/images/I/61hOz7064NL._AC_UL320_.jpg")</f>
        <v>#NAME?</v>
      </c>
      <c r="I3804" t="s">
        <v>8600</v>
      </c>
      <c r="J3804">
        <v>14.93</v>
      </c>
      <c r="K3804" s="2" t="s">
        <v>10470</v>
      </c>
      <c r="L3804">
        <v>4.5999999999999996</v>
      </c>
      <c r="M3804">
        <v>419</v>
      </c>
      <c r="O3804" t="s">
        <v>26</v>
      </c>
      <c r="P3804" t="s">
        <v>39</v>
      </c>
      <c r="Q3804" t="s">
        <v>8602</v>
      </c>
    </row>
    <row r="3805" spans="1:17" ht="15.75" x14ac:dyDescent="0.25">
      <c r="A3805" s="3" t="str">
        <f>HYPERLINK("https://shop.sonapharmacy.com/products/apex%C2%AE-soft-foam-ear-plugs-4-pairs", "https://shop.sonapharmacy.com/products/apex%C2%AE-soft-foam-ear-plugs-4-pairs")</f>
        <v>https://shop.sonapharmacy.com/products/apex%C2%AE-soft-foam-ear-plugs-4-pairs</v>
      </c>
      <c r="B3805" s="3" t="str">
        <f>HYPERLINK("https://shop.sonapharmacy.com/products/apex%c2%ae-soft-foam-ear-plugs-4-pairs", "https://shop.sonapharmacy.com/products/apex%c2%ae-soft-foam-ear-plugs-4-pairs")</f>
        <v>https://shop.sonapharmacy.com/products/apex%c2%ae-soft-foam-ear-plugs-4-pairs</v>
      </c>
      <c r="C3805" t="s">
        <v>10471</v>
      </c>
      <c r="D3805" t="s">
        <v>10472</v>
      </c>
      <c r="E3805" s="3" t="str">
        <f>HYPERLINK("https://www.amazon.com/Individually-Wrapped-Soft-Foam-Earplugs/dp/B0C675KQM6/ref=sr_1_6?keywords=Apex+Soft+Foam+Ear+Plugs+-+4+Pairs&amp;qid=1695260025&amp;sr=8-6", "https://www.amazon.com/Individually-Wrapped-Soft-Foam-Earplugs/dp/B0C675KQM6/ref=sr_1_6?keywords=Apex+Soft+Foam+Ear+Plugs+-+4+Pairs&amp;qid=1695260025&amp;sr=8-6")</f>
        <v>https://www.amazon.com/Individually-Wrapped-Soft-Foam-Earplugs/dp/B0C675KQM6/ref=sr_1_6?keywords=Apex+Soft+Foam+Ear+Plugs+-+4+Pairs&amp;qid=1695260025&amp;sr=8-6</v>
      </c>
      <c r="F3805" t="s">
        <v>10473</v>
      </c>
      <c r="G3805" t="e">
        <f ca="1">IMAGE("https://shop.sonapharmacy.com/cdn/shop/products/61Z0lzeE_zL._AC_SX466.jpg?v=1609960681")</f>
        <v>#NAME?</v>
      </c>
      <c r="H3805" t="e">
        <f ca="1">IMAGE("https://m.media-amazon.com/images/I/71KTDLyhByL._AC_UL320_.jpg")</f>
        <v>#NAME?</v>
      </c>
      <c r="I3805" t="s">
        <v>10474</v>
      </c>
      <c r="J3805">
        <v>9.98</v>
      </c>
      <c r="K3805" s="2" t="s">
        <v>10475</v>
      </c>
      <c r="L3805">
        <v>3.7</v>
      </c>
      <c r="M3805">
        <v>31</v>
      </c>
      <c r="O3805" t="s">
        <v>26</v>
      </c>
      <c r="P3805" t="s">
        <v>39</v>
      </c>
      <c r="Q3805" t="s">
        <v>10476</v>
      </c>
    </row>
    <row r="3806" spans="1:17" ht="15.75" x14ac:dyDescent="0.25">
      <c r="A3806" s="3" t="str">
        <f>HYPERLINK("https://shop.sonapharmacy.com/products/pedia-lax%C2%AE-glycerin-suppositories", "https://shop.sonapharmacy.com/products/pedia-lax%C2%AE-glycerin-suppositories")</f>
        <v>https://shop.sonapharmacy.com/products/pedia-lax%C2%AE-glycerin-suppositories</v>
      </c>
      <c r="B3806" s="3" t="str">
        <f>HYPERLINK("https://shop.sonapharmacy.com/products/pedia-lax%c2%ae-glycerin-suppositories", "https://shop.sonapharmacy.com/products/pedia-lax%c2%ae-glycerin-suppositories")</f>
        <v>https://shop.sonapharmacy.com/products/pedia-lax%c2%ae-glycerin-suppositories</v>
      </c>
      <c r="C3806" t="s">
        <v>8008</v>
      </c>
      <c r="D3806" t="s">
        <v>10477</v>
      </c>
      <c r="E3806" s="3" t="str">
        <f>HYPERLINK("https://www.amazon.com/Pedia-Lax-Liquid-Glycerin-Suppositories-Applicators/dp/B017WRYEH8/ref=sr_1_3?keywords=Pedia-Lax%C2%AE+Glycerin+Suppositories&amp;qid=1695260628&amp;sr=8-3", "https://www.amazon.com/Pedia-Lax-Liquid-Glycerin-Suppositories-Applicators/dp/B017WRYEH8/ref=sr_1_3?keywords=Pedia-Lax%C2%AE+Glycerin+Suppositories&amp;qid=1695260628&amp;sr=8-3")</f>
        <v>https://www.amazon.com/Pedia-Lax-Liquid-Glycerin-Suppositories-Applicators/dp/B017WRYEH8/ref=sr_1_3?keywords=Pedia-Lax%C2%AE+Glycerin+Suppositories&amp;qid=1695260628&amp;sr=8-3</v>
      </c>
      <c r="F3806" t="s">
        <v>10478</v>
      </c>
      <c r="G3806" t="e">
        <f ca="1">IMAGE("https://shop.sonapharmacy.com/cdn/shop/products/pedialaxresized.jpg?v=1592422726")</f>
        <v>#NAME?</v>
      </c>
      <c r="H3806" t="e">
        <f ca="1">IMAGE("https://m.media-amazon.com/images/I/61ieXwe7H0S._AC_UL320_.jpg")</f>
        <v>#NAME?</v>
      </c>
      <c r="I3806" t="s">
        <v>7952</v>
      </c>
      <c r="J3806">
        <v>7.49</v>
      </c>
      <c r="K3806" s="2" t="s">
        <v>10479</v>
      </c>
      <c r="L3806">
        <v>4.7</v>
      </c>
      <c r="M3806">
        <v>1175</v>
      </c>
      <c r="O3806" t="s">
        <v>26</v>
      </c>
      <c r="P3806" t="s">
        <v>39</v>
      </c>
      <c r="Q3806" t="s">
        <v>8012</v>
      </c>
    </row>
    <row r="3807" spans="1:17" ht="15.75" x14ac:dyDescent="0.25">
      <c r="A3807" s="3" t="str">
        <f>HYPERLINK("https://shop.sonapharmacy.com/products/band-aid-cushion-care-gauze-pads", "https://shop.sonapharmacy.com/products/band-aid-cushion-care-gauze-pads")</f>
        <v>https://shop.sonapharmacy.com/products/band-aid-cushion-care-gauze-pads</v>
      </c>
      <c r="B3807" s="3" t="str">
        <f>HYPERLINK("https://shop.sonapharmacy.com/products/band-aid-cushion-care-gauze-pads", "https://shop.sonapharmacy.com/products/band-aid-cushion-care-gauze-pads")</f>
        <v>https://shop.sonapharmacy.com/products/band-aid-cushion-care-gauze-pads</v>
      </c>
      <c r="C3807" t="s">
        <v>9012</v>
      </c>
      <c r="D3807" t="s">
        <v>10480</v>
      </c>
      <c r="E3807" s="3" t="str">
        <f>HYPERLINK("https://www.amazon.com/BAND-AID-Brand-CUSHION-CARE-Gauze-count/dp/B0019ST3DC/ref=sr_1_5?keywords=BAND-AID%C2%AE+Cushion-Care+Gauze+Pads&amp;qid=1695260110&amp;sr=8-5", "https://www.amazon.com/BAND-AID-Brand-CUSHION-CARE-Gauze-count/dp/B0019ST3DC/ref=sr_1_5?keywords=BAND-AID%C2%AE+Cushion-Care+Gauze+Pads&amp;qid=1695260110&amp;sr=8-5")</f>
        <v>https://www.amazon.com/BAND-AID-Brand-CUSHION-CARE-Gauze-count/dp/B0019ST3DC/ref=sr_1_5?keywords=BAND-AID%C2%AE+Cushion-Care+Gauze+Pads&amp;qid=1695260110&amp;sr=8-5</v>
      </c>
      <c r="F3807" t="s">
        <v>10481</v>
      </c>
      <c r="G3807" t="e">
        <f ca="1">IMAGE("https://shop.sonapharmacy.com/cdn/shop/products/band_aid_us_pho_pac_18_1_2727067.jpg?v=1607288415")</f>
        <v>#NAME?</v>
      </c>
      <c r="H3807" t="e">
        <f ca="1">IMAGE("https://m.media-amazon.com/images/I/810VowgPTDL._AC_UY218_.jpg")</f>
        <v>#NAME?</v>
      </c>
      <c r="I3807" t="s">
        <v>9015</v>
      </c>
      <c r="J3807">
        <v>13.38</v>
      </c>
      <c r="K3807" s="2" t="s">
        <v>10482</v>
      </c>
      <c r="L3807">
        <v>4.7</v>
      </c>
      <c r="M3807">
        <v>182</v>
      </c>
      <c r="O3807" t="s">
        <v>26</v>
      </c>
      <c r="P3807" t="s">
        <v>39</v>
      </c>
      <c r="Q3807" t="s">
        <v>9017</v>
      </c>
    </row>
    <row r="3808" spans="1:17" ht="15.75" x14ac:dyDescent="0.25">
      <c r="A3808" s="3" t="str">
        <f>HYPERLINK("https://shop.sonapharmacy.com/products/ban-powder-fresh-roll-on-antiperspirant-deodorant", "https://shop.sonapharmacy.com/products/ban-powder-fresh-roll-on-antiperspirant-deodorant")</f>
        <v>https://shop.sonapharmacy.com/products/ban-powder-fresh-roll-on-antiperspirant-deodorant</v>
      </c>
      <c r="B3808" s="3" t="str">
        <f>HYPERLINK("https://shop.sonapharmacy.com/products/ban-powder-fresh-roll-on-antiperspirant-deodorant", "https://shop.sonapharmacy.com/products/ban-powder-fresh-roll-on-antiperspirant-deodorant")</f>
        <v>https://shop.sonapharmacy.com/products/ban-powder-fresh-roll-on-antiperspirant-deodorant</v>
      </c>
      <c r="C3808" t="s">
        <v>10483</v>
      </c>
      <c r="D3808" t="s">
        <v>10484</v>
      </c>
      <c r="E3808" s="3" t="str">
        <f>HYPERLINK("https://www.amazon.com/Ban-Roll-Antiperspirant-Deodorant-Powder/dp/B08DGMGTSY/ref=sr_1_1?keywords=Ban%C2%AE+Powder+Fresh+Roll-On+Antiperspirant+Deodorant&amp;qid=1695260091&amp;rdc=1&amp;sr=8-1", "https://www.amazon.com/Ban-Roll-Antiperspirant-Deodorant-Powder/dp/B08DGMGTSY/ref=sr_1_1?keywords=Ban%C2%AE+Powder+Fresh+Roll-On+Antiperspirant+Deodorant&amp;qid=1695260091&amp;rdc=1&amp;sr=8-1")</f>
        <v>https://www.amazon.com/Ban-Roll-Antiperspirant-Deodorant-Powder/dp/B08DGMGTSY/ref=sr_1_1?keywords=Ban%C2%AE+Powder+Fresh+Roll-On+Antiperspirant+Deodorant&amp;qid=1695260091&amp;rdc=1&amp;sr=8-1</v>
      </c>
      <c r="F3808" t="s">
        <v>10485</v>
      </c>
      <c r="G3808" t="e">
        <f ca="1">IMAGE("https://shop.sonapharmacy.com/cdn/shop/products/BanPowderRollFront.png?v=1607048361")</f>
        <v>#NAME?</v>
      </c>
      <c r="H3808" t="e">
        <f ca="1">IMAGE("https://m.media-amazon.com/images/I/71ZoRVt9XOL._AC_UL320_.jpg")</f>
        <v>#NAME?</v>
      </c>
      <c r="I3808" t="s">
        <v>10303</v>
      </c>
      <c r="J3808">
        <v>18.54</v>
      </c>
      <c r="K3808" s="2" t="s">
        <v>10486</v>
      </c>
      <c r="L3808">
        <v>4.8</v>
      </c>
      <c r="M3808">
        <v>10803</v>
      </c>
      <c r="O3808" t="s">
        <v>26</v>
      </c>
      <c r="P3808" t="s">
        <v>39</v>
      </c>
      <c r="Q3808" t="s">
        <v>10487</v>
      </c>
    </row>
    <row r="3809" spans="1:17" ht="15.75" x14ac:dyDescent="0.25">
      <c r="A3809" s="3" t="str">
        <f>HYPERLINK("https://shop.sonapharmacy.com/products/integrative-therapeutics%C2%AE-probiotic-pearls-capsules-30ct", "https://shop.sonapharmacy.com/products/integrative-therapeutics%C2%AE-probiotic-pearls-capsules-30ct")</f>
        <v>https://shop.sonapharmacy.com/products/integrative-therapeutics%C2%AE-probiotic-pearls-capsules-30ct</v>
      </c>
      <c r="B3809" s="3" t="str">
        <f>HYPERLINK("https://shop.sonapharmacy.com/products/integrative-therapeutics%c2%ae-probiotic-pearls-capsules-30ct", "https://shop.sonapharmacy.com/products/integrative-therapeutics%c2%ae-probiotic-pearls-capsules-30ct")</f>
        <v>https://shop.sonapharmacy.com/products/integrative-therapeutics%c2%ae-probiotic-pearls-capsules-30ct</v>
      </c>
      <c r="C3809" t="s">
        <v>9473</v>
      </c>
      <c r="D3809" t="s">
        <v>10488</v>
      </c>
      <c r="E3809" s="3" t="str">
        <f>HYPERLINK("https://www.amazon.com/Integrative-Therapeutics-Lactobacillus-Acidophilus-Non-Refrigerated/dp/B0011023KS/ref=sr_1_5?keywords=Integrative+Therapeutics%C2%AE+Probiotic+Pearls+Capsules&amp;qid=1695260438&amp;sr=8-5", "https://www.amazon.com/Integrative-Therapeutics-Lactobacillus-Acidophilus-Non-Refrigerated/dp/B0011023KS/ref=sr_1_5?keywords=Integrative+Therapeutics%C2%AE+Probiotic+Pearls+Capsules&amp;qid=1695260438&amp;sr=8-5")</f>
        <v>https://www.amazon.com/Integrative-Therapeutics-Lactobacillus-Acidophilus-Non-Refrigerated/dp/B0011023KS/ref=sr_1_5?keywords=Integrative+Therapeutics%C2%AE+Probiotic+Pearls+Capsules&amp;qid=1695260438&amp;sr=8-5</v>
      </c>
      <c r="F3809" t="s">
        <v>10489</v>
      </c>
      <c r="G3809" t="e">
        <f ca="1">IMAGE("https://shop.sonapharmacy.com/cdn/shop/products/61L34pt0USL._AC_SL1387.jpg?v=1620665770")</f>
        <v>#NAME?</v>
      </c>
      <c r="H3809" t="e">
        <f ca="1">IMAGE("https://m.media-amazon.com/images/I/512dkqxpCnL._AC_UL320_.jpg")</f>
        <v>#NAME?</v>
      </c>
      <c r="I3809" t="s">
        <v>9476</v>
      </c>
      <c r="J3809">
        <v>43</v>
      </c>
      <c r="K3809" s="2" t="s">
        <v>10490</v>
      </c>
      <c r="L3809">
        <v>4.7</v>
      </c>
      <c r="M3809">
        <v>594</v>
      </c>
      <c r="O3809" t="s">
        <v>136</v>
      </c>
      <c r="P3809" t="s">
        <v>39</v>
      </c>
      <c r="Q3809" t="s">
        <v>9478</v>
      </c>
    </row>
    <row r="3810" spans="1:17" ht="15.75" x14ac:dyDescent="0.25">
      <c r="A3810" s="3" t="str">
        <f>HYPERLINK("https://shop.sonapharmacy.com/products/duracell%C2%AE-389-390-silver-oxide-button-battery", "https://shop.sonapharmacy.com/products/duracell%C2%AE-389-390-silver-oxide-button-battery")</f>
        <v>https://shop.sonapharmacy.com/products/duracell%C2%AE-389-390-silver-oxide-button-battery</v>
      </c>
      <c r="B3810" s="3" t="str">
        <f>HYPERLINK("https://shop.sonapharmacy.com/products/duracell%c2%ae-389-390-silver-oxide-button-battery", "https://shop.sonapharmacy.com/products/duracell%c2%ae-389-390-silver-oxide-button-battery")</f>
        <v>https://shop.sonapharmacy.com/products/duracell%c2%ae-389-390-silver-oxide-button-battery</v>
      </c>
      <c r="C3810" t="s">
        <v>10491</v>
      </c>
      <c r="D3810" t="s">
        <v>10492</v>
      </c>
      <c r="E3810" s="3" t="str">
        <f>HYPERLINK("https://www.amazon.com/Duracell-D389-390PK09-Electronic-Capacity/dp/B00BGIVXA6/ref=sr_1_3?keywords=Duracell%C2%AE+389%2F390+Silver+Oxide+Button+Battery&amp;qid=1695260222&amp;sr=8-3", "https://www.amazon.com/Duracell-D389-390PK09-Electronic-Capacity/dp/B00BGIVXA6/ref=sr_1_3?keywords=Duracell%C2%AE+389%2F390+Silver+Oxide+Button+Battery&amp;qid=1695260222&amp;sr=8-3")</f>
        <v>https://www.amazon.com/Duracell-D389-390PK09-Electronic-Capacity/dp/B00BGIVXA6/ref=sr_1_3?keywords=Duracell%C2%AE+389%2F390+Silver+Oxide+Button+Battery&amp;qid=1695260222&amp;sr=8-3</v>
      </c>
      <c r="F3810" t="s">
        <v>10493</v>
      </c>
      <c r="G3810" t="e">
        <f ca="1">IMAGE("https://shop.sonapharmacy.com/cdn/shop/products/61P9QBF64rL._AC_SL1401.jpg?v=1610332976")</f>
        <v>#NAME?</v>
      </c>
      <c r="H3810" t="e">
        <f ca="1">IMAGE("https://m.media-amazon.com/images/I/71KtnMsulBL._AC_UL320_.jpg")</f>
        <v>#NAME?</v>
      </c>
      <c r="I3810" t="s">
        <v>9982</v>
      </c>
      <c r="J3810">
        <v>8.98</v>
      </c>
      <c r="K3810" s="2" t="s">
        <v>10494</v>
      </c>
      <c r="L3810">
        <v>4.5</v>
      </c>
      <c r="M3810">
        <v>148</v>
      </c>
      <c r="O3810" t="s">
        <v>26</v>
      </c>
      <c r="P3810" t="s">
        <v>39</v>
      </c>
      <c r="Q3810" t="s">
        <v>10495</v>
      </c>
    </row>
    <row r="3811" spans="1:17" ht="15.75" x14ac:dyDescent="0.25">
      <c r="A3811" s="3" t="str">
        <f>HYPERLINK("https://shop.sonapharmacy.com/products/apex%C2%AE-oral-syringe-10ml", "https://shop.sonapharmacy.com/products/apex%C2%AE-oral-syringe-10ml")</f>
        <v>https://shop.sonapharmacy.com/products/apex%C2%AE-oral-syringe-10ml</v>
      </c>
      <c r="B3811" s="3" t="str">
        <f>HYPERLINK("https://shop.sonapharmacy.com/products/apex%c2%ae-oral-syringe-10ml", "https://shop.sonapharmacy.com/products/apex%c2%ae-oral-syringe-10ml")</f>
        <v>https://shop.sonapharmacy.com/products/apex%c2%ae-oral-syringe-10ml</v>
      </c>
      <c r="C3811" t="s">
        <v>8131</v>
      </c>
      <c r="D3811" t="s">
        <v>10496</v>
      </c>
      <c r="E3811" s="3" t="str">
        <f>HYPERLINK("https://www.amazon.com/Syringe-Scientific-Measurement-Dispensing-Syringes/dp/B0BZYQD5YB/ref=sr_1_8?keywords=Apex+Oral+Syringe+10ml.&amp;qid=1695260012&amp;sr=8-8", "https://www.amazon.com/Syringe-Scientific-Measurement-Dispensing-Syringes/dp/B0BZYQD5YB/ref=sr_1_8?keywords=Apex+Oral+Syringe+10ml.&amp;qid=1695260012&amp;sr=8-8")</f>
        <v>https://www.amazon.com/Syringe-Scientific-Measurement-Dispensing-Syringes/dp/B0BZYQD5YB/ref=sr_1_8?keywords=Apex+Oral+Syringe+10ml.&amp;qid=1695260012&amp;sr=8-8</v>
      </c>
      <c r="F3811" t="s">
        <v>10497</v>
      </c>
      <c r="G3811" t="e">
        <f ca="1">IMAGE("https://shop.sonapharmacy.com/cdn/shop/products/000530853.jpg?v=1611189682")</f>
        <v>#NAME?</v>
      </c>
      <c r="H3811" t="e">
        <f ca="1">IMAGE("https://m.media-amazon.com/images/I/51XUZ-RQlXL._AC_UY218_.jpg")</f>
        <v>#NAME?</v>
      </c>
      <c r="I3811" t="s">
        <v>8134</v>
      </c>
      <c r="J3811">
        <v>4.87</v>
      </c>
      <c r="K3811" s="2" t="s">
        <v>10498</v>
      </c>
      <c r="L3811">
        <v>4.9000000000000004</v>
      </c>
      <c r="M3811">
        <v>38</v>
      </c>
      <c r="O3811" t="s">
        <v>26</v>
      </c>
      <c r="P3811" t="s">
        <v>39</v>
      </c>
      <c r="Q3811" t="s">
        <v>8136</v>
      </c>
    </row>
    <row r="3812" spans="1:17" ht="15.75" x14ac:dyDescent="0.25">
      <c r="A3812" s="3" t="str">
        <f>HYPERLINK("https://shop.sonapharmacy.com/products/buf-puf-double-sided-body-sponge", "https://shop.sonapharmacy.com/products/buf-puf-double-sided-body-sponge")</f>
        <v>https://shop.sonapharmacy.com/products/buf-puf-double-sided-body-sponge</v>
      </c>
      <c r="B3812" s="3" t="str">
        <f>HYPERLINK("https://shop.sonapharmacy.com/products/buf-puf-double-sided-body-sponge", "https://shop.sonapharmacy.com/products/buf-puf-double-sided-body-sponge")</f>
        <v>https://shop.sonapharmacy.com/products/buf-puf-double-sided-body-sponge</v>
      </c>
      <c r="C3812" t="s">
        <v>8960</v>
      </c>
      <c r="D3812" t="s">
        <v>10499</v>
      </c>
      <c r="E3812" s="3" t="str">
        <f>HYPERLINK("https://www.amazon.com/Buf-Puf-Double-Sided-Body-Sponge/dp/B00JGQNFGU/ref=sr_1_7?keywords=Buf-Puf%C2%AE+Double+Sided+Body+Sponge&amp;qid=1695260116&amp;sr=8-7", "https://www.amazon.com/Buf-Puf-Double-Sided-Body-Sponge/dp/B00JGQNFGU/ref=sr_1_7?keywords=Buf-Puf%C2%AE+Double+Sided+Body+Sponge&amp;qid=1695260116&amp;sr=8-7")</f>
        <v>https://www.amazon.com/Buf-Puf-Double-Sided-Body-Sponge/dp/B00JGQNFGU/ref=sr_1_7?keywords=Buf-Puf%C2%AE+Double+Sided+Body+Sponge&amp;qid=1695260116&amp;sr=8-7</v>
      </c>
      <c r="F3812" t="s">
        <v>10500</v>
      </c>
      <c r="G3812" t="e">
        <f ca="1">IMAGE("https://shop.sonapharmacy.com/cdn/shop/products/81GmjrZ2b8L._SL1500.jpg?v=1608495033")</f>
        <v>#NAME?</v>
      </c>
      <c r="H3812" t="e">
        <f ca="1">IMAGE("https://m.media-amazon.com/images/I/61UWCMbKXSL._AC_UL320_.jpg")</f>
        <v>#NAME?</v>
      </c>
      <c r="I3812" t="s">
        <v>8963</v>
      </c>
      <c r="J3812">
        <v>16.29</v>
      </c>
      <c r="K3812" s="2" t="s">
        <v>10501</v>
      </c>
      <c r="L3812">
        <v>4.8</v>
      </c>
      <c r="M3812">
        <v>511</v>
      </c>
      <c r="O3812" t="s">
        <v>136</v>
      </c>
      <c r="P3812" t="s">
        <v>39</v>
      </c>
      <c r="Q3812" t="s">
        <v>8965</v>
      </c>
    </row>
    <row r="3813" spans="1:17" ht="15.75" x14ac:dyDescent="0.25">
      <c r="A3813" s="3" t="str">
        <f>HYPERLINK("https://shop.sonapharmacy.com/products/band-aid%C2%AE-flexible-rolled-gauze", "https://shop.sonapharmacy.com/products/band-aid%C2%AE-flexible-rolled-gauze")</f>
        <v>https://shop.sonapharmacy.com/products/band-aid%C2%AE-flexible-rolled-gauze</v>
      </c>
      <c r="B3813" s="3" t="str">
        <f>HYPERLINK("https://shop.sonapharmacy.com/products/band-aid%c2%ae-flexible-rolled-gauze", "https://shop.sonapharmacy.com/products/band-aid%c2%ae-flexible-rolled-gauze")</f>
        <v>https://shop.sonapharmacy.com/products/band-aid%c2%ae-flexible-rolled-gauze</v>
      </c>
      <c r="C3813" t="s">
        <v>9206</v>
      </c>
      <c r="D3813" t="s">
        <v>10502</v>
      </c>
      <c r="E3813" s="3" t="str">
        <f>HYPERLINK("https://www.amazon.com/Brand-Products-Flexible-Rolled-Dressing/dp/B00LITXQY4/ref=sr_1_1?keywords=BAND-AID%C2%AE+Flexible+Rolled+Gauze&amp;qid=1695260061&amp;sr=8-1", "https://www.amazon.com/Brand-Products-Flexible-Rolled-Dressing/dp/B00LITXQY4/ref=sr_1_1?keywords=BAND-AID%C2%AE+Flexible+Rolled+Gauze&amp;qid=1695260061&amp;sr=8-1")</f>
        <v>https://www.amazon.com/Brand-Products-Flexible-Rolled-Dressing/dp/B00LITXQY4/ref=sr_1_1?keywords=BAND-AID%C2%AE+Flexible+Rolled+Gauze&amp;qid=1695260061&amp;sr=8-1</v>
      </c>
      <c r="F3813" t="s">
        <v>10503</v>
      </c>
      <c r="G3813" t="e">
        <f ca="1">IMAGE("https://shop.sonapharmacy.com/cdn/shop/products/2x2.5.jpg?v=1607809788")</f>
        <v>#NAME?</v>
      </c>
      <c r="H3813" t="e">
        <f ca="1">IMAGE("https://m.media-amazon.com/images/I/81WqEGNtVpL._AC_UL320_.jpg")</f>
        <v>#NAME?</v>
      </c>
      <c r="I3813" t="s">
        <v>8992</v>
      </c>
      <c r="J3813">
        <v>11.23</v>
      </c>
      <c r="K3813" s="2" t="s">
        <v>10504</v>
      </c>
      <c r="L3813">
        <v>4.7</v>
      </c>
      <c r="M3813">
        <v>9385</v>
      </c>
      <c r="O3813" t="s">
        <v>26</v>
      </c>
      <c r="P3813" t="s">
        <v>39</v>
      </c>
      <c r="Q3813" t="s">
        <v>9210</v>
      </c>
    </row>
    <row r="3814" spans="1:17" ht="15.75" x14ac:dyDescent="0.25">
      <c r="A3814" s="3" t="str">
        <f>HYPERLINK("https://shop.sonapharmacy.com/products/fleet%C2%AE-liquid-glycerin-suppositories-4", "https://shop.sonapharmacy.com/products/fleet%C2%AE-liquid-glycerin-suppositories-4")</f>
        <v>https://shop.sonapharmacy.com/products/fleet%C2%AE-liquid-glycerin-suppositories-4</v>
      </c>
      <c r="B3814" s="3" t="str">
        <f>HYPERLINK("https://shop.sonapharmacy.com/products/fleet%c2%ae-liquid-glycerin-suppositories-4", "https://shop.sonapharmacy.com/products/fleet%c2%ae-liquid-glycerin-suppositories-4")</f>
        <v>https://shop.sonapharmacy.com/products/fleet%c2%ae-liquid-glycerin-suppositories-4</v>
      </c>
      <c r="C3814" t="s">
        <v>8663</v>
      </c>
      <c r="D3814" t="s">
        <v>10505</v>
      </c>
      <c r="E3814" s="3" t="str">
        <f>HYPERLINK("https://www.amazon.com/Fleet-Liquid-Glycerin-Suppositories-Each/dp/B004LTWENM/ref=sr_1_6?keywords=FLEET%C2%AE+Liquid+Glycerin+Suppositories&amp;qid=1695260272&amp;sr=8-6", "https://www.amazon.com/Fleet-Liquid-Glycerin-Suppositories-Each/dp/B004LTWENM/ref=sr_1_6?keywords=FLEET%C2%AE+Liquid+Glycerin+Suppositories&amp;qid=1695260272&amp;sr=8-6")</f>
        <v>https://www.amazon.com/Fleet-Liquid-Glycerin-Suppositories-Each/dp/B004LTWENM/ref=sr_1_6?keywords=FLEET%C2%AE+Liquid+Glycerin+Suppositories&amp;qid=1695260272&amp;sr=8-6</v>
      </c>
      <c r="F3814" t="s">
        <v>10506</v>
      </c>
      <c r="G3814" t="e">
        <f ca="1">IMAGE("https://shop.sonapharmacy.com/cdn/shop/products/61jAlYCKusL._SL1000.jpg?v=1609350996")</f>
        <v>#NAME?</v>
      </c>
      <c r="H3814" t="e">
        <f ca="1">IMAGE("https://m.media-amazon.com/images/I/715jImIMrkL._AC_UL320_.jpg")</f>
        <v>#NAME?</v>
      </c>
      <c r="I3814" t="s">
        <v>8557</v>
      </c>
      <c r="J3814">
        <v>18.27</v>
      </c>
      <c r="K3814" s="2" t="s">
        <v>10507</v>
      </c>
      <c r="L3814">
        <v>4.8</v>
      </c>
      <c r="M3814">
        <v>151</v>
      </c>
      <c r="O3814" t="s">
        <v>136</v>
      </c>
      <c r="P3814" t="s">
        <v>39</v>
      </c>
      <c r="Q3814" t="s">
        <v>8667</v>
      </c>
    </row>
    <row r="3815" spans="1:17" ht="15.75" x14ac:dyDescent="0.25">
      <c r="A3815" s="3" t="str">
        <f>HYPERLINK("https://shop.sonapharmacy.com/products/mucinex-fast-max-cold-flu-and-sore-throat-liquid-gels-16-ct", "https://shop.sonapharmacy.com/products/mucinex-fast-max-cold-flu-and-sore-throat-liquid-gels-16-ct")</f>
        <v>https://shop.sonapharmacy.com/products/mucinex-fast-max-cold-flu-and-sore-throat-liquid-gels-16-ct</v>
      </c>
      <c r="B3815" s="3" t="str">
        <f>HYPERLINK("https://shop.sonapharmacy.com/products/mucinex-fast-max-cold-flu-and-sore-throat-liquid-gels-16-ct", "https://shop.sonapharmacy.com/products/mucinex-fast-max-cold-flu-and-sore-throat-liquid-gels-16-ct")</f>
        <v>https://shop.sonapharmacy.com/products/mucinex-fast-max-cold-flu-and-sore-throat-liquid-gels-16-ct</v>
      </c>
      <c r="C3815" t="s">
        <v>10508</v>
      </c>
      <c r="D3815" t="s">
        <v>10509</v>
      </c>
      <c r="E3815" s="3" t="str">
        <f>HYPERLINK("https://www.amazon.com/Mucinex-Fast-Max-Strength-Throat-Liquid/dp/B074KM4X9V/ref=sr_1_4?keywords=Mucinex%C2%AE+Fast-Max+Cold%2C+Flu+and+Sore+Throat+Liquid+Gels+16ct.&amp;qid=1695260497&amp;sr=8-4", "https://www.amazon.com/Mucinex-Fast-Max-Strength-Throat-Liquid/dp/B074KM4X9V/ref=sr_1_4?keywords=Mucinex%C2%AE+Fast-Max+Cold%2C+Flu+and+Sore+Throat+Liquid+Gels+16ct.&amp;qid=1695260497&amp;sr=8-4")</f>
        <v>https://www.amazon.com/Mucinex-Fast-Max-Strength-Throat-Liquid/dp/B074KM4X9V/ref=sr_1_4?keywords=Mucinex%C2%AE+Fast-Max+Cold%2C+Flu+and+Sore+Throat+Liquid+Gels+16ct.&amp;qid=1695260497&amp;sr=8-4</v>
      </c>
      <c r="F3815" t="s">
        <v>10510</v>
      </c>
      <c r="G3815" t="e">
        <f ca="1">IMAGE("https://shop.sonapharmacy.com/cdn/shop/products/MucinexFast-MaxCold_FluandSoreThroatLiquidGels16ct..jpg?v=1595341655")</f>
        <v>#NAME?</v>
      </c>
      <c r="H3815" t="e">
        <f ca="1">IMAGE("https://m.media-amazon.com/images/I/71ciBr7GhEL._AC_UL320_.jpg")</f>
        <v>#NAME?</v>
      </c>
      <c r="I3815" t="s">
        <v>9809</v>
      </c>
      <c r="J3815">
        <v>53.99</v>
      </c>
      <c r="K3815" s="2" t="s">
        <v>10511</v>
      </c>
      <c r="L3815">
        <v>4.7</v>
      </c>
      <c r="M3815">
        <v>5</v>
      </c>
      <c r="O3815" t="s">
        <v>26</v>
      </c>
      <c r="P3815" t="s">
        <v>39</v>
      </c>
      <c r="Q3815" t="s">
        <v>10512</v>
      </c>
    </row>
    <row r="3816" spans="1:17" ht="15.75" x14ac:dyDescent="0.25">
      <c r="A3816" s="3" t="str">
        <f>HYPERLINK("https://shop.sonapharmacy.com/products/dr-scholls%C2%AE-moleskin-plus-soft-padding-roll", "https://shop.sonapharmacy.com/products/dr-scholls%C2%AE-moleskin-plus-soft-padding-roll")</f>
        <v>https://shop.sonapharmacy.com/products/dr-scholls%C2%AE-moleskin-plus-soft-padding-roll</v>
      </c>
      <c r="B3816" s="3" t="str">
        <f>HYPERLINK("https://shop.sonapharmacy.com/products/dr-scholls%c2%ae-moleskin-plus-soft-padding-roll", "https://shop.sonapharmacy.com/products/dr-scholls%c2%ae-moleskin-plus-soft-padding-roll")</f>
        <v>https://shop.sonapharmacy.com/products/dr-scholls%c2%ae-moleskin-plus-soft-padding-roll</v>
      </c>
      <c r="C3816" t="s">
        <v>8469</v>
      </c>
      <c r="D3816" t="s">
        <v>10513</v>
      </c>
      <c r="E3816" s="3" t="str">
        <f>HYPERLINK("https://www.amazon.com/Dr-Scholls-Moleskin-Padding-4-625inch/dp/B00E4MRREM/ref=sr_1_3?keywords=Dr.+Scholl%27s%C2%AE+Moleskin+Plus+Soft+Padding+Roll&amp;qid=1695260191&amp;sr=8-3", "https://www.amazon.com/Dr-Scholls-Moleskin-Padding-4-625inch/dp/B00E4MRREM/ref=sr_1_3?keywords=Dr.+Scholl%27s%C2%AE+Moleskin+Plus+Soft+Padding+Roll&amp;qid=1695260191&amp;sr=8-3")</f>
        <v>https://www.amazon.com/Dr-Scholls-Moleskin-Padding-4-625inch/dp/B00E4MRREM/ref=sr_1_3?keywords=Dr.+Scholl%27s%C2%AE+Moleskin+Plus+Soft+Padding+Roll&amp;qid=1695260191&amp;sr=8-3</v>
      </c>
      <c r="F3816" t="s">
        <v>10514</v>
      </c>
      <c r="G3816" t="e">
        <f ca="1">IMAGE("https://shop.sonapharmacy.com/cdn/shop/products/81tP9KqA0SL._AC_SL1500.jpg?v=1610328732")</f>
        <v>#NAME?</v>
      </c>
      <c r="H3816" t="e">
        <f ca="1">IMAGE("https://m.media-amazon.com/images/I/71KRZtzLy0L._AC_UL320_.jpg")</f>
        <v>#NAME?</v>
      </c>
      <c r="I3816" t="s">
        <v>8472</v>
      </c>
      <c r="J3816">
        <v>12.99</v>
      </c>
      <c r="K3816" s="2" t="s">
        <v>10515</v>
      </c>
      <c r="L3816">
        <v>5</v>
      </c>
      <c r="M3816">
        <v>5</v>
      </c>
      <c r="O3816" t="s">
        <v>26</v>
      </c>
      <c r="P3816" t="s">
        <v>39</v>
      </c>
      <c r="Q3816" t="s">
        <v>8474</v>
      </c>
    </row>
    <row r="3817" spans="1:17" ht="15.75" x14ac:dyDescent="0.25">
      <c r="A3817" s="3" t="str">
        <f>HYPERLINK("https://shop.sonapharmacy.com/products/liquid-i-v-hydration-multiplier-8pck", "https://shop.sonapharmacy.com/products/liquid-i-v-hydration-multiplier-8pck")</f>
        <v>https://shop.sonapharmacy.com/products/liquid-i-v-hydration-multiplier-8pck</v>
      </c>
      <c r="B3817" s="3" t="str">
        <f>HYPERLINK("https://shop.sonapharmacy.com/products/liquid-i-v-hydration-multiplier-8pck", "https://shop.sonapharmacy.com/products/liquid-i-v-hydration-multiplier-8pck")</f>
        <v>https://shop.sonapharmacy.com/products/liquid-i-v-hydration-multiplier-8pck</v>
      </c>
      <c r="C3817" t="s">
        <v>9679</v>
      </c>
      <c r="D3817" t="s">
        <v>10516</v>
      </c>
      <c r="E3817" s="3" t="str">
        <f>HYPERLINK("https://www.amazon.com/Liquid-I-V-Multiplier-Electrolyte-Single-Serving/dp/B08MVF7XFZ/ref=sr_1_10?keywords=Liquid+I.V%C2%AE+Hydration+Multiplier+Electrolyte+Mix+8pck&amp;qid=1695260452&amp;sr=8-10", "https://www.amazon.com/Liquid-I-V-Multiplier-Electrolyte-Single-Serving/dp/B08MVF7XFZ/ref=sr_1_10?keywords=Liquid+I.V%C2%AE+Hydration+Multiplier+Electrolyte+Mix+8pck&amp;qid=1695260452&amp;sr=8-10")</f>
        <v>https://www.amazon.com/Liquid-I-V-Multiplier-Electrolyte-Single-Serving/dp/B08MVF7XFZ/ref=sr_1_10?keywords=Liquid+I.V%C2%AE+Hydration+Multiplier+Electrolyte+Mix+8pck&amp;qid=1695260452&amp;sr=8-10</v>
      </c>
      <c r="F3817" t="s">
        <v>10517</v>
      </c>
      <c r="G3817" t="e">
        <f ca="1">IMAGE("https://shop.sonapharmacy.com/cdn/shop/products/passionfruit.jpg?v=1610031991")</f>
        <v>#NAME?</v>
      </c>
      <c r="H3817" t="e">
        <f ca="1">IMAGE("https://m.media-amazon.com/images/I/81SIhtEvyhL._AC_UL320_.jpg")</f>
        <v>#NAME?</v>
      </c>
      <c r="I3817" t="s">
        <v>3458</v>
      </c>
      <c r="J3817">
        <v>53.97</v>
      </c>
      <c r="K3817" s="2" t="s">
        <v>10518</v>
      </c>
      <c r="L3817">
        <v>4.7</v>
      </c>
      <c r="M3817">
        <v>35453</v>
      </c>
      <c r="O3817" t="s">
        <v>26</v>
      </c>
      <c r="P3817" t="s">
        <v>39</v>
      </c>
      <c r="Q3817" t="s">
        <v>9683</v>
      </c>
    </row>
    <row r="3818" spans="1:17" ht="15.75" x14ac:dyDescent="0.25">
      <c r="A3818" s="3" t="str">
        <f>HYPERLINK("https://shop.sonapharmacy.com/products/ban-powder-fresh-roll-on-antiperspirant-deodorant", "https://shop.sonapharmacy.com/products/ban-powder-fresh-roll-on-antiperspirant-deodorant")</f>
        <v>https://shop.sonapharmacy.com/products/ban-powder-fresh-roll-on-antiperspirant-deodorant</v>
      </c>
      <c r="B3818" s="3" t="str">
        <f>HYPERLINK("https://shop.sonapharmacy.com/products/ban-powder-fresh-roll-on-antiperspirant-deodorant", "https://shop.sonapharmacy.com/products/ban-powder-fresh-roll-on-antiperspirant-deodorant")</f>
        <v>https://shop.sonapharmacy.com/products/ban-powder-fresh-roll-on-antiperspirant-deodorant</v>
      </c>
      <c r="C3818" t="s">
        <v>10483</v>
      </c>
      <c r="D3818" t="s">
        <v>10519</v>
      </c>
      <c r="E3818" s="3" t="str">
        <f>HYPERLINK("https://www.amazon.com/Ban-Roll-Antiperspirant-Deodorant-Cotton/dp/B005NERDB2/ref=sr_1_4?keywords=Ban%C2%AE+Powder+Fresh+Roll-On+Antiperspirant+Deodorant&amp;qid=1695260091&amp;sr=8-4", "https://www.amazon.com/Ban-Roll-Antiperspirant-Deodorant-Cotton/dp/B005NERDB2/ref=sr_1_4?keywords=Ban%C2%AE+Powder+Fresh+Roll-On+Antiperspirant+Deodorant&amp;qid=1695260091&amp;sr=8-4")</f>
        <v>https://www.amazon.com/Ban-Roll-Antiperspirant-Deodorant-Cotton/dp/B005NERDB2/ref=sr_1_4?keywords=Ban%C2%AE+Powder+Fresh+Roll-On+Antiperspirant+Deodorant&amp;qid=1695260091&amp;sr=8-4</v>
      </c>
      <c r="F3818" t="s">
        <v>10520</v>
      </c>
      <c r="G3818" t="e">
        <f ca="1">IMAGE("https://shop.sonapharmacy.com/cdn/shop/products/BanPowderRollFront.png?v=1607048361")</f>
        <v>#NAME?</v>
      </c>
      <c r="H3818" t="e">
        <f ca="1">IMAGE("https://m.media-amazon.com/images/I/61rLWu5IZhL._AC_UL320_.jpg")</f>
        <v>#NAME?</v>
      </c>
      <c r="I3818" t="s">
        <v>10303</v>
      </c>
      <c r="J3818">
        <v>18.309999999999999</v>
      </c>
      <c r="K3818" s="2" t="s">
        <v>10521</v>
      </c>
      <c r="L3818">
        <v>4.7</v>
      </c>
      <c r="M3818">
        <v>3674</v>
      </c>
      <c r="O3818" t="s">
        <v>26</v>
      </c>
      <c r="P3818" t="s">
        <v>39</v>
      </c>
      <c r="Q3818" t="s">
        <v>10487</v>
      </c>
    </row>
    <row r="3819" spans="1:17" ht="15.75" x14ac:dyDescent="0.25">
      <c r="A3819" s="3" t="str">
        <f>HYPERLINK("https://shop.sonapharmacy.com/products/secura%C2%AE-protective-ointment-5-6oz", "https://shop.sonapharmacy.com/products/secura%C2%AE-protective-ointment-5-6oz")</f>
        <v>https://shop.sonapharmacy.com/products/secura%C2%AE-protective-ointment-5-6oz</v>
      </c>
      <c r="B3819" s="3" t="str">
        <f>HYPERLINK("https://shop.sonapharmacy.com/products/secura%c2%ae-protective-ointment-5-6oz", "https://shop.sonapharmacy.com/products/secura%c2%ae-protective-ointment-5-6oz")</f>
        <v>https://shop.sonapharmacy.com/products/secura%c2%ae-protective-ointment-5-6oz</v>
      </c>
      <c r="C3819" t="s">
        <v>9075</v>
      </c>
      <c r="D3819" t="s">
        <v>10522</v>
      </c>
      <c r="E3819" s="3" t="str">
        <f>HYPERLINK("https://www.amazon.com/SECURA-Protective-Ointment-Protectant-5-6oz/dp/B082XHQQRW/ref=sr_1_7?keywords=Secura%C2%AE+Protective+Ointment+5.6oz.&amp;qid=1695260728&amp;sr=8-7", "https://www.amazon.com/SECURA-Protective-Ointment-Protectant-5-6oz/dp/B082XHQQRW/ref=sr_1_7?keywords=Secura%C2%AE+Protective+Ointment+5.6oz.&amp;qid=1695260728&amp;sr=8-7")</f>
        <v>https://www.amazon.com/SECURA-Protective-Ointment-Protectant-5-6oz/dp/B082XHQQRW/ref=sr_1_7?keywords=Secura%C2%AE+Protective+Ointment+5.6oz.&amp;qid=1695260728&amp;sr=8-7</v>
      </c>
      <c r="F3819" t="s">
        <v>10523</v>
      </c>
      <c r="G3819" t="e">
        <f ca="1">IMAGE("https://shop.sonapharmacy.com/cdn/shop/products/51jcEfX-T7L._AC_SL1170.jpg?v=1610327335")</f>
        <v>#NAME?</v>
      </c>
      <c r="H3819" t="e">
        <f ca="1">IMAGE("https://m.media-amazon.com/images/I/71+nMCVTgHL._AC_UL320_.jpg")</f>
        <v>#NAME?</v>
      </c>
      <c r="I3819" t="s">
        <v>9078</v>
      </c>
      <c r="J3819">
        <v>27.14</v>
      </c>
      <c r="K3819" s="2" t="s">
        <v>10524</v>
      </c>
      <c r="L3819">
        <v>5</v>
      </c>
      <c r="M3819">
        <v>16</v>
      </c>
      <c r="O3819" t="s">
        <v>26</v>
      </c>
      <c r="P3819" t="s">
        <v>39</v>
      </c>
      <c r="Q3819" t="s">
        <v>9080</v>
      </c>
    </row>
    <row r="3820" spans="1:17" ht="15.75" x14ac:dyDescent="0.25">
      <c r="A3820" s="3" t="str">
        <f>HYPERLINK("https://shop.sonapharmacy.com/products/advil-200-mg-ibuprofen-tablets", "https://shop.sonapharmacy.com/products/advil-200-mg-ibuprofen-tablets")</f>
        <v>https://shop.sonapharmacy.com/products/advil-200-mg-ibuprofen-tablets</v>
      </c>
      <c r="B3820" s="3" t="str">
        <f>HYPERLINK("https://shop.sonapharmacy.com/products/advil-200-mg-ibuprofen-tablets", "https://shop.sonapharmacy.com/products/advil-200-mg-ibuprofen-tablets")</f>
        <v>https://shop.sonapharmacy.com/products/advil-200-mg-ibuprofen-tablets</v>
      </c>
      <c r="C3820" t="s">
        <v>8377</v>
      </c>
      <c r="D3820" t="s">
        <v>10525</v>
      </c>
      <c r="E3820" s="3" t="str">
        <f>HYPERLINK("https://www.amazon.com/Advil-Reliever-Ibuprofen-Headaches-Toothaches/dp/B004ZCT1M2/ref=sr_1_1?keywords=Advil+200mg+Ibuprofen+Tablets&amp;qid=1695260034&amp;sr=8-1", "https://www.amazon.com/Advil-Reliever-Ibuprofen-Headaches-Toothaches/dp/B004ZCT1M2/ref=sr_1_1?keywords=Advil+200mg+Ibuprofen+Tablets&amp;qid=1695260034&amp;sr=8-1")</f>
        <v>https://www.amazon.com/Advil-Reliever-Ibuprofen-Headaches-Toothaches/dp/B004ZCT1M2/ref=sr_1_1?keywords=Advil+200mg+Ibuprofen+Tablets&amp;qid=1695260034&amp;sr=8-1</v>
      </c>
      <c r="F3820" t="s">
        <v>10526</v>
      </c>
      <c r="G3820" t="e">
        <f ca="1">IMAGE("https://shop.sonapharmacy.com/cdn/shop/products/71csOFCEiJL._SL1200.jpg?v=1611188571")</f>
        <v>#NAME?</v>
      </c>
      <c r="H3820" t="e">
        <f ca="1">IMAGE("https://m.media-amazon.com/images/I/71TKja1yz5L._AC_UL320_.jpg")</f>
        <v>#NAME?</v>
      </c>
      <c r="I3820" t="s">
        <v>8300</v>
      </c>
      <c r="J3820">
        <v>15.82</v>
      </c>
      <c r="K3820" s="2" t="s">
        <v>10527</v>
      </c>
      <c r="L3820">
        <v>4.9000000000000004</v>
      </c>
      <c r="M3820">
        <v>11442</v>
      </c>
      <c r="O3820" t="s">
        <v>26</v>
      </c>
      <c r="P3820" t="s">
        <v>39</v>
      </c>
      <c r="Q3820" t="s">
        <v>8381</v>
      </c>
    </row>
    <row r="3821" spans="1:17" ht="15.75" x14ac:dyDescent="0.25">
      <c r="A3821" s="3" t="str">
        <f>HYPERLINK("https://shop.sonapharmacy.com/products/q-tips-cotton-swabs", "https://shop.sonapharmacy.com/products/q-tips-cotton-swabs")</f>
        <v>https://shop.sonapharmacy.com/products/q-tips-cotton-swabs</v>
      </c>
      <c r="B3821" s="3" t="str">
        <f>HYPERLINK("https://shop.sonapharmacy.com/products/q-tips-cotton-swabs", "https://shop.sonapharmacy.com/products/q-tips-cotton-swabs")</f>
        <v>https://shop.sonapharmacy.com/products/q-tips-cotton-swabs</v>
      </c>
      <c r="C3821" t="s">
        <v>9155</v>
      </c>
      <c r="D3821" t="s">
        <v>10528</v>
      </c>
      <c r="E3821" s="3" t="str">
        <f>HYPERLINK("https://www.amazon.com/Q-tips-Cotton-Swabs-Count-Pack/dp/B00E4MP1Y0/ref=sr_1_8?keywords=Q-tips+Cotton+Swabs&amp;qid=1695260660&amp;sr=8-8", "https://www.amazon.com/Q-tips-Cotton-Swabs-Count-Pack/dp/B00E4MP1Y0/ref=sr_1_8?keywords=Q-tips+Cotton+Swabs&amp;qid=1695260660&amp;sr=8-8")</f>
        <v>https://www.amazon.com/Q-tips-Cotton-Swabs-Count-Pack/dp/B00E4MP1Y0/ref=sr_1_8?keywords=Q-tips+Cotton+Swabs&amp;qid=1695260660&amp;sr=8-8</v>
      </c>
      <c r="F3821" t="s">
        <v>10529</v>
      </c>
      <c r="G3821" t="e">
        <f ca="1">IMAGE("https://shop.sonapharmacy.com/cdn/shop/products/qtips_travel.png?v=1606762585")</f>
        <v>#NAME?</v>
      </c>
      <c r="H3821" t="e">
        <f ca="1">IMAGE("https://m.media-amazon.com/images/I/61lZtN3uCwL._AC_UL320_.jpg")</f>
        <v>#NAME?</v>
      </c>
      <c r="I3821" t="s">
        <v>8927</v>
      </c>
      <c r="J3821">
        <v>9.99</v>
      </c>
      <c r="K3821" s="2" t="s">
        <v>10530</v>
      </c>
      <c r="L3821">
        <v>4.7</v>
      </c>
      <c r="M3821">
        <v>13391</v>
      </c>
      <c r="O3821" t="s">
        <v>26</v>
      </c>
      <c r="P3821" t="s">
        <v>39</v>
      </c>
      <c r="Q3821" t="s">
        <v>9159</v>
      </c>
    </row>
    <row r="3822" spans="1:17" ht="15.75" x14ac:dyDescent="0.25">
      <c r="A3822" s="3" t="str">
        <f>HYPERLINK("https://shop.sonapharmacy.com/products/coppertone%C2%AE-sport-spf-50-lotion-7fl-oz", "https://shop.sonapharmacy.com/products/coppertone%C2%AE-sport-spf-50-lotion-7fl-oz")</f>
        <v>https://shop.sonapharmacy.com/products/coppertone%C2%AE-sport-spf-50-lotion-7fl-oz</v>
      </c>
      <c r="B3822" s="3" t="str">
        <f>HYPERLINK("https://shop.sonapharmacy.com/products/coppertone%c2%ae-sport-spf-50-lotion-7fl-oz", "https://shop.sonapharmacy.com/products/coppertone%c2%ae-sport-spf-50-lotion-7fl-oz")</f>
        <v>https://shop.sonapharmacy.com/products/coppertone%c2%ae-sport-spf-50-lotion-7fl-oz</v>
      </c>
      <c r="C3822" t="s">
        <v>10531</v>
      </c>
      <c r="D3822" t="s">
        <v>10532</v>
      </c>
      <c r="E3822" s="3" t="str">
        <f>HYPERLINK("https://www.amazon.com/Coppertone-Sport-Clear-Sunscreen-Lotion/dp/B08792S7GD/ref=sr_1_3?keywords=Coppertone%C2%AE+Sport+SPF+50+Lotion+7fl.+oz.&amp;qid=1695260163&amp;sr=8-3", "https://www.amazon.com/Coppertone-Sport-Clear-Sunscreen-Lotion/dp/B08792S7GD/ref=sr_1_3?keywords=Coppertone%C2%AE+Sport+SPF+50+Lotion+7fl.+oz.&amp;qid=1695260163&amp;sr=8-3")</f>
        <v>https://www.amazon.com/Coppertone-Sport-Clear-Sunscreen-Lotion/dp/B08792S7GD/ref=sr_1_3?keywords=Coppertone%C2%AE+Sport+SPF+50+Lotion+7fl.+oz.&amp;qid=1695260163&amp;sr=8-3</v>
      </c>
      <c r="F3822" t="s">
        <v>10533</v>
      </c>
      <c r="G3822" t="e">
        <f ca="1">IMAGE("https://shop.sonapharmacy.com/cdn/shop/products/7c8cb15f-7cf8-4b1b-ac3e-39de3fdcc5ad.2c921551f07b212d0fab7b1d3dd73227.jpg?v=1610648627")</f>
        <v>#NAME?</v>
      </c>
      <c r="H3822" t="e">
        <f ca="1">IMAGE("https://m.media-amazon.com/images/I/61oFS1th8CS._AC_UL320_.jpg")</f>
        <v>#NAME?</v>
      </c>
      <c r="I3822" t="s">
        <v>10534</v>
      </c>
      <c r="J3822">
        <v>30.23</v>
      </c>
      <c r="K3822" s="2" t="s">
        <v>10535</v>
      </c>
      <c r="L3822">
        <v>4.5</v>
      </c>
      <c r="M3822">
        <v>276</v>
      </c>
      <c r="O3822" t="s">
        <v>26</v>
      </c>
      <c r="P3822" t="s">
        <v>39</v>
      </c>
      <c r="Q3822" t="s">
        <v>10536</v>
      </c>
    </row>
    <row r="3823" spans="1:17" ht="15.75" x14ac:dyDescent="0.25">
      <c r="A3823" s="3" t="str">
        <f>HYPERLINK("https://shop.sonapharmacy.com/products/depend%C2%AE-for-men-guard-maximum-absorbency-pads-52ct", "https://shop.sonapharmacy.com/products/depend%C2%AE-for-men-guard-maximum-absorbency-pads-52ct")</f>
        <v>https://shop.sonapharmacy.com/products/depend%C2%AE-for-men-guard-maximum-absorbency-pads-52ct</v>
      </c>
      <c r="B3823" s="3" t="str">
        <f>HYPERLINK("https://shop.sonapharmacy.com/products/depend%c2%ae-for-men-guard-maximum-absorbency-pads-52ct", "https://shop.sonapharmacy.com/products/depend%c2%ae-for-men-guard-maximum-absorbency-pads-52ct")</f>
        <v>https://shop.sonapharmacy.com/products/depend%c2%ae-for-men-guard-maximum-absorbency-pads-52ct</v>
      </c>
      <c r="C3823" t="s">
        <v>9063</v>
      </c>
      <c r="D3823" t="s">
        <v>10537</v>
      </c>
      <c r="E3823" s="3" t="str">
        <f>HYPERLINK("https://www.amazon.com/Depend-Incontinence-Bladder-Absorbency-Packaging/dp/B087DPD3LD/ref=sr_1_3?keywords=Depend%C2%AE+For+Men+Guard+Maximum+Absorbency+Pads+52ct.&amp;qid=1695260193&amp;sr=8-3", "https://www.amazon.com/Depend-Incontinence-Bladder-Absorbency-Packaging/dp/B087DPD3LD/ref=sr_1_3?keywords=Depend%C2%AE+For+Men+Guard+Maximum+Absorbency+Pads+52ct.&amp;qid=1695260193&amp;sr=8-3")</f>
        <v>https://www.amazon.com/Depend-Incontinence-Bladder-Absorbency-Packaging/dp/B087DPD3LD/ref=sr_1_3?keywords=Depend%C2%AE+For+Men+Guard+Maximum+Absorbency+Pads+52ct.&amp;qid=1695260193&amp;sr=8-3</v>
      </c>
      <c r="F3823" t="s">
        <v>10538</v>
      </c>
      <c r="G3823" t="e">
        <f ca="1">IMAGE("https://shop.sonapharmacy.com/cdn/shop/products/71MqtBk9N_L._AC_SL1500.jpg?v=1611075181")</f>
        <v>#NAME?</v>
      </c>
      <c r="H3823" t="e">
        <f ca="1">IMAGE("https://m.media-amazon.com/images/I/61Lc97tY0wL._AC_UL320_.jpg")</f>
        <v>#NAME?</v>
      </c>
      <c r="I3823" t="s">
        <v>9066</v>
      </c>
      <c r="J3823">
        <v>44.95</v>
      </c>
      <c r="K3823" s="2" t="s">
        <v>10539</v>
      </c>
      <c r="L3823">
        <v>4.5999999999999996</v>
      </c>
      <c r="M3823">
        <v>15362</v>
      </c>
      <c r="O3823" t="s">
        <v>136</v>
      </c>
      <c r="P3823" t="s">
        <v>39</v>
      </c>
      <c r="Q3823" t="s">
        <v>9068</v>
      </c>
    </row>
    <row r="3824" spans="1:17" ht="15.75" x14ac:dyDescent="0.25">
      <c r="A3824" s="3" t="str">
        <f>HYPERLINK("https://shop.sonapharmacy.com/products/curad-flex-fabric-bandages", "https://shop.sonapharmacy.com/products/curad-flex-fabric-bandages")</f>
        <v>https://shop.sonapharmacy.com/products/curad-flex-fabric-bandages</v>
      </c>
      <c r="B3824" s="3" t="str">
        <f>HYPERLINK("https://shop.sonapharmacy.com/products/curad-flex-fabric-bandages", "https://shop.sonapharmacy.com/products/curad-flex-fabric-bandages")</f>
        <v>https://shop.sonapharmacy.com/products/curad-flex-fabric-bandages</v>
      </c>
      <c r="C3824" t="s">
        <v>10355</v>
      </c>
      <c r="D3824" t="s">
        <v>10540</v>
      </c>
      <c r="E3824" s="3" t="str">
        <f>HYPERLINK("https://www.amazon.com/Curad-Quickstop-Clotting-Technology-Bandages/dp/B07Y94LGX2/ref=sr_1_7?keywords=Curad%C2%AE+Flex-Fabric+Bandages&amp;qid=1695260173&amp;sr=8-7", "https://www.amazon.com/Curad-Quickstop-Clotting-Technology-Bandages/dp/B07Y94LGX2/ref=sr_1_7?keywords=Curad%C2%AE+Flex-Fabric+Bandages&amp;qid=1695260173&amp;sr=8-7")</f>
        <v>https://www.amazon.com/Curad-Quickstop-Clotting-Technology-Bandages/dp/B07Y94LGX2/ref=sr_1_7?keywords=Curad%C2%AE+Flex-Fabric+Bandages&amp;qid=1695260173&amp;sr=8-7</v>
      </c>
      <c r="F3824" t="s">
        <v>10541</v>
      </c>
      <c r="G3824" t="e">
        <f ca="1">IMAGE("https://shop.sonapharmacy.com/cdn/shop/products/flexstrip.png?v=1607709917")</f>
        <v>#NAME?</v>
      </c>
      <c r="H3824" t="e">
        <f ca="1">IMAGE("https://m.media-amazon.com/images/I/619Sy4QjKPL._AC_UL320_.jpg")</f>
        <v>#NAME?</v>
      </c>
      <c r="I3824" t="s">
        <v>8680</v>
      </c>
      <c r="J3824">
        <v>11.99</v>
      </c>
      <c r="K3824" s="2" t="s">
        <v>10542</v>
      </c>
      <c r="L3824">
        <v>4.5</v>
      </c>
      <c r="M3824">
        <v>265</v>
      </c>
      <c r="O3824" t="s">
        <v>26</v>
      </c>
      <c r="P3824" t="s">
        <v>39</v>
      </c>
      <c r="Q3824" t="s">
        <v>10359</v>
      </c>
    </row>
    <row r="3825" spans="1:17" ht="15.75" x14ac:dyDescent="0.25">
      <c r="A3825" s="3" t="str">
        <f>HYPERLINK("https://shop.sonapharmacy.com/products/apex%C2%AE-copper-bracelet-wide-link", "https://shop.sonapharmacy.com/products/apex%C2%AE-copper-bracelet-wide-link")</f>
        <v>https://shop.sonapharmacy.com/products/apex%C2%AE-copper-bracelet-wide-link</v>
      </c>
      <c r="B3825" s="3" t="str">
        <f>HYPERLINK("https://shop.sonapharmacy.com/products/apex%c2%ae-copper-bracelet-wide-link", "https://shop.sonapharmacy.com/products/apex%c2%ae-copper-bracelet-wide-link")</f>
        <v>https://shop.sonapharmacy.com/products/apex%c2%ae-copper-bracelet-wide-link</v>
      </c>
      <c r="C3825" t="s">
        <v>10543</v>
      </c>
      <c r="D3825" t="s">
        <v>10544</v>
      </c>
      <c r="E3825" s="3" t="str">
        <f>HYPERLINK("https://www.amazon.com/Mens-Copper-Link-Bracelet-CB639G/dp/B07CVTGSW1/ref=sr_1_2?keywords=Apex+Copper+Bracelet+Wide+Link&amp;qid=1695260007&amp;sr=8-2", "https://www.amazon.com/Mens-Copper-Link-Bracelet-CB639G/dp/B07CVTGSW1/ref=sr_1_2?keywords=Apex+Copper+Bracelet+Wide+Link&amp;qid=1695260007&amp;sr=8-2")</f>
        <v>https://www.amazon.com/Mens-Copper-Link-Bracelet-CB639G/dp/B07CVTGSW1/ref=sr_1_2?keywords=Apex+Copper+Bracelet+Wide+Link&amp;qid=1695260007&amp;sr=8-2</v>
      </c>
      <c r="F3825" t="s">
        <v>10545</v>
      </c>
      <c r="G3825" t="e">
        <f ca="1">IMAGE("https://shop.sonapharmacy.com/cdn/shop/products/71VE0YzNdrL._AC_SL1500.jpg?v=1609958190")</f>
        <v>#NAME?</v>
      </c>
      <c r="H3825" t="e">
        <f ca="1">IMAGE("https://m.media-amazon.com/images/I/61-Wbozl4oL._AC_UL320_.jpg")</f>
        <v>#NAME?</v>
      </c>
      <c r="I3825" t="s">
        <v>10546</v>
      </c>
      <c r="J3825">
        <v>44</v>
      </c>
      <c r="K3825" s="2" t="s">
        <v>10547</v>
      </c>
      <c r="L3825">
        <v>4.9000000000000004</v>
      </c>
      <c r="M3825">
        <v>11</v>
      </c>
      <c r="O3825" t="s">
        <v>136</v>
      </c>
      <c r="P3825" t="s">
        <v>39</v>
      </c>
      <c r="Q3825" t="s">
        <v>10548</v>
      </c>
    </row>
    <row r="3826" spans="1:17" ht="15.75" x14ac:dyDescent="0.25">
      <c r="A3826" s="3" t="str">
        <f>HYPERLINK("https://shop.sonapharmacy.com/products/nexcare-flexible-clear-tape-with-dispenser", "https://shop.sonapharmacy.com/products/nexcare-flexible-clear-tape-with-dispenser")</f>
        <v>https://shop.sonapharmacy.com/products/nexcare-flexible-clear-tape-with-dispenser</v>
      </c>
      <c r="B3826" s="3" t="str">
        <f>HYPERLINK("https://shop.sonapharmacy.com/products/nexcare-flexible-clear-tape-with-dispenser", "https://shop.sonapharmacy.com/products/nexcare-flexible-clear-tape-with-dispenser")</f>
        <v>https://shop.sonapharmacy.com/products/nexcare-flexible-clear-tape-with-dispenser</v>
      </c>
      <c r="C3826" t="s">
        <v>8757</v>
      </c>
      <c r="D3826" t="s">
        <v>10549</v>
      </c>
      <c r="E3826" s="3" t="str">
        <f>HYPERLINK("https://www.amazon.com/Nexcre-Flex-Size-Clear-First/dp/B00IAJEG1M/ref=sr_1_3?keywords=Nexcare+Flexible+Clear+Tape&amp;qid=1695260581&amp;sr=8-3", "https://www.amazon.com/Nexcre-Flex-Size-Clear-First/dp/B00IAJEG1M/ref=sr_1_3?keywords=Nexcare+Flexible+Clear+Tape&amp;qid=1695260581&amp;sr=8-3")</f>
        <v>https://www.amazon.com/Nexcre-Flex-Size-Clear-First/dp/B00IAJEG1M/ref=sr_1_3?keywords=Nexcare+Flexible+Clear+Tape&amp;qid=1695260581&amp;sr=8-3</v>
      </c>
      <c r="F3826" t="s">
        <v>10550</v>
      </c>
      <c r="G3826" t="e">
        <f ca="1">IMAGE("https://shop.sonapharmacy.com/cdn/shop/products/3M-Nexcare-Flexible-Clear-First-Aid-Tape-779.jpg?v=1607704429")</f>
        <v>#NAME?</v>
      </c>
      <c r="H3826" t="e">
        <f ca="1">IMAGE("https://m.media-amazon.com/images/I/61epG+yyCoL._AC_UL320_.jpg")</f>
        <v>#NAME?</v>
      </c>
      <c r="I3826" t="s">
        <v>8760</v>
      </c>
      <c r="J3826">
        <v>15.51</v>
      </c>
      <c r="K3826" s="2" t="s">
        <v>10551</v>
      </c>
      <c r="L3826">
        <v>4.7</v>
      </c>
      <c r="M3826">
        <v>65</v>
      </c>
      <c r="O3826" t="s">
        <v>26</v>
      </c>
      <c r="P3826" t="s">
        <v>39</v>
      </c>
      <c r="Q3826" t="s">
        <v>8762</v>
      </c>
    </row>
    <row r="3827" spans="1:17" ht="15.75" x14ac:dyDescent="0.25">
      <c r="A3827" s="3" t="str">
        <f>HYPERLINK("https://shop.sonapharmacy.com/products/americaine-benzocaine-topical-anesthetic-spray-2-fl-oz", "https://shop.sonapharmacy.com/products/americaine-benzocaine-topical-anesthetic-spray-2-fl-oz")</f>
        <v>https://shop.sonapharmacy.com/products/americaine-benzocaine-topical-anesthetic-spray-2-fl-oz</v>
      </c>
      <c r="B3827" s="3" t="str">
        <f>HYPERLINK("https://shop.sonapharmacy.com/products/americaine-benzocaine-topical-anesthetic-spray-2-fl-oz", "https://shop.sonapharmacy.com/products/americaine-benzocaine-topical-anesthetic-spray-2-fl-oz")</f>
        <v>https://shop.sonapharmacy.com/products/americaine-benzocaine-topical-anesthetic-spray-2-fl-oz</v>
      </c>
      <c r="C3827" t="s">
        <v>9183</v>
      </c>
      <c r="D3827" t="s">
        <v>10552</v>
      </c>
      <c r="E3827" s="3" t="str">
        <f>HYPERLINK("https://www.amazon.com/Americaine-Benzocaine-Topical-Anesthetic-Hospital/dp/B01AVKHJMK/ref=sr_1_9?keywords=Americaine+Benzocaine+Topical+Anesthetic+Spray+2+fl.+oz.&amp;qid=1695260003&amp;sr=8-9", "https://www.amazon.com/Americaine-Benzocaine-Topical-Anesthetic-Hospital/dp/B01AVKHJMK/ref=sr_1_9?keywords=Americaine+Benzocaine+Topical+Anesthetic+Spray+2+fl.+oz.&amp;qid=1695260003&amp;sr=8-9")</f>
        <v>https://www.amazon.com/Americaine-Benzocaine-Topical-Anesthetic-Hospital/dp/B01AVKHJMK/ref=sr_1_9?keywords=Americaine+Benzocaine+Topical+Anesthetic+Spray+2+fl.+oz.&amp;qid=1695260003&amp;sr=8-9</v>
      </c>
      <c r="F3827" t="s">
        <v>10553</v>
      </c>
      <c r="G3827" t="e">
        <f ca="1">IMAGE("https://shop.sonapharmacy.com/cdn/shop/products/410yvWTaP7L._AC.jpg?v=1607971628")</f>
        <v>#NAME?</v>
      </c>
      <c r="H3827" t="e">
        <f ca="1">IMAGE("https://m.media-amazon.com/images/I/41AZ6B70ABL._AC_UY218_.jpg")</f>
        <v>#NAME?</v>
      </c>
      <c r="I3827" t="s">
        <v>9137</v>
      </c>
      <c r="J3827">
        <v>19.86</v>
      </c>
      <c r="K3827" s="2" t="s">
        <v>10554</v>
      </c>
      <c r="L3827">
        <v>4.5999999999999996</v>
      </c>
      <c r="M3827">
        <v>25</v>
      </c>
      <c r="O3827" t="s">
        <v>26</v>
      </c>
      <c r="P3827" t="s">
        <v>39</v>
      </c>
      <c r="Q3827" t="s">
        <v>9187</v>
      </c>
    </row>
    <row r="3828" spans="1:17" ht="15.75" x14ac:dyDescent="0.25">
      <c r="A3828" s="3" t="str">
        <f>HYPERLINK("https://shop.sonapharmacy.com/products/listerine%C2%AE-total-care-mouthwash", "https://shop.sonapharmacy.com/products/listerine%C2%AE-total-care-mouthwash")</f>
        <v>https://shop.sonapharmacy.com/products/listerine%C2%AE-total-care-mouthwash</v>
      </c>
      <c r="B3828" s="3" t="str">
        <f>HYPERLINK("https://shop.sonapharmacy.com/products/listerine%c2%ae-total-care-mouthwash", "https://shop.sonapharmacy.com/products/listerine%c2%ae-total-care-mouthwash")</f>
        <v>https://shop.sonapharmacy.com/products/listerine%c2%ae-total-care-mouthwash</v>
      </c>
      <c r="C3828" t="s">
        <v>8810</v>
      </c>
      <c r="D3828" t="s">
        <v>10555</v>
      </c>
      <c r="E3828" s="3" t="str">
        <f>HYPERLINK("https://www.amazon.com/Listerine-Antiseptic-Mouthwash-Travel-Ounces/dp/B07DM1FF59/ref=sr_1_3?keywords=Listerine%C2%AE+Total+Care+Mouthwash&amp;qid=1695260463&amp;sr=8-3", "https://www.amazon.com/Listerine-Antiseptic-Mouthwash-Travel-Ounces/dp/B07DM1FF59/ref=sr_1_3?keywords=Listerine%C2%AE+Total+Care+Mouthwash&amp;qid=1695260463&amp;sr=8-3")</f>
        <v>https://www.amazon.com/Listerine-Antiseptic-Mouthwash-Travel-Ounces/dp/B07DM1FF59/ref=sr_1_3?keywords=Listerine%C2%AE+Total+Care+Mouthwash&amp;qid=1695260463&amp;sr=8-3</v>
      </c>
      <c r="F3828" t="s">
        <v>10556</v>
      </c>
      <c r="G3828" t="e">
        <f ca="1">IMAGE("https://shop.sonapharmacy.com/cdn/shop/products/81vNiROdiIL._SL1500.jpg?v=1647185014")</f>
        <v>#NAME?</v>
      </c>
      <c r="H3828" t="e">
        <f ca="1">IMAGE("https://m.media-amazon.com/images/I/A1cXhgLDVJL._AC_UL320_.jpg")</f>
        <v>#NAME?</v>
      </c>
      <c r="I3828" t="s">
        <v>8813</v>
      </c>
      <c r="J3828">
        <v>18.899999999999999</v>
      </c>
      <c r="K3828" s="2" t="s">
        <v>4519</v>
      </c>
      <c r="L3828">
        <v>4.8</v>
      </c>
      <c r="M3828">
        <v>478</v>
      </c>
      <c r="O3828" t="s">
        <v>26</v>
      </c>
      <c r="P3828" t="s">
        <v>39</v>
      </c>
      <c r="Q3828" t="s">
        <v>8815</v>
      </c>
    </row>
    <row r="3829" spans="1:17" ht="15.75" x14ac:dyDescent="0.25">
      <c r="A3829" s="3" t="str">
        <f>HYPERLINK("https://shop.sonapharmacy.com/products/eucerin%C2%AE-spf-30-daily-protection-face-lotion-4fl-oz", "https://shop.sonapharmacy.com/products/eucerin%C2%AE-spf-30-daily-protection-face-lotion-4fl-oz")</f>
        <v>https://shop.sonapharmacy.com/products/eucerin%C2%AE-spf-30-daily-protection-face-lotion-4fl-oz</v>
      </c>
      <c r="B3829" s="3" t="str">
        <f>HYPERLINK("https://shop.sonapharmacy.com/products/eucerin%c2%ae-spf-30-daily-protection-face-lotion-4fl-oz", "https://shop.sonapharmacy.com/products/eucerin%c2%ae-spf-30-daily-protection-face-lotion-4fl-oz")</f>
        <v>https://shop.sonapharmacy.com/products/eucerin%c2%ae-spf-30-daily-protection-face-lotion-4fl-oz</v>
      </c>
      <c r="C3829" t="s">
        <v>10557</v>
      </c>
      <c r="D3829" t="s">
        <v>10558</v>
      </c>
      <c r="E3829" s="3" t="str">
        <f>HYPERLINK("https://www.amazon.com/Eucerin-Protection-Spectrum-Moisturizing-Bottles/dp/B01BZFMEAC/ref=sr_1_5?keywords=Eucerin%C2%AE+SPF+30+Daily+Protection+Face+Lotion+4fl.+oz.&amp;qid=1695260234&amp;sr=8-5", "https://www.amazon.com/Eucerin-Protection-Spectrum-Moisturizing-Bottles/dp/B01BZFMEAC/ref=sr_1_5?keywords=Eucerin%C2%AE+SPF+30+Daily+Protection+Face+Lotion+4fl.+oz.&amp;qid=1695260234&amp;sr=8-5")</f>
        <v>https://www.amazon.com/Eucerin-Protection-Spectrum-Moisturizing-Bottles/dp/B01BZFMEAC/ref=sr_1_5?keywords=Eucerin%C2%AE+SPF+30+Daily+Protection+Face+Lotion+4fl.+oz.&amp;qid=1695260234&amp;sr=8-5</v>
      </c>
      <c r="F3829" t="s">
        <v>10559</v>
      </c>
      <c r="G3829" t="e">
        <f ca="1">IMAGE("https://shop.sonapharmacy.com/cdn/shop/products/eda2b0f0-3b02-42ee-ad6c-e3ab52ac5d65_1.b223dd35d322ca4c627804613c003ea8.jpg?v=1608414946")</f>
        <v>#NAME?</v>
      </c>
      <c r="H3829" t="e">
        <f ca="1">IMAGE("https://m.media-amazon.com/images/I/31s62U9IskL._AC_UL320_.jpg")</f>
        <v>#NAME?</v>
      </c>
      <c r="I3829" t="s">
        <v>8781</v>
      </c>
      <c r="J3829">
        <v>25.48</v>
      </c>
      <c r="K3829" s="2" t="s">
        <v>10560</v>
      </c>
      <c r="L3829">
        <v>4</v>
      </c>
      <c r="M3829">
        <v>24</v>
      </c>
      <c r="O3829" t="s">
        <v>26</v>
      </c>
      <c r="P3829" t="s">
        <v>39</v>
      </c>
      <c r="Q3829" t="s">
        <v>10561</v>
      </c>
    </row>
    <row r="3830" spans="1:17" ht="15.75" x14ac:dyDescent="0.25">
      <c r="A3830" s="3" t="str">
        <f>HYPERLINK("https://shop.sonapharmacy.com/products/accu-chek-guide-test-strips-50-ct", "https://shop.sonapharmacy.com/products/accu-chek-guide-test-strips-50-ct")</f>
        <v>https://shop.sonapharmacy.com/products/accu-chek-guide-test-strips-50-ct</v>
      </c>
      <c r="B3830" s="3" t="str">
        <f>HYPERLINK("https://shop.sonapharmacy.com/products/accu-chek-guide-test-strips-50-ct", "https://shop.sonapharmacy.com/products/accu-chek-guide-test-strips-50-ct")</f>
        <v>https://shop.sonapharmacy.com/products/accu-chek-guide-test-strips-50-ct</v>
      </c>
      <c r="C3830" t="s">
        <v>8734</v>
      </c>
      <c r="D3830" t="s">
        <v>10562</v>
      </c>
      <c r="E3830" s="3" t="str">
        <f>HYPERLINK("https://www.amazon.com/ACCU-CHEK-SmartView-Test-Strips-Each/dp/B00DVK01GO/ref=sr_1_5?keywords=Accu-Chek+Guide+Test+Strips&amp;qid=1695260023&amp;sr=8-5", "https://www.amazon.com/ACCU-CHEK-SmartView-Test-Strips-Each/dp/B00DVK01GO/ref=sr_1_5?keywords=Accu-Chek+Guide+Test+Strips&amp;qid=1695260023&amp;sr=8-5")</f>
        <v>https://www.amazon.com/ACCU-CHEK-SmartView-Test-Strips-Each/dp/B00DVK01GO/ref=sr_1_5?keywords=Accu-Chek+Guide+Test+Strips&amp;qid=1695260023&amp;sr=8-5</v>
      </c>
      <c r="F3830" t="s">
        <v>10563</v>
      </c>
      <c r="G3830" t="e">
        <f ca="1">IMAGE("https://shop.sonapharmacy.com/cdn/shop/products/Accu-ChekGuideTestStrips50ct.yyy.jpg?v=1594217683")</f>
        <v>#NAME?</v>
      </c>
      <c r="H3830" t="e">
        <f ca="1">IMAGE("https://m.media-amazon.com/images/I/61Ax-xbuVJL._AC_UL320_.jpg")</f>
        <v>#NAME?</v>
      </c>
      <c r="I3830" t="s">
        <v>8737</v>
      </c>
      <c r="J3830">
        <v>69.989999999999995</v>
      </c>
      <c r="K3830" s="2" t="s">
        <v>3237</v>
      </c>
      <c r="L3830">
        <v>4.5999999999999996</v>
      </c>
      <c r="M3830">
        <v>175</v>
      </c>
      <c r="O3830" t="s">
        <v>26</v>
      </c>
      <c r="P3830" t="s">
        <v>39</v>
      </c>
      <c r="Q3830" t="s">
        <v>8739</v>
      </c>
    </row>
    <row r="3831" spans="1:17" ht="15.75" x14ac:dyDescent="0.25">
      <c r="A3831" s="3" t="str">
        <f>HYPERLINK("https://shop.sonapharmacy.com/products/bd-home-sharps-container", "https://shop.sonapharmacy.com/products/bd-home-sharps-container")</f>
        <v>https://shop.sonapharmacy.com/products/bd-home-sharps-container</v>
      </c>
      <c r="B3831" s="3" t="str">
        <f>HYPERLINK("https://shop.sonapharmacy.com/products/bd-home-sharps-container", "https://shop.sonapharmacy.com/products/bd-home-sharps-container")</f>
        <v>https://shop.sonapharmacy.com/products/bd-home-sharps-container</v>
      </c>
      <c r="C3831" t="s">
        <v>8261</v>
      </c>
      <c r="D3831" t="s">
        <v>10564</v>
      </c>
      <c r="E3831" s="3" t="str">
        <f>HYPERLINK("https://www.amazon.com/Home-Sharps-Container-1-4-Each/dp/B00UJYIEF0/ref=sr_1_1?keywords=BD%C2%AE+Home+Sharps+Container&amp;qid=1695260089&amp;sr=8-1", "https://www.amazon.com/Home-Sharps-Container-1-4-Each/dp/B00UJYIEF0/ref=sr_1_1?keywords=BD%C2%AE+Home+Sharps+Container&amp;qid=1695260089&amp;sr=8-1")</f>
        <v>https://www.amazon.com/Home-Sharps-Container-1-4-Each/dp/B00UJYIEF0/ref=sr_1_1?keywords=BD%C2%AE+Home+Sharps+Container&amp;qid=1695260089&amp;sr=8-1</v>
      </c>
      <c r="F3831" t="s">
        <v>10565</v>
      </c>
      <c r="G3831" t="e">
        <f ca="1">IMAGE("https://shop.sonapharmacy.com/cdn/shop/products/001655246.jpg?v=1609343493")</f>
        <v>#NAME?</v>
      </c>
      <c r="H3831" t="e">
        <f ca="1">IMAGE("https://m.media-amazon.com/images/I/61liJqfyiqS._AC_UL320_.jpg")</f>
        <v>#NAME?</v>
      </c>
      <c r="I3831" t="s">
        <v>8264</v>
      </c>
      <c r="J3831">
        <v>13</v>
      </c>
      <c r="K3831" s="2" t="s">
        <v>10566</v>
      </c>
      <c r="L3831">
        <v>4.8</v>
      </c>
      <c r="M3831">
        <v>630</v>
      </c>
      <c r="O3831" t="s">
        <v>26</v>
      </c>
      <c r="P3831" t="s">
        <v>39</v>
      </c>
      <c r="Q3831" t="s">
        <v>8266</v>
      </c>
    </row>
    <row r="3832" spans="1:17" ht="15.75" x14ac:dyDescent="0.25">
      <c r="A3832" s="3" t="str">
        <f>HYPERLINK("https://shop.sonapharmacy.com/products/purpose-gentle-cleansing-bar-6oz", "https://shop.sonapharmacy.com/products/purpose-gentle-cleansing-bar-6oz")</f>
        <v>https://shop.sonapharmacy.com/products/purpose-gentle-cleansing-bar-6oz</v>
      </c>
      <c r="B3832" s="3" t="str">
        <f>HYPERLINK("https://shop.sonapharmacy.com/products/purpose-gentle-cleansing-bar-6oz", "https://shop.sonapharmacy.com/products/purpose-gentle-cleansing-bar-6oz")</f>
        <v>https://shop.sonapharmacy.com/products/purpose-gentle-cleansing-bar-6oz</v>
      </c>
      <c r="C3832" t="s">
        <v>8652</v>
      </c>
      <c r="D3832" t="s">
        <v>10567</v>
      </c>
      <c r="E3832" s="3" t="str">
        <f>HYPERLINK("https://www.amazon.com/Purpose-Gentle-Cleansing-Bar-PACK/dp/B00FXA36QC/ref=sr_1_10?keywords=Purpose+Gentle+Cleansing+Bar+6oz.&amp;qid=1695260662&amp;sr=8-10", "https://www.amazon.com/Purpose-Gentle-Cleansing-Bar-PACK/dp/B00FXA36QC/ref=sr_1_10?keywords=Purpose+Gentle+Cleansing+Bar+6oz.&amp;qid=1695260662&amp;sr=8-10")</f>
        <v>https://www.amazon.com/Purpose-Gentle-Cleansing-Bar-PACK/dp/B00FXA36QC/ref=sr_1_10?keywords=Purpose+Gentle+Cleansing+Bar+6oz.&amp;qid=1695260662&amp;sr=8-10</v>
      </c>
      <c r="F3832" t="s">
        <v>10568</v>
      </c>
      <c r="G3832" t="e">
        <f ca="1">IMAGE("https://shop.sonapharmacy.com/cdn/shop/products/118399_1400x_93c89fb8-439e-40d6-8d57-f94ddb60c699.jpg?v=1608315285")</f>
        <v>#NAME?</v>
      </c>
      <c r="H3832" t="e">
        <f ca="1">IMAGE("https://m.media-amazon.com/images/I/51AdzbCOkjL._AC_UL320_.jpg")</f>
        <v>#NAME?</v>
      </c>
      <c r="I3832" t="s">
        <v>8632</v>
      </c>
      <c r="J3832">
        <v>9.99</v>
      </c>
      <c r="K3832" s="2" t="s">
        <v>10569</v>
      </c>
      <c r="L3832">
        <v>4.7</v>
      </c>
      <c r="M3832">
        <v>71</v>
      </c>
      <c r="O3832" t="s">
        <v>26</v>
      </c>
      <c r="P3832" t="s">
        <v>39</v>
      </c>
      <c r="Q3832" t="s">
        <v>8656</v>
      </c>
    </row>
    <row r="3833" spans="1:17" ht="15.75" x14ac:dyDescent="0.25">
      <c r="A3833" s="3" t="str">
        <f>HYPERLINK("https://shop.sonapharmacy.com/products/fleet%C2%AE-bisacodyl-enema", "https://shop.sonapharmacy.com/products/fleet%C2%AE-bisacodyl-enema")</f>
        <v>https://shop.sonapharmacy.com/products/fleet%C2%AE-bisacodyl-enema</v>
      </c>
      <c r="B3833" s="3" t="str">
        <f>HYPERLINK("https://shop.sonapharmacy.com/products/fleet%c2%ae-bisacodyl-enema", "https://shop.sonapharmacy.com/products/fleet%c2%ae-bisacodyl-enema")</f>
        <v>https://shop.sonapharmacy.com/products/fleet%c2%ae-bisacodyl-enema</v>
      </c>
      <c r="C3833" t="s">
        <v>9441</v>
      </c>
      <c r="D3833" t="s">
        <v>10570</v>
      </c>
      <c r="E3833" s="3" t="str">
        <f>HYPERLINK("https://www.amazon.com/Fleet-Bisacodyl-Enema-Ready-Use/dp/B007FBSC6Q/ref=sr_1_5?keywords=FLEET%C2%AE+Bisacodyl+Enema+%281%29+1.25+fl+oz+Bottle&amp;qid=1695260246&amp;sr=8-5", "https://www.amazon.com/Fleet-Bisacodyl-Enema-Ready-Use/dp/B007FBSC6Q/ref=sr_1_5?keywords=FLEET%C2%AE+Bisacodyl+Enema+%281%29+1.25+fl+oz+Bottle&amp;qid=1695260246&amp;sr=8-5")</f>
        <v>https://www.amazon.com/Fleet-Bisacodyl-Enema-Ready-Use/dp/B007FBSC6Q/ref=sr_1_5?keywords=FLEET%C2%AE+Bisacodyl+Enema+%281%29+1.25+fl+oz+Bottle&amp;qid=1695260246&amp;sr=8-5</v>
      </c>
      <c r="F3833" t="s">
        <v>10571</v>
      </c>
      <c r="G3833" t="e">
        <f ca="1">IMAGE("https://shop.sonapharmacy.com/cdn/shop/products/0e0c0dc0-844a-469b-8d4d-f565b8ff91ac_1.f093073c3cf2fcc154e2ab7fed8c0320.jpg?v=1609350899")</f>
        <v>#NAME?</v>
      </c>
      <c r="H3833" t="e">
        <f ca="1">IMAGE("https://m.media-amazon.com/images/I/41pYbNMD7mL._AC_UL320_.jpg")</f>
        <v>#NAME?</v>
      </c>
      <c r="I3833" t="s">
        <v>9444</v>
      </c>
      <c r="J3833">
        <v>13.68</v>
      </c>
      <c r="K3833" s="2" t="s">
        <v>10572</v>
      </c>
      <c r="L3833">
        <v>4.2</v>
      </c>
      <c r="M3833">
        <v>7</v>
      </c>
      <c r="O3833" t="s">
        <v>136</v>
      </c>
      <c r="P3833" t="s">
        <v>39</v>
      </c>
      <c r="Q3833" t="s">
        <v>9446</v>
      </c>
    </row>
    <row r="3834" spans="1:17" ht="15.75" x14ac:dyDescent="0.25">
      <c r="A3834" s="3" t="str">
        <f>HYPERLINK("https://shop.sonapharmacy.com/products/destin%C2%AE-maximum-strength-original-zinc-oxide-paste", "https://shop.sonapharmacy.com/products/destin%C2%AE-maximum-strength-original-zinc-oxide-paste")</f>
        <v>https://shop.sonapharmacy.com/products/destin%C2%AE-maximum-strength-original-zinc-oxide-paste</v>
      </c>
      <c r="B3834" s="3" t="str">
        <f>HYPERLINK("https://shop.sonapharmacy.com/products/destin%c2%ae-maximum-strength-original-zinc-oxide-paste", "https://shop.sonapharmacy.com/products/destin%c2%ae-maximum-strength-original-zinc-oxide-paste")</f>
        <v>https://shop.sonapharmacy.com/products/destin%c2%ae-maximum-strength-original-zinc-oxide-paste</v>
      </c>
      <c r="C3834" t="s">
        <v>10573</v>
      </c>
      <c r="D3834" t="s">
        <v>10574</v>
      </c>
      <c r="E3834" s="3" t="str">
        <f>HYPERLINK("https://www.amazon.com/Desitin-Maximum-Strength-Diaper-Prevention/dp/B00BH0PZBG/ref=sr_1_1?keywords=Desitin%C2%AE+Maximum+Strength+Original+Zinc+Oxide+Paste&amp;qid=1695260219&amp;sr=8-1", "https://www.amazon.com/Desitin-Maximum-Strength-Diaper-Prevention/dp/B00BH0PZBG/ref=sr_1_1?keywords=Desitin%C2%AE+Maximum+Strength+Original+Zinc+Oxide+Paste&amp;qid=1695260219&amp;sr=8-1")</f>
        <v>https://www.amazon.com/Desitin-Maximum-Strength-Diaper-Prevention/dp/B00BH0PZBG/ref=sr_1_1?keywords=Desitin%C2%AE+Maximum+Strength+Original+Zinc+Oxide+Paste&amp;qid=1695260219&amp;sr=8-1</v>
      </c>
      <c r="F3834" t="s">
        <v>10575</v>
      </c>
      <c r="G3834" t="e">
        <f ca="1">IMAGE("https://shop.sonapharmacy.com/cdn/shop/products/b1859bbf-4d6b-4045-b977-72d347bf2080_1.02748a72a944267a9dc673f01bcd7d63.jpg?v=1609271319")</f>
        <v>#NAME?</v>
      </c>
      <c r="H3834" t="e">
        <f ca="1">IMAGE("https://m.media-amazon.com/images/I/81TCdfcWPxL._AC_UL320_.jpg")</f>
        <v>#NAME?</v>
      </c>
      <c r="I3834" t="s">
        <v>10576</v>
      </c>
      <c r="J3834">
        <v>19.28</v>
      </c>
      <c r="K3834" s="2" t="s">
        <v>10577</v>
      </c>
      <c r="L3834">
        <v>4.8</v>
      </c>
      <c r="M3834">
        <v>15803</v>
      </c>
      <c r="O3834" t="s">
        <v>26</v>
      </c>
      <c r="P3834" t="s">
        <v>39</v>
      </c>
      <c r="Q3834" t="s">
        <v>10578</v>
      </c>
    </row>
    <row r="3835" spans="1:17" ht="15.75" x14ac:dyDescent="0.25">
      <c r="A3835" s="3" t="str">
        <f>HYPERLINK("https://shop.sonapharmacy.com/products/nature-made-550-mg-potassium-gluconate-tablets", "https://shop.sonapharmacy.com/products/nature-made-550-mg-potassium-gluconate-tablets")</f>
        <v>https://shop.sonapharmacy.com/products/nature-made-550-mg-potassium-gluconate-tablets</v>
      </c>
      <c r="B3835" s="3" t="str">
        <f>HYPERLINK("https://shop.sonapharmacy.com/products/nature-made-550-mg-potassium-gluconate-tablets", "https://shop.sonapharmacy.com/products/nature-made-550-mg-potassium-gluconate-tablets")</f>
        <v>https://shop.sonapharmacy.com/products/nature-made-550-mg-potassium-gluconate-tablets</v>
      </c>
      <c r="C3835" t="s">
        <v>8772</v>
      </c>
      <c r="D3835" t="s">
        <v>10579</v>
      </c>
      <c r="E3835" s="3" t="str">
        <f>HYPERLINK("https://www.amazon.com/Potassium-Gluconate-Tablets-Vitamins-Supplements/dp/B0C2CCHXXQ/ref=sr_1_8?keywords=Nature+Made%C2%AE+Potassium+Gluconate+550mg+Tablets+100ct.&amp;qid=1695260548&amp;sr=8-8", "https://www.amazon.com/Potassium-Gluconate-Tablets-Vitamins-Supplements/dp/B0C2CCHXXQ/ref=sr_1_8?keywords=Nature+Made%C2%AE+Potassium+Gluconate+550mg+Tablets+100ct.&amp;qid=1695260548&amp;sr=8-8")</f>
        <v>https://www.amazon.com/Potassium-Gluconate-Tablets-Vitamins-Supplements/dp/B0C2CCHXXQ/ref=sr_1_8?keywords=Nature+Made%C2%AE+Potassium+Gluconate+550mg+Tablets+100ct.&amp;qid=1695260548&amp;sr=8-8</v>
      </c>
      <c r="F3835" t="s">
        <v>10580</v>
      </c>
      <c r="G3835" t="e">
        <f ca="1">IMAGE("https://shop.sonapharmacy.com/cdn/shop/products/71BiS35R4VL._AC_SL1500.jpg?v=1610047926")</f>
        <v>#NAME?</v>
      </c>
      <c r="H3835" t="e">
        <f ca="1">IMAGE("https://m.media-amazon.com/images/I/61Wln4KULlL._AC_UL320_.jpg")</f>
        <v>#NAME?</v>
      </c>
      <c r="I3835" t="s">
        <v>8775</v>
      </c>
      <c r="J3835">
        <v>13.47</v>
      </c>
      <c r="K3835" s="2" t="s">
        <v>10581</v>
      </c>
      <c r="L3835">
        <v>4.8</v>
      </c>
      <c r="M3835">
        <v>34</v>
      </c>
      <c r="O3835" t="s">
        <v>26</v>
      </c>
      <c r="P3835" t="s">
        <v>39</v>
      </c>
      <c r="Q3835" t="s">
        <v>8777</v>
      </c>
    </row>
    <row r="3836" spans="1:17" ht="15.75" x14ac:dyDescent="0.25">
      <c r="A3836" s="3" t="str">
        <f>HYPERLINK("https://shop.sonapharmacy.com/products/afrin%C2%AE-original", "https://shop.sonapharmacy.com/products/afrin%C2%AE-original")</f>
        <v>https://shop.sonapharmacy.com/products/afrin%C2%AE-original</v>
      </c>
      <c r="B3836" s="3" t="str">
        <f>HYPERLINK("https://shop.sonapharmacy.com/products/afrin%c2%ae-original", "https://shop.sonapharmacy.com/products/afrin%c2%ae-original")</f>
        <v>https://shop.sonapharmacy.com/products/afrin%c2%ae-original</v>
      </c>
      <c r="C3836" t="s">
        <v>8143</v>
      </c>
      <c r="D3836" t="s">
        <v>10582</v>
      </c>
      <c r="E3836" s="3" t="str">
        <f>HYPERLINK("https://www.amazon.com/Afrin-Pump-Mist-Relief-Original/dp/B01BVY961M/ref=sr_1_7?keywords=Afrin+Original+Nasal+Spray&amp;qid=1695260003&amp;sr=8-7", "https://www.amazon.com/Afrin-Pump-Mist-Relief-Original/dp/B01BVY961M/ref=sr_1_7?keywords=Afrin+Original+Nasal+Spray&amp;qid=1695260003&amp;sr=8-7")</f>
        <v>https://www.amazon.com/Afrin-Pump-Mist-Relief-Original/dp/B01BVY961M/ref=sr_1_7?keywords=Afrin+Original+Nasal+Spray&amp;qid=1695260003&amp;sr=8-7</v>
      </c>
      <c r="F3836" t="s">
        <v>10583</v>
      </c>
      <c r="G3836" t="e">
        <f ca="1">IMAGE("https://shop.sonapharmacy.com/cdn/shop/products/81lfsEyuTvL._AC_SL1500.jpg?v=1611182746")</f>
        <v>#NAME?</v>
      </c>
      <c r="H3836" t="e">
        <f ca="1">IMAGE("https://m.media-amazon.com/images/I/81lfsEyuTvL._AC_UL320_.jpg")</f>
        <v>#NAME?</v>
      </c>
      <c r="I3836" t="s">
        <v>4275</v>
      </c>
      <c r="J3836">
        <v>33</v>
      </c>
      <c r="K3836" s="2" t="s">
        <v>10584</v>
      </c>
      <c r="L3836">
        <v>3.6</v>
      </c>
      <c r="M3836">
        <v>223</v>
      </c>
      <c r="O3836" t="s">
        <v>26</v>
      </c>
      <c r="P3836" t="s">
        <v>39</v>
      </c>
      <c r="Q3836" t="s">
        <v>8147</v>
      </c>
    </row>
    <row r="3837" spans="1:17" ht="15.75" x14ac:dyDescent="0.25">
      <c r="A3837" s="3" t="str">
        <f>HYPERLINK("https://shop.sonapharmacy.com/products/crane%C2%AE-humidifier-demineralization-filter", "https://shop.sonapharmacy.com/products/crane%C2%AE-humidifier-demineralization-filter")</f>
        <v>https://shop.sonapharmacy.com/products/crane%C2%AE-humidifier-demineralization-filter</v>
      </c>
      <c r="B3837" s="3" t="str">
        <f>HYPERLINK("https://shop.sonapharmacy.com/products/crane%c2%ae-humidifier-demineralization-filter", "https://shop.sonapharmacy.com/products/crane%c2%ae-humidifier-demineralization-filter")</f>
        <v>https://shop.sonapharmacy.com/products/crane%c2%ae-humidifier-demineralization-filter</v>
      </c>
      <c r="C3837" t="s">
        <v>10585</v>
      </c>
      <c r="D3837" t="s">
        <v>10586</v>
      </c>
      <c r="E3837" s="3" t="str">
        <f>HYPERLINK("https://www.amazon.com/Crane-Humidifier-Demineralization-Cartridge-HS-1932/dp/B07L1VHGSX/ref=sr_1_4?keywords=Crane%C2%AE+Humidifier+Demineralization+Filter&amp;qid=1695260170&amp;sr=8-4", "https://www.amazon.com/Crane-Humidifier-Demineralization-Cartridge-HS-1932/dp/B07L1VHGSX/ref=sr_1_4?keywords=Crane%C2%AE+Humidifier+Demineralization+Filter&amp;qid=1695260170&amp;sr=8-4")</f>
        <v>https://www.amazon.com/Crane-Humidifier-Demineralization-Cartridge-HS-1932/dp/B07L1VHGSX/ref=sr_1_4?keywords=Crane%C2%AE+Humidifier+Demineralization+Filter&amp;qid=1695260170&amp;sr=8-4</v>
      </c>
      <c r="F3837" t="s">
        <v>10587</v>
      </c>
      <c r="G3837" t="e">
        <f ca="1">IMAGE("https://shop.sonapharmacy.com/cdn/shop/products/84614514782834p.jpg?v=1610908808")</f>
        <v>#NAME?</v>
      </c>
      <c r="H3837" t="e">
        <f ca="1">IMAGE("https://m.media-amazon.com/images/I/71b7YEvshdL._AC_UY218_.jpg")</f>
        <v>#NAME?</v>
      </c>
      <c r="I3837" t="s">
        <v>4275</v>
      </c>
      <c r="J3837">
        <v>32.99</v>
      </c>
      <c r="K3837" s="2" t="s">
        <v>10588</v>
      </c>
      <c r="L3837">
        <v>4.7</v>
      </c>
      <c r="M3837">
        <v>224</v>
      </c>
      <c r="O3837" t="s">
        <v>136</v>
      </c>
      <c r="P3837" t="s">
        <v>39</v>
      </c>
      <c r="Q3837" t="s">
        <v>10589</v>
      </c>
    </row>
    <row r="3838" spans="1:17" ht="15.75" x14ac:dyDescent="0.25">
      <c r="A3838" s="3" t="str">
        <f>HYPERLINK("https://shop.sonapharmacy.com/products/curad-non-stick-pads", "https://shop.sonapharmacy.com/products/curad-non-stick-pads")</f>
        <v>https://shop.sonapharmacy.com/products/curad-non-stick-pads</v>
      </c>
      <c r="B3838" s="3" t="str">
        <f>HYPERLINK("https://shop.sonapharmacy.com/products/curad-non-stick-pads", "https://shop.sonapharmacy.com/products/curad-non-stick-pads")</f>
        <v>https://shop.sonapharmacy.com/products/curad-non-stick-pads</v>
      </c>
      <c r="C3838" t="s">
        <v>8501</v>
      </c>
      <c r="D3838" t="s">
        <v>10590</v>
      </c>
      <c r="E3838" s="3" t="str">
        <f>HYPERLINK("https://www.amazon.com/Curad-Non-Stick-Pads-Inches-Count/dp/B001B5CQQE/ref=sr_1_2?keywords=Curad%C2%AE+Non-Stick+Pads&amp;qid=1695260163&amp;sr=8-2", "https://www.amazon.com/Curad-Non-Stick-Pads-Inches-Count/dp/B001B5CQQE/ref=sr_1_2?keywords=Curad%C2%AE+Non-Stick+Pads&amp;qid=1695260163&amp;sr=8-2")</f>
        <v>https://www.amazon.com/Curad-Non-Stick-Pads-Inches-Count/dp/B001B5CQQE/ref=sr_1_2?keywords=Curad%C2%AE+Non-Stick+Pads&amp;qid=1695260163&amp;sr=8-2</v>
      </c>
      <c r="F3838" t="s">
        <v>10591</v>
      </c>
      <c r="G3838" t="e">
        <f ca="1">IMAGE("https://shop.sonapharmacy.com/cdn/shop/products/nonsmall.png?v=1607711387")</f>
        <v>#NAME?</v>
      </c>
      <c r="H3838" t="e">
        <f ca="1">IMAGE("https://m.media-amazon.com/images/I/818kN6AeplL._AC_UL320_.jpg")</f>
        <v>#NAME?</v>
      </c>
      <c r="I3838" t="s">
        <v>8076</v>
      </c>
      <c r="J3838">
        <v>5.99</v>
      </c>
      <c r="K3838" s="2" t="s">
        <v>10592</v>
      </c>
      <c r="L3838">
        <v>4.7</v>
      </c>
      <c r="M3838">
        <v>2467</v>
      </c>
      <c r="O3838" t="s">
        <v>26</v>
      </c>
      <c r="P3838" t="s">
        <v>39</v>
      </c>
      <c r="Q3838" t="s">
        <v>8505</v>
      </c>
    </row>
    <row r="3839" spans="1:17" ht="15.75" x14ac:dyDescent="0.25">
      <c r="A3839" s="3" t="str">
        <f>HYPERLINK("https://shop.sonapharmacy.com/products/boudreauxs-butt-paste%C2%AE-original-diaper-rash-ointment", "https://shop.sonapharmacy.com/products/boudreauxs-butt-paste%C2%AE-original-diaper-rash-ointment")</f>
        <v>https://shop.sonapharmacy.com/products/boudreauxs-butt-paste%C2%AE-original-diaper-rash-ointment</v>
      </c>
      <c r="B3839" s="3" t="str">
        <f>HYPERLINK("https://shop.sonapharmacy.com/products/boudreauxs-butt-paste%c2%ae-original-diaper-rash-ointment", "https://shop.sonapharmacy.com/products/boudreauxs-butt-paste%c2%ae-original-diaper-rash-ointment")</f>
        <v>https://shop.sonapharmacy.com/products/boudreauxs-butt-paste%c2%ae-original-diaper-rash-ointment</v>
      </c>
      <c r="C3839" t="s">
        <v>9281</v>
      </c>
      <c r="D3839" t="s">
        <v>10593</v>
      </c>
      <c r="E3839" s="3" t="str">
        <f>HYPERLINK("https://www.amazon.com/Boudreauxs-Butt-Paste-Ointment-Preservative/dp/B01LZF07GU/ref=sr_1_6?keywords=Boudreaux%27s+Butt+Paste%C2%AE+Original+Diaper+Rash+Ointment&amp;qid=1695260099&amp;rdc=1&amp;sr=8-6", "https://www.amazon.com/Boudreauxs-Butt-Paste-Ointment-Preservative/dp/B01LZF07GU/ref=sr_1_6?keywords=Boudreaux%27s+Butt+Paste%C2%AE+Original+Diaper+Rash+Ointment&amp;qid=1695260099&amp;rdc=1&amp;sr=8-6")</f>
        <v>https://www.amazon.com/Boudreauxs-Butt-Paste-Ointment-Preservative/dp/B01LZF07GU/ref=sr_1_6?keywords=Boudreaux%27s+Butt+Paste%C2%AE+Original+Diaper+Rash+Ointment&amp;qid=1695260099&amp;rdc=1&amp;sr=8-6</v>
      </c>
      <c r="F3839" t="s">
        <v>10594</v>
      </c>
      <c r="G3839" t="e">
        <f ca="1">IMAGE("https://shop.sonapharmacy.com/cdn/shop/products/2oz.jpg?v=1609271951")</f>
        <v>#NAME?</v>
      </c>
      <c r="H3839" t="e">
        <f ca="1">IMAGE("https://m.media-amazon.com/images/I/71ddd8+c3vL._AC_UL320_.jpg")</f>
        <v>#NAME?</v>
      </c>
      <c r="I3839" t="s">
        <v>9284</v>
      </c>
      <c r="J3839">
        <v>16.97</v>
      </c>
      <c r="K3839" s="2" t="s">
        <v>10595</v>
      </c>
      <c r="L3839">
        <v>4.7</v>
      </c>
      <c r="M3839">
        <v>15464</v>
      </c>
      <c r="O3839" t="s">
        <v>26</v>
      </c>
      <c r="P3839" t="s">
        <v>39</v>
      </c>
      <c r="Q3839" t="s">
        <v>9286</v>
      </c>
    </row>
    <row r="3840" spans="1:17" ht="15.75" x14ac:dyDescent="0.25">
      <c r="A3840" s="3" t="str">
        <f>HYPERLINK("https://shop.sonapharmacy.com/products/goodsense%C2%AE-comfort-grip-nail-clipper", "https://shop.sonapharmacy.com/products/goodsense%C2%AE-comfort-grip-nail-clipper")</f>
        <v>https://shop.sonapharmacy.com/products/goodsense%C2%AE-comfort-grip-nail-clipper</v>
      </c>
      <c r="B3840" s="3" t="str">
        <f>HYPERLINK("https://shop.sonapharmacy.com/products/goodsense%c2%ae-comfort-grip-nail-clipper", "https://shop.sonapharmacy.com/products/goodsense%c2%ae-comfort-grip-nail-clipper")</f>
        <v>https://shop.sonapharmacy.com/products/goodsense%c2%ae-comfort-grip-nail-clipper</v>
      </c>
      <c r="C3840" t="s">
        <v>10176</v>
      </c>
      <c r="D3840" t="s">
        <v>10596</v>
      </c>
      <c r="E3840" s="3" t="str">
        <f>HYPERLINK("https://www.amazon.com/Denco-Evolution-8520-Nail-Clippers/dp/B007Y54AE6/ref=sr_1_8?keywords=GoodSense%C2%AE+Comfort+Grip+Nail+Clipper&amp;qid=1695260321&amp;sr=8-8", "https://www.amazon.com/Denco-Evolution-8520-Nail-Clippers/dp/B007Y54AE6/ref=sr_1_8?keywords=GoodSense%C2%AE+Comfort+Grip+Nail+Clipper&amp;qid=1695260321&amp;sr=8-8")</f>
        <v>https://www.amazon.com/Denco-Evolution-8520-Nail-Clippers/dp/B007Y54AE6/ref=sr_1_8?keywords=GoodSense%C2%AE+Comfort+Grip+Nail+Clipper&amp;qid=1695260321&amp;sr=8-8</v>
      </c>
      <c r="F3840" t="s">
        <v>10597</v>
      </c>
      <c r="G3840" t="e">
        <f ca="1">IMAGE("https://shop.sonapharmacy.com/cdn/shop/products/5713934-1_1.jpg?v=1610910601")</f>
        <v>#NAME?</v>
      </c>
      <c r="H3840" t="e">
        <f ca="1">IMAGE("https://m.media-amazon.com/images/I/71lIzM958bL._AC_UL320_.jpg")</f>
        <v>#NAME?</v>
      </c>
      <c r="I3840" t="s">
        <v>10179</v>
      </c>
      <c r="J3840">
        <v>6.99</v>
      </c>
      <c r="K3840" s="2" t="s">
        <v>10598</v>
      </c>
      <c r="L3840">
        <v>4.3</v>
      </c>
      <c r="M3840">
        <v>165</v>
      </c>
      <c r="O3840" t="s">
        <v>136</v>
      </c>
      <c r="P3840" t="s">
        <v>39</v>
      </c>
      <c r="Q3840" t="s">
        <v>10181</v>
      </c>
    </row>
    <row r="3841" spans="1:17" ht="15.75" x14ac:dyDescent="0.25">
      <c r="A3841" s="3" t="str">
        <f>HYPERLINK("https://shop.sonapharmacy.com/products/pedia-lax%C2%AE-glycerin-suppositories", "https://shop.sonapharmacy.com/products/pedia-lax%C2%AE-glycerin-suppositories")</f>
        <v>https://shop.sonapharmacy.com/products/pedia-lax%C2%AE-glycerin-suppositories</v>
      </c>
      <c r="B3841" s="3" t="str">
        <f>HYPERLINK("https://shop.sonapharmacy.com/products/pedia-lax%c2%ae-glycerin-suppositories", "https://shop.sonapharmacy.com/products/pedia-lax%c2%ae-glycerin-suppositories")</f>
        <v>https://shop.sonapharmacy.com/products/pedia-lax%c2%ae-glycerin-suppositories</v>
      </c>
      <c r="C3841" t="s">
        <v>8008</v>
      </c>
      <c r="D3841" t="s">
        <v>10599</v>
      </c>
      <c r="E3841" s="3" t="str">
        <f>HYPERLINK("https://www.amazon.com/Fleet-Childrens-Pedia-Lax-Glycerin-Suppositories/dp/B000SD6BS4/ref=sr_1_2?keywords=Pedia-Lax%C2%AE+Glycerin+Suppositories&amp;qid=1695260628&amp;sr=8-2", "https://www.amazon.com/Fleet-Childrens-Pedia-Lax-Glycerin-Suppositories/dp/B000SD6BS4/ref=sr_1_2?keywords=Pedia-Lax%C2%AE+Glycerin+Suppositories&amp;qid=1695260628&amp;sr=8-2")</f>
        <v>https://www.amazon.com/Fleet-Childrens-Pedia-Lax-Glycerin-Suppositories/dp/B000SD6BS4/ref=sr_1_2?keywords=Pedia-Lax%C2%AE+Glycerin+Suppositories&amp;qid=1695260628&amp;sr=8-2</v>
      </c>
      <c r="F3841" t="s">
        <v>10600</v>
      </c>
      <c r="G3841" t="e">
        <f ca="1">IMAGE("https://shop.sonapharmacy.com/cdn/shop/products/pedialaxresized.jpg?v=1592422726")</f>
        <v>#NAME?</v>
      </c>
      <c r="H3841" t="e">
        <f ca="1">IMAGE("https://m.media-amazon.com/images/I/413GkSgiQzL._AC_UL320_.jpg")</f>
        <v>#NAME?</v>
      </c>
      <c r="I3841" t="s">
        <v>7952</v>
      </c>
      <c r="J3841">
        <v>7.12</v>
      </c>
      <c r="K3841" s="2" t="s">
        <v>10601</v>
      </c>
      <c r="L3841">
        <v>4.8</v>
      </c>
      <c r="M3841">
        <v>1765</v>
      </c>
      <c r="O3841" t="s">
        <v>26</v>
      </c>
      <c r="P3841" t="s">
        <v>39</v>
      </c>
      <c r="Q3841" t="s">
        <v>8012</v>
      </c>
    </row>
    <row r="3842" spans="1:17" ht="15.75" x14ac:dyDescent="0.25">
      <c r="A3842" s="3" t="str">
        <f>HYPERLINK("https://shop.sonapharmacy.com/products/oral-b%C2%AE-deep-clean-toothbrush", "https://shop.sonapharmacy.com/products/oral-b%C2%AE-deep-clean-toothbrush")</f>
        <v>https://shop.sonapharmacy.com/products/oral-b%C2%AE-deep-clean-toothbrush</v>
      </c>
      <c r="B3842" s="3" t="str">
        <f>HYPERLINK("https://shop.sonapharmacy.com/products/oral-b%c2%ae-deep-clean-toothbrush", "https://shop.sonapharmacy.com/products/oral-b%c2%ae-deep-clean-toothbrush")</f>
        <v>https://shop.sonapharmacy.com/products/oral-b%c2%ae-deep-clean-toothbrush</v>
      </c>
      <c r="C3842" t="s">
        <v>9367</v>
      </c>
      <c r="D3842" t="s">
        <v>10602</v>
      </c>
      <c r="E3842" s="3" t="str">
        <f>HYPERLINK("https://www.amazon.com/Oral-B-Complete-Clean-Toothbrush-Colors/dp/B0BGRLHLP1/ref=sr_1_8?keywords=Oral+B%C2%AE+Complete+Deep+Clean+Toothbrush+%5BMedium%5D&amp;qid=1695260620&amp;sr=8-8", "https://www.amazon.com/Oral-B-Complete-Clean-Toothbrush-Colors/dp/B0BGRLHLP1/ref=sr_1_8?keywords=Oral+B%C2%AE+Complete+Deep+Clean+Toothbrush+%5BMedium%5D&amp;qid=1695260620&amp;sr=8-8")</f>
        <v>https://www.amazon.com/Oral-B-Complete-Clean-Toothbrush-Colors/dp/B0BGRLHLP1/ref=sr_1_8?keywords=Oral+B%C2%AE+Complete+Deep+Clean+Toothbrush+%5BMedium%5D&amp;qid=1695260620&amp;sr=8-8</v>
      </c>
      <c r="F3842" t="s">
        <v>10603</v>
      </c>
      <c r="G3842" t="e">
        <f ca="1">IMAGE("https://shop.sonapharmacy.com/cdn/shop/files/Sona-Shop-banner2_0c7162f3-c367-451d-8193-c2967a0e8d8e.jpg?v=1614290083")</f>
        <v>#NAME?</v>
      </c>
      <c r="H3842" t="e">
        <f ca="1">IMAGE("https://m.media-amazon.com/images/I/41gkZCQy45L._AC_UL320_.jpg")</f>
        <v>#NAME?</v>
      </c>
      <c r="I3842" t="s">
        <v>9370</v>
      </c>
      <c r="J3842">
        <v>10.65</v>
      </c>
      <c r="K3842" s="2" t="s">
        <v>10604</v>
      </c>
      <c r="L3842">
        <v>5</v>
      </c>
      <c r="M3842">
        <v>4</v>
      </c>
      <c r="O3842" t="s">
        <v>26</v>
      </c>
      <c r="P3842" t="s">
        <v>39</v>
      </c>
      <c r="Q3842" t="s">
        <v>9372</v>
      </c>
    </row>
    <row r="3843" spans="1:17" ht="15.75" x14ac:dyDescent="0.25">
      <c r="A3843" s="3" t="str">
        <f>HYPERLINK("https://shop.sonapharmacy.com/products/mommys-bliss-original-gripe-water", "https://shop.sonapharmacy.com/products/mommys-bliss-original-gripe-water")</f>
        <v>https://shop.sonapharmacy.com/products/mommys-bliss-original-gripe-water</v>
      </c>
      <c r="B3843" s="3" t="str">
        <f>HYPERLINK("https://shop.sonapharmacy.com/products/mommys-bliss-original-gripe-water", "https://shop.sonapharmacy.com/products/mommys-bliss-original-gripe-water")</f>
        <v>https://shop.sonapharmacy.com/products/mommys-bliss-original-gripe-water</v>
      </c>
      <c r="C3843" t="s">
        <v>10605</v>
      </c>
      <c r="D3843" t="s">
        <v>10606</v>
      </c>
      <c r="E3843" s="3" t="str">
        <f>HYPERLINK("https://www.amazon.com/Mommys-Bliss-Organic-Servings-Original/dp/B097QVT11D/ref=sr_1_6?keywords=Mommy%27s+Bliss+Original+Gripe+Water&amp;qid=1695260479&amp;sr=8-6", "https://www.amazon.com/Mommys-Bliss-Organic-Servings-Original/dp/B097QVT11D/ref=sr_1_6?keywords=Mommy%27s+Bliss+Original+Gripe+Water&amp;qid=1695260479&amp;sr=8-6")</f>
        <v>https://www.amazon.com/Mommys-Bliss-Organic-Servings-Original/dp/B097QVT11D/ref=sr_1_6?keywords=Mommy%27s+Bliss+Original+Gripe+Water&amp;qid=1695260479&amp;sr=8-6</v>
      </c>
      <c r="F3843" t="s">
        <v>10607</v>
      </c>
      <c r="G3843" t="e">
        <f ca="1">IMAGE("https://shop.sonapharmacy.com/cdn/shop/products/Untitled-47.jpg?v=1592848167")</f>
        <v>#NAME?</v>
      </c>
      <c r="H3843" t="e">
        <f ca="1">IMAGE("https://m.media-amazon.com/images/I/81Vxq5vvEhS._AC_UL320_.jpg")</f>
        <v>#NAME?</v>
      </c>
      <c r="I3843" t="s">
        <v>10608</v>
      </c>
      <c r="J3843">
        <v>35.32</v>
      </c>
      <c r="K3843" s="2" t="s">
        <v>10609</v>
      </c>
      <c r="L3843">
        <v>4.7</v>
      </c>
      <c r="M3843">
        <v>79</v>
      </c>
      <c r="O3843" t="s">
        <v>26</v>
      </c>
      <c r="P3843" t="s">
        <v>39</v>
      </c>
      <c r="Q3843" t="s">
        <v>10610</v>
      </c>
    </row>
    <row r="3844" spans="1:17" ht="15.75" x14ac:dyDescent="0.25">
      <c r="A3844" s="3" t="str">
        <f>HYPERLINK("https://shop.sonapharmacy.com/products/curad-compact-first-aid-kit", "https://shop.sonapharmacy.com/products/curad-compact-first-aid-kit")</f>
        <v>https://shop.sonapharmacy.com/products/curad-compact-first-aid-kit</v>
      </c>
      <c r="B3844" s="3" t="str">
        <f>HYPERLINK("https://shop.sonapharmacy.com/products/curad-compact-first-aid-kit", "https://shop.sonapharmacy.com/products/curad-compact-first-aid-kit")</f>
        <v>https://shop.sonapharmacy.com/products/curad-compact-first-aid-kit</v>
      </c>
      <c r="C3844" t="s">
        <v>8554</v>
      </c>
      <c r="D3844" t="s">
        <v>10611</v>
      </c>
      <c r="E3844" s="3" t="str">
        <f>HYPERLINK("https://www.amazon.com/Johnson-All-Purpose-Portable-Compact-Emergency/dp/B09NWH8553/ref=sr_1_5?keywords=Curad%C2%AE+Compact+First+Aid+Kit&amp;qid=1695260179&amp;sr=8-5", "https://www.amazon.com/Johnson-All-Purpose-Portable-Compact-Emergency/dp/B09NWH8553/ref=sr_1_5?keywords=Curad%C2%AE+Compact+First+Aid+Kit&amp;qid=1695260179&amp;sr=8-5")</f>
        <v>https://www.amazon.com/Johnson-All-Purpose-Portable-Compact-Emergency/dp/B09NWH8553/ref=sr_1_5?keywords=Curad%C2%AE+Compact+First+Aid+Kit&amp;qid=1695260179&amp;sr=8-5</v>
      </c>
      <c r="F3844" t="s">
        <v>10612</v>
      </c>
      <c r="G3844" t="e">
        <f ca="1">IMAGE("https://shop.sonapharmacy.com/cdn/shop/products/SKU_CURFAK200RB_BOX_RIGHT_RGB_500x550_575adfc4-7192-4115-907f-353af88557b0.png?v=1607719376")</f>
        <v>#NAME?</v>
      </c>
      <c r="H3844" t="e">
        <f ca="1">IMAGE("https://m.media-amazon.com/images/I/817vU1ZDWGL._AC_UL320_.jpg")</f>
        <v>#NAME?</v>
      </c>
      <c r="I3844" t="s">
        <v>8557</v>
      </c>
      <c r="J3844">
        <v>17.48</v>
      </c>
      <c r="K3844" s="2" t="s">
        <v>10613</v>
      </c>
      <c r="L3844">
        <v>4.8</v>
      </c>
      <c r="M3844">
        <v>19993</v>
      </c>
      <c r="O3844" t="s">
        <v>26</v>
      </c>
      <c r="P3844" t="s">
        <v>39</v>
      </c>
      <c r="Q3844" t="s">
        <v>8559</v>
      </c>
    </row>
    <row r="3845" spans="1:17" ht="15.75" x14ac:dyDescent="0.25">
      <c r="A3845" s="3" t="str">
        <f>HYPERLINK("https://shop.sonapharmacy.com/products/duracell%C2%AE-303-357-76-silver-oxide-button-battery", "https://shop.sonapharmacy.com/products/duracell%C2%AE-303-357-76-silver-oxide-button-battery")</f>
        <v>https://shop.sonapharmacy.com/products/duracell%C2%AE-303-357-76-silver-oxide-button-battery</v>
      </c>
      <c r="B3845" s="3" t="str">
        <f>HYPERLINK("https://shop.sonapharmacy.com/products/duracell%c2%ae-303-357-76-silver-oxide-button-battery", "https://shop.sonapharmacy.com/products/duracell%c2%ae-303-357-76-silver-oxide-button-battery")</f>
        <v>https://shop.sonapharmacy.com/products/duracell%c2%ae-303-357-76-silver-oxide-button-battery</v>
      </c>
      <c r="C3845" t="s">
        <v>8329</v>
      </c>
      <c r="D3845" t="s">
        <v>10614</v>
      </c>
      <c r="E3845" s="3" t="str">
        <f>HYPERLINK("https://www.amazon.com/Duracell-SR44W-Silver-Oxide-Battery/dp/B013IPN5BE/ref=sr_1_3?keywords=Duracell%C2%AE+303%2F357%2F76+Silver+Oxide+Button+Battery&amp;qid=1695260202&amp;sr=8-3", "https://www.amazon.com/Duracell-SR44W-Silver-Oxide-Battery/dp/B013IPN5BE/ref=sr_1_3?keywords=Duracell%C2%AE+303%2F357%2F76+Silver+Oxide+Button+Battery&amp;qid=1695260202&amp;sr=8-3")</f>
        <v>https://www.amazon.com/Duracell-SR44W-Silver-Oxide-Battery/dp/B013IPN5BE/ref=sr_1_3?keywords=Duracell%C2%AE+303%2F357%2F76+Silver+Oxide+Button+Battery&amp;qid=1695260202&amp;sr=8-3</v>
      </c>
      <c r="F3845" t="s">
        <v>10615</v>
      </c>
      <c r="G3845" t="e">
        <f ca="1">IMAGE("https://shop.sonapharmacy.com/cdn/shop/products/3099066_A.eps_High_540x_008cc7a8-ba13-4a78-a067-abc0e573a874.jpg?v=1610332687")</f>
        <v>#NAME?</v>
      </c>
      <c r="H3845" t="e">
        <f ca="1">IMAGE("https://m.media-amazon.com/images/I/71-gQyCZJIL._AC_UL320_.jpg")</f>
        <v>#NAME?</v>
      </c>
      <c r="I3845" t="s">
        <v>8332</v>
      </c>
      <c r="J3845">
        <v>21.78</v>
      </c>
      <c r="K3845" s="2" t="s">
        <v>10616</v>
      </c>
      <c r="L3845">
        <v>4.7</v>
      </c>
      <c r="M3845">
        <v>936</v>
      </c>
      <c r="O3845" t="s">
        <v>26</v>
      </c>
      <c r="P3845" t="s">
        <v>39</v>
      </c>
      <c r="Q3845" t="s">
        <v>8334</v>
      </c>
    </row>
    <row r="3846" spans="1:17" ht="15.75" x14ac:dyDescent="0.25">
      <c r="A3846" s="3" t="str">
        <f>HYPERLINK("https://shop.sonapharmacy.com/products/goodsense%C2%AE-comfort-grip-nail-clipper", "https://shop.sonapharmacy.com/products/goodsense%C2%AE-comfort-grip-nail-clipper")</f>
        <v>https://shop.sonapharmacy.com/products/goodsense%C2%AE-comfort-grip-nail-clipper</v>
      </c>
      <c r="B3846" s="3" t="str">
        <f>HYPERLINK("https://shop.sonapharmacy.com/products/goodsense%c2%ae-comfort-grip-nail-clipper", "https://shop.sonapharmacy.com/products/goodsense%c2%ae-comfort-grip-nail-clipper")</f>
        <v>https://shop.sonapharmacy.com/products/goodsense%c2%ae-comfort-grip-nail-clipper</v>
      </c>
      <c r="C3846" t="s">
        <v>10176</v>
      </c>
      <c r="D3846" t="s">
        <v>10617</v>
      </c>
      <c r="E3846" s="3" t="str">
        <f>HYPERLINK("https://www.amazon.com/Grip-Nail-Clipper-Comfort-Stainless/dp/B077JCWBL9/ref=sr_1_5?keywords=GoodSense%C2%AE+Comfort+Grip+Nail+Clipper&amp;qid=1695260321&amp;sr=8-5", "https://www.amazon.com/Grip-Nail-Clipper-Comfort-Stainless/dp/B077JCWBL9/ref=sr_1_5?keywords=GoodSense%C2%AE+Comfort+Grip+Nail+Clipper&amp;qid=1695260321&amp;sr=8-5")</f>
        <v>https://www.amazon.com/Grip-Nail-Clipper-Comfort-Stainless/dp/B077JCWBL9/ref=sr_1_5?keywords=GoodSense%C2%AE+Comfort+Grip+Nail+Clipper&amp;qid=1695260321&amp;sr=8-5</v>
      </c>
      <c r="F3846" t="s">
        <v>10618</v>
      </c>
      <c r="G3846" t="e">
        <f ca="1">IMAGE("https://shop.sonapharmacy.com/cdn/shop/products/5713934-1_1.jpg?v=1610910601")</f>
        <v>#NAME?</v>
      </c>
      <c r="H3846" t="e">
        <f ca="1">IMAGE("https://m.media-amazon.com/images/I/312M-dw91+L._AC_UL320_.jpg")</f>
        <v>#NAME?</v>
      </c>
      <c r="I3846" t="s">
        <v>10179</v>
      </c>
      <c r="J3846">
        <v>6.95</v>
      </c>
      <c r="K3846" s="2" t="s">
        <v>10619</v>
      </c>
      <c r="L3846">
        <v>4.4000000000000004</v>
      </c>
      <c r="M3846">
        <v>282</v>
      </c>
      <c r="O3846" t="s">
        <v>136</v>
      </c>
      <c r="P3846" t="s">
        <v>39</v>
      </c>
      <c r="Q3846" t="s">
        <v>10181</v>
      </c>
    </row>
    <row r="3847" spans="1:17" ht="15.75" x14ac:dyDescent="0.25">
      <c r="A3847" s="3" t="str">
        <f>HYPERLINK("https://shop.sonapharmacy.com/products/breathe-right-original-nasal-strips", "https://shop.sonapharmacy.com/products/breathe-right-original-nasal-strips")</f>
        <v>https://shop.sonapharmacy.com/products/breathe-right-original-nasal-strips</v>
      </c>
      <c r="B3847" s="3" t="str">
        <f>HYPERLINK("https://shop.sonapharmacy.com/products/breathe-right-original-nasal-strips", "https://shop.sonapharmacy.com/products/breathe-right-original-nasal-strips")</f>
        <v>https://shop.sonapharmacy.com/products/breathe-right-original-nasal-strips</v>
      </c>
      <c r="C3847" t="s">
        <v>8894</v>
      </c>
      <c r="D3847" t="s">
        <v>10620</v>
      </c>
      <c r="E3847" s="3" t="str">
        <f>HYPERLINK("https://www.amazon.com/Breathe-Right-Original-Large-Strips/dp/B01M5BXBVO/ref=sr_1_1?keywords=Breathe+Right%C2%AE+Original+Nasal+Strips+Large%2FTan&amp;qid=1695260103&amp;sr=8-1", "https://www.amazon.com/Breathe-Right-Original-Large-Strips/dp/B01M5BXBVO/ref=sr_1_1?keywords=Breathe+Right%C2%AE+Original+Nasal+Strips+Large%2FTan&amp;qid=1695260103&amp;sr=8-1")</f>
        <v>https://www.amazon.com/Breathe-Right-Original-Large-Strips/dp/B01M5BXBVO/ref=sr_1_1?keywords=Breathe+Right%C2%AE+Original+Nasal+Strips+Large%2FTan&amp;qid=1695260103&amp;sr=8-1</v>
      </c>
      <c r="F3847" t="s">
        <v>10621</v>
      </c>
      <c r="G3847" t="e">
        <f ca="1">IMAGE("https://shop.sonapharmacy.com/cdn/shop/files/Sona-Shop-banner2_0c7162f3-c367-451d-8193-c2967a0e8d8e.jpg?v=1614290083")</f>
        <v>#NAME?</v>
      </c>
      <c r="H3847" t="e">
        <f ca="1">IMAGE("https://m.media-amazon.com/images/I/61W-tI47V7L._AC_UL320_.jpg")</f>
        <v>#NAME?</v>
      </c>
      <c r="I3847" t="s">
        <v>5295</v>
      </c>
      <c r="J3847">
        <v>34.950000000000003</v>
      </c>
      <c r="K3847" s="2" t="s">
        <v>10622</v>
      </c>
      <c r="L3847">
        <v>4.2</v>
      </c>
      <c r="M3847">
        <v>197</v>
      </c>
      <c r="O3847" t="s">
        <v>26</v>
      </c>
      <c r="P3847" t="s">
        <v>39</v>
      </c>
      <c r="Q3847" t="s">
        <v>8898</v>
      </c>
    </row>
    <row r="3848" spans="1:17" ht="15.75" x14ac:dyDescent="0.25">
      <c r="A3848" s="3" t="str">
        <f>HYPERLINK("https://shop.sonapharmacy.com/products/poise%C2%AE-pads-ultimate-absorbency-long-length-27ct", "https://shop.sonapharmacy.com/products/poise%C2%AE-pads-ultimate-absorbency-long-length-27ct")</f>
        <v>https://shop.sonapharmacy.com/products/poise%C2%AE-pads-ultimate-absorbency-long-length-27ct</v>
      </c>
      <c r="B3848" s="3" t="str">
        <f>HYPERLINK("https://shop.sonapharmacy.com/products/poise%c2%ae-pads-ultimate-absorbency-long-length-27ct", "https://shop.sonapharmacy.com/products/poise%c2%ae-pads-ultimate-absorbency-long-length-27ct")</f>
        <v>https://shop.sonapharmacy.com/products/poise%c2%ae-pads-ultimate-absorbency-long-length-27ct</v>
      </c>
      <c r="C3848" t="s">
        <v>10623</v>
      </c>
      <c r="D3848" t="s">
        <v>10624</v>
      </c>
      <c r="E3848" s="3" t="str">
        <f>HYPERLINK("https://www.amazon.com/Poise-Incontinence-Original-Absorbency-Packaging/dp/B0154QEQ4K/ref=sr_1_1?keywords=Poise%C2%AE+Pads+Ultimate+Absorbency+Long+Length+27ct.&amp;qid=1695260637&amp;sr=8-1", "https://www.amazon.com/Poise-Incontinence-Original-Absorbency-Packaging/dp/B0154QEQ4K/ref=sr_1_1?keywords=Poise%C2%AE+Pads+Ultimate+Absorbency+Long+Length+27ct.&amp;qid=1695260637&amp;sr=8-1")</f>
        <v>https://www.amazon.com/Poise-Incontinence-Original-Absorbency-Packaging/dp/B0154QEQ4K/ref=sr_1_1?keywords=Poise%C2%AE+Pads+Ultimate+Absorbency+Long+Length+27ct.&amp;qid=1695260637&amp;sr=8-1</v>
      </c>
      <c r="F3848" t="s">
        <v>10625</v>
      </c>
      <c r="G3848" t="e">
        <f ca="1">IMAGE("https://shop.sonapharmacy.com/cdn/shop/products/61DPdeJtm4L._AC_SL1200.jpg?v=1611073514")</f>
        <v>#NAME?</v>
      </c>
      <c r="H3848" t="e">
        <f ca="1">IMAGE("https://m.media-amazon.com/images/I/81OWjsG4l4L._AC_UL320_.jpg")</f>
        <v>#NAME?</v>
      </c>
      <c r="I3848" t="s">
        <v>9290</v>
      </c>
      <c r="J3848">
        <v>43.94</v>
      </c>
      <c r="K3848" s="2" t="s">
        <v>10626</v>
      </c>
      <c r="L3848">
        <v>4.5999999999999996</v>
      </c>
      <c r="M3848">
        <v>18275</v>
      </c>
      <c r="O3848" t="s">
        <v>26</v>
      </c>
      <c r="P3848" t="s">
        <v>39</v>
      </c>
      <c r="Q3848" t="s">
        <v>10627</v>
      </c>
    </row>
    <row r="3849" spans="1:17" ht="15.75" x14ac:dyDescent="0.25">
      <c r="A3849" s="3" t="str">
        <f>HYPERLINK("https://shop.sonapharmacy.com/products/duracell%C2%AE-aaa-coppertop-alkaline-batteries", "https://shop.sonapharmacy.com/products/duracell%C2%AE-aaa-coppertop-alkaline-batteries")</f>
        <v>https://shop.sonapharmacy.com/products/duracell%C2%AE-aaa-coppertop-alkaline-batteries</v>
      </c>
      <c r="B3849" s="3" t="str">
        <f>HYPERLINK("https://shop.sonapharmacy.com/products/duracell%c2%ae-aaa-coppertop-alkaline-batteries", "https://shop.sonapharmacy.com/products/duracell%c2%ae-aaa-coppertop-alkaline-batteries")</f>
        <v>https://shop.sonapharmacy.com/products/duracell%c2%ae-aaa-coppertop-alkaline-batteries</v>
      </c>
      <c r="C3849" t="s">
        <v>8166</v>
      </c>
      <c r="D3849" t="s">
        <v>10628</v>
      </c>
      <c r="E3849" s="3" t="str">
        <f>HYPERLINK("https://www.amazon.com/Pack-Duracell-CopperTop-Alkaline-Batteries/dp/B01LZQXOTO/ref=sr_1_6?keywords=Duracell%C2%AE+AAA+CopperTop+Alkaline+Batteries&amp;qid=1695260225&amp;sr=8-6", "https://www.amazon.com/Pack-Duracell-CopperTop-Alkaline-Batteries/dp/B01LZQXOTO/ref=sr_1_6?keywords=Duracell%C2%AE+AAA+CopperTop+Alkaline+Batteries&amp;qid=1695260225&amp;sr=8-6")</f>
        <v>https://www.amazon.com/Pack-Duracell-CopperTop-Alkaline-Batteries/dp/B01LZQXOTO/ref=sr_1_6?keywords=Duracell%C2%AE+AAA+CopperTop+Alkaline+Batteries&amp;qid=1695260225&amp;sr=8-6</v>
      </c>
      <c r="F3849" t="s">
        <v>10629</v>
      </c>
      <c r="G3849" t="e">
        <f ca="1">IMAGE("https://shop.sonapharmacy.com/cdn/shop/products/4711941b-a083-4277-8d8a-0a1bce8b082a_1.a291637149acb335ff96c25aae0e8bc1.png?v=1610335288")</f>
        <v>#NAME?</v>
      </c>
      <c r="H3849" t="e">
        <f ca="1">IMAGE("https://m.media-amazon.com/images/I/41x2YCoXxhL._AC_UL320_.jpg")</f>
        <v>#NAME?</v>
      </c>
      <c r="I3849" t="s">
        <v>8169</v>
      </c>
      <c r="J3849">
        <v>19.73</v>
      </c>
      <c r="K3849" s="2" t="s">
        <v>10630</v>
      </c>
      <c r="L3849">
        <v>4.8</v>
      </c>
      <c r="M3849">
        <v>2375</v>
      </c>
      <c r="O3849" t="s">
        <v>26</v>
      </c>
      <c r="P3849" t="s">
        <v>39</v>
      </c>
      <c r="Q3849" t="s">
        <v>8171</v>
      </c>
    </row>
    <row r="3850" spans="1:17" ht="15.75" x14ac:dyDescent="0.25">
      <c r="A3850" s="3" t="str">
        <f>HYPERLINK("https://shop.sonapharmacy.com/products/coricidin-hbp-cold-flu-relief-tablets", "https://shop.sonapharmacy.com/products/coricidin-hbp-cold-flu-relief-tablets")</f>
        <v>https://shop.sonapharmacy.com/products/coricidin-hbp-cold-flu-relief-tablets</v>
      </c>
      <c r="B3850" s="3" t="str">
        <f>HYPERLINK("https://shop.sonapharmacy.com/products/coricidin-hbp-cold-flu-relief-tablets", "https://shop.sonapharmacy.com/products/coricidin-hbp-cold-flu-relief-tablets")</f>
        <v>https://shop.sonapharmacy.com/products/coricidin-hbp-cold-flu-relief-tablets</v>
      </c>
      <c r="C3850" t="s">
        <v>8228</v>
      </c>
      <c r="D3850" t="s">
        <v>10631</v>
      </c>
      <c r="E3850" s="3" t="str">
        <f>HYPERLINK("https://www.amazon.com/Coricidin-HBP-Tablets-Cold-Flu/dp/B01MF8RL0Q/ref=sr_1_4?keywords=Coricidin%C2%AE+HBP+Cold+%26+Flu+Relief+Tablets&amp;qid=1695260159&amp;sr=8-4", "https://www.amazon.com/Coricidin-HBP-Tablets-Cold-Flu/dp/B01MF8RL0Q/ref=sr_1_4?keywords=Coricidin%C2%AE+HBP+Cold+%26+Flu+Relief+Tablets&amp;qid=1695260159&amp;sr=8-4")</f>
        <v>https://www.amazon.com/Coricidin-HBP-Tablets-Cold-Flu/dp/B01MF8RL0Q/ref=sr_1_4?keywords=Coricidin%C2%AE+HBP+Cold+%26+Flu+Relief+Tablets&amp;qid=1695260159&amp;sr=8-4</v>
      </c>
      <c r="F3850" t="s">
        <v>10632</v>
      </c>
      <c r="G3850" t="e">
        <f ca="1">IMAGE("https://shop.sonapharmacy.com/cdn/shop/products/CoricidinHBPCold_FluReliefTablets.png?v=1595528416")</f>
        <v>#NAME?</v>
      </c>
      <c r="H3850" t="e">
        <f ca="1">IMAGE("https://m.media-amazon.com/images/I/713c3KEVF8L._AC_UL320_.jpg")</f>
        <v>#NAME?</v>
      </c>
      <c r="I3850" t="s">
        <v>8231</v>
      </c>
      <c r="J3850">
        <v>28.34</v>
      </c>
      <c r="K3850" s="2" t="s">
        <v>10633</v>
      </c>
      <c r="L3850">
        <v>4.9000000000000004</v>
      </c>
      <c r="M3850">
        <v>50</v>
      </c>
      <c r="O3850" t="s">
        <v>26</v>
      </c>
      <c r="P3850" t="s">
        <v>39</v>
      </c>
      <c r="Q3850" t="s">
        <v>8233</v>
      </c>
    </row>
    <row r="3851" spans="1:17" ht="15.75" x14ac:dyDescent="0.25">
      <c r="A3851"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3851"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3851" t="s">
        <v>8597</v>
      </c>
      <c r="D3851" t="s">
        <v>10634</v>
      </c>
      <c r="E3851" s="3" t="str">
        <f>HYPERLINK("https://www.amazon.com/Advance-Extreme-Whitening-Peroxide-Toothpaste/dp/B01IAFDF5I/ref=sr_1_4?keywords=Arm+%26+Hammer+Advance+White%E2%84%A2+Extreme+Whitening+Toothpaste+6oz.&amp;qid=1695260040&amp;sr=8-4", "https://www.amazon.com/Advance-Extreme-Whitening-Peroxide-Toothpaste/dp/B01IAFDF5I/ref=sr_1_4?keywords=Arm+%26+Hammer+Advance+White%E2%84%A2+Extreme+Whitening+Toothpaste+6oz.&amp;qid=1695260040&amp;sr=8-4")</f>
        <v>https://www.amazon.com/Advance-Extreme-Whitening-Peroxide-Toothpaste/dp/B01IAFDF5I/ref=sr_1_4?keywords=Arm+%26+Hammer+Advance+White%E2%84%A2+Extreme+Whitening+Toothpaste+6oz.&amp;qid=1695260040&amp;sr=8-4</v>
      </c>
      <c r="F3851" t="s">
        <v>10635</v>
      </c>
      <c r="G3851" t="e">
        <f ca="1">IMAGE("https://shop.sonapharmacy.com/cdn/shop/products/39e8f462-49a9-4142-bb95-6876f7f6bade.baebaa1c7268bbcf245f186bddbf5223_1.jpg?v=1611254657")</f>
        <v>#NAME?</v>
      </c>
      <c r="H3851" t="e">
        <f ca="1">IMAGE("https://m.media-amazon.com/images/I/61Jth7wGf7L._AC_UL320_.jpg")</f>
        <v>#NAME?</v>
      </c>
      <c r="I3851" t="s">
        <v>8600</v>
      </c>
      <c r="J3851">
        <v>13.98</v>
      </c>
      <c r="K3851" s="2" t="s">
        <v>10636</v>
      </c>
      <c r="L3851">
        <v>4.7</v>
      </c>
      <c r="M3851">
        <v>129</v>
      </c>
      <c r="O3851" t="s">
        <v>26</v>
      </c>
      <c r="P3851" t="s">
        <v>39</v>
      </c>
      <c r="Q3851" t="s">
        <v>8602</v>
      </c>
    </row>
    <row r="3852" spans="1:17" ht="15.75" x14ac:dyDescent="0.25">
      <c r="A3852" s="3" t="str">
        <f>HYPERLINK("https://shop.sonapharmacy.com/products/band-aid%C2%AE-cushion-care-sport-strip-30ct", "https://shop.sonapharmacy.com/products/band-aid%C2%AE-cushion-care-sport-strip-30ct")</f>
        <v>https://shop.sonapharmacy.com/products/band-aid%C2%AE-cushion-care-sport-strip-30ct</v>
      </c>
      <c r="B3852" s="3" t="str">
        <f>HYPERLINK("https://shop.sonapharmacy.com/products/band-aid%c2%ae-cushion-care-sport-strip-30ct", "https://shop.sonapharmacy.com/products/band-aid%c2%ae-cushion-care-sport-strip-30ct")</f>
        <v>https://shop.sonapharmacy.com/products/band-aid%c2%ae-cushion-care-sport-strip-30ct</v>
      </c>
      <c r="C3852" t="s">
        <v>10637</v>
      </c>
      <c r="D3852" t="s">
        <v>10638</v>
      </c>
      <c r="E3852" s="3" t="str">
        <f>HYPERLINK("https://www.amazon.com/Band-Aid-Sport-Strip-Bandages-Extra/dp/B06ZZ6KG38/ref=sr_1_8?keywords=BAND-AID%C2%AE+Cushion-Care+Sport+Strip+30ct&amp;qid=1695260076&amp;sr=8-8", "https://www.amazon.com/Band-Aid-Sport-Strip-Bandages-Extra/dp/B06ZZ6KG38/ref=sr_1_8?keywords=BAND-AID%C2%AE+Cushion-Care+Sport+Strip+30ct&amp;qid=1695260076&amp;sr=8-8")</f>
        <v>https://www.amazon.com/Band-Aid-Sport-Strip-Bandages-Extra/dp/B06ZZ6KG38/ref=sr_1_8?keywords=BAND-AID%C2%AE+Cushion-Care+Sport+Strip+30ct&amp;qid=1695260076&amp;sr=8-8</v>
      </c>
      <c r="F3852" t="s">
        <v>10639</v>
      </c>
      <c r="G3852" t="e">
        <f ca="1">IMAGE("https://shop.sonapharmacy.com/cdn/shop/products/5c53d505-3e7f-4adc-89a5-432d4d22ad6b.693492104e9ccd1d6e774f7e731a9c12.jpg?v=1607806405")</f>
        <v>#NAME?</v>
      </c>
      <c r="H3852" t="e">
        <f ca="1">IMAGE("https://m.media-amazon.com/images/I/81HwsCmmw+L._AC_UL320_.jpg")</f>
        <v>#NAME?</v>
      </c>
      <c r="I3852" t="s">
        <v>8326</v>
      </c>
      <c r="J3852">
        <v>16.28</v>
      </c>
      <c r="K3852" s="2" t="s">
        <v>10640</v>
      </c>
      <c r="L3852">
        <v>4.3</v>
      </c>
      <c r="M3852">
        <v>33</v>
      </c>
      <c r="O3852" t="s">
        <v>26</v>
      </c>
      <c r="P3852" t="s">
        <v>39</v>
      </c>
      <c r="Q3852" t="s">
        <v>10641</v>
      </c>
    </row>
    <row r="3853" spans="1:17" ht="15.75" x14ac:dyDescent="0.25">
      <c r="A3853" s="3" t="str">
        <f>HYPERLINK("https://shop.sonapharmacy.com/products/blue-star-anti-itch-medicated-ointment-2oz", "https://shop.sonapharmacy.com/products/blue-star-anti-itch-medicated-ointment-2oz")</f>
        <v>https://shop.sonapharmacy.com/products/blue-star-anti-itch-medicated-ointment-2oz</v>
      </c>
      <c r="B3853" s="3" t="str">
        <f>HYPERLINK("https://shop.sonapharmacy.com/products/blue-star-anti-itch-medicated-ointment-2oz", "https://shop.sonapharmacy.com/products/blue-star-anti-itch-medicated-ointment-2oz")</f>
        <v>https://shop.sonapharmacy.com/products/blue-star-anti-itch-medicated-ointment-2oz</v>
      </c>
      <c r="C3853" t="s">
        <v>10017</v>
      </c>
      <c r="D3853" t="s">
        <v>10642</v>
      </c>
      <c r="E3853" s="3" t="str">
        <f>HYPERLINK("https://www.amazon.com/Blue-Star-Anti-Itch-Medicated-Ointment/dp/B01IAICW5E/ref=sr_1_2?keywords=Blue+Star%C2%AE+Anti-Itch+Medicated+Ointment+2oz.&amp;qid=1695260101&amp;sr=8-2", "https://www.amazon.com/Blue-Star-Anti-Itch-Medicated-Ointment/dp/B01IAICW5E/ref=sr_1_2?keywords=Blue+Star%C2%AE+Anti-Itch+Medicated+Ointment+2oz.&amp;qid=1695260101&amp;sr=8-2")</f>
        <v>https://www.amazon.com/Blue-Star-Anti-Itch-Medicated-Ointment/dp/B01IAICW5E/ref=sr_1_2?keywords=Blue+Star%C2%AE+Anti-Itch+Medicated+Ointment+2oz.&amp;qid=1695260101&amp;sr=8-2</v>
      </c>
      <c r="F3853" t="s">
        <v>10643</v>
      </c>
      <c r="G3853" t="e">
        <f ca="1">IMAGE("https://shop.sonapharmacy.com/cdn/shop/products/apivrbugg__33256.1592338106.jpg?v=1607974281")</f>
        <v>#NAME?</v>
      </c>
      <c r="H3853" t="e">
        <f ca="1">IMAGE("https://m.media-amazon.com/images/I/81fNXLyQWIL._AC_UL320_.jpg")</f>
        <v>#NAME?</v>
      </c>
      <c r="I3853" t="s">
        <v>4873</v>
      </c>
      <c r="J3853">
        <v>25.68</v>
      </c>
      <c r="K3853" s="2" t="s">
        <v>10644</v>
      </c>
      <c r="L3853">
        <v>4.7</v>
      </c>
      <c r="M3853">
        <v>46</v>
      </c>
      <c r="O3853" t="s">
        <v>26</v>
      </c>
      <c r="P3853" t="s">
        <v>39</v>
      </c>
      <c r="Q3853" t="s">
        <v>10021</v>
      </c>
    </row>
    <row r="3854" spans="1:17" ht="15.75" x14ac:dyDescent="0.25">
      <c r="A3854" s="3" t="str">
        <f>HYPERLINK("https://shop.sonapharmacy.com/products/prince-of-peace-ginger-chews-4oz", "https://shop.sonapharmacy.com/products/prince-of-peace-ginger-chews-4oz")</f>
        <v>https://shop.sonapharmacy.com/products/prince-of-peace-ginger-chews-4oz</v>
      </c>
      <c r="B3854" s="3" t="str">
        <f>HYPERLINK("https://shop.sonapharmacy.com/products/prince-of-peace-ginger-chews-4oz", "https://shop.sonapharmacy.com/products/prince-of-peace-ginger-chews-4oz")</f>
        <v>https://shop.sonapharmacy.com/products/prince-of-peace-ginger-chews-4oz</v>
      </c>
      <c r="C3854" t="s">
        <v>8087</v>
      </c>
      <c r="D3854" t="s">
        <v>10645</v>
      </c>
      <c r="E3854" s="3" t="str">
        <f>HYPERLINK("https://www.amazon.com/Ginger-Candy-Chews-Lychee-Servings/dp/B0848D7JJD/ref=sr_1_4?keywords=Prince+Of+Peace+Ginger+Chews+4oz.&amp;qid=1695260650&amp;sr=8-4", "https://www.amazon.com/Ginger-Candy-Chews-Lychee-Servings/dp/B0848D7JJD/ref=sr_1_4?keywords=Prince+Of+Peace+Ginger+Chews+4oz.&amp;qid=1695260650&amp;sr=8-4")</f>
        <v>https://www.amazon.com/Ginger-Candy-Chews-Lychee-Servings/dp/B0848D7JJD/ref=sr_1_4?keywords=Prince+Of+Peace+Ginger+Chews+4oz.&amp;qid=1695260650&amp;sr=8-4</v>
      </c>
      <c r="F3854" t="s">
        <v>10646</v>
      </c>
      <c r="G3854" t="e">
        <f ca="1">IMAGE("https://shop.sonapharmacy.com/cdn/shop/products/original.jpg?v=1613754987")</f>
        <v>#NAME?</v>
      </c>
      <c r="H3854" t="e">
        <f ca="1">IMAGE("https://m.media-amazon.com/images/I/81quiOB5gdL._AC_UL320_.jpg")</f>
        <v>#NAME?</v>
      </c>
      <c r="I3854" t="s">
        <v>8090</v>
      </c>
      <c r="J3854">
        <v>4.88</v>
      </c>
      <c r="K3854" s="2" t="s">
        <v>10647</v>
      </c>
      <c r="L3854">
        <v>4.5</v>
      </c>
      <c r="M3854">
        <v>689</v>
      </c>
      <c r="O3854" t="s">
        <v>26</v>
      </c>
      <c r="P3854" t="s">
        <v>39</v>
      </c>
      <c r="Q3854" t="s">
        <v>8092</v>
      </c>
    </row>
    <row r="3855" spans="1:17" ht="15.75" x14ac:dyDescent="0.25">
      <c r="A3855" s="3" t="str">
        <f>HYPERLINK("https://shop.sonapharmacy.com/products/apex%C2%AE-oral-syringe-10ml", "https://shop.sonapharmacy.com/products/apex%C2%AE-oral-syringe-10ml")</f>
        <v>https://shop.sonapharmacy.com/products/apex%C2%AE-oral-syringe-10ml</v>
      </c>
      <c r="B3855" s="3" t="str">
        <f>HYPERLINK("https://shop.sonapharmacy.com/products/apex%c2%ae-oral-syringe-10ml", "https://shop.sonapharmacy.com/products/apex%c2%ae-oral-syringe-10ml")</f>
        <v>https://shop.sonapharmacy.com/products/apex%c2%ae-oral-syringe-10ml</v>
      </c>
      <c r="C3855" t="s">
        <v>8131</v>
      </c>
      <c r="D3855" t="s">
        <v>10648</v>
      </c>
      <c r="E3855" s="3" t="str">
        <f>HYPERLINK("https://www.amazon.com/Syringe-Liquid-Scientific-Measurement-Dispensing/dp/B0B1CZJ9SH/ref=sr_1_9?keywords=Apex+Oral+Syringe+10ml.&amp;qid=1695260012&amp;sr=8-9", "https://www.amazon.com/Syringe-Liquid-Scientific-Measurement-Dispensing/dp/B0B1CZJ9SH/ref=sr_1_9?keywords=Apex+Oral+Syringe+10ml.&amp;qid=1695260012&amp;sr=8-9")</f>
        <v>https://www.amazon.com/Syringe-Liquid-Scientific-Measurement-Dispensing/dp/B0B1CZJ9SH/ref=sr_1_9?keywords=Apex+Oral+Syringe+10ml.&amp;qid=1695260012&amp;sr=8-9</v>
      </c>
      <c r="F3855" t="s">
        <v>10649</v>
      </c>
      <c r="G3855" t="e">
        <f ca="1">IMAGE("https://shop.sonapharmacy.com/cdn/shop/products/000530853.jpg?v=1611189682")</f>
        <v>#NAME?</v>
      </c>
      <c r="H3855" t="e">
        <f ca="1">IMAGE("https://m.media-amazon.com/images/I/61QsUany2GL._AC_UY218_.jpg")</f>
        <v>#NAME?</v>
      </c>
      <c r="I3855" t="s">
        <v>8134</v>
      </c>
      <c r="J3855">
        <v>4.59</v>
      </c>
      <c r="K3855" s="2" t="s">
        <v>10650</v>
      </c>
      <c r="L3855">
        <v>4.5999999999999996</v>
      </c>
      <c r="M3855">
        <v>370</v>
      </c>
      <c r="O3855" t="s">
        <v>26</v>
      </c>
      <c r="P3855" t="s">
        <v>39</v>
      </c>
      <c r="Q3855" t="s">
        <v>8136</v>
      </c>
    </row>
    <row r="3856" spans="1:17" ht="15.75" x14ac:dyDescent="0.25">
      <c r="A3856" s="3" t="str">
        <f>HYPERLINK("https://shop.sonapharmacy.com/products/aveeeno%C2%AE-soothing-oatmeal-bath-treatment-8-packets", "https://shop.sonapharmacy.com/products/aveeeno%C2%AE-soothing-oatmeal-bath-treatment-8-packets")</f>
        <v>https://shop.sonapharmacy.com/products/aveeeno%C2%AE-soothing-oatmeal-bath-treatment-8-packets</v>
      </c>
      <c r="B3856" s="3" t="str">
        <f>HYPERLINK("https://shop.sonapharmacy.com/products/aveeeno%c2%ae-soothing-oatmeal-bath-treatment-8-packets", "https://shop.sonapharmacy.com/products/aveeeno%c2%ae-soothing-oatmeal-bath-treatment-8-packets")</f>
        <v>https://shop.sonapharmacy.com/products/aveeeno%c2%ae-soothing-oatmeal-bath-treatment-8-packets</v>
      </c>
      <c r="C3856" t="s">
        <v>9969</v>
      </c>
      <c r="D3856" t="s">
        <v>10651</v>
      </c>
      <c r="E3856" s="3" t="str">
        <f>HYPERLINK("https://www.amazon.com/Aveeno-Bath-Reular-Soothing-Treatment/dp/B01IA96IUI/ref=sr_1_3?keywords=Aveeno%C2%AE+Soothing+Oatmeal+Bath+Treatment+8+Packets&amp;qid=1695260037&amp;sr=8-3", "https://www.amazon.com/Aveeno-Bath-Reular-Soothing-Treatment/dp/B01IA96IUI/ref=sr_1_3?keywords=Aveeno%C2%AE+Soothing+Oatmeal+Bath+Treatment+8+Packets&amp;qid=1695260037&amp;sr=8-3")</f>
        <v>https://www.amazon.com/Aveeno-Bath-Reular-Soothing-Treatment/dp/B01IA96IUI/ref=sr_1_3?keywords=Aveeno%C2%AE+Soothing+Oatmeal+Bath+Treatment+8+Packets&amp;qid=1695260037&amp;sr=8-3</v>
      </c>
      <c r="F3856" t="s">
        <v>10652</v>
      </c>
      <c r="G3856" t="e">
        <f ca="1">IMAGE("https://shop.sonapharmacy.com/cdn/shop/products/ave_381370036401_00000_1000wx1000h.jpg?v=1608487068")</f>
        <v>#NAME?</v>
      </c>
      <c r="H3856" t="e">
        <f ca="1">IMAGE("https://m.media-amazon.com/images/I/61po9XxEqAL._AC_UL320_.jpg")</f>
        <v>#NAME?</v>
      </c>
      <c r="I3856" t="s">
        <v>8781</v>
      </c>
      <c r="J3856">
        <v>24.62</v>
      </c>
      <c r="K3856" s="2" t="s">
        <v>10653</v>
      </c>
      <c r="L3856">
        <v>4.8</v>
      </c>
      <c r="M3856">
        <v>696</v>
      </c>
      <c r="O3856" t="s">
        <v>26</v>
      </c>
      <c r="P3856" t="s">
        <v>39</v>
      </c>
      <c r="Q3856" t="s">
        <v>9973</v>
      </c>
    </row>
    <row r="3857" spans="1:17" ht="15.75" x14ac:dyDescent="0.25">
      <c r="A3857" s="3" t="str">
        <f>HYPERLINK("https://shop.sonapharmacy.com/products/goodsense%C2%AE-athletes-foot-spray-miconazole-nitrate-2-5-3oz", "https://shop.sonapharmacy.com/products/goodsense%C2%AE-athletes-foot-spray-miconazole-nitrate-2-5-3oz")</f>
        <v>https://shop.sonapharmacy.com/products/goodsense%C2%AE-athletes-foot-spray-miconazole-nitrate-2-5-3oz</v>
      </c>
      <c r="B3857" s="3" t="str">
        <f>HYPERLINK("https://shop.sonapharmacy.com/products/goodsense%c2%ae-athletes-foot-spray-miconazole-nitrate-2-5-3oz", "https://shop.sonapharmacy.com/products/goodsense%c2%ae-athletes-foot-spray-miconazole-nitrate-2-5-3oz")</f>
        <v>https://shop.sonapharmacy.com/products/goodsense%c2%ae-athletes-foot-spray-miconazole-nitrate-2-5-3oz</v>
      </c>
      <c r="C3857" t="s">
        <v>10249</v>
      </c>
      <c r="D3857" t="s">
        <v>10654</v>
      </c>
      <c r="E3857" s="3" t="str">
        <f>HYPERLINK("https://www.amazon.com/Miconazole-Clinically-Effective-Antifungal-Treatment/dp/B07QQZV9QK/ref=sr_1_1?keywords=GoodSense%C2%AE+Athlete%27s+Foot+Spray+Miconazole+Nitrate+2%25+5.3oz.&amp;qid=1695260304&amp;rdc=1&amp;sr=8-1", "https://www.amazon.com/Miconazole-Clinically-Effective-Antifungal-Treatment/dp/B07QQZV9QK/ref=sr_1_1?keywords=GoodSense%C2%AE+Athlete%27s+Foot+Spray+Miconazole+Nitrate+2%25+5.3oz.&amp;qid=1695260304&amp;rdc=1&amp;sr=8-1")</f>
        <v>https://www.amazon.com/Miconazole-Clinically-Effective-Antifungal-Treatment/dp/B07QQZV9QK/ref=sr_1_1?keywords=GoodSense%C2%AE+Athlete%27s+Foot+Spray+Miconazole+Nitrate+2%25+5.3oz.&amp;qid=1695260304&amp;rdc=1&amp;sr=8-1</v>
      </c>
      <c r="F3857" t="s">
        <v>10655</v>
      </c>
      <c r="G3857" t="e">
        <f ca="1">IMAGE("https://shop.sonapharmacy.com/cdn/shop/products/716084_067f9891-d801-4705-8061-8e03c1c25faf.jpg?v=1610414170")</f>
        <v>#NAME?</v>
      </c>
      <c r="H3857" t="e">
        <f ca="1">IMAGE("https://m.media-amazon.com/images/I/81QC9GujLmL._AC_UL320_.jpg")</f>
        <v>#NAME?</v>
      </c>
      <c r="I3857" t="s">
        <v>10252</v>
      </c>
      <c r="J3857">
        <v>22.77</v>
      </c>
      <c r="K3857" s="2" t="s">
        <v>10656</v>
      </c>
      <c r="L3857">
        <v>4.5999999999999996</v>
      </c>
      <c r="M3857">
        <v>4295</v>
      </c>
      <c r="O3857" t="s">
        <v>136</v>
      </c>
      <c r="P3857" t="s">
        <v>39</v>
      </c>
      <c r="Q3857" t="s">
        <v>10254</v>
      </c>
    </row>
    <row r="3858" spans="1:17" ht="15.75" x14ac:dyDescent="0.25">
      <c r="A3858" s="3" t="str">
        <f>HYPERLINK("https://shop.sonapharmacy.com/products/band-aid%C2%AE-cushion-care-sport-strip-30ct", "https://shop.sonapharmacy.com/products/band-aid%C2%AE-cushion-care-sport-strip-30ct")</f>
        <v>https://shop.sonapharmacy.com/products/band-aid%C2%AE-cushion-care-sport-strip-30ct</v>
      </c>
      <c r="B3858" s="3" t="str">
        <f>HYPERLINK("https://shop.sonapharmacy.com/products/band-aid%c2%ae-cushion-care-sport-strip-30ct", "https://shop.sonapharmacy.com/products/band-aid%c2%ae-cushion-care-sport-strip-30ct")</f>
        <v>https://shop.sonapharmacy.com/products/band-aid%c2%ae-cushion-care-sport-strip-30ct</v>
      </c>
      <c r="C3858" t="s">
        <v>10637</v>
      </c>
      <c r="D3858" t="s">
        <v>10638</v>
      </c>
      <c r="E3858" s="3" t="str">
        <f>HYPERLINK("https://www.amazon.com/Brand-Adhesive-Bandages-Sport-Strip/dp/B0711N9ZDX/ref=sr_1_7?keywords=BAND-AID%C2%AE+Cushion-Care+Sport+Strip+30ct&amp;qid=1695260076&amp;sr=8-7", "https://www.amazon.com/Brand-Adhesive-Bandages-Sport-Strip/dp/B0711N9ZDX/ref=sr_1_7?keywords=BAND-AID%C2%AE+Cushion-Care+Sport+Strip+30ct&amp;qid=1695260076&amp;sr=8-7")</f>
        <v>https://www.amazon.com/Brand-Adhesive-Bandages-Sport-Strip/dp/B0711N9ZDX/ref=sr_1_7?keywords=BAND-AID%C2%AE+Cushion-Care+Sport+Strip+30ct&amp;qid=1695260076&amp;sr=8-7</v>
      </c>
      <c r="F3858" t="s">
        <v>10657</v>
      </c>
      <c r="G3858" t="e">
        <f ca="1">IMAGE("https://shop.sonapharmacy.com/cdn/shop/products/5c53d505-3e7f-4adc-89a5-432d4d22ad6b.693492104e9ccd1d6e774f7e731a9c12.jpg?v=1607806405")</f>
        <v>#NAME?</v>
      </c>
      <c r="H3858" t="e">
        <f ca="1">IMAGE("https://m.media-amazon.com/images/I/61bdhRR6kEL._AC_UL320_.jpg")</f>
        <v>#NAME?</v>
      </c>
      <c r="I3858" t="s">
        <v>8326</v>
      </c>
      <c r="J3858">
        <v>16.14</v>
      </c>
      <c r="K3858" s="2" t="s">
        <v>10656</v>
      </c>
      <c r="L3858">
        <v>4.7</v>
      </c>
      <c r="M3858">
        <v>154</v>
      </c>
      <c r="O3858" t="s">
        <v>26</v>
      </c>
      <c r="P3858" t="s">
        <v>39</v>
      </c>
      <c r="Q3858" t="s">
        <v>10641</v>
      </c>
    </row>
    <row r="3859" spans="1:17" ht="15.75" x14ac:dyDescent="0.25">
      <c r="A3859" s="3" t="str">
        <f>HYPERLINK("https://shop.sonapharmacy.com/products/major-senna-tablets", "https://shop.sonapharmacy.com/products/major-senna-tablets")</f>
        <v>https://shop.sonapharmacy.com/products/major-senna-tablets</v>
      </c>
      <c r="B3859" s="3" t="str">
        <f>HYPERLINK("https://shop.sonapharmacy.com/products/major-senna-tablets", "https://shop.sonapharmacy.com/products/major-senna-tablets")</f>
        <v>https://shop.sonapharmacy.com/products/major-senna-tablets</v>
      </c>
      <c r="C3859" t="s">
        <v>10658</v>
      </c>
      <c r="D3859" t="s">
        <v>10659</v>
      </c>
      <c r="E3859" s="3" t="str">
        <f>HYPERLINK("https://www.amazon.com/Major-Laxative-SENNOSIDES-9-Tablets-309046434801/dp/B01AS1F78U/ref=sr_1_6?keywords=Major+Senna+Tablets&amp;qid=1695260458&amp;sr=8-6", "https://www.amazon.com/Major-Laxative-SENNOSIDES-9-Tablets-309046434801/dp/B01AS1F78U/ref=sr_1_6?keywords=Major+Senna+Tablets&amp;qid=1695260458&amp;sr=8-6")</f>
        <v>https://www.amazon.com/Major-Laxative-SENNOSIDES-9-Tablets-309046434801/dp/B01AS1F78U/ref=sr_1_6?keywords=Major+Senna+Tablets&amp;qid=1695260458&amp;sr=8-6</v>
      </c>
      <c r="F3859" t="s">
        <v>10660</v>
      </c>
      <c r="G3859" t="e">
        <f ca="1">IMAGE("https://shop.sonapharmacy.com/cdn/shop/products/MajorSennaFront.png?v=1606923439")</f>
        <v>#NAME?</v>
      </c>
      <c r="H3859" t="e">
        <f ca="1">IMAGE("https://m.media-amazon.com/images/I/61E3ErTGiJL._AC_UL320_.jpg")</f>
        <v>#NAME?</v>
      </c>
      <c r="I3859" t="s">
        <v>10661</v>
      </c>
      <c r="J3859">
        <v>15.08</v>
      </c>
      <c r="K3859" s="2" t="s">
        <v>10662</v>
      </c>
      <c r="L3859">
        <v>5</v>
      </c>
      <c r="M3859">
        <v>5</v>
      </c>
      <c r="O3859" t="s">
        <v>26</v>
      </c>
      <c r="P3859" t="s">
        <v>39</v>
      </c>
      <c r="Q3859" t="s">
        <v>10663</v>
      </c>
    </row>
    <row r="3860" spans="1:17" ht="15.75" x14ac:dyDescent="0.25">
      <c r="A3860" s="3" t="str">
        <f>HYPERLINK("https://shop.sonapharmacy.com/products/aveeno%C2%AE-daily-moisturizing-body-lotion-for-dry-skin", "https://shop.sonapharmacy.com/products/aveeno%C2%AE-daily-moisturizing-body-lotion-for-dry-skin")</f>
        <v>https://shop.sonapharmacy.com/products/aveeno%C2%AE-daily-moisturizing-body-lotion-for-dry-skin</v>
      </c>
      <c r="B3860" s="3" t="str">
        <f>HYPERLINK("https://shop.sonapharmacy.com/products/aveeno%c2%ae-daily-moisturizing-body-lotion-for-dry-skin", "https://shop.sonapharmacy.com/products/aveeno%c2%ae-daily-moisturizing-body-lotion-for-dry-skin")</f>
        <v>https://shop.sonapharmacy.com/products/aveeno%c2%ae-daily-moisturizing-body-lotion-for-dry-skin</v>
      </c>
      <c r="C3860" t="s">
        <v>10664</v>
      </c>
      <c r="D3860" t="s">
        <v>10665</v>
      </c>
      <c r="E3860" s="3" t="str">
        <f>HYPERLINK("https://www.amazon.com/Aveeno-Moisturizing-Lightweight-Fast-Absorbing-Fragrance-Free/dp/B00NFR14PK/ref=sr_1_6?keywords=Aveeno%C2%AE+Daily+Moisturizing+Body+Lotion+For+Dry+Skin&amp;qid=1695260064&amp;sr=8-6", "https://www.amazon.com/Aveeno-Moisturizing-Lightweight-Fast-Absorbing-Fragrance-Free/dp/B00NFR14PK/ref=sr_1_6?keywords=Aveeno%C2%AE+Daily+Moisturizing+Body+Lotion+For+Dry+Skin&amp;qid=1695260064&amp;sr=8-6")</f>
        <v>https://www.amazon.com/Aveeno-Moisturizing-Lightweight-Fast-Absorbing-Fragrance-Free/dp/B00NFR14PK/ref=sr_1_6?keywords=Aveeno%C2%AE+Daily+Moisturizing+Body+Lotion+For+Dry+Skin&amp;qid=1695260064&amp;sr=8-6</v>
      </c>
      <c r="F3860" t="s">
        <v>10666</v>
      </c>
      <c r="G3860" t="e">
        <f ca="1">IMAGE("https://shop.sonapharmacy.com/cdn/shop/products/fd553311-2a0b-4dc4-897d-0cdebddf7c3a_1.52c75b3f73a8568e884420f42c9eb39a.jpg?v=1611191602")</f>
        <v>#NAME?</v>
      </c>
      <c r="H3860" t="e">
        <f ca="1">IMAGE("https://m.media-amazon.com/images/I/61r95gvCy+L._AC_UL320_.jpg")</f>
        <v>#NAME?</v>
      </c>
      <c r="I3860" t="s">
        <v>8828</v>
      </c>
      <c r="J3860">
        <v>10.67</v>
      </c>
      <c r="K3860" s="2" t="s">
        <v>10667</v>
      </c>
      <c r="L3860">
        <v>4.7</v>
      </c>
      <c r="M3860">
        <v>13326</v>
      </c>
      <c r="O3860" t="s">
        <v>26</v>
      </c>
      <c r="P3860" t="s">
        <v>39</v>
      </c>
      <c r="Q3860" t="s">
        <v>10668</v>
      </c>
    </row>
    <row r="3861" spans="1:17" ht="15.75" x14ac:dyDescent="0.25">
      <c r="A3861" s="3" t="str">
        <f>HYPERLINK("https://shop.sonapharmacy.com/products/aveeno%C2%AE-daily-moisturizing-body-lotion-for-dry-skin", "https://shop.sonapharmacy.com/products/aveeno%C2%AE-daily-moisturizing-body-lotion-for-dry-skin")</f>
        <v>https://shop.sonapharmacy.com/products/aveeno%C2%AE-daily-moisturizing-body-lotion-for-dry-skin</v>
      </c>
      <c r="B3861" s="3" t="str">
        <f>HYPERLINK("https://shop.sonapharmacy.com/products/aveeno%c2%ae-daily-moisturizing-body-lotion-for-dry-skin", "https://shop.sonapharmacy.com/products/aveeno%c2%ae-daily-moisturizing-body-lotion-for-dry-skin")</f>
        <v>https://shop.sonapharmacy.com/products/aveeno%c2%ae-daily-moisturizing-body-lotion-for-dry-skin</v>
      </c>
      <c r="C3861" t="s">
        <v>10664</v>
      </c>
      <c r="D3861" t="s">
        <v>10669</v>
      </c>
      <c r="E3861" s="3" t="str">
        <f>HYPERLINK("https://www.amazon.com/Aveeno-Moisturizing-Soothing-Emollients-Fragrance-Free/dp/B001459IEE/ref=sr_1_5?keywords=Aveeno%C2%AE+Daily+Moisturizing+Body+Lotion+For+Dry+Skin&amp;qid=1695260064&amp;sr=8-5", "https://www.amazon.com/Aveeno-Moisturizing-Soothing-Emollients-Fragrance-Free/dp/B001459IEE/ref=sr_1_5?keywords=Aveeno%C2%AE+Daily+Moisturizing+Body+Lotion+For+Dry+Skin&amp;qid=1695260064&amp;sr=8-5")</f>
        <v>https://www.amazon.com/Aveeno-Moisturizing-Soothing-Emollients-Fragrance-Free/dp/B001459IEE/ref=sr_1_5?keywords=Aveeno%C2%AE+Daily+Moisturizing+Body+Lotion+For+Dry+Skin&amp;qid=1695260064&amp;sr=8-5</v>
      </c>
      <c r="F3861" t="s">
        <v>10670</v>
      </c>
      <c r="G3861" t="e">
        <f ca="1">IMAGE("https://shop.sonapharmacy.com/cdn/shop/products/fd553311-2a0b-4dc4-897d-0cdebddf7c3a_1.52c75b3f73a8568e884420f42c9eb39a.jpg?v=1611191602")</f>
        <v>#NAME?</v>
      </c>
      <c r="H3861" t="e">
        <f ca="1">IMAGE("https://m.media-amazon.com/images/I/51fDijePdrL._AC_UL320_.jpg")</f>
        <v>#NAME?</v>
      </c>
      <c r="I3861" t="s">
        <v>8828</v>
      </c>
      <c r="J3861">
        <v>10.67</v>
      </c>
      <c r="K3861" s="2" t="s">
        <v>10667</v>
      </c>
      <c r="L3861">
        <v>4.7</v>
      </c>
      <c r="M3861">
        <v>46111</v>
      </c>
      <c r="O3861" t="s">
        <v>26</v>
      </c>
      <c r="P3861" t="s">
        <v>39</v>
      </c>
      <c r="Q3861" t="s">
        <v>10668</v>
      </c>
    </row>
    <row r="3862" spans="1:17" ht="15.75" x14ac:dyDescent="0.25">
      <c r="A3862" s="3" t="str">
        <f>HYPERLINK("https://shop.sonapharmacy.com/products/cortizone-10%C2%AE-maximum-strength-creme-with-aloe-1oz", "https://shop.sonapharmacy.com/products/cortizone-10%C2%AE-maximum-strength-creme-with-aloe-1oz")</f>
        <v>https://shop.sonapharmacy.com/products/cortizone-10%C2%AE-maximum-strength-creme-with-aloe-1oz</v>
      </c>
      <c r="B3862" s="3" t="str">
        <f>HYPERLINK("https://shop.sonapharmacy.com/products/cortizone-10%c2%ae-maximum-strength-creme-with-aloe-1oz", "https://shop.sonapharmacy.com/products/cortizone-10%c2%ae-maximum-strength-creme-with-aloe-1oz")</f>
        <v>https://shop.sonapharmacy.com/products/cortizone-10%c2%ae-maximum-strength-creme-with-aloe-1oz</v>
      </c>
      <c r="C3862" t="s">
        <v>10671</v>
      </c>
      <c r="D3862" t="s">
        <v>10672</v>
      </c>
      <c r="E3862" s="3" t="str">
        <f>HYPERLINK("https://www.amazon.com/Hydrocortisone-Maximum-Strength-Compare-Cortizone-10/dp/B01KKJM0LW/ref=sr_1_3?keywords=Cortizone+10%C2%AE+Maximum+Strength+Cream+with+Aloe+1oz&amp;qid=1695260190&amp;sr=8-3", "https://www.amazon.com/Hydrocortisone-Maximum-Strength-Compare-Cortizone-10/dp/B01KKJM0LW/ref=sr_1_3?keywords=Cortizone+10%C2%AE+Maximum+Strength+Cream+with+Aloe+1oz&amp;qid=1695260190&amp;sr=8-3")</f>
        <v>https://www.amazon.com/Hydrocortisone-Maximum-Strength-Compare-Cortizone-10/dp/B01KKJM0LW/ref=sr_1_3?keywords=Cortizone+10%C2%AE+Maximum+Strength+Cream+with+Aloe+1oz&amp;qid=1695260190&amp;sr=8-3</v>
      </c>
      <c r="F3862" t="s">
        <v>10673</v>
      </c>
      <c r="G3862" t="e">
        <f ca="1">IMAGE("https://shop.sonapharmacy.com/cdn/shop/products/products-anti-itch-creme.jpg?v=1607801758")</f>
        <v>#NAME?</v>
      </c>
      <c r="H3862" t="e">
        <f ca="1">IMAGE("https://m.media-amazon.com/images/I/71J6d2Xed3L._AC_UL320_.jpg")</f>
        <v>#NAME?</v>
      </c>
      <c r="I3862" t="s">
        <v>10059</v>
      </c>
      <c r="J3862">
        <v>19.989999999999998</v>
      </c>
      <c r="K3862" s="2" t="s">
        <v>10674</v>
      </c>
      <c r="L3862">
        <v>4.4000000000000004</v>
      </c>
      <c r="M3862">
        <v>76</v>
      </c>
      <c r="O3862" t="s">
        <v>26</v>
      </c>
      <c r="P3862" t="s">
        <v>39</v>
      </c>
      <c r="Q3862" t="s">
        <v>10675</v>
      </c>
    </row>
    <row r="3863" spans="1:17" ht="15.75" x14ac:dyDescent="0.25">
      <c r="A3863" s="3" t="str">
        <f>HYPERLINK("https://shop.sonapharmacy.com/products/nix-premium-metal-lice-two-sided-comb", "https://shop.sonapharmacy.com/products/nix-premium-metal-lice-two-sided-comb")</f>
        <v>https://shop.sonapharmacy.com/products/nix-premium-metal-lice-two-sided-comb</v>
      </c>
      <c r="B3863" s="3" t="str">
        <f>HYPERLINK("https://shop.sonapharmacy.com/products/nix-premium-metal-lice-two-sided-comb", "https://shop.sonapharmacy.com/products/nix-premium-metal-lice-two-sided-comb")</f>
        <v>https://shop.sonapharmacy.com/products/nix-premium-metal-lice-two-sided-comb</v>
      </c>
      <c r="C3863" t="s">
        <v>9999</v>
      </c>
      <c r="D3863" t="s">
        <v>10676</v>
      </c>
      <c r="E3863" s="3" t="str">
        <f>HYPERLINK("https://www.amazon.com/Premium-Metal-Sided-Lice-Remover/dp/B00GSZSG3E/ref=sr_1_3?keywords=Nix+Premium+Metal+Lice+Two+Sided+Comb&amp;qid=1695260572&amp;sr=8-3", "https://www.amazon.com/Premium-Metal-Sided-Lice-Remover/dp/B00GSZSG3E/ref=sr_1_3?keywords=Nix+Premium+Metal+Lice+Two+Sided+Comb&amp;qid=1695260572&amp;sr=8-3")</f>
        <v>https://www.amazon.com/Premium-Metal-Sided-Lice-Remover/dp/B00GSZSG3E/ref=sr_1_3?keywords=Nix+Premium+Metal+Lice+Two+Sided+Comb&amp;qid=1695260572&amp;sr=8-3</v>
      </c>
      <c r="F3863" t="s">
        <v>10677</v>
      </c>
      <c r="G3863" t="e">
        <f ca="1">IMAGE("https://shop.sonapharmacy.com/cdn/shop/products/6118_WK_7dL._AC_SL1500.jpg?v=1608136365")</f>
        <v>#NAME?</v>
      </c>
      <c r="H3863" t="e">
        <f ca="1">IMAGE("https://m.media-amazon.com/images/I/61kpZifcqZL._AC_UL320_.jpg")</f>
        <v>#NAME?</v>
      </c>
      <c r="I3863" t="s">
        <v>8760</v>
      </c>
      <c r="J3863">
        <v>14.74</v>
      </c>
      <c r="K3863" s="2" t="s">
        <v>10678</v>
      </c>
      <c r="L3863">
        <v>4.7</v>
      </c>
      <c r="M3863">
        <v>2</v>
      </c>
      <c r="O3863" t="s">
        <v>26</v>
      </c>
      <c r="P3863" t="s">
        <v>39</v>
      </c>
      <c r="Q3863" t="s">
        <v>10003</v>
      </c>
    </row>
    <row r="3864" spans="1:17" ht="15.75" x14ac:dyDescent="0.25">
      <c r="A3864" s="3" t="str">
        <f>HYPERLINK("https://shop.sonapharmacy.com/products/nix-premium-metal-lice-two-sided-comb", "https://shop.sonapharmacy.com/products/nix-premium-metal-lice-two-sided-comb")</f>
        <v>https://shop.sonapharmacy.com/products/nix-premium-metal-lice-two-sided-comb</v>
      </c>
      <c r="B3864" s="3" t="str">
        <f>HYPERLINK("https://shop.sonapharmacy.com/products/nix-premium-metal-lice-two-sided-comb", "https://shop.sonapharmacy.com/products/nix-premium-metal-lice-two-sided-comb")</f>
        <v>https://shop.sonapharmacy.com/products/nix-premium-metal-lice-two-sided-comb</v>
      </c>
      <c r="C3864" t="s">
        <v>9999</v>
      </c>
      <c r="D3864" t="s">
        <v>10676</v>
      </c>
      <c r="E3864" s="3"/>
      <c r="F3864" t="s">
        <v>10677</v>
      </c>
      <c r="G3864" t="e">
        <f ca="1">IMAGE("https://shop.sonapharmacy.com/cdn/shop/products/6118_WK_7dL._AC_SL1500.jpg?v=1608136365")</f>
        <v>#NAME?</v>
      </c>
      <c r="H3864" t="e">
        <f ca="1">IMAGE("https://m.media-amazon.com/images/I/61kpZifcqZL._AC_UL320_.jpg")</f>
        <v>#NAME?</v>
      </c>
      <c r="I3864" t="s">
        <v>8760</v>
      </c>
      <c r="J3864">
        <v>14.74</v>
      </c>
      <c r="K3864" s="2" t="s">
        <v>10678</v>
      </c>
      <c r="L3864">
        <v>4.7</v>
      </c>
      <c r="M3864">
        <v>2</v>
      </c>
      <c r="O3864" t="s">
        <v>26</v>
      </c>
      <c r="P3864" t="s">
        <v>39</v>
      </c>
      <c r="Q3864" t="s">
        <v>10003</v>
      </c>
    </row>
    <row r="3865" spans="1:17" ht="15.75" x14ac:dyDescent="0.25">
      <c r="A3865" s="3" t="str">
        <f>HYPERLINK("https://shop.sonapharmacy.com/products/aquaphor%C2%AE-baby-healing-ointment-3oz", "https://shop.sonapharmacy.com/products/aquaphor%C2%AE-baby-healing-ointment-3oz")</f>
        <v>https://shop.sonapharmacy.com/products/aquaphor%C2%AE-baby-healing-ointment-3oz</v>
      </c>
      <c r="B3865" s="3" t="str">
        <f>HYPERLINK("https://shop.sonapharmacy.com/products/aquaphor%c2%ae-baby-healing-ointment-3oz", "https://shop.sonapharmacy.com/products/aquaphor%c2%ae-baby-healing-ointment-3oz")</f>
        <v>https://shop.sonapharmacy.com/products/aquaphor%c2%ae-baby-healing-ointment-3oz</v>
      </c>
      <c r="C3865" t="s">
        <v>8778</v>
      </c>
      <c r="D3865" t="s">
        <v>9461</v>
      </c>
      <c r="E3865" s="3" t="str">
        <f>HYPERLINK("https://www.amazon.com/Aquaphor-Baby-Healing-Ointment-Advanced/dp/B001F0RAVQ/ref=sr_1_1?keywords=Aquaphor+Baby+Healing+Ointment+3oz.&amp;qid=1695260046&amp;sr=8-1", "https://www.amazon.com/Aquaphor-Baby-Healing-Ointment-Advanced/dp/B001F0RAVQ/ref=sr_1_1?keywords=Aquaphor+Baby+Healing+Ointment+3oz.&amp;qid=1695260046&amp;sr=8-1")</f>
        <v>https://www.amazon.com/Aquaphor-Baby-Healing-Ointment-Advanced/dp/B001F0RAVQ/ref=sr_1_1?keywords=Aquaphor+Baby+Healing+Ointment+3oz.&amp;qid=1695260046&amp;sr=8-1</v>
      </c>
      <c r="F3865" t="s">
        <v>9462</v>
      </c>
      <c r="G3865" t="e">
        <f ca="1">IMAGE("https://shop.sonapharmacy.com/cdn/shop/products/71g48qVpgpL._AC_SL1500.jpg?v=1609262462")</f>
        <v>#NAME?</v>
      </c>
      <c r="H3865" t="e">
        <f ca="1">IMAGE("https://m.media-amazon.com/images/I/51vaPvnbOwL._AC_UL320_.jpg")</f>
        <v>#NAME?</v>
      </c>
      <c r="I3865" t="s">
        <v>8781</v>
      </c>
      <c r="J3865">
        <v>24.34</v>
      </c>
      <c r="K3865" s="2" t="s">
        <v>10679</v>
      </c>
      <c r="L3865">
        <v>4.8</v>
      </c>
      <c r="M3865">
        <v>6607</v>
      </c>
      <c r="O3865" t="s">
        <v>26</v>
      </c>
      <c r="P3865" t="s">
        <v>39</v>
      </c>
      <c r="Q3865" t="s">
        <v>8783</v>
      </c>
    </row>
    <row r="3866" spans="1:17" ht="15.75" x14ac:dyDescent="0.25">
      <c r="A3866" s="3" t="str">
        <f>HYPERLINK("https://shop.sonapharmacy.com/products/biofreeze-topical-pain-relief-roll-on", "https://shop.sonapharmacy.com/products/biofreeze-topical-pain-relief-roll-on")</f>
        <v>https://shop.sonapharmacy.com/products/biofreeze-topical-pain-relief-roll-on</v>
      </c>
      <c r="B3866" s="3" t="str">
        <f>HYPERLINK("https://shop.sonapharmacy.com/products/biofreeze-topical-pain-relief-roll-on", "https://shop.sonapharmacy.com/products/biofreeze-topical-pain-relief-roll-on")</f>
        <v>https://shop.sonapharmacy.com/products/biofreeze-topical-pain-relief-roll-on</v>
      </c>
      <c r="C3866" t="s">
        <v>10680</v>
      </c>
      <c r="D3866" t="s">
        <v>10681</v>
      </c>
      <c r="E3866" s="3" t="str">
        <f>HYPERLINK("https://www.amazon.com/Biofreeze-Pain-Relief-Arthritis-Count/dp/B01MYBND00/ref=sr_1_4?keywords=Biofreeze%C2%AE+Topical+Pain+Relief+Roll-On&amp;qid=1695260097&amp;sr=8-4", "https://www.amazon.com/Biofreeze-Pain-Relief-Arthritis-Count/dp/B01MYBND00/ref=sr_1_4?keywords=Biofreeze%C2%AE+Topical+Pain+Relief+Roll-On&amp;qid=1695260097&amp;sr=8-4")</f>
        <v>https://www.amazon.com/Biofreeze-Pain-Relief-Arthritis-Count/dp/B01MYBND00/ref=sr_1_4?keywords=Biofreeze%C2%AE+Topical+Pain+Relief+Roll-On&amp;qid=1695260097&amp;sr=8-4</v>
      </c>
      <c r="F3866" t="s">
        <v>10682</v>
      </c>
      <c r="G3866" t="e">
        <f ca="1">IMAGE("https://shop.sonapharmacy.com/cdn/shop/products/61drbtKQFuL._SL1500.jpg?v=1609344589")</f>
        <v>#NAME?</v>
      </c>
      <c r="H3866" t="e">
        <f ca="1">IMAGE("https://m.media-amazon.com/images/I/71wIylYQfkL._AC_UL320_.jpg")</f>
        <v>#NAME?</v>
      </c>
      <c r="I3866" t="s">
        <v>3419</v>
      </c>
      <c r="J3866">
        <v>37.869999999999997</v>
      </c>
      <c r="K3866" s="2" t="s">
        <v>10683</v>
      </c>
      <c r="L3866">
        <v>4.7</v>
      </c>
      <c r="M3866">
        <v>235</v>
      </c>
      <c r="O3866" t="s">
        <v>26</v>
      </c>
      <c r="P3866" t="s">
        <v>39</v>
      </c>
      <c r="Q3866" t="s">
        <v>10684</v>
      </c>
    </row>
    <row r="3867" spans="1:17" ht="15.75" x14ac:dyDescent="0.25">
      <c r="A3867" s="3" t="str">
        <f>HYPERLINK("https://shop.sonapharmacy.com/products/major-senna-tablets", "https://shop.sonapharmacy.com/products/major-senna-tablets")</f>
        <v>https://shop.sonapharmacy.com/products/major-senna-tablets</v>
      </c>
      <c r="B3867" s="3" t="str">
        <f>HYPERLINK("https://shop.sonapharmacy.com/products/major-senna-tablets", "https://shop.sonapharmacy.com/products/major-senna-tablets")</f>
        <v>https://shop.sonapharmacy.com/products/major-senna-tablets</v>
      </c>
      <c r="C3867" t="s">
        <v>10658</v>
      </c>
      <c r="D3867" t="s">
        <v>10685</v>
      </c>
      <c r="E3867" s="3" t="str">
        <f>HYPERLINK("https://www.amazon.com/Natural-Vegetable-Laxativ-PHARMACEUTICALS-Original/dp/B005TM1H7Y/ref=sr_1_1?keywords=Major+Senna+Tablets&amp;qid=1695260458&amp;sr=8-1", "https://www.amazon.com/Natural-Vegetable-Laxativ-PHARMACEUTICALS-Original/dp/B005TM1H7Y/ref=sr_1_1?keywords=Major+Senna+Tablets&amp;qid=1695260458&amp;sr=8-1")</f>
        <v>https://www.amazon.com/Natural-Vegetable-Laxativ-PHARMACEUTICALS-Original/dp/B005TM1H7Y/ref=sr_1_1?keywords=Major+Senna+Tablets&amp;qid=1695260458&amp;sr=8-1</v>
      </c>
      <c r="F3867" t="s">
        <v>10686</v>
      </c>
      <c r="G3867" t="e">
        <f ca="1">IMAGE("https://shop.sonapharmacy.com/cdn/shop/products/MajorSennaFront.png?v=1606923439")</f>
        <v>#NAME?</v>
      </c>
      <c r="H3867" t="e">
        <f ca="1">IMAGE("https://m.media-amazon.com/images/I/91iLgRFTctL._AC_UL320_.jpg")</f>
        <v>#NAME?</v>
      </c>
      <c r="I3867" t="s">
        <v>10661</v>
      </c>
      <c r="J3867">
        <v>14.95</v>
      </c>
      <c r="K3867" s="2" t="s">
        <v>10687</v>
      </c>
      <c r="L3867">
        <v>4.7</v>
      </c>
      <c r="M3867">
        <v>9350</v>
      </c>
      <c r="O3867" t="s">
        <v>26</v>
      </c>
      <c r="P3867" t="s">
        <v>39</v>
      </c>
      <c r="Q3867" t="s">
        <v>10663</v>
      </c>
    </row>
    <row r="3868" spans="1:17" ht="15.75" x14ac:dyDescent="0.25">
      <c r="A3868" s="3" t="str">
        <f>HYPERLINK("https://shop.sonapharmacy.com/products/curad-non-stick-pads", "https://shop.sonapharmacy.com/products/curad-non-stick-pads")</f>
        <v>https://shop.sonapharmacy.com/products/curad-non-stick-pads</v>
      </c>
      <c r="B3868" s="3" t="str">
        <f>HYPERLINK("https://shop.sonapharmacy.com/products/curad-non-stick-pads", "https://shop.sonapharmacy.com/products/curad-non-stick-pads")</f>
        <v>https://shop.sonapharmacy.com/products/curad-non-stick-pads</v>
      </c>
      <c r="C3868" t="s">
        <v>8501</v>
      </c>
      <c r="D3868" t="s">
        <v>10688</v>
      </c>
      <c r="E3868" s="3" t="str">
        <f>HYPERLINK("https://www.amazon.com/Curad-Non-Stick-Pads-Inches-Count/dp/B001BKPRNI/ref=sr_1_9?keywords=Curad%C2%AE+Non-Stick+Pads&amp;qid=1695260163&amp;sr=8-9", "https://www.amazon.com/Curad-Non-Stick-Pads-Inches-Count/dp/B001BKPRNI/ref=sr_1_9?keywords=Curad%C2%AE+Non-Stick+Pads&amp;qid=1695260163&amp;sr=8-9")</f>
        <v>https://www.amazon.com/Curad-Non-Stick-Pads-Inches-Count/dp/B001BKPRNI/ref=sr_1_9?keywords=Curad%C2%AE+Non-Stick+Pads&amp;qid=1695260163&amp;sr=8-9</v>
      </c>
      <c r="F3868" t="s">
        <v>10689</v>
      </c>
      <c r="G3868" t="e">
        <f ca="1">IMAGE("https://shop.sonapharmacy.com/cdn/shop/products/nonsmall.png?v=1607711387")</f>
        <v>#NAME?</v>
      </c>
      <c r="H3868" t="e">
        <f ca="1">IMAGE("https://m.media-amazon.com/images/I/51s3eaRoMIL._AC_UL320_.jpg")</f>
        <v>#NAME?</v>
      </c>
      <c r="I3868" t="s">
        <v>8076</v>
      </c>
      <c r="J3868">
        <v>5.78</v>
      </c>
      <c r="K3868" s="2" t="s">
        <v>10690</v>
      </c>
      <c r="L3868">
        <v>4.3</v>
      </c>
      <c r="M3868">
        <v>95</v>
      </c>
      <c r="O3868" t="s">
        <v>26</v>
      </c>
      <c r="P3868" t="s">
        <v>39</v>
      </c>
      <c r="Q3868" t="s">
        <v>8505</v>
      </c>
    </row>
    <row r="3869" spans="1:17" ht="15.75" x14ac:dyDescent="0.25">
      <c r="A3869" s="3" t="str">
        <f>HYPERLINK("https://shop.sonapharmacy.com/products/salonpas%C2%AE-pain-relieving-jet-spray-with-maximum-strength-lidocaine", "https://shop.sonapharmacy.com/products/salonpas%C2%AE-pain-relieving-jet-spray-with-maximum-strength-lidocaine")</f>
        <v>https://shop.sonapharmacy.com/products/salonpas%C2%AE-pain-relieving-jet-spray-with-maximum-strength-lidocaine</v>
      </c>
      <c r="B3869" s="3" t="str">
        <f>HYPERLINK("https://shop.sonapharmacy.com/products/salonpas%c2%ae-pain-relieving-jet-spray-with-maximum-strength-lidocaine", "https://shop.sonapharmacy.com/products/salonpas%c2%ae-pain-relieving-jet-spray-with-maximum-strength-lidocaine")</f>
        <v>https://shop.sonapharmacy.com/products/salonpas%c2%ae-pain-relieving-jet-spray-with-maximum-strength-lidocaine</v>
      </c>
      <c r="C3869" t="s">
        <v>10319</v>
      </c>
      <c r="D3869" t="s">
        <v>10320</v>
      </c>
      <c r="E3869" s="3" t="str">
        <f>HYPERLINK("https://www.amazon.com/Salonpas-Pain-Relieving-Spray-Pack/dp/B00JKQ7MR4/ref=sr_1_1?keywords=Salonpas%C2%AE+Pain+Relieving+Jet+Spray&amp;qid=1695260696&amp;sr=8-1", "https://www.amazon.com/Salonpas-Pain-Relieving-Spray-Pack/dp/B00JKQ7MR4/ref=sr_1_1?keywords=Salonpas%C2%AE+Pain+Relieving+Jet+Spray&amp;qid=1695260696&amp;sr=8-1")</f>
        <v>https://www.amazon.com/Salonpas-Pain-Relieving-Spray-Pack/dp/B00JKQ7MR4/ref=sr_1_1?keywords=Salonpas%C2%AE+Pain+Relieving+Jet+Spray&amp;qid=1695260696&amp;sr=8-1</v>
      </c>
      <c r="F3869" t="s">
        <v>10691</v>
      </c>
      <c r="G3869" t="e">
        <f ca="1">IMAGE("https://shop.sonapharmacy.com/cdn/shop/products/7948a0dd-7927-4fc3-917e-0fdd93255875.6ac17ff675d7094789a7341c4fdfc58f.jpg?v=1613749979")</f>
        <v>#NAME?</v>
      </c>
      <c r="H3869" t="e">
        <f ca="1">IMAGE("https://m.media-amazon.com/images/I/716Ru4gWBNL._AC_UL320_.jpg")</f>
        <v>#NAME?</v>
      </c>
      <c r="I3869" t="s">
        <v>10322</v>
      </c>
      <c r="J3869">
        <v>29.75</v>
      </c>
      <c r="K3869" s="2" t="s">
        <v>10692</v>
      </c>
      <c r="L3869">
        <v>4.7</v>
      </c>
      <c r="M3869">
        <v>636</v>
      </c>
      <c r="O3869" t="s">
        <v>26</v>
      </c>
      <c r="P3869" t="s">
        <v>39</v>
      </c>
      <c r="Q3869" t="s">
        <v>10324</v>
      </c>
    </row>
    <row r="3870" spans="1:17" ht="15.75" x14ac:dyDescent="0.25">
      <c r="A3870" s="3" t="str">
        <f>HYPERLINK("https://shop.sonapharmacy.com/products/afrin%C2%AE-original", "https://shop.sonapharmacy.com/products/afrin%C2%AE-original")</f>
        <v>https://shop.sonapharmacy.com/products/afrin%C2%AE-original</v>
      </c>
      <c r="B3870" s="3" t="str">
        <f>HYPERLINK("https://shop.sonapharmacy.com/products/afrin%c2%ae-original", "https://shop.sonapharmacy.com/products/afrin%c2%ae-original")</f>
        <v>https://shop.sonapharmacy.com/products/afrin%c2%ae-original</v>
      </c>
      <c r="C3870" t="s">
        <v>8143</v>
      </c>
      <c r="D3870" t="s">
        <v>10693</v>
      </c>
      <c r="E3870" s="3" t="str">
        <f>HYPERLINK("https://www.amazon.com/Afrin-Hour-Pump-Original-0-5-Ounce/dp/B001EPQ5EA/ref=sr_1_4?keywords=Afrin+Original+Nasal+Spray&amp;qid=1695260003&amp;sr=8-4", "https://www.amazon.com/Afrin-Hour-Pump-Original-0-5-Ounce/dp/B001EPQ5EA/ref=sr_1_4?keywords=Afrin+Original+Nasal+Spray&amp;qid=1695260003&amp;sr=8-4")</f>
        <v>https://www.amazon.com/Afrin-Hour-Pump-Original-0-5-Ounce/dp/B001EPQ5EA/ref=sr_1_4?keywords=Afrin+Original+Nasal+Spray&amp;qid=1695260003&amp;sr=8-4</v>
      </c>
      <c r="F3870" t="s">
        <v>10694</v>
      </c>
      <c r="G3870" t="e">
        <f ca="1">IMAGE("https://shop.sonapharmacy.com/cdn/shop/products/81lfsEyuTvL._AC_SL1500.jpg?v=1611182746")</f>
        <v>#NAME?</v>
      </c>
      <c r="H3870" t="e">
        <f ca="1">IMAGE("https://m.media-amazon.com/images/I/71POZKDv1kL._AC_UL320_.jpg")</f>
        <v>#NAME?</v>
      </c>
      <c r="I3870" t="s">
        <v>4275</v>
      </c>
      <c r="J3870">
        <v>31.72</v>
      </c>
      <c r="K3870" s="2" t="s">
        <v>10695</v>
      </c>
      <c r="L3870">
        <v>4.5999999999999996</v>
      </c>
      <c r="M3870">
        <v>715</v>
      </c>
      <c r="O3870" t="s">
        <v>26</v>
      </c>
      <c r="P3870" t="s">
        <v>39</v>
      </c>
      <c r="Q3870" t="s">
        <v>8147</v>
      </c>
    </row>
    <row r="3871" spans="1:17" ht="15.75" x14ac:dyDescent="0.25">
      <c r="A3871" s="3" t="str">
        <f>HYPERLINK("https://shop.sonapharmacy.com/products/bayer-chewable-81-mg-low-dose-aspirin", "https://shop.sonapharmacy.com/products/bayer-chewable-81-mg-low-dose-aspirin")</f>
        <v>https://shop.sonapharmacy.com/products/bayer-chewable-81-mg-low-dose-aspirin</v>
      </c>
      <c r="B3871" s="3" t="str">
        <f>HYPERLINK("https://shop.sonapharmacy.com/products/bayer-chewable-81-mg-low-dose-aspirin", "https://shop.sonapharmacy.com/products/bayer-chewable-81-mg-low-dose-aspirin")</f>
        <v>https://shop.sonapharmacy.com/products/bayer-chewable-81-mg-low-dose-aspirin</v>
      </c>
      <c r="C3871" t="s">
        <v>8629</v>
      </c>
      <c r="D3871" t="s">
        <v>10696</v>
      </c>
      <c r="E3871" s="3" t="str">
        <f>HYPERLINK("https://www.amazon.com/St-Joseph-Reliever-Chewable-Flavored/dp/B072HXLC41/ref=sr_1_8?keywords=Bayer%C2%AE+Chewable+81+mg+Low+Dose+Aspirin&amp;qid=1695260078&amp;rdc=1&amp;sr=8-8", "https://www.amazon.com/St-Joseph-Reliever-Chewable-Flavored/dp/B072HXLC41/ref=sr_1_8?keywords=Bayer%C2%AE+Chewable+81+mg+Low+Dose+Aspirin&amp;qid=1695260078&amp;rdc=1&amp;sr=8-8")</f>
        <v>https://www.amazon.com/St-Joseph-Reliever-Chewable-Flavored/dp/B072HXLC41/ref=sr_1_8?keywords=Bayer%C2%AE+Chewable+81+mg+Low+Dose+Aspirin&amp;qid=1695260078&amp;rdc=1&amp;sr=8-8</v>
      </c>
      <c r="F3871" t="s">
        <v>10697</v>
      </c>
      <c r="G3871" t="e">
        <f ca="1">IMAGE("https://shop.sonapharmacy.com/cdn/shop/products/Untitled-22.jpg?v=1592598310")</f>
        <v>#NAME?</v>
      </c>
      <c r="H3871" t="e">
        <f ca="1">IMAGE("https://m.media-amazon.com/images/I/81GroRKk8vL._AC_UL320_.jpg")</f>
        <v>#NAME?</v>
      </c>
      <c r="I3871" t="s">
        <v>8632</v>
      </c>
      <c r="J3871">
        <v>9.5399999999999991</v>
      </c>
      <c r="K3871" s="2" t="s">
        <v>10698</v>
      </c>
      <c r="L3871">
        <v>4.7</v>
      </c>
      <c r="M3871">
        <v>4276</v>
      </c>
      <c r="O3871" t="s">
        <v>26</v>
      </c>
      <c r="P3871" t="s">
        <v>39</v>
      </c>
      <c r="Q3871" t="s">
        <v>8634</v>
      </c>
    </row>
    <row r="3872" spans="1:17" ht="15.75" x14ac:dyDescent="0.25">
      <c r="A3872" s="3" t="str">
        <f>HYPERLINK("https://shop.sonapharmacy.com/products/a-d%C2%AE-original-diaper-rash-ointment", "https://shop.sonapharmacy.com/products/a-d%C2%AE-original-diaper-rash-ointment")</f>
        <v>https://shop.sonapharmacy.com/products/a-d%C2%AE-original-diaper-rash-ointment</v>
      </c>
      <c r="B3872" s="3" t="str">
        <f>HYPERLINK("https://shop.sonapharmacy.com/products/a-d%c2%ae-original-diaper-rash-ointment", "https://shop.sonapharmacy.com/products/a-d%c2%ae-original-diaper-rash-ointment")</f>
        <v>https://shop.sonapharmacy.com/products/a-d%c2%ae-original-diaper-rash-ointment</v>
      </c>
      <c r="C3872" t="s">
        <v>8297</v>
      </c>
      <c r="D3872" t="s">
        <v>10699</v>
      </c>
      <c r="E3872" s="3" t="str">
        <f>HYPERLINK("https://www.amazon.com/Original-Ointment-Protectant-Lanolin-Petrolatum/dp/B07GWMQR1F/ref=sr_1_8?keywords=A%2BD+Original+Diaper+Rash+Ointment&amp;qid=1695260012&amp;sr=8-8", "https://www.amazon.com/Original-Ointment-Protectant-Lanolin-Petrolatum/dp/B07GWMQR1F/ref=sr_1_8?keywords=A%2BD+Original+Diaper+Rash+Ointment&amp;qid=1695260012&amp;sr=8-8")</f>
        <v>https://www.amazon.com/Original-Ointment-Protectant-Lanolin-Petrolatum/dp/B07GWMQR1F/ref=sr_1_8?keywords=A%2BD+Original+Diaper+Rash+Ointment&amp;qid=1695260012&amp;sr=8-8</v>
      </c>
      <c r="F3872" t="s">
        <v>10700</v>
      </c>
      <c r="G3872" t="e">
        <f ca="1">IMAGE("https://shop.sonapharmacy.com/cdn/shop/products/1.5oz..jpg?v=1609270387")</f>
        <v>#NAME?</v>
      </c>
      <c r="H3872" t="e">
        <f ca="1">IMAGE("https://m.media-amazon.com/images/I/71EPra804UL._AC_UL320_.jpg")</f>
        <v>#NAME?</v>
      </c>
      <c r="I3872" t="s">
        <v>8300</v>
      </c>
      <c r="J3872">
        <v>14.82</v>
      </c>
      <c r="K3872" s="2" t="s">
        <v>10701</v>
      </c>
      <c r="L3872">
        <v>4.8</v>
      </c>
      <c r="M3872">
        <v>471</v>
      </c>
      <c r="O3872" t="s">
        <v>26</v>
      </c>
      <c r="P3872" t="s">
        <v>39</v>
      </c>
      <c r="Q3872" t="s">
        <v>8302</v>
      </c>
    </row>
    <row r="3873" spans="1:17" ht="15.75" x14ac:dyDescent="0.25">
      <c r="A3873" s="3" t="str">
        <f>HYPERLINK("https://shop.sonapharmacy.com/products/major-senna-tablets", "https://shop.sonapharmacy.com/products/major-senna-tablets")</f>
        <v>https://shop.sonapharmacy.com/products/major-senna-tablets</v>
      </c>
      <c r="B3873" s="3" t="str">
        <f>HYPERLINK("https://shop.sonapharmacy.com/products/major-senna-tablets", "https://shop.sonapharmacy.com/products/major-senna-tablets")</f>
        <v>https://shop.sonapharmacy.com/products/major-senna-tablets</v>
      </c>
      <c r="C3873" t="s">
        <v>10658</v>
      </c>
      <c r="D3873" t="s">
        <v>10702</v>
      </c>
      <c r="E3873" s="3" t="str">
        <f>HYPERLINK("https://www.amazon.com/Major-Natural-Vegetable-Laxative-Tablets/dp/B07Y8QB25D/ref=sr_1_4?keywords=Major+Senna+Tablets&amp;qid=1695260458&amp;sr=8-4", "https://www.amazon.com/Major-Natural-Vegetable-Laxative-Tablets/dp/B07Y8QB25D/ref=sr_1_4?keywords=Major+Senna+Tablets&amp;qid=1695260458&amp;sr=8-4")</f>
        <v>https://www.amazon.com/Major-Natural-Vegetable-Laxative-Tablets/dp/B07Y8QB25D/ref=sr_1_4?keywords=Major+Senna+Tablets&amp;qid=1695260458&amp;sr=8-4</v>
      </c>
      <c r="F3873" t="s">
        <v>10703</v>
      </c>
      <c r="G3873" t="e">
        <f ca="1">IMAGE("https://shop.sonapharmacy.com/cdn/shop/products/MajorSennaFront.png?v=1606923439")</f>
        <v>#NAME?</v>
      </c>
      <c r="H3873" t="e">
        <f ca="1">IMAGE("https://m.media-amazon.com/images/I/617dJxlN0AL._AC_UL320_.jpg")</f>
        <v>#NAME?</v>
      </c>
      <c r="I3873" t="s">
        <v>10661</v>
      </c>
      <c r="J3873">
        <v>14.87</v>
      </c>
      <c r="K3873" s="2" t="s">
        <v>10704</v>
      </c>
      <c r="L3873">
        <v>4.7</v>
      </c>
      <c r="M3873">
        <v>567</v>
      </c>
      <c r="O3873" t="s">
        <v>26</v>
      </c>
      <c r="P3873" t="s">
        <v>39</v>
      </c>
      <c r="Q3873" t="s">
        <v>10663</v>
      </c>
    </row>
    <row r="3874" spans="1:17" ht="15.75" x14ac:dyDescent="0.25">
      <c r="A3874" s="3" t="str">
        <f>HYPERLINK("https://shop.sonapharmacy.com/products/nature-made-1400-mg-flaxseed-oil-700-mg-omega-3-softgels", "https://shop.sonapharmacy.com/products/nature-made-1400-mg-flaxseed-oil-700-mg-omega-3-softgels")</f>
        <v>https://shop.sonapharmacy.com/products/nature-made-1400-mg-flaxseed-oil-700-mg-omega-3-softgels</v>
      </c>
      <c r="B3874" s="3" t="str">
        <f>HYPERLINK("https://shop.sonapharmacy.com/products/nature-made-1400-mg-flaxseed-oil-700-mg-omega-3-softgels", "https://shop.sonapharmacy.com/products/nature-made-1400-mg-flaxseed-oil-700-mg-omega-3-softgels")</f>
        <v>https://shop.sonapharmacy.com/products/nature-made-1400-mg-flaxseed-oil-700-mg-omega-3-softgels</v>
      </c>
      <c r="C3874" t="s">
        <v>10705</v>
      </c>
      <c r="D3874" t="s">
        <v>10706</v>
      </c>
      <c r="E3874" s="3" t="str">
        <f>HYPERLINK("https://www.amazon.com/Nature-Organic-Flaxseed-Liquid-Softgels/dp/B07D4R15L3/ref=sr_1_3?keywords=Nature+Made%C2%AE+Flaxseed+Oil+Omega-3+1400+mg%2F700+mg+Softgels+100ct.&amp;qid=1695260538&amp;sr=8-3", "https://www.amazon.com/Nature-Organic-Flaxseed-Liquid-Softgels/dp/B07D4R15L3/ref=sr_1_3?keywords=Nature+Made%C2%AE+Flaxseed+Oil+Omega-3+1400+mg%2F700+mg+Softgels+100ct.&amp;qid=1695260538&amp;sr=8-3")</f>
        <v>https://www.amazon.com/Nature-Organic-Flaxseed-Liquid-Softgels/dp/B07D4R15L3/ref=sr_1_3?keywords=Nature+Made%C2%AE+Flaxseed+Oil+Omega-3+1400+mg%2F700+mg+Softgels+100ct.&amp;qid=1695260538&amp;sr=8-3</v>
      </c>
      <c r="F3874" t="s">
        <v>10707</v>
      </c>
      <c r="G3874" t="e">
        <f ca="1">IMAGE("https://shop.sonapharmacy.com/cdn/shop/products/71FBpkInSkL._AC_SL1500.jpg?v=1610046851")</f>
        <v>#NAME?</v>
      </c>
      <c r="H3874" t="e">
        <f ca="1">IMAGE("https://m.media-amazon.com/images/I/51gCHDv9DDL._AC_UL320_.jpg")</f>
        <v>#NAME?</v>
      </c>
      <c r="I3874" t="s">
        <v>8692</v>
      </c>
      <c r="J3874">
        <v>32.85</v>
      </c>
      <c r="K3874" s="2" t="s">
        <v>10708</v>
      </c>
      <c r="L3874">
        <v>4.5</v>
      </c>
      <c r="M3874">
        <v>17</v>
      </c>
      <c r="O3874" t="s">
        <v>26</v>
      </c>
      <c r="P3874" t="s">
        <v>39</v>
      </c>
      <c r="Q3874" t="s">
        <v>10709</v>
      </c>
    </row>
    <row r="3875" spans="1:17" ht="15.75" x14ac:dyDescent="0.25">
      <c r="A3875" s="3" t="str">
        <f>HYPERLINK("https://shop.sonapharmacy.com/products/band-aid-tough-strips", "https://shop.sonapharmacy.com/products/band-aid-tough-strips")</f>
        <v>https://shop.sonapharmacy.com/products/band-aid-tough-strips</v>
      </c>
      <c r="B3875" s="3" t="str">
        <f>HYPERLINK("https://shop.sonapharmacy.com/products/band-aid-tough-strips", "https://shop.sonapharmacy.com/products/band-aid-tough-strips")</f>
        <v>https://shop.sonapharmacy.com/products/band-aid-tough-strips</v>
      </c>
      <c r="C3875" t="s">
        <v>9687</v>
      </c>
      <c r="D3875" t="s">
        <v>10710</v>
      </c>
      <c r="E3875" s="3" t="str">
        <f>HYPERLINK("https://www.amazon.com/Band-Aid-Tough-Strips-Bandages-Extra-Large/dp/B01182N5U0/ref=sr_1_5?keywords=BAND-AID%C2%AE+Tough+Strips&amp;qid=1695260064&amp;sr=8-5", "https://www.amazon.com/Band-Aid-Tough-Strips-Bandages-Extra-Large/dp/B01182N5U0/ref=sr_1_5?keywords=BAND-AID%C2%AE+Tough+Strips&amp;qid=1695260064&amp;sr=8-5")</f>
        <v>https://www.amazon.com/Band-Aid-Tough-Strips-Bandages-Extra-Large/dp/B01182N5U0/ref=sr_1_5?keywords=BAND-AID%C2%AE+Tough+Strips&amp;qid=1695260064&amp;sr=8-5</v>
      </c>
      <c r="F3875" t="s">
        <v>10711</v>
      </c>
      <c r="G3875" t="e">
        <f ca="1">IMAGE("https://shop.sonapharmacy.com/cdn/shop/products/bab_381370044246_band_aid_band_aid_tough_strip_xl_10ct_007.jpg?v=1607288053")</f>
        <v>#NAME?</v>
      </c>
      <c r="H3875" t="e">
        <f ca="1">IMAGE("https://m.media-amazon.com/images/I/81Fz6gAtSHL._AC_UL320_.jpg")</f>
        <v>#NAME?</v>
      </c>
      <c r="I3875" t="s">
        <v>8512</v>
      </c>
      <c r="J3875">
        <v>14.37</v>
      </c>
      <c r="K3875" s="2" t="s">
        <v>10712</v>
      </c>
      <c r="L3875">
        <v>4.7</v>
      </c>
      <c r="M3875">
        <v>219</v>
      </c>
      <c r="O3875" t="s">
        <v>26</v>
      </c>
      <c r="P3875" t="s">
        <v>39</v>
      </c>
      <c r="Q3875" t="s">
        <v>9691</v>
      </c>
    </row>
    <row r="3876" spans="1:17" ht="15.75" x14ac:dyDescent="0.25">
      <c r="A3876" s="3" t="str">
        <f>HYPERLINK("https://shop.sonapharmacy.com/products/neilmed-sinus-rinse-100-regular-mixture-packets", "https://shop.sonapharmacy.com/products/neilmed-sinus-rinse-100-regular-mixture-packets")</f>
        <v>https://shop.sonapharmacy.com/products/neilmed-sinus-rinse-100-regular-mixture-packets</v>
      </c>
      <c r="B3876" s="3" t="str">
        <f>HYPERLINK("https://shop.sonapharmacy.com/products/neilmed-sinus-rinse-100-regular-mixture-packets", "https://shop.sonapharmacy.com/products/neilmed-sinus-rinse-100-regular-mixture-packets")</f>
        <v>https://shop.sonapharmacy.com/products/neilmed-sinus-rinse-100-regular-mixture-packets</v>
      </c>
      <c r="C3876" t="s">
        <v>10713</v>
      </c>
      <c r="D3876" t="s">
        <v>10714</v>
      </c>
      <c r="E3876" s="3" t="str">
        <f>HYPERLINK("https://www.amazon.com/NeilMed-Sinus-Premixed-Packets-Allergies/dp/B01IQ99S4U/ref=sr_1_9?keywords=NeilMed+Sinus+Rinse+100+Regular+Mixture+Packets&amp;qid=1695260550&amp;sr=8-9", "https://www.amazon.com/NeilMed-Sinus-Premixed-Packets-Allergies/dp/B01IQ99S4U/ref=sr_1_9?keywords=NeilMed+Sinus+Rinse+100+Regular+Mixture+Packets&amp;qid=1695260550&amp;sr=8-9")</f>
        <v>https://www.amazon.com/NeilMed-Sinus-Premixed-Packets-Allergies/dp/B01IQ99S4U/ref=sr_1_9?keywords=NeilMed+Sinus+Rinse+100+Regular+Mixture+Packets&amp;qid=1695260550&amp;sr=8-9</v>
      </c>
      <c r="F3876" t="s">
        <v>10715</v>
      </c>
      <c r="G3876" t="e">
        <f ca="1">IMAGE("https://shop.sonapharmacy.com/cdn/shop/products/Sinus-Rinse-100-Refill-Packets-FRONT.png?v=1589999642")</f>
        <v>#NAME?</v>
      </c>
      <c r="H3876" t="e">
        <f ca="1">IMAGE("https://m.media-amazon.com/images/I/711Gknnli7L._AC_UL320_.jpg")</f>
        <v>#NAME?</v>
      </c>
      <c r="I3876" t="s">
        <v>10716</v>
      </c>
      <c r="J3876">
        <v>41.69</v>
      </c>
      <c r="K3876" s="2" t="s">
        <v>10717</v>
      </c>
      <c r="L3876">
        <v>4.4000000000000004</v>
      </c>
      <c r="M3876">
        <v>46</v>
      </c>
      <c r="O3876" t="s">
        <v>26</v>
      </c>
      <c r="P3876" t="s">
        <v>39</v>
      </c>
      <c r="Q3876" t="s">
        <v>10718</v>
      </c>
    </row>
    <row r="3877" spans="1:17" ht="15.75" x14ac:dyDescent="0.25">
      <c r="A3877" s="3" t="str">
        <f>HYPERLINK("https://shop.sonapharmacy.com/products/eos%C2%AE-sweet-mint-lip-balm", "https://shop.sonapharmacy.com/products/eos%C2%AE-sweet-mint-lip-balm")</f>
        <v>https://shop.sonapharmacy.com/products/eos%C2%AE-sweet-mint-lip-balm</v>
      </c>
      <c r="B3877" s="3" t="str">
        <f>HYPERLINK("https://shop.sonapharmacy.com/products/eos%c2%ae-sweet-mint-lip-balm", "https://shop.sonapharmacy.com/products/eos%c2%ae-sweet-mint-lip-balm")</f>
        <v>https://shop.sonapharmacy.com/products/eos%c2%ae-sweet-mint-lip-balm</v>
      </c>
      <c r="C3877" t="s">
        <v>8435</v>
      </c>
      <c r="D3877" t="s">
        <v>10719</v>
      </c>
      <c r="E3877" s="3" t="str">
        <f>HYPERLINK("https://www.amazon.com/Smooth-Balm-Sphere-Sweet-Mint/dp/B00TPGOJDE/ref=sr_1_8?keywords=EOS%C2%AE+Sweet+Mint+Lip+Balm&amp;qid=1695260226&amp;sr=8-8", "https://www.amazon.com/Smooth-Balm-Sphere-Sweet-Mint/dp/B00TPGOJDE/ref=sr_1_8?keywords=EOS%C2%AE+Sweet+Mint+Lip+Balm&amp;qid=1695260226&amp;sr=8-8")</f>
        <v>https://www.amazon.com/Smooth-Balm-Sphere-Sweet-Mint/dp/B00TPGOJDE/ref=sr_1_8?keywords=EOS%C2%AE+Sweet+Mint+Lip+Balm&amp;qid=1695260226&amp;sr=8-8</v>
      </c>
      <c r="F3877" t="s">
        <v>10720</v>
      </c>
      <c r="G3877" t="e">
        <f ca="1">IMAGE("https://shop.sonapharmacy.com/cdn/shop/products/GUEST_b0fdc7d4-45d7-4d76-93a9-fe22762c8990.jpg?v=1610643893")</f>
        <v>#NAME?</v>
      </c>
      <c r="H3877" t="e">
        <f ca="1">IMAGE("https://m.media-amazon.com/images/I/51YpcYaFpjL._AC_UL320_.jpg")</f>
        <v>#NAME?</v>
      </c>
      <c r="I3877" t="s">
        <v>8411</v>
      </c>
      <c r="J3877">
        <v>10</v>
      </c>
      <c r="K3877" s="2" t="s">
        <v>10721</v>
      </c>
      <c r="L3877">
        <v>4.9000000000000004</v>
      </c>
      <c r="M3877">
        <v>24</v>
      </c>
      <c r="O3877" t="s">
        <v>26</v>
      </c>
      <c r="P3877" t="s">
        <v>39</v>
      </c>
      <c r="Q3877" t="s">
        <v>8439</v>
      </c>
    </row>
    <row r="3878" spans="1:17" ht="15.75" x14ac:dyDescent="0.25">
      <c r="A3878" s="3" t="str">
        <f>HYPERLINK("https://shop.sonapharmacy.com/products/sunbum%C2%AE-original-spf-30-sunscreen-lip-balm", "https://shop.sonapharmacy.com/products/sunbum%C2%AE-original-spf-30-sunscreen-lip-balm")</f>
        <v>https://shop.sonapharmacy.com/products/sunbum%C2%AE-original-spf-30-sunscreen-lip-balm</v>
      </c>
      <c r="B3878" s="3" t="str">
        <f>HYPERLINK("https://shop.sonapharmacy.com/products/sunbum%c2%ae-original-spf-30-sunscreen-lip-balm", "https://shop.sonapharmacy.com/products/sunbum%c2%ae-original-spf-30-sunscreen-lip-balm")</f>
        <v>https://shop.sonapharmacy.com/products/sunbum%c2%ae-original-spf-30-sunscreen-lip-balm</v>
      </c>
      <c r="C3878" t="s">
        <v>8534</v>
      </c>
      <c r="D3878" t="s">
        <v>10722</v>
      </c>
      <c r="E3878" s="3" t="str">
        <f>HYPERLINK("https://www.amazon.com/Sun-Bum-Hypoallergenic-Spectrum-Protection/dp/B072KGPLX6/ref=sr_1_1?keywords=Sun+Bum%C2%AE+Original+SPF+30+Sunscreen+Lip+Balm&amp;qid=1695260758&amp;rdc=1&amp;sr=8-1", "https://www.amazon.com/Sun-Bum-Hypoallergenic-Spectrum-Protection/dp/B072KGPLX6/ref=sr_1_1?keywords=Sun+Bum%C2%AE+Original+SPF+30+Sunscreen+Lip+Balm&amp;qid=1695260758&amp;rdc=1&amp;sr=8-1")</f>
        <v>https://www.amazon.com/Sun-Bum-Hypoallergenic-Spectrum-Protection/dp/B072KGPLX6/ref=sr_1_1?keywords=Sun+Bum%C2%AE+Original+SPF+30+Sunscreen+Lip+Balm&amp;qid=1695260758&amp;rdc=1&amp;sr=8-1</v>
      </c>
      <c r="F3878" t="s">
        <v>10723</v>
      </c>
      <c r="G3878" t="e">
        <f ca="1">IMAGE("https://shop.sonapharmacy.com/cdn/shop/products/71AEzBiAaUL._AC_SL1500.jpg?v=1611872104")</f>
        <v>#NAME?</v>
      </c>
      <c r="H3878" t="e">
        <f ca="1">IMAGE("https://m.media-amazon.com/images/I/51rRXqI9ZyL._AC_UL320_.jpg")</f>
        <v>#NAME?</v>
      </c>
      <c r="I3878" t="s">
        <v>8411</v>
      </c>
      <c r="J3878">
        <v>9.99</v>
      </c>
      <c r="K3878" s="2" t="s">
        <v>10724</v>
      </c>
      <c r="L3878">
        <v>4.4000000000000004</v>
      </c>
      <c r="M3878">
        <v>26419</v>
      </c>
      <c r="O3878" t="s">
        <v>26</v>
      </c>
      <c r="P3878" t="s">
        <v>39</v>
      </c>
      <c r="Q3878" t="s">
        <v>8538</v>
      </c>
    </row>
    <row r="3879" spans="1:17" ht="15.75" x14ac:dyDescent="0.25">
      <c r="A3879" s="3" t="str">
        <f>HYPERLINK("https://shop.sonapharmacy.com/products/sunbum%C2%AE-after-sun-cool-down-lotion-3fl-oz", "https://shop.sonapharmacy.com/products/sunbum%C2%AE-after-sun-cool-down-lotion-3fl-oz")</f>
        <v>https://shop.sonapharmacy.com/products/sunbum%C2%AE-after-sun-cool-down-lotion-3fl-oz</v>
      </c>
      <c r="B3879" s="3" t="str">
        <f>HYPERLINK("https://shop.sonapharmacy.com/products/sunbum%c2%ae-after-sun-cool-down-lotion-3fl-oz", "https://shop.sonapharmacy.com/products/sunbum%c2%ae-after-sun-cool-down-lotion-3fl-oz")</f>
        <v>https://shop.sonapharmacy.com/products/sunbum%c2%ae-after-sun-cool-down-lotion-3fl-oz</v>
      </c>
      <c r="C3879" t="s">
        <v>10463</v>
      </c>
      <c r="D3879" t="s">
        <v>10725</v>
      </c>
      <c r="E3879" s="3" t="str">
        <f>HYPERLINK("https://www.amazon.com/Sun-Bum-pMNHo-Hydrating-After/dp/B06ZZ3F8FN/ref=sr_1_6?keywords=Sun+Bum%C2%AE+After+Sun+Cool+Down+Lotion&amp;qid=1695260733&amp;sr=8-6", "https://www.amazon.com/Sun-Bum-pMNHo-Hydrating-After/dp/B06ZZ3F8FN/ref=sr_1_6?keywords=Sun+Bum%C2%AE+After+Sun+Cool+Down+Lotion&amp;qid=1695260733&amp;sr=8-6")</f>
        <v>https://www.amazon.com/Sun-Bum-pMNHo-Hydrating-After/dp/B06ZZ3F8FN/ref=sr_1_6?keywords=Sun+Bum%C2%AE+After+Sun+Cool+Down+Lotion&amp;qid=1695260733&amp;sr=8-6</v>
      </c>
      <c r="F3879" t="s">
        <v>10726</v>
      </c>
      <c r="G3879" t="e">
        <f ca="1">IMAGE("https://shop.sonapharmacy.com/cdn/shop/products/a5a83c38-73f5-476c-9809-d631e9fa1de9_1.becde44019f64609642f026cbe40180a.jpg?v=1611159956")</f>
        <v>#NAME?</v>
      </c>
      <c r="H3879" t="e">
        <f ca="1">IMAGE("https://m.media-amazon.com/images/I/41PLfJFuRsL._AC_UL320_.jpg")</f>
        <v>#NAME?</v>
      </c>
      <c r="I3879" t="s">
        <v>3392</v>
      </c>
      <c r="J3879">
        <v>19.989999999999998</v>
      </c>
      <c r="K3879" s="2" t="s">
        <v>10727</v>
      </c>
      <c r="L3879">
        <v>4.7</v>
      </c>
      <c r="M3879">
        <v>325</v>
      </c>
      <c r="O3879" t="s">
        <v>26</v>
      </c>
      <c r="P3879" t="s">
        <v>39</v>
      </c>
      <c r="Q3879" t="s">
        <v>10467</v>
      </c>
    </row>
    <row r="3880" spans="1:17" ht="15.75" x14ac:dyDescent="0.25">
      <c r="A3880" s="3" t="str">
        <f>HYPERLINK("https://shop.sonapharmacy.com/products/sunbum%C2%AE-original-spf-30-sunscreen-lotion", "https://shop.sonapharmacy.com/products/sunbum%C2%AE-original-spf-30-sunscreen-lotion")</f>
        <v>https://shop.sonapharmacy.com/products/sunbum%C2%AE-original-spf-30-sunscreen-lotion</v>
      </c>
      <c r="B3880" s="3" t="str">
        <f>HYPERLINK("https://shop.sonapharmacy.com/products/sunbum%c2%ae-original-spf-30-sunscreen-lotion", "https://shop.sonapharmacy.com/products/sunbum%c2%ae-original-spf-30-sunscreen-lotion")</f>
        <v>https://shop.sonapharmacy.com/products/sunbum%c2%ae-original-spf-30-sunscreen-lotion</v>
      </c>
      <c r="C3880" t="s">
        <v>10325</v>
      </c>
      <c r="D3880" t="s">
        <v>10728</v>
      </c>
      <c r="E3880" s="3" t="str">
        <f>HYPERLINK("https://www.amazon.com/Sun-Bum-Octinoxate-Oxybenzone-Moisturizing/dp/B09NP3D9GN/ref=sr_1_7?keywords=Sun+Bum%C2%AE+Original+SPF+30+Sunscreen+Lotion&amp;qid=1695260773&amp;sr=8-7", "https://www.amazon.com/Sun-Bum-Octinoxate-Oxybenzone-Moisturizing/dp/B09NP3D9GN/ref=sr_1_7?keywords=Sun+Bum%C2%AE+Original+SPF+30+Sunscreen+Lotion&amp;qid=1695260773&amp;sr=8-7")</f>
        <v>https://www.amazon.com/Sun-Bum-Octinoxate-Oxybenzone-Moisturizing/dp/B09NP3D9GN/ref=sr_1_7?keywords=Sun+Bum%C2%AE+Original+SPF+30+Sunscreen+Lotion&amp;qid=1695260773&amp;sr=8-7</v>
      </c>
      <c r="F3880" t="s">
        <v>10729</v>
      </c>
      <c r="G3880" t="e">
        <f ca="1">IMAGE("https://shop.sonapharmacy.com/cdn/shop/products/7112Mn16XDL._SL1500.jpg?v=1611869378")</f>
        <v>#NAME?</v>
      </c>
      <c r="H3880" t="e">
        <f ca="1">IMAGE("https://m.media-amazon.com/images/I/71bQ+OcSQ0L._AC_UL320_.jpg")</f>
        <v>#NAME?</v>
      </c>
      <c r="I3880" t="s">
        <v>4873</v>
      </c>
      <c r="J3880">
        <v>24.99</v>
      </c>
      <c r="K3880" s="2" t="s">
        <v>10730</v>
      </c>
      <c r="L3880">
        <v>5</v>
      </c>
      <c r="M3880">
        <v>4</v>
      </c>
      <c r="O3880" t="s">
        <v>26</v>
      </c>
      <c r="P3880" t="s">
        <v>39</v>
      </c>
      <c r="Q3880" t="s">
        <v>10329</v>
      </c>
    </row>
    <row r="3881" spans="1:17" ht="15.75" x14ac:dyDescent="0.25">
      <c r="A3881" s="3" t="str">
        <f>HYPERLINK("https://shop.sonapharmacy.com/products/refresh-optive%C2%AE-advanced-triple-action-relief-eye-drops", "https://shop.sonapharmacy.com/products/refresh-optive%C2%AE-advanced-triple-action-relief-eye-drops")</f>
        <v>https://shop.sonapharmacy.com/products/refresh-optive%C2%AE-advanced-triple-action-relief-eye-drops</v>
      </c>
      <c r="B3881" s="3" t="str">
        <f>HYPERLINK("https://shop.sonapharmacy.com/products/refresh-optive%c2%ae-advanced-triple-action-relief-eye-drops", "https://shop.sonapharmacy.com/products/refresh-optive%c2%ae-advanced-triple-action-relief-eye-drops")</f>
        <v>https://shop.sonapharmacy.com/products/refresh-optive%c2%ae-advanced-triple-action-relief-eye-drops</v>
      </c>
      <c r="C3881" t="s">
        <v>10731</v>
      </c>
      <c r="D3881" t="s">
        <v>10732</v>
      </c>
      <c r="E3881" s="3" t="str">
        <f>HYPERLINK("https://www.amazon.com/Refresh-Optive-Advanced-Preservative-Drops/dp/B00HA7UAEC/ref=sr_1_8?keywords=Refresh%C2%AE+Optive%C2%AE+Advanced+Preservative+Free+Eye+Drops&amp;qid=1695260683&amp;sr=8-8", "https://www.amazon.com/Refresh-Optive-Advanced-Preservative-Drops/dp/B00HA7UAEC/ref=sr_1_8?keywords=Refresh%C2%AE+Optive%C2%AE+Advanced+Preservative+Free+Eye+Drops&amp;qid=1695260683&amp;sr=8-8")</f>
        <v>https://www.amazon.com/Refresh-Optive-Advanced-Preservative-Drops/dp/B00HA7UAEC/ref=sr_1_8?keywords=Refresh%C2%AE+Optive%C2%AE+Advanced+Preservative+Free+Eye+Drops&amp;qid=1695260683&amp;sr=8-8</v>
      </c>
      <c r="F3881" t="s">
        <v>10733</v>
      </c>
      <c r="G3881" t="e">
        <f ca="1">IMAGE("https://shop.sonapharmacy.com/cdn/shop/products/refresh-optive-advanced-presfree-hero-packaging.png?v=1608823825")</f>
        <v>#NAME?</v>
      </c>
      <c r="H3881" t="e">
        <f ca="1">IMAGE("https://m.media-amazon.com/images/I/619DjdN3dPL._AC_UL320_.jpg")</f>
        <v>#NAME?</v>
      </c>
      <c r="I3881" t="s">
        <v>4814</v>
      </c>
      <c r="J3881">
        <v>45</v>
      </c>
      <c r="K3881" s="2" t="s">
        <v>10734</v>
      </c>
      <c r="L3881">
        <v>5</v>
      </c>
      <c r="M3881">
        <v>3</v>
      </c>
      <c r="O3881" t="s">
        <v>26</v>
      </c>
      <c r="P3881" t="s">
        <v>39</v>
      </c>
      <c r="Q3881" t="s">
        <v>10735</v>
      </c>
    </row>
    <row r="3882" spans="1:17" ht="15.75" x14ac:dyDescent="0.25">
      <c r="A3882" s="3" t="str">
        <f>HYPERLINK("https://shop.sonapharmacy.com/products/sun-bum%C2%AE-mineral-spf-50-sunscreen-lotion-3oz", "https://shop.sonapharmacy.com/products/sun-bum%C2%AE-mineral-spf-50-sunscreen-lotion-3oz")</f>
        <v>https://shop.sonapharmacy.com/products/sun-bum%C2%AE-mineral-spf-50-sunscreen-lotion-3oz</v>
      </c>
      <c r="B3882" s="3" t="str">
        <f>HYPERLINK("https://shop.sonapharmacy.com/products/sun-bum%c2%ae-mineral-spf-50-sunscreen-lotion-3oz", "https://shop.sonapharmacy.com/products/sun-bum%c2%ae-mineral-spf-50-sunscreen-lotion-3oz")</f>
        <v>https://shop.sonapharmacy.com/products/sun-bum%c2%ae-mineral-spf-50-sunscreen-lotion-3oz</v>
      </c>
      <c r="C3882" t="s">
        <v>10736</v>
      </c>
      <c r="D3882" t="s">
        <v>10737</v>
      </c>
      <c r="E3882" s="3" t="str">
        <f>HYPERLINK("https://www.amazon.com/Sun-Bum-Signature-Mineral-Sunscreen/dp/B07BJBP7J1/ref=sr_1_5?keywords=Sun+Bum%C2%AE+Mineral+SPF+50+Sunscreen+Lotion+3oz.&amp;qid=1695260736&amp;sr=8-5", "https://www.amazon.com/Sun-Bum-Signature-Mineral-Sunscreen/dp/B07BJBP7J1/ref=sr_1_5?keywords=Sun+Bum%C2%AE+Mineral+SPF+50+Sunscreen+Lotion+3oz.&amp;qid=1695260736&amp;sr=8-5")</f>
        <v>https://www.amazon.com/Sun-Bum-Signature-Mineral-Sunscreen/dp/B07BJBP7J1/ref=sr_1_5?keywords=Sun+Bum%C2%AE+Mineral+SPF+50+Sunscreen+Lotion+3oz.&amp;qid=1695260736&amp;sr=8-5</v>
      </c>
      <c r="F3882" t="s">
        <v>10738</v>
      </c>
      <c r="G3882" t="e">
        <f ca="1">IMAGE("https://shop.sonapharmacy.com/cdn/shop/products/61BXE36gB1L._SL1500__1.jpg?v=1629233458")</f>
        <v>#NAME?</v>
      </c>
      <c r="H3882" t="e">
        <f ca="1">IMAGE("https://m.media-amazon.com/images/I/51mUxsclMDL._AC_UL320_.jpg")</f>
        <v>#NAME?</v>
      </c>
      <c r="I3882" t="s">
        <v>3419</v>
      </c>
      <c r="J3882">
        <v>37.479999999999997</v>
      </c>
      <c r="K3882" s="2" t="s">
        <v>10739</v>
      </c>
      <c r="L3882">
        <v>5</v>
      </c>
      <c r="M3882">
        <v>5</v>
      </c>
      <c r="O3882" t="s">
        <v>26</v>
      </c>
      <c r="P3882" t="s">
        <v>39</v>
      </c>
      <c r="Q3882" t="s">
        <v>10740</v>
      </c>
    </row>
    <row r="3883" spans="1:17" ht="15.75" x14ac:dyDescent="0.25">
      <c r="A3883" s="3" t="str">
        <f>HYPERLINK("https://shop.sonapharmacy.com/products/sun-bum%C2%AE-mineral-spf-30-sunscreen-lotion-3", "https://shop.sonapharmacy.com/products/sun-bum%C2%AE-mineral-spf-30-sunscreen-lotion-3")</f>
        <v>https://shop.sonapharmacy.com/products/sun-bum%C2%AE-mineral-spf-30-sunscreen-lotion-3</v>
      </c>
      <c r="B3883" s="3" t="str">
        <f>HYPERLINK("https://shop.sonapharmacy.com/products/sun-bum%c2%ae-mineral-spf-30-sunscreen-lotion-3", "https://shop.sonapharmacy.com/products/sun-bum%c2%ae-mineral-spf-30-sunscreen-lotion-3")</f>
        <v>https://shop.sonapharmacy.com/products/sun-bum%c2%ae-mineral-spf-30-sunscreen-lotion-3</v>
      </c>
      <c r="C3883" t="s">
        <v>10741</v>
      </c>
      <c r="D3883" t="s">
        <v>10737</v>
      </c>
      <c r="E3883" s="3" t="str">
        <f>HYPERLINK("https://www.amazon.com/Sun-Bum-Signature-Mineral-Sunscreen/dp/B07BJBP7J1/ref=sr_1_10?keywords=Sun+Bum%C2%AE+Mineral+SPF+50+Sunscreen+Lotion+3oz&amp;qid=1695260735&amp;sr=8-10", "https://www.amazon.com/Sun-Bum-Signature-Mineral-Sunscreen/dp/B07BJBP7J1/ref=sr_1_10?keywords=Sun+Bum%C2%AE+Mineral+SPF+50+Sunscreen+Lotion+3oz&amp;qid=1695260735&amp;sr=8-10")</f>
        <v>https://www.amazon.com/Sun-Bum-Signature-Mineral-Sunscreen/dp/B07BJBP7J1/ref=sr_1_10?keywords=Sun+Bum%C2%AE+Mineral+SPF+50+Sunscreen+Lotion+3oz&amp;qid=1695260735&amp;sr=8-10</v>
      </c>
      <c r="F3883" t="s">
        <v>10738</v>
      </c>
      <c r="G3883" t="e">
        <f ca="1">IMAGE("https://shop.sonapharmacy.com/cdn/shop/products/61BXE36gB1L._SL1500.jpg?v=1629233300")</f>
        <v>#NAME?</v>
      </c>
      <c r="H3883" t="e">
        <f ca="1">IMAGE("https://m.media-amazon.com/images/I/51mUxsclMDL._AC_UL320_.jpg")</f>
        <v>#NAME?</v>
      </c>
      <c r="I3883" t="s">
        <v>3419</v>
      </c>
      <c r="J3883">
        <v>37.479999999999997</v>
      </c>
      <c r="K3883" s="2" t="s">
        <v>10739</v>
      </c>
      <c r="L3883">
        <v>5</v>
      </c>
      <c r="M3883">
        <v>5</v>
      </c>
      <c r="O3883" t="s">
        <v>26</v>
      </c>
      <c r="P3883" t="s">
        <v>39</v>
      </c>
      <c r="Q3883" t="s">
        <v>10742</v>
      </c>
    </row>
    <row r="3884" spans="1:17" ht="15.75" x14ac:dyDescent="0.25">
      <c r="A3884" s="3" t="str">
        <f>HYPERLINK("https://shop.sonapharmacy.com/products/reeses-pinworm-medicine-1fl-oz", "https://shop.sonapharmacy.com/products/reeses-pinworm-medicine-1fl-oz")</f>
        <v>https://shop.sonapharmacy.com/products/reeses-pinworm-medicine-1fl-oz</v>
      </c>
      <c r="B3884" s="3" t="str">
        <f>HYPERLINK("https://shop.sonapharmacy.com/products/reeses-pinworm-medicine-1fl-oz", "https://shop.sonapharmacy.com/products/reeses-pinworm-medicine-1fl-oz")</f>
        <v>https://shop.sonapharmacy.com/products/reeses-pinworm-medicine-1fl-oz</v>
      </c>
      <c r="C3884" t="s">
        <v>10743</v>
      </c>
      <c r="D3884" t="s">
        <v>10744</v>
      </c>
      <c r="E3884" s="3" t="str">
        <f>HYPERLINK("https://www.amazon.com/Reeses-Pinworm-Medicine-Packs/dp/B0152EYKBI/ref=sr_1_2?keywords=Reese%27s+Pinworm+Medicine+1fl.+oz.&amp;qid=1695260663&amp;sr=8-2", "https://www.amazon.com/Reeses-Pinworm-Medicine-Packs/dp/B0152EYKBI/ref=sr_1_2?keywords=Reese%27s+Pinworm+Medicine+1fl.+oz.&amp;qid=1695260663&amp;sr=8-2")</f>
        <v>https://www.amazon.com/Reeses-Pinworm-Medicine-Packs/dp/B0152EYKBI/ref=sr_1_2?keywords=Reese%27s+Pinworm+Medicine+1fl.+oz.&amp;qid=1695260663&amp;sr=8-2</v>
      </c>
      <c r="F3884" t="s">
        <v>10745</v>
      </c>
      <c r="G3884" t="e">
        <f ca="1">IMAGE("https://shop.sonapharmacy.com/cdn/shop/products/4c78d44b-f270-4571-8007-84e37f0276dd_1.ef3549c5f8aa132e37d70721ee057514_1.jpg?v=1608144191")</f>
        <v>#NAME?</v>
      </c>
      <c r="H3884" t="e">
        <f ca="1">IMAGE("https://m.media-amazon.com/images/I/71ifc1SeQPL._AC_UL320_.jpg")</f>
        <v>#NAME?</v>
      </c>
      <c r="I3884" t="s">
        <v>9258</v>
      </c>
      <c r="J3884">
        <v>29.9</v>
      </c>
      <c r="K3884" s="2" t="s">
        <v>10746</v>
      </c>
      <c r="L3884">
        <v>4.4000000000000004</v>
      </c>
      <c r="M3884">
        <v>1615</v>
      </c>
      <c r="O3884" t="s">
        <v>26</v>
      </c>
      <c r="P3884" t="s">
        <v>39</v>
      </c>
      <c r="Q3884" t="s">
        <v>10747</v>
      </c>
    </row>
    <row r="3885" spans="1:17" ht="15.75" x14ac:dyDescent="0.25">
      <c r="A3885" s="3" t="str">
        <f>HYPERLINK("https://shop.sonapharmacy.com/products/sunbum%C2%AE-cocobalm-lip-balm", "https://shop.sonapharmacy.com/products/sunbum%C2%AE-cocobalm-lip-balm")</f>
        <v>https://shop.sonapharmacy.com/products/sunbum%C2%AE-cocobalm-lip-balm</v>
      </c>
      <c r="B3885" s="3" t="str">
        <f>HYPERLINK("https://shop.sonapharmacy.com/products/sunbum%c2%ae-cocobalm-lip-balm", "https://shop.sonapharmacy.com/products/sunbum%c2%ae-cocobalm-lip-balm")</f>
        <v>https://shop.sonapharmacy.com/products/sunbum%c2%ae-cocobalm-lip-balm</v>
      </c>
      <c r="C3885" t="s">
        <v>8849</v>
      </c>
      <c r="D3885" t="s">
        <v>10748</v>
      </c>
      <c r="E3885" s="3" t="str">
        <f>HYPERLINK("https://www.amazon.com/Sun-Bum-Cocobalm-Variety-Moisturizing/dp/B08KR78Q1T/ref=sr_1_1?keywords=Sun+Bum%C2%AE+CocoBalm+Lip+Balm&amp;qid=1695260753&amp;sr=8-1", "https://www.amazon.com/Sun-Bum-Cocobalm-Variety-Moisturizing/dp/B08KR78Q1T/ref=sr_1_1?keywords=Sun+Bum%C2%AE+CocoBalm+Lip+Balm&amp;qid=1695260753&amp;sr=8-1")</f>
        <v>https://www.amazon.com/Sun-Bum-Cocobalm-Variety-Moisturizing/dp/B08KR78Q1T/ref=sr_1_1?keywords=Sun+Bum%C2%AE+CocoBalm+Lip+Balm&amp;qid=1695260753&amp;sr=8-1</v>
      </c>
      <c r="F3885" t="s">
        <v>10749</v>
      </c>
      <c r="G3885" t="e">
        <f ca="1">IMAGE("https://shop.sonapharmacy.com/cdn/shop/products/61Ji1GGeIIL._SL1500.jpg?v=1611872841")</f>
        <v>#NAME?</v>
      </c>
      <c r="H3885" t="e">
        <f ca="1">IMAGE("https://m.media-amazon.com/images/I/516VHuQRA2L._AC_UL320_.jpg")</f>
        <v>#NAME?</v>
      </c>
      <c r="I3885" t="s">
        <v>8411</v>
      </c>
      <c r="J3885">
        <v>9.94</v>
      </c>
      <c r="K3885" s="2" t="s">
        <v>10750</v>
      </c>
      <c r="L3885">
        <v>4.5999999999999996</v>
      </c>
      <c r="M3885">
        <v>2144</v>
      </c>
      <c r="O3885" t="s">
        <v>26</v>
      </c>
      <c r="P3885" t="s">
        <v>39</v>
      </c>
      <c r="Q3885" t="s">
        <v>8853</v>
      </c>
    </row>
    <row r="3886" spans="1:17" ht="15.75" x14ac:dyDescent="0.25">
      <c r="A3886" s="3" t="str">
        <f>HYPERLINK("https://shop.sonapharmacy.com/products/aquaphor%C2%AE-healing-ointment", "https://shop.sonapharmacy.com/products/aquaphor%C2%AE-healing-ointment")</f>
        <v>https://shop.sonapharmacy.com/products/aquaphor%C2%AE-healing-ointment</v>
      </c>
      <c r="B3886" s="3" t="str">
        <f>HYPERLINK("https://shop.sonapharmacy.com/products/aquaphor%c2%ae-healing-ointment", "https://shop.sonapharmacy.com/products/aquaphor%c2%ae-healing-ointment")</f>
        <v>https://shop.sonapharmacy.com/products/aquaphor%c2%ae-healing-ointment</v>
      </c>
      <c r="C3886" t="s">
        <v>9238</v>
      </c>
      <c r="D3886" t="s">
        <v>10751</v>
      </c>
      <c r="E3886" s="3" t="str">
        <f>HYPERLINK("https://www.amazon.com/Aquaphor-Healing-Ointment-Moisturizing-Protectant/dp/B006IB5T4W/ref=sr_1_1?keywords=Aquaphor+Healing+Ointment&amp;qid=1695260029&amp;sr=8-1", "https://www.amazon.com/Aquaphor-Healing-Ointment-Moisturizing-Protectant/dp/B006IB5T4W/ref=sr_1_1?keywords=Aquaphor+Healing+Ointment&amp;qid=1695260029&amp;sr=8-1")</f>
        <v>https://www.amazon.com/Aquaphor-Healing-Ointment-Moisturizing-Protectant/dp/B006IB5T4W/ref=sr_1_1?keywords=Aquaphor+Healing+Ointment&amp;qid=1695260029&amp;sr=8-1</v>
      </c>
      <c r="F3886" t="s">
        <v>10752</v>
      </c>
      <c r="G3886" t="e">
        <f ca="1">IMAGE("https://shop.sonapharmacy.com/cdn/shop/products/83663518614618p.jpg?v=1609722179")</f>
        <v>#NAME?</v>
      </c>
      <c r="H3886" t="e">
        <f ca="1">IMAGE("https://m.media-amazon.com/images/I/51L1jOv20hL._AC_UL320_.jpg")</f>
        <v>#NAME?</v>
      </c>
      <c r="I3886" t="s">
        <v>9241</v>
      </c>
      <c r="J3886">
        <v>14.72</v>
      </c>
      <c r="K3886" s="2" t="s">
        <v>10753</v>
      </c>
      <c r="L3886">
        <v>4.8</v>
      </c>
      <c r="M3886">
        <v>70634</v>
      </c>
      <c r="O3886" t="s">
        <v>26</v>
      </c>
      <c r="P3886" t="s">
        <v>39</v>
      </c>
      <c r="Q3886" t="s">
        <v>9243</v>
      </c>
    </row>
    <row r="3887" spans="1:17" ht="15.75" x14ac:dyDescent="0.25">
      <c r="A3887" s="3" t="str">
        <f>HYPERLINK("https://shop.sonapharmacy.com/products/sundown-vitamin-e-oil-2-5fl", "https://shop.sonapharmacy.com/products/sundown-vitamin-e-oil-2-5fl")</f>
        <v>https://shop.sonapharmacy.com/products/sundown-vitamin-e-oil-2-5fl</v>
      </c>
      <c r="B3887" s="3" t="str">
        <f>HYPERLINK("https://shop.sonapharmacy.com/products/sundown-vitamin-e-oil-2-5fl", "https://shop.sonapharmacy.com/products/sundown-vitamin-e-oil-2-5fl")</f>
        <v>https://shop.sonapharmacy.com/products/sundown-vitamin-e-oil-2-5fl</v>
      </c>
      <c r="C3887" t="s">
        <v>8883</v>
      </c>
      <c r="D3887" t="s">
        <v>10754</v>
      </c>
      <c r="E3887" s="3" t="str">
        <f>HYPERLINK("https://www.amazon.com/Sundown-Pure-Vitamin-Oil-000/dp/B00J11LQHK/ref=sr_1_7?keywords=Sundown+Vitamin+E+Oil+2.5fl&amp;qid=1695260741&amp;sr=8-7", "https://www.amazon.com/Sundown-Pure-Vitamin-Oil-000/dp/B00J11LQHK/ref=sr_1_7?keywords=Sundown+Vitamin+E+Oil+2.5fl&amp;qid=1695260741&amp;sr=8-7")</f>
        <v>https://www.amazon.com/Sundown-Pure-Vitamin-Oil-000/dp/B00J11LQHK/ref=sr_1_7?keywords=Sundown+Vitamin+E+Oil+2.5fl&amp;qid=1695260741&amp;sr=8-7</v>
      </c>
      <c r="F3887" t="s">
        <v>10755</v>
      </c>
      <c r="G3887" t="e">
        <f ca="1">IMAGE("https://shop.sonapharmacy.com/cdn/shop/products/b5528557-4aee-4dfe-a2a2-302b5998af18_1.8e7a790b89db2b249d70e2d54929257f.jpg?v=1608242073")</f>
        <v>#NAME?</v>
      </c>
      <c r="H3887" t="e">
        <f ca="1">IMAGE("https://m.media-amazon.com/images/I/617JNIMc+KL._AC_UL320_.jpg")</f>
        <v>#NAME?</v>
      </c>
      <c r="I3887" t="s">
        <v>8886</v>
      </c>
      <c r="J3887">
        <v>22.01</v>
      </c>
      <c r="K3887" s="2" t="s">
        <v>10756</v>
      </c>
      <c r="L3887">
        <v>4.2</v>
      </c>
      <c r="M3887">
        <v>15</v>
      </c>
      <c r="O3887" t="s">
        <v>26</v>
      </c>
      <c r="P3887" t="s">
        <v>39</v>
      </c>
      <c r="Q3887" t="s">
        <v>8888</v>
      </c>
    </row>
    <row r="3888" spans="1:17" ht="15.75" x14ac:dyDescent="0.25">
      <c r="A3888" s="3" t="str">
        <f>HYPERLINK("https://shop.sonapharmacy.com/products/metagenics-coq10-st-100", "https://shop.sonapharmacy.com/products/metagenics-coq10-st-100")</f>
        <v>https://shop.sonapharmacy.com/products/metagenics-coq10-st-100</v>
      </c>
      <c r="B3888" s="3" t="str">
        <f>HYPERLINK("https://shop.sonapharmacy.com/products/metagenics-coq10-st-100", "https://shop.sonapharmacy.com/products/metagenics-coq10-st-100")</f>
        <v>https://shop.sonapharmacy.com/products/metagenics-coq10-st-100</v>
      </c>
      <c r="C3888" t="s">
        <v>10757</v>
      </c>
      <c r="D3888" t="s">
        <v>10758</v>
      </c>
      <c r="E3888" s="3" t="str">
        <f>HYPERLINK("https://www.amazon.com/Metagenics-CoQ10-ST-100-120-softgels/dp/B001F6FIDC/ref=sr_1_4?keywords=Metagenics+CoQ10+ST-100&amp;qid=1695260461&amp;sr=8-4", "https://www.amazon.com/Metagenics-CoQ10-ST-100-120-softgels/dp/B001F6FIDC/ref=sr_1_4?keywords=Metagenics+CoQ10+ST-100&amp;qid=1695260461&amp;sr=8-4")</f>
        <v>https://www.amazon.com/Metagenics-CoQ10-ST-100-120-softgels/dp/B001F6FIDC/ref=sr_1_4?keywords=Metagenics+CoQ10+ST-100&amp;qid=1695260461&amp;sr=8-4</v>
      </c>
      <c r="F3888" t="s">
        <v>10759</v>
      </c>
      <c r="G3888" t="e">
        <f ca="1">IMAGE("https://shop.sonapharmacy.com/cdn/shop/products/ccabd559-90cf-4ade-9938-9635db5c3192-358-358.png?v=1668627545")</f>
        <v>#NAME?</v>
      </c>
      <c r="H3888" t="e">
        <f ca="1">IMAGE("https://m.media-amazon.com/images/I/21kkXXvVSCL._AC_UL320_.jpg")</f>
        <v>#NAME?</v>
      </c>
      <c r="I3888" t="s">
        <v>10760</v>
      </c>
      <c r="J3888">
        <v>159</v>
      </c>
      <c r="K3888" s="2" t="s">
        <v>10761</v>
      </c>
      <c r="L3888">
        <v>4.8</v>
      </c>
      <c r="M3888">
        <v>9</v>
      </c>
      <c r="O3888" t="s">
        <v>26</v>
      </c>
      <c r="P3888" t="s">
        <v>39</v>
      </c>
      <c r="Q3888" t="s">
        <v>10762</v>
      </c>
    </row>
    <row r="3889" spans="1:17" ht="15.75" x14ac:dyDescent="0.25">
      <c r="A3889" s="3" t="str">
        <f>HYPERLINK("https://shop.sonapharmacy.com/products/band-aid-skin-flex-bandage", "https://shop.sonapharmacy.com/products/band-aid-skin-flex-bandage")</f>
        <v>https://shop.sonapharmacy.com/products/band-aid-skin-flex-bandage</v>
      </c>
      <c r="B3889" s="3" t="str">
        <f>HYPERLINK("https://shop.sonapharmacy.com/products/band-aid-skin-flex-bandage", "https://shop.sonapharmacy.com/products/band-aid-skin-flex-bandage")</f>
        <v>https://shop.sonapharmacy.com/products/band-aid-skin-flex-bandage</v>
      </c>
      <c r="C3889" t="s">
        <v>8323</v>
      </c>
      <c r="D3889" t="s">
        <v>10763</v>
      </c>
      <c r="E3889" s="3" t="str">
        <f>HYPERLINK("https://www.amazon.com/Band-Aid-Skin-Flex-Bandages-25-Pack/dp/B074KNCXP7/ref=sr_1_3?keywords=BAND-AID%C2%AE+Skin+Flex+Bandage&amp;qid=1695260066&amp;sr=8-3", "https://www.amazon.com/Band-Aid-Skin-Flex-Bandages-25-Pack/dp/B074KNCXP7/ref=sr_1_3?keywords=BAND-AID%C2%AE+Skin+Flex+Bandage&amp;qid=1695260066&amp;sr=8-3")</f>
        <v>https://www.amazon.com/Band-Aid-Skin-Flex-Bandages-25-Pack/dp/B074KNCXP7/ref=sr_1_3?keywords=BAND-AID%C2%AE+Skin+Flex+Bandage&amp;qid=1695260066&amp;sr=8-3</v>
      </c>
      <c r="F3889" t="s">
        <v>10764</v>
      </c>
      <c r="G3889" t="e">
        <f ca="1">IMAGE("https://shop.sonapharmacy.com/cdn/shop/products/bab_381371183470_band_aid_band-aid_skin-flex_aos_25ct_007.jpg?v=1627748646")</f>
        <v>#NAME?</v>
      </c>
      <c r="H3889" t="e">
        <f ca="1">IMAGE("https://m.media-amazon.com/images/I/71hx3g6jTsL._AC_UL320_.jpg")</f>
        <v>#NAME?</v>
      </c>
      <c r="I3889" t="s">
        <v>8326</v>
      </c>
      <c r="J3889">
        <v>15.65</v>
      </c>
      <c r="K3889" s="2" t="s">
        <v>10765</v>
      </c>
      <c r="L3889">
        <v>4.7</v>
      </c>
      <c r="M3889">
        <v>442</v>
      </c>
      <c r="O3889" t="s">
        <v>26</v>
      </c>
      <c r="P3889" t="s">
        <v>39</v>
      </c>
      <c r="Q3889" t="s">
        <v>8328</v>
      </c>
    </row>
    <row r="3890" spans="1:17" ht="15.75" x14ac:dyDescent="0.25">
      <c r="A3890" s="3" t="str">
        <f>HYPERLINK("https://shop.sonapharmacy.com/products/anbesol%C2%AE-maximum-strength-oral-anesthetic-gel-0-33oz", "https://shop.sonapharmacy.com/products/anbesol%C2%AE-maximum-strength-oral-anesthetic-gel-0-33oz")</f>
        <v>https://shop.sonapharmacy.com/products/anbesol%C2%AE-maximum-strength-oral-anesthetic-gel-0-33oz</v>
      </c>
      <c r="B3890" s="3" t="str">
        <f>HYPERLINK("https://shop.sonapharmacy.com/products/anbesol%c2%ae-maximum-strength-oral-anesthetic-gel-0-33oz", "https://shop.sonapharmacy.com/products/anbesol%c2%ae-maximum-strength-oral-anesthetic-gel-0-33oz")</f>
        <v>https://shop.sonapharmacy.com/products/anbesol%c2%ae-maximum-strength-oral-anesthetic-gel-0-33oz</v>
      </c>
      <c r="C3890" t="s">
        <v>10766</v>
      </c>
      <c r="D3890" t="s">
        <v>10767</v>
      </c>
      <c r="E3890" s="3" t="str">
        <f>HYPERLINK("https://www.amazon.com/Anbesol-Maximum-Strength-0-33-pack/dp/B001G7QNR0/ref=sr_1_2?keywords=Anbesol+Maximum+Strength+Oral+Anesthetic+Gel+0.33oz.&amp;qid=1695260003&amp;sr=8-2", "https://www.amazon.com/Anbesol-Maximum-Strength-0-33-pack/dp/B001G7QNR0/ref=sr_1_2?keywords=Anbesol+Maximum+Strength+Oral+Anesthetic+Gel+0.33oz.&amp;qid=1695260003&amp;sr=8-2")</f>
        <v>https://www.amazon.com/Anbesol-Maximum-Strength-0-33-pack/dp/B001G7QNR0/ref=sr_1_2?keywords=Anbesol+Maximum+Strength+Oral+Anesthetic+Gel+0.33oz.&amp;qid=1695260003&amp;sr=8-2</v>
      </c>
      <c r="F3890" t="s">
        <v>10768</v>
      </c>
      <c r="G3890" t="e">
        <f ca="1">IMAGE("https://shop.sonapharmacy.com/cdn/shop/products/d62ae12c-ddc2-4114-8ba6-82c199cbe5d4.2f9fafb628c11aab46f733a10c5af51e.jpg?v=1608571752")</f>
        <v>#NAME?</v>
      </c>
      <c r="H3890" t="e">
        <f ca="1">IMAGE("https://m.media-amazon.com/images/I/91uCP63fApL._AC_UL320_.jpg")</f>
        <v>#NAME?</v>
      </c>
      <c r="I3890" t="s">
        <v>8096</v>
      </c>
      <c r="J3890">
        <v>22.47</v>
      </c>
      <c r="K3890" s="2" t="s">
        <v>10769</v>
      </c>
      <c r="L3890">
        <v>4.5999999999999996</v>
      </c>
      <c r="M3890">
        <v>55</v>
      </c>
      <c r="O3890" t="s">
        <v>26</v>
      </c>
      <c r="P3890" t="s">
        <v>39</v>
      </c>
      <c r="Q3890" t="s">
        <v>10770</v>
      </c>
    </row>
    <row r="3891" spans="1:17" ht="15.75" x14ac:dyDescent="0.25">
      <c r="A3891" s="3" t="str">
        <f>HYPERLINK("https://shop.sonapharmacy.com/products/solarcaine-cool-aloe-burn-relief-spray-4-5-oz", "https://shop.sonapharmacy.com/products/solarcaine-cool-aloe-burn-relief-spray-4-5-oz")</f>
        <v>https://shop.sonapharmacy.com/products/solarcaine-cool-aloe-burn-relief-spray-4-5-oz</v>
      </c>
      <c r="B3891" s="3" t="str">
        <f>HYPERLINK("https://shop.sonapharmacy.com/products/solarcaine-cool-aloe-burn-relief-spray-4-5-oz", "https://shop.sonapharmacy.com/products/solarcaine-cool-aloe-burn-relief-spray-4-5-oz")</f>
        <v>https://shop.sonapharmacy.com/products/solarcaine-cool-aloe-burn-relief-spray-4-5-oz</v>
      </c>
      <c r="C3891" t="s">
        <v>9646</v>
      </c>
      <c r="D3891" t="s">
        <v>10771</v>
      </c>
      <c r="E3891" s="3" t="str">
        <f>HYPERLINK("https://www.amazon.com/DCH-Labs-Burn-Relief-Spray/dp/B09XC6DWHZ/ref=sr_1_5?keywords=Solarcaine%C2%AE+Cool+Aloe+Burn+Relief+Spray+4.5+oz&amp;qid=1695260731&amp;sr=8-5", "https://www.amazon.com/DCH-Labs-Burn-Relief-Spray/dp/B09XC6DWHZ/ref=sr_1_5?keywords=Solarcaine%C2%AE+Cool+Aloe+Burn+Relief+Spray+4.5+oz&amp;qid=1695260731&amp;sr=8-5")</f>
        <v>https://www.amazon.com/DCH-Labs-Burn-Relief-Spray/dp/B09XC6DWHZ/ref=sr_1_5?keywords=Solarcaine%C2%AE+Cool+Aloe+Burn+Relief+Spray+4.5+oz&amp;qid=1695260731&amp;sr=8-5</v>
      </c>
      <c r="F3891" t="s">
        <v>10772</v>
      </c>
      <c r="G3891" t="e">
        <f ca="1">IMAGE("https://shop.sonapharmacy.com/cdn/shop/products/1609.jpg?v=1607962555")</f>
        <v>#NAME?</v>
      </c>
      <c r="H3891" t="e">
        <f ca="1">IMAGE("https://m.media-amazon.com/images/I/71ji4lyQ02L._AC_UL320_.jpg")</f>
        <v>#NAME?</v>
      </c>
      <c r="I3891" t="s">
        <v>8880</v>
      </c>
      <c r="J3891">
        <v>18.989999999999998</v>
      </c>
      <c r="K3891" s="2" t="s">
        <v>10773</v>
      </c>
      <c r="L3891">
        <v>4.3</v>
      </c>
      <c r="M3891">
        <v>28</v>
      </c>
      <c r="O3891" t="s">
        <v>26</v>
      </c>
      <c r="P3891" t="s">
        <v>39</v>
      </c>
      <c r="Q3891" t="s">
        <v>9650</v>
      </c>
    </row>
    <row r="3892" spans="1:17" ht="15.75" x14ac:dyDescent="0.25">
      <c r="A3892" s="3" t="str">
        <f>HYPERLINK("https://shop.sonapharmacy.com/products/goodsense%C2%AE-iodine-first-aid-antiseptic-liquid", "https://shop.sonapharmacy.com/products/goodsense%C2%AE-iodine-first-aid-antiseptic-liquid")</f>
        <v>https://shop.sonapharmacy.com/products/goodsense%C2%AE-iodine-first-aid-antiseptic-liquid</v>
      </c>
      <c r="B3892" s="3" t="str">
        <f>HYPERLINK("https://shop.sonapharmacy.com/products/goodsense%c2%ae-iodine-first-aid-antiseptic-liquid", "https://shop.sonapharmacy.com/products/goodsense%c2%ae-iodine-first-aid-antiseptic-liquid")</f>
        <v>https://shop.sonapharmacy.com/products/goodsense%c2%ae-iodine-first-aid-antiseptic-liquid</v>
      </c>
      <c r="C3892" t="s">
        <v>10774</v>
      </c>
      <c r="D3892" t="s">
        <v>10775</v>
      </c>
      <c r="E3892" s="3" t="str">
        <f>HYPERLINK("https://www.amazon.com/Betadine-Solution-Povidone-Antiseptic-No-Sting/dp/B002C2O5EQ/ref=sr_1_4?keywords=GoodSense%C2%AE+Iodine+First+Aid+Antiseptic+Liquid&amp;qid=1695260340&amp;sr=8-4", "https://www.amazon.com/Betadine-Solution-Povidone-Antiseptic-No-Sting/dp/B002C2O5EQ/ref=sr_1_4?keywords=GoodSense%C2%AE+Iodine+First+Aid+Antiseptic+Liquid&amp;qid=1695260340&amp;sr=8-4")</f>
        <v>https://www.amazon.com/Betadine-Solution-Povidone-Antiseptic-No-Sting/dp/B002C2O5EQ/ref=sr_1_4?keywords=GoodSense%C2%AE+Iodine+First+Aid+Antiseptic+Liquid&amp;qid=1695260340&amp;sr=8-4</v>
      </c>
      <c r="F3892" t="s">
        <v>10776</v>
      </c>
      <c r="G3892" t="e">
        <f ca="1">IMAGE("https://shop.sonapharmacy.com/cdn/shop/products/079068000864-1_VB__77488.1604790159.jpg?v=1608140791")</f>
        <v>#NAME?</v>
      </c>
      <c r="H3892" t="e">
        <f ca="1">IMAGE("https://m.media-amazon.com/images/I/71R-Q2uQY-L._AC_UL320_.jpg")</f>
        <v>#NAME?</v>
      </c>
      <c r="I3892" t="s">
        <v>8206</v>
      </c>
      <c r="J3892">
        <v>13.29</v>
      </c>
      <c r="K3892" s="2" t="s">
        <v>10777</v>
      </c>
      <c r="L3892">
        <v>4.7</v>
      </c>
      <c r="M3892">
        <v>7188</v>
      </c>
      <c r="O3892" t="s">
        <v>26</v>
      </c>
      <c r="P3892" t="s">
        <v>39</v>
      </c>
      <c r="Q3892" t="s">
        <v>10778</v>
      </c>
    </row>
    <row r="3893" spans="1:17" ht="15.75" x14ac:dyDescent="0.25">
      <c r="A3893" s="3" t="str">
        <f>HYPERLINK("https://shop.sonapharmacy.com/products/apex%C2%AE-glasses-repair-kit", "https://shop.sonapharmacy.com/products/apex%C2%AE-glasses-repair-kit")</f>
        <v>https://shop.sonapharmacy.com/products/apex%C2%AE-glasses-repair-kit</v>
      </c>
      <c r="B3893" s="3" t="str">
        <f>HYPERLINK("https://shop.sonapharmacy.com/products/apex%c2%ae-glasses-repair-kit", "https://shop.sonapharmacy.com/products/apex%c2%ae-glasses-repair-kit")</f>
        <v>https://shop.sonapharmacy.com/products/apex%c2%ae-glasses-repair-kit</v>
      </c>
      <c r="C3893" t="s">
        <v>9610</v>
      </c>
      <c r="D3893" t="s">
        <v>10779</v>
      </c>
      <c r="E3893" s="3" t="str">
        <f>HYPERLINK("https://www.amazon.com/Eyeglasses-Sunglasses-Glasses-Screwdrivers-Tweezer/dp/B0C5JT89H5/ref=sr_1_3?keywords=Apex+Glasses+Repair+Kit&amp;qid=1695260010&amp;sr=8-3", "https://www.amazon.com/Eyeglasses-Sunglasses-Glasses-Screwdrivers-Tweezer/dp/B0C5JT89H5/ref=sr_1_3?keywords=Apex+Glasses+Repair+Kit&amp;qid=1695260010&amp;sr=8-3")</f>
        <v>https://www.amazon.com/Eyeglasses-Sunglasses-Glasses-Screwdrivers-Tweezer/dp/B0C5JT89H5/ref=sr_1_3?keywords=Apex+Glasses+Repair+Kit&amp;qid=1695260010&amp;sr=8-3</v>
      </c>
      <c r="F3893" t="s">
        <v>10780</v>
      </c>
      <c r="G3893" t="e">
        <f ca="1">IMAGE("https://shop.sonapharmacy.com/cdn/shop/products/61DTHhMb4hL._AC_SX679.jpg?v=1609960307")</f>
        <v>#NAME?</v>
      </c>
      <c r="H3893" t="e">
        <f ca="1">IMAGE("https://m.media-amazon.com/images/I/71J+LJba9tL._AC_UL320_.jpg")</f>
        <v>#NAME?</v>
      </c>
      <c r="I3893" t="s">
        <v>9613</v>
      </c>
      <c r="J3893">
        <v>5.99</v>
      </c>
      <c r="K3893" s="2" t="s">
        <v>10781</v>
      </c>
      <c r="L3893">
        <v>4.5</v>
      </c>
      <c r="M3893">
        <v>23</v>
      </c>
      <c r="O3893" t="s">
        <v>26</v>
      </c>
      <c r="P3893" t="s">
        <v>39</v>
      </c>
      <c r="Q3893" t="s">
        <v>9615</v>
      </c>
    </row>
    <row r="3894" spans="1:17" ht="15.75" x14ac:dyDescent="0.25">
      <c r="A3894" s="3" t="str">
        <f>HYPERLINK("https://shop.sonapharmacy.com/products/geri-care%C2%AE-senna-plus-natural-vegetable-laxative-with-stool-softener", "https://shop.sonapharmacy.com/products/geri-care%C2%AE-senna-plus-natural-vegetable-laxative-with-stool-softener")</f>
        <v>https://shop.sonapharmacy.com/products/geri-care%C2%AE-senna-plus-natural-vegetable-laxative-with-stool-softener</v>
      </c>
      <c r="B3894" s="3" t="str">
        <f>HYPERLINK("https://shop.sonapharmacy.com/products/geri-care%c2%ae-senna-plus-natural-vegetable-laxative-with-stool-softener", "https://shop.sonapharmacy.com/products/geri-care%c2%ae-senna-plus-natural-vegetable-laxative-with-stool-softener")</f>
        <v>https://shop.sonapharmacy.com/products/geri-care%c2%ae-senna-plus-natural-vegetable-laxative-with-stool-softener</v>
      </c>
      <c r="C3894" t="s">
        <v>10782</v>
      </c>
      <c r="D3894" t="s">
        <v>10783</v>
      </c>
      <c r="E3894" s="3" t="str">
        <f>HYPERLINK("https://www.amazon.com/Senna-Natural-Vegetable-Laxative-Softener/dp/B00M3EYQPG/ref=sr_1_1?keywords=Geri-Care%C2%AE+Senna+Plus+Natural+Vegetable+Laxative+with+Stool+Softener+100ct.&amp;qid=1695260288&amp;sr=8-1", "https://www.amazon.com/Senna-Natural-Vegetable-Laxative-Softener/dp/B00M3EYQPG/ref=sr_1_1?keywords=Geri-Care%C2%AE+Senna+Plus+Natural+Vegetable+Laxative+with+Stool+Softener+100ct.&amp;qid=1695260288&amp;sr=8-1")</f>
        <v>https://www.amazon.com/Senna-Natural-Vegetable-Laxative-Softener/dp/B00M3EYQPG/ref=sr_1_1?keywords=Geri-Care%C2%AE+Senna+Plus+Natural+Vegetable+Laxative+with+Stool+Softener+100ct.&amp;qid=1695260288&amp;sr=8-1</v>
      </c>
      <c r="F3894" t="s">
        <v>10784</v>
      </c>
      <c r="G3894" t="e">
        <f ca="1">IMAGE("https://shop.sonapharmacy.com/cdn/shop/products/GCSennaPlus.png?v=1606875558")</f>
        <v>#NAME?</v>
      </c>
      <c r="H3894" t="e">
        <f ca="1">IMAGE("https://m.media-amazon.com/images/I/71rS1i2e3-L._AC_UL320_.jpg")</f>
        <v>#NAME?</v>
      </c>
      <c r="I3894" t="s">
        <v>10785</v>
      </c>
      <c r="J3894">
        <v>13.69</v>
      </c>
      <c r="K3894" s="2" t="s">
        <v>10786</v>
      </c>
      <c r="L3894">
        <v>4.5999999999999996</v>
      </c>
      <c r="M3894">
        <v>788</v>
      </c>
      <c r="O3894" t="s">
        <v>26</v>
      </c>
      <c r="P3894" t="s">
        <v>39</v>
      </c>
      <c r="Q3894" t="s">
        <v>10787</v>
      </c>
    </row>
    <row r="3895" spans="1:17" ht="15.75" x14ac:dyDescent="0.25">
      <c r="A3895" s="3" t="str">
        <f>HYPERLINK("https://shop.sonapharmacy.com/products/nizoral%C2%AE-a-d-anti-dandruff-shampoo", "https://shop.sonapharmacy.com/products/nizoral%C2%AE-a-d-anti-dandruff-shampoo")</f>
        <v>https://shop.sonapharmacy.com/products/nizoral%C2%AE-a-d-anti-dandruff-shampoo</v>
      </c>
      <c r="B3895" s="3" t="str">
        <f>HYPERLINK("https://shop.sonapharmacy.com/products/nizoral%c2%ae-a-d-anti-dandruff-shampoo", "https://shop.sonapharmacy.com/products/nizoral%c2%ae-a-d-anti-dandruff-shampoo")</f>
        <v>https://shop.sonapharmacy.com/products/nizoral%c2%ae-a-d-anti-dandruff-shampoo</v>
      </c>
      <c r="C3895" t="s">
        <v>10788</v>
      </c>
      <c r="D3895" t="s">
        <v>10789</v>
      </c>
      <c r="E3895" s="3" t="str">
        <f>HYPERLINK("https://www.amazon.com/Nizoral-Ketoconazole-Anti-Dandruff-Shampoo-Pack/dp/B016BPOAJE/ref=sr_1_6?keywords=NIZORAL%C2%AE+Ketoconazole+Anti-Dandruff+Shampoo+7fl.+oz.&amp;qid=1695260573&amp;sr=8-6", "https://www.amazon.com/Nizoral-Ketoconazole-Anti-Dandruff-Shampoo-Pack/dp/B016BPOAJE/ref=sr_1_6?keywords=NIZORAL%C2%AE+Ketoconazole+Anti-Dandruff+Shampoo+7fl.+oz.&amp;qid=1695260573&amp;sr=8-6")</f>
        <v>https://www.amazon.com/Nizoral-Ketoconazole-Anti-Dandruff-Shampoo-Pack/dp/B016BPOAJE/ref=sr_1_6?keywords=NIZORAL%C2%AE+Ketoconazole+Anti-Dandruff+Shampoo+7fl.+oz.&amp;qid=1695260573&amp;sr=8-6</v>
      </c>
      <c r="F3895" t="s">
        <v>10790</v>
      </c>
      <c r="G3895" t="e">
        <f ca="1">IMAGE("https://shop.sonapharmacy.com/cdn/shop/products/d8f2dec0-d8e5-4461-a927-c5297185b080_1.f728d50277a8c3cfa056b6f5edf70279.jpg?v=1609101986")</f>
        <v>#NAME?</v>
      </c>
      <c r="H3895" t="e">
        <f ca="1">IMAGE("https://m.media-amazon.com/images/I/71aEaV8dSmL._AC_UL320_.jpg")</f>
        <v>#NAME?</v>
      </c>
      <c r="I3895" t="s">
        <v>6086</v>
      </c>
      <c r="J3895">
        <v>50.94</v>
      </c>
      <c r="K3895" s="2" t="s">
        <v>10791</v>
      </c>
      <c r="L3895">
        <v>4.7</v>
      </c>
      <c r="M3895">
        <v>9441</v>
      </c>
      <c r="O3895" t="s">
        <v>26</v>
      </c>
      <c r="P3895" t="s">
        <v>39</v>
      </c>
      <c r="Q3895" t="s">
        <v>10792</v>
      </c>
    </row>
    <row r="3896" spans="1:17" ht="15.75" x14ac:dyDescent="0.25">
      <c r="A3896" s="3" t="str">
        <f>HYPERLINK("https://shop.sonapharmacy.com/products/goodsense%C2%AE-instant-ice-compress", "https://shop.sonapharmacy.com/products/goodsense%C2%AE-instant-ice-compress")</f>
        <v>https://shop.sonapharmacy.com/products/goodsense%C2%AE-instant-ice-compress</v>
      </c>
      <c r="B3896" s="3" t="str">
        <f>HYPERLINK("https://shop.sonapharmacy.com/products/goodsense%c2%ae-instant-ice-compress", "https://shop.sonapharmacy.com/products/goodsense%c2%ae-instant-ice-compress")</f>
        <v>https://shop.sonapharmacy.com/products/goodsense%c2%ae-instant-ice-compress</v>
      </c>
      <c r="C3896" t="s">
        <v>8352</v>
      </c>
      <c r="D3896" t="s">
        <v>10793</v>
      </c>
      <c r="E3896" s="3" t="str">
        <f>HYPERLINK("https://www.amazon.com/Ever-Ready-First-Aid-Disposable/dp/B0942FZRKP/ref=sr_1_5?keywords=GoodSense%C2%AE+Instant+Ice+Compress&amp;qid=1695260355&amp;sr=8-5", "https://www.amazon.com/Ever-Ready-First-Aid-Disposable/dp/B0942FZRKP/ref=sr_1_5?keywords=GoodSense%C2%AE+Instant+Ice+Compress&amp;qid=1695260355&amp;sr=8-5")</f>
        <v>https://www.amazon.com/Ever-Ready-First-Aid-Disposable/dp/B0942FZRKP/ref=sr_1_5?keywords=GoodSense%C2%AE+Instant+Ice+Compress&amp;qid=1695260355&amp;sr=8-5</v>
      </c>
      <c r="F3896" t="s">
        <v>10794</v>
      </c>
      <c r="G3896" t="e">
        <f ca="1">IMAGE("https://shop.sonapharmacy.com/cdn/shop/products/large_c74b53f8-f838-43e3-afb8-f2daf7fd0c4e.jpg?v=1607958159")</f>
        <v>#NAME?</v>
      </c>
      <c r="H3896" t="e">
        <f ca="1">IMAGE("https://m.media-amazon.com/images/I/71AHtGggE6S._AC_UL320_.jpg")</f>
        <v>#NAME?</v>
      </c>
      <c r="I3896" t="s">
        <v>8355</v>
      </c>
      <c r="J3896">
        <v>7.95</v>
      </c>
      <c r="K3896" s="2" t="s">
        <v>10795</v>
      </c>
      <c r="L3896">
        <v>4.2</v>
      </c>
      <c r="M3896">
        <v>1663</v>
      </c>
      <c r="O3896" t="s">
        <v>26</v>
      </c>
      <c r="P3896" t="s">
        <v>39</v>
      </c>
      <c r="Q3896" t="s">
        <v>8357</v>
      </c>
    </row>
    <row r="3897" spans="1:17" ht="15.75" x14ac:dyDescent="0.25">
      <c r="A3897" s="3" t="str">
        <f>HYPERLINK("https://shop.sonapharmacy.com/products/dove%C2%AE-cucumber-and-green-tea-soap-2pck", "https://shop.sonapharmacy.com/products/dove%C2%AE-cucumber-and-green-tea-soap-2pck")</f>
        <v>https://shop.sonapharmacy.com/products/dove%C2%AE-cucumber-and-green-tea-soap-2pck</v>
      </c>
      <c r="B3897" s="3" t="str">
        <f>HYPERLINK("https://shop.sonapharmacy.com/products/dove%c2%ae-cucumber-and-green-tea-soap-2pck", "https://shop.sonapharmacy.com/products/dove%c2%ae-cucumber-and-green-tea-soap-2pck")</f>
        <v>https://shop.sonapharmacy.com/products/dove%c2%ae-cucumber-and-green-tea-soap-2pck</v>
      </c>
      <c r="C3897" t="s">
        <v>8995</v>
      </c>
      <c r="D3897" t="s">
        <v>10796</v>
      </c>
      <c r="E3897" s="3" t="str">
        <f>HYPERLINK("https://www.amazon.com/Dove-Beauty-Softer-Cucumber-Moisturizing/dp/B08LM864R5/ref=sr_1_3?keywords=Dove%C2%AE+Cucumber+and+Green+Tea+Soap+2pck.&amp;qid=1695260197&amp;sr=8-3", "https://www.amazon.com/Dove-Beauty-Softer-Cucumber-Moisturizing/dp/B08LM864R5/ref=sr_1_3?keywords=Dove%C2%AE+Cucumber+and+Green+Tea+Soap+2pck.&amp;qid=1695260197&amp;sr=8-3")</f>
        <v>https://www.amazon.com/Dove-Beauty-Softer-Cucumber-Moisturizing/dp/B08LM864R5/ref=sr_1_3?keywords=Dove%C2%AE+Cucumber+and+Green+Tea+Soap+2pck.&amp;qid=1695260197&amp;sr=8-3</v>
      </c>
      <c r="F3897" t="s">
        <v>10797</v>
      </c>
      <c r="G3897" t="e">
        <f ca="1">IMAGE("https://shop.sonapharmacy.com/cdn/shop/products/71Zl1fG85wL._SL1500.jpg?v=1639931743")</f>
        <v>#NAME?</v>
      </c>
      <c r="H3897" t="e">
        <f ca="1">IMAGE("https://m.media-amazon.com/images/I/71P6h4i-EHL._AC_UL320_.jpg")</f>
        <v>#NAME?</v>
      </c>
      <c r="I3897" t="s">
        <v>8998</v>
      </c>
      <c r="J3897">
        <v>13.98</v>
      </c>
      <c r="K3897" s="2" t="s">
        <v>10798</v>
      </c>
      <c r="L3897">
        <v>4.8</v>
      </c>
      <c r="M3897">
        <v>18883</v>
      </c>
      <c r="O3897" t="s">
        <v>136</v>
      </c>
      <c r="P3897" t="s">
        <v>39</v>
      </c>
      <c r="Q3897" t="s">
        <v>9000</v>
      </c>
    </row>
    <row r="3898" spans="1:17" ht="15.75" x14ac:dyDescent="0.25">
      <c r="A3898" s="3" t="str">
        <f>HYPERLINK("https://shop.sonapharmacy.com/products/mueller%C2%AE-tennis-elbow-support-one-size", "https://shop.sonapharmacy.com/products/mueller%C2%AE-tennis-elbow-support-one-size")</f>
        <v>https://shop.sonapharmacy.com/products/mueller%C2%AE-tennis-elbow-support-one-size</v>
      </c>
      <c r="B3898" s="3" t="str">
        <f>HYPERLINK("https://shop.sonapharmacy.com/products/mueller%c2%ae-tennis-elbow-support-one-size", "https://shop.sonapharmacy.com/products/mueller%c2%ae-tennis-elbow-support-one-size")</f>
        <v>https://shop.sonapharmacy.com/products/mueller%c2%ae-tennis-elbow-support-one-size</v>
      </c>
      <c r="C3898" t="s">
        <v>10799</v>
      </c>
      <c r="D3898" t="s">
        <v>10800</v>
      </c>
      <c r="E3898" s="3" t="str">
        <f>HYPERLINK("https://www.amazon.com/Mueller-Sport-Tennis-Support-6341-1/dp/B00E4MQP1S/ref=sr_1_5?keywords=Mueller%C2%AE+Tennis+Elbow+Support+One+Size&amp;qid=1695260546&amp;sr=8-5", "https://www.amazon.com/Mueller-Sport-Tennis-Support-6341-1/dp/B00E4MQP1S/ref=sr_1_5?keywords=Mueller%C2%AE+Tennis+Elbow+Support+One+Size&amp;qid=1695260546&amp;sr=8-5")</f>
        <v>https://www.amazon.com/Mueller-Sport-Tennis-Support-6341-1/dp/B00E4MQP1S/ref=sr_1_5?keywords=Mueller%C2%AE+Tennis+Elbow+Support+One+Size&amp;qid=1695260546&amp;sr=8-5</v>
      </c>
      <c r="F3898" t="s">
        <v>10801</v>
      </c>
      <c r="G3898" t="e">
        <f ca="1">IMAGE("https://shop.sonapharmacy.com/cdn/shop/products/e185fb8e-8c56-567a-8c68-978b95b8d194_800x_864b98f0-5feb-4d46-84fd-45e380a93c55.png?v=1609866379")</f>
        <v>#NAME?</v>
      </c>
      <c r="H3898" t="e">
        <f ca="1">IMAGE("https://m.media-amazon.com/images/I/3119xhWsdLL._AC_UL320_.jpg")</f>
        <v>#NAME?</v>
      </c>
      <c r="I3898" t="s">
        <v>10802</v>
      </c>
      <c r="J3898">
        <v>27.81</v>
      </c>
      <c r="K3898" s="2" t="s">
        <v>10803</v>
      </c>
      <c r="L3898">
        <v>5</v>
      </c>
      <c r="M3898">
        <v>2</v>
      </c>
      <c r="O3898" t="s">
        <v>26</v>
      </c>
      <c r="P3898" t="s">
        <v>39</v>
      </c>
      <c r="Q3898" t="s">
        <v>10804</v>
      </c>
    </row>
    <row r="3899" spans="1:17" ht="15.75" x14ac:dyDescent="0.25">
      <c r="A3899" s="3" t="str">
        <f>HYPERLINK("https://shop.sonapharmacy.com/products/apex%C2%AE-soft-foam-ear-plugs-4-pairs", "https://shop.sonapharmacy.com/products/apex%C2%AE-soft-foam-ear-plugs-4-pairs")</f>
        <v>https://shop.sonapharmacy.com/products/apex%C2%AE-soft-foam-ear-plugs-4-pairs</v>
      </c>
      <c r="B3899" s="3" t="str">
        <f>HYPERLINK("https://shop.sonapharmacy.com/products/apex%c2%ae-soft-foam-ear-plugs-4-pairs", "https://shop.sonapharmacy.com/products/apex%c2%ae-soft-foam-ear-plugs-4-pairs")</f>
        <v>https://shop.sonapharmacy.com/products/apex%c2%ae-soft-foam-ear-plugs-4-pairs</v>
      </c>
      <c r="C3899" t="s">
        <v>10471</v>
      </c>
      <c r="D3899" t="s">
        <v>10805</v>
      </c>
      <c r="E3899" s="3" t="str">
        <f>HYPERLINK("https://www.amazon.com/LYSIAN-Earplugs-Disposable-Cancelling-Industrial/dp/B0C6Q9B78C/ref=sr_1_3?keywords=Apex+Soft+Foam+Ear+Plugs+-+4+Pairs&amp;qid=1695260025&amp;sr=8-3", "https://www.amazon.com/LYSIAN-Earplugs-Disposable-Cancelling-Industrial/dp/B0C6Q9B78C/ref=sr_1_3?keywords=Apex+Soft+Foam+Ear+Plugs+-+4+Pairs&amp;qid=1695260025&amp;sr=8-3")</f>
        <v>https://www.amazon.com/LYSIAN-Earplugs-Disposable-Cancelling-Industrial/dp/B0C6Q9B78C/ref=sr_1_3?keywords=Apex+Soft+Foam+Ear+Plugs+-+4+Pairs&amp;qid=1695260025&amp;sr=8-3</v>
      </c>
      <c r="F3899" t="s">
        <v>10806</v>
      </c>
      <c r="G3899" t="e">
        <f ca="1">IMAGE("https://shop.sonapharmacy.com/cdn/shop/products/61Z0lzeE_zL._AC_SX466.jpg?v=1609960681")</f>
        <v>#NAME?</v>
      </c>
      <c r="H3899" t="e">
        <f ca="1">IMAGE("https://m.media-amazon.com/images/I/61YtUo817aL._AC_UL320_.jpg")</f>
        <v>#NAME?</v>
      </c>
      <c r="I3899" t="s">
        <v>10474</v>
      </c>
      <c r="J3899">
        <v>8.89</v>
      </c>
      <c r="K3899" s="2" t="s">
        <v>10807</v>
      </c>
      <c r="L3899">
        <v>4.4000000000000004</v>
      </c>
      <c r="M3899">
        <v>9802</v>
      </c>
      <c r="O3899" t="s">
        <v>26</v>
      </c>
      <c r="P3899" t="s">
        <v>39</v>
      </c>
      <c r="Q3899" t="s">
        <v>10476</v>
      </c>
    </row>
    <row r="3900" spans="1:17" ht="15.75" x14ac:dyDescent="0.25">
      <c r="A3900" s="3" t="str">
        <f>HYPERLINK("https://shop.sonapharmacy.com/products/cetaphil-moisturizing-lotion-8-fl-oz", "https://shop.sonapharmacy.com/products/cetaphil-moisturizing-lotion-8-fl-oz")</f>
        <v>https://shop.sonapharmacy.com/products/cetaphil-moisturizing-lotion-8-fl-oz</v>
      </c>
      <c r="B3900" s="3" t="str">
        <f>HYPERLINK("https://shop.sonapharmacy.com/products/cetaphil-moisturizing-lotion-8-fl-oz", "https://shop.sonapharmacy.com/products/cetaphil-moisturizing-lotion-8-fl-oz")</f>
        <v>https://shop.sonapharmacy.com/products/cetaphil-moisturizing-lotion-8-fl-oz</v>
      </c>
      <c r="C3900" t="s">
        <v>10808</v>
      </c>
      <c r="D3900" t="s">
        <v>10809</v>
      </c>
      <c r="E3900" s="3" t="str">
        <f>HYPERLINK("https://www.amazon.com/Cetaphil-Moisturizing-Lotion-Types-Fragrance/dp/B0057OLUGM/ref=sr_1_4?keywords=Cetaphil+Moisturizing+Lotion+8+fl+oz&amp;qid=1695260122&amp;sr=8-4", "https://www.amazon.com/Cetaphil-Moisturizing-Lotion-Types-Fragrance/dp/B0057OLUGM/ref=sr_1_4?keywords=Cetaphil+Moisturizing+Lotion+8+fl+oz&amp;qid=1695260122&amp;sr=8-4")</f>
        <v>https://www.amazon.com/Cetaphil-Moisturizing-Lotion-Types-Fragrance/dp/B0057OLUGM/ref=sr_1_4?keywords=Cetaphil+Moisturizing+Lotion+8+fl+oz&amp;qid=1695260122&amp;sr=8-4</v>
      </c>
      <c r="F3900" t="s">
        <v>10810</v>
      </c>
      <c r="G3900" t="e">
        <f ca="1">IMAGE("https://shop.sonapharmacy.com/cdn/shop/files/Sona-Shop-banner2_0c7162f3-c367-451d-8193-c2967a0e8d8e.jpg?v=1614290083")</f>
        <v>#NAME?</v>
      </c>
      <c r="H3900" t="e">
        <f ca="1">IMAGE("https://m.media-amazon.com/images/I/511V6olf8VL._AC_UL320_.jpg")</f>
        <v>#NAME?</v>
      </c>
      <c r="I3900" t="s">
        <v>10322</v>
      </c>
      <c r="J3900">
        <v>28.82</v>
      </c>
      <c r="K3900" s="2" t="s">
        <v>10811</v>
      </c>
      <c r="L3900">
        <v>4.5</v>
      </c>
      <c r="M3900">
        <v>7</v>
      </c>
      <c r="O3900" t="s">
        <v>26</v>
      </c>
      <c r="P3900" t="s">
        <v>39</v>
      </c>
      <c r="Q3900" t="s">
        <v>10812</v>
      </c>
    </row>
    <row r="3901" spans="1:17" ht="15.75" x14ac:dyDescent="0.25">
      <c r="A3901" s="3" t="str">
        <f>HYPERLINK("https://shop.sonapharmacy.com/products/oral-b%C2%AE-indicator-color-collection-toothbrush", "https://shop.sonapharmacy.com/products/oral-b%C2%AE-indicator-color-collection-toothbrush")</f>
        <v>https://shop.sonapharmacy.com/products/oral-b%C2%AE-indicator-color-collection-toothbrush</v>
      </c>
      <c r="B3901" s="3" t="str">
        <f>HYPERLINK("https://shop.sonapharmacy.com/products/oral-b%c2%ae-indicator-color-collection-toothbrush", "https://shop.sonapharmacy.com/products/oral-b%c2%ae-indicator-color-collection-toothbrush")</f>
        <v>https://shop.sonapharmacy.com/products/oral-b%c2%ae-indicator-color-collection-toothbrush</v>
      </c>
      <c r="C3901" t="s">
        <v>10813</v>
      </c>
      <c r="D3901" t="s">
        <v>10814</v>
      </c>
      <c r="E3901" s="3" t="str">
        <f>HYPERLINK("https://www.amazon.com/Oral-B-532037-Indicator-Soft-Toothbrush/dp/B000QJ93OO/ref=sr_1_3?keywords=Oral+B%C2%AE+Indicator+Color+Collection+Toothbrush&amp;qid=1695260620&amp;sr=8-3", "https://www.amazon.com/Oral-B-532037-Indicator-Soft-Toothbrush/dp/B000QJ93OO/ref=sr_1_3?keywords=Oral+B%C2%AE+Indicator+Color+Collection+Toothbrush&amp;qid=1695260620&amp;sr=8-3")</f>
        <v>https://www.amazon.com/Oral-B-532037-Indicator-Soft-Toothbrush/dp/B000QJ93OO/ref=sr_1_3?keywords=Oral+B%C2%AE+Indicator+Color+Collection+Toothbrush&amp;qid=1695260620&amp;sr=8-3</v>
      </c>
      <c r="F3901" t="s">
        <v>10815</v>
      </c>
      <c r="G3901" t="e">
        <f ca="1">IMAGE("https://shop.sonapharmacy.com/cdn/shop/products/ea6566ae-7c35-4b2a-98ae-dda59c4311a5_1.bbd0b5b6b7f3d72c3738494ffd15fb43_1.jpg?v=1610052429")</f>
        <v>#NAME?</v>
      </c>
      <c r="H3901" t="e">
        <f ca="1">IMAGE("https://m.media-amazon.com/images/I/51tCIeYdiiL._AC_UL320_.jpg")</f>
        <v>#NAME?</v>
      </c>
      <c r="I3901" t="s">
        <v>8034</v>
      </c>
      <c r="J3901">
        <v>7.55</v>
      </c>
      <c r="K3901" s="2" t="s">
        <v>10816</v>
      </c>
      <c r="L3901">
        <v>4.5</v>
      </c>
      <c r="M3901">
        <v>361</v>
      </c>
      <c r="O3901" t="s">
        <v>26</v>
      </c>
      <c r="P3901" t="s">
        <v>39</v>
      </c>
      <c r="Q3901" t="s">
        <v>10817</v>
      </c>
    </row>
    <row r="3902" spans="1:17" ht="15.75" x14ac:dyDescent="0.25">
      <c r="A3902" s="3" t="str">
        <f>HYPERLINK("https://shop.sonapharmacy.com/products/pedia-lax-liquid-glycerin-suppositories", "https://shop.sonapharmacy.com/products/pedia-lax-liquid-glycerin-suppositories")</f>
        <v>https://shop.sonapharmacy.com/products/pedia-lax-liquid-glycerin-suppositories</v>
      </c>
      <c r="B3902" s="3" t="str">
        <f>HYPERLINK("https://shop.sonapharmacy.com/products/pedia-lax-liquid-glycerin-suppositories", "https://shop.sonapharmacy.com/products/pedia-lax-liquid-glycerin-suppositories")</f>
        <v>https://shop.sonapharmacy.com/products/pedia-lax-liquid-glycerin-suppositories</v>
      </c>
      <c r="C3902" t="s">
        <v>8340</v>
      </c>
      <c r="D3902" t="s">
        <v>8454</v>
      </c>
      <c r="E3902" s="3" t="str">
        <f>HYPERLINK("https://www.amazon.com/Pedia-Lax-Glycerin-Suppositories-Constipation-Applicators/dp/B002ZG8HAM/ref=sr_1_3?keywords=Pedia-Lax%C2%AE+Liquid+Glycerin+Suppositories&amp;qid=1695260624&amp;sr=8-3", "https://www.amazon.com/Pedia-Lax-Glycerin-Suppositories-Constipation-Applicators/dp/B002ZG8HAM/ref=sr_1_3?keywords=Pedia-Lax%C2%AE+Liquid+Glycerin+Suppositories&amp;qid=1695260624&amp;sr=8-3")</f>
        <v>https://www.amazon.com/Pedia-Lax-Glycerin-Suppositories-Constipation-Applicators/dp/B002ZG8HAM/ref=sr_1_3?keywords=Pedia-Lax%C2%AE+Liquid+Glycerin+Suppositories&amp;qid=1695260624&amp;sr=8-3</v>
      </c>
      <c r="F3902" t="s">
        <v>8455</v>
      </c>
      <c r="G3902" t="e">
        <f ca="1">IMAGE("https://shop.sonapharmacy.com/cdn/shop/products/PediaLaxSuppository.png?v=1606852444")</f>
        <v>#NAME?</v>
      </c>
      <c r="H3902" t="e">
        <f ca="1">IMAGE("https://m.media-amazon.com/images/I/71fe6UVAPdL._AC_UL320_.jpg")</f>
        <v>#NAME?</v>
      </c>
      <c r="I3902" t="s">
        <v>8341</v>
      </c>
      <c r="J3902">
        <v>20.7</v>
      </c>
      <c r="K3902" s="2" t="s">
        <v>10818</v>
      </c>
      <c r="L3902">
        <v>4.8</v>
      </c>
      <c r="M3902">
        <v>1065</v>
      </c>
      <c r="O3902" t="s">
        <v>26</v>
      </c>
      <c r="P3902" t="s">
        <v>39</v>
      </c>
      <c r="Q3902" t="s">
        <v>8343</v>
      </c>
    </row>
    <row r="3903" spans="1:17" ht="15.75" x14ac:dyDescent="0.25">
      <c r="A3903" s="3" t="str">
        <f>HYPERLINK("https://shop.sonapharmacy.com/products/arrid%E2%84%A2-extra-extra-dry%E2%84%A2-ultra-fresh-aerosol-deodorant-6oz", "https://shop.sonapharmacy.com/products/arrid%E2%84%A2-extra-extra-dry%E2%84%A2-ultra-fresh-aerosol-deodorant-6oz")</f>
        <v>https://shop.sonapharmacy.com/products/arrid%E2%84%A2-extra-extra-dry%E2%84%A2-ultra-fresh-aerosol-deodorant-6oz</v>
      </c>
      <c r="B3903" s="3" t="str">
        <f>HYPERLINK("https://shop.sonapharmacy.com/products/arrid%e2%84%a2-extra-extra-dry%e2%84%a2-ultra-fresh-aerosol-deodorant-6oz", "https://shop.sonapharmacy.com/products/arrid%e2%84%a2-extra-extra-dry%e2%84%a2-ultra-fresh-aerosol-deodorant-6oz")</f>
        <v>https://shop.sonapharmacy.com/products/arrid%e2%84%a2-extra-extra-dry%e2%84%a2-ultra-fresh-aerosol-deodorant-6oz</v>
      </c>
      <c r="C3903" t="s">
        <v>10819</v>
      </c>
      <c r="D3903" t="s">
        <v>10820</v>
      </c>
      <c r="E3903" s="3" t="str">
        <f>HYPERLINK("https://www.amazon.com/Arrid-Clr-U-Extra-Aerosol-Deodorant/dp/B01IADVLYW/ref=sr_1_9?keywords=ARRID+Extra+Extra+Dry+Ultra+Fresh+Aerosol+Deodorant+6oz.&amp;qid=1695260023&amp;sr=8-9", "https://www.amazon.com/Arrid-Clr-U-Extra-Aerosol-Deodorant/dp/B01IADVLYW/ref=sr_1_9?keywords=ARRID+Extra+Extra+Dry+Ultra+Fresh+Aerosol+Deodorant+6oz.&amp;qid=1695260023&amp;sr=8-9")</f>
        <v>https://www.amazon.com/Arrid-Clr-U-Extra-Aerosol-Deodorant/dp/B01IADVLYW/ref=sr_1_9?keywords=ARRID+Extra+Extra+Dry+Ultra+Fresh+Aerosol+Deodorant+6oz.&amp;qid=1695260023&amp;sr=8-9</v>
      </c>
      <c r="F3903" t="s">
        <v>10821</v>
      </c>
      <c r="G3903" t="e">
        <f ca="1">IMAGE("https://shop.sonapharmacy.com/cdn/shop/products/718BtHVNUzL._SL1500.jpg?v=1609098924")</f>
        <v>#NAME?</v>
      </c>
      <c r="H3903" t="e">
        <f ca="1">IMAGE("https://m.media-amazon.com/images/I/71Vee0ly7PL._AC_UL320_.jpg")</f>
        <v>#NAME?</v>
      </c>
      <c r="I3903" t="s">
        <v>10303</v>
      </c>
      <c r="J3903">
        <v>16.53</v>
      </c>
      <c r="K3903" s="2" t="s">
        <v>10822</v>
      </c>
      <c r="L3903">
        <v>5</v>
      </c>
      <c r="M3903">
        <v>2</v>
      </c>
      <c r="O3903" t="s">
        <v>26</v>
      </c>
      <c r="P3903" t="s">
        <v>39</v>
      </c>
      <c r="Q3903" t="s">
        <v>10823</v>
      </c>
    </row>
    <row r="3904" spans="1:17" ht="15.75" x14ac:dyDescent="0.25">
      <c r="A3904"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B3904"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C3904" t="s">
        <v>9018</v>
      </c>
      <c r="D3904" t="s">
        <v>10824</v>
      </c>
      <c r="E3904" s="3" t="str">
        <f>HYPERLINK("https://www.amazon.com/Degree-Shower-Protection-Antiperspirant-Deodorant/dp/B01IAF0V3M/ref=sr_1_1?keywords=Degree%C2%AE+Shower+Clean+Dry+Protection+Antiperspirant+Deodorant+Stick&amp;qid=1695260181&amp;sr=8-1", "https://www.amazon.com/Degree-Shower-Protection-Antiperspirant-Deodorant/dp/B01IAF0V3M/ref=sr_1_1?keywords=Degree%C2%AE+Shower+Clean+Dry+Protection+Antiperspirant+Deodorant+Stick&amp;qid=1695260181&amp;sr=8-1")</f>
        <v>https://www.amazon.com/Degree-Shower-Protection-Antiperspirant-Deodorant/dp/B01IAF0V3M/ref=sr_1_1?keywords=Degree%C2%AE+Shower+Clean+Dry+Protection+Antiperspirant+Deodorant+Stick&amp;qid=1695260181&amp;sr=8-1</v>
      </c>
      <c r="F3904" t="s">
        <v>10825</v>
      </c>
      <c r="G3904" t="e">
        <f ca="1">IMAGE("https://shop.sonapharmacy.com/cdn/shop/products/DegreeShowerFront.png?v=1607052182")</f>
        <v>#NAME?</v>
      </c>
      <c r="H3904" t="e">
        <f ca="1">IMAGE("https://m.media-amazon.com/images/I/61PrLDC5qVL._AC_UL320_.jpg")</f>
        <v>#NAME?</v>
      </c>
      <c r="I3904" t="s">
        <v>8264</v>
      </c>
      <c r="J3904">
        <v>11.99</v>
      </c>
      <c r="K3904" s="2" t="s">
        <v>10826</v>
      </c>
      <c r="L3904">
        <v>4.7</v>
      </c>
      <c r="M3904">
        <v>14</v>
      </c>
      <c r="O3904" t="s">
        <v>26</v>
      </c>
      <c r="P3904" t="s">
        <v>39</v>
      </c>
      <c r="Q3904" t="s">
        <v>9022</v>
      </c>
    </row>
    <row r="3905" spans="1:17" ht="15.75" x14ac:dyDescent="0.25">
      <c r="A3905" s="3" t="str">
        <f>HYPERLINK("https://shop.sonapharmacy.com/products/fergon-high-potency-iron-supplement-tablets", "https://shop.sonapharmacy.com/products/fergon-high-potency-iron-supplement-tablets")</f>
        <v>https://shop.sonapharmacy.com/products/fergon-high-potency-iron-supplement-tablets</v>
      </c>
      <c r="B3905" s="3" t="str">
        <f>HYPERLINK("https://shop.sonapharmacy.com/products/fergon-high-potency-iron-supplement-tablets", "https://shop.sonapharmacy.com/products/fergon-high-potency-iron-supplement-tablets")</f>
        <v>https://shop.sonapharmacy.com/products/fergon-high-potency-iron-supplement-tablets</v>
      </c>
      <c r="C3905" t="s">
        <v>10827</v>
      </c>
      <c r="D3905" t="s">
        <v>10828</v>
      </c>
      <c r="E3905" s="3" t="str">
        <f>HYPERLINK("https://www.amazon.com/Fergon-High-Potency-Supplement-Tablets/dp/B01FXW8G32/ref=sr_1_1?keywords=Fergon%C2%AE+High+Potency+Iron+Supplement+Tablets&amp;qid=1695260232&amp;sr=8-1", "https://www.amazon.com/Fergon-High-Potency-Supplement-Tablets/dp/B01FXW8G32/ref=sr_1_1?keywords=Fergon%C2%AE+High+Potency+Iron+Supplement+Tablets&amp;qid=1695260232&amp;sr=8-1")</f>
        <v>https://www.amazon.com/Fergon-High-Potency-Supplement-Tablets/dp/B01FXW8G32/ref=sr_1_1?keywords=Fergon%C2%AE+High+Potency+Iron+Supplement+Tablets&amp;qid=1695260232&amp;sr=8-1</v>
      </c>
      <c r="F3905" t="s">
        <v>10829</v>
      </c>
      <c r="G3905" t="e">
        <f ca="1">IMAGE("https://shop.sonapharmacy.com/cdn/shop/products/FergonHighPotencyIronSupplementTabletsFergonHighPotencyIronSupplementTablets.jpg?v=1595010428")</f>
        <v>#NAME?</v>
      </c>
      <c r="H3905" t="e">
        <f ca="1">IMAGE("https://m.media-amazon.com/images/I/31hjWbXsF-L._AC_UL320_.jpg")</f>
        <v>#NAME?</v>
      </c>
      <c r="I3905" t="s">
        <v>9258</v>
      </c>
      <c r="J3905">
        <v>29.13</v>
      </c>
      <c r="K3905" s="2" t="s">
        <v>10830</v>
      </c>
      <c r="L3905">
        <v>4.8</v>
      </c>
      <c r="M3905">
        <v>46</v>
      </c>
      <c r="O3905" t="s">
        <v>26</v>
      </c>
      <c r="P3905" t="s">
        <v>39</v>
      </c>
      <c r="Q3905" t="s">
        <v>10831</v>
      </c>
    </row>
    <row r="3906" spans="1:17" ht="15.75" x14ac:dyDescent="0.25">
      <c r="A3906" s="3" t="str">
        <f>HYPERLINK("https://shop.sonapharmacy.com/products/bag-balm%C2%AE-hand-body-skin-moisturizer", "https://shop.sonapharmacy.com/products/bag-balm%C2%AE-hand-body-skin-moisturizer")</f>
        <v>https://shop.sonapharmacy.com/products/bag-balm%C2%AE-hand-body-skin-moisturizer</v>
      </c>
      <c r="B3906" s="3" t="str">
        <f>HYPERLINK("https://shop.sonapharmacy.com/products/bag-balm%c2%ae-hand-body-skin-moisturizer", "https://shop.sonapharmacy.com/products/bag-balm%c2%ae-hand-body-skin-moisturizer")</f>
        <v>https://shop.sonapharmacy.com/products/bag-balm%c2%ae-hand-body-skin-moisturizer</v>
      </c>
      <c r="C3906" t="s">
        <v>10832</v>
      </c>
      <c r="D3906" t="s">
        <v>10833</v>
      </c>
      <c r="E3906" s="3" t="str">
        <f>HYPERLINK("https://www.amazon.com/Vermonts-Original-Bag-Balm-Conditions/dp/B07SSV941M/ref=sr_1_2?keywords=Bag+Balm%C2%AE+Hand+%26+Body+Skin+Moisturizer+8oz.&amp;qid=1695260105&amp;sr=8-2", "https://www.amazon.com/Vermonts-Original-Bag-Balm-Conditions/dp/B07SSV941M/ref=sr_1_2?keywords=Bag+Balm%C2%AE+Hand+%26+Body+Skin+Moisturizer+8oz.&amp;qid=1695260105&amp;sr=8-2")</f>
        <v>https://www.amazon.com/Vermonts-Original-Bag-Balm-Conditions/dp/B07SSV941M/ref=sr_1_2?keywords=Bag+Balm%C2%AE+Hand+%26+Body+Skin+Moisturizer+8oz.&amp;qid=1695260105&amp;sr=8-2</v>
      </c>
      <c r="F3906" t="s">
        <v>10834</v>
      </c>
      <c r="G3906" t="e">
        <f ca="1">IMAGE("https://shop.sonapharmacy.com/cdn/shop/products/b1b27113-c83f-4a36-baed-a0fc7b93e336_3.8ea0ed709674d7718393fb9cb4d0756a.jpg?v=1608406657")</f>
        <v>#NAME?</v>
      </c>
      <c r="H3906" t="e">
        <f ca="1">IMAGE("https://m.media-amazon.com/images/I/71BvKPP4nhL._AC_UL320_.jpg")</f>
        <v>#NAME?</v>
      </c>
      <c r="I3906" t="s">
        <v>8231</v>
      </c>
      <c r="J3906">
        <v>26.69</v>
      </c>
      <c r="K3906" s="2" t="s">
        <v>10835</v>
      </c>
      <c r="L3906">
        <v>4.8</v>
      </c>
      <c r="M3906">
        <v>5163</v>
      </c>
      <c r="O3906" t="s">
        <v>26</v>
      </c>
      <c r="P3906" t="s">
        <v>39</v>
      </c>
      <c r="Q3906" t="s">
        <v>10836</v>
      </c>
    </row>
    <row r="3907" spans="1:17" ht="15.75" x14ac:dyDescent="0.25">
      <c r="A3907" s="3" t="str">
        <f>HYPERLINK("https://shop.sonapharmacy.com/products/destin%C2%AE-daily-defense-cream", "https://shop.sonapharmacy.com/products/destin%C2%AE-daily-defense-cream")</f>
        <v>https://shop.sonapharmacy.com/products/destin%C2%AE-daily-defense-cream</v>
      </c>
      <c r="B3907" s="3" t="str">
        <f>HYPERLINK("https://shop.sonapharmacy.com/products/destin%c2%ae-daily-defense-cream", "https://shop.sonapharmacy.com/products/destin%c2%ae-daily-defense-cream")</f>
        <v>https://shop.sonapharmacy.com/products/destin%c2%ae-daily-defense-cream</v>
      </c>
      <c r="C3907" t="s">
        <v>9534</v>
      </c>
      <c r="D3907" t="s">
        <v>10837</v>
      </c>
      <c r="E3907" s="3" t="str">
        <f>HYPERLINK("https://www.amazon.com/Desitin-Relief-Diaper-Remedy-Fragrance-Free/dp/B003DN1WJY/ref=sr_1_1?keywords=Desitin%C2%AE+Daily+Defense+Cream&amp;qid=1695260184&amp;sr=8-1", "https://www.amazon.com/Desitin-Relief-Diaper-Remedy-Fragrance-Free/dp/B003DN1WJY/ref=sr_1_1?keywords=Desitin%C2%AE+Daily+Defense+Cream&amp;qid=1695260184&amp;sr=8-1")</f>
        <v>https://www.amazon.com/Desitin-Relief-Diaper-Remedy-Fragrance-Free/dp/B003DN1WJY/ref=sr_1_1?keywords=Desitin%C2%AE+Daily+Defense+Cream&amp;qid=1695260184&amp;sr=8-1</v>
      </c>
      <c r="F3907" t="s">
        <v>10838</v>
      </c>
      <c r="G3907" t="e">
        <f ca="1">IMAGE("https://shop.sonapharmacy.com/cdn/shop/products/b8d255e3-761d-4dc1-bc22-63911aec1a42.339ed60a62d8c105695012d734e4478b.jpg?v=1609270993")</f>
        <v>#NAME?</v>
      </c>
      <c r="H3907" t="e">
        <f ca="1">IMAGE("https://m.media-amazon.com/images/I/81Rk2g2vtSL._AC_UL320_.jpg")</f>
        <v>#NAME?</v>
      </c>
      <c r="I3907" t="s">
        <v>9284</v>
      </c>
      <c r="J3907">
        <v>15.73</v>
      </c>
      <c r="K3907" s="2" t="s">
        <v>10839</v>
      </c>
      <c r="L3907">
        <v>4.8</v>
      </c>
      <c r="M3907">
        <v>15898</v>
      </c>
      <c r="O3907" t="s">
        <v>26</v>
      </c>
      <c r="P3907" t="s">
        <v>39</v>
      </c>
      <c r="Q3907" t="s">
        <v>9538</v>
      </c>
    </row>
    <row r="3908" spans="1:17" ht="15.75" x14ac:dyDescent="0.25">
      <c r="A3908" s="3" t="str">
        <f>HYPERLINK("https://shop.sonapharmacy.com/products/cetaphil%C2%AE-moisturizing-cream-for-dry-sensitive-skin-3-oz-tube", "https://shop.sonapharmacy.com/products/cetaphil%C2%AE-moisturizing-cream-for-dry-sensitive-skin-3-oz-tube")</f>
        <v>https://shop.sonapharmacy.com/products/cetaphil%C2%AE-moisturizing-cream-for-dry-sensitive-skin-3-oz-tube</v>
      </c>
      <c r="B3908" s="3" t="str">
        <f>HYPERLINK("https://shop.sonapharmacy.com/products/cetaphil%c2%ae-moisturizing-cream-for-dry-sensitive-skin-3-oz-tube", "https://shop.sonapharmacy.com/products/cetaphil%c2%ae-moisturizing-cream-for-dry-sensitive-skin-3-oz-tube")</f>
        <v>https://shop.sonapharmacy.com/products/cetaphil%c2%ae-moisturizing-cream-for-dry-sensitive-skin-3-oz-tube</v>
      </c>
      <c r="C3908" t="s">
        <v>10237</v>
      </c>
      <c r="D3908" t="s">
        <v>10840</v>
      </c>
      <c r="E3908" s="3" t="str">
        <f>HYPERLINK("https://www.amazon.com/Moisturizer-Hydrating-Moisturizing-Non-Comedogenic-Non-Greasy/dp/B099N1LC4R/ref=sr_1_5?keywords=Cetaphil%C2%AE+Moisturizing+Cream+for+Very+Dry%2C+Sensitive+Skin&amp;qid=1695260122&amp;sr=8-5", "https://www.amazon.com/Moisturizer-Hydrating-Moisturizing-Non-Comedogenic-Non-Greasy/dp/B099N1LC4R/ref=sr_1_5?keywords=Cetaphil%C2%AE+Moisturizing+Cream+for+Very+Dry%2C+Sensitive+Skin&amp;qid=1695260122&amp;sr=8-5")</f>
        <v>https://www.amazon.com/Moisturizer-Hydrating-Moisturizing-Non-Comedogenic-Non-Greasy/dp/B099N1LC4R/ref=sr_1_5?keywords=Cetaphil%C2%AE+Moisturizing+Cream+for+Very+Dry%2C+Sensitive+Skin&amp;qid=1695260122&amp;sr=8-5</v>
      </c>
      <c r="F3908" t="s">
        <v>10841</v>
      </c>
      <c r="G3908" t="e">
        <f ca="1">IMAGE("https://shop.sonapharmacy.com/cdn/shop/products/0287a847-b7a0-4280-bd41-731df3f8db66_1.ebd8a2e7f6d3f5a00be3e2559e5614de.jpg?v=1608312157")</f>
        <v>#NAME?</v>
      </c>
      <c r="H3908" t="e">
        <f ca="1">IMAGE("https://m.media-amazon.com/images/I/51uzbhqFpjL._AC_UL320_.jpg")</f>
        <v>#NAME?</v>
      </c>
      <c r="I3908" t="s">
        <v>10240</v>
      </c>
      <c r="J3908">
        <v>15.97</v>
      </c>
      <c r="K3908" s="2" t="s">
        <v>10842</v>
      </c>
      <c r="L3908">
        <v>4.8</v>
      </c>
      <c r="M3908">
        <v>10499</v>
      </c>
      <c r="O3908" t="s">
        <v>26</v>
      </c>
      <c r="P3908" t="s">
        <v>39</v>
      </c>
      <c r="Q3908" t="s">
        <v>10242</v>
      </c>
    </row>
    <row r="3909" spans="1:17" ht="15.75" x14ac:dyDescent="0.25">
      <c r="A3909" s="3" t="str">
        <f>HYPERLINK("https://shop.sonapharmacy.com/products/goodsense%C2%AE-slant-ez-grip-tweezers", "https://shop.sonapharmacy.com/products/goodsense%C2%AE-slant-ez-grip-tweezers")</f>
        <v>https://shop.sonapharmacy.com/products/goodsense%C2%AE-slant-ez-grip-tweezers</v>
      </c>
      <c r="B3909" s="3" t="str">
        <f>HYPERLINK("https://shop.sonapharmacy.com/products/goodsense%c2%ae-slant-ez-grip-tweezers", "https://shop.sonapharmacy.com/products/goodsense%c2%ae-slant-ez-grip-tweezers")</f>
        <v>https://shop.sonapharmacy.com/products/goodsense%c2%ae-slant-ez-grip-tweezers</v>
      </c>
      <c r="C3909" t="s">
        <v>8943</v>
      </c>
      <c r="D3909" t="s">
        <v>10843</v>
      </c>
      <c r="E3909" s="3" t="str">
        <f>HYPERLINK("https://www.amazon.com/Tweezers-Precision-Non-Slip-Stainless-Eyebrows/dp/B08CQK3SQV/ref=sr_1_3?keywords=GoodSense%C2%AE+Slant+EZ+Grip+Tweezers&amp;qid=1695260372&amp;sr=8-3", "https://www.amazon.com/Tweezers-Precision-Non-Slip-Stainless-Eyebrows/dp/B08CQK3SQV/ref=sr_1_3?keywords=GoodSense%C2%AE+Slant+EZ+Grip+Tweezers&amp;qid=1695260372&amp;sr=8-3")</f>
        <v>https://www.amazon.com/Tweezers-Precision-Non-Slip-Stainless-Eyebrows/dp/B08CQK3SQV/ref=sr_1_3?keywords=GoodSense%C2%AE+Slant+EZ+Grip+Tweezers&amp;qid=1695260372&amp;sr=8-3</v>
      </c>
      <c r="F3909" t="s">
        <v>10844</v>
      </c>
      <c r="G3909" t="e">
        <f ca="1">IMAGE("https://shop.sonapharmacy.com/cdn/shop/products/BL00373.jpg?v=1629229077")</f>
        <v>#NAME?</v>
      </c>
      <c r="H3909" t="e">
        <f ca="1">IMAGE("https://m.media-amazon.com/images/I/51kCkhojMGL._AC_UL320_.jpg")</f>
        <v>#NAME?</v>
      </c>
      <c r="I3909" t="s">
        <v>8946</v>
      </c>
      <c r="J3909">
        <v>5.91</v>
      </c>
      <c r="K3909" s="2" t="s">
        <v>10845</v>
      </c>
      <c r="L3909">
        <v>4.0999999999999996</v>
      </c>
      <c r="M3909">
        <v>25</v>
      </c>
      <c r="O3909" t="s">
        <v>136</v>
      </c>
      <c r="P3909" t="s">
        <v>39</v>
      </c>
      <c r="Q3909" t="s">
        <v>8948</v>
      </c>
    </row>
    <row r="3910" spans="1:17" ht="15.75" x14ac:dyDescent="0.25">
      <c r="A3910" s="3" t="str">
        <f>HYPERLINK("https://shop.sonapharmacy.com/products/21st-century-acidophilus-probiotic-blend", "https://shop.sonapharmacy.com/products/21st-century-acidophilus-probiotic-blend")</f>
        <v>https://shop.sonapharmacy.com/products/21st-century-acidophilus-probiotic-blend</v>
      </c>
      <c r="B3910" s="3" t="str">
        <f>HYPERLINK("https://shop.sonapharmacy.com/products/21st-century-acidophilus-probiotic-blend", "https://shop.sonapharmacy.com/products/21st-century-acidophilus-probiotic-blend")</f>
        <v>https://shop.sonapharmacy.com/products/21st-century-acidophilus-probiotic-blend</v>
      </c>
      <c r="C3910" t="s">
        <v>10846</v>
      </c>
      <c r="D3910" t="s">
        <v>10847</v>
      </c>
      <c r="E3910" s="3" t="str">
        <f>HYPERLINK("https://www.amazon.com/Century-Acidophilus-Probiotic-Capsules-150-Count/dp/B018KT9BWA/ref=sr_1_3?keywords=21st+Century+Acidophilus+Probiotic+Blend+150ct&amp;qid=1695260009&amp;sr=8-3", "https://www.amazon.com/Century-Acidophilus-Probiotic-Capsules-150-Count/dp/B018KT9BWA/ref=sr_1_3?keywords=21st+Century+Acidophilus+Probiotic+Blend+150ct&amp;qid=1695260009&amp;sr=8-3")</f>
        <v>https://www.amazon.com/Century-Acidophilus-Probiotic-Capsules-150-Count/dp/B018KT9BWA/ref=sr_1_3?keywords=21st+Century+Acidophilus+Probiotic+Blend+150ct&amp;qid=1695260009&amp;sr=8-3</v>
      </c>
      <c r="F3910" t="s">
        <v>10848</v>
      </c>
      <c r="G3910" t="e">
        <f ca="1">IMAGE("https://shop.sonapharmacy.com/cdn/shop/products/71xPW58Oz3L._AC_SL1500.jpg?v=1611182548")</f>
        <v>#NAME?</v>
      </c>
      <c r="H3910" t="e">
        <f ca="1">IMAGE("https://m.media-amazon.com/images/I/41X+l+E0GcL._AC_UL320_.jpg")</f>
        <v>#NAME?</v>
      </c>
      <c r="I3910" t="s">
        <v>8792</v>
      </c>
      <c r="J3910">
        <v>24.98</v>
      </c>
      <c r="K3910" s="2" t="s">
        <v>10849</v>
      </c>
      <c r="L3910">
        <v>5</v>
      </c>
      <c r="M3910">
        <v>9</v>
      </c>
      <c r="O3910" t="s">
        <v>26</v>
      </c>
      <c r="P3910" t="s">
        <v>39</v>
      </c>
      <c r="Q3910" t="s">
        <v>10850</v>
      </c>
    </row>
    <row r="3911" spans="1:17" ht="15.75" x14ac:dyDescent="0.25">
      <c r="A3911" s="3" t="str">
        <f>HYPERLINK("https://shop.sonapharmacy.com/products/ricola-original-natural-herb-cough-drops", "https://shop.sonapharmacy.com/products/ricola-original-natural-herb-cough-drops")</f>
        <v>https://shop.sonapharmacy.com/products/ricola-original-natural-herb-cough-drops</v>
      </c>
      <c r="B3911" s="3" t="str">
        <f>HYPERLINK("https://shop.sonapharmacy.com/products/ricola-original-natural-herb-cough-drops", "https://shop.sonapharmacy.com/products/ricola-original-natural-herb-cough-drops")</f>
        <v>https://shop.sonapharmacy.com/products/ricola-original-natural-herb-cough-drops</v>
      </c>
      <c r="C3911" t="s">
        <v>8464</v>
      </c>
      <c r="D3911" t="s">
        <v>10851</v>
      </c>
      <c r="E3911" s="3" t="str">
        <f>HYPERLINK("https://www.amazon.com/Ricola-Natural-Cough-Drops-Original/dp/B00IFZQRRW/ref=sr_1_8?keywords=Ricola+Original+Natural+Herb+Cough+Drops&amp;qid=1695260693&amp;sr=8-8", "https://www.amazon.com/Ricola-Natural-Cough-Drops-Original/dp/B00IFZQRRW/ref=sr_1_8?keywords=Ricola+Original+Natural+Herb+Cough+Drops&amp;qid=1695260693&amp;sr=8-8")</f>
        <v>https://www.amazon.com/Ricola-Natural-Cough-Drops-Original/dp/B00IFZQRRW/ref=sr_1_8?keywords=Ricola+Original+Natural+Herb+Cough+Drops&amp;qid=1695260693&amp;sr=8-8</v>
      </c>
      <c r="F3911" t="s">
        <v>10852</v>
      </c>
      <c r="G3911" t="e">
        <f ca="1">IMAGE("https://shop.sonapharmacy.com/cdn/shop/products/originalherb_bag_21.png?v=1608220874")</f>
        <v>#NAME?</v>
      </c>
      <c r="H3911" t="e">
        <f ca="1">IMAGE("https://m.media-amazon.com/images/I/61UKQ+MnYPL._AC_UL320_.jpg")</f>
        <v>#NAME?</v>
      </c>
      <c r="I3911" t="s">
        <v>8279</v>
      </c>
      <c r="J3911">
        <v>9.23</v>
      </c>
      <c r="K3911" s="2" t="s">
        <v>10853</v>
      </c>
      <c r="L3911">
        <v>4.5999999999999996</v>
      </c>
      <c r="M3911">
        <v>108</v>
      </c>
      <c r="O3911" t="s">
        <v>26</v>
      </c>
      <c r="P3911" t="s">
        <v>39</v>
      </c>
      <c r="Q3911" t="s">
        <v>8468</v>
      </c>
    </row>
    <row r="3912" spans="1:17" ht="15.75" x14ac:dyDescent="0.25">
      <c r="A3912" s="3" t="str">
        <f>HYPERLINK("https://shop.sonapharmacy.com/products/neilmed-sinus-rinse-100-regular-mixture-packets", "https://shop.sonapharmacy.com/products/neilmed-sinus-rinse-100-regular-mixture-packets")</f>
        <v>https://shop.sonapharmacy.com/products/neilmed-sinus-rinse-100-regular-mixture-packets</v>
      </c>
      <c r="B3912" s="3" t="str">
        <f>HYPERLINK("https://shop.sonapharmacy.com/products/neilmed-sinus-rinse-100-regular-mixture-packets", "https://shop.sonapharmacy.com/products/neilmed-sinus-rinse-100-regular-mixture-packets")</f>
        <v>https://shop.sonapharmacy.com/products/neilmed-sinus-rinse-100-regular-mixture-packets</v>
      </c>
      <c r="C3912" t="s">
        <v>10713</v>
      </c>
      <c r="D3912" t="s">
        <v>10854</v>
      </c>
      <c r="E3912" s="3" t="str">
        <f>HYPERLINK("https://www.amazon.com/NeilMed-Natural-Relief-Premixed-Packets/dp/B01IAI8X20/ref=sr_1_6?keywords=NeilMed+Sinus+Rinse+100+Regular+Mixture+Packets&amp;qid=1695260550&amp;sr=8-6", "https://www.amazon.com/NeilMed-Natural-Relief-Premixed-Packets/dp/B01IAI8X20/ref=sr_1_6?keywords=NeilMed+Sinus+Rinse+100+Regular+Mixture+Packets&amp;qid=1695260550&amp;sr=8-6")</f>
        <v>https://www.amazon.com/NeilMed-Natural-Relief-Premixed-Packets/dp/B01IAI8X20/ref=sr_1_6?keywords=NeilMed+Sinus+Rinse+100+Regular+Mixture+Packets&amp;qid=1695260550&amp;sr=8-6</v>
      </c>
      <c r="F3912" t="s">
        <v>10855</v>
      </c>
      <c r="G3912" t="e">
        <f ca="1">IMAGE("https://shop.sonapharmacy.com/cdn/shop/products/Sinus-Rinse-100-Refill-Packets-FRONT.png?v=1589999642")</f>
        <v>#NAME?</v>
      </c>
      <c r="H3912" t="e">
        <f ca="1">IMAGE("https://m.media-amazon.com/images/I/71owV+SLv0L._AC_UL320_.jpg")</f>
        <v>#NAME?</v>
      </c>
      <c r="I3912" t="s">
        <v>10716</v>
      </c>
      <c r="J3912">
        <v>40</v>
      </c>
      <c r="K3912" s="2" t="s">
        <v>10856</v>
      </c>
      <c r="L3912">
        <v>4.8</v>
      </c>
      <c r="M3912">
        <v>145</v>
      </c>
      <c r="O3912" t="s">
        <v>26</v>
      </c>
      <c r="P3912" t="s">
        <v>39</v>
      </c>
      <c r="Q3912" t="s">
        <v>10718</v>
      </c>
    </row>
    <row r="3913" spans="1:17" ht="15.75" x14ac:dyDescent="0.25">
      <c r="A3913" s="3" t="str">
        <f>HYPERLINK("https://shop.sonapharmacy.com/products/oasis%C2%AE-mouth-moisturizing-spray-mild-mint-1fl-oz", "https://shop.sonapharmacy.com/products/oasis%C2%AE-mouth-moisturizing-spray-mild-mint-1fl-oz")</f>
        <v>https://shop.sonapharmacy.com/products/oasis%C2%AE-mouth-moisturizing-spray-mild-mint-1fl-oz</v>
      </c>
      <c r="B3913" s="3" t="str">
        <f>HYPERLINK("https://shop.sonapharmacy.com/products/oasis%c2%ae-mouth-moisturizing-spray-mild-mint-1fl-oz", "https://shop.sonapharmacy.com/products/oasis%c2%ae-mouth-moisturizing-spray-mild-mint-1fl-oz")</f>
        <v>https://shop.sonapharmacy.com/products/oasis%c2%ae-mouth-moisturizing-spray-mild-mint-1fl-oz</v>
      </c>
      <c r="C3913" t="s">
        <v>9069</v>
      </c>
      <c r="D3913" t="s">
        <v>10857</v>
      </c>
      <c r="E3913" s="3" t="str">
        <f>HYPERLINK("https://www.amazon.com/Oasis-Moisturizing-Mouth-Spray-Mild/dp/B01LZ5XUXV/ref=sr_1_3?keywords=Oasis%C2%AE+Mouth+Moisturizing+Spray+Mild+Mint+1fl.oz.&amp;qid=1695260612&amp;sr=8-3", "https://www.amazon.com/Oasis-Moisturizing-Mouth-Spray-Mild/dp/B01LZ5XUXV/ref=sr_1_3?keywords=Oasis%C2%AE+Mouth+Moisturizing+Spray+Mild+Mint+1fl.oz.&amp;qid=1695260612&amp;sr=8-3")</f>
        <v>https://www.amazon.com/Oasis-Moisturizing-Mouth-Spray-Mild/dp/B01LZ5XUXV/ref=sr_1_3?keywords=Oasis%C2%AE+Mouth+Moisturizing+Spray+Mild+Mint+1fl.oz.&amp;qid=1695260612&amp;sr=8-3</v>
      </c>
      <c r="F3913" t="s">
        <v>10858</v>
      </c>
      <c r="G3913" t="e">
        <f ca="1">IMAGE("https://shop.sonapharmacy.com/cdn/shop/products/8f8c84aa-9bad-4bac-a54f-e8f111c224fc_1.d51e86c174f0c880125a11b6bef87077.jpg?v=1608566621")</f>
        <v>#NAME?</v>
      </c>
      <c r="H3913" t="e">
        <f ca="1">IMAGE("https://m.media-amazon.com/images/I/41BZ9m5dQoL._AC_UL320_.jpg")</f>
        <v>#NAME?</v>
      </c>
      <c r="I3913" t="s">
        <v>9072</v>
      </c>
      <c r="J3913">
        <v>18.11</v>
      </c>
      <c r="K3913" s="2" t="s">
        <v>10859</v>
      </c>
      <c r="L3913">
        <v>4.4000000000000004</v>
      </c>
      <c r="M3913">
        <v>50</v>
      </c>
      <c r="O3913" t="s">
        <v>26</v>
      </c>
      <c r="P3913" t="s">
        <v>39</v>
      </c>
      <c r="Q3913" t="s">
        <v>9074</v>
      </c>
    </row>
    <row r="3914" spans="1:17" ht="15.75" x14ac:dyDescent="0.25">
      <c r="A3914" s="3" t="str">
        <f>HYPERLINK("https://shop.sonapharmacy.com/products/head-shoulders%C2%AE-classic-clean-2-in-1-13-5fl-oz", "https://shop.sonapharmacy.com/products/head-shoulders%C2%AE-classic-clean-2-in-1-13-5fl-oz")</f>
        <v>https://shop.sonapharmacy.com/products/head-shoulders%C2%AE-classic-clean-2-in-1-13-5fl-oz</v>
      </c>
      <c r="B3914" s="3" t="str">
        <f>HYPERLINK("https://shop.sonapharmacy.com/products/head-shoulders%c2%ae-classic-clean-2-in-1-13-5fl-oz", "https://shop.sonapharmacy.com/products/head-shoulders%c2%ae-classic-clean-2-in-1-13-5fl-oz")</f>
        <v>https://shop.sonapharmacy.com/products/head-shoulders%c2%ae-classic-clean-2-in-1-13-5fl-oz</v>
      </c>
      <c r="C3914" t="s">
        <v>9134</v>
      </c>
      <c r="D3914" t="s">
        <v>10860</v>
      </c>
      <c r="E3914" s="3" t="str">
        <f>HYPERLINK("https://www.amazon.com/Head-Shoulders-Classic-Anti-dandruff-Conditioner/dp/B01MAWAZAZ/ref=sr_1_4?keywords=Head+%26+Shoulders%C2%AE+Classic+Clean+2-In-1+13.5fl.+oz.&amp;qid=1695260392&amp;sr=8-4", "https://www.amazon.com/Head-Shoulders-Classic-Anti-dandruff-Conditioner/dp/B01MAWAZAZ/ref=sr_1_4?keywords=Head+%26+Shoulders%C2%AE+Classic+Clean+2-In-1+13.5fl.+oz.&amp;qid=1695260392&amp;sr=8-4")</f>
        <v>https://www.amazon.com/Head-Shoulders-Classic-Anti-dandruff-Conditioner/dp/B01MAWAZAZ/ref=sr_1_4?keywords=Head+%26+Shoulders%C2%AE+Classic+Clean+2-In-1+13.5fl.+oz.&amp;qid=1695260392&amp;sr=8-4</v>
      </c>
      <c r="F3914" t="s">
        <v>10861</v>
      </c>
      <c r="G3914" t="e">
        <f ca="1">IMAGE("https://shop.sonapharmacy.com/cdn/shop/products/00000090677446_C1N1_NA.jpg?v=1609100630")</f>
        <v>#NAME?</v>
      </c>
      <c r="H3914" t="e">
        <f ca="1">IMAGE("https://m.media-amazon.com/images/I/61XxsHLy3JL._AC_UL320_.jpg")</f>
        <v>#NAME?</v>
      </c>
      <c r="I3914" t="s">
        <v>9137</v>
      </c>
      <c r="J3914">
        <v>17.989999999999998</v>
      </c>
      <c r="K3914" s="2" t="s">
        <v>10862</v>
      </c>
      <c r="L3914">
        <v>4.7</v>
      </c>
      <c r="M3914">
        <v>62</v>
      </c>
      <c r="O3914" t="s">
        <v>26</v>
      </c>
      <c r="P3914" t="s">
        <v>39</v>
      </c>
      <c r="Q3914" t="s">
        <v>9139</v>
      </c>
    </row>
    <row r="3915" spans="1:17" ht="15.75" x14ac:dyDescent="0.25">
      <c r="A3915" s="3" t="str">
        <f>HYPERLINK("https://shop.sonapharmacy.com/products/differin%C2%AE-gel-adapalene-gel-0-1-acne-treatment", "https://shop.sonapharmacy.com/products/differin%C2%AE-gel-adapalene-gel-0-1-acne-treatment")</f>
        <v>https://shop.sonapharmacy.com/products/differin%C2%AE-gel-adapalene-gel-0-1-acne-treatment</v>
      </c>
      <c r="B3915" s="3" t="str">
        <f>HYPERLINK("https://shop.sonapharmacy.com/products/differin%c2%ae-gel-adapalene-gel-0-1-acne-treatment", "https://shop.sonapharmacy.com/products/differin%c2%ae-gel-adapalene-gel-0-1-acne-treatment")</f>
        <v>https://shop.sonapharmacy.com/products/differin%c2%ae-gel-adapalene-gel-0-1-acne-treatment</v>
      </c>
      <c r="C3915" t="s">
        <v>10863</v>
      </c>
      <c r="D3915" t="s">
        <v>10864</v>
      </c>
      <c r="E3915" s="3" t="str">
        <f>HYPERLINK("https://www.amazon.com/Roche-Posay-Effaclar-Adapalene-Treatment-Prescription-Strength/dp/B07SQFQFXX/ref=sr_1_8?keywords=Differin%C2%AE+Gel+Adapalene+Gel+0.1%25+Acne+Treatment&amp;qid=1695260198&amp;sr=8-8", "https://www.amazon.com/Roche-Posay-Effaclar-Adapalene-Treatment-Prescription-Strength/dp/B07SQFQFXX/ref=sr_1_8?keywords=Differin%C2%AE+Gel+Adapalene+Gel+0.1%25+Acne+Treatment&amp;qid=1695260198&amp;sr=8-8")</f>
        <v>https://www.amazon.com/Roche-Posay-Effaclar-Adapalene-Treatment-Prescription-Strength/dp/B07SQFQFXX/ref=sr_1_8?keywords=Differin%C2%AE+Gel+Adapalene+Gel+0.1%25+Acne+Treatment&amp;qid=1695260198&amp;sr=8-8</v>
      </c>
      <c r="F3915" t="s">
        <v>10865</v>
      </c>
      <c r="G3915" t="e">
        <f ca="1">IMAGE("https://shop.sonapharmacy.com/cdn/shop/products/5oz.jpg?v=1608302260")</f>
        <v>#NAME?</v>
      </c>
      <c r="H3915" t="e">
        <f ca="1">IMAGE("https://m.media-amazon.com/images/I/61nCfKG1luL._AC_UY218_.jpg")</f>
        <v>#NAME?</v>
      </c>
      <c r="I3915" t="s">
        <v>3419</v>
      </c>
      <c r="J3915">
        <v>35.99</v>
      </c>
      <c r="K3915" s="2" t="s">
        <v>10866</v>
      </c>
      <c r="L3915">
        <v>4.5</v>
      </c>
      <c r="M3915">
        <v>6270</v>
      </c>
      <c r="O3915" t="s">
        <v>26</v>
      </c>
      <c r="P3915" t="s">
        <v>39</v>
      </c>
      <c r="Q3915" t="s">
        <v>10867</v>
      </c>
    </row>
    <row r="3916" spans="1:17" ht="15.75" x14ac:dyDescent="0.25">
      <c r="A3916" s="3" t="str">
        <f>HYPERLINK("https://shop.sonapharmacy.com/products/garden-of-life%C2%AE-dr-formulated-100-natural-organic-coconut-mct-oil-16fl-oz", "https://shop.sonapharmacy.com/products/garden-of-life%C2%AE-dr-formulated-100-natural-organic-coconut-mct-oil-16fl-oz")</f>
        <v>https://shop.sonapharmacy.com/products/garden-of-life%C2%AE-dr-formulated-100-natural-organic-coconut-mct-oil-16fl-oz</v>
      </c>
      <c r="B3916" s="3" t="str">
        <f>HYPERLINK("https://shop.sonapharmacy.com/products/garden-of-life%c2%ae-dr-formulated-100-natural-organic-coconut-mct-oil-16fl-oz", "https://shop.sonapharmacy.com/products/garden-of-life%c2%ae-dr-formulated-100-natural-organic-coconut-mct-oil-16fl-oz")</f>
        <v>https://shop.sonapharmacy.com/products/garden-of-life%c2%ae-dr-formulated-100-natural-organic-coconut-mct-oil-16fl-oz</v>
      </c>
      <c r="C3916" t="s">
        <v>10868</v>
      </c>
      <c r="D3916" t="s">
        <v>10869</v>
      </c>
      <c r="E3916" s="3" t="str">
        <f>HYPERLINK("https://www.amazon.com/Garden-Life-Formulated-Organic-Unflavored/dp/B07NYNVB6R/ref=sr_1_2?keywords=Garden+Of+Life%C2%AE+Dr.+Formulated+100%25+Natural+Organic+Coconut+MCT+Oil+16fl.+oz.&amp;qid=1695260304&amp;sr=8-2", "https://www.amazon.com/Garden-Life-Formulated-Organic-Unflavored/dp/B07NYNVB6R/ref=sr_1_2?keywords=Garden+Of+Life%C2%AE+Dr.+Formulated+100%25+Natural+Organic+Coconut+MCT+Oil+16fl.+oz.&amp;qid=1695260304&amp;sr=8-2")</f>
        <v>https://www.amazon.com/Garden-Life-Formulated-Organic-Unflavored/dp/B07NYNVB6R/ref=sr_1_2?keywords=Garden+Of+Life%C2%AE+Dr.+Formulated+100%25+Natural+Organic+Coconut+MCT+Oil+16fl.+oz.&amp;qid=1695260304&amp;sr=8-2</v>
      </c>
      <c r="F3916" t="s">
        <v>10870</v>
      </c>
      <c r="G3916" t="e">
        <f ca="1">IMAGE("https://shop.sonapharmacy.com/cdn/shop/products/61r0-GDj2rL._AC_SL1000.jpg?v=1611024183")</f>
        <v>#NAME?</v>
      </c>
      <c r="H3916" t="e">
        <f ca="1">IMAGE("https://m.media-amazon.com/images/I/71FjymcBzYL._AC_UL320_.jpg")</f>
        <v>#NAME?</v>
      </c>
      <c r="I3916" t="s">
        <v>3367</v>
      </c>
      <c r="J3916">
        <v>59.99</v>
      </c>
      <c r="K3916" s="2" t="s">
        <v>10871</v>
      </c>
      <c r="L3916">
        <v>4.9000000000000004</v>
      </c>
      <c r="M3916">
        <v>23</v>
      </c>
      <c r="O3916" t="s">
        <v>26</v>
      </c>
      <c r="P3916" t="s">
        <v>39</v>
      </c>
      <c r="Q3916" t="s">
        <v>10872</v>
      </c>
    </row>
    <row r="3917" spans="1:17" ht="15.75" x14ac:dyDescent="0.25">
      <c r="A3917" s="3" t="str">
        <f>HYPERLINK("https://shop.sonapharmacy.com/products/dulcolax%C2%AE-fast-relief-laxative-suppositories", "https://shop.sonapharmacy.com/products/dulcolax%C2%AE-fast-relief-laxative-suppositories")</f>
        <v>https://shop.sonapharmacy.com/products/dulcolax%C2%AE-fast-relief-laxative-suppositories</v>
      </c>
      <c r="B3917" s="3" t="str">
        <f>HYPERLINK("https://shop.sonapharmacy.com/products/dulcolax%c2%ae-fast-relief-laxative-suppositories", "https://shop.sonapharmacy.com/products/dulcolax%c2%ae-fast-relief-laxative-suppositories")</f>
        <v>https://shop.sonapharmacy.com/products/dulcolax%c2%ae-fast-relief-laxative-suppositories</v>
      </c>
      <c r="C3917" t="s">
        <v>10873</v>
      </c>
      <c r="D3917" t="s">
        <v>10874</v>
      </c>
      <c r="E3917" s="3" t="str">
        <f>HYPERLINK("https://www.amazon.com/Dulcolax-Laxative-Suppositories-Constipation-Medicated/dp/B00007MII0/ref=sr_1_1?keywords=Dulcolax%C2%AE+Fast+Relief+Laxative+Suppositories&amp;qid=1695260270&amp;sr=8-1", "https://www.amazon.com/Dulcolax-Laxative-Suppositories-Constipation-Medicated/dp/B00007MII0/ref=sr_1_1?keywords=Dulcolax%C2%AE+Fast+Relief+Laxative+Suppositories&amp;qid=1695260270&amp;sr=8-1")</f>
        <v>https://www.amazon.com/Dulcolax-Laxative-Suppositories-Constipation-Medicated/dp/B00007MII0/ref=sr_1_1?keywords=Dulcolax%C2%AE+Fast+Relief+Laxative+Suppositories&amp;qid=1695260270&amp;sr=8-1</v>
      </c>
      <c r="F3917" t="s">
        <v>10875</v>
      </c>
      <c r="G3917" t="e">
        <f ca="1">IMAGE("https://shop.sonapharmacy.com/cdn/shop/products/DulcolaxFastFront.png?v=1606854844")</f>
        <v>#NAME?</v>
      </c>
      <c r="H3917" t="e">
        <f ca="1">IMAGE("https://m.media-amazon.com/images/I/81FVwl28HtL._AC_UL320_.jpg")</f>
        <v>#NAME?</v>
      </c>
      <c r="I3917" t="s">
        <v>10876</v>
      </c>
      <c r="J3917">
        <v>22.99</v>
      </c>
      <c r="K3917" s="2" t="s">
        <v>10877</v>
      </c>
      <c r="L3917">
        <v>4.5999999999999996</v>
      </c>
      <c r="M3917">
        <v>3927</v>
      </c>
      <c r="O3917" t="s">
        <v>26</v>
      </c>
      <c r="P3917" t="s">
        <v>39</v>
      </c>
      <c r="Q3917" t="s">
        <v>10878</v>
      </c>
    </row>
    <row r="3918" spans="1:17" ht="15.75" x14ac:dyDescent="0.25">
      <c r="A3918" s="3" t="str">
        <f>HYPERLINK("https://shop.sonapharmacy.com/products/lemon-eucalyptus-essential-oil-5-oz", "https://shop.sonapharmacy.com/products/lemon-eucalyptus-essential-oil-5-oz")</f>
        <v>https://shop.sonapharmacy.com/products/lemon-eucalyptus-essential-oil-5-oz</v>
      </c>
      <c r="B3918" s="3" t="str">
        <f>HYPERLINK("https://shop.sonapharmacy.com/products/lemon-eucalyptus-essential-oil-5-oz", "https://shop.sonapharmacy.com/products/lemon-eucalyptus-essential-oil-5-oz")</f>
        <v>https://shop.sonapharmacy.com/products/lemon-eucalyptus-essential-oil-5-oz</v>
      </c>
      <c r="C3918" t="s">
        <v>8414</v>
      </c>
      <c r="D3918" t="s">
        <v>10879</v>
      </c>
      <c r="E3918" s="3" t="str">
        <f>HYPERLINK("https://www.amazon.com/Aura-Cacia-Essential-Awakening-Eucalyptus/dp/B002Q4UCGK/ref=sr_1_1?keywords=Aura+Cacia+Lemon+Eucalyptus+Essential+Oil+0.5+oz.&amp;qid=1695260029&amp;sr=8-1", "https://www.amazon.com/Aura-Cacia-Essential-Awakening-Eucalyptus/dp/B002Q4UCGK/ref=sr_1_1?keywords=Aura+Cacia+Lemon+Eucalyptus+Essential+Oil+0.5+oz.&amp;qid=1695260029&amp;sr=8-1")</f>
        <v>https://www.amazon.com/Aura-Cacia-Essential-Awakening-Eucalyptus/dp/B002Q4UCGK/ref=sr_1_1?keywords=Aura+Cacia+Lemon+Eucalyptus+Essential+Oil+0.5+oz.&amp;qid=1695260029&amp;sr=8-1</v>
      </c>
      <c r="F3918" t="s">
        <v>10880</v>
      </c>
      <c r="G3918" t="e">
        <f ca="1">IMAGE("https://shop.sonapharmacy.com/cdn/shop/products/1_aura-cacia-lemon-eucalyptus-191285-front.jpg?v=1609358391")</f>
        <v>#NAME?</v>
      </c>
      <c r="H3918" t="e">
        <f ca="1">IMAGE("https://m.media-amazon.com/images/I/61TmM-jd11L._AC_UL320_.jpg")</f>
        <v>#NAME?</v>
      </c>
      <c r="I3918" t="s">
        <v>8417</v>
      </c>
      <c r="J3918">
        <v>13.49</v>
      </c>
      <c r="K3918" s="2" t="s">
        <v>10881</v>
      </c>
      <c r="L3918">
        <v>4.5999999999999996</v>
      </c>
      <c r="M3918">
        <v>1223</v>
      </c>
      <c r="O3918" t="s">
        <v>26</v>
      </c>
      <c r="P3918" t="s">
        <v>39</v>
      </c>
      <c r="Q3918" t="s">
        <v>8419</v>
      </c>
    </row>
    <row r="3919" spans="1:17" ht="15.75" x14ac:dyDescent="0.25">
      <c r="A3919" s="3" t="str">
        <f>HYPERLINK("https://shop.sonapharmacy.com/products/nasacort-allergy-24hr-nasal-spray", "https://shop.sonapharmacy.com/products/nasacort-allergy-24hr-nasal-spray")</f>
        <v>https://shop.sonapharmacy.com/products/nasacort-allergy-24hr-nasal-spray</v>
      </c>
      <c r="B3919" s="3" t="str">
        <f>HYPERLINK("https://shop.sonapharmacy.com/products/nasacort-allergy-24hr-nasal-spray", "https://shop.sonapharmacy.com/products/nasacort-allergy-24hr-nasal-spray")</f>
        <v>https://shop.sonapharmacy.com/products/nasacort-allergy-24hr-nasal-spray</v>
      </c>
      <c r="C3919" t="s">
        <v>10882</v>
      </c>
      <c r="D3919" t="s">
        <v>10883</v>
      </c>
      <c r="E3919" s="3" t="str">
        <f>HYPERLINK("https://www.amazon.com/Nasacort-Allergy-Non-Drip-Nasal-sprays/dp/B01FTIGIVW/ref=sr_1_6?keywords=Nasacort+Allergy+24HR+Nasal+Spray&amp;qid=1695260517&amp;sr=8-6", "https://www.amazon.com/Nasacort-Allergy-Non-Drip-Nasal-sprays/dp/B01FTIGIVW/ref=sr_1_6?keywords=Nasacort+Allergy+24HR+Nasal+Spray&amp;qid=1695260517&amp;sr=8-6")</f>
        <v>https://www.amazon.com/Nasacort-Allergy-Non-Drip-Nasal-sprays/dp/B01FTIGIVW/ref=sr_1_6?keywords=Nasacort+Allergy+24HR+Nasal+Spray&amp;qid=1695260517&amp;sr=8-6</v>
      </c>
      <c r="F3919" t="s">
        <v>10884</v>
      </c>
      <c r="G3919" t="e">
        <f ca="1">IMAGE("https://shop.sonapharmacy.com/cdn/shop/products/NasacortAllergy24HRNasalSpray.png?v=1595517896")</f>
        <v>#NAME?</v>
      </c>
      <c r="H3919" t="e">
        <f ca="1">IMAGE("https://m.media-amazon.com/images/I/61wlPzbBkBL._AC_UL320_.jpg")</f>
        <v>#NAME?</v>
      </c>
      <c r="I3919" t="s">
        <v>10885</v>
      </c>
      <c r="J3919">
        <v>38.76</v>
      </c>
      <c r="K3919" s="2" t="s">
        <v>4561</v>
      </c>
      <c r="L3919">
        <v>4.8</v>
      </c>
      <c r="M3919">
        <v>1679</v>
      </c>
      <c r="O3919" t="s">
        <v>26</v>
      </c>
      <c r="P3919" t="s">
        <v>39</v>
      </c>
      <c r="Q3919" t="s">
        <v>10886</v>
      </c>
    </row>
    <row r="3920" spans="1:17" ht="15.75" x14ac:dyDescent="0.25">
      <c r="A3920"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B3920" s="3" t="str">
        <f>HYPERLINK("https://shop.sonapharmacy.com/products/depend%c2%ae-for-men-fit-flex-underwear-maximum-absorbency-large-17ct", "https://shop.sonapharmacy.com/products/depend%c2%ae-for-men-fit-flex-underwear-maximum-absorbency-large-17ct")</f>
        <v>https://shop.sonapharmacy.com/products/depend%c2%ae-for-men-fit-flex-underwear-maximum-absorbency-large-17ct</v>
      </c>
      <c r="C3920" t="s">
        <v>9453</v>
      </c>
      <c r="D3920" t="s">
        <v>10887</v>
      </c>
      <c r="E3920" s="3" t="str">
        <f>HYPERLINK("https://www.amazon.com/Depend-Fit-Flex-Incontinence-Underwear-Absorbency/dp/B074FD8J4Z/ref=sr_1_5?keywords=Depend%C2%AE+For+Men+Fit-Flex+Underwear+Maximum+Absorbency+Large+17ct.&amp;qid=1695260190&amp;sr=8-5", "https://www.amazon.com/Depend-Fit-Flex-Incontinence-Underwear-Absorbency/dp/B074FD8J4Z/ref=sr_1_5?keywords=Depend%C2%AE+For+Men+Fit-Flex+Underwear+Maximum+Absorbency+Large+17ct.&amp;qid=1695260190&amp;sr=8-5")</f>
        <v>https://www.amazon.com/Depend-Fit-Flex-Incontinence-Underwear-Absorbency/dp/B074FD8J4Z/ref=sr_1_5?keywords=Depend%C2%AE+For+Men+Fit-Flex+Underwear+Maximum+Absorbency+Large+17ct.&amp;qid=1695260190&amp;sr=8-5</v>
      </c>
      <c r="F3920" t="s">
        <v>10888</v>
      </c>
      <c r="G3920" t="e">
        <f ca="1">IMAGE("https://shop.sonapharmacy.com/cdn/shop/products/8193lwhuLwL._AC_SL1500.jpg?v=1611075729")</f>
        <v>#NAME?</v>
      </c>
      <c r="H3920" t="e">
        <f ca="1">IMAGE("https://m.media-amazon.com/images/I/61kr97js5zL._AC_UL320_.jpg")</f>
        <v>#NAME?</v>
      </c>
      <c r="I3920" t="s">
        <v>9290</v>
      </c>
      <c r="J3920">
        <v>40.65</v>
      </c>
      <c r="K3920" s="2" t="s">
        <v>10889</v>
      </c>
      <c r="L3920">
        <v>2.1</v>
      </c>
      <c r="M3920">
        <v>2</v>
      </c>
      <c r="O3920" t="s">
        <v>26</v>
      </c>
      <c r="P3920" t="s">
        <v>39</v>
      </c>
      <c r="Q3920" t="s">
        <v>9457</v>
      </c>
    </row>
    <row r="3921" spans="1:17" ht="15.75" x14ac:dyDescent="0.25">
      <c r="A3921" s="3" t="str">
        <f>HYPERLINK("https://shop.sonapharmacy.com/products/band-aid%C2%AE-flexible-rolled-gauze", "https://shop.sonapharmacy.com/products/band-aid%C2%AE-flexible-rolled-gauze")</f>
        <v>https://shop.sonapharmacy.com/products/band-aid%C2%AE-flexible-rolled-gauze</v>
      </c>
      <c r="B3921" s="3" t="str">
        <f>HYPERLINK("https://shop.sonapharmacy.com/products/band-aid%c2%ae-flexible-rolled-gauze", "https://shop.sonapharmacy.com/products/band-aid%c2%ae-flexible-rolled-gauze")</f>
        <v>https://shop.sonapharmacy.com/products/band-aid%c2%ae-flexible-rolled-gauze</v>
      </c>
      <c r="C3921" t="s">
        <v>9206</v>
      </c>
      <c r="D3921" t="s">
        <v>10112</v>
      </c>
      <c r="E3921" s="3" t="str">
        <f>HYPERLINK("https://www.amazon.com/BAND-AID-Brand-Flexible-Rolled-2-5YDS/dp/B074KMG89H/ref=sr_1_2?keywords=BAND-AID%C2%AE+Flexible+Rolled+Gauze&amp;qid=1695260061&amp;sr=8-2", "https://www.amazon.com/BAND-AID-Brand-Flexible-Rolled-2-5YDS/dp/B074KMG89H/ref=sr_1_2?keywords=BAND-AID%C2%AE+Flexible+Rolled+Gauze&amp;qid=1695260061&amp;sr=8-2")</f>
        <v>https://www.amazon.com/BAND-AID-Brand-Flexible-Rolled-2-5YDS/dp/B074KMG89H/ref=sr_1_2?keywords=BAND-AID%C2%AE+Flexible+Rolled+Gauze&amp;qid=1695260061&amp;sr=8-2</v>
      </c>
      <c r="F3921" t="s">
        <v>10113</v>
      </c>
      <c r="G3921" t="e">
        <f ca="1">IMAGE("https://shop.sonapharmacy.com/cdn/shop/products/2x2.5.jpg?v=1607809788")</f>
        <v>#NAME?</v>
      </c>
      <c r="H3921" t="e">
        <f ca="1">IMAGE("https://m.media-amazon.com/images/I/61CpEnovPLL._AC_UL320_.jpg")</f>
        <v>#NAME?</v>
      </c>
      <c r="I3921" t="s">
        <v>8992</v>
      </c>
      <c r="J3921">
        <v>9.8699999999999992</v>
      </c>
      <c r="K3921" s="2" t="s">
        <v>10890</v>
      </c>
      <c r="L3921">
        <v>4.5</v>
      </c>
      <c r="M3921">
        <v>90</v>
      </c>
      <c r="O3921" t="s">
        <v>26</v>
      </c>
      <c r="P3921" t="s">
        <v>39</v>
      </c>
      <c r="Q3921" t="s">
        <v>9210</v>
      </c>
    </row>
    <row r="3922" spans="1:17" ht="15.75" x14ac:dyDescent="0.25">
      <c r="A3922" s="3" t="str">
        <f>HYPERLINK("https://shop.sonapharmacy.com/products/eucerin%C2%AE-spf-30-daily-protection-face-lotion-4fl-oz", "https://shop.sonapharmacy.com/products/eucerin%C2%AE-spf-30-daily-protection-face-lotion-4fl-oz")</f>
        <v>https://shop.sonapharmacy.com/products/eucerin%C2%AE-spf-30-daily-protection-face-lotion-4fl-oz</v>
      </c>
      <c r="B3922" s="3" t="str">
        <f>HYPERLINK("https://shop.sonapharmacy.com/products/eucerin%c2%ae-spf-30-daily-protection-face-lotion-4fl-oz", "https://shop.sonapharmacy.com/products/eucerin%c2%ae-spf-30-daily-protection-face-lotion-4fl-oz")</f>
        <v>https://shop.sonapharmacy.com/products/eucerin%c2%ae-spf-30-daily-protection-face-lotion-4fl-oz</v>
      </c>
      <c r="C3922" t="s">
        <v>10557</v>
      </c>
      <c r="D3922" t="s">
        <v>10891</v>
      </c>
      <c r="E3922" s="3" t="str">
        <f>HYPERLINK("https://www.amazon.com/Eucerin-Daily-Protection-Face-Lotion/dp/B001FB5IIW/ref=sr_1_2?keywords=Eucerin%C2%AE+SPF+30+Daily+Protection+Face+Lotion+4fl.+oz.&amp;qid=1695260234&amp;sr=8-2", "https://www.amazon.com/Eucerin-Daily-Protection-Face-Lotion/dp/B001FB5IIW/ref=sr_1_2?keywords=Eucerin%C2%AE+SPF+30+Daily+Protection+Face+Lotion+4fl.+oz.&amp;qid=1695260234&amp;sr=8-2")</f>
        <v>https://www.amazon.com/Eucerin-Daily-Protection-Face-Lotion/dp/B001FB5IIW/ref=sr_1_2?keywords=Eucerin%C2%AE+SPF+30+Daily+Protection+Face+Lotion+4fl.+oz.&amp;qid=1695260234&amp;sr=8-2</v>
      </c>
      <c r="F3922" t="s">
        <v>10892</v>
      </c>
      <c r="G3922" t="e">
        <f ca="1">IMAGE("https://shop.sonapharmacy.com/cdn/shop/products/eda2b0f0-3b02-42ee-ad6c-e3ab52ac5d65_1.b223dd35d322ca4c627804613c003ea8.jpg?v=1608414946")</f>
        <v>#NAME?</v>
      </c>
      <c r="H3922" t="e">
        <f ca="1">IMAGE("https://m.media-amazon.com/images/I/71lMn9c4O7L._AC_UL320_.jpg")</f>
        <v>#NAME?</v>
      </c>
      <c r="I3922" t="s">
        <v>8781</v>
      </c>
      <c r="J3922">
        <v>22.98</v>
      </c>
      <c r="K3922" s="2" t="s">
        <v>10893</v>
      </c>
      <c r="L3922">
        <v>4.7</v>
      </c>
      <c r="M3922">
        <v>1201</v>
      </c>
      <c r="O3922" t="s">
        <v>26</v>
      </c>
      <c r="P3922" t="s">
        <v>39</v>
      </c>
      <c r="Q3922" t="s">
        <v>10561</v>
      </c>
    </row>
    <row r="3923" spans="1:17" ht="15.75" x14ac:dyDescent="0.25">
      <c r="A3923" s="3" t="str">
        <f>HYPERLINK("https://shop.sonapharmacy.com/products/nexcare-opticlude", "https://shop.sonapharmacy.com/products/nexcare-opticlude")</f>
        <v>https://shop.sonapharmacy.com/products/nexcare-opticlude</v>
      </c>
      <c r="B3923" s="3" t="str">
        <f>HYPERLINK("https://shop.sonapharmacy.com/products/nexcare-opticlude", "https://shop.sonapharmacy.com/products/nexcare-opticlude")</f>
        <v>https://shop.sonapharmacy.com/products/nexcare-opticlude</v>
      </c>
      <c r="C3923" t="s">
        <v>8566</v>
      </c>
      <c r="D3923" t="s">
        <v>10894</v>
      </c>
      <c r="E3923" s="3" t="str">
        <f>HYPERLINK("https://www.amazon.com/Nexcare-Opticlude-Orthoptic-Patch-Regular/dp/B00I5MWPK8/ref=sr_1_6?keywords=Nexcare+Opticlude+Eye+Patch&amp;qid=1695260565&amp;sr=8-6", "https://www.amazon.com/Nexcare-Opticlude-Orthoptic-Patch-Regular/dp/B00I5MWPK8/ref=sr_1_6?keywords=Nexcare+Opticlude+Eye+Patch&amp;qid=1695260565&amp;sr=8-6")</f>
        <v>https://www.amazon.com/Nexcare-Opticlude-Orthoptic-Patch-Regular/dp/B00I5MWPK8/ref=sr_1_6?keywords=Nexcare+Opticlude+Eye+Patch&amp;qid=1695260565&amp;sr=8-6</v>
      </c>
      <c r="F3923" t="s">
        <v>10895</v>
      </c>
      <c r="G3923" t="e">
        <f ca="1">IMAGE("https://shop.sonapharmacy.com/cdn/shop/products/us-1539-opticlude-eyepatch.jpg?v=1607704873")</f>
        <v>#NAME?</v>
      </c>
      <c r="H3923" t="e">
        <f ca="1">IMAGE("https://m.media-amazon.com/images/I/71shhAE7b9L._AC_UL320_.jpg")</f>
        <v>#NAME?</v>
      </c>
      <c r="I3923" t="s">
        <v>4296</v>
      </c>
      <c r="J3923">
        <v>25.74</v>
      </c>
      <c r="K3923" s="2" t="s">
        <v>10896</v>
      </c>
      <c r="L3923">
        <v>5</v>
      </c>
      <c r="M3923">
        <v>1</v>
      </c>
      <c r="O3923" t="s">
        <v>26</v>
      </c>
      <c r="P3923" t="s">
        <v>39</v>
      </c>
      <c r="Q3923" t="s">
        <v>8570</v>
      </c>
    </row>
    <row r="3924" spans="1:17" ht="15.75" x14ac:dyDescent="0.25">
      <c r="A3924" s="3" t="str">
        <f>HYPERLINK("https://shop.sonapharmacy.com/products/little-remedies%C2%AE-gas-relief-drops", "https://shop.sonapharmacy.com/products/little-remedies%C2%AE-gas-relief-drops")</f>
        <v>https://shop.sonapharmacy.com/products/little-remedies%C2%AE-gas-relief-drops</v>
      </c>
      <c r="B3924" s="3" t="str">
        <f>HYPERLINK("https://shop.sonapharmacy.com/products/little-remedies%c2%ae-gas-relief-drops", "https://shop.sonapharmacy.com/products/little-remedies%c2%ae-gas-relief-drops")</f>
        <v>https://shop.sonapharmacy.com/products/little-remedies%c2%ae-gas-relief-drops</v>
      </c>
      <c r="C3924" t="s">
        <v>10897</v>
      </c>
      <c r="D3924" t="s">
        <v>10898</v>
      </c>
      <c r="E3924" s="3" t="str">
        <f>HYPERLINK("https://www.amazon.com/Little-Remedies-Relief-Flavor-Newborns/dp/B001F0RAW0/ref=sr_1_2?keywords=Little+Remedies%C2%AE+Gas+Relief+Drops&amp;qid=1695260444&amp;sr=8-2", "https://www.amazon.com/Little-Remedies-Relief-Flavor-Newborns/dp/B001F0RAW0/ref=sr_1_2?keywords=Little+Remedies%C2%AE+Gas+Relief+Drops&amp;qid=1695260444&amp;sr=8-2")</f>
        <v>https://www.amazon.com/Little-Remedies-Relief-Flavor-Newborns/dp/B001F0RAW0/ref=sr_1_2?keywords=Little+Remedies%C2%AE+Gas+Relief+Drops&amp;qid=1695260444&amp;sr=8-2</v>
      </c>
      <c r="F3924" t="s">
        <v>10899</v>
      </c>
      <c r="G3924" t="e">
        <f ca="1">IMAGE("https://shop.sonapharmacy.com/cdn/shop/products/12df4784-0b2f-4ab7-a2fd-554b066f2629_1.e9d5afd92a2cbe1b1a50aff634975b76.jpg?v=1609263844")</f>
        <v>#NAME?</v>
      </c>
      <c r="H3924" t="e">
        <f ca="1">IMAGE("https://m.media-amazon.com/images/I/81NA9zByBiL._AC_UL320_.jpg")</f>
        <v>#NAME?</v>
      </c>
      <c r="I3924" t="s">
        <v>10900</v>
      </c>
      <c r="J3924">
        <v>22.98</v>
      </c>
      <c r="K3924" s="2" t="s">
        <v>10901</v>
      </c>
      <c r="L3924">
        <v>4.8</v>
      </c>
      <c r="M3924">
        <v>811</v>
      </c>
      <c r="O3924" t="s">
        <v>26</v>
      </c>
      <c r="P3924" t="s">
        <v>39</v>
      </c>
      <c r="Q3924" t="s">
        <v>10902</v>
      </c>
    </row>
    <row r="3925" spans="1:17" ht="15.75" x14ac:dyDescent="0.25">
      <c r="A3925" s="3" t="str">
        <f>HYPERLINK("https://shop.sonapharmacy.com/products/biogaia%C2%AE-probiotic-drops-with-vitamin-d3-10ml", "https://shop.sonapharmacy.com/products/biogaia%C2%AE-probiotic-drops-with-vitamin-d3-10ml")</f>
        <v>https://shop.sonapharmacy.com/products/biogaia%C2%AE-probiotic-drops-with-vitamin-d3-10ml</v>
      </c>
      <c r="B3925" s="3" t="str">
        <f>HYPERLINK("https://shop.sonapharmacy.com/products/biogaia%c2%ae-probiotic-drops-with-vitamin-d3-10ml", "https://shop.sonapharmacy.com/products/biogaia%c2%ae-probiotic-drops-with-vitamin-d3-10ml")</f>
        <v>https://shop.sonapharmacy.com/products/biogaia%c2%ae-probiotic-drops-with-vitamin-d3-10ml</v>
      </c>
      <c r="C3925" t="s">
        <v>9963</v>
      </c>
      <c r="D3925" t="s">
        <v>10903</v>
      </c>
      <c r="E3925" s="3" t="str">
        <f>HYPERLINK("https://www.amazon.com/BioGaia-ProTectis-Drops-Vitamin-D3/dp/B01BULNT32/ref=sr_1_1?keywords=BioGaia%C2%AE+Protectis+Probiotic+Drops+with+Vitamin+D3+10ml.&amp;qid=1695260089&amp;sr=8-1", "https://www.amazon.com/BioGaia-ProTectis-Drops-Vitamin-D3/dp/B01BULNT32/ref=sr_1_1?keywords=BioGaia%C2%AE+Protectis+Probiotic+Drops+with+Vitamin+D3+10ml.&amp;qid=1695260089&amp;sr=8-1")</f>
        <v>https://www.amazon.com/BioGaia-ProTectis-Drops-Vitamin-D3/dp/B01BULNT32/ref=sr_1_1?keywords=BioGaia%C2%AE+Protectis+Probiotic+Drops+with+Vitamin+D3+10ml.&amp;qid=1695260089&amp;sr=8-1</v>
      </c>
      <c r="F3925" t="s">
        <v>10904</v>
      </c>
      <c r="G3925" t="e">
        <f ca="1">IMAGE("https://shop.sonapharmacy.com/cdn/shop/products/612o76TZDqL._AC_SL1500.jpg?v=1612372325")</f>
        <v>#NAME?</v>
      </c>
      <c r="H3925" t="e">
        <f ca="1">IMAGE("https://m.media-amazon.com/images/I/61aAnANmNML._AC_UL320_.jpg")</f>
        <v>#NAME?</v>
      </c>
      <c r="I3925" t="s">
        <v>9966</v>
      </c>
      <c r="J3925">
        <v>81.38</v>
      </c>
      <c r="K3925" s="2" t="s">
        <v>10905</v>
      </c>
      <c r="L3925">
        <v>4.4000000000000004</v>
      </c>
      <c r="M3925">
        <v>15</v>
      </c>
      <c r="O3925" t="s">
        <v>26</v>
      </c>
      <c r="P3925" t="s">
        <v>39</v>
      </c>
      <c r="Q3925" t="s">
        <v>9968</v>
      </c>
    </row>
    <row r="3926" spans="1:17" ht="15.75" x14ac:dyDescent="0.25">
      <c r="A3926" s="3" t="str">
        <f>HYPERLINK("https://shop.sonapharmacy.com/products/essential%C2%AE-medical-supply-cane-tip-5-8in-2ct", "https://shop.sonapharmacy.com/products/essential%C2%AE-medical-supply-cane-tip-5-8in-2ct")</f>
        <v>https://shop.sonapharmacy.com/products/essential%C2%AE-medical-supply-cane-tip-5-8in-2ct</v>
      </c>
      <c r="B3926" s="3" t="str">
        <f>HYPERLINK("https://shop.sonapharmacy.com/products/essential%c2%ae-medical-supply-cane-tip-5-8in-2ct", "https://shop.sonapharmacy.com/products/essential%c2%ae-medical-supply-cane-tip-5-8in-2ct")</f>
        <v>https://shop.sonapharmacy.com/products/essential%c2%ae-medical-supply-cane-tip-5-8in-2ct</v>
      </c>
      <c r="C3926" t="s">
        <v>10906</v>
      </c>
      <c r="D3926" t="s">
        <v>10907</v>
      </c>
      <c r="E3926" s="3" t="str">
        <f>HYPERLINK("https://www.amazon.com/Essential-Medical-Supply-T50058bl-Black/dp/B00LGDVQ80/ref=sr_1_1?keywords=Essential%C2%AE+Medical+Supply+Black+Cane+Tip+5%2F8in+-+2ct.&amp;qid=1695260218&amp;sr=8-1", "https://www.amazon.com/Essential-Medical-Supply-T50058bl-Black/dp/B00LGDVQ80/ref=sr_1_1?keywords=Essential%C2%AE+Medical+Supply+Black+Cane+Tip+5%2F8in+-+2ct.&amp;qid=1695260218&amp;sr=8-1")</f>
        <v>https://www.amazon.com/Essential-Medical-Supply-T50058bl-Black/dp/B00LGDVQ80/ref=sr_1_1?keywords=Essential%C2%AE+Medical+Supply+Black+Cane+Tip+5%2F8in+-+2ct.&amp;qid=1695260218&amp;sr=8-1</v>
      </c>
      <c r="F3926" t="s">
        <v>10908</v>
      </c>
      <c r="G3926" t="e">
        <f ca="1">IMAGE("https://shop.sonapharmacy.com/cdn/shop/products/drive-crutch-tips-78-black-1-pair-rtl10374bkb-0374bkb.65_2_047a8ae0-709c-421c-87b9-cf3a995a60d5.jpg?v=1609950765")</f>
        <v>#NAME?</v>
      </c>
      <c r="H3926" t="e">
        <f ca="1">IMAGE("https://m.media-amazon.com/images/I/71yQ1L7rWtL._AC_UL320_.jpg")</f>
        <v>#NAME?</v>
      </c>
      <c r="I3926" t="s">
        <v>10909</v>
      </c>
      <c r="J3926">
        <v>8</v>
      </c>
      <c r="K3926" s="2" t="s">
        <v>10910</v>
      </c>
      <c r="L3926">
        <v>4.5</v>
      </c>
      <c r="M3926">
        <v>3297</v>
      </c>
      <c r="O3926" t="s">
        <v>26</v>
      </c>
      <c r="P3926" t="s">
        <v>39</v>
      </c>
      <c r="Q3926" t="s">
        <v>10911</v>
      </c>
    </row>
    <row r="3927" spans="1:17" ht="15.75" x14ac:dyDescent="0.25">
      <c r="A3927" s="3" t="str">
        <f>HYPERLINK("https://shop.sonapharmacy.com/products/major-senna-tablets", "https://shop.sonapharmacy.com/products/major-senna-tablets")</f>
        <v>https://shop.sonapharmacy.com/products/major-senna-tablets</v>
      </c>
      <c r="B3927" s="3" t="str">
        <f>HYPERLINK("https://shop.sonapharmacy.com/products/major-senna-tablets", "https://shop.sonapharmacy.com/products/major-senna-tablets")</f>
        <v>https://shop.sonapharmacy.com/products/major-senna-tablets</v>
      </c>
      <c r="C3927" t="s">
        <v>10658</v>
      </c>
      <c r="D3927" t="s">
        <v>10912</v>
      </c>
      <c r="E3927" s="3" t="str">
        <f>HYPERLINK("https://www.amazon.com/Major-Pharmaceuticals-Natural-Vegetable-Laxative/dp/B013KY2Y9W/ref=sr_1_2?keywords=Major+Senna+Tablets&amp;qid=1695260458&amp;sr=8-2", "https://www.amazon.com/Major-Pharmaceuticals-Natural-Vegetable-Laxative/dp/B013KY2Y9W/ref=sr_1_2?keywords=Major+Senna+Tablets&amp;qid=1695260458&amp;sr=8-2")</f>
        <v>https://www.amazon.com/Major-Pharmaceuticals-Natural-Vegetable-Laxative/dp/B013KY2Y9W/ref=sr_1_2?keywords=Major+Senna+Tablets&amp;qid=1695260458&amp;sr=8-2</v>
      </c>
      <c r="F3927" t="s">
        <v>10913</v>
      </c>
      <c r="G3927" t="e">
        <f ca="1">IMAGE("https://shop.sonapharmacy.com/cdn/shop/products/MajorSennaFront.png?v=1606923439")</f>
        <v>#NAME?</v>
      </c>
      <c r="H3927" t="e">
        <f ca="1">IMAGE("https://m.media-amazon.com/images/I/617dJxlN0AL._AC_UL320_.jpg")</f>
        <v>#NAME?</v>
      </c>
      <c r="I3927" t="s">
        <v>10661</v>
      </c>
      <c r="J3927">
        <v>14</v>
      </c>
      <c r="K3927" s="2" t="s">
        <v>10914</v>
      </c>
      <c r="L3927">
        <v>4.7</v>
      </c>
      <c r="M3927">
        <v>1780</v>
      </c>
      <c r="O3927" t="s">
        <v>26</v>
      </c>
      <c r="P3927" t="s">
        <v>39</v>
      </c>
      <c r="Q3927" t="s">
        <v>10663</v>
      </c>
    </row>
    <row r="3928" spans="1:17" ht="15.75" x14ac:dyDescent="0.25">
      <c r="A3928"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3928"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3928" t="s">
        <v>8597</v>
      </c>
      <c r="D3928" t="s">
        <v>10915</v>
      </c>
      <c r="E3928" s="3" t="str">
        <f>HYPERLINK("https://www.amazon.com/Arm-Hammer-Whitening-Toothpaste-Packaging/dp/B0C4L44QHQ/ref=sr_1_9?keywords=Arm+%26+Hammer+Advance+White%E2%84%A2+Extreme+Whitening+Toothpaste+6oz.&amp;qid=1695260040&amp;sr=8-9", "https://www.amazon.com/Arm-Hammer-Whitening-Toothpaste-Packaging/dp/B0C4L44QHQ/ref=sr_1_9?keywords=Arm+%26+Hammer+Advance+White%E2%84%A2+Extreme+Whitening+Toothpaste+6oz.&amp;qid=1695260040&amp;sr=8-9")</f>
        <v>https://www.amazon.com/Arm-Hammer-Whitening-Toothpaste-Packaging/dp/B0C4L44QHQ/ref=sr_1_9?keywords=Arm+%26+Hammer+Advance+White%E2%84%A2+Extreme+Whitening+Toothpaste+6oz.&amp;qid=1695260040&amp;sr=8-9</v>
      </c>
      <c r="F3928" t="s">
        <v>10916</v>
      </c>
      <c r="G3928" t="e">
        <f ca="1">IMAGE("https://shop.sonapharmacy.com/cdn/shop/products/39e8f462-49a9-4142-bb95-6876f7f6bade.baebaa1c7268bbcf245f186bddbf5223_1.jpg?v=1611254657")</f>
        <v>#NAME?</v>
      </c>
      <c r="H3928" t="e">
        <f ca="1">IMAGE("https://m.media-amazon.com/images/I/51l53mQIltL._AC_UL320_.jpg")</f>
        <v>#NAME?</v>
      </c>
      <c r="I3928" t="s">
        <v>8600</v>
      </c>
      <c r="J3928">
        <v>12.84</v>
      </c>
      <c r="K3928" s="2" t="s">
        <v>10917</v>
      </c>
      <c r="L3928">
        <v>3</v>
      </c>
      <c r="M3928">
        <v>200</v>
      </c>
      <c r="O3928" t="s">
        <v>26</v>
      </c>
      <c r="P3928" t="s">
        <v>39</v>
      </c>
      <c r="Q3928" t="s">
        <v>8602</v>
      </c>
    </row>
    <row r="3929" spans="1:17" ht="15.75" x14ac:dyDescent="0.25">
      <c r="A3929" s="3" t="str">
        <f>HYPERLINK("https://shop.sonapharmacy.com/products/band-aid-tough-strips", "https://shop.sonapharmacy.com/products/band-aid-tough-strips")</f>
        <v>https://shop.sonapharmacy.com/products/band-aid-tough-strips</v>
      </c>
      <c r="B3929" s="3" t="str">
        <f>HYPERLINK("https://shop.sonapharmacy.com/products/band-aid-tough-strips", "https://shop.sonapharmacy.com/products/band-aid-tough-strips")</f>
        <v>https://shop.sonapharmacy.com/products/band-aid-tough-strips</v>
      </c>
      <c r="C3929" t="s">
        <v>9687</v>
      </c>
      <c r="D3929" t="s">
        <v>10918</v>
      </c>
      <c r="E3929" s="3" t="str">
        <f>HYPERLINK("https://www.amazon.com/BAND-AID-Tough-Strips-Bandages-Extra-Large/dp/B01IAHYSPW/ref=sr_1_3?keywords=BAND-AID%C2%AE+Tough+Strips&amp;qid=1695260064&amp;sr=8-3", "https://www.amazon.com/BAND-AID-Tough-Strips-Bandages-Extra-Large/dp/B01IAHYSPW/ref=sr_1_3?keywords=BAND-AID%C2%AE+Tough+Strips&amp;qid=1695260064&amp;sr=8-3")</f>
        <v>https://www.amazon.com/BAND-AID-Tough-Strips-Bandages-Extra-Large/dp/B01IAHYSPW/ref=sr_1_3?keywords=BAND-AID%C2%AE+Tough+Strips&amp;qid=1695260064&amp;sr=8-3</v>
      </c>
      <c r="F3929" t="s">
        <v>10919</v>
      </c>
      <c r="G3929" t="e">
        <f ca="1">IMAGE("https://shop.sonapharmacy.com/cdn/shop/products/bab_381370044246_band_aid_band_aid_tough_strip_xl_10ct_007.jpg?v=1607288053")</f>
        <v>#NAME?</v>
      </c>
      <c r="H3929" t="e">
        <f ca="1">IMAGE("https://m.media-amazon.com/images/I/717OYlY+HyL._AC_UL320_.jpg")</f>
        <v>#NAME?</v>
      </c>
      <c r="I3929" t="s">
        <v>8512</v>
      </c>
      <c r="J3929">
        <v>13.48</v>
      </c>
      <c r="K3929" s="2" t="s">
        <v>10920</v>
      </c>
      <c r="L3929">
        <v>4.7</v>
      </c>
      <c r="M3929">
        <v>1088</v>
      </c>
      <c r="O3929" t="s">
        <v>26</v>
      </c>
      <c r="P3929" t="s">
        <v>39</v>
      </c>
      <c r="Q3929" t="s">
        <v>9691</v>
      </c>
    </row>
    <row r="3930" spans="1:17" ht="15.75" x14ac:dyDescent="0.25">
      <c r="A3930" s="3" t="str">
        <f>HYPERLINK("https://shop.sonapharmacy.com/products/good-sense-pain-relief-caplets", "https://shop.sonapharmacy.com/products/good-sense-pain-relief-caplets")</f>
        <v>https://shop.sonapharmacy.com/products/good-sense-pain-relief-caplets</v>
      </c>
      <c r="B3930" s="3" t="str">
        <f>HYPERLINK("https://shop.sonapharmacy.com/products/good-sense-pain-relief-caplets", "https://shop.sonapharmacy.com/products/good-sense-pain-relief-caplets")</f>
        <v>https://shop.sonapharmacy.com/products/good-sense-pain-relief-caplets</v>
      </c>
      <c r="C3930" t="s">
        <v>10921</v>
      </c>
      <c r="D3930" t="s">
        <v>10922</v>
      </c>
      <c r="E3930" s="3" t="str">
        <f>HYPERLINK("https://www.amazon.com/GoodSense-Acetaminophen-Strength-Reliever-Reducer/dp/B00447FA7S/ref=sr_1_1?keywords=GoodSense%C2%AE+Pain+Relief+Caplets&amp;qid=1695260361&amp;sr=8-1", "https://www.amazon.com/GoodSense-Acetaminophen-Strength-Reliever-Reducer/dp/B00447FA7S/ref=sr_1_1?keywords=GoodSense%C2%AE+Pain+Relief+Caplets&amp;qid=1695260361&amp;sr=8-1")</f>
        <v>https://www.amazon.com/GoodSense-Acetaminophen-Strength-Reliever-Reducer/dp/B00447FA7S/ref=sr_1_1?keywords=GoodSense%C2%AE+Pain+Relief+Caplets&amp;qid=1695260361&amp;sr=8-1</v>
      </c>
      <c r="F3930" t="s">
        <v>10923</v>
      </c>
      <c r="G3930" t="e">
        <f ca="1">IMAGE("https://shop.sonapharmacy.com/cdn/shop/products/Untitled-11.jpg?v=1592592053")</f>
        <v>#NAME?</v>
      </c>
      <c r="H3930" t="e">
        <f ca="1">IMAGE("https://m.media-amazon.com/images/I/61grcfYAnAL._AC_UL320_.jpg")</f>
        <v>#NAME?</v>
      </c>
      <c r="I3930" t="s">
        <v>9015</v>
      </c>
      <c r="J3930">
        <v>11.49</v>
      </c>
      <c r="K3930" s="2" t="s">
        <v>10924</v>
      </c>
      <c r="L3930">
        <v>4.8</v>
      </c>
      <c r="M3930">
        <v>9057</v>
      </c>
      <c r="O3930" t="s">
        <v>26</v>
      </c>
      <c r="P3930" t="s">
        <v>39</v>
      </c>
      <c r="Q3930" t="s">
        <v>10925</v>
      </c>
    </row>
    <row r="3931" spans="1:17" ht="15.75" x14ac:dyDescent="0.25">
      <c r="A3931" s="3" t="str">
        <f>HYPERLINK("https://shop.sonapharmacy.com/products/olay-firming-night-cream", "https://shop.sonapharmacy.com/products/olay-firming-night-cream")</f>
        <v>https://shop.sonapharmacy.com/products/olay-firming-night-cream</v>
      </c>
      <c r="B3931" s="3" t="str">
        <f>HYPERLINK("https://shop.sonapharmacy.com/products/olay-firming-night-cream", "https://shop.sonapharmacy.com/products/olay-firming-night-cream")</f>
        <v>https://shop.sonapharmacy.com/products/olay-firming-night-cream</v>
      </c>
      <c r="C3931" t="s">
        <v>9934</v>
      </c>
      <c r="D3931" t="s">
        <v>10926</v>
      </c>
      <c r="E3931" s="3" t="str">
        <f>HYPERLINK("https://www.amazon.com/Olay-Night-Firming-Cream-Fluid/dp/B001F51TNQ/ref=sr_1_1?keywords=Olay+Firming+Night+Cream+2oz.&amp;qid=1695260605&amp;sr=8-1", "https://www.amazon.com/Olay-Night-Firming-Cream-Fluid/dp/B001F51TNQ/ref=sr_1_1?keywords=Olay+Firming+Night+Cream+2oz.&amp;qid=1695260605&amp;sr=8-1")</f>
        <v>https://www.amazon.com/Olay-Night-Firming-Cream-Fluid/dp/B001F51TNQ/ref=sr_1_1?keywords=Olay+Firming+Night+Cream+2oz.&amp;qid=1695260605&amp;sr=8-1</v>
      </c>
      <c r="F3931" t="s">
        <v>10927</v>
      </c>
      <c r="G3931" t="e">
        <f ca="1">IMAGE("https://shop.sonapharmacy.com/cdn/shop/products/8ab34b91-bb31-4d78-b1bd-17a55c1f470c.cc6d41549f1d2b88b521d28e4b88cd02.jpg?v=1608242565")</f>
        <v>#NAME?</v>
      </c>
      <c r="H3931" t="e">
        <f ca="1">IMAGE("https://m.media-amazon.com/images/I/51lnqLfX1xL._AC_UL320_.jpg")</f>
        <v>#NAME?</v>
      </c>
      <c r="I3931" t="s">
        <v>9937</v>
      </c>
      <c r="J3931">
        <v>23.94</v>
      </c>
      <c r="K3931" s="2" t="s">
        <v>10928</v>
      </c>
      <c r="L3931">
        <v>4.5999999999999996</v>
      </c>
      <c r="M3931">
        <v>2722</v>
      </c>
      <c r="O3931" t="s">
        <v>26</v>
      </c>
      <c r="P3931" t="s">
        <v>39</v>
      </c>
      <c r="Q3931" t="s">
        <v>9939</v>
      </c>
    </row>
    <row r="3932" spans="1:17" ht="15.75" x14ac:dyDescent="0.25">
      <c r="A3932" s="3" t="str">
        <f>HYPERLINK("https://shop.sonapharmacy.com/products/sunbum%C2%AE-after-sun-cool-down-lotion-3fl-oz", "https://shop.sonapharmacy.com/products/sunbum%C2%AE-after-sun-cool-down-lotion-3fl-oz")</f>
        <v>https://shop.sonapharmacy.com/products/sunbum%C2%AE-after-sun-cool-down-lotion-3fl-oz</v>
      </c>
      <c r="B3932" s="3" t="str">
        <f>HYPERLINK("https://shop.sonapharmacy.com/products/sunbum%c2%ae-after-sun-cool-down-lotion-3fl-oz", "https://shop.sonapharmacy.com/products/sunbum%c2%ae-after-sun-cool-down-lotion-3fl-oz")</f>
        <v>https://shop.sonapharmacy.com/products/sunbum%c2%ae-after-sun-cool-down-lotion-3fl-oz</v>
      </c>
      <c r="C3932" t="s">
        <v>10463</v>
      </c>
      <c r="D3932" t="s">
        <v>10929</v>
      </c>
      <c r="E3932" s="3" t="str">
        <f>HYPERLINK("https://www.amazon.com/Sun-Bum-Hypoallergenic-Hydrate-Sunburn/dp/B086R4G8B4/ref=sr_1_5?keywords=Sun+Bum%C2%AE+After+Sun+Cool+Down+Lotion&amp;qid=1695260733&amp;sr=8-5", "https://www.amazon.com/Sun-Bum-Hypoallergenic-Hydrate-Sunburn/dp/B086R4G8B4/ref=sr_1_5?keywords=Sun+Bum%C2%AE+After+Sun+Cool+Down+Lotion&amp;qid=1695260733&amp;sr=8-5")</f>
        <v>https://www.amazon.com/Sun-Bum-Hypoallergenic-Hydrate-Sunburn/dp/B086R4G8B4/ref=sr_1_5?keywords=Sun+Bum%C2%AE+After+Sun+Cool+Down+Lotion&amp;qid=1695260733&amp;sr=8-5</v>
      </c>
      <c r="F3932" t="s">
        <v>10930</v>
      </c>
      <c r="G3932" t="e">
        <f ca="1">IMAGE("https://shop.sonapharmacy.com/cdn/shop/products/a5a83c38-73f5-476c-9809-d631e9fa1de9_1.becde44019f64609642f026cbe40180a.jpg?v=1611159956")</f>
        <v>#NAME?</v>
      </c>
      <c r="H3932" t="e">
        <f ca="1">IMAGE("https://m.media-amazon.com/images/I/71oh0ukppmL._AC_UL320_.jpg")</f>
        <v>#NAME?</v>
      </c>
      <c r="I3932" t="s">
        <v>3392</v>
      </c>
      <c r="J3932">
        <v>18.75</v>
      </c>
      <c r="K3932" s="2" t="s">
        <v>10931</v>
      </c>
      <c r="L3932">
        <v>4.7</v>
      </c>
      <c r="M3932">
        <v>107</v>
      </c>
      <c r="O3932" t="s">
        <v>26</v>
      </c>
      <c r="P3932" t="s">
        <v>39</v>
      </c>
      <c r="Q3932" t="s">
        <v>10467</v>
      </c>
    </row>
    <row r="3933" spans="1:17" ht="15.75" x14ac:dyDescent="0.25">
      <c r="A3933" s="3" t="str">
        <f>HYPERLINK("https://shop.sonapharmacy.com/products/neutrogena%C2%AE-ultra-sheer%C2%AE-spf-30-dry-touch-sunscreen-lotion-3fl-oz", "https://shop.sonapharmacy.com/products/neutrogena%C2%AE-ultra-sheer%C2%AE-spf-30-dry-touch-sunscreen-lotion-3fl-oz")</f>
        <v>https://shop.sonapharmacy.com/products/neutrogena%C2%AE-ultra-sheer%C2%AE-spf-30-dry-touch-sunscreen-lotion-3fl-oz</v>
      </c>
      <c r="B3933" s="3" t="str">
        <f>HYPERLINK("https://shop.sonapharmacy.com/products/neutrogena%c2%ae-ultra-sheer%c2%ae-spf-30-dry-touch-sunscreen-lotion-3fl-oz", "https://shop.sonapharmacy.com/products/neutrogena%c2%ae-ultra-sheer%c2%ae-spf-30-dry-touch-sunscreen-lotion-3fl-oz")</f>
        <v>https://shop.sonapharmacy.com/products/neutrogena%c2%ae-ultra-sheer%c2%ae-spf-30-dry-touch-sunscreen-lotion-3fl-oz</v>
      </c>
      <c r="C3933" t="s">
        <v>10932</v>
      </c>
      <c r="D3933" t="s">
        <v>10933</v>
      </c>
      <c r="E3933" s="3" t="str">
        <f>HYPERLINK("https://www.amazon.com/Neutrogena-Protection-Oxybenzone-Free-Non-Comedogenic-Non-Greasy/dp/B08QKQXZ46/ref=sr_1_1?keywords=Neutrogena%C2%AE+Ultra+Sheer%C2%AE+SPF+30+Dry-Touch+Sunscreen+Lotion+3fl.+oz.&amp;qid=1695260562&amp;sr=8-1", "https://www.amazon.com/Neutrogena-Protection-Oxybenzone-Free-Non-Comedogenic-Non-Greasy/dp/B08QKQXZ46/ref=sr_1_1?keywords=Neutrogena%C2%AE+Ultra+Sheer%C2%AE+SPF+30+Dry-Touch+Sunscreen+Lotion+3fl.+oz.&amp;qid=1695260562&amp;sr=8-1")</f>
        <v>https://www.amazon.com/Neutrogena-Protection-Oxybenzone-Free-Non-Comedogenic-Non-Greasy/dp/B08QKQXZ46/ref=sr_1_1?keywords=Neutrogena%C2%AE+Ultra+Sheer%C2%AE+SPF+30+Dry-Touch+Sunscreen+Lotion+3fl.+oz.&amp;qid=1695260562&amp;sr=8-1</v>
      </c>
      <c r="F3933" t="s">
        <v>10934</v>
      </c>
      <c r="G3933" t="e">
        <f ca="1">IMAGE("https://shop.sonapharmacy.com/cdn/shop/products/6868785_MAIN.jpg?v=1610658411")</f>
        <v>#NAME?</v>
      </c>
      <c r="H3933" t="e">
        <f ca="1">IMAGE("https://m.media-amazon.com/images/I/71OiJFgHlcL._AC_UL320_.jpg")</f>
        <v>#NAME?</v>
      </c>
      <c r="I3933" t="s">
        <v>10935</v>
      </c>
      <c r="J3933">
        <v>28.77</v>
      </c>
      <c r="K3933" s="2" t="s">
        <v>10936</v>
      </c>
      <c r="L3933">
        <v>4.8</v>
      </c>
      <c r="M3933">
        <v>541</v>
      </c>
      <c r="O3933" t="s">
        <v>26</v>
      </c>
      <c r="P3933" t="s">
        <v>39</v>
      </c>
      <c r="Q3933" t="s">
        <v>10937</v>
      </c>
    </row>
    <row r="3934" spans="1:17" ht="15.75" x14ac:dyDescent="0.25">
      <c r="A3934" s="3" t="str">
        <f>HYPERLINK("https://shop.sonapharmacy.com/products/pedia-lax-liquid-glycerin-suppositories", "https://shop.sonapharmacy.com/products/pedia-lax-liquid-glycerin-suppositories")</f>
        <v>https://shop.sonapharmacy.com/products/pedia-lax-liquid-glycerin-suppositories</v>
      </c>
      <c r="B3934" s="3" t="str">
        <f>HYPERLINK("https://shop.sonapharmacy.com/products/pedia-lax-liquid-glycerin-suppositories", "https://shop.sonapharmacy.com/products/pedia-lax-liquid-glycerin-suppositories")</f>
        <v>https://shop.sonapharmacy.com/products/pedia-lax-liquid-glycerin-suppositories</v>
      </c>
      <c r="C3934" t="s">
        <v>8340</v>
      </c>
      <c r="D3934" t="s">
        <v>8454</v>
      </c>
      <c r="E3934" s="3" t="str">
        <f>HYPERLINK("https://www.amazon.com/Pedia-Lax-Glycerin-Suppositories-Constipation-Applicators/dp/B075MMWQF3/ref=sr_1_1?keywords=Pedia-Lax%C2%AE+Liquid+Glycerin+Suppositories&amp;qid=1695260624&amp;sr=8-1", "https://www.amazon.com/Pedia-Lax-Glycerin-Suppositories-Constipation-Applicators/dp/B075MMWQF3/ref=sr_1_1?keywords=Pedia-Lax%C2%AE+Liquid+Glycerin+Suppositories&amp;qid=1695260624&amp;sr=8-1")</f>
        <v>https://www.amazon.com/Pedia-Lax-Glycerin-Suppositories-Constipation-Applicators/dp/B075MMWQF3/ref=sr_1_1?keywords=Pedia-Lax%C2%AE+Liquid+Glycerin+Suppositories&amp;qid=1695260624&amp;sr=8-1</v>
      </c>
      <c r="F3934" t="s">
        <v>8490</v>
      </c>
      <c r="G3934" t="e">
        <f ca="1">IMAGE("https://shop.sonapharmacy.com/cdn/shop/products/PediaLaxSuppository.png?v=1606852444")</f>
        <v>#NAME?</v>
      </c>
      <c r="H3934" t="e">
        <f ca="1">IMAGE("https://m.media-amazon.com/images/I/71fe6UVAPdL._AC_UL320_.jpg")</f>
        <v>#NAME?</v>
      </c>
      <c r="I3934" t="s">
        <v>8341</v>
      </c>
      <c r="J3934">
        <v>19.86</v>
      </c>
      <c r="K3934" s="2" t="s">
        <v>10938</v>
      </c>
      <c r="L3934">
        <v>4.8</v>
      </c>
      <c r="M3934">
        <v>2334</v>
      </c>
      <c r="O3934" t="s">
        <v>26</v>
      </c>
      <c r="P3934" t="s">
        <v>39</v>
      </c>
      <c r="Q3934" t="s">
        <v>8343</v>
      </c>
    </row>
    <row r="3935" spans="1:17" ht="15.75" x14ac:dyDescent="0.25">
      <c r="A3935" s="3" t="str">
        <f>HYPERLINK("https://shop.sonapharmacy.com/products/nasacort-allergy-24hr-nasal-spray", "https://shop.sonapharmacy.com/products/nasacort-allergy-24hr-nasal-spray")</f>
        <v>https://shop.sonapharmacy.com/products/nasacort-allergy-24hr-nasal-spray</v>
      </c>
      <c r="B3935" s="3" t="str">
        <f>HYPERLINK("https://shop.sonapharmacy.com/products/nasacort-allergy-24hr-nasal-spray", "https://shop.sonapharmacy.com/products/nasacort-allergy-24hr-nasal-spray")</f>
        <v>https://shop.sonapharmacy.com/products/nasacort-allergy-24hr-nasal-spray</v>
      </c>
      <c r="C3935" t="s">
        <v>10882</v>
      </c>
      <c r="D3935" t="s">
        <v>10939</v>
      </c>
      <c r="E3935" s="3" t="str">
        <f>HYPERLINK("https://www.amazon.com/Nasonex-24Hr-Allergy-Nasal-Spray/dp/B0BSVH17C6/ref=sr_1_9?keywords=Nasacort+Allergy+24HR+Nasal+Spray&amp;qid=1695260517&amp;sr=8-9", "https://www.amazon.com/Nasonex-24Hr-Allergy-Nasal-Spray/dp/B0BSVH17C6/ref=sr_1_9?keywords=Nasacort+Allergy+24HR+Nasal+Spray&amp;qid=1695260517&amp;sr=8-9")</f>
        <v>https://www.amazon.com/Nasonex-24Hr-Allergy-Nasal-Spray/dp/B0BSVH17C6/ref=sr_1_9?keywords=Nasacort+Allergy+24HR+Nasal+Spray&amp;qid=1695260517&amp;sr=8-9</v>
      </c>
      <c r="F3935" t="s">
        <v>10940</v>
      </c>
      <c r="G3935" t="e">
        <f ca="1">IMAGE("https://shop.sonapharmacy.com/cdn/shop/products/NasacortAllergy24HRNasalSpray.png?v=1595517896")</f>
        <v>#NAME?</v>
      </c>
      <c r="H3935" t="e">
        <f ca="1">IMAGE("https://m.media-amazon.com/images/I/71dg3JS+CwL._AC_UL320_.jpg")</f>
        <v>#NAME?</v>
      </c>
      <c r="I3935" t="s">
        <v>10885</v>
      </c>
      <c r="J3935">
        <v>37.85</v>
      </c>
      <c r="K3935" s="2" t="s">
        <v>10941</v>
      </c>
      <c r="L3935">
        <v>4.7</v>
      </c>
      <c r="M3935">
        <v>92</v>
      </c>
      <c r="O3935" t="s">
        <v>26</v>
      </c>
      <c r="P3935" t="s">
        <v>39</v>
      </c>
      <c r="Q3935" t="s">
        <v>10886</v>
      </c>
    </row>
    <row r="3936" spans="1:17" ht="15.75" x14ac:dyDescent="0.25">
      <c r="A3936" s="3" t="str">
        <f>HYPERLINK("https://shop.sonapharmacy.com/products/organic-hibiscus-herbal-tea", "https://shop.sonapharmacy.com/products/organic-hibiscus-herbal-tea")</f>
        <v>https://shop.sonapharmacy.com/products/organic-hibiscus-herbal-tea</v>
      </c>
      <c r="B3936" s="3" t="str">
        <f>HYPERLINK("https://shop.sonapharmacy.com/products/organic-hibiscus-herbal-tea", "https://shop.sonapharmacy.com/products/organic-hibiscus-herbal-tea")</f>
        <v>https://shop.sonapharmacy.com/products/organic-hibiscus-herbal-tea</v>
      </c>
      <c r="C3936" t="s">
        <v>10942</v>
      </c>
      <c r="D3936" t="s">
        <v>10943</v>
      </c>
      <c r="E3936" s="3" t="str">
        <f>HYPERLINK("https://www.amazon.com/Gaia-Herbs-Organic-Hibiscus-Herbal/dp/B01KCG0WVS/ref=sr_1_1?keywords=Gaia%C2%AE+Herbs+Organic+Hibiscus+Herbal+Tea+16ct.&amp;qid=1695260283&amp;sr=8-1", "https://www.amazon.com/Gaia-Herbs-Organic-Hibiscus-Herbal/dp/B01KCG0WVS/ref=sr_1_1?keywords=Gaia%C2%AE+Herbs+Organic+Hibiscus+Herbal+Tea+16ct.&amp;qid=1695260283&amp;sr=8-1")</f>
        <v>https://www.amazon.com/Gaia-Herbs-Organic-Hibiscus-Herbal/dp/B01KCG0WVS/ref=sr_1_1?keywords=Gaia%C2%AE+Herbs+Organic+Hibiscus+Herbal+Tea+16ct.&amp;qid=1695260283&amp;sr=8-1</v>
      </c>
      <c r="F3936" t="s">
        <v>10944</v>
      </c>
      <c r="G3936" t="e">
        <f ca="1">IMAGE("https://shop.sonapharmacy.com/cdn/shop/products/OrganicHibiscusHerbalTea.png?v=1594754118")</f>
        <v>#NAME?</v>
      </c>
      <c r="H3936" t="e">
        <f ca="1">IMAGE("https://m.media-amazon.com/images/I/71h4aUhUvHL._AC_UL320_.jpg")</f>
        <v>#NAME?</v>
      </c>
      <c r="I3936" t="s">
        <v>8963</v>
      </c>
      <c r="J3936">
        <v>13.99</v>
      </c>
      <c r="K3936" s="2" t="s">
        <v>10945</v>
      </c>
      <c r="L3936">
        <v>4.3</v>
      </c>
      <c r="M3936">
        <v>122</v>
      </c>
      <c r="O3936" t="s">
        <v>26</v>
      </c>
      <c r="P3936" t="s">
        <v>39</v>
      </c>
      <c r="Q3936" t="s">
        <v>10946</v>
      </c>
    </row>
    <row r="3937" spans="1:17" ht="15.75" x14ac:dyDescent="0.25">
      <c r="A3937" s="3" t="str">
        <f>HYPERLINK("https://shop.sonapharmacy.com/products/aquaphor%C2%AE-healing-ointment", "https://shop.sonapharmacy.com/products/aquaphor%C2%AE-healing-ointment")</f>
        <v>https://shop.sonapharmacy.com/products/aquaphor%C2%AE-healing-ointment</v>
      </c>
      <c r="B3937" s="3" t="str">
        <f>HYPERLINK("https://shop.sonapharmacy.com/products/aquaphor%c2%ae-healing-ointment", "https://shop.sonapharmacy.com/products/aquaphor%c2%ae-healing-ointment")</f>
        <v>https://shop.sonapharmacy.com/products/aquaphor%c2%ae-healing-ointment</v>
      </c>
      <c r="C3937" t="s">
        <v>9238</v>
      </c>
      <c r="D3937" t="s">
        <v>10947</v>
      </c>
      <c r="E3937" s="3" t="str">
        <f>HYPERLINK("https://www.amazon.com/Aquaphor-Baby-Healing-Ointment-Advance/dp/B005UEB96K/ref=sr_1_2?keywords=Aquaphor+Healing+Ointment&amp;qid=1695260029&amp;sr=8-2", "https://www.amazon.com/Aquaphor-Baby-Healing-Ointment-Advance/dp/B005UEB96K/ref=sr_1_2?keywords=Aquaphor+Healing+Ointment&amp;qid=1695260029&amp;sr=8-2")</f>
        <v>https://www.amazon.com/Aquaphor-Baby-Healing-Ointment-Advance/dp/B005UEB96K/ref=sr_1_2?keywords=Aquaphor+Healing+Ointment&amp;qid=1695260029&amp;sr=8-2</v>
      </c>
      <c r="F3937" t="s">
        <v>10948</v>
      </c>
      <c r="G3937" t="e">
        <f ca="1">IMAGE("https://shop.sonapharmacy.com/cdn/shop/products/83663518614618p.jpg?v=1609722179")</f>
        <v>#NAME?</v>
      </c>
      <c r="H3937" t="e">
        <f ca="1">IMAGE("https://m.media-amazon.com/images/I/51Ipu3F2hQL._AC_UL320_.jpg")</f>
        <v>#NAME?</v>
      </c>
      <c r="I3937" t="s">
        <v>9241</v>
      </c>
      <c r="J3937">
        <v>13.81</v>
      </c>
      <c r="K3937" s="2" t="s">
        <v>10949</v>
      </c>
      <c r="L3937">
        <v>4.8</v>
      </c>
      <c r="M3937">
        <v>50199</v>
      </c>
      <c r="O3937" t="s">
        <v>26</v>
      </c>
      <c r="P3937" t="s">
        <v>39</v>
      </c>
      <c r="Q3937" t="s">
        <v>9243</v>
      </c>
    </row>
    <row r="3938" spans="1:17" ht="15.75" x14ac:dyDescent="0.25">
      <c r="A3938" s="3" t="str">
        <f>HYPERLINK("https://shop.sonapharmacy.com/products/duracell%C2%AE-aa-coppertop-alkaline-batteries", "https://shop.sonapharmacy.com/products/duracell%C2%AE-aa-coppertop-alkaline-batteries")</f>
        <v>https://shop.sonapharmacy.com/products/duracell%C2%AE-aa-coppertop-alkaline-batteries</v>
      </c>
      <c r="B3938" s="3" t="str">
        <f>HYPERLINK("https://shop.sonapharmacy.com/products/duracell%c2%ae-aa-coppertop-alkaline-batteries", "https://shop.sonapharmacy.com/products/duracell%c2%ae-aa-coppertop-alkaline-batteries")</f>
        <v>https://shop.sonapharmacy.com/products/duracell%c2%ae-aa-coppertop-alkaline-batteries</v>
      </c>
      <c r="C3938" t="s">
        <v>9023</v>
      </c>
      <c r="D3938" t="s">
        <v>10950</v>
      </c>
      <c r="E3938" s="3" t="str">
        <f>HYPERLINK("https://www.amazon.com/Duracell-Coppertop-AA-Ingredients-Long-lasting/dp/B0035LCFNQ/ref=sr_1_2?keywords=Duracell%C2%AE+AA+CopperTop+Alkaline+Batteries&amp;qid=1695260202&amp;sr=8-2", "https://www.amazon.com/Duracell-Coppertop-AA-Ingredients-Long-lasting/dp/B0035LCFNQ/ref=sr_1_2?keywords=Duracell%C2%AE+AA+CopperTop+Alkaline+Batteries&amp;qid=1695260202&amp;sr=8-2")</f>
        <v>https://www.amazon.com/Duracell-Coppertop-AA-Ingredients-Long-lasting/dp/B0035LCFNQ/ref=sr_1_2?keywords=Duracell%C2%AE+AA+CopperTop+Alkaline+Batteries&amp;qid=1695260202&amp;sr=8-2</v>
      </c>
      <c r="F3938" t="s">
        <v>10951</v>
      </c>
      <c r="G3938" t="e">
        <f ca="1">IMAGE("https://shop.sonapharmacy.com/cdn/shop/products/b3e62c3a-da6e-4a57-a7e4-c37556c20cce_1.d37a55fc5e4e20c625490346499e718f.png?v=1610335054")</f>
        <v>#NAME?</v>
      </c>
      <c r="H3938" t="e">
        <f ca="1">IMAGE("https://m.media-amazon.com/images/I/71F1yxjGeYL._AC_UL320_.jpg")</f>
        <v>#NAME?</v>
      </c>
      <c r="I3938" t="s">
        <v>8169</v>
      </c>
      <c r="J3938">
        <v>17.760000000000002</v>
      </c>
      <c r="K3938" s="2" t="s">
        <v>10952</v>
      </c>
      <c r="L3938">
        <v>4.8</v>
      </c>
      <c r="M3938">
        <v>69531</v>
      </c>
      <c r="O3938" t="s">
        <v>26</v>
      </c>
      <c r="P3938" t="s">
        <v>39</v>
      </c>
      <c r="Q3938" t="s">
        <v>9027</v>
      </c>
    </row>
    <row r="3939" spans="1:17" ht="15.75" x14ac:dyDescent="0.25">
      <c r="A3939" s="3" t="str">
        <f>HYPERLINK("https://shop.sonapharmacy.com/products/psoriasin-deep-moisturizing-ointment-4-2oz", "https://shop.sonapharmacy.com/products/psoriasin-deep-moisturizing-ointment-4-2oz")</f>
        <v>https://shop.sonapharmacy.com/products/psoriasin-deep-moisturizing-ointment-4-2oz</v>
      </c>
      <c r="B3939" s="3" t="str">
        <f>HYPERLINK("https://shop.sonapharmacy.com/products/psoriasin-deep-moisturizing-ointment-4-2oz", "https://shop.sonapharmacy.com/products/psoriasin-deep-moisturizing-ointment-4-2oz")</f>
        <v>https://shop.sonapharmacy.com/products/psoriasin-deep-moisturizing-ointment-4-2oz</v>
      </c>
      <c r="C3939" t="s">
        <v>10953</v>
      </c>
      <c r="D3939" t="s">
        <v>10954</v>
      </c>
      <c r="E3939" s="3" t="str">
        <f>HYPERLINK("https://www.amazon.com/Psoriasin-Deep-Moisturizing-Ointment-Pack/dp/B07KM1NMTL/ref=sr_1_4?keywords=Psoriasin+Deep+Moisturizing+Ointment+4.2oz.&amp;qid=1695260655&amp;sr=8-4", "https://www.amazon.com/Psoriasin-Deep-Moisturizing-Ointment-Pack/dp/B07KM1NMTL/ref=sr_1_4?keywords=Psoriasin+Deep+Moisturizing+Ointment+4.2oz.&amp;qid=1695260655&amp;sr=8-4")</f>
        <v>https://www.amazon.com/Psoriasin-Deep-Moisturizing-Ointment-Pack/dp/B07KM1NMTL/ref=sr_1_4?keywords=Psoriasin+Deep+Moisturizing+Ointment+4.2oz.&amp;qid=1695260655&amp;sr=8-4</v>
      </c>
      <c r="F3939" t="s">
        <v>10955</v>
      </c>
      <c r="G3939" t="e">
        <f ca="1">IMAGE("https://shop.sonapharmacy.com/cdn/shop/products/3c728755-5f7d-4766-a27c-0131e031cc05_1.788816f0f6bb952cd3c8d94ead996c31.png?v=1608405997")</f>
        <v>#NAME?</v>
      </c>
      <c r="H3939" t="e">
        <f ca="1">IMAGE("https://m.media-amazon.com/images/I/61-DnkKkRFL._AC_UL320_.jpg")</f>
        <v>#NAME?</v>
      </c>
      <c r="I3939" t="s">
        <v>10956</v>
      </c>
      <c r="J3939">
        <v>29.99</v>
      </c>
      <c r="K3939" s="2" t="s">
        <v>10957</v>
      </c>
      <c r="L3939">
        <v>4.4000000000000004</v>
      </c>
      <c r="M3939">
        <v>87</v>
      </c>
      <c r="O3939" t="s">
        <v>136</v>
      </c>
      <c r="P3939" t="s">
        <v>39</v>
      </c>
      <c r="Q3939" t="s">
        <v>10958</v>
      </c>
    </row>
    <row r="3940" spans="1:17" ht="15.75" x14ac:dyDescent="0.25">
      <c r="A3940" s="3" t="str">
        <f>HYPERLINK("https://shop.sonapharmacy.com/products/sunbum%C2%AE-original-spf-15-sunscreen-spray-6oz", "https://shop.sonapharmacy.com/products/sunbum%C2%AE-original-spf-15-sunscreen-spray-6oz")</f>
        <v>https://shop.sonapharmacy.com/products/sunbum%C2%AE-original-spf-15-sunscreen-spray-6oz</v>
      </c>
      <c r="B3940" s="3" t="str">
        <f>HYPERLINK("https://shop.sonapharmacy.com/products/sunbum%c2%ae-original-spf-15-sunscreen-spray-6oz", "https://shop.sonapharmacy.com/products/sunbum%c2%ae-original-spf-15-sunscreen-spray-6oz")</f>
        <v>https://shop.sonapharmacy.com/products/sunbum%c2%ae-original-spf-15-sunscreen-spray-6oz</v>
      </c>
      <c r="C3940" t="s">
        <v>10959</v>
      </c>
      <c r="D3940" t="s">
        <v>10960</v>
      </c>
      <c r="E3940" s="3" t="str">
        <f>HYPERLINK("https://www.amazon.com/Sun-Bum-octinoxate-Oxybenzone-Moisturizing/dp/B086R6MZK9/ref=sr_1_2?keywords=Sun+Bum%C2%AE+Original+SPF+15+Sunscreen+Spray+6oz.&amp;qid=1695260740&amp;sr=8-2", "https://www.amazon.com/Sun-Bum-octinoxate-Oxybenzone-Moisturizing/dp/B086R6MZK9/ref=sr_1_2?keywords=Sun+Bum%C2%AE+Original+SPF+15+Sunscreen+Spray+6oz.&amp;qid=1695260740&amp;sr=8-2")</f>
        <v>https://www.amazon.com/Sun-Bum-octinoxate-Oxybenzone-Moisturizing/dp/B086R6MZK9/ref=sr_1_2?keywords=Sun+Bum%C2%AE+Original+SPF+15+Sunscreen+Spray+6oz.&amp;qid=1695260740&amp;sr=8-2</v>
      </c>
      <c r="F3940" t="s">
        <v>10961</v>
      </c>
      <c r="G3940" t="e">
        <f ca="1">IMAGE("https://shop.sonapharmacy.com/cdn/shop/products/71iL74hpC9L._AC_SL1500.jpg?v=1611869838")</f>
        <v>#NAME?</v>
      </c>
      <c r="H3940" t="e">
        <f ca="1">IMAGE("https://m.media-amazon.com/images/I/81n1g+6670L._AC_UL320_.jpg")</f>
        <v>#NAME?</v>
      </c>
      <c r="I3940" t="s">
        <v>3394</v>
      </c>
      <c r="J3940">
        <v>36.979999999999997</v>
      </c>
      <c r="K3940" s="2" t="s">
        <v>10962</v>
      </c>
      <c r="L3940">
        <v>4.8</v>
      </c>
      <c r="M3940">
        <v>2861</v>
      </c>
      <c r="O3940" t="s">
        <v>26</v>
      </c>
      <c r="P3940" t="s">
        <v>39</v>
      </c>
      <c r="Q3940" t="s">
        <v>10963</v>
      </c>
    </row>
    <row r="3941" spans="1:17" ht="15.75" x14ac:dyDescent="0.25">
      <c r="A3941" s="3" t="str">
        <f>HYPERLINK("https://shop.sonapharmacy.com/products/nexcare-opticlude", "https://shop.sonapharmacy.com/products/nexcare-opticlude")</f>
        <v>https://shop.sonapharmacy.com/products/nexcare-opticlude</v>
      </c>
      <c r="B3941" s="3" t="str">
        <f>HYPERLINK("https://shop.sonapharmacy.com/products/nexcare-opticlude", "https://shop.sonapharmacy.com/products/nexcare-opticlude")</f>
        <v>https://shop.sonapharmacy.com/products/nexcare-opticlude</v>
      </c>
      <c r="C3941" t="s">
        <v>8566</v>
      </c>
      <c r="D3941" t="s">
        <v>10964</v>
      </c>
      <c r="E3941" s="3" t="str">
        <f>HYPERLINK("https://www.amazon.com/Nexcare-Opticlude-Orthoptic-Patches-20-Count/dp/B001EJOPQ6/ref=sr_1_5?keywords=Nexcare+Opticlude+Eye+Patch&amp;qid=1695260565&amp;sr=8-5", "https://www.amazon.com/Nexcare-Opticlude-Orthoptic-Patches-20-Count/dp/B001EJOPQ6/ref=sr_1_5?keywords=Nexcare+Opticlude+Eye+Patch&amp;qid=1695260565&amp;sr=8-5")</f>
        <v>https://www.amazon.com/Nexcare-Opticlude-Orthoptic-Patches-20-Count/dp/B001EJOPQ6/ref=sr_1_5?keywords=Nexcare+Opticlude+Eye+Patch&amp;qid=1695260565&amp;sr=8-5</v>
      </c>
      <c r="F3941" t="s">
        <v>10965</v>
      </c>
      <c r="G3941" t="e">
        <f ca="1">IMAGE("https://shop.sonapharmacy.com/cdn/shop/products/us-1539-opticlude-eyepatch.jpg?v=1607704873")</f>
        <v>#NAME?</v>
      </c>
      <c r="H3941" t="e">
        <f ca="1">IMAGE("https://m.media-amazon.com/images/I/81VI7MmRJ3L._AC_UL320_.jpg")</f>
        <v>#NAME?</v>
      </c>
      <c r="I3941" t="s">
        <v>4296</v>
      </c>
      <c r="J3941">
        <v>24.95</v>
      </c>
      <c r="K3941" s="2" t="s">
        <v>10966</v>
      </c>
      <c r="L3941">
        <v>4.3</v>
      </c>
      <c r="M3941">
        <v>320</v>
      </c>
      <c r="O3941" t="s">
        <v>26</v>
      </c>
      <c r="P3941" t="s">
        <v>39</v>
      </c>
      <c r="Q3941" t="s">
        <v>8570</v>
      </c>
    </row>
    <row r="3942" spans="1:17" ht="15.75" x14ac:dyDescent="0.25">
      <c r="A3942" s="3" t="str">
        <f>HYPERLINK("https://shop.sonapharmacy.com/products/mederma%C2%AE-advanced-scar-gel", "https://shop.sonapharmacy.com/products/mederma%C2%AE-advanced-scar-gel")</f>
        <v>https://shop.sonapharmacy.com/products/mederma%C2%AE-advanced-scar-gel</v>
      </c>
      <c r="B3942" s="3" t="str">
        <f>HYPERLINK("https://shop.sonapharmacy.com/products/mederma%c2%ae-advanced-scar-gel", "https://shop.sonapharmacy.com/products/mederma%c2%ae-advanced-scar-gel")</f>
        <v>https://shop.sonapharmacy.com/products/mederma%c2%ae-advanced-scar-gel</v>
      </c>
      <c r="C3942" t="s">
        <v>10967</v>
      </c>
      <c r="D3942" t="s">
        <v>10968</v>
      </c>
      <c r="E3942" s="3" t="str">
        <f>HYPERLINK("https://www.amazon.com/Mederma-Advanced-Appearance-Pharmacist-Recommended/dp/B09MX99PKC/ref=sr_1_5?keywords=Mederma%C2%AE+Advanced+Scar+Gel&amp;qid=1695260461&amp;sr=8-5", "https://www.amazon.com/Mederma-Advanced-Appearance-Pharmacist-Recommended/dp/B09MX99PKC/ref=sr_1_5?keywords=Mederma%C2%AE+Advanced+Scar+Gel&amp;qid=1695260461&amp;sr=8-5")</f>
        <v>https://www.amazon.com/Mederma-Advanced-Appearance-Pharmacist-Recommended/dp/B09MX99PKC/ref=sr_1_5?keywords=Mederma%C2%AE+Advanced+Scar+Gel&amp;qid=1695260461&amp;sr=8-5</v>
      </c>
      <c r="F3942" t="s">
        <v>10969</v>
      </c>
      <c r="G3942" t="e">
        <f ca="1">IMAGE("https://shop.sonapharmacy.com/cdn/shop/products/mederma0.70.jpg?v=1607956045")</f>
        <v>#NAME?</v>
      </c>
      <c r="H3942" t="e">
        <f ca="1">IMAGE("https://m.media-amazon.com/images/I/714LA6fdTVL._AC_UL320_.jpg")</f>
        <v>#NAME?</v>
      </c>
      <c r="I3942" t="s">
        <v>6011</v>
      </c>
      <c r="J3942">
        <v>51.99</v>
      </c>
      <c r="K3942" s="2" t="s">
        <v>10970</v>
      </c>
      <c r="L3942">
        <v>4.3</v>
      </c>
      <c r="M3942">
        <v>78</v>
      </c>
      <c r="O3942" t="s">
        <v>26</v>
      </c>
      <c r="P3942" t="s">
        <v>39</v>
      </c>
      <c r="Q3942" t="s">
        <v>10971</v>
      </c>
    </row>
    <row r="3943" spans="1:17" ht="15.75" x14ac:dyDescent="0.25">
      <c r="A3943" s="3" t="str">
        <f>HYPERLINK("https://shop.sonapharmacy.com/products/theraslim", "https://shop.sonapharmacy.com/products/theraslim")</f>
        <v>https://shop.sonapharmacy.com/products/theraslim</v>
      </c>
      <c r="B3943" s="3" t="str">
        <f>HYPERLINK("https://shop.sonapharmacy.com/products/theraslim", "https://shop.sonapharmacy.com/products/theraslim")</f>
        <v>https://shop.sonapharmacy.com/products/theraslim</v>
      </c>
      <c r="C3943" t="s">
        <v>9845</v>
      </c>
      <c r="D3943" t="s">
        <v>10972</v>
      </c>
      <c r="E3943" s="3" t="str">
        <f>HYPERLINK("https://www.amazon.com/Klaire-Labs-Ther-Biotic-Detoxification-Probiotic/dp/B0057ZEDCO/ref=sr_1_9?keywords=Klaire+Labs+Theraslim+Capsules&amp;qid=1695260437&amp;sr=8-9", "https://www.amazon.com/Klaire-Labs-Ther-Biotic-Detoxification-Probiotic/dp/B0057ZEDCO/ref=sr_1_9?keywords=Klaire+Labs+Theraslim+Capsules&amp;qid=1695260437&amp;sr=8-9")</f>
        <v>https://www.amazon.com/Klaire-Labs-Ther-Biotic-Detoxification-Probiotic/dp/B0057ZEDCO/ref=sr_1_9?keywords=Klaire+Labs+Theraslim+Capsules&amp;qid=1695260437&amp;sr=8-9</v>
      </c>
      <c r="F3943" t="s">
        <v>10973</v>
      </c>
      <c r="G3943" t="e">
        <f ca="1">IMAGE("https://shop.sonapharmacy.com/cdn/shop/products/61UgGn_O7ML._AC_SL1500.jpg?v=1609358113")</f>
        <v>#NAME?</v>
      </c>
      <c r="H3943" t="e">
        <f ca="1">IMAGE("https://m.media-amazon.com/images/I/61QboaQLaIL._AC_UL320_.jpg")</f>
        <v>#NAME?</v>
      </c>
      <c r="I3943" t="s">
        <v>3544</v>
      </c>
      <c r="J3943">
        <v>59.99</v>
      </c>
      <c r="K3943" s="2" t="s">
        <v>10974</v>
      </c>
      <c r="L3943">
        <v>4.4000000000000004</v>
      </c>
      <c r="M3943">
        <v>118</v>
      </c>
      <c r="O3943" t="s">
        <v>26</v>
      </c>
      <c r="P3943" t="s">
        <v>39</v>
      </c>
      <c r="Q3943" t="s">
        <v>9849</v>
      </c>
    </row>
    <row r="3944" spans="1:17" ht="15.75" x14ac:dyDescent="0.25">
      <c r="A3944" s="3" t="str">
        <f>HYPERLINK("https://shop.sonapharmacy.com/products/q-tips-cotton-swabs", "https://shop.sonapharmacy.com/products/q-tips-cotton-swabs")</f>
        <v>https://shop.sonapharmacy.com/products/q-tips-cotton-swabs</v>
      </c>
      <c r="B3944" s="3" t="str">
        <f>HYPERLINK("https://shop.sonapharmacy.com/products/q-tips-cotton-swabs", "https://shop.sonapharmacy.com/products/q-tips-cotton-swabs")</f>
        <v>https://shop.sonapharmacy.com/products/q-tips-cotton-swabs</v>
      </c>
      <c r="C3944" t="s">
        <v>9155</v>
      </c>
      <c r="D3944" t="s">
        <v>10975</v>
      </c>
      <c r="E3944" s="3" t="str">
        <f>HYPERLINK("https://www.amazon.com/Q-tips-Cotton-Swabs-Travel-Holder/dp/B07BPCBMRJ/ref=sr_1_5?keywords=Q-tips+Cotton+Swabs&amp;qid=1695260660&amp;sr=8-5", "https://www.amazon.com/Q-tips-Cotton-Swabs-Travel-Holder/dp/B07BPCBMRJ/ref=sr_1_5?keywords=Q-tips+Cotton+Swabs&amp;qid=1695260660&amp;sr=8-5")</f>
        <v>https://www.amazon.com/Q-tips-Cotton-Swabs-Travel-Holder/dp/B07BPCBMRJ/ref=sr_1_5?keywords=Q-tips+Cotton+Swabs&amp;qid=1695260660&amp;sr=8-5</v>
      </c>
      <c r="F3944" t="s">
        <v>10976</v>
      </c>
      <c r="G3944" t="e">
        <f ca="1">IMAGE("https://shop.sonapharmacy.com/cdn/shop/products/qtips_travel.png?v=1606762585")</f>
        <v>#NAME?</v>
      </c>
      <c r="H3944" t="e">
        <f ca="1">IMAGE("https://m.media-amazon.com/images/I/61+jr7ldlML._AC_UL320_.jpg")</f>
        <v>#NAME?</v>
      </c>
      <c r="I3944" t="s">
        <v>8927</v>
      </c>
      <c r="J3944">
        <v>8.6</v>
      </c>
      <c r="K3944" s="2" t="s">
        <v>10977</v>
      </c>
      <c r="L3944">
        <v>4.8</v>
      </c>
      <c r="M3944">
        <v>486</v>
      </c>
      <c r="O3944" t="s">
        <v>26</v>
      </c>
      <c r="P3944" t="s">
        <v>39</v>
      </c>
      <c r="Q3944" t="s">
        <v>9159</v>
      </c>
    </row>
    <row r="3945" spans="1:17" ht="15.75" x14ac:dyDescent="0.25">
      <c r="A3945" s="3" t="str">
        <f>HYPERLINK("https://shop.sonapharmacy.com/products/band-aid-flexible-fabric-100ct-all-one-size", "https://shop.sonapharmacy.com/products/band-aid-flexible-fabric-100ct-all-one-size")</f>
        <v>https://shop.sonapharmacy.com/products/band-aid-flexible-fabric-100ct-all-one-size</v>
      </c>
      <c r="B3945" s="3" t="str">
        <f>HYPERLINK("https://shop.sonapharmacy.com/products/band-aid-flexible-fabric-100ct-all-one-size", "https://shop.sonapharmacy.com/products/band-aid-flexible-fabric-100ct-all-one-size")</f>
        <v>https://shop.sonapharmacy.com/products/band-aid-flexible-fabric-100ct-all-one-size</v>
      </c>
      <c r="C3945" t="s">
        <v>8911</v>
      </c>
      <c r="D3945" t="s">
        <v>10978</v>
      </c>
      <c r="E3945" s="3" t="str">
        <f>HYPERLINK("https://www.amazon.com/Band-Aid-Flexible-Fabric-Bandages-Size/dp/B00KGT2OMC/ref=sr_1_1?keywords=BAND-AID%C2%AE+Flexible+Fabric+All+One+Size&amp;qid=1695260052&amp;sr=8-1", "https://www.amazon.com/Band-Aid-Flexible-Fabric-Bandages-Size/dp/B00KGT2OMC/ref=sr_1_1?keywords=BAND-AID%C2%AE+Flexible+Fabric+All+One+Size&amp;qid=1695260052&amp;sr=8-1")</f>
        <v>https://www.amazon.com/Band-Aid-Flexible-Fabric-Bandages-Size/dp/B00KGT2OMC/ref=sr_1_1?keywords=BAND-AID%C2%AE+Flexible+Fabric+All+One+Size&amp;qid=1695260052&amp;sr=8-1</v>
      </c>
      <c r="F3945" t="s">
        <v>10979</v>
      </c>
      <c r="G3945" t="e">
        <f ca="1">IMAGE("https://shop.sonapharmacy.com/cdn/shop/products/bab_381370044314_band_aid_band_aid_flexible_fabric_aos_30ct_007.jpg?v=1614702050")</f>
        <v>#NAME?</v>
      </c>
      <c r="H3945" t="e">
        <f ca="1">IMAGE("https://m.media-amazon.com/images/I/71s4Lxs+VzL._AC_UL320_.jpg")</f>
        <v>#NAME?</v>
      </c>
      <c r="I3945" t="s">
        <v>8834</v>
      </c>
      <c r="J3945">
        <v>12.05</v>
      </c>
      <c r="K3945" s="2" t="s">
        <v>10980</v>
      </c>
      <c r="L3945">
        <v>4.5999999999999996</v>
      </c>
      <c r="M3945">
        <v>68</v>
      </c>
      <c r="O3945" t="s">
        <v>26</v>
      </c>
      <c r="P3945" t="s">
        <v>39</v>
      </c>
      <c r="Q3945" t="s">
        <v>8915</v>
      </c>
    </row>
    <row r="3946" spans="1:17" ht="15.75" x14ac:dyDescent="0.25">
      <c r="A3946" s="3" t="str">
        <f>HYPERLINK("https://shop.sonapharmacy.com/products/apex%C2%AE-deluxe-contact-lens-cases-2ct", "https://shop.sonapharmacy.com/products/apex%C2%AE-deluxe-contact-lens-cases-2ct")</f>
        <v>https://shop.sonapharmacy.com/products/apex%C2%AE-deluxe-contact-lens-cases-2ct</v>
      </c>
      <c r="B3946" s="3" t="str">
        <f>HYPERLINK("https://shop.sonapharmacy.com/products/apex%c2%ae-deluxe-contact-lens-cases-2ct", "https://shop.sonapharmacy.com/products/apex%c2%ae-deluxe-contact-lens-cases-2ct")</f>
        <v>https://shop.sonapharmacy.com/products/apex%c2%ae-deluxe-contact-lens-cases-2ct</v>
      </c>
      <c r="C3946" t="s">
        <v>10981</v>
      </c>
      <c r="D3946" t="s">
        <v>10982</v>
      </c>
      <c r="E3946" s="3" t="str">
        <f>HYPERLINK("https://www.amazon.com/Apex-Deluxe-Contact-Lens-Cases/dp/B001AVURWO/ref=sr_1_2?keywords=Apex+Deluxe+Contact+Lens+Cases+2ct.&amp;qid=1695260007&amp;sr=8-2", "https://www.amazon.com/Apex-Deluxe-Contact-Lens-Cases/dp/B001AVURWO/ref=sr_1_2?keywords=Apex+Deluxe+Contact+Lens+Cases+2ct.&amp;qid=1695260007&amp;sr=8-2")</f>
        <v>https://www.amazon.com/Apex-Deluxe-Contact-Lens-Cases/dp/B001AVURWO/ref=sr_1_2?keywords=Apex+Deluxe+Contact+Lens+Cases+2ct.&amp;qid=1695260007&amp;sr=8-2</v>
      </c>
      <c r="F3946" t="s">
        <v>10983</v>
      </c>
      <c r="G3946" t="e">
        <f ca="1">IMAGE("https://shop.sonapharmacy.com/cdn/shop/products/57.jpg?v=1609957863")</f>
        <v>#NAME?</v>
      </c>
      <c r="H3946" t="e">
        <f ca="1">IMAGE("https://m.media-amazon.com/images/I/71NetkfqOEL._AC_UL320_.jpg")</f>
        <v>#NAME?</v>
      </c>
      <c r="I3946" t="s">
        <v>10984</v>
      </c>
      <c r="J3946">
        <v>6.42</v>
      </c>
      <c r="K3946" s="2" t="s">
        <v>10985</v>
      </c>
      <c r="L3946">
        <v>5</v>
      </c>
      <c r="M3946">
        <v>2</v>
      </c>
      <c r="O3946" t="s">
        <v>26</v>
      </c>
      <c r="P3946" t="s">
        <v>39</v>
      </c>
      <c r="Q3946" t="s">
        <v>10986</v>
      </c>
    </row>
    <row r="3947" spans="1:17" ht="15.75" x14ac:dyDescent="0.25">
      <c r="A3947" s="3" t="str">
        <f>HYPERLINK("https://shop.sonapharmacy.com/products/nature-made-1200-mg-fish-oil-with-vitamin-d-softgels", "https://shop.sonapharmacy.com/products/nature-made-1200-mg-fish-oil-with-vitamin-d-softgels")</f>
        <v>https://shop.sonapharmacy.com/products/nature-made-1200-mg-fish-oil-with-vitamin-d-softgels</v>
      </c>
      <c r="B3947" s="3" t="str">
        <f>HYPERLINK("https://shop.sonapharmacy.com/products/nature-made-1200-mg-fish-oil-with-vitamin-d-softgels", "https://shop.sonapharmacy.com/products/nature-made-1200-mg-fish-oil-with-vitamin-d-softgels")</f>
        <v>https://shop.sonapharmacy.com/products/nature-made-1200-mg-fish-oil-with-vitamin-d-softgels</v>
      </c>
      <c r="C3947" t="s">
        <v>10987</v>
      </c>
      <c r="D3947" t="s">
        <v>10988</v>
      </c>
      <c r="E3947" s="3" t="str">
        <f>HYPERLINK("https://www.amazon.com/Nature-Made-Vitamin-Liquid-Softgels/dp/B0037LOLE0/ref=sr_1_3?keywords=Nature+Made%C2%AE+Fish+Oil+With+Vitamin+D+1000IU+Softgels+90ct.&amp;qid=1695260532&amp;sr=8-3", "https://www.amazon.com/Nature-Made-Vitamin-Liquid-Softgels/dp/B0037LOLE0/ref=sr_1_3?keywords=Nature+Made%C2%AE+Fish+Oil+With+Vitamin+D+1000IU+Softgels+90ct.&amp;qid=1695260532&amp;sr=8-3")</f>
        <v>https://www.amazon.com/Nature-Made-Vitamin-Liquid-Softgels/dp/B0037LOLE0/ref=sr_1_3?keywords=Nature+Made%C2%AE+Fish+Oil+With+Vitamin+D+1000IU+Softgels+90ct.&amp;qid=1695260532&amp;sr=8-3</v>
      </c>
      <c r="F3947" t="s">
        <v>10989</v>
      </c>
      <c r="G3947" t="e">
        <f ca="1">IMAGE("https://shop.sonapharmacy.com/cdn/shop/products/51_VoT57JNL._AC.jpg?v=1610049471")</f>
        <v>#NAME?</v>
      </c>
      <c r="H3947" t="e">
        <f ca="1">IMAGE("https://m.media-amazon.com/images/I/718t0s6Nu4L._AC_UL320_.jpg")</f>
        <v>#NAME?</v>
      </c>
      <c r="I3947" t="s">
        <v>10990</v>
      </c>
      <c r="J3947">
        <v>44</v>
      </c>
      <c r="K3947" s="2" t="s">
        <v>10991</v>
      </c>
      <c r="L3947">
        <v>4.5</v>
      </c>
      <c r="M3947">
        <v>276</v>
      </c>
      <c r="O3947" t="s">
        <v>26</v>
      </c>
      <c r="P3947" t="s">
        <v>39</v>
      </c>
      <c r="Q3947" t="s">
        <v>10992</v>
      </c>
    </row>
    <row r="3948" spans="1:17" ht="15.75" x14ac:dyDescent="0.25">
      <c r="A3948" s="3" t="str">
        <f>HYPERLINK("https://shop.sonapharmacy.com/products/curad-stainless-steel-bandage-scissors", "https://shop.sonapharmacy.com/products/curad-stainless-steel-bandage-scissors")</f>
        <v>https://shop.sonapharmacy.com/products/curad-stainless-steel-bandage-scissors</v>
      </c>
      <c r="B3948" s="3" t="str">
        <f>HYPERLINK("https://shop.sonapharmacy.com/products/curad-stainless-steel-bandage-scissors", "https://shop.sonapharmacy.com/products/curad-stainless-steel-bandage-scissors")</f>
        <v>https://shop.sonapharmacy.com/products/curad-stainless-steel-bandage-scissors</v>
      </c>
      <c r="C3948" t="s">
        <v>9578</v>
      </c>
      <c r="D3948" t="s">
        <v>10993</v>
      </c>
      <c r="E3948" s="3" t="str">
        <f>HYPERLINK("https://www.amazon.com/Bandage-Scissors-Surgical-Instruments-Stainless/dp/B07CRNL6WZ/ref=sr_1_10?keywords=Curad%C2%AE+Stainless+Steel+Bandage+Scissors&amp;qid=1695260182&amp;sr=8-10", "https://www.amazon.com/Bandage-Scissors-Surgical-Instruments-Stainless/dp/B07CRNL6WZ/ref=sr_1_10?keywords=Curad%C2%AE+Stainless+Steel+Bandage+Scissors&amp;qid=1695260182&amp;sr=8-10")</f>
        <v>https://www.amazon.com/Bandage-Scissors-Surgical-Instruments-Stainless/dp/B07CRNL6WZ/ref=sr_1_10?keywords=Curad%C2%AE+Stainless+Steel+Bandage+Scissors&amp;qid=1695260182&amp;sr=8-10</v>
      </c>
      <c r="F3948" t="s">
        <v>10994</v>
      </c>
      <c r="G3948" t="e">
        <f ca="1">IMAGE("https://shop.sonapharmacy.com/cdn/shop/products/scissors.png?v=1607716795")</f>
        <v>#NAME?</v>
      </c>
      <c r="H3948" t="e">
        <f ca="1">IMAGE("https://m.media-amazon.com/images/I/41VSzgX2jmL._AC_UY218_.jpg")</f>
        <v>#NAME?</v>
      </c>
      <c r="I3948" t="s">
        <v>8728</v>
      </c>
      <c r="J3948">
        <v>11.69</v>
      </c>
      <c r="K3948" s="2" t="s">
        <v>10995</v>
      </c>
      <c r="L3948">
        <v>4.4000000000000004</v>
      </c>
      <c r="M3948">
        <v>940</v>
      </c>
      <c r="O3948" t="s">
        <v>26</v>
      </c>
      <c r="P3948" t="s">
        <v>39</v>
      </c>
      <c r="Q3948" t="s">
        <v>9582</v>
      </c>
    </row>
    <row r="3949" spans="1:17" ht="15.75" x14ac:dyDescent="0.25">
      <c r="A3949" s="3" t="str">
        <f>HYPERLINK("https://shop.sonapharmacy.com/products/goodsense%C2%AE-double-edge-stainless-steel-razor-10ct", "https://shop.sonapharmacy.com/products/goodsense%C2%AE-double-edge-stainless-steel-razor-10ct")</f>
        <v>https://shop.sonapharmacy.com/products/goodsense%C2%AE-double-edge-stainless-steel-razor-10ct</v>
      </c>
      <c r="B3949" s="3" t="str">
        <f>HYPERLINK("https://shop.sonapharmacy.com/products/goodsense%c2%ae-double-edge-stainless-steel-razor-10ct", "https://shop.sonapharmacy.com/products/goodsense%c2%ae-double-edge-stainless-steel-razor-10ct")</f>
        <v>https://shop.sonapharmacy.com/products/goodsense%c2%ae-double-edge-stainless-steel-razor-10ct</v>
      </c>
      <c r="C3949" t="s">
        <v>10996</v>
      </c>
      <c r="D3949" t="s">
        <v>10997</v>
      </c>
      <c r="E3949" s="3" t="str">
        <f>HYPERLINK("https://www.amazon.com/Viking-Revolution-Handle-Double-Safety/dp/B0BBRGDY56/ref=sr_1_7?keywords=GoodSense%C2%AE+Double+Edge+Stainless+Steel+Razor+10ct.&amp;qid=1695260322&amp;sr=8-7", "https://www.amazon.com/Viking-Revolution-Handle-Double-Safety/dp/B0BBRGDY56/ref=sr_1_7?keywords=GoodSense%C2%AE+Double+Edge+Stainless+Steel+Razor+10ct.&amp;qid=1695260322&amp;sr=8-7")</f>
        <v>https://www.amazon.com/Viking-Revolution-Handle-Double-Safety/dp/B0BBRGDY56/ref=sr_1_7?keywords=GoodSense%C2%AE+Double+Edge+Stainless+Steel+Razor+10ct.&amp;qid=1695260322&amp;sr=8-7</v>
      </c>
      <c r="F3949" t="s">
        <v>10998</v>
      </c>
      <c r="G3949" t="e">
        <f ca="1">IMAGE("https://shop.sonapharmacy.com/cdn/shop/products/337121.jpg?v=1610904297")</f>
        <v>#NAME?</v>
      </c>
      <c r="H3949" t="e">
        <f ca="1">IMAGE("https://m.media-amazon.com/images/I/71MPwlqRb3L._AC_UL320_.jpg")</f>
        <v>#NAME?</v>
      </c>
      <c r="I3949" t="s">
        <v>10999</v>
      </c>
      <c r="J3949">
        <v>17.88</v>
      </c>
      <c r="K3949" s="2" t="s">
        <v>11000</v>
      </c>
      <c r="L3949">
        <v>4.5</v>
      </c>
      <c r="M3949">
        <v>7780</v>
      </c>
      <c r="O3949" t="s">
        <v>26</v>
      </c>
      <c r="P3949" t="s">
        <v>39</v>
      </c>
      <c r="Q3949" t="s">
        <v>11001</v>
      </c>
    </row>
    <row r="3950" spans="1:17" ht="15.75" x14ac:dyDescent="0.25">
      <c r="A3950" s="3" t="str">
        <f>HYPERLINK("https://shop.sonapharmacy.com/products/goodsense%C2%AE-double-edge-stainless-steel-razor-10ct", "https://shop.sonapharmacy.com/products/goodsense%C2%AE-double-edge-stainless-steel-razor-10ct")</f>
        <v>https://shop.sonapharmacy.com/products/goodsense%C2%AE-double-edge-stainless-steel-razor-10ct</v>
      </c>
      <c r="B3950" s="3" t="str">
        <f>HYPERLINK("https://shop.sonapharmacy.com/products/goodsense%c2%ae-double-edge-stainless-steel-razor-10ct", "https://shop.sonapharmacy.com/products/goodsense%c2%ae-double-edge-stainless-steel-razor-10ct")</f>
        <v>https://shop.sonapharmacy.com/products/goodsense%c2%ae-double-edge-stainless-steel-razor-10ct</v>
      </c>
      <c r="C3950" t="s">
        <v>10996</v>
      </c>
      <c r="D3950" t="s">
        <v>11002</v>
      </c>
      <c r="E3950" s="3" t="str">
        <f>HYPERLINK("https://www.amazon.com/Count-Double-Edge-Razor-Blades/dp/B0B9Y9Z4LL/ref=sr_1_6?keywords=GoodSense%C2%AE+Double+Edge+Stainless+Steel+Razor+10ct.&amp;qid=1695260322&amp;sr=8-6", "https://www.amazon.com/Count-Double-Edge-Razor-Blades/dp/B0B9Y9Z4LL/ref=sr_1_6?keywords=GoodSense%C2%AE+Double+Edge+Stainless+Steel+Razor+10ct.&amp;qid=1695260322&amp;sr=8-6")</f>
        <v>https://www.amazon.com/Count-Double-Edge-Razor-Blades/dp/B0B9Y9Z4LL/ref=sr_1_6?keywords=GoodSense%C2%AE+Double+Edge+Stainless+Steel+Razor+10ct.&amp;qid=1695260322&amp;sr=8-6</v>
      </c>
      <c r="F3950" t="s">
        <v>11003</v>
      </c>
      <c r="G3950" t="e">
        <f ca="1">IMAGE("https://shop.sonapharmacy.com/cdn/shop/products/337121.jpg?v=1610904297")</f>
        <v>#NAME?</v>
      </c>
      <c r="H3950" t="e">
        <f ca="1">IMAGE("https://m.media-amazon.com/images/I/41kJasfBTWL._AC_UL320_.jpg")</f>
        <v>#NAME?</v>
      </c>
      <c r="I3950" t="s">
        <v>10999</v>
      </c>
      <c r="J3950">
        <v>17.88</v>
      </c>
      <c r="K3950" s="2" t="s">
        <v>11000</v>
      </c>
      <c r="L3950">
        <v>4.5</v>
      </c>
      <c r="M3950">
        <v>16019</v>
      </c>
      <c r="O3950" t="s">
        <v>26</v>
      </c>
      <c r="P3950" t="s">
        <v>39</v>
      </c>
      <c r="Q3950" t="s">
        <v>11001</v>
      </c>
    </row>
    <row r="3951" spans="1:17" ht="15.75" x14ac:dyDescent="0.25">
      <c r="A3951" s="3" t="str">
        <f>HYPERLINK("https://shop.sonapharmacy.com/products/pepcid%C2%AE-dual-action-complete-berry-chewable-tablets-50ct", "https://shop.sonapharmacy.com/products/pepcid%C2%AE-dual-action-complete-berry-chewable-tablets-50ct")</f>
        <v>https://shop.sonapharmacy.com/products/pepcid%C2%AE-dual-action-complete-berry-chewable-tablets-50ct</v>
      </c>
      <c r="B3951" s="3" t="str">
        <f>HYPERLINK("https://shop.sonapharmacy.com/products/pepcid%c2%ae-dual-action-complete-berry-chewable-tablets-50ct", "https://shop.sonapharmacy.com/products/pepcid%c2%ae-dual-action-complete-berry-chewable-tablets-50ct")</f>
        <v>https://shop.sonapharmacy.com/products/pepcid%c2%ae-dual-action-complete-berry-chewable-tablets-50ct</v>
      </c>
      <c r="C3951" t="s">
        <v>11004</v>
      </c>
      <c r="D3951" t="s">
        <v>11005</v>
      </c>
      <c r="E3951" s="3" t="str">
        <f>HYPERLINK("https://www.amazon.com/Pepcid-Complete-Reducer-Antacid-Chewable/dp/B0084X6NTM/ref=sr_1_3?keywords=Pepcid%C2%AE+Dual+Action+Complete+Berry+Chewable+Tablets+50ct.&amp;qid=1695260627&amp;sr=8-3", "https://www.amazon.com/Pepcid-Complete-Reducer-Antacid-Chewable/dp/B0084X6NTM/ref=sr_1_3?keywords=Pepcid%C2%AE+Dual+Action+Complete+Berry+Chewable+Tablets+50ct.&amp;qid=1695260627&amp;sr=8-3")</f>
        <v>https://www.amazon.com/Pepcid-Complete-Reducer-Antacid-Chewable/dp/B0084X6NTM/ref=sr_1_3?keywords=Pepcid%C2%AE+Dual+Action+Complete+Berry+Chewable+Tablets+50ct.&amp;qid=1695260627&amp;sr=8-3</v>
      </c>
      <c r="F3951" t="s">
        <v>11006</v>
      </c>
      <c r="G3951" t="e">
        <f ca="1">IMAGE("https://shop.sonapharmacy.com/cdn/shop/products/d154fda0-4bbb-44c6-bf36-f95b924ed8cf.12fc87bbaebc1347f0697485803f06ec.jpg?v=1610855109")</f>
        <v>#NAME?</v>
      </c>
      <c r="H3951" t="e">
        <f ca="1">IMAGE("https://m.media-amazon.com/images/I/71Ti1AMBq5L._AC_UL320_.jpg")</f>
        <v>#NAME?</v>
      </c>
      <c r="I3951" t="s">
        <v>11007</v>
      </c>
      <c r="J3951">
        <v>57.81</v>
      </c>
      <c r="K3951" s="2" t="s">
        <v>11008</v>
      </c>
      <c r="L3951">
        <v>4.5999999999999996</v>
      </c>
      <c r="M3951">
        <v>12</v>
      </c>
      <c r="O3951" t="s">
        <v>26</v>
      </c>
      <c r="P3951" t="s">
        <v>39</v>
      </c>
      <c r="Q3951" t="s">
        <v>11009</v>
      </c>
    </row>
    <row r="3952" spans="1:17" ht="15.75" x14ac:dyDescent="0.25">
      <c r="A3952" s="3" t="str">
        <f>HYPERLINK("https://shop.sonapharmacy.com/products/band-aid-flexible-fabric-100ct-assorted-sizes", "https://shop.sonapharmacy.com/products/band-aid-flexible-fabric-100ct-assorted-sizes")</f>
        <v>https://shop.sonapharmacy.com/products/band-aid-flexible-fabric-100ct-assorted-sizes</v>
      </c>
      <c r="B3952" s="3" t="str">
        <f>HYPERLINK("https://shop.sonapharmacy.com/products/band-aid-flexible-fabric-100ct-assorted-sizes", "https://shop.sonapharmacy.com/products/band-aid-flexible-fabric-100ct-assorted-sizes")</f>
        <v>https://shop.sonapharmacy.com/products/band-aid-flexible-fabric-100ct-assorted-sizes</v>
      </c>
      <c r="C3952" t="s">
        <v>9759</v>
      </c>
      <c r="D3952" t="s">
        <v>11010</v>
      </c>
      <c r="E3952" s="3" t="str">
        <f>HYPERLINK("https://www.amazon.com/Band-Aid-Adhesive-Featuring-Skin-Flex-Character/dp/B08R5FP2D2/ref=sr_1_3?keywords=BAND-AID%C2%AE+Flexible+Fabric+Assorted+Sizes&amp;qid=1695260080&amp;sr=8-3", "https://www.amazon.com/Band-Aid-Adhesive-Featuring-Skin-Flex-Character/dp/B08R5FP2D2/ref=sr_1_3?keywords=BAND-AID%C2%AE+Flexible+Fabric+Assorted+Sizes&amp;qid=1695260080&amp;sr=8-3")</f>
        <v>https://www.amazon.com/Band-Aid-Adhesive-Featuring-Skin-Flex-Character/dp/B08R5FP2D2/ref=sr_1_3?keywords=BAND-AID%C2%AE+Flexible+Fabric+Assorted+Sizes&amp;qid=1695260080&amp;sr=8-3</v>
      </c>
      <c r="F3952" t="s">
        <v>11011</v>
      </c>
      <c r="G3952" t="e">
        <f ca="1">IMAGE("https://shop.sonapharmacy.com/cdn/shop/products/bab_381370044307_band_aid_band_aid_flexible_fabric_assorted_30ct_007.jpg?v=1607202177")</f>
        <v>#NAME?</v>
      </c>
      <c r="H3952" t="e">
        <f ca="1">IMAGE("https://m.media-amazon.com/images/I/81hPYFlfxKL._AC_UL320_.jpg")</f>
        <v>#NAME?</v>
      </c>
      <c r="I3952" t="s">
        <v>8834</v>
      </c>
      <c r="J3952">
        <v>11.98</v>
      </c>
      <c r="K3952" s="2" t="s">
        <v>11012</v>
      </c>
      <c r="L3952">
        <v>4.8</v>
      </c>
      <c r="M3952">
        <v>9829</v>
      </c>
      <c r="O3952" t="s">
        <v>26</v>
      </c>
      <c r="P3952" t="s">
        <v>39</v>
      </c>
      <c r="Q3952" t="s">
        <v>9763</v>
      </c>
    </row>
    <row r="3953" spans="1:17" ht="15.75" x14ac:dyDescent="0.25">
      <c r="A3953" s="3" t="str">
        <f>HYPERLINK("https://shop.sonapharmacy.com/products/boiron-oscillococcinum-homeopathic-medicine", "https://shop.sonapharmacy.com/products/boiron-oscillococcinum-homeopathic-medicine")</f>
        <v>https://shop.sonapharmacy.com/products/boiron-oscillococcinum-homeopathic-medicine</v>
      </c>
      <c r="B3953" s="3" t="str">
        <f>HYPERLINK("https://shop.sonapharmacy.com/products/boiron-oscillococcinum-homeopathic-medicine", "https://shop.sonapharmacy.com/products/boiron-oscillococcinum-homeopathic-medicine")</f>
        <v>https://shop.sonapharmacy.com/products/boiron-oscillococcinum-homeopathic-medicine</v>
      </c>
      <c r="C3953" t="s">
        <v>9293</v>
      </c>
      <c r="D3953" t="s">
        <v>11013</v>
      </c>
      <c r="E3953" s="3" t="str">
        <f>HYPERLINK("https://www.amazon.com/Oscillococcinum-Boiron-oscillococcinum-homeopathic-Medicine/dp/B07Y51PNSZ/ref=sr_1_2?keywords=Boiron%C2%AE+Oscillococcinum+Homeopathic+Medicine&amp;qid=1695260104&amp;sr=8-2", "https://www.amazon.com/Oscillococcinum-Boiron-oscillococcinum-homeopathic-Medicine/dp/B07Y51PNSZ/ref=sr_1_2?keywords=Boiron%C2%AE+Oscillococcinum+Homeopathic+Medicine&amp;qid=1695260104&amp;sr=8-2")</f>
        <v>https://www.amazon.com/Oscillococcinum-Boiron-oscillococcinum-homeopathic-Medicine/dp/B07Y51PNSZ/ref=sr_1_2?keywords=Boiron%C2%AE+Oscillococcinum+Homeopathic+Medicine&amp;qid=1695260104&amp;sr=8-2</v>
      </c>
      <c r="F3953" t="s">
        <v>11014</v>
      </c>
      <c r="G3953" t="e">
        <f ca="1">IMAGE("https://shop.sonapharmacy.com/cdn/shop/products/Untitled-80.jpg?v=1592926556")</f>
        <v>#NAME?</v>
      </c>
      <c r="H3953" t="e">
        <f ca="1">IMAGE("https://m.media-amazon.com/images/I/81VHcXqUbdL._AC_UL320_.jpg")</f>
        <v>#NAME?</v>
      </c>
      <c r="I3953" t="s">
        <v>9296</v>
      </c>
      <c r="J3953">
        <v>33.99</v>
      </c>
      <c r="K3953" s="2" t="s">
        <v>11015</v>
      </c>
      <c r="L3953">
        <v>4.9000000000000004</v>
      </c>
      <c r="M3953">
        <v>3639</v>
      </c>
      <c r="O3953" t="s">
        <v>26</v>
      </c>
      <c r="P3953" t="s">
        <v>39</v>
      </c>
      <c r="Q3953" t="s">
        <v>9298</v>
      </c>
    </row>
    <row r="3954" spans="1:17" ht="15.75" x14ac:dyDescent="0.25">
      <c r="A3954" s="3" t="str">
        <f>HYPERLINK("https://shop.sonapharmacy.com/products/goodsense%C2%AE-flexible-fabric-bandages", "https://shop.sonapharmacy.com/products/goodsense%C2%AE-flexible-fabric-bandages")</f>
        <v>https://shop.sonapharmacy.com/products/goodsense%C2%AE-flexible-fabric-bandages</v>
      </c>
      <c r="B3954" s="3" t="str">
        <f>HYPERLINK("https://shop.sonapharmacy.com/products/goodsense%c2%ae-flexible-fabric-bandages", "https://shop.sonapharmacy.com/products/goodsense%c2%ae-flexible-fabric-bandages")</f>
        <v>https://shop.sonapharmacy.com/products/goodsense%c2%ae-flexible-fabric-bandages</v>
      </c>
      <c r="C3954" t="s">
        <v>9244</v>
      </c>
      <c r="D3954" t="s">
        <v>11016</v>
      </c>
      <c r="E3954" s="3" t="str">
        <f>HYPERLINK("https://www.amazon.com/ourmed-Flexible-Bandages-Non-Stick-Adhesive/dp/B0C3CGSSM2/ref=sr_1_3?keywords=GoodSense%C2%AE+Flexible+Fabric+Bandages&amp;qid=1695260315&amp;sr=8-3", "https://www.amazon.com/ourmed-Flexible-Bandages-Non-Stick-Adhesive/dp/B0C3CGSSM2/ref=sr_1_3?keywords=GoodSense%C2%AE+Flexible+Fabric+Bandages&amp;qid=1695260315&amp;sr=8-3")</f>
        <v>https://www.amazon.com/ourmed-Flexible-Bandages-Non-Stick-Adhesive/dp/B0C3CGSSM2/ref=sr_1_3?keywords=GoodSense%C2%AE+Flexible+Fabric+Bandages&amp;qid=1695260315&amp;sr=8-3</v>
      </c>
      <c r="F3954" t="s">
        <v>11017</v>
      </c>
      <c r="G3954" t="e">
        <f ca="1">IMAGE("https://shop.sonapharmacy.com/cdn/shop/products/146894.jpg?v=1607809318")</f>
        <v>#NAME?</v>
      </c>
      <c r="H3954" t="e">
        <f ca="1">IMAGE("https://m.media-amazon.com/images/I/71i9Sa28LBL._AC_UL320_.jpg")</f>
        <v>#NAME?</v>
      </c>
      <c r="I3954" t="s">
        <v>9247</v>
      </c>
      <c r="J3954">
        <v>9.99</v>
      </c>
      <c r="K3954" s="2" t="s">
        <v>11018</v>
      </c>
      <c r="L3954">
        <v>4.5999999999999996</v>
      </c>
      <c r="M3954">
        <v>205</v>
      </c>
      <c r="O3954" t="s">
        <v>26</v>
      </c>
      <c r="P3954" t="s">
        <v>39</v>
      </c>
      <c r="Q3954" t="s">
        <v>9249</v>
      </c>
    </row>
    <row r="3955" spans="1:17" ht="15.75" x14ac:dyDescent="0.25">
      <c r="A3955" s="3" t="str">
        <f>HYPERLINK("https://shop.sonapharmacy.com/products/itch-x-fast-acting-anti-itch-gel-1-25-oz", "https://shop.sonapharmacy.com/products/itch-x-fast-acting-anti-itch-gel-1-25-oz")</f>
        <v>https://shop.sonapharmacy.com/products/itch-x-fast-acting-anti-itch-gel-1-25-oz</v>
      </c>
      <c r="B3955" s="3" t="str">
        <f>HYPERLINK("https://shop.sonapharmacy.com/products/itch-x-fast-acting-anti-itch-gel-1-25-oz", "https://shop.sonapharmacy.com/products/itch-x-fast-acting-anti-itch-gel-1-25-oz")</f>
        <v>https://shop.sonapharmacy.com/products/itch-x-fast-acting-anti-itch-gel-1-25-oz</v>
      </c>
      <c r="C3955" t="s">
        <v>11019</v>
      </c>
      <c r="D3955" t="s">
        <v>11020</v>
      </c>
      <c r="E3955" s="3" t="str">
        <f>HYPERLINK("https://www.amazon.com/Itch-X-Anti-Itch-Aloe-Vera-1-25/dp/B000U9V4WY/ref=sr_1_2?keywords=Itch-X+Fast-Acting+Anti-Itch+Gel+1.25+Oz&amp;qid=1695260411&amp;sr=8-2", "https://www.amazon.com/Itch-X-Anti-Itch-Aloe-Vera-1-25/dp/B000U9V4WY/ref=sr_1_2?keywords=Itch-X+Fast-Acting+Anti-Itch+Gel+1.25+Oz&amp;qid=1695260411&amp;sr=8-2")</f>
        <v>https://www.amazon.com/Itch-X-Anti-Itch-Aloe-Vera-1-25/dp/B000U9V4WY/ref=sr_1_2?keywords=Itch-X+Fast-Acting+Anti-Itch+Gel+1.25+Oz&amp;qid=1695260411&amp;sr=8-2</v>
      </c>
      <c r="F3955" t="s">
        <v>11021</v>
      </c>
      <c r="G3955" t="e">
        <f ca="1">IMAGE("https://shop.sonapharmacy.com/cdn/shop/products/db6281f4-f805-40d2-92d5-a65448263c5c.b3064e9fb6e9b172ae31ad23b3be0b2c.jpg?v=1607966605")</f>
        <v>#NAME?</v>
      </c>
      <c r="H3955" t="e">
        <f ca="1">IMAGE("https://m.media-amazon.com/images/I/710HqQbhUwL._AC_UL320_.jpg")</f>
        <v>#NAME?</v>
      </c>
      <c r="I3955" t="s">
        <v>8963</v>
      </c>
      <c r="J3955">
        <v>13.62</v>
      </c>
      <c r="K3955" s="2" t="s">
        <v>11022</v>
      </c>
      <c r="L3955">
        <v>4.5999999999999996</v>
      </c>
      <c r="M3955">
        <v>40</v>
      </c>
      <c r="O3955" t="s">
        <v>26</v>
      </c>
      <c r="P3955" t="s">
        <v>39</v>
      </c>
      <c r="Q3955" t="s">
        <v>11023</v>
      </c>
    </row>
    <row r="3956" spans="1:17" ht="15.75" x14ac:dyDescent="0.25">
      <c r="A3956" s="3" t="str">
        <f>HYPERLINK("https://shop.sonapharmacy.com/products/sun-bum%C2%AE-mineral-spf-50-sunscreen-lotion-3oz", "https://shop.sonapharmacy.com/products/sun-bum%C2%AE-mineral-spf-50-sunscreen-lotion-3oz")</f>
        <v>https://shop.sonapharmacy.com/products/sun-bum%C2%AE-mineral-spf-50-sunscreen-lotion-3oz</v>
      </c>
      <c r="B3956" s="3" t="str">
        <f>HYPERLINK("https://shop.sonapharmacy.com/products/sun-bum%c2%ae-mineral-spf-50-sunscreen-lotion-3oz", "https://shop.sonapharmacy.com/products/sun-bum%c2%ae-mineral-spf-50-sunscreen-lotion-3oz")</f>
        <v>https://shop.sonapharmacy.com/products/sun-bum%c2%ae-mineral-spf-50-sunscreen-lotion-3oz</v>
      </c>
      <c r="C3956" t="s">
        <v>10736</v>
      </c>
      <c r="D3956" t="s">
        <v>11024</v>
      </c>
      <c r="E3956" s="3" t="str">
        <f>HYPERLINK("https://www.amazon.com/EltaMD-Sunscreen-Broad-Spectrum-Water-Resistant-Non-Greasy/dp/B08FP3S97T/ref=sr_1_4?keywords=Sun+Bum%C2%AE+Mineral+SPF+50+Sunscreen+Lotion+3oz.&amp;qid=1695260736&amp;sr=8-4", "https://www.amazon.com/EltaMD-Sunscreen-Broad-Spectrum-Water-Resistant-Non-Greasy/dp/B08FP3S97T/ref=sr_1_4?keywords=Sun+Bum%C2%AE+Mineral+SPF+50+Sunscreen+Lotion+3oz.&amp;qid=1695260736&amp;sr=8-4")</f>
        <v>https://www.amazon.com/EltaMD-Sunscreen-Broad-Spectrum-Water-Resistant-Non-Greasy/dp/B08FP3S97T/ref=sr_1_4?keywords=Sun+Bum%C2%AE+Mineral+SPF+50+Sunscreen+Lotion+3oz.&amp;qid=1695260736&amp;sr=8-4</v>
      </c>
      <c r="F3956" t="s">
        <v>11025</v>
      </c>
      <c r="G3956" t="e">
        <f ca="1">IMAGE("https://shop.sonapharmacy.com/cdn/shop/products/61BXE36gB1L._SL1500__1.jpg?v=1629233458")</f>
        <v>#NAME?</v>
      </c>
      <c r="H3956" t="e">
        <f ca="1">IMAGE("https://m.media-amazon.com/images/I/611bpKPDUyL._AC_UL320_.jpg")</f>
        <v>#NAME?</v>
      </c>
      <c r="I3956" t="s">
        <v>3419</v>
      </c>
      <c r="J3956">
        <v>34</v>
      </c>
      <c r="K3956" s="2" t="s">
        <v>11026</v>
      </c>
      <c r="L3956">
        <v>4.5</v>
      </c>
      <c r="M3956">
        <v>673</v>
      </c>
      <c r="O3956" t="s">
        <v>26</v>
      </c>
      <c r="P3956" t="s">
        <v>39</v>
      </c>
      <c r="Q3956" t="s">
        <v>10740</v>
      </c>
    </row>
    <row r="3957" spans="1:17" ht="15.75" x14ac:dyDescent="0.25">
      <c r="A3957" s="3" t="str">
        <f>HYPERLINK("https://shop.sonapharmacy.com/products/cosamin-ds-for-joint-health-dietart-supplement-capsules", "https://shop.sonapharmacy.com/products/cosamin-ds-for-joint-health-dietart-supplement-capsules")</f>
        <v>https://shop.sonapharmacy.com/products/cosamin-ds-for-joint-health-dietart-supplement-capsules</v>
      </c>
      <c r="B3957" s="3" t="str">
        <f>HYPERLINK("https://shop.sonapharmacy.com/products/cosamin-ds-for-joint-health-dietart-supplement-capsules", "https://shop.sonapharmacy.com/products/cosamin-ds-for-joint-health-dietart-supplement-capsules")</f>
        <v>https://shop.sonapharmacy.com/products/cosamin-ds-for-joint-health-dietart-supplement-capsules</v>
      </c>
      <c r="C3957" t="s">
        <v>11027</v>
      </c>
      <c r="D3957" t="s">
        <v>11028</v>
      </c>
      <c r="E3957" s="3" t="str">
        <f>HYPERLINK("https://www.amazon.com/Cosamin-DS-Dietary-Supplement-Capsules/dp/B07BL4DSHN/ref=sr_1_5?keywords=Cosamin%C2%AE+DS+for+Joint+Health+Supplement+Capsules&amp;qid=1695260169&amp;sr=8-5", "https://www.amazon.com/Cosamin-DS-Dietary-Supplement-Capsules/dp/B07BL4DSHN/ref=sr_1_5?keywords=Cosamin%C2%AE+DS+for+Joint+Health+Supplement+Capsules&amp;qid=1695260169&amp;sr=8-5")</f>
        <v>https://www.amazon.com/Cosamin-DS-Dietary-Supplement-Capsules/dp/B07BL4DSHN/ref=sr_1_5?keywords=Cosamin%C2%AE+DS+for+Joint+Health+Supplement+Capsules&amp;qid=1695260169&amp;sr=8-5</v>
      </c>
      <c r="F3957" t="s">
        <v>11029</v>
      </c>
      <c r="G3957" t="e">
        <f ca="1">IMAGE("https://shop.sonapharmacy.com/cdn/shop/products/30c684fe-9527-4269-accf-3de35cb4dfd5_6.58806dd1bafa882a1693a08f8a7031a9.png?v=1609346977")</f>
        <v>#NAME?</v>
      </c>
      <c r="H3957" t="e">
        <f ca="1">IMAGE("https://m.media-amazon.com/images/I/61ysR+0jnqL._AC_UL320_.jpg")</f>
        <v>#NAME?</v>
      </c>
      <c r="I3957" t="s">
        <v>11030</v>
      </c>
      <c r="J3957">
        <v>117.35</v>
      </c>
      <c r="K3957" s="2" t="s">
        <v>11031</v>
      </c>
      <c r="L3957">
        <v>5</v>
      </c>
      <c r="M3957">
        <v>4</v>
      </c>
      <c r="O3957" t="s">
        <v>26</v>
      </c>
      <c r="P3957" t="s">
        <v>39</v>
      </c>
      <c r="Q3957" t="s">
        <v>11032</v>
      </c>
    </row>
    <row r="3958" spans="1:17" ht="15.75" x14ac:dyDescent="0.25">
      <c r="A3958" s="3" t="str">
        <f>HYPERLINK("https://shop.sonapharmacy.com/products/accu-chek-guide-test-strips-50-ct", "https://shop.sonapharmacy.com/products/accu-chek-guide-test-strips-50-ct")</f>
        <v>https://shop.sonapharmacy.com/products/accu-chek-guide-test-strips-50-ct</v>
      </c>
      <c r="B3958" s="3" t="str">
        <f>HYPERLINK("https://shop.sonapharmacy.com/products/accu-chek-guide-test-strips-50-ct", "https://shop.sonapharmacy.com/products/accu-chek-guide-test-strips-50-ct")</f>
        <v>https://shop.sonapharmacy.com/products/accu-chek-guide-test-strips-50-ct</v>
      </c>
      <c r="C3958" t="s">
        <v>8734</v>
      </c>
      <c r="D3958" t="s">
        <v>8787</v>
      </c>
      <c r="E3958" s="3" t="str">
        <f>HYPERLINK("https://www.amazon.com/Accu-Chek-Diabetes-Essential-Diabetic-Supplies/dp/B0923BNT7H/ref=sr_1_7?keywords=Accu-Chek+Guide+Test+Strips&amp;qid=1695260023&amp;sr=8-7", "https://www.amazon.com/Accu-Chek-Diabetes-Essential-Diabetic-Supplies/dp/B0923BNT7H/ref=sr_1_7?keywords=Accu-Chek+Guide+Test+Strips&amp;qid=1695260023&amp;sr=8-7")</f>
        <v>https://www.amazon.com/Accu-Chek-Diabetes-Essential-Diabetic-Supplies/dp/B0923BNT7H/ref=sr_1_7?keywords=Accu-Chek+Guide+Test+Strips&amp;qid=1695260023&amp;sr=8-7</v>
      </c>
      <c r="F3958" t="s">
        <v>8788</v>
      </c>
      <c r="G3958" t="e">
        <f ca="1">IMAGE("https://shop.sonapharmacy.com/cdn/shop/products/Accu-ChekGuideTestStrips50ct.yyy.jpg?v=1594217683")</f>
        <v>#NAME?</v>
      </c>
      <c r="H3958" t="e">
        <f ca="1">IMAGE("https://m.media-amazon.com/images/I/71RC7QsMEfL._AC_UL320_.jpg")</f>
        <v>#NAME?</v>
      </c>
      <c r="I3958" t="s">
        <v>8737</v>
      </c>
      <c r="J3958">
        <v>60</v>
      </c>
      <c r="K3958" s="2" t="s">
        <v>11033</v>
      </c>
      <c r="L3958">
        <v>4.5</v>
      </c>
      <c r="M3958">
        <v>22</v>
      </c>
      <c r="O3958" t="s">
        <v>26</v>
      </c>
      <c r="P3958" t="s">
        <v>39</v>
      </c>
      <c r="Q3958" t="s">
        <v>8739</v>
      </c>
    </row>
    <row r="3959" spans="1:17" ht="15.75" x14ac:dyDescent="0.25">
      <c r="A3959" s="3" t="str">
        <f>HYPERLINK("https://shop.sonapharmacy.com/products/duracell%C2%AE-aaa-coppertop-alkaline-batteries", "https://shop.sonapharmacy.com/products/duracell%C2%AE-aaa-coppertop-alkaline-batteries")</f>
        <v>https://shop.sonapharmacy.com/products/duracell%C2%AE-aaa-coppertop-alkaline-batteries</v>
      </c>
      <c r="B3959" s="3" t="str">
        <f>HYPERLINK("https://shop.sonapharmacy.com/products/duracell%c2%ae-aaa-coppertop-alkaline-batteries", "https://shop.sonapharmacy.com/products/duracell%c2%ae-aaa-coppertop-alkaline-batteries")</f>
        <v>https://shop.sonapharmacy.com/products/duracell%c2%ae-aaa-coppertop-alkaline-batteries</v>
      </c>
      <c r="C3959" t="s">
        <v>8166</v>
      </c>
      <c r="D3959" t="s">
        <v>11034</v>
      </c>
      <c r="E3959" s="3" t="str">
        <f>HYPERLINK("https://www.amazon.com/Duracell-CopperTop-Batteries-All-Purpose-Household/dp/B004K95PBQ/ref=sr_1_1?keywords=Duracell%C2%AE+AAA+CopperTop+Alkaline+Batteries&amp;qid=1695260225&amp;sr=8-1", "https://www.amazon.com/Duracell-CopperTop-Batteries-All-Purpose-Household/dp/B004K95PBQ/ref=sr_1_1?keywords=Duracell%C2%AE+AAA+CopperTop+Alkaline+Batteries&amp;qid=1695260225&amp;sr=8-1")</f>
        <v>https://www.amazon.com/Duracell-CopperTop-Batteries-All-Purpose-Household/dp/B004K95PBQ/ref=sr_1_1?keywords=Duracell%C2%AE+AAA+CopperTop+Alkaline+Batteries&amp;qid=1695260225&amp;sr=8-1</v>
      </c>
      <c r="F3959" t="s">
        <v>11035</v>
      </c>
      <c r="G3959" t="e">
        <f ca="1">IMAGE("https://shop.sonapharmacy.com/cdn/shop/products/4711941b-a083-4277-8d8a-0a1bce8b082a_1.a291637149acb335ff96c25aae0e8bc1.png?v=1610335288")</f>
        <v>#NAME?</v>
      </c>
      <c r="H3959" t="e">
        <f ca="1">IMAGE("https://m.media-amazon.com/images/I/71fYdkAZLML._AC_UL320_.jpg")</f>
        <v>#NAME?</v>
      </c>
      <c r="I3959" t="s">
        <v>8169</v>
      </c>
      <c r="J3959">
        <v>17.27</v>
      </c>
      <c r="K3959" s="2" t="s">
        <v>11036</v>
      </c>
      <c r="L3959">
        <v>4.8</v>
      </c>
      <c r="M3959">
        <v>48953</v>
      </c>
      <c r="O3959" t="s">
        <v>26</v>
      </c>
      <c r="P3959" t="s">
        <v>39</v>
      </c>
      <c r="Q3959" t="s">
        <v>8171</v>
      </c>
    </row>
    <row r="3960" spans="1:17" ht="15.75" x14ac:dyDescent="0.25">
      <c r="A3960" s="3" t="str">
        <f>HYPERLINK("https://shop.sonapharmacy.com/products/olay-firming-night-cream", "https://shop.sonapharmacy.com/products/olay-firming-night-cream")</f>
        <v>https://shop.sonapharmacy.com/products/olay-firming-night-cream</v>
      </c>
      <c r="B3960" s="3" t="str">
        <f>HYPERLINK("https://shop.sonapharmacy.com/products/olay-firming-night-cream", "https://shop.sonapharmacy.com/products/olay-firming-night-cream")</f>
        <v>https://shop.sonapharmacy.com/products/olay-firming-night-cream</v>
      </c>
      <c r="C3960" t="s">
        <v>9934</v>
      </c>
      <c r="D3960" t="s">
        <v>11037</v>
      </c>
      <c r="E3960" s="3" t="str">
        <f>HYPERLINK("https://www.amazon.com/OLAY-Night-Firming-Cream-Pack/dp/B00E4MPDVG/ref=sr_1_2?keywords=Olay+Firming+Night+Cream+2oz.&amp;qid=1695260605&amp;sr=8-2", "https://www.amazon.com/OLAY-Night-Firming-Cream-Pack/dp/B00E4MPDVG/ref=sr_1_2?keywords=Olay+Firming+Night+Cream+2oz.&amp;qid=1695260605&amp;sr=8-2")</f>
        <v>https://www.amazon.com/OLAY-Night-Firming-Cream-Pack/dp/B00E4MPDVG/ref=sr_1_2?keywords=Olay+Firming+Night+Cream+2oz.&amp;qid=1695260605&amp;sr=8-2</v>
      </c>
      <c r="F3960" t="s">
        <v>11038</v>
      </c>
      <c r="G3960" t="e">
        <f ca="1">IMAGE("https://shop.sonapharmacy.com/cdn/shop/products/8ab34b91-bb31-4d78-b1bd-17a55c1f470c.cc6d41549f1d2b88b521d28e4b88cd02.jpg?v=1608242565")</f>
        <v>#NAME?</v>
      </c>
      <c r="H3960" t="e">
        <f ca="1">IMAGE("https://m.media-amazon.com/images/I/71YjB0VLd9L._AC_UL320_.jpg")</f>
        <v>#NAME?</v>
      </c>
      <c r="I3960" t="s">
        <v>9937</v>
      </c>
      <c r="J3960">
        <v>23.06</v>
      </c>
      <c r="K3960" s="2" t="s">
        <v>11039</v>
      </c>
      <c r="L3960">
        <v>4.7</v>
      </c>
      <c r="M3960">
        <v>489</v>
      </c>
      <c r="O3960" t="s">
        <v>26</v>
      </c>
      <c r="P3960" t="s">
        <v>39</v>
      </c>
      <c r="Q3960" t="s">
        <v>9939</v>
      </c>
    </row>
    <row r="3961" spans="1:17" ht="15.75" x14ac:dyDescent="0.25">
      <c r="A3961" s="3" t="str">
        <f>HYPERLINK("https://shop.sonapharmacy.com/products/curad-stainless-steel-bandage-scissors", "https://shop.sonapharmacy.com/products/curad-stainless-steel-bandage-scissors")</f>
        <v>https://shop.sonapharmacy.com/products/curad-stainless-steel-bandage-scissors</v>
      </c>
      <c r="B3961" s="3" t="str">
        <f>HYPERLINK("https://shop.sonapharmacy.com/products/curad-stainless-steel-bandage-scissors", "https://shop.sonapharmacy.com/products/curad-stainless-steel-bandage-scissors")</f>
        <v>https://shop.sonapharmacy.com/products/curad-stainless-steel-bandage-scissors</v>
      </c>
      <c r="C3961" t="s">
        <v>9578</v>
      </c>
      <c r="D3961" t="s">
        <v>11040</v>
      </c>
      <c r="E3961" s="3" t="str">
        <f>HYPERLINK("https://www.amazon.com/ORANGE-Fluoride-Paramedic-Scissors-A2Z/dp/B071SC4R8Z/ref=sr_1_5?keywords=Curad%C2%AE+Stainless+Steel+Bandage+Scissors&amp;qid=1695260182&amp;sr=8-5", "https://www.amazon.com/ORANGE-Fluoride-Paramedic-Scissors-A2Z/dp/B071SC4R8Z/ref=sr_1_5?keywords=Curad%C2%AE+Stainless+Steel+Bandage+Scissors&amp;qid=1695260182&amp;sr=8-5")</f>
        <v>https://www.amazon.com/ORANGE-Fluoride-Paramedic-Scissors-A2Z/dp/B071SC4R8Z/ref=sr_1_5?keywords=Curad%C2%AE+Stainless+Steel+Bandage+Scissors&amp;qid=1695260182&amp;sr=8-5</v>
      </c>
      <c r="F3961" t="s">
        <v>11041</v>
      </c>
      <c r="G3961" t="e">
        <f ca="1">IMAGE("https://shop.sonapharmacy.com/cdn/shop/products/scissors.png?v=1607716795")</f>
        <v>#NAME?</v>
      </c>
      <c r="H3961" t="e">
        <f ca="1">IMAGE("https://m.media-amazon.com/images/I/61NSSMPzbyL._AC_UY218_.jpg")</f>
        <v>#NAME?</v>
      </c>
      <c r="I3961" t="s">
        <v>8728</v>
      </c>
      <c r="J3961">
        <v>11.5</v>
      </c>
      <c r="K3961" s="2" t="s">
        <v>11042</v>
      </c>
      <c r="L3961">
        <v>4.4000000000000004</v>
      </c>
      <c r="M3961">
        <v>68</v>
      </c>
      <c r="O3961" t="s">
        <v>26</v>
      </c>
      <c r="P3961" t="s">
        <v>39</v>
      </c>
      <c r="Q3961" t="s">
        <v>9582</v>
      </c>
    </row>
    <row r="3962" spans="1:17" ht="15.75" x14ac:dyDescent="0.25">
      <c r="A3962" s="3" t="str">
        <f>HYPERLINK("https://shop.sonapharmacy.com/products/bd-home-sharps-container", "https://shop.sonapharmacy.com/products/bd-home-sharps-container")</f>
        <v>https://shop.sonapharmacy.com/products/bd-home-sharps-container</v>
      </c>
      <c r="B3962" s="3" t="str">
        <f>HYPERLINK("https://shop.sonapharmacy.com/products/bd-home-sharps-container", "https://shop.sonapharmacy.com/products/bd-home-sharps-container")</f>
        <v>https://shop.sonapharmacy.com/products/bd-home-sharps-container</v>
      </c>
      <c r="C3962" t="s">
        <v>8261</v>
      </c>
      <c r="D3962" t="s">
        <v>11043</v>
      </c>
      <c r="E3962" s="3" t="str">
        <f>HYPERLINK("https://www.amazon.com/BD-Home-Sharps-Container-case/dp/B00XCRL9T4/ref=sr_1_4?keywords=BD%C2%AE+Home+Sharps+Container&amp;qid=1695260089&amp;sr=8-4", "https://www.amazon.com/BD-Home-Sharps-Container-case/dp/B00XCRL9T4/ref=sr_1_4?keywords=BD%C2%AE+Home+Sharps+Container&amp;qid=1695260089&amp;sr=8-4")</f>
        <v>https://www.amazon.com/BD-Home-Sharps-Container-case/dp/B00XCRL9T4/ref=sr_1_4?keywords=BD%C2%AE+Home+Sharps+Container&amp;qid=1695260089&amp;sr=8-4</v>
      </c>
      <c r="F3962" t="s">
        <v>11044</v>
      </c>
      <c r="G3962" t="e">
        <f ca="1">IMAGE("https://shop.sonapharmacy.com/cdn/shop/products/001655246.jpg?v=1609343493")</f>
        <v>#NAME?</v>
      </c>
      <c r="H3962" t="e">
        <f ca="1">IMAGE("https://m.media-amazon.com/images/I/61tiWLBCKYL._AC_UL320_.jpg")</f>
        <v>#NAME?</v>
      </c>
      <c r="I3962" t="s">
        <v>8264</v>
      </c>
      <c r="J3962">
        <v>11.13</v>
      </c>
      <c r="K3962" s="2" t="s">
        <v>11045</v>
      </c>
      <c r="L3962">
        <v>4.0999999999999996</v>
      </c>
      <c r="M3962">
        <v>12</v>
      </c>
      <c r="O3962" t="s">
        <v>26</v>
      </c>
      <c r="P3962" t="s">
        <v>39</v>
      </c>
      <c r="Q3962" t="s">
        <v>8266</v>
      </c>
    </row>
    <row r="3963" spans="1:17" ht="15.75" x14ac:dyDescent="0.25">
      <c r="A3963" s="3" t="str">
        <f>HYPERLINK("https://shop.sonapharmacy.com/products/macks%C2%AE-pillow-soft%C2%AE-silicone-putty-ear-plugs", "https://shop.sonapharmacy.com/products/macks%C2%AE-pillow-soft%C2%AE-silicone-putty-ear-plugs")</f>
        <v>https://shop.sonapharmacy.com/products/macks%C2%AE-pillow-soft%C2%AE-silicone-putty-ear-plugs</v>
      </c>
      <c r="B3963" s="3" t="str">
        <f>HYPERLINK("https://shop.sonapharmacy.com/products/macks%c2%ae-pillow-soft%c2%ae-silicone-putty-ear-plugs", "https://shop.sonapharmacy.com/products/macks%c2%ae-pillow-soft%c2%ae-silicone-putty-ear-plugs")</f>
        <v>https://shop.sonapharmacy.com/products/macks%c2%ae-pillow-soft%c2%ae-silicone-putty-ear-plugs</v>
      </c>
      <c r="C3963" t="s">
        <v>7949</v>
      </c>
      <c r="D3963" t="s">
        <v>11046</v>
      </c>
      <c r="E3963" s="3" t="str">
        <f>HYPERLINK("https://www.amazon.com/Macks-Pillow-Earplugs-White-Pairs/dp/B001O8KMU0/ref=sr_1_6?keywords=Mack%27s%C2%AE+Pillow+Soft%C2%AE+Silicone+Putty+Ear+Plugs&amp;qid=1695260450&amp;sr=8-6", "https://www.amazon.com/Macks-Pillow-Earplugs-White-Pairs/dp/B001O8KMU0/ref=sr_1_6?keywords=Mack%27s%C2%AE+Pillow+Soft%C2%AE+Silicone+Putty+Ear+Plugs&amp;qid=1695260450&amp;sr=8-6")</f>
        <v>https://www.amazon.com/Macks-Pillow-Earplugs-White-Pairs/dp/B001O8KMU0/ref=sr_1_6?keywords=Mack%27s%C2%AE+Pillow+Soft%C2%AE+Silicone+Putty+Ear+Plugs&amp;qid=1695260450&amp;sr=8-6</v>
      </c>
      <c r="F3963" t="s">
        <v>11047</v>
      </c>
      <c r="G3963" t="e">
        <f ca="1">IMAGE("https://shop.sonapharmacy.com/cdn/shop/products/71Rta0uAlwL._AC_SL1500.jpg?v=1609171871")</f>
        <v>#NAME?</v>
      </c>
      <c r="H3963" t="e">
        <f ca="1">IMAGE("https://m.media-amazon.com/images/I/51zM+1r1cpL._AC_UL320_.jpg")</f>
        <v>#NAME?</v>
      </c>
      <c r="I3963" t="s">
        <v>7952</v>
      </c>
      <c r="J3963">
        <v>6.15</v>
      </c>
      <c r="K3963" s="2" t="s">
        <v>11048</v>
      </c>
      <c r="L3963">
        <v>4</v>
      </c>
      <c r="M3963">
        <v>54</v>
      </c>
      <c r="O3963" t="s">
        <v>26</v>
      </c>
      <c r="P3963" t="s">
        <v>39</v>
      </c>
      <c r="Q3963" t="s">
        <v>7954</v>
      </c>
    </row>
    <row r="3964" spans="1:17" ht="15.75" x14ac:dyDescent="0.25">
      <c r="A3964" s="3" t="str">
        <f>HYPERLINK("https://shop.sonapharmacy.com/products/burts-bees%C2%AE-body-lotion-for-normal-to-dry-skin-6oz", "https://shop.sonapharmacy.com/products/burts-bees%C2%AE-body-lotion-for-normal-to-dry-skin-6oz")</f>
        <v>https://shop.sonapharmacy.com/products/burts-bees%C2%AE-body-lotion-for-normal-to-dry-skin-6oz</v>
      </c>
      <c r="B3964" s="3" t="str">
        <f>HYPERLINK("https://shop.sonapharmacy.com/products/burts-bees%c2%ae-body-lotion-for-normal-to-dry-skin-6oz", "https://shop.sonapharmacy.com/products/burts-bees%c2%ae-body-lotion-for-normal-to-dry-skin-6oz")</f>
        <v>https://shop.sonapharmacy.com/products/burts-bees%c2%ae-body-lotion-for-normal-to-dry-skin-6oz</v>
      </c>
      <c r="C3964" t="s">
        <v>11049</v>
      </c>
      <c r="D3964" t="s">
        <v>11050</v>
      </c>
      <c r="E3964" s="3" t="str">
        <f>HYPERLINK("https://www.amazon.com/Burts-Bees-Honey-Lotion-Normal/dp/B0054S3ZIW/ref=sr_1_3?keywords=Burt%27s+Bees%C2%AE+Body+Lotion+for+Normal+to+Dry+Skin+6oz.&amp;qid=1695260106&amp;sr=8-3", "https://www.amazon.com/Burts-Bees-Honey-Lotion-Normal/dp/B0054S3ZIW/ref=sr_1_3?keywords=Burt%27s+Bees%C2%AE+Body+Lotion+for+Normal+to+Dry+Skin+6oz.&amp;qid=1695260106&amp;sr=8-3")</f>
        <v>https://www.amazon.com/Burts-Bees-Honey-Lotion-Normal/dp/B0054S3ZIW/ref=sr_1_3?keywords=Burt%27s+Bees%C2%AE+Body+Lotion+for+Normal+to+Dry+Skin+6oz.&amp;qid=1695260106&amp;sr=8-3</v>
      </c>
      <c r="F3964" t="s">
        <v>11051</v>
      </c>
      <c r="G3964" t="e">
        <f ca="1">IMAGE("https://shop.sonapharmacy.com/cdn/shop/products/9a611ebb-b8a1-41c7-a403-c66677d03669_1.fed3cfd8a6b0335c80a30a2082752e3f.jpg?v=1610641930")</f>
        <v>#NAME?</v>
      </c>
      <c r="H3964" t="e">
        <f ca="1">IMAGE("https://m.media-amazon.com/images/I/21P2ZmjDXwL._AC_UL320_.jpg")</f>
        <v>#NAME?</v>
      </c>
      <c r="I3964" t="s">
        <v>3392</v>
      </c>
      <c r="J3964">
        <v>17.95</v>
      </c>
      <c r="K3964" s="2" t="s">
        <v>11052</v>
      </c>
      <c r="L3964">
        <v>5</v>
      </c>
      <c r="M3964">
        <v>1</v>
      </c>
      <c r="O3964" t="s">
        <v>26</v>
      </c>
      <c r="P3964" t="s">
        <v>39</v>
      </c>
      <c r="Q3964" t="s">
        <v>11053</v>
      </c>
    </row>
    <row r="3965" spans="1:17" ht="15.75" x14ac:dyDescent="0.25">
      <c r="A3965" s="3" t="str">
        <f>HYPERLINK("https://shop.sonapharmacy.com/products/amlactin%C2%AE-daily-moisturizing-body-lotion", "https://shop.sonapharmacy.com/products/amlactin%C2%AE-daily-moisturizing-body-lotion")</f>
        <v>https://shop.sonapharmacy.com/products/amlactin%C2%AE-daily-moisturizing-body-lotion</v>
      </c>
      <c r="B3965" s="3" t="str">
        <f>HYPERLINK("https://shop.sonapharmacy.com/products/amlactin%c2%ae-daily-moisturizing-body-lotion", "https://shop.sonapharmacy.com/products/amlactin%c2%ae-daily-moisturizing-body-lotion")</f>
        <v>https://shop.sonapharmacy.com/products/amlactin%c2%ae-daily-moisturizing-body-lotion</v>
      </c>
      <c r="C3965" t="s">
        <v>11054</v>
      </c>
      <c r="D3965" t="s">
        <v>11055</v>
      </c>
      <c r="E3965" s="3" t="str">
        <f>HYPERLINK("https://www.amazon.com/pack-AmLactin-12-Moisturizing-Lotion/dp/B078SYFRDF/ref=sr_1_3?keywords=AmLactin+Daily+Moisturizing+Body+Lotion&amp;qid=1695260004&amp;sr=8-3", "https://www.amazon.com/pack-AmLactin-12-Moisturizing-Lotion/dp/B078SYFRDF/ref=sr_1_3?keywords=AmLactin+Daily+Moisturizing+Body+Lotion&amp;qid=1695260004&amp;sr=8-3")</f>
        <v>https://www.amazon.com/pack-AmLactin-12-Moisturizing-Lotion/dp/B078SYFRDF/ref=sr_1_3?keywords=AmLactin+Daily+Moisturizing+Body+Lotion&amp;qid=1695260004&amp;sr=8-3</v>
      </c>
      <c r="F3965" t="s">
        <v>11056</v>
      </c>
      <c r="G3965" t="e">
        <f ca="1">IMAGE("https://shop.sonapharmacy.com/cdn/shop/products/043dc7fe-a480-4655-88db-8b40c338edbb_1.8cd1d0af8c994bebf80e2e186559c036.jpg?v=1611169026")</f>
        <v>#NAME?</v>
      </c>
      <c r="H3965" t="e">
        <f ca="1">IMAGE("https://m.media-amazon.com/images/I/61mVHFWTRlL._AC_UL320_.jpg")</f>
        <v>#NAME?</v>
      </c>
      <c r="I3965" t="s">
        <v>9290</v>
      </c>
      <c r="J3965">
        <v>37.979999999999997</v>
      </c>
      <c r="K3965" s="2" t="s">
        <v>11057</v>
      </c>
      <c r="L3965">
        <v>4.5999999999999996</v>
      </c>
      <c r="M3965">
        <v>1045</v>
      </c>
      <c r="O3965" t="s">
        <v>26</v>
      </c>
      <c r="P3965" t="s">
        <v>39</v>
      </c>
      <c r="Q3965" t="s">
        <v>11058</v>
      </c>
    </row>
    <row r="3966" spans="1:17" ht="15.75" x14ac:dyDescent="0.25">
      <c r="A3966" s="3" t="str">
        <f>HYPERLINK("https://shop.sonapharmacy.com/products/dentemp%C2%AE-loose-cap-lost-filling-repair", "https://shop.sonapharmacy.com/products/dentemp%C2%AE-loose-cap-lost-filling-repair")</f>
        <v>https://shop.sonapharmacy.com/products/dentemp%C2%AE-loose-cap-lost-filling-repair</v>
      </c>
      <c r="B3966" s="3" t="str">
        <f>HYPERLINK("https://shop.sonapharmacy.com/products/dentemp%c2%ae-loose-cap-lost-filling-repair", "https://shop.sonapharmacy.com/products/dentemp%c2%ae-loose-cap-lost-filling-repair")</f>
        <v>https://shop.sonapharmacy.com/products/dentemp%c2%ae-loose-cap-lost-filling-repair</v>
      </c>
      <c r="C3966" t="s">
        <v>9593</v>
      </c>
      <c r="D3966" t="s">
        <v>11059</v>
      </c>
      <c r="E3966" s="3" t="str">
        <f>HYPERLINK("https://www.amazon.com/Dentemp-Maximum-Strength-Dental-Packaging/dp/B07NPN3J7J/ref=sr_1_2?keywords=Dentemp%C2%AE+Loose+Cap+%26+Lost+Filling+Repair&amp;qid=1695260175&amp;sr=8-2", "https://www.amazon.com/Dentemp-Maximum-Strength-Dental-Packaging/dp/B07NPN3J7J/ref=sr_1_2?keywords=Dentemp%C2%AE+Loose+Cap+%26+Lost+Filling+Repair&amp;qid=1695260175&amp;sr=8-2")</f>
        <v>https://www.amazon.com/Dentemp-Maximum-Strength-Dental-Packaging/dp/B07NPN3J7J/ref=sr_1_2?keywords=Dentemp%C2%AE+Loose+Cap+%26+Lost+Filling+Repair&amp;qid=1695260175&amp;sr=8-2</v>
      </c>
      <c r="F3966" t="s">
        <v>11060</v>
      </c>
      <c r="G3966" t="e">
        <f ca="1">IMAGE("https://shop.sonapharmacy.com/cdn/shop/products/dentemp-loose-cap-lost-filling.jpg?v=1608570207")</f>
        <v>#NAME?</v>
      </c>
      <c r="H3966" t="e">
        <f ca="1">IMAGE("https://m.media-amazon.com/images/I/817TqC9-PAL._AC_UL320_.jpg")</f>
        <v>#NAME?</v>
      </c>
      <c r="I3966" t="s">
        <v>9241</v>
      </c>
      <c r="J3966">
        <v>13.24</v>
      </c>
      <c r="K3966" s="2" t="s">
        <v>11061</v>
      </c>
      <c r="L3966">
        <v>3.8</v>
      </c>
      <c r="M3966">
        <v>3232</v>
      </c>
      <c r="O3966" t="s">
        <v>26</v>
      </c>
      <c r="P3966" t="s">
        <v>39</v>
      </c>
      <c r="Q3966" t="s">
        <v>9597</v>
      </c>
    </row>
    <row r="3967" spans="1:17" ht="15.75" x14ac:dyDescent="0.25">
      <c r="A3967" s="3" t="str">
        <f>HYPERLINK("https://shop.sonapharmacy.com/products/ban-powder-fresh-roll-on-antiperspirant-deodorant", "https://shop.sonapharmacy.com/products/ban-powder-fresh-roll-on-antiperspirant-deodorant")</f>
        <v>https://shop.sonapharmacy.com/products/ban-powder-fresh-roll-on-antiperspirant-deodorant</v>
      </c>
      <c r="B3967" s="3" t="str">
        <f>HYPERLINK("https://shop.sonapharmacy.com/products/ban-powder-fresh-roll-on-antiperspirant-deodorant", "https://shop.sonapharmacy.com/products/ban-powder-fresh-roll-on-antiperspirant-deodorant")</f>
        <v>https://shop.sonapharmacy.com/products/ban-powder-fresh-roll-on-antiperspirant-deodorant</v>
      </c>
      <c r="C3967" t="s">
        <v>10483</v>
      </c>
      <c r="D3967" t="s">
        <v>11062</v>
      </c>
      <c r="E3967" s="3" t="str">
        <f>HYPERLINK("https://www.amazon.com/Ban-Antiperspirant-Deodorant-Invisible-Powder/dp/B00SM44AA2/ref=sr_1_2?keywords=Ban%C2%AE+Powder+Fresh+Roll-On+Antiperspirant+Deodorant&amp;qid=1695260091&amp;rdc=1&amp;sr=8-2", "https://www.amazon.com/Ban-Antiperspirant-Deodorant-Invisible-Powder/dp/B00SM44AA2/ref=sr_1_2?keywords=Ban%C2%AE+Powder+Fresh+Roll-On+Antiperspirant+Deodorant&amp;qid=1695260091&amp;rdc=1&amp;sr=8-2")</f>
        <v>https://www.amazon.com/Ban-Antiperspirant-Deodorant-Invisible-Powder/dp/B00SM44AA2/ref=sr_1_2?keywords=Ban%C2%AE+Powder+Fresh+Roll-On+Antiperspirant+Deodorant&amp;qid=1695260091&amp;rdc=1&amp;sr=8-2</v>
      </c>
      <c r="F3967" t="s">
        <v>11063</v>
      </c>
      <c r="G3967" t="e">
        <f ca="1">IMAGE("https://shop.sonapharmacy.com/cdn/shop/products/BanPowderRollFront.png?v=1607048361")</f>
        <v>#NAME?</v>
      </c>
      <c r="H3967" t="e">
        <f ca="1">IMAGE("https://m.media-amazon.com/images/I/611oqXt-3fL._AC_UL320_.jpg")</f>
        <v>#NAME?</v>
      </c>
      <c r="I3967" t="s">
        <v>10303</v>
      </c>
      <c r="J3967">
        <v>15.16</v>
      </c>
      <c r="K3967" s="2" t="s">
        <v>11061</v>
      </c>
      <c r="L3967">
        <v>4.7</v>
      </c>
      <c r="M3967">
        <v>3323</v>
      </c>
      <c r="O3967" t="s">
        <v>26</v>
      </c>
      <c r="P3967" t="s">
        <v>39</v>
      </c>
      <c r="Q3967" t="s">
        <v>10487</v>
      </c>
    </row>
    <row r="3968" spans="1:17" ht="15.75" x14ac:dyDescent="0.25">
      <c r="A3968" s="3" t="str">
        <f>HYPERLINK("https://shop.sonapharmacy.com/products/theraslim", "https://shop.sonapharmacy.com/products/theraslim")</f>
        <v>https://shop.sonapharmacy.com/products/theraslim</v>
      </c>
      <c r="B3968" s="3" t="str">
        <f>HYPERLINK("https://shop.sonapharmacy.com/products/theraslim", "https://shop.sonapharmacy.com/products/theraslim")</f>
        <v>https://shop.sonapharmacy.com/products/theraslim</v>
      </c>
      <c r="C3968" t="s">
        <v>9845</v>
      </c>
      <c r="D3968" t="s">
        <v>11064</v>
      </c>
      <c r="E3968" s="3" t="str">
        <f>HYPERLINK("https://www.amazon.com/Klaire-Labs-Ther-Biotic-Metabolic-Formula/dp/B01AVJ3OW0/ref=sr_1_2?keywords=Klaire+Labs+Theraslim+Capsules&amp;qid=1695260437&amp;sr=8-2", "https://www.amazon.com/Klaire-Labs-Ther-Biotic-Metabolic-Formula/dp/B01AVJ3OW0/ref=sr_1_2?keywords=Klaire+Labs+Theraslim+Capsules&amp;qid=1695260437&amp;sr=8-2")</f>
        <v>https://www.amazon.com/Klaire-Labs-Ther-Biotic-Metabolic-Formula/dp/B01AVJ3OW0/ref=sr_1_2?keywords=Klaire+Labs+Theraslim+Capsules&amp;qid=1695260437&amp;sr=8-2</v>
      </c>
      <c r="F3968" t="s">
        <v>11065</v>
      </c>
      <c r="G3968" t="e">
        <f ca="1">IMAGE("https://shop.sonapharmacy.com/cdn/shop/products/61UgGn_O7ML._AC_SL1500.jpg?v=1609358113")</f>
        <v>#NAME?</v>
      </c>
      <c r="H3968" t="e">
        <f ca="1">IMAGE("https://m.media-amazon.com/images/I/61Tr62p1ImL._AC_UL320_.jpg")</f>
        <v>#NAME?</v>
      </c>
      <c r="I3968" t="s">
        <v>3544</v>
      </c>
      <c r="J3968">
        <v>57.99</v>
      </c>
      <c r="K3968" s="2" t="s">
        <v>11066</v>
      </c>
      <c r="L3968">
        <v>4.3</v>
      </c>
      <c r="M3968">
        <v>74</v>
      </c>
      <c r="O3968" t="s">
        <v>26</v>
      </c>
      <c r="P3968" t="s">
        <v>39</v>
      </c>
      <c r="Q3968" t="s">
        <v>9849</v>
      </c>
    </row>
    <row r="3969" spans="1:17" ht="15.75" x14ac:dyDescent="0.25">
      <c r="A3969" s="3" t="str">
        <f>HYPERLINK("https://shop.sonapharmacy.com/products/foille-medicated-first-aid-ointment-1oz", "https://shop.sonapharmacy.com/products/foille-medicated-first-aid-ointment-1oz")</f>
        <v>https://shop.sonapharmacy.com/products/foille-medicated-first-aid-ointment-1oz</v>
      </c>
      <c r="B3969" s="3" t="str">
        <f>HYPERLINK("https://shop.sonapharmacy.com/products/foille-medicated-first-aid-ointment-1oz", "https://shop.sonapharmacy.com/products/foille-medicated-first-aid-ointment-1oz")</f>
        <v>https://shop.sonapharmacy.com/products/foille-medicated-first-aid-ointment-1oz</v>
      </c>
      <c r="C3969" t="s">
        <v>8677</v>
      </c>
      <c r="D3969" t="s">
        <v>11067</v>
      </c>
      <c r="E3969" s="3" t="str">
        <f>HYPERLINK("https://www.amazon.com/Foille-Medicated-First-Ointment-Pack/dp/B01IAI703I/ref=sr_1_7?keywords=Foille+Medicated+First+Aid+Ointment+1oz.&amp;qid=1695260242&amp;sr=8-7", "https://www.amazon.com/Foille-Medicated-First-Ointment-Pack/dp/B01IAI703I/ref=sr_1_7?keywords=Foille+Medicated+First+Aid+Ointment+1oz.&amp;qid=1695260242&amp;sr=8-7")</f>
        <v>https://www.amazon.com/Foille-Medicated-First-Ointment-Pack/dp/B01IAI703I/ref=sr_1_7?keywords=Foille+Medicated+First+Aid+Ointment+1oz.&amp;qid=1695260242&amp;sr=8-7</v>
      </c>
      <c r="F3969" t="s">
        <v>11068</v>
      </c>
      <c r="G3969" t="e">
        <f ca="1">IMAGE("https://shop.sonapharmacy.com/cdn/shop/products/51q-pUYDQIL._AC_SL1500.jpg?v=1609351378")</f>
        <v>#NAME?</v>
      </c>
      <c r="H3969" t="e">
        <f ca="1">IMAGE("https://m.media-amazon.com/images/I/61keFQSnS0L._AC_UL320_.jpg")</f>
        <v>#NAME?</v>
      </c>
      <c r="I3969" t="s">
        <v>8680</v>
      </c>
      <c r="J3969">
        <v>10</v>
      </c>
      <c r="K3969" s="2" t="s">
        <v>11069</v>
      </c>
      <c r="L3969">
        <v>4.9000000000000004</v>
      </c>
      <c r="M3969">
        <v>42</v>
      </c>
      <c r="O3969" t="s">
        <v>26</v>
      </c>
      <c r="P3969" t="s">
        <v>39</v>
      </c>
      <c r="Q3969" t="s">
        <v>8682</v>
      </c>
    </row>
    <row r="3970" spans="1:17" ht="15.75" x14ac:dyDescent="0.25">
      <c r="A3970" s="3" t="str">
        <f>HYPERLINK("https://shop.sonapharmacy.com/products/foille-medicated-first-aid-ointment-1oz", "https://shop.sonapharmacy.com/products/foille-medicated-first-aid-ointment-1oz")</f>
        <v>https://shop.sonapharmacy.com/products/foille-medicated-first-aid-ointment-1oz</v>
      </c>
      <c r="B3970" s="3" t="str">
        <f>HYPERLINK("https://shop.sonapharmacy.com/products/foille-medicated-first-aid-ointment-1oz", "https://shop.sonapharmacy.com/products/foille-medicated-first-aid-ointment-1oz")</f>
        <v>https://shop.sonapharmacy.com/products/foille-medicated-first-aid-ointment-1oz</v>
      </c>
      <c r="C3970" t="s">
        <v>8677</v>
      </c>
      <c r="D3970" t="s">
        <v>11067</v>
      </c>
      <c r="E3970" s="3" t="str">
        <f>HYPERLINK("https://www.amazon.com/Foille-Medicated-First-Ointment-pack/dp/B00SEDFJGK/ref=sr_1_3?keywords=Foille+Medicated+First+Aid+Ointment+1oz.&amp;qid=1695260242&amp;sr=8-3", "https://www.amazon.com/Foille-Medicated-First-Ointment-pack/dp/B00SEDFJGK/ref=sr_1_3?keywords=Foille+Medicated+First+Aid+Ointment+1oz.&amp;qid=1695260242&amp;sr=8-3")</f>
        <v>https://www.amazon.com/Foille-Medicated-First-Ointment-pack/dp/B00SEDFJGK/ref=sr_1_3?keywords=Foille+Medicated+First+Aid+Ointment+1oz.&amp;qid=1695260242&amp;sr=8-3</v>
      </c>
      <c r="F3970" t="s">
        <v>11070</v>
      </c>
      <c r="G3970" t="e">
        <f ca="1">IMAGE("https://shop.sonapharmacy.com/cdn/shop/products/51q-pUYDQIL._AC_SL1500.jpg?v=1609351378")</f>
        <v>#NAME?</v>
      </c>
      <c r="H3970" t="e">
        <f ca="1">IMAGE("https://m.media-amazon.com/images/I/61yRf2iE4tL._AC_UL320_.jpg")</f>
        <v>#NAME?</v>
      </c>
      <c r="I3970" t="s">
        <v>8680</v>
      </c>
      <c r="J3970">
        <v>10</v>
      </c>
      <c r="K3970" s="2" t="s">
        <v>11069</v>
      </c>
      <c r="L3970">
        <v>4.8</v>
      </c>
      <c r="M3970">
        <v>163</v>
      </c>
      <c r="O3970" t="s">
        <v>26</v>
      </c>
      <c r="P3970" t="s">
        <v>39</v>
      </c>
      <c r="Q3970" t="s">
        <v>8682</v>
      </c>
    </row>
    <row r="3971" spans="1:17" ht="15.75" x14ac:dyDescent="0.25">
      <c r="A3971" s="3" t="str">
        <f>HYPERLINK("https://shop.sonapharmacy.com/products/off-%C2%AE-family-care-insect-repellent-smooth-dry-spray-4oz", "https://shop.sonapharmacy.com/products/off-%C2%AE-family-care-insect-repellent-smooth-dry-spray-4oz")</f>
        <v>https://shop.sonapharmacy.com/products/off-%C2%AE-family-care-insect-repellent-smooth-dry-spray-4oz</v>
      </c>
      <c r="B3971" s="3" t="str">
        <f>HYPERLINK("https://shop.sonapharmacy.com/products/off-%c2%ae-family-care-insect-repellent-smooth-dry-spray-4oz", "https://shop.sonapharmacy.com/products/off-%c2%ae-family-care-insect-repellent-smooth-dry-spray-4oz")</f>
        <v>https://shop.sonapharmacy.com/products/off-%c2%ae-family-care-insect-repellent-smooth-dry-spray-4oz</v>
      </c>
      <c r="C3971" t="s">
        <v>9392</v>
      </c>
      <c r="D3971" t="s">
        <v>11071</v>
      </c>
      <c r="E3971" s="3" t="str">
        <f>HYPERLINK("https://www.amazon.com/Family-Care-Smooth-Insect-Spray/dp/B07FB63549/ref=sr_1_1?keywords=OFF%21%C2%AE+Family+Care+Insect+Repellent+Smooth+%26+Dry+Spray+4oz.&amp;qid=1695260656&amp;sr=8-1", "https://www.amazon.com/Family-Care-Smooth-Insect-Spray/dp/B07FB63549/ref=sr_1_1?keywords=OFF%21%C2%AE+Family+Care+Insect+Repellent+Smooth+%26+Dry+Spray+4oz.&amp;qid=1695260656&amp;sr=8-1")</f>
        <v>https://www.amazon.com/Family-Care-Smooth-Insect-Spray/dp/B07FB63549/ref=sr_1_1?keywords=OFF%21%C2%AE+Family+Care+Insect+Repellent+Smooth+%26+Dry+Spray+4oz.&amp;qid=1695260656&amp;sr=8-1</v>
      </c>
      <c r="F3971" t="s">
        <v>11072</v>
      </c>
      <c r="G3971" t="e">
        <f ca="1">IMAGE("https://shop.sonapharmacy.com/cdn/shop/products/82380d77-220c-40b4-8024-71396ca6a7d8.a797d23efa84ece1415562ae9d549027_4e55f6cf-6eb1-4669-a3ee-922c1347d47c.jpg?v=1610757010")</f>
        <v>#NAME?</v>
      </c>
      <c r="H3971" t="e">
        <f ca="1">IMAGE("https://m.media-amazon.com/images/I/81tBAECb7PL._AC_UL320_.jpg")</f>
        <v>#NAME?</v>
      </c>
      <c r="I3971" t="s">
        <v>9395</v>
      </c>
      <c r="J3971">
        <v>20.64</v>
      </c>
      <c r="K3971" s="2" t="s">
        <v>11073</v>
      </c>
      <c r="L3971">
        <v>4.5999999999999996</v>
      </c>
      <c r="M3971">
        <v>5831</v>
      </c>
      <c r="O3971" t="s">
        <v>26</v>
      </c>
      <c r="P3971" t="s">
        <v>39</v>
      </c>
      <c r="Q3971" t="s">
        <v>9397</v>
      </c>
    </row>
    <row r="3972" spans="1:17" ht="15.75" x14ac:dyDescent="0.25">
      <c r="A3972" s="3" t="str">
        <f>HYPERLINK("https://shop.sonapharmacy.com/products/fleet%C2%AE-liquid-glycerin-suppositories-4", "https://shop.sonapharmacy.com/products/fleet%C2%AE-liquid-glycerin-suppositories-4")</f>
        <v>https://shop.sonapharmacy.com/products/fleet%C2%AE-liquid-glycerin-suppositories-4</v>
      </c>
      <c r="B3972" s="3" t="str">
        <f>HYPERLINK("https://shop.sonapharmacy.com/products/fleet%c2%ae-liquid-glycerin-suppositories-4", "https://shop.sonapharmacy.com/products/fleet%c2%ae-liquid-glycerin-suppositories-4")</f>
        <v>https://shop.sonapharmacy.com/products/fleet%c2%ae-liquid-glycerin-suppositories-4</v>
      </c>
      <c r="C3972" t="s">
        <v>8663</v>
      </c>
      <c r="D3972" t="s">
        <v>11074</v>
      </c>
      <c r="E3972" s="3"/>
      <c r="F3972" t="s">
        <v>11075</v>
      </c>
      <c r="G3972" t="e">
        <f ca="1">IMAGE("https://shop.sonapharmacy.com/cdn/shop/products/61jAlYCKusL._SL1000.jpg?v=1609350996")</f>
        <v>#NAME?</v>
      </c>
      <c r="H3972" t="e">
        <f ca="1">IMAGE("https://m.media-amazon.com/images/I/61id61tfE-L._AC_UL320_.jpg")</f>
        <v>#NAME?</v>
      </c>
      <c r="I3972" t="s">
        <v>8557</v>
      </c>
      <c r="J3972">
        <v>14.97</v>
      </c>
      <c r="K3972" s="2" t="s">
        <v>11076</v>
      </c>
      <c r="L3972">
        <v>4.7</v>
      </c>
      <c r="M3972">
        <v>4212</v>
      </c>
      <c r="O3972" t="s">
        <v>136</v>
      </c>
      <c r="P3972" t="s">
        <v>39</v>
      </c>
      <c r="Q3972" t="s">
        <v>8667</v>
      </c>
    </row>
    <row r="3973" spans="1:17" ht="15.75" x14ac:dyDescent="0.25">
      <c r="A3973" s="3" t="str">
        <f>HYPERLINK("https://shop.sonapharmacy.com/products/fleet%C2%AE-liquid-glycerin-suppositories-4", "https://shop.sonapharmacy.com/products/fleet%C2%AE-liquid-glycerin-suppositories-4")</f>
        <v>https://shop.sonapharmacy.com/products/fleet%C2%AE-liquid-glycerin-suppositories-4</v>
      </c>
      <c r="B3973" s="3" t="str">
        <f>HYPERLINK("https://shop.sonapharmacy.com/products/fleet%c2%ae-liquid-glycerin-suppositories-4", "https://shop.sonapharmacy.com/products/fleet%c2%ae-liquid-glycerin-suppositories-4")</f>
        <v>https://shop.sonapharmacy.com/products/fleet%c2%ae-liquid-glycerin-suppositories-4</v>
      </c>
      <c r="C3973" t="s">
        <v>8663</v>
      </c>
      <c r="D3973" t="s">
        <v>11074</v>
      </c>
      <c r="E3973" s="3" t="str">
        <f>HYPERLINK("https://www.amazon.com/Fleet-Laxative-Suppositories-Constipation-Packaging/dp/B01LWY6FGA/ref=sr_1_4?keywords=FLEET%C2%AE+Liquid+Glycerin+Suppositories&amp;qid=1695260272&amp;rdc=1&amp;sr=8-4", "https://www.amazon.com/Fleet-Laxative-Suppositories-Constipation-Packaging/dp/B01LWY6FGA/ref=sr_1_4?keywords=FLEET%C2%AE+Liquid+Glycerin+Suppositories&amp;qid=1695260272&amp;rdc=1&amp;sr=8-4")</f>
        <v>https://www.amazon.com/Fleet-Laxative-Suppositories-Constipation-Packaging/dp/B01LWY6FGA/ref=sr_1_4?keywords=FLEET%C2%AE+Liquid+Glycerin+Suppositories&amp;qid=1695260272&amp;rdc=1&amp;sr=8-4</v>
      </c>
      <c r="F3973" t="s">
        <v>11075</v>
      </c>
      <c r="G3973" t="e">
        <f ca="1">IMAGE("https://shop.sonapharmacy.com/cdn/shop/products/61jAlYCKusL._SL1000.jpg?v=1609350996")</f>
        <v>#NAME?</v>
      </c>
      <c r="H3973" t="e">
        <f ca="1">IMAGE("https://m.media-amazon.com/images/I/61id61tfE-L._AC_UL320_.jpg")</f>
        <v>#NAME?</v>
      </c>
      <c r="I3973" t="s">
        <v>8557</v>
      </c>
      <c r="J3973">
        <v>14.97</v>
      </c>
      <c r="K3973" s="2" t="s">
        <v>11076</v>
      </c>
      <c r="L3973">
        <v>4.7</v>
      </c>
      <c r="M3973">
        <v>4212</v>
      </c>
      <c r="O3973" t="s">
        <v>136</v>
      </c>
      <c r="P3973" t="s">
        <v>39</v>
      </c>
      <c r="Q3973" t="s">
        <v>8667</v>
      </c>
    </row>
    <row r="3974" spans="1:17" ht="15.75" x14ac:dyDescent="0.25">
      <c r="A3974" s="3" t="str">
        <f>HYPERLINK("https://shop.sonapharmacy.com/products/fleet%C2%AE-liquid-glycerin-suppositories-4", "https://shop.sonapharmacy.com/products/fleet%C2%AE-liquid-glycerin-suppositories-4")</f>
        <v>https://shop.sonapharmacy.com/products/fleet%C2%AE-liquid-glycerin-suppositories-4</v>
      </c>
      <c r="B3974" s="3" t="str">
        <f>HYPERLINK("https://shop.sonapharmacy.com/products/fleet%c2%ae-liquid-glycerin-suppositories-4", "https://shop.sonapharmacy.com/products/fleet%c2%ae-liquid-glycerin-suppositories-4")</f>
        <v>https://shop.sonapharmacy.com/products/fleet%c2%ae-liquid-glycerin-suppositories-4</v>
      </c>
      <c r="C3974" t="s">
        <v>8663</v>
      </c>
      <c r="D3974" t="s">
        <v>11074</v>
      </c>
      <c r="E3974" s="3"/>
      <c r="F3974" t="s">
        <v>11075</v>
      </c>
      <c r="G3974" t="e">
        <f ca="1">IMAGE("https://shop.sonapharmacy.com/cdn/shop/products/61jAlYCKusL._SL1000.jpg?v=1609350996")</f>
        <v>#NAME?</v>
      </c>
      <c r="H3974" t="e">
        <f ca="1">IMAGE("https://m.media-amazon.com/images/I/61id61tfE-L._AC_UL320_.jpg")</f>
        <v>#NAME?</v>
      </c>
      <c r="I3974" t="s">
        <v>8557</v>
      </c>
      <c r="J3974">
        <v>14.97</v>
      </c>
      <c r="K3974" s="2" t="s">
        <v>11076</v>
      </c>
      <c r="L3974">
        <v>4.7</v>
      </c>
      <c r="M3974">
        <v>4212</v>
      </c>
      <c r="O3974" t="s">
        <v>136</v>
      </c>
      <c r="P3974" t="s">
        <v>39</v>
      </c>
      <c r="Q3974" t="s">
        <v>8667</v>
      </c>
    </row>
    <row r="3975" spans="1:17" ht="15.75" x14ac:dyDescent="0.25">
      <c r="A3975" s="3" t="str">
        <f>HYPERLINK("https://shop.sonapharmacy.com/products/curad-flex-fabric-bandages", "https://shop.sonapharmacy.com/products/curad-flex-fabric-bandages")</f>
        <v>https://shop.sonapharmacy.com/products/curad-flex-fabric-bandages</v>
      </c>
      <c r="B3975" s="3" t="str">
        <f>HYPERLINK("https://shop.sonapharmacy.com/products/curad-flex-fabric-bandages", "https://shop.sonapharmacy.com/products/curad-flex-fabric-bandages")</f>
        <v>https://shop.sonapharmacy.com/products/curad-flex-fabric-bandages</v>
      </c>
      <c r="C3975" t="s">
        <v>10355</v>
      </c>
      <c r="D3975" t="s">
        <v>11077</v>
      </c>
      <c r="E3975" s="3" t="str">
        <f>HYPERLINK("https://www.amazon.com/Medline-NON25650Z-Bandage-Adhesive-Fabric/dp/B075KT9JQM/ref=sr_1_2?keywords=Curad%C2%AE+Flex-Fabric+Bandages&amp;qid=1695260173&amp;sr=8-2", "https://www.amazon.com/Medline-NON25650Z-Bandage-Adhesive-Fabric/dp/B075KT9JQM/ref=sr_1_2?keywords=Curad%C2%AE+Flex-Fabric+Bandages&amp;qid=1695260173&amp;sr=8-2")</f>
        <v>https://www.amazon.com/Medline-NON25650Z-Bandage-Adhesive-Fabric/dp/B075KT9JQM/ref=sr_1_2?keywords=Curad%C2%AE+Flex-Fabric+Bandages&amp;qid=1695260173&amp;sr=8-2</v>
      </c>
      <c r="F3975" t="s">
        <v>11078</v>
      </c>
      <c r="G3975" t="e">
        <f ca="1">IMAGE("https://shop.sonapharmacy.com/cdn/shop/products/flexstrip.png?v=1607709917")</f>
        <v>#NAME?</v>
      </c>
      <c r="H3975" t="e">
        <f ca="1">IMAGE("https://m.media-amazon.com/images/I/71H5EmR8s+L._AC_UL320_.jpg")</f>
        <v>#NAME?</v>
      </c>
      <c r="I3975" t="s">
        <v>8680</v>
      </c>
      <c r="J3975">
        <v>9.9700000000000006</v>
      </c>
      <c r="K3975" s="2" t="s">
        <v>11079</v>
      </c>
      <c r="L3975">
        <v>4.5999999999999996</v>
      </c>
      <c r="M3975">
        <v>1126</v>
      </c>
      <c r="O3975" t="s">
        <v>26</v>
      </c>
      <c r="P3975" t="s">
        <v>39</v>
      </c>
      <c r="Q3975" t="s">
        <v>10359</v>
      </c>
    </row>
    <row r="3976" spans="1:17" ht="15.75" x14ac:dyDescent="0.25">
      <c r="A3976" s="3" t="str">
        <f>HYPERLINK("https://shop.sonapharmacy.com/products/listerine%C2%AE-total-care-mouthwash", "https://shop.sonapharmacy.com/products/listerine%C2%AE-total-care-mouthwash")</f>
        <v>https://shop.sonapharmacy.com/products/listerine%C2%AE-total-care-mouthwash</v>
      </c>
      <c r="B3976" s="3" t="str">
        <f>HYPERLINK("https://shop.sonapharmacy.com/products/listerine%c2%ae-total-care-mouthwash", "https://shop.sonapharmacy.com/products/listerine%c2%ae-total-care-mouthwash")</f>
        <v>https://shop.sonapharmacy.com/products/listerine%c2%ae-total-care-mouthwash</v>
      </c>
      <c r="C3976" t="s">
        <v>8810</v>
      </c>
      <c r="D3976" t="s">
        <v>11080</v>
      </c>
      <c r="E3976" s="3" t="str">
        <f>HYPERLINK("https://www.amazon.com/Listerine-Anticavity-Fluoride-Mouthwash-Strengthens/dp/B0B5Y7KCS8/ref=sr_1_1?keywords=Listerine%C2%AE+Total+Care+Mouthwash&amp;qid=1695260463&amp;sr=8-1", "https://www.amazon.com/Listerine-Anticavity-Fluoride-Mouthwash-Strengthens/dp/B0B5Y7KCS8/ref=sr_1_1?keywords=Listerine%C2%AE+Total+Care+Mouthwash&amp;qid=1695260463&amp;sr=8-1")</f>
        <v>https://www.amazon.com/Listerine-Anticavity-Fluoride-Mouthwash-Strengthens/dp/B0B5Y7KCS8/ref=sr_1_1?keywords=Listerine%C2%AE+Total+Care+Mouthwash&amp;qid=1695260463&amp;sr=8-1</v>
      </c>
      <c r="F3976" t="s">
        <v>11081</v>
      </c>
      <c r="G3976" t="e">
        <f ca="1">IMAGE("https://shop.sonapharmacy.com/cdn/shop/products/81vNiROdiIL._SL1500.jpg?v=1647185014")</f>
        <v>#NAME?</v>
      </c>
      <c r="H3976" t="e">
        <f ca="1">IMAGE("https://m.media-amazon.com/images/I/81IHzT5lweL._AC_UL320_.jpg")</f>
        <v>#NAME?</v>
      </c>
      <c r="I3976" t="s">
        <v>8813</v>
      </c>
      <c r="J3976">
        <v>15.82</v>
      </c>
      <c r="K3976" s="2" t="s">
        <v>11082</v>
      </c>
      <c r="L3976">
        <v>4.7</v>
      </c>
      <c r="M3976">
        <v>83259</v>
      </c>
      <c r="O3976" t="s">
        <v>26</v>
      </c>
      <c r="P3976" t="s">
        <v>39</v>
      </c>
      <c r="Q3976" t="s">
        <v>8815</v>
      </c>
    </row>
    <row r="3977" spans="1:17" ht="15.75" x14ac:dyDescent="0.25">
      <c r="A3977" s="3" t="str">
        <f>HYPERLINK("https://shop.sonapharmacy.com/products/coppertone%C2%AE-kids-sunscreen-spf-50-spray-6fl-oz", "https://shop.sonapharmacy.com/products/coppertone%C2%AE-kids-sunscreen-spf-50-spray-6fl-oz")</f>
        <v>https://shop.sonapharmacy.com/products/coppertone%C2%AE-kids-sunscreen-spf-50-spray-6fl-oz</v>
      </c>
      <c r="B3977" s="3" t="str">
        <f>HYPERLINK("https://shop.sonapharmacy.com/products/coppertone%c2%ae-kids-sunscreen-spf-50-spray-6fl-oz", "https://shop.sonapharmacy.com/products/coppertone%c2%ae-kids-sunscreen-spf-50-spray-6fl-oz")</f>
        <v>https://shop.sonapharmacy.com/products/coppertone%c2%ae-kids-sunscreen-spf-50-spray-6fl-oz</v>
      </c>
      <c r="C3977" t="s">
        <v>11083</v>
      </c>
      <c r="D3977" t="s">
        <v>11084</v>
      </c>
      <c r="E3977" s="3" t="str">
        <f>HYPERLINK("https://www.amazon.com/coppertone-Sunscreen-Resistant-Children-Protection/dp/B0B1PB3TZ6/ref=sr_1_10?keywords=Coppertone%C2%AE+Kids+Sunscreen+SPF+50+Spray+6fl.+oz.&amp;qid=1695260156&amp;sr=8-10", "https://www.amazon.com/coppertone-Sunscreen-Resistant-Children-Protection/dp/B0B1PB3TZ6/ref=sr_1_10?keywords=Coppertone%C2%AE+Kids+Sunscreen+SPF+50+Spray+6fl.+oz.&amp;qid=1695260156&amp;sr=8-10")</f>
        <v>https://www.amazon.com/coppertone-Sunscreen-Resistant-Children-Protection/dp/B0B1PB3TZ6/ref=sr_1_10?keywords=Coppertone%C2%AE+Kids+Sunscreen+SPF+50+Spray+6fl.+oz.&amp;qid=1695260156&amp;sr=8-10</v>
      </c>
      <c r="F3977" t="s">
        <v>11085</v>
      </c>
      <c r="G3977" t="e">
        <f ca="1">IMAGE("https://shop.sonapharmacy.com/cdn/shop/products/8029872e-169c-47af-9483-d93f9609f873_1.4d9345ef9baa4a0e3cf8aeab35f6263e.jpg?v=1609272882")</f>
        <v>#NAME?</v>
      </c>
      <c r="H3977" t="e">
        <f ca="1">IMAGE("https://m.media-amazon.com/images/I/51+jzdLQvAL._AC_UL320_.jpg")</f>
        <v>#NAME?</v>
      </c>
      <c r="I3977" t="s">
        <v>11086</v>
      </c>
      <c r="J3977">
        <v>22.99</v>
      </c>
      <c r="K3977" s="2" t="s">
        <v>11087</v>
      </c>
      <c r="L3977">
        <v>3.8</v>
      </c>
      <c r="M3977">
        <v>40</v>
      </c>
      <c r="O3977" t="s">
        <v>26</v>
      </c>
      <c r="P3977" t="s">
        <v>39</v>
      </c>
      <c r="Q3977" t="s">
        <v>11088</v>
      </c>
    </row>
    <row r="3978" spans="1:17" ht="15.75" x14ac:dyDescent="0.25">
      <c r="A3978" s="3" t="str">
        <f>HYPERLINK("https://shop.sonapharmacy.com/products/eos%C2%AE-cherry-vanilla-shea-lip-balm", "https://shop.sonapharmacy.com/products/eos%C2%AE-cherry-vanilla-shea-lip-balm")</f>
        <v>https://shop.sonapharmacy.com/products/eos%C2%AE-cherry-vanilla-shea-lip-balm</v>
      </c>
      <c r="B3978" s="3" t="str">
        <f>HYPERLINK("https://shop.sonapharmacy.com/products/eos%c2%ae-cherry-vanilla-shea-lip-balm", "https://shop.sonapharmacy.com/products/eos%c2%ae-cherry-vanilla-shea-lip-balm")</f>
        <v>https://shop.sonapharmacy.com/products/eos%c2%ae-cherry-vanilla-shea-lip-balm</v>
      </c>
      <c r="C3978" t="s">
        <v>11089</v>
      </c>
      <c r="D3978" t="s">
        <v>11090</v>
      </c>
      <c r="E3978" s="3" t="str">
        <f>HYPERLINK("https://www.amazon.com/eos-Sticks-Variety-Strawberry-Vanilla/dp/B09V37V6GP/ref=sr_1_1?keywords=EOS%C2%AE+Cherry+Vanilla+Shea+Lip+Balm&amp;qid=1695260224&amp;sr=8-1", "https://www.amazon.com/eos-Sticks-Variety-Strawberry-Vanilla/dp/B09V37V6GP/ref=sr_1_1?keywords=EOS%C2%AE+Cherry+Vanilla+Shea+Lip+Balm&amp;qid=1695260224&amp;sr=8-1")</f>
        <v>https://www.amazon.com/eos-Sticks-Variety-Strawberry-Vanilla/dp/B09V37V6GP/ref=sr_1_1?keywords=EOS%C2%AE+Cherry+Vanilla+Shea+Lip+Balm&amp;qid=1695260224&amp;sr=8-1</v>
      </c>
      <c r="F3978" t="s">
        <v>11091</v>
      </c>
      <c r="G3978" t="e">
        <f ca="1">IMAGE("https://shop.sonapharmacy.com/cdn/shop/products/0899a8b5-ee60-4224-931c-a7f94823e49a_3.5282e4e5eb70b8ec0a607af6131e1731.png?v=1610644923")</f>
        <v>#NAME?</v>
      </c>
      <c r="H3978" t="e">
        <f ca="1">IMAGE("https://m.media-amazon.com/images/I/71pPIJX6MxL._AC_UL320_.jpg")</f>
        <v>#NAME?</v>
      </c>
      <c r="I3978" t="s">
        <v>8279</v>
      </c>
      <c r="J3978">
        <v>8.49</v>
      </c>
      <c r="K3978" s="2" t="s">
        <v>11092</v>
      </c>
      <c r="L3978">
        <v>4.8</v>
      </c>
      <c r="M3978">
        <v>1901</v>
      </c>
      <c r="O3978" t="s">
        <v>136</v>
      </c>
      <c r="P3978" t="s">
        <v>39</v>
      </c>
      <c r="Q3978" t="s">
        <v>11093</v>
      </c>
    </row>
    <row r="3979" spans="1:17" ht="15.75" x14ac:dyDescent="0.25">
      <c r="A3979" s="3" t="str">
        <f>HYPERLINK("https://shop.sonapharmacy.com/products/sundown-vitamin-e-oil-2-5fl", "https://shop.sonapharmacy.com/products/sundown-vitamin-e-oil-2-5fl")</f>
        <v>https://shop.sonapharmacy.com/products/sundown-vitamin-e-oil-2-5fl</v>
      </c>
      <c r="B3979" s="3" t="str">
        <f>HYPERLINK("https://shop.sonapharmacy.com/products/sundown-vitamin-e-oil-2-5fl", "https://shop.sonapharmacy.com/products/sundown-vitamin-e-oil-2-5fl")</f>
        <v>https://shop.sonapharmacy.com/products/sundown-vitamin-e-oil-2-5fl</v>
      </c>
      <c r="C3979" t="s">
        <v>8883</v>
      </c>
      <c r="D3979" t="s">
        <v>11094</v>
      </c>
      <c r="E3979" s="3" t="str">
        <f>HYPERLINK("https://www.amazon.com/Sundown-Naturals-Vitamin-2-50-Pack/dp/B01IA9BFKG/ref=sr_1_2?keywords=Sundown+Vitamin+E+Oil+2.5fl&amp;qid=1695260741&amp;sr=8-2", "https://www.amazon.com/Sundown-Naturals-Vitamin-2-50-Pack/dp/B01IA9BFKG/ref=sr_1_2?keywords=Sundown+Vitamin+E+Oil+2.5fl&amp;qid=1695260741&amp;sr=8-2")</f>
        <v>https://www.amazon.com/Sundown-Naturals-Vitamin-2-50-Pack/dp/B01IA9BFKG/ref=sr_1_2?keywords=Sundown+Vitamin+E+Oil+2.5fl&amp;qid=1695260741&amp;sr=8-2</v>
      </c>
      <c r="F3979" t="s">
        <v>11095</v>
      </c>
      <c r="G3979" t="e">
        <f ca="1">IMAGE("https://shop.sonapharmacy.com/cdn/shop/products/b5528557-4aee-4dfe-a2a2-302b5998af18_1.8e7a790b89db2b249d70e2d54929257f.jpg?v=1608242073")</f>
        <v>#NAME?</v>
      </c>
      <c r="H3979" t="e">
        <f ca="1">IMAGE("https://m.media-amazon.com/images/I/612V+dZbLCL._AC_UL320_.jpg")</f>
        <v>#NAME?</v>
      </c>
      <c r="I3979" t="s">
        <v>8886</v>
      </c>
      <c r="J3979">
        <v>19.690000000000001</v>
      </c>
      <c r="K3979" s="2" t="s">
        <v>11096</v>
      </c>
      <c r="L3979">
        <v>4.7</v>
      </c>
      <c r="M3979">
        <v>323</v>
      </c>
      <c r="O3979" t="s">
        <v>26</v>
      </c>
      <c r="P3979" t="s">
        <v>39</v>
      </c>
      <c r="Q3979" t="s">
        <v>8888</v>
      </c>
    </row>
    <row r="3980" spans="1:17" ht="15.75" x14ac:dyDescent="0.25">
      <c r="A3980" s="3" t="str">
        <f>HYPERLINK("https://shop.sonapharmacy.com/products/goodsense%C2%AE-clearlax-laxative-powder", "https://shop.sonapharmacy.com/products/goodsense%C2%AE-clearlax-laxative-powder")</f>
        <v>https://shop.sonapharmacy.com/products/goodsense%C2%AE-clearlax-laxative-powder</v>
      </c>
      <c r="B3980" s="3" t="str">
        <f>HYPERLINK("https://shop.sonapharmacy.com/products/goodsense%c2%ae-clearlax-laxative-powder", "https://shop.sonapharmacy.com/products/goodsense%c2%ae-clearlax-laxative-powder")</f>
        <v>https://shop.sonapharmacy.com/products/goodsense%c2%ae-clearlax-laxative-powder</v>
      </c>
      <c r="C3980" t="s">
        <v>8137</v>
      </c>
      <c r="D3980" t="s">
        <v>11097</v>
      </c>
      <c r="E3980" s="3" t="str">
        <f>HYPERLINK("https://www.amazon.com/GoodSense-Clearlax-Polyethylene-Laxative-Solution/dp/B004AI9CM0/ref=sr_1_2?keywords=GoodSense%C2%AE+ClearLax+Laxative+Powder&amp;qid=1695260311&amp;sr=8-2", "https://www.amazon.com/GoodSense-Clearlax-Polyethylene-Laxative-Solution/dp/B004AI9CM0/ref=sr_1_2?keywords=GoodSense%C2%AE+ClearLax+Laxative+Powder&amp;qid=1695260311&amp;sr=8-2")</f>
        <v>https://www.amazon.com/GoodSense-Clearlax-Polyethylene-Laxative-Solution/dp/B004AI9CM0/ref=sr_1_2?keywords=GoodSense%C2%AE+ClearLax+Laxative+Powder&amp;qid=1695260311&amp;sr=8-2</v>
      </c>
      <c r="F3980" t="s">
        <v>11098</v>
      </c>
      <c r="G3980" t="e">
        <f ca="1">IMAGE("https://shop.sonapharmacy.com/cdn/shop/products/110890.jpg?v=1611081016")</f>
        <v>#NAME?</v>
      </c>
      <c r="H3980" t="e">
        <f ca="1">IMAGE("https://m.media-amazon.com/images/I/71sENj2zxVL._AC_UL320_.jpg")</f>
        <v>#NAME?</v>
      </c>
      <c r="I3980" t="s">
        <v>8140</v>
      </c>
      <c r="J3980">
        <v>14.68</v>
      </c>
      <c r="K3980" s="2" t="s">
        <v>11099</v>
      </c>
      <c r="L3980">
        <v>4.7</v>
      </c>
      <c r="M3980">
        <v>3308</v>
      </c>
      <c r="O3980" t="s">
        <v>26</v>
      </c>
      <c r="P3980" t="s">
        <v>39</v>
      </c>
      <c r="Q3980" t="s">
        <v>8142</v>
      </c>
    </row>
    <row r="3981" spans="1:17" ht="15.75" x14ac:dyDescent="0.25">
      <c r="A3981" s="3" t="str">
        <f>HYPERLINK("https://shop.sonapharmacy.com/products/similasan-kids-cold-mucus-relief%E2%84%A2-plus-echinacea", "https://shop.sonapharmacy.com/products/similasan-kids-cold-mucus-relief%E2%84%A2-plus-echinacea")</f>
        <v>https://shop.sonapharmacy.com/products/similasan-kids-cold-mucus-relief%E2%84%A2-plus-echinacea</v>
      </c>
      <c r="B3981" s="3" t="str">
        <f>HYPERLINK("https://shop.sonapharmacy.com/products/similasan-kids-cold-mucus-relief%e2%84%a2-plus-echinacea", "https://shop.sonapharmacy.com/products/similasan-kids-cold-mucus-relief%e2%84%a2-plus-echinacea")</f>
        <v>https://shop.sonapharmacy.com/products/similasan-kids-cold-mucus-relief%e2%84%a2-plus-echinacea</v>
      </c>
      <c r="C3981" t="s">
        <v>8860</v>
      </c>
      <c r="D3981" t="s">
        <v>11100</v>
      </c>
      <c r="E3981" s="3" t="str">
        <f>HYPERLINK("https://www.amazon.com/Similasan-Mucus-Relief-Syrup-Echinacea/dp/B002F89K6U/ref=sr_1_6?keywords=Similasan%C2%AE+Kids+Cold+%26+Mucus+Relief%E2%84%A2+Plus+Echinacea&amp;qid=1695260710&amp;sr=8-6", "https://www.amazon.com/Similasan-Mucus-Relief-Syrup-Echinacea/dp/B002F89K6U/ref=sr_1_6?keywords=Similasan%C2%AE+Kids+Cold+%26+Mucus+Relief%E2%84%A2+Plus+Echinacea&amp;qid=1695260710&amp;sr=8-6")</f>
        <v>https://www.amazon.com/Similasan-Mucus-Relief-Syrup-Echinacea/dp/B002F89K6U/ref=sr_1_6?keywords=Similasan%C2%AE+Kids+Cold+%26+Mucus+Relief%E2%84%A2+Plus+Echinacea&amp;qid=1695260710&amp;sr=8-6</v>
      </c>
      <c r="F3981" t="s">
        <v>11101</v>
      </c>
      <c r="G3981" t="e">
        <f ca="1">IMAGE("https://shop.sonapharmacy.com/cdn/shop/products/Untitled-143.jpg?v=1593020548")</f>
        <v>#NAME?</v>
      </c>
      <c r="H3981" t="e">
        <f ca="1">IMAGE("https://m.media-amazon.com/images/I/61msKn1uXLL._AC_UL320_.jpg")</f>
        <v>#NAME?</v>
      </c>
      <c r="I3981" t="s">
        <v>8863</v>
      </c>
      <c r="J3981">
        <v>19.18</v>
      </c>
      <c r="K3981" s="2" t="s">
        <v>11102</v>
      </c>
      <c r="L3981">
        <v>4.7</v>
      </c>
      <c r="M3981">
        <v>25</v>
      </c>
      <c r="O3981" t="s">
        <v>26</v>
      </c>
      <c r="P3981" t="s">
        <v>39</v>
      </c>
      <c r="Q3981" t="s">
        <v>8865</v>
      </c>
    </row>
    <row r="3982" spans="1:17" ht="15.75" x14ac:dyDescent="0.25">
      <c r="A3982" s="3" t="str">
        <f>HYPERLINK("https://shop.sonapharmacy.com/products/metamucil%C2%AE-cinnamon-spice-fiber-thins-packets-12ct", "https://shop.sonapharmacy.com/products/metamucil%C2%AE-cinnamon-spice-fiber-thins-packets-12ct")</f>
        <v>https://shop.sonapharmacy.com/products/metamucil%C2%AE-cinnamon-spice-fiber-thins-packets-12ct</v>
      </c>
      <c r="B3982" s="3" t="str">
        <f>HYPERLINK("https://shop.sonapharmacy.com/products/metamucil%c2%ae-cinnamon-spice-fiber-thins-packets-12ct", "https://shop.sonapharmacy.com/products/metamucil%c2%ae-cinnamon-spice-fiber-thins-packets-12ct")</f>
        <v>https://shop.sonapharmacy.com/products/metamucil%c2%ae-cinnamon-spice-fiber-thins-packets-12ct</v>
      </c>
      <c r="C3982" t="s">
        <v>11103</v>
      </c>
      <c r="D3982" t="s">
        <v>11104</v>
      </c>
      <c r="E3982" s="3" t="str">
        <f>HYPERLINK("https://www.amazon.com/Metamucil-FiberThins-Supplement-Digestive-Psyllium/dp/B0BPQ3784L/ref=sr_1_7?keywords=Metamucil%C2%AE+Cinnamon+Spice+Fiber+Thins+Packets+12ct.&amp;qid=1695260488&amp;sr=8-7", "https://www.amazon.com/Metamucil-FiberThins-Supplement-Digestive-Psyllium/dp/B0BPQ3784L/ref=sr_1_7?keywords=Metamucil%C2%AE+Cinnamon+Spice+Fiber+Thins+Packets+12ct.&amp;qid=1695260488&amp;sr=8-7")</f>
        <v>https://www.amazon.com/Metamucil-FiberThins-Supplement-Digestive-Psyllium/dp/B0BPQ3784L/ref=sr_1_7?keywords=Metamucil%C2%AE+Cinnamon+Spice+Fiber+Thins+Packets+12ct.&amp;qid=1695260488&amp;sr=8-7</v>
      </c>
      <c r="F3982" t="s">
        <v>11105</v>
      </c>
      <c r="G3982" t="e">
        <f ca="1">IMAGE("https://shop.sonapharmacy.com/cdn/shop/products/726eb087-0381-4215-b1f3-f89e466bbd9d.35df8617e4a955c015f3eee5a9430fb8.jpg?v=1610854591")</f>
        <v>#NAME?</v>
      </c>
      <c r="H3982" t="e">
        <f ca="1">IMAGE("https://m.media-amazon.com/images/I/91EBs5nGYyL._AC_UL320_.jpg")</f>
        <v>#NAME?</v>
      </c>
      <c r="I3982" t="s">
        <v>10322</v>
      </c>
      <c r="J3982">
        <v>25.99</v>
      </c>
      <c r="K3982" s="2" t="s">
        <v>11106</v>
      </c>
      <c r="L3982">
        <v>4.4000000000000004</v>
      </c>
      <c r="M3982">
        <v>61</v>
      </c>
      <c r="O3982" t="s">
        <v>26</v>
      </c>
      <c r="P3982" t="s">
        <v>39</v>
      </c>
      <c r="Q3982" t="s">
        <v>11107</v>
      </c>
    </row>
    <row r="3983" spans="1:17" ht="15.75" x14ac:dyDescent="0.25">
      <c r="A3983" s="3" t="str">
        <f>HYPERLINK("https://shop.sonapharmacy.com/products/sunbum%C2%AE-after-sun-cool-down-gel-8fl-oz", "https://shop.sonapharmacy.com/products/sunbum%C2%AE-after-sun-cool-down-gel-8fl-oz")</f>
        <v>https://shop.sonapharmacy.com/products/sunbum%C2%AE-after-sun-cool-down-gel-8fl-oz</v>
      </c>
      <c r="B3983" s="3" t="str">
        <f>HYPERLINK("https://shop.sonapharmacy.com/products/sunbum%c2%ae-after-sun-cool-down-gel-8fl-oz", "https://shop.sonapharmacy.com/products/sunbum%c2%ae-after-sun-cool-down-gel-8fl-oz")</f>
        <v>https://shop.sonapharmacy.com/products/sunbum%c2%ae-after-sun-cool-down-gel-8fl-oz</v>
      </c>
      <c r="C3983" t="s">
        <v>11108</v>
      </c>
      <c r="D3983" t="s">
        <v>10464</v>
      </c>
      <c r="E3983" s="3" t="str">
        <f>HYPERLINK("https://www.amazon.com/Sun-Bum-pwvLv-Hydrating-After/dp/B072HVGSJN/ref=sr_1_fkmr0_1?keywords=Sun+Bum%C2%AE+After+Sun+Cool+Down+Gel+8fl.+oz.&amp;qid=1695260738&amp;sr=8-1-fkmr0", "https://www.amazon.com/Sun-Bum-pwvLv-Hydrating-After/dp/B072HVGSJN/ref=sr_1_fkmr0_1?keywords=Sun+Bum%C2%AE+After+Sun+Cool+Down+Gel+8fl.+oz.&amp;qid=1695260738&amp;sr=8-1-fkmr0")</f>
        <v>https://www.amazon.com/Sun-Bum-pwvLv-Hydrating-After/dp/B072HVGSJN/ref=sr_1_fkmr0_1?keywords=Sun+Bum%C2%AE+After+Sun+Cool+Down+Gel+8fl.+oz.&amp;qid=1695260738&amp;sr=8-1-fkmr0</v>
      </c>
      <c r="F3983" t="s">
        <v>10465</v>
      </c>
      <c r="G3983" t="e">
        <f ca="1">IMAGE("https://shop.sonapharmacy.com/cdn/shop/products/57905137-f2cc-4d47-9eaa-a5060d4c8284_1.7a0cef7ffccfae618f883c17fd9ff772.jpg?v=1611157869")</f>
        <v>#NAME?</v>
      </c>
      <c r="H3983" t="e">
        <f ca="1">IMAGE("https://m.media-amazon.com/images/I/61mvtoJ22fL._AC_UL320_.jpg")</f>
        <v>#NAME?</v>
      </c>
      <c r="I3983" t="s">
        <v>4873</v>
      </c>
      <c r="J3983">
        <v>21.98</v>
      </c>
      <c r="K3983" s="2" t="s">
        <v>11109</v>
      </c>
      <c r="L3983">
        <v>4.9000000000000004</v>
      </c>
      <c r="M3983">
        <v>114</v>
      </c>
      <c r="O3983" t="s">
        <v>26</v>
      </c>
      <c r="P3983" t="s">
        <v>39</v>
      </c>
      <c r="Q3983" t="s">
        <v>11110</v>
      </c>
    </row>
    <row r="3984" spans="1:17" ht="15.75" x14ac:dyDescent="0.25">
      <c r="A3984" s="3" t="str">
        <f>HYPERLINK("https://shop.sonapharmacy.com/products/diabetic-tussin-cough-and-chest-congestion-dm-fluid", "https://shop.sonapharmacy.com/products/diabetic-tussin-cough-and-chest-congestion-dm-fluid")</f>
        <v>https://shop.sonapharmacy.com/products/diabetic-tussin-cough-and-chest-congestion-dm-fluid</v>
      </c>
      <c r="B3984" s="3" t="str">
        <f>HYPERLINK("https://shop.sonapharmacy.com/products/diabetic-tussin-cough-and-chest-congestion-dm-fluid", "https://shop.sonapharmacy.com/products/diabetic-tussin-cough-and-chest-congestion-dm-fluid")</f>
        <v>https://shop.sonapharmacy.com/products/diabetic-tussin-cough-and-chest-congestion-dm-fluid</v>
      </c>
      <c r="C3984" t="s">
        <v>11111</v>
      </c>
      <c r="D3984" t="s">
        <v>11112</v>
      </c>
      <c r="E3984" s="3" t="str">
        <f>HYPERLINK("https://www.amazon.com/Diabetic-Tussin-Suppressant-Expectorant-Diabetics/dp/B001GCTZWK/ref=sr_1_1?keywords=Diabetic+Tussin%C2%AE+Cough+and+Chest+Congestion+DM+Fluid&amp;qid=1695260195&amp;sr=8-1", "https://www.amazon.com/Diabetic-Tussin-Suppressant-Expectorant-Diabetics/dp/B001GCTZWK/ref=sr_1_1?keywords=Diabetic+Tussin%C2%AE+Cough+and+Chest+Congestion+DM+Fluid&amp;qid=1695260195&amp;sr=8-1")</f>
        <v>https://www.amazon.com/Diabetic-Tussin-Suppressant-Expectorant-Diabetics/dp/B001GCTZWK/ref=sr_1_1?keywords=Diabetic+Tussin%C2%AE+Cough+and+Chest+Congestion+DM+Fluid&amp;qid=1695260195&amp;sr=8-1</v>
      </c>
      <c r="F3984" t="s">
        <v>11113</v>
      </c>
      <c r="G3984" t="e">
        <f ca="1">IMAGE("https://shop.sonapharmacy.com/cdn/shop/products/DiabeticTussinCoughandChestCongestionDMFluid.jpg?v=1595430405")</f>
        <v>#NAME?</v>
      </c>
      <c r="H3984" t="e">
        <f ca="1">IMAGE("https://m.media-amazon.com/images/I/81YZx3ZPnOL._AC_UL320_.jpg")</f>
        <v>#NAME?</v>
      </c>
      <c r="I3984" t="s">
        <v>8096</v>
      </c>
      <c r="J3984">
        <v>19.989999999999998</v>
      </c>
      <c r="K3984" s="2" t="s">
        <v>11114</v>
      </c>
      <c r="L3984">
        <v>4.0999999999999996</v>
      </c>
      <c r="M3984">
        <v>491</v>
      </c>
      <c r="O3984" t="s">
        <v>136</v>
      </c>
      <c r="P3984" t="s">
        <v>39</v>
      </c>
      <c r="Q3984" t="s">
        <v>11115</v>
      </c>
    </row>
    <row r="3985" spans="1:17" ht="15.75" x14ac:dyDescent="0.25">
      <c r="A3985" s="3" t="str">
        <f>HYPERLINK("https://shop.sonapharmacy.com/products/prevagen-professional-formula-capsules-40-mg", "https://shop.sonapharmacy.com/products/prevagen-professional-formula-capsules-40-mg")</f>
        <v>https://shop.sonapharmacy.com/products/prevagen-professional-formula-capsules-40-mg</v>
      </c>
      <c r="B3985" s="3" t="str">
        <f>HYPERLINK("https://shop.sonapharmacy.com/products/prevagen-professional-formula-capsules-40-mg", "https://shop.sonapharmacy.com/products/prevagen-professional-formula-capsules-40-mg")</f>
        <v>https://shop.sonapharmacy.com/products/prevagen-professional-formula-capsules-40-mg</v>
      </c>
      <c r="C3985" t="s">
        <v>10007</v>
      </c>
      <c r="D3985" t="s">
        <v>11116</v>
      </c>
      <c r="E3985" s="3" t="str">
        <f>HYPERLINK("https://www.amazon.com/Prevagen-Improves-Memory-Professional-Apoaequorin/dp/B0BN6Z5SZ6/ref=sr_1_3?keywords=Prevagen+Professional+Formula+Capsules+40+mg&amp;qid=1695260663&amp;sr=8-3", "https://www.amazon.com/Prevagen-Improves-Memory-Professional-Apoaequorin/dp/B0BN6Z5SZ6/ref=sr_1_3?keywords=Prevagen+Professional+Formula+Capsules+40+mg&amp;qid=1695260663&amp;sr=8-3")</f>
        <v>https://www.amazon.com/Prevagen-Improves-Memory-Professional-Apoaequorin/dp/B0BN6Z5SZ6/ref=sr_1_3?keywords=Prevagen+Professional+Formula+Capsules+40+mg&amp;qid=1695260663&amp;sr=8-3</v>
      </c>
      <c r="F3985" t="s">
        <v>11117</v>
      </c>
      <c r="G3985" t="e">
        <f ca="1">IMAGE("https://shop.sonapharmacy.com/cdn/shop/products/PrevagenProfessionalFormulaCapsules40mg.jpg?v=1594303580")</f>
        <v>#NAME?</v>
      </c>
      <c r="H3985" t="e">
        <f ca="1">IMAGE("https://m.media-amazon.com/images/I/714iF44kaoL._AC_UL320_.jpg")</f>
        <v>#NAME?</v>
      </c>
      <c r="I3985" t="s">
        <v>7024</v>
      </c>
      <c r="J3985">
        <v>147.91999999999999</v>
      </c>
      <c r="K3985" s="2" t="s">
        <v>11118</v>
      </c>
      <c r="L3985">
        <v>4.4000000000000004</v>
      </c>
      <c r="M3985">
        <v>153</v>
      </c>
      <c r="O3985" t="s">
        <v>136</v>
      </c>
      <c r="P3985" t="s">
        <v>39</v>
      </c>
      <c r="Q3985" t="s">
        <v>10011</v>
      </c>
    </row>
    <row r="3986" spans="1:17" ht="15.75" x14ac:dyDescent="0.25">
      <c r="A3986" s="3" t="str">
        <f>HYPERLINK("https://shop.sonapharmacy.com/products/prevagen-professional-formula-capsules-40-mg", "https://shop.sonapharmacy.com/products/prevagen-professional-formula-capsules-40-mg")</f>
        <v>https://shop.sonapharmacy.com/products/prevagen-professional-formula-capsules-40-mg</v>
      </c>
      <c r="B3986" s="3" t="str">
        <f>HYPERLINK("https://shop.sonapharmacy.com/products/prevagen-professional-formula-capsules-40-mg", "https://shop.sonapharmacy.com/products/prevagen-professional-formula-capsules-40-mg")</f>
        <v>https://shop.sonapharmacy.com/products/prevagen-professional-formula-capsules-40-mg</v>
      </c>
      <c r="C3986" t="s">
        <v>10007</v>
      </c>
      <c r="D3986" t="s">
        <v>11119</v>
      </c>
      <c r="E3986" s="3" t="str">
        <f>HYPERLINK("https://www.amazon.com/Prevagen-Improves-Memory-Professional-Apoaequorin/dp/B084WX76W5/ref=sr_1_4?keywords=Prevagen+Professional+Formula+Capsules+40+mg&amp;qid=1695260663&amp;sr=8-4", "https://www.amazon.com/Prevagen-Improves-Memory-Professional-Apoaequorin/dp/B084WX76W5/ref=sr_1_4?keywords=Prevagen+Professional+Formula+Capsules+40+mg&amp;qid=1695260663&amp;sr=8-4")</f>
        <v>https://www.amazon.com/Prevagen-Improves-Memory-Professional-Apoaequorin/dp/B084WX76W5/ref=sr_1_4?keywords=Prevagen+Professional+Formula+Capsules+40+mg&amp;qid=1695260663&amp;sr=8-4</v>
      </c>
      <c r="F3986" t="s">
        <v>11120</v>
      </c>
      <c r="G3986" t="e">
        <f ca="1">IMAGE("https://shop.sonapharmacy.com/cdn/shop/products/PrevagenProfessionalFormulaCapsules40mg.jpg?v=1594303580")</f>
        <v>#NAME?</v>
      </c>
      <c r="H3986" t="e">
        <f ca="1">IMAGE("https://m.media-amazon.com/images/I/81yLvCWLAHL._AC_UL320_.jpg")</f>
        <v>#NAME?</v>
      </c>
      <c r="I3986" t="s">
        <v>7024</v>
      </c>
      <c r="J3986">
        <v>147.91999999999999</v>
      </c>
      <c r="K3986" s="2" t="s">
        <v>11118</v>
      </c>
      <c r="L3986">
        <v>4.4000000000000004</v>
      </c>
      <c r="M3986">
        <v>1216</v>
      </c>
      <c r="O3986" t="s">
        <v>136</v>
      </c>
      <c r="P3986" t="s">
        <v>39</v>
      </c>
      <c r="Q3986" t="s">
        <v>10011</v>
      </c>
    </row>
    <row r="3987" spans="1:17" ht="15.75" x14ac:dyDescent="0.25">
      <c r="A3987" s="3" t="str">
        <f>HYPERLINK("https://shop.sonapharmacy.com/products/duracell%C2%AE-389-390-silver-oxide-button-battery", "https://shop.sonapharmacy.com/products/duracell%C2%AE-389-390-silver-oxide-button-battery")</f>
        <v>https://shop.sonapharmacy.com/products/duracell%C2%AE-389-390-silver-oxide-button-battery</v>
      </c>
      <c r="B3987" s="3" t="str">
        <f>HYPERLINK("https://shop.sonapharmacy.com/products/duracell%c2%ae-389-390-silver-oxide-button-battery", "https://shop.sonapharmacy.com/products/duracell%c2%ae-389-390-silver-oxide-button-battery")</f>
        <v>https://shop.sonapharmacy.com/products/duracell%c2%ae-389-390-silver-oxide-button-battery</v>
      </c>
      <c r="C3987" t="s">
        <v>10491</v>
      </c>
      <c r="D3987" t="s">
        <v>11121</v>
      </c>
      <c r="E3987" s="3" t="str">
        <f>HYPERLINK("https://www.amazon.com/each-Duracell-Silver-Calculator-Battery/dp/B002YE0J3I/ref=sr_1_7?keywords=Duracell%C2%AE+389%2F390+Silver+Oxide+Button+Battery&amp;qid=1695260222&amp;sr=8-7", "https://www.amazon.com/each-Duracell-Silver-Calculator-Battery/dp/B002YE0J3I/ref=sr_1_7?keywords=Duracell%C2%AE+389%2F390+Silver+Oxide+Button+Battery&amp;qid=1695260222&amp;sr=8-7")</f>
        <v>https://www.amazon.com/each-Duracell-Silver-Calculator-Battery/dp/B002YE0J3I/ref=sr_1_7?keywords=Duracell%C2%AE+389%2F390+Silver+Oxide+Button+Battery&amp;qid=1695260222&amp;sr=8-7</v>
      </c>
      <c r="F3987" t="s">
        <v>11122</v>
      </c>
      <c r="G3987" t="e">
        <f ca="1">IMAGE("https://shop.sonapharmacy.com/cdn/shop/products/61P9QBF64rL._AC_SL1401.jpg?v=1610332976")</f>
        <v>#NAME?</v>
      </c>
      <c r="H3987" t="e">
        <f ca="1">IMAGE("https://m.media-amazon.com/images/I/61iBZ5W1lyL._AC_UL320_.jpg")</f>
        <v>#NAME?</v>
      </c>
      <c r="I3987" t="s">
        <v>9982</v>
      </c>
      <c r="J3987">
        <v>7.21</v>
      </c>
      <c r="K3987" s="2" t="s">
        <v>11123</v>
      </c>
      <c r="L3987">
        <v>4.7</v>
      </c>
      <c r="M3987">
        <v>730</v>
      </c>
      <c r="O3987" t="s">
        <v>26</v>
      </c>
      <c r="P3987" t="s">
        <v>39</v>
      </c>
      <c r="Q3987" t="s">
        <v>10495</v>
      </c>
    </row>
    <row r="3988" spans="1:17" ht="15.75" x14ac:dyDescent="0.25">
      <c r="A3988" s="3" t="str">
        <f>HYPERLINK("https://shop.sonapharmacy.com/products/ricola-lemon-mint-cough-drops", "https://shop.sonapharmacy.com/products/ricola-lemon-mint-cough-drops")</f>
        <v>https://shop.sonapharmacy.com/products/ricola-lemon-mint-cough-drops</v>
      </c>
      <c r="B3988" s="3" t="str">
        <f>HYPERLINK("https://shop.sonapharmacy.com/products/ricola-lemon-mint-cough-drops", "https://shop.sonapharmacy.com/products/ricola-lemon-mint-cough-drops")</f>
        <v>https://shop.sonapharmacy.com/products/ricola-lemon-mint-cough-drops</v>
      </c>
      <c r="C3988" t="s">
        <v>8276</v>
      </c>
      <c r="D3988" t="s">
        <v>11124</v>
      </c>
      <c r="E3988" s="3" t="str">
        <f>HYPERLINK("https://www.amazon.com/Ricola-Throat-Drops-Lemon-Lemon-Mint/dp/B00FQG8MP8/ref=sr_1_3?keywords=Ricola+Lemon+Mint+Cough+Drops&amp;qid=1695260692&amp;sr=8-3", "https://www.amazon.com/Ricola-Throat-Drops-Lemon-Lemon-Mint/dp/B00FQG8MP8/ref=sr_1_3?keywords=Ricola+Lemon+Mint+Cough+Drops&amp;qid=1695260692&amp;sr=8-3")</f>
        <v>https://www.amazon.com/Ricola-Throat-Drops-Lemon-Lemon-Mint/dp/B00FQG8MP8/ref=sr_1_3?keywords=Ricola+Lemon+Mint+Cough+Drops&amp;qid=1695260692&amp;sr=8-3</v>
      </c>
      <c r="F3988" t="s">
        <v>11125</v>
      </c>
      <c r="G3988" t="e">
        <f ca="1">IMAGE("https://shop.sonapharmacy.com/cdn/shop/products/lemonmint_bag_24.png?v=1608220217")</f>
        <v>#NAME?</v>
      </c>
      <c r="H3988" t="e">
        <f ca="1">IMAGE("https://m.media-amazon.com/images/I/81IXF4OrnEL._AC_UL320_.jpg")</f>
        <v>#NAME?</v>
      </c>
      <c r="I3988" t="s">
        <v>8279</v>
      </c>
      <c r="J3988">
        <v>8.39</v>
      </c>
      <c r="K3988" s="2" t="s">
        <v>11126</v>
      </c>
      <c r="L3988">
        <v>4.8</v>
      </c>
      <c r="M3988">
        <v>286</v>
      </c>
      <c r="O3988" t="s">
        <v>26</v>
      </c>
      <c r="P3988" t="s">
        <v>39</v>
      </c>
      <c r="Q3988" t="s">
        <v>8281</v>
      </c>
    </row>
    <row r="3989" spans="1:17" ht="15.75" x14ac:dyDescent="0.25">
      <c r="A3989" s="3" t="str">
        <f>HYPERLINK("https://shop.sonapharmacy.com/products/dentemp%C2%AE-loose-cap-lost-filling-repair", "https://shop.sonapharmacy.com/products/dentemp%C2%AE-loose-cap-lost-filling-repair")</f>
        <v>https://shop.sonapharmacy.com/products/dentemp%C2%AE-loose-cap-lost-filling-repair</v>
      </c>
      <c r="B3989" s="3" t="str">
        <f>HYPERLINK("https://shop.sonapharmacy.com/products/dentemp%c2%ae-loose-cap-lost-filling-repair", "https://shop.sonapharmacy.com/products/dentemp%c2%ae-loose-cap-lost-filling-repair")</f>
        <v>https://shop.sonapharmacy.com/products/dentemp%c2%ae-loose-cap-lost-filling-repair</v>
      </c>
      <c r="C3989" t="s">
        <v>9593</v>
      </c>
      <c r="D3989" t="s">
        <v>11127</v>
      </c>
      <c r="E3989" s="3" t="str">
        <f>HYPERLINK("https://www.amazon.com/Material-Fillings-Temporary-Stopping-Treatment/dp/B08GLM52GK/ref=sr_1_9?keywords=Dentemp%C2%AE+Loose+Cap+%26+Lost+Filling+Repair&amp;qid=1695260175&amp;sr=8-9", "https://www.amazon.com/Material-Fillings-Temporary-Stopping-Treatment/dp/B08GLM52GK/ref=sr_1_9?keywords=Dentemp%C2%AE+Loose+Cap+%26+Lost+Filling+Repair&amp;qid=1695260175&amp;sr=8-9")</f>
        <v>https://www.amazon.com/Material-Fillings-Temporary-Stopping-Treatment/dp/B08GLM52GK/ref=sr_1_9?keywords=Dentemp%C2%AE+Loose+Cap+%26+Lost+Filling+Repair&amp;qid=1695260175&amp;sr=8-9</v>
      </c>
      <c r="F3989" t="s">
        <v>11128</v>
      </c>
      <c r="G3989" t="e">
        <f ca="1">IMAGE("https://shop.sonapharmacy.com/cdn/shop/products/dentemp-loose-cap-lost-filling.jpg?v=1608570207")</f>
        <v>#NAME?</v>
      </c>
      <c r="H3989" t="e">
        <f ca="1">IMAGE("https://m.media-amazon.com/images/I/61mbIUgJ+HL._AC_UL320_.jpg")</f>
        <v>#NAME?</v>
      </c>
      <c r="I3989" t="s">
        <v>9241</v>
      </c>
      <c r="J3989">
        <v>12.99</v>
      </c>
      <c r="K3989" s="2" t="s">
        <v>11126</v>
      </c>
      <c r="L3989">
        <v>2.5</v>
      </c>
      <c r="M3989">
        <v>85</v>
      </c>
      <c r="O3989" t="s">
        <v>26</v>
      </c>
      <c r="P3989" t="s">
        <v>39</v>
      </c>
      <c r="Q3989" t="s">
        <v>9597</v>
      </c>
    </row>
    <row r="3990" spans="1:17" ht="15.75" x14ac:dyDescent="0.25">
      <c r="A3990" s="3" t="str">
        <f>HYPERLINK("https://shop.sonapharmacy.com/products/aquaphor%C2%AE-healing-ointment", "https://shop.sonapharmacy.com/products/aquaphor%C2%AE-healing-ointment")</f>
        <v>https://shop.sonapharmacy.com/products/aquaphor%C2%AE-healing-ointment</v>
      </c>
      <c r="B3990" s="3" t="str">
        <f>HYPERLINK("https://shop.sonapharmacy.com/products/aquaphor%c2%ae-healing-ointment", "https://shop.sonapharmacy.com/products/aquaphor%c2%ae-healing-ointment")</f>
        <v>https://shop.sonapharmacy.com/products/aquaphor%c2%ae-healing-ointment</v>
      </c>
      <c r="C3990" t="s">
        <v>9238</v>
      </c>
      <c r="D3990" t="s">
        <v>11129</v>
      </c>
      <c r="E3990" s="3" t="str">
        <f>HYPERLINK("https://www.amazon.com/Aquaphor-Advanced-Therapy-Ointment-Protectant/dp/B0107QPFBU/ref=sr_1_3?keywords=Aquaphor+Healing+Ointment&amp;qid=1695260029&amp;rdc=1&amp;sr=8-3", "https://www.amazon.com/Aquaphor-Advanced-Therapy-Ointment-Protectant/dp/B0107QPFBU/ref=sr_1_3?keywords=Aquaphor+Healing+Ointment&amp;qid=1695260029&amp;rdc=1&amp;sr=8-3")</f>
        <v>https://www.amazon.com/Aquaphor-Advanced-Therapy-Ointment-Protectant/dp/B0107QPFBU/ref=sr_1_3?keywords=Aquaphor+Healing+Ointment&amp;qid=1695260029&amp;rdc=1&amp;sr=8-3</v>
      </c>
      <c r="F3990" t="s">
        <v>11130</v>
      </c>
      <c r="G3990" t="e">
        <f ca="1">IMAGE("https://shop.sonapharmacy.com/cdn/shop/products/83663518614618p.jpg?v=1609722179")</f>
        <v>#NAME?</v>
      </c>
      <c r="H3990" t="e">
        <f ca="1">IMAGE("https://m.media-amazon.com/images/I/61vI44BO7uL._AC_UL320_.jpg")</f>
        <v>#NAME?</v>
      </c>
      <c r="I3990" t="s">
        <v>9241</v>
      </c>
      <c r="J3990">
        <v>12.97</v>
      </c>
      <c r="K3990" s="2" t="s">
        <v>11131</v>
      </c>
      <c r="L3990">
        <v>4.8</v>
      </c>
      <c r="M3990">
        <v>32364</v>
      </c>
      <c r="O3990" t="s">
        <v>26</v>
      </c>
      <c r="P3990" t="s">
        <v>39</v>
      </c>
      <c r="Q3990" t="s">
        <v>9243</v>
      </c>
    </row>
    <row r="3991" spans="1:17" ht="15.75" x14ac:dyDescent="0.25">
      <c r="A3991" s="3" t="str">
        <f>HYPERLINK("https://shop.sonapharmacy.com/products/aquaphor%C2%AE-healing-ointment", "https://shop.sonapharmacy.com/products/aquaphor%C2%AE-healing-ointment")</f>
        <v>https://shop.sonapharmacy.com/products/aquaphor%C2%AE-healing-ointment</v>
      </c>
      <c r="B3991" s="3" t="str">
        <f>HYPERLINK("https://shop.sonapharmacy.com/products/aquaphor%c2%ae-healing-ointment", "https://shop.sonapharmacy.com/products/aquaphor%c2%ae-healing-ointment")</f>
        <v>https://shop.sonapharmacy.com/products/aquaphor%c2%ae-healing-ointment</v>
      </c>
      <c r="C3991" t="s">
        <v>9238</v>
      </c>
      <c r="D3991" t="s">
        <v>11132</v>
      </c>
      <c r="E3991" s="3" t="str">
        <f>HYPERLINK("https://www.amazon.com/Aquaphor-Advanced-Therapy-Ointment-Protectant/dp/B0107QP1VE/ref=sr_1_5?keywords=Aquaphor+Healing+Ointment&amp;qid=1695260029&amp;sr=8-5", "https://www.amazon.com/Aquaphor-Advanced-Therapy-Ointment-Protectant/dp/B0107QP1VE/ref=sr_1_5?keywords=Aquaphor+Healing+Ointment&amp;qid=1695260029&amp;sr=8-5")</f>
        <v>https://www.amazon.com/Aquaphor-Advanced-Therapy-Ointment-Protectant/dp/B0107QP1VE/ref=sr_1_5?keywords=Aquaphor+Healing+Ointment&amp;qid=1695260029&amp;sr=8-5</v>
      </c>
      <c r="F3991" t="s">
        <v>11133</v>
      </c>
      <c r="G3991" t="e">
        <f ca="1">IMAGE("https://shop.sonapharmacy.com/cdn/shop/products/83663518614618p.jpg?v=1609722179")</f>
        <v>#NAME?</v>
      </c>
      <c r="H3991" t="e">
        <f ca="1">IMAGE("https://m.media-amazon.com/images/I/61L+jJQOGPL._AC_UL320_.jpg")</f>
        <v>#NAME?</v>
      </c>
      <c r="I3991" t="s">
        <v>9241</v>
      </c>
      <c r="J3991">
        <v>12.97</v>
      </c>
      <c r="K3991" s="2" t="s">
        <v>11131</v>
      </c>
      <c r="L3991">
        <v>4.9000000000000004</v>
      </c>
      <c r="M3991">
        <v>23164</v>
      </c>
      <c r="O3991" t="s">
        <v>26</v>
      </c>
      <c r="P3991" t="s">
        <v>39</v>
      </c>
      <c r="Q3991" t="s">
        <v>9243</v>
      </c>
    </row>
    <row r="3992" spans="1:17" ht="15.75" x14ac:dyDescent="0.25">
      <c r="A3992" s="3" t="str">
        <f>HYPERLINK("https://shop.sonapharmacy.com/products/curad-flex-fabric-bandages", "https://shop.sonapharmacy.com/products/curad-flex-fabric-bandages")</f>
        <v>https://shop.sonapharmacy.com/products/curad-flex-fabric-bandages</v>
      </c>
      <c r="B3992" s="3" t="str">
        <f>HYPERLINK("https://shop.sonapharmacy.com/products/curad-flex-fabric-bandages", "https://shop.sonapharmacy.com/products/curad-flex-fabric-bandages")</f>
        <v>https://shop.sonapharmacy.com/products/curad-flex-fabric-bandages</v>
      </c>
      <c r="C3992" t="s">
        <v>10355</v>
      </c>
      <c r="D3992" t="s">
        <v>11134</v>
      </c>
      <c r="E3992" s="3" t="str">
        <f>HYPERLINK("https://www.amazon.com/Flex-Fabric-Bandages-Assorted-Sizes/dp/B004GCA1YS/ref=sr_1_9?keywords=Curad%C2%AE+Flex-Fabric+Bandages&amp;qid=1695260173&amp;sr=8-9", "https://www.amazon.com/Flex-Fabric-Bandages-Assorted-Sizes/dp/B004GCA1YS/ref=sr_1_9?keywords=Curad%C2%AE+Flex-Fabric+Bandages&amp;qid=1695260173&amp;sr=8-9")</f>
        <v>https://www.amazon.com/Flex-Fabric-Bandages-Assorted-Sizes/dp/B004GCA1YS/ref=sr_1_9?keywords=Curad%C2%AE+Flex-Fabric+Bandages&amp;qid=1695260173&amp;sr=8-9</v>
      </c>
      <c r="F3992" t="s">
        <v>11135</v>
      </c>
      <c r="G3992" t="e">
        <f ca="1">IMAGE("https://shop.sonapharmacy.com/cdn/shop/products/flexstrip.png?v=1607709917")</f>
        <v>#NAME?</v>
      </c>
      <c r="H3992" t="e">
        <f ca="1">IMAGE("https://m.media-amazon.com/images/I/61tawhr7rWL._AC_UL320_.jpg")</f>
        <v>#NAME?</v>
      </c>
      <c r="I3992" t="s">
        <v>8680</v>
      </c>
      <c r="J3992">
        <v>9.82</v>
      </c>
      <c r="K3992" s="2" t="s">
        <v>11136</v>
      </c>
      <c r="L3992">
        <v>4.5999999999999996</v>
      </c>
      <c r="M3992">
        <v>9</v>
      </c>
      <c r="O3992" t="s">
        <v>26</v>
      </c>
      <c r="P3992" t="s">
        <v>39</v>
      </c>
      <c r="Q3992" t="s">
        <v>10359</v>
      </c>
    </row>
    <row r="3993" spans="1:17" ht="15.75" x14ac:dyDescent="0.25">
      <c r="A3993" s="3" t="str">
        <f>HYPERLINK("https://shop.sonapharmacy.com/products/ayr-saline-nasal-gel-no-drip-sinus-spray", "https://shop.sonapharmacy.com/products/ayr-saline-nasal-gel-no-drip-sinus-spray")</f>
        <v>https://shop.sonapharmacy.com/products/ayr-saline-nasal-gel-no-drip-sinus-spray</v>
      </c>
      <c r="B3993" s="3" t="str">
        <f>HYPERLINK("https://shop.sonapharmacy.com/products/ayr-saline-nasal-gel-no-drip-sinus-spray", "https://shop.sonapharmacy.com/products/ayr-saline-nasal-gel-no-drip-sinus-spray")</f>
        <v>https://shop.sonapharmacy.com/products/ayr-saline-nasal-gel-no-drip-sinus-spray</v>
      </c>
      <c r="C3993" t="s">
        <v>8709</v>
      </c>
      <c r="D3993" t="s">
        <v>11137</v>
      </c>
      <c r="E3993" s="3" t="str">
        <f>HYPERLINK("https://www.amazon.com/Ayr-Saline-Drip-Sinus-Nasal/dp/B01IAIBI7W/ref=sr_1_4?keywords=Ayr%C2%AE+Saline+Nasal+Gel+No-Drip+Sinus+Spray+0.75oz.&amp;qid=1695260047&amp;sr=8-4", "https://www.amazon.com/Ayr-Saline-Drip-Sinus-Nasal/dp/B01IAIBI7W/ref=sr_1_4?keywords=Ayr%C2%AE+Saline+Nasal+Gel+No-Drip+Sinus+Spray+0.75oz.&amp;qid=1695260047&amp;sr=8-4")</f>
        <v>https://www.amazon.com/Ayr-Saline-Drip-Sinus-Nasal/dp/B01IAIBI7W/ref=sr_1_4?keywords=Ayr%C2%AE+Saline+Nasal+Gel+No-Drip+Sinus+Spray+0.75oz.&amp;qid=1695260047&amp;sr=8-4</v>
      </c>
      <c r="F3993" t="s">
        <v>11138</v>
      </c>
      <c r="G3993" t="e">
        <f ca="1">IMAGE("https://shop.sonapharmacy.com/cdn/shop/products/s-l400_2.jpg?v=1610026827")</f>
        <v>#NAME?</v>
      </c>
      <c r="H3993" t="e">
        <f ca="1">IMAGE("https://m.media-amazon.com/images/I/71PRRwK4WdL._AC_UL320_.jpg")</f>
        <v>#NAME?</v>
      </c>
      <c r="I3993" t="s">
        <v>8712</v>
      </c>
      <c r="J3993">
        <v>28.93</v>
      </c>
      <c r="K3993" s="2" t="s">
        <v>11139</v>
      </c>
      <c r="L3993">
        <v>4.4000000000000004</v>
      </c>
      <c r="M3993">
        <v>33</v>
      </c>
      <c r="O3993" t="s">
        <v>26</v>
      </c>
      <c r="P3993" t="s">
        <v>39</v>
      </c>
      <c r="Q3993" t="s">
        <v>8714</v>
      </c>
    </row>
    <row r="3994" spans="1:17" ht="15.75" x14ac:dyDescent="0.25">
      <c r="A3994" s="3" t="str">
        <f>HYPERLINK("https://shop.sonapharmacy.com/products/freshkote%C2%AE-preservative-free-lubricant-eye-drops-10ml", "https://shop.sonapharmacy.com/products/freshkote%C2%AE-preservative-free-lubricant-eye-drops-10ml")</f>
        <v>https://shop.sonapharmacy.com/products/freshkote%C2%AE-preservative-free-lubricant-eye-drops-10ml</v>
      </c>
      <c r="B3994" s="3" t="str">
        <f>HYPERLINK("https://shop.sonapharmacy.com/products/freshkote%c2%ae-preservative-free-lubricant-eye-drops-10ml", "https://shop.sonapharmacy.com/products/freshkote%c2%ae-preservative-free-lubricant-eye-drops-10ml")</f>
        <v>https://shop.sonapharmacy.com/products/freshkote%c2%ae-preservative-free-lubricant-eye-drops-10ml</v>
      </c>
      <c r="C3994" t="s">
        <v>11140</v>
      </c>
      <c r="D3994" t="s">
        <v>11141</v>
      </c>
      <c r="E3994" s="3" t="str">
        <f>HYPERLINK("https://www.amazon.com/FRESHKOTE-Preservative-Lubricant-Eye-Artificial/dp/B0BRBT9DWF/ref=sr_1_6?keywords=FRESHKOTE%C2%AE+Preservative+Free+Lubricant+Eye+Drops+10ml&amp;qid=1695260263&amp;sr=8-6", "https://www.amazon.com/FRESHKOTE-Preservative-Lubricant-Eye-Artificial/dp/B0BRBT9DWF/ref=sr_1_6?keywords=FRESHKOTE%C2%AE+Preservative+Free+Lubricant+Eye+Drops+10ml&amp;qid=1695260263&amp;sr=8-6")</f>
        <v>https://www.amazon.com/FRESHKOTE-Preservative-Lubricant-Eye-Artificial/dp/B0BRBT9DWF/ref=sr_1_6?keywords=FRESHKOTE%C2%AE+Preservative+Free+Lubricant+Eye+Drops+10ml&amp;qid=1695260263&amp;sr=8-6</v>
      </c>
      <c r="F3994" t="s">
        <v>11142</v>
      </c>
      <c r="G3994" t="e">
        <f ca="1">IMAGE("https://shop.sonapharmacy.com/cdn/shop/products/cc95bb31-dd1e-4df1-b218-f6fb162a9828_1.cc44574cec8f4b07384423f902aeba51.jpg?v=1608663131")</f>
        <v>#NAME?</v>
      </c>
      <c r="H3994" t="e">
        <f ca="1">IMAGE("https://m.media-amazon.com/images/I/717yRR0Zo7L._AC_UL320_.jpg")</f>
        <v>#NAME?</v>
      </c>
      <c r="I3994" t="s">
        <v>11143</v>
      </c>
      <c r="J3994">
        <v>69.989999999999995</v>
      </c>
      <c r="K3994" s="2" t="s">
        <v>11144</v>
      </c>
      <c r="L3994">
        <v>4.5</v>
      </c>
      <c r="M3994">
        <v>46</v>
      </c>
      <c r="O3994" t="s">
        <v>136</v>
      </c>
      <c r="P3994" t="s">
        <v>39</v>
      </c>
      <c r="Q3994" t="s">
        <v>11145</v>
      </c>
    </row>
    <row r="3995" spans="1:17" ht="15.75" x14ac:dyDescent="0.25">
      <c r="A3995" s="3" t="str">
        <f>HYPERLINK("https://shop.sonapharmacy.com/products/goodsense%C2%AE-multi-purpose-solution-for-contact-lenses-12fl-oz", "https://shop.sonapharmacy.com/products/goodsense%C2%AE-multi-purpose-solution-for-contact-lenses-12fl-oz")</f>
        <v>https://shop.sonapharmacy.com/products/goodsense%C2%AE-multi-purpose-solution-for-contact-lenses-12fl-oz</v>
      </c>
      <c r="B3995" s="3" t="str">
        <f>HYPERLINK("https://shop.sonapharmacy.com/products/goodsense%c2%ae-multi-purpose-solution-for-contact-lenses-12fl-oz", "https://shop.sonapharmacy.com/products/goodsense%c2%ae-multi-purpose-solution-for-contact-lenses-12fl-oz")</f>
        <v>https://shop.sonapharmacy.com/products/goodsense%c2%ae-multi-purpose-solution-for-contact-lenses-12fl-oz</v>
      </c>
      <c r="C3995" t="s">
        <v>11146</v>
      </c>
      <c r="D3995" t="s">
        <v>11147</v>
      </c>
      <c r="E3995" s="3" t="str">
        <f>HYPERLINK("https://www.amazon.com/Biotrue-Hydration-Solution-Multi-Purpose-Included/dp/B09WRB83MX/ref=sr_1_8?keywords=GoodSense%C2%AE+Multi-Purpose+Solution+For+Contact+Lenses+12fl.+oz.&amp;qid=1695260355&amp;sr=8-8", "https://www.amazon.com/Biotrue-Hydration-Solution-Multi-Purpose-Included/dp/B09WRB83MX/ref=sr_1_8?keywords=GoodSense%C2%AE+Multi-Purpose+Solution+For+Contact+Lenses+12fl.+oz.&amp;qid=1695260355&amp;sr=8-8")</f>
        <v>https://www.amazon.com/Biotrue-Hydration-Solution-Multi-Purpose-Included/dp/B09WRB83MX/ref=sr_1_8?keywords=GoodSense%C2%AE+Multi-Purpose+Solution+For+Contact+Lenses+12fl.+oz.&amp;qid=1695260355&amp;sr=8-8</v>
      </c>
      <c r="F3995" t="s">
        <v>11148</v>
      </c>
      <c r="G3995" t="e">
        <f ca="1">IMAGE("https://shop.sonapharmacy.com/cdn/shop/products/gddkc00020.jpg?v=1608829572")</f>
        <v>#NAME?</v>
      </c>
      <c r="H3995" t="e">
        <f ca="1">IMAGE("https://m.media-amazon.com/images/I/81LPmiH-PkL._AC_UL320_.jpg")</f>
        <v>#NAME?</v>
      </c>
      <c r="I3995" t="s">
        <v>8863</v>
      </c>
      <c r="J3995">
        <v>18.98</v>
      </c>
      <c r="K3995" s="2" t="s">
        <v>11149</v>
      </c>
      <c r="L3995">
        <v>4.8</v>
      </c>
      <c r="M3995">
        <v>3317</v>
      </c>
      <c r="O3995" t="s">
        <v>136</v>
      </c>
      <c r="P3995" t="s">
        <v>39</v>
      </c>
      <c r="Q3995" t="s">
        <v>11150</v>
      </c>
    </row>
    <row r="3996" spans="1:17" ht="15.75" x14ac:dyDescent="0.25">
      <c r="A3996" s="3" t="str">
        <f>HYPERLINK("https://shop.sonapharmacy.com/products/curad-non-stick-pads", "https://shop.sonapharmacy.com/products/curad-non-stick-pads")</f>
        <v>https://shop.sonapharmacy.com/products/curad-non-stick-pads</v>
      </c>
      <c r="B3996" s="3" t="str">
        <f>HYPERLINK("https://shop.sonapharmacy.com/products/curad-non-stick-pads", "https://shop.sonapharmacy.com/products/curad-non-stick-pads")</f>
        <v>https://shop.sonapharmacy.com/products/curad-non-stick-pads</v>
      </c>
      <c r="C3996" t="s">
        <v>8501</v>
      </c>
      <c r="D3996" t="s">
        <v>11151</v>
      </c>
      <c r="E3996" s="3" t="str">
        <f>HYPERLINK("https://www.amazon.com/Curad-Non-Stick-Inches-Adhesive-Count/dp/B001GBDE1E/ref=sr_1_6?keywords=Curad%C2%AE+Non-Stick+Pads&amp;qid=1695260163&amp;sr=8-6", "https://www.amazon.com/Curad-Non-Stick-Inches-Adhesive-Count/dp/B001GBDE1E/ref=sr_1_6?keywords=Curad%C2%AE+Non-Stick+Pads&amp;qid=1695260163&amp;sr=8-6")</f>
        <v>https://www.amazon.com/Curad-Non-Stick-Inches-Adhesive-Count/dp/B001GBDE1E/ref=sr_1_6?keywords=Curad%C2%AE+Non-Stick+Pads&amp;qid=1695260163&amp;sr=8-6</v>
      </c>
      <c r="F3996" t="s">
        <v>11152</v>
      </c>
      <c r="G3996" t="e">
        <f ca="1">IMAGE("https://shop.sonapharmacy.com/cdn/shop/products/nonsmall.png?v=1607711387")</f>
        <v>#NAME?</v>
      </c>
      <c r="H3996" t="e">
        <f ca="1">IMAGE("https://m.media-amazon.com/images/I/41kiE8gyvsL._AC_UL320_.jpg")</f>
        <v>#NAME?</v>
      </c>
      <c r="I3996" t="s">
        <v>8076</v>
      </c>
      <c r="J3996">
        <v>4.99</v>
      </c>
      <c r="K3996" s="2" t="s">
        <v>11153</v>
      </c>
      <c r="L3996">
        <v>4.5</v>
      </c>
      <c r="M3996">
        <v>2024</v>
      </c>
      <c r="O3996" t="s">
        <v>26</v>
      </c>
      <c r="P3996" t="s">
        <v>39</v>
      </c>
      <c r="Q3996" t="s">
        <v>8505</v>
      </c>
    </row>
    <row r="3997" spans="1:17" ht="15.75" x14ac:dyDescent="0.25">
      <c r="A3997" s="3" t="str">
        <f>HYPERLINK("https://shop.sonapharmacy.com/products/aqua-velva%C2%AE-classic-ice-blue%C2%AE-cooling-after-shave-3-5fl-oz", "https://shop.sonapharmacy.com/products/aqua-velva%C2%AE-classic-ice-blue%C2%AE-cooling-after-shave-3-5fl-oz")</f>
        <v>https://shop.sonapharmacy.com/products/aqua-velva%C2%AE-classic-ice-blue%C2%AE-cooling-after-shave-3-5fl-oz</v>
      </c>
      <c r="B3997" s="3" t="str">
        <f>HYPERLINK("https://shop.sonapharmacy.com/products/aqua-velva%c2%ae-classic-ice-blue%c2%ae-cooling-after-shave-3-5fl-oz", "https://shop.sonapharmacy.com/products/aqua-velva%c2%ae-classic-ice-blue%c2%ae-cooling-after-shave-3-5fl-oz")</f>
        <v>https://shop.sonapharmacy.com/products/aqua-velva%c2%ae-classic-ice-blue%c2%ae-cooling-after-shave-3-5fl-oz</v>
      </c>
      <c r="C3997" t="s">
        <v>11154</v>
      </c>
      <c r="D3997" t="s">
        <v>11155</v>
      </c>
      <c r="E3997" s="3" t="str">
        <f>HYPERLINK("https://www.amazon.com/Aqua-Velva-Vitamin-Enriched-Classic/dp/B0B1PWP2TW/ref=sr_1_4?keywords=Aqua+Velva+Classic+Ice+Blue%C2%AE+Cooling+After+Shave+3.5fl.+oz.&amp;qid=1695260028&amp;sr=8-4", "https://www.amazon.com/Aqua-Velva-Vitamin-Enriched-Classic/dp/B0B1PWP2TW/ref=sr_1_4?keywords=Aqua+Velva+Classic+Ice+Blue%C2%AE+Cooling+After+Shave+3.5fl.+oz.&amp;qid=1695260028&amp;sr=8-4")</f>
        <v>https://www.amazon.com/Aqua-Velva-Vitamin-Enriched-Classic/dp/B0B1PWP2TW/ref=sr_1_4?keywords=Aqua+Velva+Classic+Ice+Blue%C2%AE+Cooling+After+Shave+3.5fl.+oz.&amp;qid=1695260028&amp;sr=8-4</v>
      </c>
      <c r="F3997" t="s">
        <v>11156</v>
      </c>
      <c r="G3997" t="e">
        <f ca="1">IMAGE("https://shop.sonapharmacy.com/cdn/shop/products/815y6meX-IL._SL1500.jpg?v=1610316218")</f>
        <v>#NAME?</v>
      </c>
      <c r="H3997" t="e">
        <f ca="1">IMAGE("https://m.media-amazon.com/images/I/51ugmhVa5-L._AC_UL320_.jpg")</f>
        <v>#NAME?</v>
      </c>
      <c r="I3997" t="s">
        <v>9444</v>
      </c>
      <c r="J3997">
        <v>11.28</v>
      </c>
      <c r="K3997" s="2" t="s">
        <v>11157</v>
      </c>
      <c r="L3997">
        <v>5</v>
      </c>
      <c r="M3997">
        <v>3</v>
      </c>
      <c r="O3997" t="s">
        <v>26</v>
      </c>
      <c r="P3997" t="s">
        <v>39</v>
      </c>
      <c r="Q3997" t="s">
        <v>11158</v>
      </c>
    </row>
    <row r="3998" spans="1:17" ht="15.75" x14ac:dyDescent="0.25">
      <c r="A3998" s="3" t="str">
        <f>HYPERLINK("https://shop.sonapharmacy.com/products/lactation-support-herbal-tea", "https://shop.sonapharmacy.com/products/lactation-support-herbal-tea")</f>
        <v>https://shop.sonapharmacy.com/products/lactation-support-herbal-tea</v>
      </c>
      <c r="B3998" s="3" t="str">
        <f>HYPERLINK("https://shop.sonapharmacy.com/products/lactation-support-herbal-tea", "https://shop.sonapharmacy.com/products/lactation-support-herbal-tea")</f>
        <v>https://shop.sonapharmacy.com/products/lactation-support-herbal-tea</v>
      </c>
      <c r="C3998" t="s">
        <v>11159</v>
      </c>
      <c r="D3998" t="s">
        <v>11160</v>
      </c>
      <c r="E3998" s="3" t="str">
        <f>HYPERLINK("https://www.amazon.com/Milky-Cloud-Tea-Lactation-Feeding/dp/B00LCFZ5UM/ref=sr_1_3?keywords=Gaia%C2%AE+Herbs+Lactation+Support+Herbal+Tea+16ct.&amp;qid=1695260328&amp;sr=8-3", "https://www.amazon.com/Milky-Cloud-Tea-Lactation-Feeding/dp/B00LCFZ5UM/ref=sr_1_3?keywords=Gaia%C2%AE+Herbs+Lactation+Support+Herbal+Tea+16ct.&amp;qid=1695260328&amp;sr=8-3")</f>
        <v>https://www.amazon.com/Milky-Cloud-Tea-Lactation-Feeding/dp/B00LCFZ5UM/ref=sr_1_3?keywords=Gaia%C2%AE+Herbs+Lactation+Support+Herbal+Tea+16ct.&amp;qid=1695260328&amp;sr=8-3</v>
      </c>
      <c r="F3998" t="s">
        <v>11161</v>
      </c>
      <c r="G3998" t="e">
        <f ca="1">IMAGE("https://shop.sonapharmacy.com/cdn/shop/products/Gaia-Herbs-Lacatation-Support_PKCRC25020_101-0519_PDP_900x_74dfd9e8-ebe4-4515-aa00-77efa146b98d.png?v=1594736547")</f>
        <v>#NAME?</v>
      </c>
      <c r="H3998" t="e">
        <f ca="1">IMAGE("https://m.media-amazon.com/images/I/516nE50f8cL._AC_UL320_.jpg")</f>
        <v>#NAME?</v>
      </c>
      <c r="I3998" t="s">
        <v>8963</v>
      </c>
      <c r="J3998">
        <v>12.99</v>
      </c>
      <c r="K3998" s="2" t="s">
        <v>11162</v>
      </c>
      <c r="L3998">
        <v>3.9</v>
      </c>
      <c r="M3998">
        <v>186</v>
      </c>
      <c r="O3998" t="s">
        <v>26</v>
      </c>
      <c r="P3998" t="s">
        <v>39</v>
      </c>
      <c r="Q3998" t="s">
        <v>11163</v>
      </c>
    </row>
    <row r="3999" spans="1:17" ht="15.75" x14ac:dyDescent="0.25">
      <c r="A3999" s="3" t="str">
        <f>HYPERLINK("https://shop.sonapharmacy.com/products/nature-made-time-release-b-100-complex-tablets", "https://shop.sonapharmacy.com/products/nature-made-time-release-b-100-complex-tablets")</f>
        <v>https://shop.sonapharmacy.com/products/nature-made-time-release-b-100-complex-tablets</v>
      </c>
      <c r="B3999" s="3" t="str">
        <f>HYPERLINK("https://shop.sonapharmacy.com/products/nature-made-time-release-b-100-complex-tablets", "https://shop.sonapharmacy.com/products/nature-made-time-release-b-100-complex-tablets")</f>
        <v>https://shop.sonapharmacy.com/products/nature-made-time-release-b-100-complex-tablets</v>
      </c>
      <c r="C3999" t="s">
        <v>10457</v>
      </c>
      <c r="D3999" t="s">
        <v>11164</v>
      </c>
      <c r="E3999" s="3" t="str">
        <f>HYPERLINK("https://www.amazon.com/Natures-Bounty-B-Complex-Release-packaging/dp/B0742KJPZK/ref=sr_1_6?keywords=Nature+Made%C2%AE+Time+Release+B-100+Complex+Tablets+60ct.&amp;qid=1695260539&amp;sr=8-6", "https://www.amazon.com/Natures-Bounty-B-Complex-Release-packaging/dp/B0742KJPZK/ref=sr_1_6?keywords=Nature+Made%C2%AE+Time+Release+B-100+Complex+Tablets+60ct.&amp;qid=1695260539&amp;sr=8-6")</f>
        <v>https://www.amazon.com/Natures-Bounty-B-Complex-Release-packaging/dp/B0742KJPZK/ref=sr_1_6?keywords=Nature+Made%C2%AE+Time+Release+B-100+Complex+Tablets+60ct.&amp;qid=1695260539&amp;sr=8-6</v>
      </c>
      <c r="F3999" t="s">
        <v>11165</v>
      </c>
      <c r="G3999" t="e">
        <f ca="1">IMAGE("https://shop.sonapharmacy.com/cdn/shop/products/71M3nMTArrL._AC_SL1500.jpg?v=1610049384")</f>
        <v>#NAME?</v>
      </c>
      <c r="H3999" t="e">
        <f ca="1">IMAGE("https://m.media-amazon.com/images/I/91x9NYDo76L._AC_UL320_.jpg")</f>
        <v>#NAME?</v>
      </c>
      <c r="I3999" t="s">
        <v>10460</v>
      </c>
      <c r="J3999">
        <v>39.479999999999997</v>
      </c>
      <c r="K3999" s="2" t="s">
        <v>11166</v>
      </c>
      <c r="L3999">
        <v>4.4000000000000004</v>
      </c>
      <c r="M3999">
        <v>29</v>
      </c>
      <c r="O3999" t="s">
        <v>26</v>
      </c>
      <c r="P3999" t="s">
        <v>39</v>
      </c>
      <c r="Q3999" t="s">
        <v>10462</v>
      </c>
    </row>
    <row r="4000" spans="1:17" ht="15.75" x14ac:dyDescent="0.25">
      <c r="A4000" s="3" t="str">
        <f>HYPERLINK("https://shop.sonapharmacy.com/products/poise%C2%AE-pads-ultimate-absorbency-regular-length-33ct", "https://shop.sonapharmacy.com/products/poise%C2%AE-pads-ultimate-absorbency-regular-length-33ct")</f>
        <v>https://shop.sonapharmacy.com/products/poise%C2%AE-pads-ultimate-absorbency-regular-length-33ct</v>
      </c>
      <c r="B4000" s="3" t="str">
        <f>HYPERLINK("https://shop.sonapharmacy.com/products/poise%c2%ae-pads-ultimate-absorbency-regular-length-33ct", "https://shop.sonapharmacy.com/products/poise%c2%ae-pads-ultimate-absorbency-regular-length-33ct")</f>
        <v>https://shop.sonapharmacy.com/products/poise%c2%ae-pads-ultimate-absorbency-regular-length-33ct</v>
      </c>
      <c r="C4000" t="s">
        <v>9287</v>
      </c>
      <c r="D4000" t="s">
        <v>11167</v>
      </c>
      <c r="E4000" s="3" t="str">
        <f>HYPERLINK("https://www.amazon.com/Intimates-Ultimate-Incontinence-Women-Count/dp/B01GJS9M6E/ref=sr_1_10?keywords=Poise%C2%AE+Pads+Ultimate+Absorbency+Regular+Length+33ct.&amp;qid=1695260641&amp;rdc=1&amp;sr=8-10", "https://www.amazon.com/Intimates-Ultimate-Incontinence-Women-Count/dp/B01GJS9M6E/ref=sr_1_10?keywords=Poise%C2%AE+Pads+Ultimate+Absorbency+Regular+Length+33ct.&amp;qid=1695260641&amp;rdc=1&amp;sr=8-10")</f>
        <v>https://www.amazon.com/Intimates-Ultimate-Incontinence-Women-Count/dp/B01GJS9M6E/ref=sr_1_10?keywords=Poise%C2%AE+Pads+Ultimate+Absorbency+Regular+Length+33ct.&amp;qid=1695260641&amp;rdc=1&amp;sr=8-10</v>
      </c>
      <c r="F4000" t="s">
        <v>11168</v>
      </c>
      <c r="G4000" t="e">
        <f ca="1">IMAGE("https://shop.sonapharmacy.com/cdn/shop/products/81jKQQoGnuL._AC_SL1500.jpg?v=1611073225")</f>
        <v>#NAME?</v>
      </c>
      <c r="H4000" t="e">
        <f ca="1">IMAGE("https://m.media-amazon.com/images/I/71s8iTbdj1L._AC_UL320_.jpg")</f>
        <v>#NAME?</v>
      </c>
      <c r="I4000" t="s">
        <v>9290</v>
      </c>
      <c r="J4000">
        <v>36.75</v>
      </c>
      <c r="K4000" s="2" t="s">
        <v>11169</v>
      </c>
      <c r="L4000">
        <v>4.5</v>
      </c>
      <c r="M4000">
        <v>4189</v>
      </c>
      <c r="O4000" t="s">
        <v>26</v>
      </c>
      <c r="P4000" t="s">
        <v>39</v>
      </c>
      <c r="Q4000" t="s">
        <v>9292</v>
      </c>
    </row>
    <row r="4001" spans="1:17" ht="15.75" x14ac:dyDescent="0.25">
      <c r="A4001" s="3" t="str">
        <f>HYPERLINK("https://shop.sonapharmacy.com/products/fergon-high-potency-iron-supplement-tablets", "https://shop.sonapharmacy.com/products/fergon-high-potency-iron-supplement-tablets")</f>
        <v>https://shop.sonapharmacy.com/products/fergon-high-potency-iron-supplement-tablets</v>
      </c>
      <c r="B4001" s="3" t="str">
        <f>HYPERLINK("https://shop.sonapharmacy.com/products/fergon-high-potency-iron-supplement-tablets", "https://shop.sonapharmacy.com/products/fergon-high-potency-iron-supplement-tablets")</f>
        <v>https://shop.sonapharmacy.com/products/fergon-high-potency-iron-supplement-tablets</v>
      </c>
      <c r="C4001" t="s">
        <v>10827</v>
      </c>
      <c r="D4001" t="s">
        <v>11170</v>
      </c>
      <c r="E4001" s="3" t="str">
        <f>HYPERLINK("https://www.amazon.com/Fergon-Potency-Supplement-Tablets-Count/dp/B0CH1KSLHR/ref=sr_1_3?keywords=Fergon%C2%AE+High+Potency+Iron+Supplement+Tablets&amp;qid=1695260232&amp;sr=8-3", "https://www.amazon.com/Fergon-Potency-Supplement-Tablets-Count/dp/B0CH1KSLHR/ref=sr_1_3?keywords=Fergon%C2%AE+High+Potency+Iron+Supplement+Tablets&amp;qid=1695260232&amp;sr=8-3")</f>
        <v>https://www.amazon.com/Fergon-Potency-Supplement-Tablets-Count/dp/B0CH1KSLHR/ref=sr_1_3?keywords=Fergon%C2%AE+High+Potency+Iron+Supplement+Tablets&amp;qid=1695260232&amp;sr=8-3</v>
      </c>
      <c r="F4001" t="s">
        <v>11171</v>
      </c>
      <c r="G4001" t="e">
        <f ca="1">IMAGE("https://shop.sonapharmacy.com/cdn/shop/products/FergonHighPotencyIronSupplementTabletsFergonHighPotencyIronSupplementTablets.jpg?v=1595010428")</f>
        <v>#NAME?</v>
      </c>
      <c r="H4001" t="e">
        <f ca="1">IMAGE("https://m.media-amazon.com/images/I/71njmAt+v-L._AC_UL320_.jpg")</f>
        <v>#NAME?</v>
      </c>
      <c r="I4001" t="s">
        <v>9258</v>
      </c>
      <c r="J4001">
        <v>25.9</v>
      </c>
      <c r="K4001" s="2" t="s">
        <v>11172</v>
      </c>
      <c r="L4001">
        <v>4.7</v>
      </c>
      <c r="M4001">
        <v>394</v>
      </c>
      <c r="O4001" t="s">
        <v>26</v>
      </c>
      <c r="P4001" t="s">
        <v>39</v>
      </c>
      <c r="Q4001" t="s">
        <v>10831</v>
      </c>
    </row>
    <row r="4002" spans="1:17" ht="15.75" x14ac:dyDescent="0.25">
      <c r="A4002" s="3" t="str">
        <f>HYPERLINK("https://shop.sonapharmacy.com/products/nature-made-hair-skin-and-nails-gummies", "https://shop.sonapharmacy.com/products/nature-made-hair-skin-and-nails-gummies")</f>
        <v>https://shop.sonapharmacy.com/products/nature-made-hair-skin-and-nails-gummies</v>
      </c>
      <c r="B4002" s="3" t="str">
        <f>HYPERLINK("https://shop.sonapharmacy.com/products/nature-made-hair-skin-and-nails-gummies", "https://shop.sonapharmacy.com/products/nature-made-hair-skin-and-nails-gummies")</f>
        <v>https://shop.sonapharmacy.com/products/nature-made-hair-skin-and-nails-gummies</v>
      </c>
      <c r="C4002" t="s">
        <v>11173</v>
      </c>
      <c r="D4002" t="s">
        <v>11174</v>
      </c>
      <c r="E4002" s="3" t="str">
        <f>HYPERLINK("https://www.amazon.com/Natures-Bounty-Optimal-Solutions-Gummies/dp/B00IYTR8TK/ref=sr_1_7?keywords=Nature+Made%C2%AE+Hair+Skin+and+Nails+Gummies&amp;qid=1695260542&amp;sr=8-7", "https://www.amazon.com/Natures-Bounty-Optimal-Solutions-Gummies/dp/B00IYTR8TK/ref=sr_1_7?keywords=Nature+Made%C2%AE+Hair+Skin+and+Nails+Gummies&amp;qid=1695260542&amp;sr=8-7")</f>
        <v>https://www.amazon.com/Natures-Bounty-Optimal-Solutions-Gummies/dp/B00IYTR8TK/ref=sr_1_7?keywords=Nature+Made%C2%AE+Hair+Skin+and+Nails+Gummies&amp;qid=1695260542&amp;sr=8-7</v>
      </c>
      <c r="F4002" t="s">
        <v>11175</v>
      </c>
      <c r="G4002" t="e">
        <f ca="1">IMAGE("https://shop.sonapharmacy.com/cdn/shop/products/71o8Z6P3alL._AC_SL1500.jpg?v=1610048535")</f>
        <v>#NAME?</v>
      </c>
      <c r="H4002" t="e">
        <f ca="1">IMAGE("https://m.media-amazon.com/images/I/71aGbWk9epL._AC_UL320_.jpg")</f>
        <v>#NAME?</v>
      </c>
      <c r="I4002" t="s">
        <v>11176</v>
      </c>
      <c r="J4002">
        <v>20.49</v>
      </c>
      <c r="K4002" s="2" t="s">
        <v>11177</v>
      </c>
      <c r="L4002">
        <v>4.5999999999999996</v>
      </c>
      <c r="M4002">
        <v>4120</v>
      </c>
      <c r="O4002" t="s">
        <v>26</v>
      </c>
      <c r="P4002" t="s">
        <v>39</v>
      </c>
      <c r="Q4002" t="s">
        <v>11178</v>
      </c>
    </row>
    <row r="4003" spans="1:17" ht="15.75" x14ac:dyDescent="0.25">
      <c r="A4003" s="3" t="str">
        <f>HYPERLINK("https://shop.sonapharmacy.com/products/sunbum%C2%AE-original-spf-50-sunscreen-lotion-3oz", "https://shop.sonapharmacy.com/products/sunbum%C2%AE-original-spf-50-sunscreen-lotion-3oz")</f>
        <v>https://shop.sonapharmacy.com/products/sunbum%C2%AE-original-spf-50-sunscreen-lotion-3oz</v>
      </c>
      <c r="B4003" s="3" t="str">
        <f>HYPERLINK("https://shop.sonapharmacy.com/products/sunbum%c2%ae-original-spf-50-sunscreen-lotion-3oz", "https://shop.sonapharmacy.com/products/sunbum%c2%ae-original-spf-50-sunscreen-lotion-3oz")</f>
        <v>https://shop.sonapharmacy.com/products/sunbum%c2%ae-original-spf-50-sunscreen-lotion-3oz</v>
      </c>
      <c r="C4003" t="s">
        <v>9924</v>
      </c>
      <c r="D4003" t="s">
        <v>11179</v>
      </c>
      <c r="E4003" s="3" t="str">
        <f>HYPERLINK("https://www.amazon.com/Sun-Bum-octinoxate-Oxybenzone-Moisturizing/dp/B086R2J5GN/ref=sr_1_2?keywords=Sun+Bum%C2%AE+Original+SPF+50+Sunscreen+Lotion&amp;qid=1695260742&amp;sr=8-2", "https://www.amazon.com/Sun-Bum-octinoxate-Oxybenzone-Moisturizing/dp/B086R2J5GN/ref=sr_1_2?keywords=Sun+Bum%C2%AE+Original+SPF+50+Sunscreen+Lotion&amp;qid=1695260742&amp;sr=8-2")</f>
        <v>https://www.amazon.com/Sun-Bum-octinoxate-Oxybenzone-Moisturizing/dp/B086R2J5GN/ref=sr_1_2?keywords=Sun+Bum%C2%AE+Original+SPF+50+Sunscreen+Lotion&amp;qid=1695260742&amp;sr=8-2</v>
      </c>
      <c r="F4003" t="s">
        <v>11180</v>
      </c>
      <c r="G4003" t="e">
        <f ca="1">IMAGE("https://shop.sonapharmacy.com/cdn/shop/products/71liju0WraL._SL1500.jpg?v=1611868598")</f>
        <v>#NAME?</v>
      </c>
      <c r="H4003" t="e">
        <f ca="1">IMAGE("https://m.media-amazon.com/images/I/81HWvyHzPsL._AC_UL320_.jpg")</f>
        <v>#NAME?</v>
      </c>
      <c r="I4003" t="s">
        <v>4873</v>
      </c>
      <c r="J4003">
        <v>21.52</v>
      </c>
      <c r="K4003" s="2" t="s">
        <v>11181</v>
      </c>
      <c r="L4003">
        <v>4.7</v>
      </c>
      <c r="M4003">
        <v>711</v>
      </c>
      <c r="O4003" t="s">
        <v>26</v>
      </c>
      <c r="P4003" t="s">
        <v>39</v>
      </c>
      <c r="Q4003" t="s">
        <v>9928</v>
      </c>
    </row>
    <row r="4004" spans="1:17" ht="15.75" x14ac:dyDescent="0.25">
      <c r="A4004" s="3" t="str">
        <f>HYPERLINK("https://shop.sonapharmacy.com/products/icy-hot%C2%AE-extra-strength-pain-relief-jar", "https://shop.sonapharmacy.com/products/icy-hot%C2%AE-extra-strength-pain-relief-jar")</f>
        <v>https://shop.sonapharmacy.com/products/icy-hot%C2%AE-extra-strength-pain-relief-jar</v>
      </c>
      <c r="B4004" s="3" t="str">
        <f>HYPERLINK("https://shop.sonapharmacy.com/products/icy-hot%c2%ae-extra-strength-pain-relief-jar", "https://shop.sonapharmacy.com/products/icy-hot%c2%ae-extra-strength-pain-relief-jar")</f>
        <v>https://shop.sonapharmacy.com/products/icy-hot%c2%ae-extra-strength-pain-relief-jar</v>
      </c>
      <c r="C4004" t="s">
        <v>11182</v>
      </c>
      <c r="D4004" t="s">
        <v>11183</v>
      </c>
      <c r="E4004" s="3" t="str">
        <f>HYPERLINK("https://www.amazon.com/Icy-Hot-Medicated-Temporarily-Associated/dp/B001G7QHT4/ref=sr_1_4?keywords=Icy+Hot%C2%AE+Extra+Strength+Pain+Relief+Jar&amp;qid=1695260424&amp;sr=8-4", "https://www.amazon.com/Icy-Hot-Medicated-Temporarily-Associated/dp/B001G7QHT4/ref=sr_1_4?keywords=Icy+Hot%C2%AE+Extra+Strength+Pain+Relief+Jar&amp;qid=1695260424&amp;sr=8-4")</f>
        <v>https://www.amazon.com/Icy-Hot-Medicated-Temporarily-Associated/dp/B001G7QHT4/ref=sr_1_4?keywords=Icy+Hot%C2%AE+Extra+Strength+Pain+Relief+Jar&amp;qid=1695260424&amp;sr=8-4</v>
      </c>
      <c r="F4004" t="s">
        <v>11184</v>
      </c>
      <c r="G4004" t="e">
        <f ca="1">IMAGE("https://shop.sonapharmacy.com/cdn/shop/products/b535014a-e8bf-4c6c-bdc3-1251fb82eb02.18334445382f77d886fc4255881c0c4e.jpg?v=1613751373")</f>
        <v>#NAME?</v>
      </c>
      <c r="H4004" t="e">
        <f ca="1">IMAGE("https://m.media-amazon.com/images/I/71J+ARpF72L._AC_UL320_.jpg")</f>
        <v>#NAME?</v>
      </c>
      <c r="I4004" t="s">
        <v>10876</v>
      </c>
      <c r="J4004">
        <v>20.61</v>
      </c>
      <c r="K4004" s="2" t="s">
        <v>11185</v>
      </c>
      <c r="L4004">
        <v>4.5999999999999996</v>
      </c>
      <c r="M4004">
        <v>1601</v>
      </c>
      <c r="O4004" t="s">
        <v>136</v>
      </c>
      <c r="P4004" t="s">
        <v>39</v>
      </c>
      <c r="Q4004" t="s">
        <v>11186</v>
      </c>
    </row>
    <row r="4005" spans="1:17" ht="15.75" x14ac:dyDescent="0.25">
      <c r="A4005" s="3" t="str">
        <f>HYPERLINK("https://shop.sonapharmacy.com/products/itch-x-fast-acting-anti-itch-gel-1-25-oz", "https://shop.sonapharmacy.com/products/itch-x-fast-acting-anti-itch-gel-1-25-oz")</f>
        <v>https://shop.sonapharmacy.com/products/itch-x-fast-acting-anti-itch-gel-1-25-oz</v>
      </c>
      <c r="B4005" s="3" t="str">
        <f>HYPERLINK("https://shop.sonapharmacy.com/products/itch-x-fast-acting-anti-itch-gel-1-25-oz", "https://shop.sonapharmacy.com/products/itch-x-fast-acting-anti-itch-gel-1-25-oz")</f>
        <v>https://shop.sonapharmacy.com/products/itch-x-fast-acting-anti-itch-gel-1-25-oz</v>
      </c>
      <c r="C4005" t="s">
        <v>11019</v>
      </c>
      <c r="D4005" t="s">
        <v>11187</v>
      </c>
      <c r="E4005" s="3" t="str">
        <f>HYPERLINK("https://www.amazon.com/ITCH-X-Anti-Itch-Gel-1-25-Pack/dp/B01IAHYWN0/ref=sr_1_1?keywords=Itch-X+Fast-Acting+Anti-Itch+Gel+1.25+Oz&amp;qid=1695260411&amp;sr=8-1", "https://www.amazon.com/ITCH-X-Anti-Itch-Gel-1-25-Pack/dp/B01IAHYWN0/ref=sr_1_1?keywords=Itch-X+Fast-Acting+Anti-Itch+Gel+1.25+Oz&amp;qid=1695260411&amp;sr=8-1")</f>
        <v>https://www.amazon.com/ITCH-X-Anti-Itch-Gel-1-25-Pack/dp/B01IAHYWN0/ref=sr_1_1?keywords=Itch-X+Fast-Acting+Anti-Itch+Gel+1.25+Oz&amp;qid=1695260411&amp;sr=8-1</v>
      </c>
      <c r="F4005" t="s">
        <v>11188</v>
      </c>
      <c r="G4005" t="e">
        <f ca="1">IMAGE("https://shop.sonapharmacy.com/cdn/shop/products/db6281f4-f805-40d2-92d5-a65448263c5c.b3064e9fb6e9b172ae31ad23b3be0b2c.jpg?v=1607966605")</f>
        <v>#NAME?</v>
      </c>
      <c r="H4005" t="e">
        <f ca="1">IMAGE("https://m.media-amazon.com/images/I/714mVVEwmKL._AC_UL320_.jpg")</f>
        <v>#NAME?</v>
      </c>
      <c r="I4005" t="s">
        <v>8963</v>
      </c>
      <c r="J4005">
        <v>12.86</v>
      </c>
      <c r="K4005" s="2" t="s">
        <v>11189</v>
      </c>
      <c r="L4005">
        <v>4.7</v>
      </c>
      <c r="M4005">
        <v>199</v>
      </c>
      <c r="O4005" t="s">
        <v>26</v>
      </c>
      <c r="P4005" t="s">
        <v>39</v>
      </c>
      <c r="Q4005" t="s">
        <v>11023</v>
      </c>
    </row>
    <row r="4006" spans="1:17" ht="15.75" x14ac:dyDescent="0.25">
      <c r="A4006" s="3" t="str">
        <f>HYPERLINK("https://shop.sonapharmacy.com/products/florastor-kids-daily-probiotic-supplement", "https://shop.sonapharmacy.com/products/florastor-kids-daily-probiotic-supplement")</f>
        <v>https://shop.sonapharmacy.com/products/florastor-kids-daily-probiotic-supplement</v>
      </c>
      <c r="B4006" s="3" t="str">
        <f>HYPERLINK("https://shop.sonapharmacy.com/products/florastor-kids-daily-probiotic-supplement", "https://shop.sonapharmacy.com/products/florastor-kids-daily-probiotic-supplement")</f>
        <v>https://shop.sonapharmacy.com/products/florastor-kids-daily-probiotic-supplement</v>
      </c>
      <c r="C4006" t="s">
        <v>11190</v>
      </c>
      <c r="D4006" t="s">
        <v>11191</v>
      </c>
      <c r="E4006" s="3"/>
      <c r="F4006" t="s">
        <v>11192</v>
      </c>
      <c r="G4006" t="e">
        <f ca="1">IMAGE("https://shop.sonapharmacy.com/cdn/shop/products/florastorkidsfront.png?v=1606931808")</f>
        <v>#NAME?</v>
      </c>
      <c r="H4006" t="e">
        <f ca="1">IMAGE("https://m.media-amazon.com/images/I/71zghisTjHL._AC_UL320_.jpg")</f>
        <v>#NAME?</v>
      </c>
      <c r="I4006" t="s">
        <v>11193</v>
      </c>
      <c r="J4006">
        <v>49.99</v>
      </c>
      <c r="K4006" s="2" t="s">
        <v>11194</v>
      </c>
      <c r="L4006">
        <v>5</v>
      </c>
      <c r="M4006">
        <v>11</v>
      </c>
      <c r="O4006" t="s">
        <v>26</v>
      </c>
      <c r="P4006" t="s">
        <v>39</v>
      </c>
      <c r="Q4006" t="s">
        <v>11195</v>
      </c>
    </row>
    <row r="4007" spans="1:17" ht="15.75" x14ac:dyDescent="0.25">
      <c r="A4007" s="3" t="str">
        <f>HYPERLINK("https://shop.sonapharmacy.com/products/aveeno%C2%AE-daily-moisturizing-body-lotion-for-dry-skin", "https://shop.sonapharmacy.com/products/aveeno%C2%AE-daily-moisturizing-body-lotion-for-dry-skin")</f>
        <v>https://shop.sonapharmacy.com/products/aveeno%C2%AE-daily-moisturizing-body-lotion-for-dry-skin</v>
      </c>
      <c r="B4007" s="3" t="str">
        <f>HYPERLINK("https://shop.sonapharmacy.com/products/aveeno%c2%ae-daily-moisturizing-body-lotion-for-dry-skin", "https://shop.sonapharmacy.com/products/aveeno%c2%ae-daily-moisturizing-body-lotion-for-dry-skin")</f>
        <v>https://shop.sonapharmacy.com/products/aveeno%c2%ae-daily-moisturizing-body-lotion-for-dry-skin</v>
      </c>
      <c r="C4007" t="s">
        <v>10664</v>
      </c>
      <c r="D4007" t="s">
        <v>11196</v>
      </c>
      <c r="E4007" s="3" t="str">
        <f>HYPERLINK("https://www.amazon.com/Aveeno-Active-Naturals-Moisturizing-Lotion/dp/B0000536EX/ref=sr_1_7?keywords=Aveeno%C2%AE+Daily+Moisturizing+Body+Lotion+For+Dry+Skin&amp;qid=1695260064&amp;sr=8-7", "https://www.amazon.com/Aveeno-Active-Naturals-Moisturizing-Lotion/dp/B0000536EX/ref=sr_1_7?keywords=Aveeno%C2%AE+Daily+Moisturizing+Body+Lotion+For+Dry+Skin&amp;qid=1695260064&amp;sr=8-7")</f>
        <v>https://www.amazon.com/Aveeno-Active-Naturals-Moisturizing-Lotion/dp/B0000536EX/ref=sr_1_7?keywords=Aveeno%C2%AE+Daily+Moisturizing+Body+Lotion+For+Dry+Skin&amp;qid=1695260064&amp;sr=8-7</v>
      </c>
      <c r="F4007" t="s">
        <v>11197</v>
      </c>
      <c r="G4007" t="e">
        <f ca="1">IMAGE("https://shop.sonapharmacy.com/cdn/shop/products/fd553311-2a0b-4dc4-897d-0cdebddf7c3a_1.52c75b3f73a8568e884420f42c9eb39a.jpg?v=1611191602")</f>
        <v>#NAME?</v>
      </c>
      <c r="H4007" t="e">
        <f ca="1">IMAGE("https://m.media-amazon.com/images/I/61NUgvBwPwL._AC_UL320_.jpg")</f>
        <v>#NAME?</v>
      </c>
      <c r="I4007" t="s">
        <v>8828</v>
      </c>
      <c r="J4007">
        <v>8.98</v>
      </c>
      <c r="K4007" s="2" t="s">
        <v>11198</v>
      </c>
      <c r="L4007">
        <v>4.8</v>
      </c>
      <c r="M4007">
        <v>2015</v>
      </c>
      <c r="O4007" t="s">
        <v>26</v>
      </c>
      <c r="P4007" t="s">
        <v>39</v>
      </c>
      <c r="Q4007" t="s">
        <v>10668</v>
      </c>
    </row>
    <row r="4008" spans="1:17" ht="15.75" x14ac:dyDescent="0.25">
      <c r="A4008" s="3" t="str">
        <f>HYPERLINK("https://shop.sonapharmacy.com/products/fixodent-complete-original-denture-adhesive-cream-2-4-oz", "https://shop.sonapharmacy.com/products/fixodent-complete-original-denture-adhesive-cream-2-4-oz")</f>
        <v>https://shop.sonapharmacy.com/products/fixodent-complete-original-denture-adhesive-cream-2-4-oz</v>
      </c>
      <c r="B4008" s="3" t="str">
        <f>HYPERLINK("https://shop.sonapharmacy.com/products/fixodent-complete-original-denture-adhesive-cream-2-4-oz", "https://shop.sonapharmacy.com/products/fixodent-complete-original-denture-adhesive-cream-2-4-oz")</f>
        <v>https://shop.sonapharmacy.com/products/fixodent-complete-original-denture-adhesive-cream-2-4-oz</v>
      </c>
      <c r="C4008" t="s">
        <v>9974</v>
      </c>
      <c r="D4008" t="s">
        <v>11199</v>
      </c>
      <c r="E4008" s="3" t="str">
        <f>HYPERLINK("https://www.amazon.com/Fixodent-Complete-Original-Denture-Adhesive/dp/B07FL52N66/ref=sr_1_1?keywords=Fixodent%C2%AE+Complete+Original+Denture+Adhesive+Cream+2.4+oz&amp;qid=1695260243&amp;sr=8-1", "https://www.amazon.com/Fixodent-Complete-Original-Denture-Adhesive/dp/B07FL52N66/ref=sr_1_1?keywords=Fixodent%C2%AE+Complete+Original+Denture+Adhesive+Cream+2.4+oz&amp;qid=1695260243&amp;sr=8-1")</f>
        <v>https://www.amazon.com/Fixodent-Complete-Original-Denture-Adhesive/dp/B07FL52N66/ref=sr_1_1?keywords=Fixodent%C2%AE+Complete+Original+Denture+Adhesive+Cream+2.4+oz&amp;qid=1695260243&amp;sr=8-1</v>
      </c>
      <c r="F4008" t="s">
        <v>11200</v>
      </c>
      <c r="G4008" t="e">
        <f ca="1">IMAGE("https://shop.sonapharmacy.com/cdn/shop/products/00719501_2.jpg?v=1609350426")</f>
        <v>#NAME?</v>
      </c>
      <c r="H4008" t="e">
        <f ca="1">IMAGE("https://m.media-amazon.com/images/I/61hr9OnQRUL._AC_UL320_.jpg")</f>
        <v>#NAME?</v>
      </c>
      <c r="I4008" t="s">
        <v>8606</v>
      </c>
      <c r="J4008">
        <v>13.99</v>
      </c>
      <c r="K4008" s="2" t="s">
        <v>11201</v>
      </c>
      <c r="L4008">
        <v>4.7</v>
      </c>
      <c r="M4008">
        <v>10869</v>
      </c>
      <c r="O4008" t="s">
        <v>26</v>
      </c>
      <c r="P4008" t="s">
        <v>39</v>
      </c>
      <c r="Q4008" t="s">
        <v>9978</v>
      </c>
    </row>
    <row r="4009" spans="1:17" ht="15.75" x14ac:dyDescent="0.25">
      <c r="A4009" s="3" t="str">
        <f>HYPERLINK("https://shop.sonapharmacy.com/products/alka-seltzer%C2%AE-original-effervescent-tablets", "https://shop.sonapharmacy.com/products/alka-seltzer%C2%AE-original-effervescent-tablets")</f>
        <v>https://shop.sonapharmacy.com/products/alka-seltzer%C2%AE-original-effervescent-tablets</v>
      </c>
      <c r="B4009" s="3" t="str">
        <f>HYPERLINK("https://shop.sonapharmacy.com/products/alka-seltzer%c2%ae-original-effervescent-tablets", "https://shop.sonapharmacy.com/products/alka-seltzer%c2%ae-original-effervescent-tablets")</f>
        <v>https://shop.sonapharmacy.com/products/alka-seltzer%c2%ae-original-effervescent-tablets</v>
      </c>
      <c r="C4009" t="s">
        <v>9356</v>
      </c>
      <c r="D4009" t="s">
        <v>11202</v>
      </c>
      <c r="E4009" s="3" t="str">
        <f>HYPERLINK("https://www.amazon.com/Alka-Seltzer-Original-Effervescent-Tablets-indigestion/dp/B004PX79FC/ref=sr_1_1?keywords=Alka-Seltzer+Original+Effervescent+Tablets&amp;qid=1695260013&amp;rdc=1&amp;sr=8-1", "https://www.amazon.com/Alka-Seltzer-Original-Effervescent-Tablets-indigestion/dp/B004PX79FC/ref=sr_1_1?keywords=Alka-Seltzer+Original+Effervescent+Tablets&amp;qid=1695260013&amp;rdc=1&amp;sr=8-1")</f>
        <v>https://www.amazon.com/Alka-Seltzer-Original-Effervescent-Tablets-indigestion/dp/B004PX79FC/ref=sr_1_1?keywords=Alka-Seltzer+Original+Effervescent+Tablets&amp;qid=1695260013&amp;rdc=1&amp;sr=8-1</v>
      </c>
      <c r="F4009" t="s">
        <v>11203</v>
      </c>
      <c r="G4009" t="e">
        <f ca="1">IMAGE("https://shop.sonapharmacy.com/cdn/shop/products/51rk0IErmAL._AC.jpg?v=1610676312")</f>
        <v>#NAME?</v>
      </c>
      <c r="H4009" t="e">
        <f ca="1">IMAGE("https://m.media-amazon.com/images/I/811o9UVcrCL._AC_UL320_.jpg")</f>
        <v>#NAME?</v>
      </c>
      <c r="I4009" t="s">
        <v>9015</v>
      </c>
      <c r="J4009">
        <v>10.47</v>
      </c>
      <c r="K4009" s="2" t="s">
        <v>11204</v>
      </c>
      <c r="L4009">
        <v>4.8</v>
      </c>
      <c r="M4009">
        <v>16059</v>
      </c>
      <c r="O4009" t="s">
        <v>26</v>
      </c>
      <c r="P4009" t="s">
        <v>39</v>
      </c>
      <c r="Q4009" t="s">
        <v>9360</v>
      </c>
    </row>
    <row r="4010" spans="1:17" ht="15.75" x14ac:dyDescent="0.25">
      <c r="A4010" s="3" t="str">
        <f>HYPERLINK("https://shop.sonapharmacy.com/products/amlactin%C2%AE-ultra-smoothing-intensely-hydrating-cream-49oz", "https://shop.sonapharmacy.com/products/amlactin%C2%AE-ultra-smoothing-intensely-hydrating-cream-49oz")</f>
        <v>https://shop.sonapharmacy.com/products/amlactin%C2%AE-ultra-smoothing-intensely-hydrating-cream-49oz</v>
      </c>
      <c r="B4010" s="3" t="str">
        <f>HYPERLINK("https://shop.sonapharmacy.com/products/amlactin%c2%ae-ultra-smoothing-intensely-hydrating-cream-49oz", "https://shop.sonapharmacy.com/products/amlactin%c2%ae-ultra-smoothing-intensely-hydrating-cream-49oz")</f>
        <v>https://shop.sonapharmacy.com/products/amlactin%c2%ae-ultra-smoothing-intensely-hydrating-cream-49oz</v>
      </c>
      <c r="C4010" t="s">
        <v>11205</v>
      </c>
      <c r="D4010" t="s">
        <v>11206</v>
      </c>
      <c r="E4010" s="3" t="str">
        <f>HYPERLINK("https://www.amazon.com/AmLactin-Relief-Restoring-Lotion-Bottle/dp/B0C2YDZ1JZ/ref=sr_1_1?keywords=Amlactin+Ultra+Smoothing+Intensely+Hydrating+Cream+49oz.&amp;qid=1695260013&amp;sr=8-1", "https://www.amazon.com/AmLactin-Relief-Restoring-Lotion-Bottle/dp/B0C2YDZ1JZ/ref=sr_1_1?keywords=Amlactin+Ultra+Smoothing+Intensely+Hydrating+Cream+49oz.&amp;qid=1695260013&amp;sr=8-1")</f>
        <v>https://www.amazon.com/AmLactin-Relief-Restoring-Lotion-Bottle/dp/B0C2YDZ1JZ/ref=sr_1_1?keywords=Amlactin+Ultra+Smoothing+Intensely+Hydrating+Cream+49oz.&amp;qid=1695260013&amp;sr=8-1</v>
      </c>
      <c r="F4010" t="s">
        <v>11207</v>
      </c>
      <c r="G4010" t="e">
        <f ca="1">IMAGE("https://shop.sonapharmacy.com/cdn/shop/products/61_6mKEUzAL._SL1500.jpg?v=1630863785")</f>
        <v>#NAME?</v>
      </c>
      <c r="H4010" t="e">
        <f ca="1">IMAGE("https://m.media-amazon.com/images/I/41sCkfnR6IL._AC_UL320_.jpg")</f>
        <v>#NAME?</v>
      </c>
      <c r="I4010" t="s">
        <v>11208</v>
      </c>
      <c r="J4010">
        <v>37.99</v>
      </c>
      <c r="K4010" s="2" t="s">
        <v>11209</v>
      </c>
      <c r="L4010">
        <v>4.5</v>
      </c>
      <c r="M4010">
        <v>11281</v>
      </c>
      <c r="O4010" t="s">
        <v>26</v>
      </c>
      <c r="P4010" t="s">
        <v>39</v>
      </c>
      <c r="Q4010" t="s">
        <v>11210</v>
      </c>
    </row>
    <row r="4011" spans="1:17" ht="15.75" x14ac:dyDescent="0.25">
      <c r="A4011" s="3" t="str">
        <f>HYPERLINK("https://shop.sonapharmacy.com/products/depend%C2%AE-for-women-fit-flex-underwear-maximum-absorbency-medium-30ct", "https://shop.sonapharmacy.com/products/depend%C2%AE-for-women-fit-flex-underwear-maximum-absorbency-medium-30ct")</f>
        <v>https://shop.sonapharmacy.com/products/depend%C2%AE-for-women-fit-flex-underwear-maximum-absorbency-medium-30ct</v>
      </c>
      <c r="B4011" s="3" t="str">
        <f>HYPERLINK("https://shop.sonapharmacy.com/products/depend%c2%ae-for-women-fit-flex-underwear-maximum-absorbency-medium-30ct", "https://shop.sonapharmacy.com/products/depend%c2%ae-for-women-fit-flex-underwear-maximum-absorbency-medium-30ct")</f>
        <v>https://shop.sonapharmacy.com/products/depend%c2%ae-for-women-fit-flex-underwear-maximum-absorbency-medium-30ct</v>
      </c>
      <c r="C4011" t="s">
        <v>11211</v>
      </c>
      <c r="D4011" t="s">
        <v>11212</v>
      </c>
      <c r="E4011" s="3" t="str">
        <f>HYPERLINK("https://www.amazon.com/Depend-FIT-Flex-Incontinence-Underwear-Absorbency/dp/B0954ZQ39R/ref=sr_1_2?keywords=Depend%C2%AE+For+Women+Fit-Flex+Underwear+Maximum+Absorbency+Medium+30ct.&amp;qid=1695260227&amp;rdc=1&amp;sr=8-2", "https://www.amazon.com/Depend-FIT-Flex-Incontinence-Underwear-Absorbency/dp/B0954ZQ39R/ref=sr_1_2?keywords=Depend%C2%AE+For+Women+Fit-Flex+Underwear+Maximum+Absorbency+Medium+30ct.&amp;qid=1695260227&amp;rdc=1&amp;sr=8-2")</f>
        <v>https://www.amazon.com/Depend-FIT-Flex-Incontinence-Underwear-Absorbency/dp/B0954ZQ39R/ref=sr_1_2?keywords=Depend%C2%AE+For+Women+Fit-Flex+Underwear+Maximum+Absorbency+Medium+30ct.&amp;qid=1695260227&amp;rdc=1&amp;sr=8-2</v>
      </c>
      <c r="F4011" t="s">
        <v>11213</v>
      </c>
      <c r="G4011" t="e">
        <f ca="1">IMAGE("https://shop.sonapharmacy.com/cdn/shop/products/08770e46-2f46-4215-998c-05afa1fdc016.e9af13c99efa4da29c4ba783018d0a20.jpg?v=1611076535")</f>
        <v>#NAME?</v>
      </c>
      <c r="H4011" t="e">
        <f ca="1">IMAGE("https://m.media-amazon.com/images/I/81rmec140kL._AC_UL320_.jpg")</f>
        <v>#NAME?</v>
      </c>
      <c r="I4011" t="s">
        <v>3367</v>
      </c>
      <c r="J4011">
        <v>53.24</v>
      </c>
      <c r="K4011" s="2" t="s">
        <v>11214</v>
      </c>
      <c r="L4011">
        <v>4.5999999999999996</v>
      </c>
      <c r="M4011">
        <v>14005</v>
      </c>
      <c r="O4011" t="s">
        <v>26</v>
      </c>
      <c r="P4011" t="s">
        <v>39</v>
      </c>
      <c r="Q4011" t="s">
        <v>11215</v>
      </c>
    </row>
    <row r="4012" spans="1:17" ht="15.75" x14ac:dyDescent="0.25">
      <c r="A4012" s="3" t="str">
        <f>HYPERLINK("https://shop.sonapharmacy.com/products/goodsense%C2%AE-twin-blade-plus-with-lubricating-strip-disposable-razors-5ct", "https://shop.sonapharmacy.com/products/goodsense%C2%AE-twin-blade-plus-with-lubricating-strip-disposable-razors-5ct")</f>
        <v>https://shop.sonapharmacy.com/products/goodsense%C2%AE-twin-blade-plus-with-lubricating-strip-disposable-razors-5ct</v>
      </c>
      <c r="B4012" s="3" t="str">
        <f>HYPERLINK("https://shop.sonapharmacy.com/products/goodsense%c2%ae-twin-blade-plus-with-lubricating-strip-disposable-razors-5ct", "https://shop.sonapharmacy.com/products/goodsense%c2%ae-twin-blade-plus-with-lubricating-strip-disposable-razors-5ct")</f>
        <v>https://shop.sonapharmacy.com/products/goodsense%c2%ae-twin-blade-plus-with-lubricating-strip-disposable-razors-5ct</v>
      </c>
      <c r="C4012" t="s">
        <v>11216</v>
      </c>
      <c r="D4012" t="s">
        <v>11217</v>
      </c>
      <c r="E4012" s="3" t="str">
        <f>HYPERLINK("https://www.amazon.com/Personna-Blade-Disposable-Razor-Lubricating/dp/B00DIXD6LQ/ref=sr_1_2?keywords=GoodSense%C2%AE+Twin+Blade+Plus+with+Lubricating+Strip+Disposable+Razors+5ct.&amp;qid=1695260395&amp;sr=8-2", "https://www.amazon.com/Personna-Blade-Disposable-Razor-Lubricating/dp/B00DIXD6LQ/ref=sr_1_2?keywords=GoodSense%C2%AE+Twin+Blade+Plus+with+Lubricating+Strip+Disposable+Razors+5ct.&amp;qid=1695260395&amp;sr=8-2")</f>
        <v>https://www.amazon.com/Personna-Blade-Disposable-Razor-Lubricating/dp/B00DIXD6LQ/ref=sr_1_2?keywords=GoodSense%C2%AE+Twin+Blade+Plus+with+Lubricating+Strip+Disposable+Razors+5ct.&amp;qid=1695260395&amp;sr=8-2</v>
      </c>
      <c r="F4012" t="s">
        <v>11218</v>
      </c>
      <c r="G4012" t="e">
        <f ca="1">IMAGE("https://shop.sonapharmacy.com/cdn/shop/products/354738.jpg?v=1610904582")</f>
        <v>#NAME?</v>
      </c>
      <c r="H4012" t="e">
        <f ca="1">IMAGE("https://m.media-amazon.com/images/I/717Ke9PgLAL._AC_UL320_.jpg")</f>
        <v>#NAME?</v>
      </c>
      <c r="I4012" t="s">
        <v>11219</v>
      </c>
      <c r="J4012">
        <v>9.99</v>
      </c>
      <c r="K4012" s="2" t="s">
        <v>11220</v>
      </c>
      <c r="L4012">
        <v>3.9</v>
      </c>
      <c r="M4012">
        <v>2</v>
      </c>
      <c r="O4012" t="s">
        <v>26</v>
      </c>
      <c r="P4012" t="s">
        <v>39</v>
      </c>
      <c r="Q4012" t="s">
        <v>11221</v>
      </c>
    </row>
    <row r="4013" spans="1:17" ht="15.75" x14ac:dyDescent="0.25">
      <c r="A4013" s="3" t="str">
        <f>HYPERLINK("https://shop.sonapharmacy.com/products/sunbum%C2%AE-original-spf-50-sunscreen-spray-6oz", "https://shop.sonapharmacy.com/products/sunbum%C2%AE-original-spf-50-sunscreen-spray-6oz")</f>
        <v>https://shop.sonapharmacy.com/products/sunbum%C2%AE-original-spf-50-sunscreen-spray-6oz</v>
      </c>
      <c r="B4013" s="3" t="str">
        <f>HYPERLINK("https://shop.sonapharmacy.com/products/sunbum%c2%ae-original-spf-50-sunscreen-spray-6oz", "https://shop.sonapharmacy.com/products/sunbum%c2%ae-original-spf-50-sunscreen-spray-6oz")</f>
        <v>https://shop.sonapharmacy.com/products/sunbum%c2%ae-original-spf-50-sunscreen-spray-6oz</v>
      </c>
      <c r="C4013" t="s">
        <v>11222</v>
      </c>
      <c r="D4013" t="s">
        <v>11223</v>
      </c>
      <c r="E4013" s="3" t="str">
        <f>HYPERLINK("https://www.amazon.com/Sun-Bum-Original-Sunscreen-Friendly/dp/B0BXFW6JF6/ref=sr_1_5?keywords=Sun+Bum%C2%AE+Original+SPF+50+Sunscreen+Spray+6oz.&amp;qid=1695260740&amp;sr=8-5", "https://www.amazon.com/Sun-Bum-Original-Sunscreen-Friendly/dp/B0BXFW6JF6/ref=sr_1_5?keywords=Sun+Bum%C2%AE+Original+SPF+50+Sunscreen+Spray+6oz.&amp;qid=1695260740&amp;sr=8-5")</f>
        <v>https://www.amazon.com/Sun-Bum-Original-Sunscreen-Friendly/dp/B0BXFW6JF6/ref=sr_1_5?keywords=Sun+Bum%C2%AE+Original+SPF+50+Sunscreen+Spray+6oz.&amp;qid=1695260740&amp;sr=8-5</v>
      </c>
      <c r="F4013" t="s">
        <v>11224</v>
      </c>
      <c r="G4013" t="e">
        <f ca="1">IMAGE("https://shop.sonapharmacy.com/cdn/shop/products/71a9elrSXbL._AC_SL1500.jpg?v=1611869711")</f>
        <v>#NAME?</v>
      </c>
      <c r="H4013" t="e">
        <f ca="1">IMAGE("https://m.media-amazon.com/images/I/412FMcw8toL._AC_UL320_.jpg")</f>
        <v>#NAME?</v>
      </c>
      <c r="I4013" t="s">
        <v>3394</v>
      </c>
      <c r="J4013">
        <v>34.03</v>
      </c>
      <c r="K4013" s="2" t="s">
        <v>11225</v>
      </c>
      <c r="L4013">
        <v>5</v>
      </c>
      <c r="M4013">
        <v>1</v>
      </c>
      <c r="O4013" t="s">
        <v>26</v>
      </c>
      <c r="P4013" t="s">
        <v>39</v>
      </c>
      <c r="Q4013" t="s">
        <v>11226</v>
      </c>
    </row>
    <row r="4014" spans="1:17" ht="15.75" x14ac:dyDescent="0.25">
      <c r="A4014" s="3" t="str">
        <f>HYPERLINK("https://shop.sonapharmacy.com/products/sunbum%C2%AE-original-spf-30-sunscreen-spray-6oz", "https://shop.sonapharmacy.com/products/sunbum%C2%AE-original-spf-30-sunscreen-spray-6oz")</f>
        <v>https://shop.sonapharmacy.com/products/sunbum%C2%AE-original-spf-30-sunscreen-spray-6oz</v>
      </c>
      <c r="B4014" s="3" t="str">
        <f>HYPERLINK("https://shop.sonapharmacy.com/products/sunbum%c2%ae-original-spf-30-sunscreen-spray-6oz", "https://shop.sonapharmacy.com/products/sunbum%c2%ae-original-spf-30-sunscreen-spray-6oz")</f>
        <v>https://shop.sonapharmacy.com/products/sunbum%c2%ae-original-spf-30-sunscreen-spray-6oz</v>
      </c>
      <c r="C4014" t="s">
        <v>10206</v>
      </c>
      <c r="D4014" t="s">
        <v>11223</v>
      </c>
      <c r="E4014" s="3" t="str">
        <f>HYPERLINK("https://www.amazon.com/Sun-Bum-Original-Sunscreen-Friendly/dp/B0BXFW6JF6/ref=sr_1_3?keywords=Sun+Bum%C2%AE+Original+SPF+30+Sunscreen+Spray+6oz.&amp;qid=1695260749&amp;sr=8-3", "https://www.amazon.com/Sun-Bum-Original-Sunscreen-Friendly/dp/B0BXFW6JF6/ref=sr_1_3?keywords=Sun+Bum%C2%AE+Original+SPF+30+Sunscreen+Spray+6oz.&amp;qid=1695260749&amp;sr=8-3")</f>
        <v>https://www.amazon.com/Sun-Bum-Original-Sunscreen-Friendly/dp/B0BXFW6JF6/ref=sr_1_3?keywords=Sun+Bum%C2%AE+Original+SPF+30+Sunscreen+Spray+6oz.&amp;qid=1695260749&amp;sr=8-3</v>
      </c>
      <c r="F4014" t="s">
        <v>11224</v>
      </c>
      <c r="G4014" t="e">
        <f ca="1">IMAGE("https://shop.sonapharmacy.com/cdn/shop/products/71Z-XuOhvOL._AC_SL1500.jpg?v=1611870033")</f>
        <v>#NAME?</v>
      </c>
      <c r="H4014" t="e">
        <f ca="1">IMAGE("https://m.media-amazon.com/images/I/412FMcw8toL._AC_UL320_.jpg")</f>
        <v>#NAME?</v>
      </c>
      <c r="I4014" t="s">
        <v>3394</v>
      </c>
      <c r="J4014">
        <v>34.03</v>
      </c>
      <c r="K4014" s="2" t="s">
        <v>11225</v>
      </c>
      <c r="L4014">
        <v>5</v>
      </c>
      <c r="M4014">
        <v>1</v>
      </c>
      <c r="O4014" t="s">
        <v>26</v>
      </c>
      <c r="P4014" t="s">
        <v>39</v>
      </c>
      <c r="Q4014" t="s">
        <v>10210</v>
      </c>
    </row>
    <row r="4015" spans="1:17" ht="15.75" x14ac:dyDescent="0.25">
      <c r="A4015" s="3" t="str">
        <f>HYPERLINK("https://shop.sonapharmacy.com/products/eos%C2%AE-strawberry-sorbet-lip-balm", "https://shop.sonapharmacy.com/products/eos%C2%AE-strawberry-sorbet-lip-balm")</f>
        <v>https://shop.sonapharmacy.com/products/eos%C2%AE-strawberry-sorbet-lip-balm</v>
      </c>
      <c r="B4015" s="3" t="str">
        <f>HYPERLINK("https://shop.sonapharmacy.com/products/eos%c2%ae-strawberry-sorbet-lip-balm", "https://shop.sonapharmacy.com/products/eos%c2%ae-strawberry-sorbet-lip-balm")</f>
        <v>https://shop.sonapharmacy.com/products/eos%c2%ae-strawberry-sorbet-lip-balm</v>
      </c>
      <c r="C4015" t="s">
        <v>8408</v>
      </c>
      <c r="D4015" t="s">
        <v>11090</v>
      </c>
      <c r="E4015" s="3" t="str">
        <f>HYPERLINK("https://www.amazon.com/eos-Sticks-Variety-Strawberry-Vanilla/dp/B09V37V6GP/ref=sr_1_4?keywords=EOS%C2%AE+Strawberry+Sorbet+Lip+Balm&amp;qid=1695260249&amp;sr=8-4", "https://www.amazon.com/eos-Sticks-Variety-Strawberry-Vanilla/dp/B09V37V6GP/ref=sr_1_4?keywords=EOS%C2%AE+Strawberry+Sorbet+Lip+Balm&amp;qid=1695260249&amp;sr=8-4")</f>
        <v>https://www.amazon.com/eos-Sticks-Variety-Strawberry-Vanilla/dp/B09V37V6GP/ref=sr_1_4?keywords=EOS%C2%AE+Strawberry+Sorbet+Lip+Balm&amp;qid=1695260249&amp;sr=8-4</v>
      </c>
      <c r="F4015" t="s">
        <v>11091</v>
      </c>
      <c r="G4015" t="e">
        <f ca="1">IMAGE("https://shop.sonapharmacy.com/cdn/shop/products/892992002847-1a_VB__70684.1610588860.jpg?v=1610642796")</f>
        <v>#NAME?</v>
      </c>
      <c r="H4015" t="e">
        <f ca="1">IMAGE("https://m.media-amazon.com/images/I/71pPIJX6MxL._AC_UL320_.jpg")</f>
        <v>#NAME?</v>
      </c>
      <c r="I4015" t="s">
        <v>8411</v>
      </c>
      <c r="J4015">
        <v>8.49</v>
      </c>
      <c r="K4015" s="2" t="s">
        <v>11227</v>
      </c>
      <c r="L4015">
        <v>4.8</v>
      </c>
      <c r="M4015">
        <v>1901</v>
      </c>
      <c r="O4015" t="s">
        <v>26</v>
      </c>
      <c r="P4015" t="s">
        <v>39</v>
      </c>
      <c r="Q4015" t="s">
        <v>8413</v>
      </c>
    </row>
    <row r="4016" spans="1:17" ht="15.75" x14ac:dyDescent="0.25">
      <c r="A4016" s="3" t="str">
        <f>HYPERLINK("https://shop.sonapharmacy.com/products/coppertone%C2%AE-sport-spf-50-lotion-7fl-oz", "https://shop.sonapharmacy.com/products/coppertone%C2%AE-sport-spf-50-lotion-7fl-oz")</f>
        <v>https://shop.sonapharmacy.com/products/coppertone%C2%AE-sport-spf-50-lotion-7fl-oz</v>
      </c>
      <c r="B4016" s="3" t="str">
        <f>HYPERLINK("https://shop.sonapharmacy.com/products/coppertone%c2%ae-sport-spf-50-lotion-7fl-oz", "https://shop.sonapharmacy.com/products/coppertone%c2%ae-sport-spf-50-lotion-7fl-oz")</f>
        <v>https://shop.sonapharmacy.com/products/coppertone%c2%ae-sport-spf-50-lotion-7fl-oz</v>
      </c>
      <c r="C4016" t="s">
        <v>10531</v>
      </c>
      <c r="D4016" t="s">
        <v>11228</v>
      </c>
      <c r="E4016" s="3" t="str">
        <f>HYPERLINK("https://www.amazon.com/Coppertone-Sunscreen-Spectrum-Multipack-7-Fluid/dp/B078BF2BGP/ref=sr_1_10?keywords=Coppertone%C2%AE+Sport+SPF+50+Lotion+7fl.+oz.&amp;qid=1695260163&amp;sr=8-10", "https://www.amazon.com/Coppertone-Sunscreen-Spectrum-Multipack-7-Fluid/dp/B078BF2BGP/ref=sr_1_10?keywords=Coppertone%C2%AE+Sport+SPF+50+Lotion+7fl.+oz.&amp;qid=1695260163&amp;sr=8-10")</f>
        <v>https://www.amazon.com/Coppertone-Sunscreen-Spectrum-Multipack-7-Fluid/dp/B078BF2BGP/ref=sr_1_10?keywords=Coppertone%C2%AE+Sport+SPF+50+Lotion+7fl.+oz.&amp;qid=1695260163&amp;sr=8-10</v>
      </c>
      <c r="F4016" t="s">
        <v>11229</v>
      </c>
      <c r="G4016" t="e">
        <f ca="1">IMAGE("https://shop.sonapharmacy.com/cdn/shop/products/7c8cb15f-7cf8-4b1b-ac3e-39de3fdcc5ad.2c921551f07b212d0fab7b1d3dd73227.jpg?v=1610648627")</f>
        <v>#NAME?</v>
      </c>
      <c r="H4016" t="e">
        <f ca="1">IMAGE("https://m.media-amazon.com/images/I/61tfsNQCBAS._AC_UL320_.jpg")</f>
        <v>#NAME?</v>
      </c>
      <c r="I4016" t="s">
        <v>10534</v>
      </c>
      <c r="J4016">
        <v>23.99</v>
      </c>
      <c r="K4016" s="2" t="s">
        <v>11230</v>
      </c>
      <c r="L4016">
        <v>4.7</v>
      </c>
      <c r="M4016">
        <v>15146</v>
      </c>
      <c r="O4016" t="s">
        <v>26</v>
      </c>
      <c r="P4016" t="s">
        <v>39</v>
      </c>
      <c r="Q4016" t="s">
        <v>10536</v>
      </c>
    </row>
    <row r="4017" spans="1:17" ht="15.75" x14ac:dyDescent="0.25">
      <c r="A4017" s="3" t="str">
        <f>HYPERLINK("https://shop.sonapharmacy.com/products/macks%C2%AE-pillow-soft%C2%AE-silicone-putty-ear-plugs", "https://shop.sonapharmacy.com/products/macks%C2%AE-pillow-soft%C2%AE-silicone-putty-ear-plugs")</f>
        <v>https://shop.sonapharmacy.com/products/macks%C2%AE-pillow-soft%C2%AE-silicone-putty-ear-plugs</v>
      </c>
      <c r="B4017" s="3" t="str">
        <f>HYPERLINK("https://shop.sonapharmacy.com/products/macks%c2%ae-pillow-soft%c2%ae-silicone-putty-ear-plugs", "https://shop.sonapharmacy.com/products/macks%c2%ae-pillow-soft%c2%ae-silicone-putty-ear-plugs")</f>
        <v>https://shop.sonapharmacy.com/products/macks%c2%ae-pillow-soft%c2%ae-silicone-putty-ear-plugs</v>
      </c>
      <c r="C4017" t="s">
        <v>7949</v>
      </c>
      <c r="D4017" t="s">
        <v>11231</v>
      </c>
      <c r="E4017" s="3" t="str">
        <f>HYPERLINK("https://www.amazon.com/Macks-Pillow-Soft-Earplugs-Pair/dp/B001CC8KI4/ref=sr_1_3?keywords=Mack%27s%C2%AE+Pillow+Soft%C2%AE+Silicone+Putty+Ear+Plugs&amp;qid=1695260450&amp;sr=8-3", "https://www.amazon.com/Macks-Pillow-Soft-Earplugs-Pair/dp/B001CC8KI4/ref=sr_1_3?keywords=Mack%27s%C2%AE+Pillow+Soft%C2%AE+Silicone+Putty+Ear+Plugs&amp;qid=1695260450&amp;sr=8-3")</f>
        <v>https://www.amazon.com/Macks-Pillow-Soft-Earplugs-Pair/dp/B001CC8KI4/ref=sr_1_3?keywords=Mack%27s%C2%AE+Pillow+Soft%C2%AE+Silicone+Putty+Ear+Plugs&amp;qid=1695260450&amp;sr=8-3</v>
      </c>
      <c r="F4017" t="s">
        <v>11232</v>
      </c>
      <c r="G4017" t="e">
        <f ca="1">IMAGE("https://shop.sonapharmacy.com/cdn/shop/products/71Rta0uAlwL._AC_SL1500.jpg?v=1609171871")</f>
        <v>#NAME?</v>
      </c>
      <c r="H4017" t="e">
        <f ca="1">IMAGE("https://m.media-amazon.com/images/I/71VCXf2BbjS._AC_UL320_.jpg")</f>
        <v>#NAME?</v>
      </c>
      <c r="I4017" t="s">
        <v>7952</v>
      </c>
      <c r="J4017">
        <v>5.8</v>
      </c>
      <c r="K4017" s="2" t="s">
        <v>11233</v>
      </c>
      <c r="L4017">
        <v>4.5999999999999996</v>
      </c>
      <c r="M4017">
        <v>4182</v>
      </c>
      <c r="O4017" t="s">
        <v>26</v>
      </c>
      <c r="P4017" t="s">
        <v>39</v>
      </c>
      <c r="Q4017" t="s">
        <v>7954</v>
      </c>
    </row>
    <row r="4018" spans="1:17" ht="15.75" x14ac:dyDescent="0.25">
      <c r="A4018" s="3" t="str">
        <f>HYPERLINK("https://shop.sonapharmacy.com/products/metagenics-metakids-baby-probiotic", "https://shop.sonapharmacy.com/products/metagenics-metakids-baby-probiotic")</f>
        <v>https://shop.sonapharmacy.com/products/metagenics-metakids-baby-probiotic</v>
      </c>
      <c r="B4018" s="3" t="str">
        <f>HYPERLINK("https://shop.sonapharmacy.com/products/metagenics-metakids-baby-probiotic", "https://shop.sonapharmacy.com/products/metagenics-metakids-baby-probiotic")</f>
        <v>https://shop.sonapharmacy.com/products/metagenics-metakids-baby-probiotic</v>
      </c>
      <c r="C4018" t="s">
        <v>11234</v>
      </c>
      <c r="D4018" t="s">
        <v>11235</v>
      </c>
      <c r="E4018" s="3" t="str">
        <f>HYPERLINK("https://www.amazon.com/Metagenics-MetaKidsTM-Probiotic-Chewable-Support/dp/B09PXN3QC2/ref=sr_1_4?keywords=Metagenics+MetaKids+Baby+Probiotic&amp;qid=1695260468&amp;sr=8-4", "https://www.amazon.com/Metagenics-MetaKidsTM-Probiotic-Chewable-Support/dp/B09PXN3QC2/ref=sr_1_4?keywords=Metagenics+MetaKids+Baby+Probiotic&amp;qid=1695260468&amp;sr=8-4")</f>
        <v>https://www.amazon.com/Metagenics-MetaKidsTM-Probiotic-Chewable-Support/dp/B09PXN3QC2/ref=sr_1_4?keywords=Metagenics+MetaKids+Baby+Probiotic&amp;qid=1695260468&amp;sr=8-4</v>
      </c>
      <c r="F4018" t="s">
        <v>11236</v>
      </c>
      <c r="G4018" t="e">
        <f ca="1">IMAGE("https://shop.sonapharmacy.com/cdn/shop/products/13211.png?v=1676581823")</f>
        <v>#NAME?</v>
      </c>
      <c r="H4018" t="e">
        <f ca="1">IMAGE("https://m.media-amazon.com/images/I/51bPnV4729L._AC_UL320_.jpg")</f>
        <v>#NAME?</v>
      </c>
      <c r="I4018" t="s">
        <v>11237</v>
      </c>
      <c r="J4018">
        <v>80</v>
      </c>
      <c r="K4018" s="2" t="s">
        <v>11238</v>
      </c>
      <c r="L4018">
        <v>4.9000000000000004</v>
      </c>
      <c r="M4018">
        <v>11</v>
      </c>
      <c r="O4018" t="s">
        <v>26</v>
      </c>
      <c r="P4018" t="s">
        <v>39</v>
      </c>
      <c r="Q4018" t="s">
        <v>11239</v>
      </c>
    </row>
    <row r="4019" spans="1:17" ht="15.75" x14ac:dyDescent="0.25">
      <c r="A4019" s="3" t="str">
        <f>HYPERLINK("https://shop.sonapharmacy.com/products/gold-bond%C2%AE-medicated-extra-strength-body-powder", "https://shop.sonapharmacy.com/products/gold-bond%C2%AE-medicated-extra-strength-body-powder")</f>
        <v>https://shop.sonapharmacy.com/products/gold-bond%C2%AE-medicated-extra-strength-body-powder</v>
      </c>
      <c r="B4019" s="3" t="str">
        <f>HYPERLINK("https://shop.sonapharmacy.com/products/gold-bond%c2%ae-medicated-extra-strength-body-powder", "https://shop.sonapharmacy.com/products/gold-bond%c2%ae-medicated-extra-strength-body-powder")</f>
        <v>https://shop.sonapharmacy.com/products/gold-bond%c2%ae-medicated-extra-strength-body-powder</v>
      </c>
      <c r="C4019" t="s">
        <v>8789</v>
      </c>
      <c r="D4019" t="s">
        <v>11240</v>
      </c>
      <c r="E4019" s="3" t="str">
        <f>HYPERLINK("https://www.amazon.com/Gold-Bond-Strength-Medicated-Powder/dp/B007QEVY5S/ref=sr_1_4?keywords=Gold+Bond%C2%AE+Medicated+Extra+Strength+Body+Powder&amp;qid=1695260345&amp;sr=8-4", "https://www.amazon.com/Gold-Bond-Strength-Medicated-Powder/dp/B007QEVY5S/ref=sr_1_4?keywords=Gold+Bond%C2%AE+Medicated+Extra+Strength+Body+Powder&amp;qid=1695260345&amp;sr=8-4")</f>
        <v>https://www.amazon.com/Gold-Bond-Strength-Medicated-Powder/dp/B007QEVY5S/ref=sr_1_4?keywords=Gold+Bond%C2%AE+Medicated+Extra+Strength+Body+Powder&amp;qid=1695260345&amp;sr=8-4</v>
      </c>
      <c r="F4019" t="s">
        <v>11241</v>
      </c>
      <c r="G4019" t="e">
        <f ca="1">IMAGE("https://shop.sonapharmacy.com/cdn/shop/products/large_a047ca99-d384-45ca-bfaf-e8e86c00ee6b.jpg?v=1608488454")</f>
        <v>#NAME?</v>
      </c>
      <c r="H4019" t="e">
        <f ca="1">IMAGE("https://m.media-amazon.com/images/I/71x7JBQ8yZL._AC_UL320_.jpg")</f>
        <v>#NAME?</v>
      </c>
      <c r="I4019" t="s">
        <v>8792</v>
      </c>
      <c r="J4019">
        <v>21.86</v>
      </c>
      <c r="K4019" s="2" t="s">
        <v>11242</v>
      </c>
      <c r="L4019">
        <v>4.2</v>
      </c>
      <c r="M4019">
        <v>15</v>
      </c>
      <c r="O4019" t="s">
        <v>26</v>
      </c>
      <c r="P4019" t="s">
        <v>39</v>
      </c>
      <c r="Q4019" t="s">
        <v>8794</v>
      </c>
    </row>
    <row r="4020" spans="1:17" ht="15.75" x14ac:dyDescent="0.25">
      <c r="A4020" s="3" t="str">
        <f>HYPERLINK("https://shop.sonapharmacy.com/products/nexcare-tegaderm", "https://shop.sonapharmacy.com/products/nexcare-tegaderm")</f>
        <v>https://shop.sonapharmacy.com/products/nexcare-tegaderm</v>
      </c>
      <c r="B4020" s="3" t="str">
        <f>HYPERLINK("https://shop.sonapharmacy.com/products/nexcare-tegaderm", "https://shop.sonapharmacy.com/products/nexcare-tegaderm")</f>
        <v>https://shop.sonapharmacy.com/products/nexcare-tegaderm</v>
      </c>
      <c r="C4020" t="s">
        <v>11243</v>
      </c>
      <c r="D4020" t="s">
        <v>11244</v>
      </c>
      <c r="E4020" s="3" t="str">
        <f>HYPERLINK("https://www.amazon.com/Nexcare-Tegaderm-Transparent-Dressings-Inches/dp/B01IAIA7CO/ref=sr_1_5?keywords=Nexcare+Tegaderm&amp;qid=1695260581&amp;sr=8-5", "https://www.amazon.com/Nexcare-Tegaderm-Transparent-Dressings-Inches/dp/B01IAIA7CO/ref=sr_1_5?keywords=Nexcare+Tegaderm&amp;qid=1695260581&amp;sr=8-5")</f>
        <v>https://www.amazon.com/Nexcare-Tegaderm-Transparent-Dressings-Inches/dp/B01IAIA7CO/ref=sr_1_5?keywords=Nexcare+Tegaderm&amp;qid=1695260581&amp;sr=8-5</v>
      </c>
      <c r="F4020" t="s">
        <v>11245</v>
      </c>
      <c r="G4020" t="e">
        <f ca="1">IMAGE("https://shop.sonapharmacy.com/cdn/shop/products/us-h1626-tegaderm-waterproof-transparent-dressing.jpg?v=1607203084")</f>
        <v>#NAME?</v>
      </c>
      <c r="H4020" t="e">
        <f ca="1">IMAGE("https://m.media-amazon.com/images/I/71gv+dZZxiS._AC_UL320_.jpg")</f>
        <v>#NAME?</v>
      </c>
      <c r="I4020" t="s">
        <v>11246</v>
      </c>
      <c r="J4020">
        <v>39.33</v>
      </c>
      <c r="K4020" s="2" t="s">
        <v>11247</v>
      </c>
      <c r="L4020">
        <v>4.5</v>
      </c>
      <c r="M4020">
        <v>31</v>
      </c>
      <c r="O4020" t="s">
        <v>26</v>
      </c>
      <c r="P4020" t="s">
        <v>39</v>
      </c>
      <c r="Q4020" t="s">
        <v>11248</v>
      </c>
    </row>
    <row r="4021" spans="1:17" ht="15.75" x14ac:dyDescent="0.25">
      <c r="A4021" s="3" t="str">
        <f>HYPERLINK("https://shop.sonapharmacy.com/products/nova%C2%AE-male-urinal-with-cover", "https://shop.sonapharmacy.com/products/nova%C2%AE-male-urinal-with-cover")</f>
        <v>https://shop.sonapharmacy.com/products/nova%C2%AE-male-urinal-with-cover</v>
      </c>
      <c r="B4021" s="3" t="str">
        <f>HYPERLINK("https://shop.sonapharmacy.com/products/nova%c2%ae-male-urinal-with-cover", "https://shop.sonapharmacy.com/products/nova%c2%ae-male-urinal-with-cover")</f>
        <v>https://shop.sonapharmacy.com/products/nova%c2%ae-male-urinal-with-cover</v>
      </c>
      <c r="C4021" t="s">
        <v>9545</v>
      </c>
      <c r="D4021" t="s">
        <v>11249</v>
      </c>
      <c r="E4021" s="3" t="str">
        <f>HYPERLINK("https://www.amazon.com/Portable-Bottles-Hospitals-Incontinence-Emergency/dp/B0B5HMCXV5/ref=sr_1_3?keywords=Nova%C2%AE+Male+Urinal+with+Cover&amp;qid=1695260595&amp;sr=8-3", "https://www.amazon.com/Portable-Bottles-Hospitals-Incontinence-Emergency/dp/B0B5HMCXV5/ref=sr_1_3?keywords=Nova%C2%AE+Male+Urinal+with+Cover&amp;qid=1695260595&amp;sr=8-3")</f>
        <v>https://www.amazon.com/Portable-Bottles-Hospitals-Incontinence-Emergency/dp/B0B5HMCXV5/ref=sr_1_3?keywords=Nova%C2%AE+Male+Urinal+with+Cover&amp;qid=1695260595&amp;sr=8-3</v>
      </c>
      <c r="F4021" t="s">
        <v>11250</v>
      </c>
      <c r="G4021" t="e">
        <f ca="1">IMAGE("https://shop.sonapharmacy.com/cdn/shop/products/51W9mKzt_KL._AC_SL1500.jpg?v=1611079643")</f>
        <v>#NAME?</v>
      </c>
      <c r="H4021" t="e">
        <f ca="1">IMAGE("https://m.media-amazon.com/images/I/51WCf5O0nQL._AC_UL320_.jpg")</f>
        <v>#NAME?</v>
      </c>
      <c r="I4021" t="s">
        <v>9548</v>
      </c>
      <c r="J4021">
        <v>19.989999999999998</v>
      </c>
      <c r="K4021" s="2" t="s">
        <v>11251</v>
      </c>
      <c r="L4021">
        <v>4.4000000000000004</v>
      </c>
      <c r="M4021">
        <v>466</v>
      </c>
      <c r="O4021" t="s">
        <v>26</v>
      </c>
      <c r="P4021" t="s">
        <v>39</v>
      </c>
      <c r="Q4021" t="s">
        <v>9550</v>
      </c>
    </row>
    <row r="4022" spans="1:17" ht="15.75" x14ac:dyDescent="0.25">
      <c r="A4022" s="3" t="str">
        <f>HYPERLINK("https://shop.sonapharmacy.com/products/mueller%C2%AE-adjustable-back-brace-with-lumbar-pad-regular", "https://shop.sonapharmacy.com/products/mueller%C2%AE-adjustable-back-brace-with-lumbar-pad-regular")</f>
        <v>https://shop.sonapharmacy.com/products/mueller%C2%AE-adjustable-back-brace-with-lumbar-pad-regular</v>
      </c>
      <c r="B4022" s="3" t="str">
        <f>HYPERLINK("https://shop.sonapharmacy.com/products/mueller%c2%ae-adjustable-back-brace-with-lumbar-pad-regular", "https://shop.sonapharmacy.com/products/mueller%c2%ae-adjustable-back-brace-with-lumbar-pad-regular")</f>
        <v>https://shop.sonapharmacy.com/products/mueller%c2%ae-adjustable-back-brace-with-lumbar-pad-regular</v>
      </c>
      <c r="C4022" t="s">
        <v>11252</v>
      </c>
      <c r="D4022" t="s">
        <v>11253</v>
      </c>
      <c r="E4022" s="3" t="str">
        <f>HYPERLINK("https://www.amazon.com/Mueller-Sport-Adjustable-Lumbar-255/dp/B01IAHXSU8/ref=sr_1_3?keywords=Mueller%C2%AE+Adjustable+Back+Brace+with+Lumbar+Pad+Regular&amp;qid=1695260513&amp;sr=8-3", "https://www.amazon.com/Mueller-Sport-Adjustable-Lumbar-255/dp/B01IAHXSU8/ref=sr_1_3?keywords=Mueller%C2%AE+Adjustable+Back+Brace+with+Lumbar+Pad+Regular&amp;qid=1695260513&amp;sr=8-3")</f>
        <v>https://www.amazon.com/Mueller-Sport-Adjustable-Lumbar-255/dp/B01IAHXSU8/ref=sr_1_3?keywords=Mueller%C2%AE+Adjustable+Back+Brace+with+Lumbar+Pad+Regular&amp;qid=1695260513&amp;sr=8-3</v>
      </c>
      <c r="F4022" t="s">
        <v>11254</v>
      </c>
      <c r="G4022" t="e">
        <f ca="1">IMAGE("https://shop.sonapharmacy.com/cdn/shop/products/3aa38238-1758-478a-9587-ade8e0fa6948_1.c46fc68f18453e999b2cf9a0edf5b2c3.jpg?v=1609873447")</f>
        <v>#NAME?</v>
      </c>
      <c r="H4022" t="e">
        <f ca="1">IMAGE("https://m.media-amazon.com/images/I/61bs1Ete3qL._AC_UL320_.jpg")</f>
        <v>#NAME?</v>
      </c>
      <c r="I4022" t="s">
        <v>11255</v>
      </c>
      <c r="J4022">
        <v>74.989999999999995</v>
      </c>
      <c r="K4022" s="2" t="s">
        <v>11256</v>
      </c>
      <c r="L4022">
        <v>5</v>
      </c>
      <c r="M4022">
        <v>1</v>
      </c>
      <c r="O4022" t="s">
        <v>26</v>
      </c>
      <c r="P4022" t="s">
        <v>39</v>
      </c>
      <c r="Q4022" t="s">
        <v>11257</v>
      </c>
    </row>
    <row r="4023" spans="1:17" ht="15.75" x14ac:dyDescent="0.25">
      <c r="A4023" s="3" t="str">
        <f>HYPERLINK("https://shop.sonapharmacy.com/products/sun-bum%C2%AE-mineral-spf-30-tinted-sunscreen-face-lotion-1-7oz", "https://shop.sonapharmacy.com/products/sun-bum%C2%AE-mineral-spf-30-tinted-sunscreen-face-lotion-1-7oz")</f>
        <v>https://shop.sonapharmacy.com/products/sun-bum%C2%AE-mineral-spf-30-tinted-sunscreen-face-lotion-1-7oz</v>
      </c>
      <c r="B4023" s="3" t="str">
        <f>HYPERLINK("https://shop.sonapharmacy.com/products/sun-bum%c2%ae-mineral-spf-30-tinted-sunscreen-face-lotion-1-7oz", "https://shop.sonapharmacy.com/products/sun-bum%c2%ae-mineral-spf-30-tinted-sunscreen-face-lotion-1-7oz")</f>
        <v>https://shop.sonapharmacy.com/products/sun-bum%c2%ae-mineral-spf-30-tinted-sunscreen-face-lotion-1-7oz</v>
      </c>
      <c r="C4023" t="s">
        <v>11258</v>
      </c>
      <c r="D4023" t="s">
        <v>11259</v>
      </c>
      <c r="E4023" s="3" t="str">
        <f>HYPERLINK("https://www.amazon.com/Love-Sun-Body-Moisturizer-Fragrance-Free/dp/B0B46ZJQNT/ref=sr_1_9?keywords=Sun+Bum%C2%AE+Mineral+SPF+30+Tinted+Sunscreen+Face+Lotion+1.7oz&amp;qid=1695260766&amp;sr=8-9", "https://www.amazon.com/Love-Sun-Body-Moisturizer-Fragrance-Free/dp/B0B46ZJQNT/ref=sr_1_9?keywords=Sun+Bum%C2%AE+Mineral+SPF+30+Tinted+Sunscreen+Face+Lotion+1.7oz&amp;qid=1695260766&amp;sr=8-9")</f>
        <v>https://www.amazon.com/Love-Sun-Body-Moisturizer-Fragrance-Free/dp/B0B46ZJQNT/ref=sr_1_9?keywords=Sun+Bum%C2%AE+Mineral+SPF+30+Tinted+Sunscreen+Face+Lotion+1.7oz&amp;qid=1695260766&amp;sr=8-9</v>
      </c>
      <c r="F4023" t="s">
        <v>11260</v>
      </c>
      <c r="G4023" t="e">
        <f ca="1">IMAGE("https://shop.sonapharmacy.com/cdn/shop/products/sunbum12389mineral.jpg?v=1629233395")</f>
        <v>#NAME?</v>
      </c>
      <c r="H4023" t="e">
        <f ca="1">IMAGE("https://m.media-amazon.com/images/I/71YagyrRyfL._AC_UL320_.jpg")</f>
        <v>#NAME?</v>
      </c>
      <c r="I4023" t="s">
        <v>4814</v>
      </c>
      <c r="J4023">
        <v>38</v>
      </c>
      <c r="K4023" s="2" t="s">
        <v>11261</v>
      </c>
      <c r="L4023">
        <v>3.9</v>
      </c>
      <c r="M4023">
        <v>31</v>
      </c>
      <c r="O4023" t="s">
        <v>26</v>
      </c>
      <c r="P4023" t="s">
        <v>39</v>
      </c>
      <c r="Q4023" t="s">
        <v>11262</v>
      </c>
    </row>
    <row r="4024" spans="1:17" ht="15.75" x14ac:dyDescent="0.25">
      <c r="A4024" s="3" t="str">
        <f>HYPERLINK("https://shop.sonapharmacy.com/products/eos%C2%AE-strawberry-sorbet-lip-balm", "https://shop.sonapharmacy.com/products/eos%C2%AE-strawberry-sorbet-lip-balm")</f>
        <v>https://shop.sonapharmacy.com/products/eos%C2%AE-strawberry-sorbet-lip-balm</v>
      </c>
      <c r="B4024" s="3" t="str">
        <f>HYPERLINK("https://shop.sonapharmacy.com/products/eos%c2%ae-strawberry-sorbet-lip-balm", "https://shop.sonapharmacy.com/products/eos%c2%ae-strawberry-sorbet-lip-balm")</f>
        <v>https://shop.sonapharmacy.com/products/eos%c2%ae-strawberry-sorbet-lip-balm</v>
      </c>
      <c r="C4024" t="s">
        <v>8408</v>
      </c>
      <c r="D4024" t="s">
        <v>11263</v>
      </c>
      <c r="E4024" s="3" t="str">
        <f>HYPERLINK("https://www.amazon.com/eos-Strawberry-Dermatologist-Recommended-Sensitive/dp/B0BXC1J2PM/ref=sr_1_7?keywords=EOS%C2%AE+Strawberry+Sorbet+Lip+Balm&amp;qid=1695260249&amp;sr=8-7", "https://www.amazon.com/eos-Strawberry-Dermatologist-Recommended-Sensitive/dp/B0BXC1J2PM/ref=sr_1_7?keywords=EOS%C2%AE+Strawberry+Sorbet+Lip+Balm&amp;qid=1695260249&amp;sr=8-7")</f>
        <v>https://www.amazon.com/eos-Strawberry-Dermatologist-Recommended-Sensitive/dp/B0BXC1J2PM/ref=sr_1_7?keywords=EOS%C2%AE+Strawberry+Sorbet+Lip+Balm&amp;qid=1695260249&amp;sr=8-7</v>
      </c>
      <c r="F4024" t="s">
        <v>11264</v>
      </c>
      <c r="G4024" t="e">
        <f ca="1">IMAGE("https://shop.sonapharmacy.com/cdn/shop/products/892992002847-1a_VB__70684.1610588860.jpg?v=1610642796")</f>
        <v>#NAME?</v>
      </c>
      <c r="H4024" t="e">
        <f ca="1">IMAGE("https://m.media-amazon.com/images/I/81v5mIRAc3L._AC_UL320_.jpg")</f>
        <v>#NAME?</v>
      </c>
      <c r="I4024" t="s">
        <v>8411</v>
      </c>
      <c r="J4024">
        <v>8.41</v>
      </c>
      <c r="K4024" s="2" t="s">
        <v>11265</v>
      </c>
      <c r="L4024">
        <v>5</v>
      </c>
      <c r="M4024">
        <v>2</v>
      </c>
      <c r="O4024" t="s">
        <v>26</v>
      </c>
      <c r="P4024" t="s">
        <v>39</v>
      </c>
      <c r="Q4024" t="s">
        <v>8413</v>
      </c>
    </row>
    <row r="4025" spans="1:17" ht="15.75" x14ac:dyDescent="0.25">
      <c r="A4025" s="3" t="str">
        <f>HYPERLINK("https://shop.sonapharmacy.com/products/lotrimin%C2%AE-af-miconazole-nitrate-antifungal-powder-spray-4-6oz", "https://shop.sonapharmacy.com/products/lotrimin%C2%AE-af-miconazole-nitrate-antifungal-powder-spray-4-6oz")</f>
        <v>https://shop.sonapharmacy.com/products/lotrimin%C2%AE-af-miconazole-nitrate-antifungal-powder-spray-4-6oz</v>
      </c>
      <c r="B4025" s="3" t="str">
        <f>HYPERLINK("https://shop.sonapharmacy.com/products/lotrimin%c2%ae-af-miconazole-nitrate-antifungal-powder-spray-4-6oz", "https://shop.sonapharmacy.com/products/lotrimin%c2%ae-af-miconazole-nitrate-antifungal-powder-spray-4-6oz")</f>
        <v>https://shop.sonapharmacy.com/products/lotrimin%c2%ae-af-miconazole-nitrate-antifungal-powder-spray-4-6oz</v>
      </c>
      <c r="C4025" t="s">
        <v>11266</v>
      </c>
      <c r="D4025" t="s">
        <v>10250</v>
      </c>
      <c r="E4025" s="3" t="str">
        <f>HYPERLINK("https://www.amazon.com/Lotrimin-Deodorant-Antifungal-Miconazole-Clinically/dp/B0039NN80O/ref=sr_1_4?keywords=Lotrimin%C2%AE+AF+Miconazole+Nitrate+Antifungal+Powder+Spray+4.6oz.&amp;qid=1695260454&amp;sr=8-4", "https://www.amazon.com/Lotrimin-Deodorant-Antifungal-Miconazole-Clinically/dp/B0039NN80O/ref=sr_1_4?keywords=Lotrimin%C2%AE+AF+Miconazole+Nitrate+Antifungal+Powder+Spray+4.6oz.&amp;qid=1695260454&amp;sr=8-4")</f>
        <v>https://www.amazon.com/Lotrimin-Deodorant-Antifungal-Miconazole-Clinically/dp/B0039NN80O/ref=sr_1_4?keywords=Lotrimin%C2%AE+AF+Miconazole+Nitrate+Antifungal+Powder+Spray+4.6oz.&amp;qid=1695260454&amp;sr=8-4</v>
      </c>
      <c r="F4025" t="s">
        <v>10251</v>
      </c>
      <c r="G4025" t="e">
        <f ca="1">IMAGE("https://shop.sonapharmacy.com/cdn/shop/products/81uLeasGK_L._SL1500.jpg?v=1610337134")</f>
        <v>#NAME?</v>
      </c>
      <c r="H4025" t="e">
        <f ca="1">IMAGE("https://m.media-amazon.com/images/I/814-a3B3zcL._AC_UL320_.jpg")</f>
        <v>#NAME?</v>
      </c>
      <c r="I4025" t="s">
        <v>11267</v>
      </c>
      <c r="J4025">
        <v>26.31</v>
      </c>
      <c r="K4025" s="2" t="s">
        <v>11268</v>
      </c>
      <c r="L4025">
        <v>4.5999999999999996</v>
      </c>
      <c r="M4025">
        <v>8880</v>
      </c>
      <c r="O4025" t="s">
        <v>26</v>
      </c>
      <c r="P4025" t="s">
        <v>39</v>
      </c>
      <c r="Q4025" t="s">
        <v>11269</v>
      </c>
    </row>
    <row r="4026" spans="1:17" ht="15.75" x14ac:dyDescent="0.25">
      <c r="A4026" s="3" t="str">
        <f>HYPERLINK("https://shop.sonapharmacy.com/products/prevagen-regular-strength-10-mg-capsules", "https://shop.sonapharmacy.com/products/prevagen-regular-strength-10-mg-capsules")</f>
        <v>https://shop.sonapharmacy.com/products/prevagen-regular-strength-10-mg-capsules</v>
      </c>
      <c r="B4026" s="3" t="str">
        <f>HYPERLINK("https://shop.sonapharmacy.com/products/prevagen-regular-strength-10-mg-capsules", "https://shop.sonapharmacy.com/products/prevagen-regular-strength-10-mg-capsules")</f>
        <v>https://shop.sonapharmacy.com/products/prevagen-regular-strength-10-mg-capsules</v>
      </c>
      <c r="C4026" t="s">
        <v>8872</v>
      </c>
      <c r="D4026" t="s">
        <v>11270</v>
      </c>
      <c r="E4026" s="3" t="str">
        <f>HYPERLINK("https://www.amazon.com/Prevagen-Improves-Memory-Apoaequorin-Supplement/dp/B084ZWMZR5/ref=sr_1_4?keywords=Prevagen+Regular+Strength+10+mg+Capsules+30+ct.&amp;qid=1695260646&amp;sr=8-4", "https://www.amazon.com/Prevagen-Improves-Memory-Apoaequorin-Supplement/dp/B084ZWMZR5/ref=sr_1_4?keywords=Prevagen+Regular+Strength+10+mg+Capsules+30+ct.&amp;qid=1695260646&amp;sr=8-4")</f>
        <v>https://www.amazon.com/Prevagen-Improves-Memory-Apoaequorin-Supplement/dp/B084ZWMZR5/ref=sr_1_4?keywords=Prevagen+Regular+Strength+10+mg+Capsules+30+ct.&amp;qid=1695260646&amp;sr=8-4</v>
      </c>
      <c r="F4026" t="s">
        <v>11271</v>
      </c>
      <c r="G4026" t="e">
        <f ca="1">IMAGE("https://shop.sonapharmacy.com/cdn/shop/products/Prevagen.jpg?v=1628795146")</f>
        <v>#NAME?</v>
      </c>
      <c r="H4026" t="e">
        <f ca="1">IMAGE("https://m.media-amazon.com/images/I/81fdhUHTa0L._AC_UL320_.jpg")</f>
        <v>#NAME?</v>
      </c>
      <c r="I4026" t="s">
        <v>6516</v>
      </c>
      <c r="J4026">
        <v>73.900000000000006</v>
      </c>
      <c r="K4026" s="2" t="s">
        <v>11272</v>
      </c>
      <c r="L4026">
        <v>4.4000000000000004</v>
      </c>
      <c r="M4026">
        <v>4152</v>
      </c>
      <c r="O4026" t="s">
        <v>39</v>
      </c>
      <c r="P4026" t="s">
        <v>39</v>
      </c>
      <c r="Q4026" t="s">
        <v>8876</v>
      </c>
    </row>
    <row r="4027" spans="1:17" ht="15.75" x14ac:dyDescent="0.25">
      <c r="A4027" s="3" t="str">
        <f>HYPERLINK("https://shop.sonapharmacy.com/products/afrin%C2%AE-original", "https://shop.sonapharmacy.com/products/afrin%C2%AE-original")</f>
        <v>https://shop.sonapharmacy.com/products/afrin%C2%AE-original</v>
      </c>
      <c r="B4027" s="3" t="str">
        <f>HYPERLINK("https://shop.sonapharmacy.com/products/afrin%c2%ae-original", "https://shop.sonapharmacy.com/products/afrin%c2%ae-original")</f>
        <v>https://shop.sonapharmacy.com/products/afrin%c2%ae-original</v>
      </c>
      <c r="C4027" t="s">
        <v>8143</v>
      </c>
      <c r="D4027" t="s">
        <v>11273</v>
      </c>
      <c r="E4027" s="3" t="str">
        <f>HYPERLINK("https://www.amazon.com/Afrin-Original-Nasal-Spray-Congestion/dp/B00JGBQ792/ref=sr_1_1?keywords=Afrin+Original+Nasal+Spray&amp;qid=1695260003&amp;sr=8-1", "https://www.amazon.com/Afrin-Original-Nasal-Spray-Congestion/dp/B00JGBQ792/ref=sr_1_1?keywords=Afrin+Original+Nasal+Spray&amp;qid=1695260003&amp;sr=8-1")</f>
        <v>https://www.amazon.com/Afrin-Original-Nasal-Spray-Congestion/dp/B00JGBQ792/ref=sr_1_1?keywords=Afrin+Original+Nasal+Spray&amp;qid=1695260003&amp;sr=8-1</v>
      </c>
      <c r="F4027" t="s">
        <v>11274</v>
      </c>
      <c r="G4027" t="e">
        <f ca="1">IMAGE("https://shop.sonapharmacy.com/cdn/shop/products/81lfsEyuTvL._AC_SL1500.jpg?v=1611182746")</f>
        <v>#NAME?</v>
      </c>
      <c r="H4027" t="e">
        <f ca="1">IMAGE("https://m.media-amazon.com/images/I/81sI6rLIM-L._AC_UL320_.jpg")</f>
        <v>#NAME?</v>
      </c>
      <c r="I4027" t="s">
        <v>4275</v>
      </c>
      <c r="J4027">
        <v>26.49</v>
      </c>
      <c r="K4027" s="2" t="s">
        <v>11275</v>
      </c>
      <c r="L4027">
        <v>4.0999999999999996</v>
      </c>
      <c r="M4027">
        <v>51</v>
      </c>
      <c r="O4027" t="s">
        <v>26</v>
      </c>
      <c r="P4027" t="s">
        <v>39</v>
      </c>
      <c r="Q4027" t="s">
        <v>8147</v>
      </c>
    </row>
    <row r="4028" spans="1:17" ht="15.75" x14ac:dyDescent="0.25">
      <c r="A4028" s="3" t="str">
        <f>HYPERLINK("https://shop.sonapharmacy.com/products/curad-flex-fabric-bandages", "https://shop.sonapharmacy.com/products/curad-flex-fabric-bandages")</f>
        <v>https://shop.sonapharmacy.com/products/curad-flex-fabric-bandages</v>
      </c>
      <c r="B4028" s="3" t="str">
        <f>HYPERLINK("https://shop.sonapharmacy.com/products/curad-flex-fabric-bandages", "https://shop.sonapharmacy.com/products/curad-flex-fabric-bandages")</f>
        <v>https://shop.sonapharmacy.com/products/curad-flex-fabric-bandages</v>
      </c>
      <c r="C4028" t="s">
        <v>10355</v>
      </c>
      <c r="D4028" t="s">
        <v>11276</v>
      </c>
      <c r="E4028" s="3" t="str">
        <f>HYPERLINK("https://www.amazon.com/Medline-NON25660Z-Bandage-Adhesive-Fabric/dp/B003WP3U84/ref=sr_1_1?keywords=Curad%C2%AE+Flex-Fabric+Bandages&amp;qid=1695260173&amp;sr=8-1", "https://www.amazon.com/Medline-NON25660Z-Bandage-Adhesive-Fabric/dp/B003WP3U84/ref=sr_1_1?keywords=Curad%C2%AE+Flex-Fabric+Bandages&amp;qid=1695260173&amp;sr=8-1")</f>
        <v>https://www.amazon.com/Medline-NON25660Z-Bandage-Adhesive-Fabric/dp/B003WP3U84/ref=sr_1_1?keywords=Curad%C2%AE+Flex-Fabric+Bandages&amp;qid=1695260173&amp;sr=8-1</v>
      </c>
      <c r="F4028" t="s">
        <v>11277</v>
      </c>
      <c r="G4028" t="e">
        <f ca="1">IMAGE("https://shop.sonapharmacy.com/cdn/shop/products/flexstrip.png?v=1607709917")</f>
        <v>#NAME?</v>
      </c>
      <c r="H4028" t="e">
        <f ca="1">IMAGE("https://m.media-amazon.com/images/I/71gpcB+de-L._AC_UL320_.jpg")</f>
        <v>#NAME?</v>
      </c>
      <c r="I4028" t="s">
        <v>8680</v>
      </c>
      <c r="J4028">
        <v>9.44</v>
      </c>
      <c r="K4028" s="2" t="s">
        <v>11278</v>
      </c>
      <c r="L4028">
        <v>4.8</v>
      </c>
      <c r="M4028">
        <v>1116</v>
      </c>
      <c r="O4028" t="s">
        <v>26</v>
      </c>
      <c r="P4028" t="s">
        <v>39</v>
      </c>
      <c r="Q4028" t="s">
        <v>10359</v>
      </c>
    </row>
    <row r="4029" spans="1:17" ht="15.75" x14ac:dyDescent="0.25">
      <c r="A4029" s="3" t="str">
        <f>HYPERLINK("https://shop.sonapharmacy.com/products/natural-vitality%C2%AE-calm-magnesium-supplement-raspberry-lemon-powder-8oz", "https://shop.sonapharmacy.com/products/natural-vitality%C2%AE-calm-magnesium-supplement-raspberry-lemon-powder-8oz")</f>
        <v>https://shop.sonapharmacy.com/products/natural-vitality%C2%AE-calm-magnesium-supplement-raspberry-lemon-powder-8oz</v>
      </c>
      <c r="B4029" s="3" t="str">
        <f>HYPERLINK("https://shop.sonapharmacy.com/products/natural-vitality%c2%ae-calm-magnesium-supplement-raspberry-lemon-powder-8oz", "https://shop.sonapharmacy.com/products/natural-vitality%c2%ae-calm-magnesium-supplement-raspberry-lemon-powder-8oz")</f>
        <v>https://shop.sonapharmacy.com/products/natural-vitality%c2%ae-calm-magnesium-supplement-raspberry-lemon-powder-8oz</v>
      </c>
      <c r="C4029" t="s">
        <v>11279</v>
      </c>
      <c r="D4029" t="s">
        <v>11280</v>
      </c>
      <c r="E4029" s="3" t="str">
        <f>HYPERLINK("https://www.amazon.com/Vitality-Magnesium-Supplement-Anti-Stress-Raspberry/dp/B0BF78BT7H/ref=sr_1_5?keywords=Natural+Vitality%C2%AE+CALM+Magnesium+Supplement+Raspberry-Lemon+Powder+8oz.&amp;qid=1695260522&amp;sr=8-5", "https://www.amazon.com/Vitality-Magnesium-Supplement-Anti-Stress-Raspberry/dp/B0BF78BT7H/ref=sr_1_5?keywords=Natural+Vitality%C2%AE+CALM+Magnesium+Supplement+Raspberry-Lemon+Powder+8oz.&amp;qid=1695260522&amp;sr=8-5")</f>
        <v>https://www.amazon.com/Vitality-Magnesium-Supplement-Anti-Stress-Raspberry/dp/B0BF78BT7H/ref=sr_1_5?keywords=Natural+Vitality%C2%AE+CALM+Magnesium+Supplement+Raspberry-Lemon+Powder+8oz.&amp;qid=1695260522&amp;sr=8-5</v>
      </c>
      <c r="F4029" t="s">
        <v>11281</v>
      </c>
      <c r="G4029" t="e">
        <f ca="1">IMAGE("https://shop.sonapharmacy.com/cdn/shop/products/53ba39ee-f0fe-4ad1-987f-3f943ef74b6e.cddadaee066a3c33345682b8472c7f72.jpg?v=1611021342")</f>
        <v>#NAME?</v>
      </c>
      <c r="H4029" t="e">
        <f ca="1">IMAGE("https://m.media-amazon.com/images/I/61XQSlpvKaL._AC_UL320_.jpg")</f>
        <v>#NAME?</v>
      </c>
      <c r="I4029" t="s">
        <v>11282</v>
      </c>
      <c r="J4029">
        <v>49.95</v>
      </c>
      <c r="K4029" s="2" t="s">
        <v>11283</v>
      </c>
      <c r="L4029">
        <v>3.7</v>
      </c>
      <c r="M4029">
        <v>10</v>
      </c>
      <c r="O4029" t="s">
        <v>26</v>
      </c>
      <c r="P4029" t="s">
        <v>39</v>
      </c>
      <c r="Q4029" t="s">
        <v>11284</v>
      </c>
    </row>
    <row r="4030" spans="1:17" ht="15.75" x14ac:dyDescent="0.25">
      <c r="A4030" s="3" t="str">
        <f>HYPERLINK("https://shop.sonapharmacy.com/products/fruit-of-the-earth-aloe-vera-100-gel-6oz", "https://shop.sonapharmacy.com/products/fruit-of-the-earth-aloe-vera-100-gel-6oz")</f>
        <v>https://shop.sonapharmacy.com/products/fruit-of-the-earth-aloe-vera-100-gel-6oz</v>
      </c>
      <c r="B4030" s="3" t="str">
        <f>HYPERLINK("https://shop.sonapharmacy.com/products/fruit-of-the-earth-aloe-vera-100-gel-6oz", "https://shop.sonapharmacy.com/products/fruit-of-the-earth-aloe-vera-100-gel-6oz")</f>
        <v>https://shop.sonapharmacy.com/products/fruit-of-the-earth-aloe-vera-100-gel-6oz</v>
      </c>
      <c r="C4030" t="s">
        <v>8763</v>
      </c>
      <c r="D4030" t="s">
        <v>11285</v>
      </c>
      <c r="E4030" s="3" t="str">
        <f>HYPERLINK("https://www.amazon.com/Fruit-Earth-Aloe-Vera-100/dp/B00169OIPC/ref=sr_1_1?keywords=Fruit+Of+The+Earth+Aloe+Vera+100%25+Gel+6oz.&amp;qid=1695260255&amp;sr=8-1", "https://www.amazon.com/Fruit-Earth-Aloe-Vera-100/dp/B00169OIPC/ref=sr_1_1?keywords=Fruit+Of+The+Earth+Aloe+Vera+100%25+Gel+6oz.&amp;qid=1695260255&amp;sr=8-1")</f>
        <v>https://www.amazon.com/Fruit-Earth-Aloe-Vera-100/dp/B00169OIPC/ref=sr_1_1?keywords=Fruit+Of+The+Earth+Aloe+Vera+100%25+Gel+6oz.&amp;qid=1695260255&amp;sr=8-1</v>
      </c>
      <c r="F4030" t="s">
        <v>11286</v>
      </c>
      <c r="G4030" t="e">
        <f ca="1">IMAGE("https://shop.sonapharmacy.com/cdn/shop/products/aloevera.jpg?v=1607965506")</f>
        <v>#NAME?</v>
      </c>
      <c r="H4030" t="e">
        <f ca="1">IMAGE("https://m.media-amazon.com/images/I/61QSJCr56sL._AC_UL320_.jpg")</f>
        <v>#NAME?</v>
      </c>
      <c r="I4030" t="s">
        <v>8766</v>
      </c>
      <c r="J4030">
        <v>9.99</v>
      </c>
      <c r="K4030" s="2" t="s">
        <v>11283</v>
      </c>
      <c r="L4030">
        <v>4.7</v>
      </c>
      <c r="M4030">
        <v>549</v>
      </c>
      <c r="O4030" t="s">
        <v>26</v>
      </c>
      <c r="P4030" t="s">
        <v>39</v>
      </c>
      <c r="Q4030" t="s">
        <v>8768</v>
      </c>
    </row>
    <row r="4031" spans="1:17" ht="15.75" x14ac:dyDescent="0.25">
      <c r="A4031" s="3" t="str">
        <f>HYPERLINK("https://shop.sonapharmacy.com/products/lotrimin%C2%AE-af-miconazole-nitrate-antifungal-powder-spray-4-6oz", "https://shop.sonapharmacy.com/products/lotrimin%C2%AE-af-miconazole-nitrate-antifungal-powder-spray-4-6oz")</f>
        <v>https://shop.sonapharmacy.com/products/lotrimin%C2%AE-af-miconazole-nitrate-antifungal-powder-spray-4-6oz</v>
      </c>
      <c r="B4031" s="3" t="str">
        <f>HYPERLINK("https://shop.sonapharmacy.com/products/lotrimin%c2%ae-af-miconazole-nitrate-antifungal-powder-spray-4-6oz", "https://shop.sonapharmacy.com/products/lotrimin%c2%ae-af-miconazole-nitrate-antifungal-powder-spray-4-6oz")</f>
        <v>https://shop.sonapharmacy.com/products/lotrimin%c2%ae-af-miconazole-nitrate-antifungal-powder-spray-4-6oz</v>
      </c>
      <c r="C4031" t="s">
        <v>11266</v>
      </c>
      <c r="D4031" t="s">
        <v>11287</v>
      </c>
      <c r="E4031" s="3" t="str">
        <f>HYPERLINK("https://www.amazon.com/Lotrimin-Antifungal-Miconazole-Clinically-Effective/dp/B0039NN81S/ref=sr_1_3?keywords=Lotrimin%C2%AE+AF+Miconazole+Nitrate+Antifungal+Powder+Spray+4.6oz.&amp;qid=1695260454&amp;rdc=1&amp;sr=8-3", "https://www.amazon.com/Lotrimin-Antifungal-Miconazole-Clinically-Effective/dp/B0039NN81S/ref=sr_1_3?keywords=Lotrimin%C2%AE+AF+Miconazole+Nitrate+Antifungal+Powder+Spray+4.6oz.&amp;qid=1695260454&amp;rdc=1&amp;sr=8-3")</f>
        <v>https://www.amazon.com/Lotrimin-Antifungal-Miconazole-Clinically-Effective/dp/B0039NN81S/ref=sr_1_3?keywords=Lotrimin%C2%AE+AF+Miconazole+Nitrate+Antifungal+Powder+Spray+4.6oz.&amp;qid=1695260454&amp;rdc=1&amp;sr=8-3</v>
      </c>
      <c r="F4031" t="s">
        <v>11288</v>
      </c>
      <c r="G4031" t="e">
        <f ca="1">IMAGE("https://shop.sonapharmacy.com/cdn/shop/products/81uLeasGK_L._SL1500.jpg?v=1610337134")</f>
        <v>#NAME?</v>
      </c>
      <c r="H4031" t="e">
        <f ca="1">IMAGE("https://m.media-amazon.com/images/I/81+WiTMkfCL._AC_UL320_.jpg")</f>
        <v>#NAME?</v>
      </c>
      <c r="I4031" t="s">
        <v>11267</v>
      </c>
      <c r="J4031">
        <v>26.01</v>
      </c>
      <c r="K4031" s="2" t="s">
        <v>11289</v>
      </c>
      <c r="L4031">
        <v>4.5999999999999996</v>
      </c>
      <c r="M4031">
        <v>11066</v>
      </c>
      <c r="O4031" t="s">
        <v>26</v>
      </c>
      <c r="P4031" t="s">
        <v>39</v>
      </c>
      <c r="Q4031" t="s">
        <v>11269</v>
      </c>
    </row>
    <row r="4032" spans="1:17" ht="15.75" x14ac:dyDescent="0.25">
      <c r="A4032" s="3" t="str">
        <f>HYPERLINK("https://shop.sonapharmacy.com/products/lice-shield-shampoo-conditioner", "https://shop.sonapharmacy.com/products/lice-shield-shampoo-conditioner")</f>
        <v>https://shop.sonapharmacy.com/products/lice-shield-shampoo-conditioner</v>
      </c>
      <c r="B4032" s="3" t="str">
        <f>HYPERLINK("https://shop.sonapharmacy.com/products/lice-shield-shampoo-conditioner", "https://shop.sonapharmacy.com/products/lice-shield-shampoo-conditioner")</f>
        <v>https://shop.sonapharmacy.com/products/lice-shield-shampoo-conditioner</v>
      </c>
      <c r="C4032" t="s">
        <v>11290</v>
      </c>
      <c r="D4032" t="s">
        <v>11291</v>
      </c>
      <c r="E4032" s="3" t="str">
        <f>HYPERLINK("https://www.amazon.com/Lice-Shield-Shampoo-Conditioner-10/dp/B00JISMSG4/ref=sr_1_4?keywords=Lice+Shield+Shampoo&amp;qid=1695260434&amp;sr=8-4", "https://www.amazon.com/Lice-Shield-Shampoo-Conditioner-10/dp/B00JISMSG4/ref=sr_1_4?keywords=Lice+Shield+Shampoo&amp;qid=1695260434&amp;sr=8-4")</f>
        <v>https://www.amazon.com/Lice-Shield-Shampoo-Conditioner-10/dp/B00JISMSG4/ref=sr_1_4?keywords=Lice+Shield+Shampoo&amp;qid=1695260434&amp;sr=8-4</v>
      </c>
      <c r="F4032" t="s">
        <v>11292</v>
      </c>
      <c r="G4032" t="e">
        <f ca="1">IMAGE("https://shop.sonapharmacy.com/cdn/shop/products/liceshield.jpg?v=1608136014")</f>
        <v>#NAME?</v>
      </c>
      <c r="H4032" t="e">
        <f ca="1">IMAGE("https://m.media-amazon.com/images/I/61XBNUa7ZWL._AC_UL320_.jpg")</f>
        <v>#NAME?</v>
      </c>
      <c r="I4032" t="s">
        <v>4296</v>
      </c>
      <c r="J4032">
        <v>22.46</v>
      </c>
      <c r="K4032" s="2" t="s">
        <v>11293</v>
      </c>
      <c r="L4032">
        <v>4.5999999999999996</v>
      </c>
      <c r="M4032">
        <v>48</v>
      </c>
      <c r="O4032" t="s">
        <v>26</v>
      </c>
      <c r="P4032" t="s">
        <v>39</v>
      </c>
      <c r="Q4032" t="s">
        <v>11294</v>
      </c>
    </row>
    <row r="4033" spans="1:17" ht="15.75" x14ac:dyDescent="0.25">
      <c r="A4033" s="3" t="str">
        <f>HYPERLINK("https://shop.sonapharmacy.com/products/nexcare-gentle-paper-tape-with-dispenser", "https://shop.sonapharmacy.com/products/nexcare-gentle-paper-tape-with-dispenser")</f>
        <v>https://shop.sonapharmacy.com/products/nexcare-gentle-paper-tape-with-dispenser</v>
      </c>
      <c r="B4033" s="3" t="str">
        <f>HYPERLINK("https://shop.sonapharmacy.com/products/nexcare-gentle-paper-tape-with-dispenser", "https://shop.sonapharmacy.com/products/nexcare-gentle-paper-tape-with-dispenser")</f>
        <v>https://shop.sonapharmacy.com/products/nexcare-gentle-paper-tape-with-dispenser</v>
      </c>
      <c r="C4033" t="s">
        <v>9113</v>
      </c>
      <c r="D4033" t="s">
        <v>11295</v>
      </c>
      <c r="E4033" s="3" t="str">
        <f>HYPERLINK("https://www.amazon.com/Nexcare-Gentle-Paper-Tape-Yards/dp/B004AI8QTK/ref=sr_1_10?keywords=Nexcare+Gentle+Paper+Tape&amp;qid=1695260585&amp;sr=8-10", "https://www.amazon.com/Nexcare-Gentle-Paper-Tape-Yards/dp/B004AI8QTK/ref=sr_1_10?keywords=Nexcare+Gentle+Paper+Tape&amp;qid=1695260585&amp;sr=8-10")</f>
        <v>https://www.amazon.com/Nexcare-Gentle-Paper-Tape-Yards/dp/B004AI8QTK/ref=sr_1_10?keywords=Nexcare+Gentle+Paper+Tape&amp;qid=1695260585&amp;sr=8-10</v>
      </c>
      <c r="F4033" t="s">
        <v>11296</v>
      </c>
      <c r="G4033" t="e">
        <f ca="1">IMAGE("https://shop.sonapharmacy.com/cdn/shop/products/817vSXJ0jlL._AC_SL1500.jpg?v=1607703211")</f>
        <v>#NAME?</v>
      </c>
      <c r="H4033" t="e">
        <f ca="1">IMAGE("https://m.media-amazon.com/images/I/61txrsVLknL._AC_UL320_.jpg")</f>
        <v>#NAME?</v>
      </c>
      <c r="I4033" t="s">
        <v>8760</v>
      </c>
      <c r="J4033">
        <v>12.13</v>
      </c>
      <c r="K4033" s="2" t="s">
        <v>11297</v>
      </c>
      <c r="L4033">
        <v>4.7</v>
      </c>
      <c r="M4033">
        <v>51</v>
      </c>
      <c r="O4033" t="s">
        <v>136</v>
      </c>
      <c r="P4033" t="s">
        <v>39</v>
      </c>
      <c r="Q4033" t="s">
        <v>9117</v>
      </c>
    </row>
    <row r="4034" spans="1:17" ht="15.75" x14ac:dyDescent="0.25">
      <c r="A4034" s="3" t="str">
        <f>HYPERLINK("https://shop.sonapharmacy.com/products/mueller%C2%AE-adjustable-back-brace-with-lumbar-pad-regular", "https://shop.sonapharmacy.com/products/mueller%C2%AE-adjustable-back-brace-with-lumbar-pad-regular")</f>
        <v>https://shop.sonapharmacy.com/products/mueller%C2%AE-adjustable-back-brace-with-lumbar-pad-regular</v>
      </c>
      <c r="B4034" s="3" t="str">
        <f>HYPERLINK("https://shop.sonapharmacy.com/products/mueller%c2%ae-adjustable-back-brace-with-lumbar-pad-regular", "https://shop.sonapharmacy.com/products/mueller%c2%ae-adjustable-back-brace-with-lumbar-pad-regular")</f>
        <v>https://shop.sonapharmacy.com/products/mueller%c2%ae-adjustable-back-brace-with-lumbar-pad-regular</v>
      </c>
      <c r="C4034" t="s">
        <v>11252</v>
      </c>
      <c r="D4034" t="s">
        <v>11298</v>
      </c>
      <c r="E4034" s="3" t="str">
        <f>HYPERLINK("https://www.amazon.com/Mueller-Lumbar-Regular-Brace-Removable/dp/B00Y0ZDMEW/ref=sr_1_4?keywords=Mueller%C2%AE+Adjustable+Back+Brace+with+Lumbar+Pad+Regular&amp;qid=1695260513&amp;sr=8-4", "https://www.amazon.com/Mueller-Lumbar-Regular-Brace-Removable/dp/B00Y0ZDMEW/ref=sr_1_4?keywords=Mueller%C2%AE+Adjustable+Back+Brace+with+Lumbar+Pad+Regular&amp;qid=1695260513&amp;sr=8-4")</f>
        <v>https://www.amazon.com/Mueller-Lumbar-Regular-Brace-Removable/dp/B00Y0ZDMEW/ref=sr_1_4?keywords=Mueller%C2%AE+Adjustable+Back+Brace+with+Lumbar+Pad+Regular&amp;qid=1695260513&amp;sr=8-4</v>
      </c>
      <c r="F4034" t="s">
        <v>11299</v>
      </c>
      <c r="G4034" t="e">
        <f ca="1">IMAGE("https://shop.sonapharmacy.com/cdn/shop/products/3aa38238-1758-478a-9587-ade8e0fa6948_1.c46fc68f18453e999b2cf9a0edf5b2c3.jpg?v=1609873447")</f>
        <v>#NAME?</v>
      </c>
      <c r="H4034" t="e">
        <f ca="1">IMAGE("https://m.media-amazon.com/images/I/71owYbiVrFL._AC_UL320_.jpg")</f>
        <v>#NAME?</v>
      </c>
      <c r="I4034" t="s">
        <v>11255</v>
      </c>
      <c r="J4034">
        <v>73.77</v>
      </c>
      <c r="K4034" s="2" t="s">
        <v>11300</v>
      </c>
      <c r="L4034">
        <v>3.6</v>
      </c>
      <c r="M4034">
        <v>16</v>
      </c>
      <c r="O4034" t="s">
        <v>26</v>
      </c>
      <c r="P4034" t="s">
        <v>39</v>
      </c>
      <c r="Q4034" t="s">
        <v>11257</v>
      </c>
    </row>
    <row r="4035" spans="1:17" ht="15.75" x14ac:dyDescent="0.25">
      <c r="A4035" s="3" t="str">
        <f>HYPERLINK("https://shop.sonapharmacy.com/products/dr-scholls%C2%AE-moleskin-plus-soft-padding-roll", "https://shop.sonapharmacy.com/products/dr-scholls%C2%AE-moleskin-plus-soft-padding-roll")</f>
        <v>https://shop.sonapharmacy.com/products/dr-scholls%C2%AE-moleskin-plus-soft-padding-roll</v>
      </c>
      <c r="B4035" s="3" t="str">
        <f>HYPERLINK("https://shop.sonapharmacy.com/products/dr-scholls%c2%ae-moleskin-plus-soft-padding-roll", "https://shop.sonapharmacy.com/products/dr-scholls%c2%ae-moleskin-plus-soft-padding-roll")</f>
        <v>https://shop.sonapharmacy.com/products/dr-scholls%c2%ae-moleskin-plus-soft-padding-roll</v>
      </c>
      <c r="C4035" t="s">
        <v>8469</v>
      </c>
      <c r="D4035" t="s">
        <v>11301</v>
      </c>
      <c r="E4035" s="3" t="str">
        <f>HYPERLINK("https://www.amazon.com/Dr-Scholls-Moleskin-Padding-4-625inch/dp/B00E4MJYS4/ref=sr_1_1?keywords=Dr.+Scholl%27s%C2%AE+Moleskin+Plus+Soft+Padding+Roll&amp;qid=1695260191&amp;sr=8-1", "https://www.amazon.com/Dr-Scholls-Moleskin-Padding-4-625inch/dp/B00E4MJYS4/ref=sr_1_1?keywords=Dr.+Scholl%27s%C2%AE+Moleskin+Plus+Soft+Padding+Roll&amp;qid=1695260191&amp;sr=8-1")</f>
        <v>https://www.amazon.com/Dr-Scholls-Moleskin-Padding-4-625inch/dp/B00E4MJYS4/ref=sr_1_1?keywords=Dr.+Scholl%27s%C2%AE+Moleskin+Plus+Soft+Padding+Roll&amp;qid=1695260191&amp;sr=8-1</v>
      </c>
      <c r="F4035" t="s">
        <v>11302</v>
      </c>
      <c r="G4035" t="e">
        <f ca="1">IMAGE("https://shop.sonapharmacy.com/cdn/shop/products/81tP9KqA0SL._AC_SL1500.jpg?v=1610328732")</f>
        <v>#NAME?</v>
      </c>
      <c r="H4035" t="e">
        <f ca="1">IMAGE("https://m.media-amazon.com/images/I/71vTtY+cteL._AC_UL320_.jpg")</f>
        <v>#NAME?</v>
      </c>
      <c r="I4035" t="s">
        <v>8472</v>
      </c>
      <c r="J4035">
        <v>9.99</v>
      </c>
      <c r="K4035" s="2" t="s">
        <v>11303</v>
      </c>
      <c r="L4035">
        <v>4.7</v>
      </c>
      <c r="M4035">
        <v>31</v>
      </c>
      <c r="O4035" t="s">
        <v>26</v>
      </c>
      <c r="P4035" t="s">
        <v>39</v>
      </c>
      <c r="Q4035" t="s">
        <v>8474</v>
      </c>
    </row>
    <row r="4036" spans="1:17" ht="15.75" x14ac:dyDescent="0.25">
      <c r="A4036" s="3" t="str">
        <f>HYPERLINK("https://shop.sonapharmacy.com/products/aquaphor%C2%AE-baby-healing-ointment-3oz", "https://shop.sonapharmacy.com/products/aquaphor%C2%AE-baby-healing-ointment-3oz")</f>
        <v>https://shop.sonapharmacy.com/products/aquaphor%C2%AE-baby-healing-ointment-3oz</v>
      </c>
      <c r="B4036" s="3" t="str">
        <f>HYPERLINK("https://shop.sonapharmacy.com/products/aquaphor%c2%ae-baby-healing-ointment-3oz", "https://shop.sonapharmacy.com/products/aquaphor%c2%ae-baby-healing-ointment-3oz")</f>
        <v>https://shop.sonapharmacy.com/products/aquaphor%c2%ae-baby-healing-ointment-3oz</v>
      </c>
      <c r="C4036" t="s">
        <v>8778</v>
      </c>
      <c r="D4036" t="s">
        <v>11304</v>
      </c>
      <c r="E4036" s="3" t="str">
        <f>HYPERLINK("https://www.amazon.com/Aquaphor-Healing-Ointment-Baby-Ounce/dp/B015RI8N0I/ref=sr_1_4?keywords=Aquaphor+Baby+Healing+Ointment+3oz.&amp;qid=1695260046&amp;sr=8-4", "https://www.amazon.com/Aquaphor-Healing-Ointment-Baby-Ounce/dp/B015RI8N0I/ref=sr_1_4?keywords=Aquaphor+Baby+Healing+Ointment+3oz.&amp;qid=1695260046&amp;sr=8-4")</f>
        <v>https://www.amazon.com/Aquaphor-Healing-Ointment-Baby-Ounce/dp/B015RI8N0I/ref=sr_1_4?keywords=Aquaphor+Baby+Healing+Ointment+3oz.&amp;qid=1695260046&amp;sr=8-4</v>
      </c>
      <c r="F4036" t="s">
        <v>11305</v>
      </c>
      <c r="G4036" t="e">
        <f ca="1">IMAGE("https://shop.sonapharmacy.com/cdn/shop/products/71g48qVpgpL._AC_SL1500.jpg?v=1609262462")</f>
        <v>#NAME?</v>
      </c>
      <c r="H4036" t="e">
        <f ca="1">IMAGE("https://m.media-amazon.com/images/I/61aZ9wl0bfL._AC_UL320_.jpg")</f>
        <v>#NAME?</v>
      </c>
      <c r="I4036" t="s">
        <v>8781</v>
      </c>
      <c r="J4036">
        <v>20</v>
      </c>
      <c r="K4036" s="2" t="s">
        <v>11306</v>
      </c>
      <c r="L4036">
        <v>4.4000000000000004</v>
      </c>
      <c r="M4036">
        <v>41</v>
      </c>
      <c r="O4036" t="s">
        <v>26</v>
      </c>
      <c r="P4036" t="s">
        <v>39</v>
      </c>
      <c r="Q4036" t="s">
        <v>8783</v>
      </c>
    </row>
    <row r="4037" spans="1:17" ht="15.75" x14ac:dyDescent="0.25">
      <c r="A4037" s="3" t="str">
        <f>HYPERLINK("https://shop.sonapharmacy.com/products/blue-star-anti-itch-medicated-ointment-2oz", "https://shop.sonapharmacy.com/products/blue-star-anti-itch-medicated-ointment-2oz")</f>
        <v>https://shop.sonapharmacy.com/products/blue-star-anti-itch-medicated-ointment-2oz</v>
      </c>
      <c r="B4037" s="3" t="str">
        <f>HYPERLINK("https://shop.sonapharmacy.com/products/blue-star-anti-itch-medicated-ointment-2oz", "https://shop.sonapharmacy.com/products/blue-star-anti-itch-medicated-ointment-2oz")</f>
        <v>https://shop.sonapharmacy.com/products/blue-star-anti-itch-medicated-ointment-2oz</v>
      </c>
      <c r="C4037" t="s">
        <v>10017</v>
      </c>
      <c r="D4037" t="s">
        <v>11307</v>
      </c>
      <c r="E4037" s="3" t="str">
        <f>HYPERLINK("https://www.amazon.com/Blue-Star-Anti-Itch-Medicated-Ointment/dp/B004LTZW5O/ref=sr_1_5?keywords=Blue+Star%C2%AE+Anti-Itch+Medicated+Ointment+2oz.&amp;qid=1695260101&amp;sr=8-5", "https://www.amazon.com/Blue-Star-Anti-Itch-Medicated-Ointment/dp/B004LTZW5O/ref=sr_1_5?keywords=Blue+Star%C2%AE+Anti-Itch+Medicated+Ointment+2oz.&amp;qid=1695260101&amp;sr=8-5")</f>
        <v>https://www.amazon.com/Blue-Star-Anti-Itch-Medicated-Ointment/dp/B004LTZW5O/ref=sr_1_5?keywords=Blue+Star%C2%AE+Anti-Itch+Medicated+Ointment+2oz.&amp;qid=1695260101&amp;sr=8-5</v>
      </c>
      <c r="F4037" t="s">
        <v>11308</v>
      </c>
      <c r="G4037" t="e">
        <f ca="1">IMAGE("https://shop.sonapharmacy.com/cdn/shop/products/apivrbugg__33256.1592338106.jpg?v=1607974281")</f>
        <v>#NAME?</v>
      </c>
      <c r="H4037" t="e">
        <f ca="1">IMAGE("https://m.media-amazon.com/images/I/61qBkCsgA-L._AC_UL320_.jpg")</f>
        <v>#NAME?</v>
      </c>
      <c r="I4037" t="s">
        <v>4873</v>
      </c>
      <c r="J4037">
        <v>20.72</v>
      </c>
      <c r="K4037" s="2" t="s">
        <v>11309</v>
      </c>
      <c r="L4037">
        <v>4.5</v>
      </c>
      <c r="M4037">
        <v>68</v>
      </c>
      <c r="O4037" t="s">
        <v>26</v>
      </c>
      <c r="P4037" t="s">
        <v>39</v>
      </c>
      <c r="Q4037" t="s">
        <v>10021</v>
      </c>
    </row>
    <row r="4038" spans="1:17" ht="15.75" x14ac:dyDescent="0.25">
      <c r="A4038" s="3" t="str">
        <f>HYPERLINK("https://shop.sonapharmacy.com/products/buffered-vitamin-c-1000-mg-60-vegcaps", "https://shop.sonapharmacy.com/products/buffered-vitamin-c-1000-mg-60-vegcaps")</f>
        <v>https://shop.sonapharmacy.com/products/buffered-vitamin-c-1000-mg-60-vegcaps</v>
      </c>
      <c r="B4038" s="3" t="str">
        <f>HYPERLINK("https://shop.sonapharmacy.com/products/buffered-vitamin-c-1000-mg-60-vegcaps", "https://shop.sonapharmacy.com/products/buffered-vitamin-c-1000-mg-60-vegcaps")</f>
        <v>https://shop.sonapharmacy.com/products/buffered-vitamin-c-1000-mg-60-vegcaps</v>
      </c>
      <c r="C4038" t="s">
        <v>11310</v>
      </c>
      <c r="D4038" t="s">
        <v>11311</v>
      </c>
      <c r="E4038" s="3" t="str">
        <f>HYPERLINK("https://www.amazon.com/SOLARAY-Bioflavonoids-Two-Stage-Absorption-Guarantee/dp/B00013YZ0M/ref=sr_1_8?keywords=Integrative+Therapeutics%C2%AE+Buffered+Vitamin+C+1000mg+Capsule&amp;qid=1695260407&amp;sr=8-8", "https://www.amazon.com/SOLARAY-Bioflavonoids-Two-Stage-Absorption-Guarantee/dp/B00013YZ0M/ref=sr_1_8?keywords=Integrative+Therapeutics%C2%AE+Buffered+Vitamin+C+1000mg+Capsule&amp;qid=1695260407&amp;sr=8-8")</f>
        <v>https://www.amazon.com/SOLARAY-Bioflavonoids-Two-Stage-Absorption-Guarantee/dp/B00013YZ0M/ref=sr_1_8?keywords=Integrative+Therapeutics%C2%AE+Buffered+Vitamin+C+1000mg+Capsule&amp;qid=1695260407&amp;sr=8-8</v>
      </c>
      <c r="F4038" t="s">
        <v>11312</v>
      </c>
      <c r="G4038" t="e">
        <f ca="1">IMAGE("https://shop.sonapharmacy.com/cdn/shop/products/618C731cXIL._AC_SL1500.jpg?v=1609356444")</f>
        <v>#NAME?</v>
      </c>
      <c r="H4038" t="e">
        <f ca="1">IMAGE("https://m.media-amazon.com/images/I/61WLL5Tk5FL._AC_UL320_.jpg")</f>
        <v>#NAME?</v>
      </c>
      <c r="I4038" t="s">
        <v>5229</v>
      </c>
      <c r="J4038">
        <v>27.99</v>
      </c>
      <c r="K4038" s="2" t="s">
        <v>11313</v>
      </c>
      <c r="L4038">
        <v>4.8</v>
      </c>
      <c r="M4038">
        <v>2074</v>
      </c>
      <c r="O4038" t="s">
        <v>39</v>
      </c>
      <c r="P4038" t="s">
        <v>39</v>
      </c>
      <c r="Q4038" t="s">
        <v>11314</v>
      </c>
    </row>
    <row r="4039" spans="1:17" ht="15.75" x14ac:dyDescent="0.25">
      <c r="A4039" s="3" t="str">
        <f>HYPERLINK("https://shop.sonapharmacy.com/products/buffered-vitamin-c-1000-mg-60-vegcaps", "https://shop.sonapharmacy.com/products/buffered-vitamin-c-1000-mg-60-vegcaps")</f>
        <v>https://shop.sonapharmacy.com/products/buffered-vitamin-c-1000-mg-60-vegcaps</v>
      </c>
      <c r="B4039" s="3" t="str">
        <f>HYPERLINK("https://shop.sonapharmacy.com/products/buffered-vitamin-c-1000-mg-60-vegcaps", "https://shop.sonapharmacy.com/products/buffered-vitamin-c-1000-mg-60-vegcaps")</f>
        <v>https://shop.sonapharmacy.com/products/buffered-vitamin-c-1000-mg-60-vegcaps</v>
      </c>
      <c r="C4039" t="s">
        <v>11310</v>
      </c>
      <c r="D4039" t="s">
        <v>11311</v>
      </c>
      <c r="E4039" s="3"/>
      <c r="F4039" t="s">
        <v>11312</v>
      </c>
      <c r="G4039" t="e">
        <f ca="1">IMAGE("https://shop.sonapharmacy.com/cdn/shop/products/618C731cXIL._AC_SL1500.jpg?v=1609356444")</f>
        <v>#NAME?</v>
      </c>
      <c r="H4039" t="e">
        <f ca="1">IMAGE("https://m.media-amazon.com/images/I/61WLL5Tk5FL._AC_UL320_.jpg")</f>
        <v>#NAME?</v>
      </c>
      <c r="I4039" t="s">
        <v>5229</v>
      </c>
      <c r="J4039">
        <v>27.99</v>
      </c>
      <c r="K4039" s="2" t="s">
        <v>11313</v>
      </c>
      <c r="L4039">
        <v>4.8</v>
      </c>
      <c r="M4039">
        <v>2074</v>
      </c>
      <c r="O4039" t="s">
        <v>39</v>
      </c>
      <c r="P4039" t="s">
        <v>39</v>
      </c>
      <c r="Q4039" t="s">
        <v>11314</v>
      </c>
    </row>
    <row r="4040" spans="1:17" ht="15.75" x14ac:dyDescent="0.25">
      <c r="A4040" s="3" t="str">
        <f>HYPERLINK("https://shop.sonapharmacy.com/products/bayer-back-body-extra-strength-500-mg-fast-relief-caplets", "https://shop.sonapharmacy.com/products/bayer-back-body-extra-strength-500-mg-fast-relief-caplets")</f>
        <v>https://shop.sonapharmacy.com/products/bayer-back-body-extra-strength-500-mg-fast-relief-caplets</v>
      </c>
      <c r="B4040" s="3" t="str">
        <f>HYPERLINK("https://shop.sonapharmacy.com/products/bayer-back-body-extra-strength-500-mg-fast-relief-caplets", "https://shop.sonapharmacy.com/products/bayer-back-body-extra-strength-500-mg-fast-relief-caplets")</f>
        <v>https://shop.sonapharmacy.com/products/bayer-back-body-extra-strength-500-mg-fast-relief-caplets</v>
      </c>
      <c r="C4040" t="s">
        <v>11315</v>
      </c>
      <c r="D4040" t="s">
        <v>11316</v>
      </c>
      <c r="E4040" s="3" t="str">
        <f>HYPERLINK("https://www.amazon.com/Bayer-Strength-Aspirin-Reliever-Caffeine/dp/B00KOCGR38/ref=sr_1_2?keywords=Bayer%C2%AE+Back+%26+Body+Extra+Strength+500+mg+Fast+Relief+Caplets&amp;qid=1695260096&amp;sr=8-2", "https://www.amazon.com/Bayer-Strength-Aspirin-Reliever-Caffeine/dp/B00KOCGR38/ref=sr_1_2?keywords=Bayer%C2%AE+Back+%26+Body+Extra+Strength+500+mg+Fast+Relief+Caplets&amp;qid=1695260096&amp;sr=8-2")</f>
        <v>https://www.amazon.com/Bayer-Strength-Aspirin-Reliever-Caffeine/dp/B00KOCGR38/ref=sr_1_2?keywords=Bayer%C2%AE+Back+%26+Body+Extra+Strength+500+mg+Fast+Relief+Caplets&amp;qid=1695260096&amp;sr=8-2</v>
      </c>
      <c r="F4040" t="s">
        <v>11317</v>
      </c>
      <c r="G4040" t="e">
        <f ca="1">IMAGE("https://shop.sonapharmacy.com/cdn/shop/products/Untitled-33.jpg?v=1592846330")</f>
        <v>#NAME?</v>
      </c>
      <c r="H4040" t="e">
        <f ca="1">IMAGE("https://m.media-amazon.com/images/I/91ZOnxBF9xL._AC_UL320_.jpg")</f>
        <v>#NAME?</v>
      </c>
      <c r="I4040" t="s">
        <v>11318</v>
      </c>
      <c r="J4040">
        <v>24.69</v>
      </c>
      <c r="K4040" s="2" t="s">
        <v>11319</v>
      </c>
      <c r="L4040">
        <v>4</v>
      </c>
      <c r="M4040">
        <v>25</v>
      </c>
      <c r="O4040" t="s">
        <v>136</v>
      </c>
      <c r="P4040" t="s">
        <v>39</v>
      </c>
      <c r="Q4040" t="s">
        <v>11320</v>
      </c>
    </row>
    <row r="4041" spans="1:17" ht="15.75" x14ac:dyDescent="0.25">
      <c r="A4041" s="3" t="str">
        <f>HYPERLINK("https://shop.sonapharmacy.com/products/resinol-medicated-ointment-3-3oz", "https://shop.sonapharmacy.com/products/resinol-medicated-ointment-3-3oz")</f>
        <v>https://shop.sonapharmacy.com/products/resinol-medicated-ointment-3-3oz</v>
      </c>
      <c r="B4041" s="3" t="str">
        <f>HYPERLINK("https://shop.sonapharmacy.com/products/resinol-medicated-ointment-3-3oz", "https://shop.sonapharmacy.com/products/resinol-medicated-ointment-3-3oz")</f>
        <v>https://shop.sonapharmacy.com/products/resinol-medicated-ointment-3-3oz</v>
      </c>
      <c r="C4041" t="s">
        <v>8612</v>
      </c>
      <c r="D4041" t="s">
        <v>11321</v>
      </c>
      <c r="E4041" s="3" t="str">
        <f>HYPERLINK("https://www.amazon.com/Resinol-Medicated-Ointment-3-30-Pack/dp/B01M3YCG9V/ref=sr_1_6?keywords=Resinol+Medicated+Ointment+3.3oz&amp;qid=1695260673&amp;sr=8-6", "https://www.amazon.com/Resinol-Medicated-Ointment-3-30-Pack/dp/B01M3YCG9V/ref=sr_1_6?keywords=Resinol+Medicated+Ointment+3.3oz&amp;qid=1695260673&amp;sr=8-6")</f>
        <v>https://www.amazon.com/Resinol-Medicated-Ointment-3-30-Pack/dp/B01M3YCG9V/ref=sr_1_6?keywords=Resinol+Medicated+Ointment+3.3oz&amp;qid=1695260673&amp;sr=8-6</v>
      </c>
      <c r="F4041" t="s">
        <v>11322</v>
      </c>
      <c r="G4041" t="e">
        <f ca="1">IMAGE("https://shop.sonapharmacy.com/cdn/shop/products/61SYOFBFkKL._AC_SL1237.jpg?v=1607970374")</f>
        <v>#NAME?</v>
      </c>
      <c r="H4041" t="e">
        <f ca="1">IMAGE("https://m.media-amazon.com/images/I/7133to7ndHL._AC_UL320_.jpg")</f>
        <v>#NAME?</v>
      </c>
      <c r="I4041" t="s">
        <v>8615</v>
      </c>
      <c r="J4041">
        <v>26.66</v>
      </c>
      <c r="K4041" s="2" t="s">
        <v>11323</v>
      </c>
      <c r="L4041">
        <v>4.8</v>
      </c>
      <c r="M4041">
        <v>41</v>
      </c>
      <c r="O4041" t="s">
        <v>136</v>
      </c>
      <c r="P4041" t="s">
        <v>39</v>
      </c>
      <c r="Q4041" t="s">
        <v>8617</v>
      </c>
    </row>
    <row r="4042" spans="1:17" ht="15.75" x14ac:dyDescent="0.25">
      <c r="A4042" s="3" t="str">
        <f>HYPERLINK("https://shop.sonapharmacy.com/products/nizoral%C2%AE-a-d-anti-dandruff-shampoo", "https://shop.sonapharmacy.com/products/nizoral%C2%AE-a-d-anti-dandruff-shampoo")</f>
        <v>https://shop.sonapharmacy.com/products/nizoral%C2%AE-a-d-anti-dandruff-shampoo</v>
      </c>
      <c r="B4042" s="3" t="str">
        <f>HYPERLINK("https://shop.sonapharmacy.com/products/nizoral%c2%ae-a-d-anti-dandruff-shampoo", "https://shop.sonapharmacy.com/products/nizoral%c2%ae-a-d-anti-dandruff-shampoo")</f>
        <v>https://shop.sonapharmacy.com/products/nizoral%c2%ae-a-d-anti-dandruff-shampoo</v>
      </c>
      <c r="C4042" t="s">
        <v>10788</v>
      </c>
      <c r="D4042" t="s">
        <v>11324</v>
      </c>
      <c r="E4042" s="3" t="str">
        <f>HYPERLINK("https://www.amazon.com/Nizoral-Anti-Dandruff-Shampoo-Ketoconazole-Fresh/dp/B0BQ41MLZG/ref=sr_1_3?keywords=NIZORAL%C2%AE+Ketoconazole+Anti-Dandruff+Shampoo+7fl.+oz.&amp;qid=1695260573&amp;sr=8-3", "https://www.amazon.com/Nizoral-Anti-Dandruff-Shampoo-Ketoconazole-Fresh/dp/B0BQ41MLZG/ref=sr_1_3?keywords=NIZORAL%C2%AE+Ketoconazole+Anti-Dandruff+Shampoo+7fl.+oz.&amp;qid=1695260573&amp;sr=8-3")</f>
        <v>https://www.amazon.com/Nizoral-Anti-Dandruff-Shampoo-Ketoconazole-Fresh/dp/B0BQ41MLZG/ref=sr_1_3?keywords=NIZORAL%C2%AE+Ketoconazole+Anti-Dandruff+Shampoo+7fl.+oz.&amp;qid=1695260573&amp;sr=8-3</v>
      </c>
      <c r="F4042" t="s">
        <v>11325</v>
      </c>
      <c r="G4042" t="e">
        <f ca="1">IMAGE("https://shop.sonapharmacy.com/cdn/shop/products/d8f2dec0-d8e5-4461-a927-c5297185b080_1.f728d50277a8c3cfa056b6f5edf70279.jpg?v=1609101986")</f>
        <v>#NAME?</v>
      </c>
      <c r="H4042" t="e">
        <f ca="1">IMAGE("https://m.media-amazon.com/images/I/71DMFlx+8AL._AC_UL320_.jpg")</f>
        <v>#NAME?</v>
      </c>
      <c r="I4042" t="s">
        <v>6086</v>
      </c>
      <c r="J4042">
        <v>42.79</v>
      </c>
      <c r="K4042" s="2" t="s">
        <v>11326</v>
      </c>
      <c r="L4042">
        <v>4.7</v>
      </c>
      <c r="M4042">
        <v>229</v>
      </c>
      <c r="O4042" t="s">
        <v>26</v>
      </c>
      <c r="P4042" t="s">
        <v>39</v>
      </c>
      <c r="Q4042" t="s">
        <v>10792</v>
      </c>
    </row>
    <row r="4043" spans="1:17" ht="15.75" x14ac:dyDescent="0.25">
      <c r="A4043" s="3" t="str">
        <f>HYPERLINK("https://shop.sonapharmacy.com/products/lotrimin%C2%AE-af-miconazole-nitrate-antifungal-deodorant-powder-spray-4-6oz", "https://shop.sonapharmacy.com/products/lotrimin%C2%AE-af-miconazole-nitrate-antifungal-deodorant-powder-spray-4-6oz")</f>
        <v>https://shop.sonapharmacy.com/products/lotrimin%C2%AE-af-miconazole-nitrate-antifungal-deodorant-powder-spray-4-6oz</v>
      </c>
      <c r="B4043" s="3" t="str">
        <f>HYPERLINK("https://shop.sonapharmacy.com/products/lotrimin%c2%ae-af-miconazole-nitrate-antifungal-deodorant-powder-spray-4-6oz", "https://shop.sonapharmacy.com/products/lotrimin%c2%ae-af-miconazole-nitrate-antifungal-deodorant-powder-spray-4-6oz")</f>
        <v>https://shop.sonapharmacy.com/products/lotrimin%c2%ae-af-miconazole-nitrate-antifungal-deodorant-powder-spray-4-6oz</v>
      </c>
      <c r="C4043" t="s">
        <v>11327</v>
      </c>
      <c r="D4043" t="s">
        <v>10250</v>
      </c>
      <c r="E4043" s="3" t="str">
        <f>HYPERLINK("https://www.amazon.com/Lotrimin-Deodorant-Antifungal-Miconazole-Clinically/dp/B0039NN80O/ref=sr_1_2?keywords=Lotrimin%C2%AE+AF+Miconazole+Nitrate+Antifungal+Deodorant+Powder+Spray+4.6oz.&amp;qid=1695260445&amp;sr=8-2", "https://www.amazon.com/Lotrimin-Deodorant-Antifungal-Miconazole-Clinically/dp/B0039NN80O/ref=sr_1_2?keywords=Lotrimin%C2%AE+AF+Miconazole+Nitrate+Antifungal+Deodorant+Powder+Spray+4.6oz.&amp;qid=1695260445&amp;sr=8-2")</f>
        <v>https://www.amazon.com/Lotrimin-Deodorant-Antifungal-Miconazole-Clinically/dp/B0039NN80O/ref=sr_1_2?keywords=Lotrimin%C2%AE+AF+Miconazole+Nitrate+Antifungal+Deodorant+Powder+Spray+4.6oz.&amp;qid=1695260445&amp;sr=8-2</v>
      </c>
      <c r="F4043" t="s">
        <v>10251</v>
      </c>
      <c r="G4043" t="e">
        <f ca="1">IMAGE("https://shop.sonapharmacy.com/cdn/shop/products/71gxA4DLOqL._AC_SL1500.jpg?v=1610336981")</f>
        <v>#NAME?</v>
      </c>
      <c r="H4043" t="e">
        <f ca="1">IMAGE("https://m.media-amazon.com/images/I/814-a3B3zcL._AC_UL320_.jpg")</f>
        <v>#NAME?</v>
      </c>
      <c r="I4043" t="s">
        <v>11328</v>
      </c>
      <c r="J4043">
        <v>26.31</v>
      </c>
      <c r="K4043" s="2" t="s">
        <v>11329</v>
      </c>
      <c r="L4043">
        <v>4.5999999999999996</v>
      </c>
      <c r="M4043">
        <v>8880</v>
      </c>
      <c r="O4043" t="s">
        <v>26</v>
      </c>
      <c r="P4043" t="s">
        <v>39</v>
      </c>
      <c r="Q4043" t="s">
        <v>11330</v>
      </c>
    </row>
    <row r="4044" spans="1:17" ht="15.75" x14ac:dyDescent="0.25">
      <c r="A4044" s="3" t="str">
        <f>HYPERLINK("https://shop.sonapharmacy.com/products/lotrimin%C2%AE-af-jock-itch-antifungal-powder-spray", "https://shop.sonapharmacy.com/products/lotrimin%C2%AE-af-jock-itch-antifungal-powder-spray")</f>
        <v>https://shop.sonapharmacy.com/products/lotrimin%C2%AE-af-jock-itch-antifungal-powder-spray</v>
      </c>
      <c r="B4044" s="3" t="str">
        <f>HYPERLINK("https://shop.sonapharmacy.com/products/lotrimin%c2%ae-af-jock-itch-antifungal-powder-spray", "https://shop.sonapharmacy.com/products/lotrimin%c2%ae-af-jock-itch-antifungal-powder-spray")</f>
        <v>https://shop.sonapharmacy.com/products/lotrimin%c2%ae-af-jock-itch-antifungal-powder-spray</v>
      </c>
      <c r="C4044" t="s">
        <v>11331</v>
      </c>
      <c r="D4044" t="s">
        <v>10250</v>
      </c>
      <c r="E4044" s="3" t="str">
        <f>HYPERLINK("https://www.amazon.com/Lotrimin-Deodorant-Antifungal-Miconazole-Clinically/dp/B0039NN80O/ref=sr_1_3?keywords=Lotrimin%C2%AE+AF+Jock+Itch+Antifungal+Powder+Spray&amp;qid=1695260446&amp;sr=8-3", "https://www.amazon.com/Lotrimin-Deodorant-Antifungal-Miconazole-Clinically/dp/B0039NN80O/ref=sr_1_3?keywords=Lotrimin%C2%AE+AF+Jock+Itch+Antifungal+Powder+Spray&amp;qid=1695260446&amp;sr=8-3")</f>
        <v>https://www.amazon.com/Lotrimin-Deodorant-Antifungal-Miconazole-Clinically/dp/B0039NN80O/ref=sr_1_3?keywords=Lotrimin%C2%AE+AF+Jock+Itch+Antifungal+Powder+Spray&amp;qid=1695260446&amp;sr=8-3</v>
      </c>
      <c r="F4044" t="s">
        <v>10251</v>
      </c>
      <c r="G4044" t="e">
        <f ca="1">IMAGE("https://shop.sonapharmacy.com/cdn/shop/products/lotriminspray.jpg?v=1607963309")</f>
        <v>#NAME?</v>
      </c>
      <c r="H4044" t="e">
        <f ca="1">IMAGE("https://m.media-amazon.com/images/I/814-a3B3zcL._AC_UL320_.jpg")</f>
        <v>#NAME?</v>
      </c>
      <c r="I4044" t="s">
        <v>11328</v>
      </c>
      <c r="J4044">
        <v>26.31</v>
      </c>
      <c r="K4044" s="2" t="s">
        <v>11329</v>
      </c>
      <c r="L4044">
        <v>4.5999999999999996</v>
      </c>
      <c r="M4044">
        <v>8880</v>
      </c>
      <c r="O4044" t="s">
        <v>26</v>
      </c>
      <c r="P4044" t="s">
        <v>39</v>
      </c>
      <c r="Q4044" t="s">
        <v>11332</v>
      </c>
    </row>
    <row r="4045" spans="1:17" ht="15.75" x14ac:dyDescent="0.25">
      <c r="A4045" s="3" t="str">
        <f>HYPERLINK("https://shop.sonapharmacy.com/products/apex%C2%AE-weekly-twice-a-day-pill-organizer", "https://shop.sonapharmacy.com/products/apex%C2%AE-weekly-twice-a-day-pill-organizer")</f>
        <v>https://shop.sonapharmacy.com/products/apex%C2%AE-weekly-twice-a-day-pill-organizer</v>
      </c>
      <c r="B4045" s="3" t="str">
        <f>HYPERLINK("https://shop.sonapharmacy.com/products/apex%c2%ae-weekly-twice-a-day-pill-organizer", "https://shop.sonapharmacy.com/products/apex%c2%ae-weekly-twice-a-day-pill-organizer")</f>
        <v>https://shop.sonapharmacy.com/products/apex%c2%ae-weekly-twice-a-day-pill-organizer</v>
      </c>
      <c r="C4045" t="s">
        <v>9754</v>
      </c>
      <c r="D4045" t="s">
        <v>11333</v>
      </c>
      <c r="E4045" s="3" t="str">
        <f>HYPERLINK("https://www.amazon.com/Apex-Twice-Weekly-Organizer-Color/dp/B00E4MS9KI/ref=sr_1_4?keywords=Apex+Weekly+Twice-A-Day+Pill+Organizer&amp;qid=1695260022&amp;sr=8-4", "https://www.amazon.com/Apex-Twice-Weekly-Organizer-Color/dp/B00E4MS9KI/ref=sr_1_4?keywords=Apex+Weekly+Twice-A-Day+Pill+Organizer&amp;qid=1695260022&amp;sr=8-4")</f>
        <v>https://www.amazon.com/Apex-Twice-Weekly-Organizer-Color/dp/B00E4MS9KI/ref=sr_1_4?keywords=Apex+Weekly+Twice-A-Day+Pill+Organizer&amp;qid=1695260022&amp;sr=8-4</v>
      </c>
      <c r="F4045" t="s">
        <v>11334</v>
      </c>
      <c r="G4045" t="e">
        <f ca="1">IMAGE("https://shop.sonapharmacy.com/cdn/shop/products/81bW58qDenL._AC_SL1500.jpg?v=1609957632")</f>
        <v>#NAME?</v>
      </c>
      <c r="H4045" t="e">
        <f ca="1">IMAGE("https://m.media-amazon.com/images/I/61Gdmate9PL._AC_UL320_.jpg")</f>
        <v>#NAME?</v>
      </c>
      <c r="I4045" t="s">
        <v>8983</v>
      </c>
      <c r="J4045">
        <v>11.53</v>
      </c>
      <c r="K4045" s="2" t="s">
        <v>11335</v>
      </c>
      <c r="L4045">
        <v>3.9</v>
      </c>
      <c r="M4045">
        <v>7</v>
      </c>
      <c r="O4045" t="s">
        <v>26</v>
      </c>
      <c r="P4045" t="s">
        <v>39</v>
      </c>
      <c r="Q4045" t="s">
        <v>9758</v>
      </c>
    </row>
    <row r="4046" spans="1:17" ht="15.75" x14ac:dyDescent="0.25">
      <c r="A4046" s="3" t="str">
        <f>HYPERLINK("https://shop.sonapharmacy.com/products/curad-stainless-steel-bandage-scissors", "https://shop.sonapharmacy.com/products/curad-stainless-steel-bandage-scissors")</f>
        <v>https://shop.sonapharmacy.com/products/curad-stainless-steel-bandage-scissors</v>
      </c>
      <c r="B4046" s="3" t="str">
        <f>HYPERLINK("https://shop.sonapharmacy.com/products/curad-stainless-steel-bandage-scissors", "https://shop.sonapharmacy.com/products/curad-stainless-steel-bandage-scissors")</f>
        <v>https://shop.sonapharmacy.com/products/curad-stainless-steel-bandage-scissors</v>
      </c>
      <c r="C4046" t="s">
        <v>9578</v>
      </c>
      <c r="D4046" t="s">
        <v>11336</v>
      </c>
      <c r="E4046" s="3" t="str">
        <f>HYPERLINK("https://www.amazon.com/Madison-Supply-Premium-Fluoride-Scissors/dp/B00YFG1U86/ref=sr_1_8?keywords=Curad%C2%AE+Stainless+Steel+Bandage+Scissors&amp;qid=1695260182&amp;sr=8-8", "https://www.amazon.com/Madison-Supply-Premium-Fluoride-Scissors/dp/B00YFG1U86/ref=sr_1_8?keywords=Curad%C2%AE+Stainless+Steel+Bandage+Scissors&amp;qid=1695260182&amp;sr=8-8")</f>
        <v>https://www.amazon.com/Madison-Supply-Premium-Fluoride-Scissors/dp/B00YFG1U86/ref=sr_1_8?keywords=Curad%C2%AE+Stainless+Steel+Bandage+Scissors&amp;qid=1695260182&amp;sr=8-8</v>
      </c>
      <c r="F4046" t="s">
        <v>11337</v>
      </c>
      <c r="G4046" t="e">
        <f ca="1">IMAGE("https://shop.sonapharmacy.com/cdn/shop/products/scissors.png?v=1607716795")</f>
        <v>#NAME?</v>
      </c>
      <c r="H4046" t="e">
        <f ca="1">IMAGE("https://m.media-amazon.com/images/I/717dSlz1VaL._AC_UY218_.jpg")</f>
        <v>#NAME?</v>
      </c>
      <c r="I4046" t="s">
        <v>8728</v>
      </c>
      <c r="J4046">
        <v>10.49</v>
      </c>
      <c r="K4046" s="2" t="s">
        <v>11338</v>
      </c>
      <c r="L4046">
        <v>4.8</v>
      </c>
      <c r="M4046">
        <v>21041</v>
      </c>
      <c r="O4046" t="s">
        <v>26</v>
      </c>
      <c r="P4046" t="s">
        <v>39</v>
      </c>
      <c r="Q4046" t="s">
        <v>9582</v>
      </c>
    </row>
    <row r="4047" spans="1:17" ht="15.75" x14ac:dyDescent="0.25">
      <c r="A4047" s="3" t="str">
        <f>HYPERLINK("https://shop.sonapharmacy.com/products/mommys-bliss-original-gripe-water", "https://shop.sonapharmacy.com/products/mommys-bliss-original-gripe-water")</f>
        <v>https://shop.sonapharmacy.com/products/mommys-bliss-original-gripe-water</v>
      </c>
      <c r="B4047" s="3" t="str">
        <f>HYPERLINK("https://shop.sonapharmacy.com/products/mommys-bliss-original-gripe-water", "https://shop.sonapharmacy.com/products/mommys-bliss-original-gripe-water")</f>
        <v>https://shop.sonapharmacy.com/products/mommys-bliss-original-gripe-water</v>
      </c>
      <c r="C4047" t="s">
        <v>10605</v>
      </c>
      <c r="D4047" t="s">
        <v>11339</v>
      </c>
      <c r="E4047" s="3" t="str">
        <f>HYPERLINK("https://www.amazon.com/Original-Relieves-Occasional-Discomfort-Fussiness/dp/B07RQJ4BJT/ref=sr_1_4?keywords=Mommy%27s+Bliss+Original+Gripe+Water&amp;qid=1695260479&amp;sr=8-4", "https://www.amazon.com/Original-Relieves-Occasional-Discomfort-Fussiness/dp/B07RQJ4BJT/ref=sr_1_4?keywords=Mommy%27s+Bliss+Original+Gripe+Water&amp;qid=1695260479&amp;sr=8-4")</f>
        <v>https://www.amazon.com/Original-Relieves-Occasional-Discomfort-Fussiness/dp/B07RQJ4BJT/ref=sr_1_4?keywords=Mommy%27s+Bliss+Original+Gripe+Water&amp;qid=1695260479&amp;sr=8-4</v>
      </c>
      <c r="F4047" t="s">
        <v>11340</v>
      </c>
      <c r="G4047" t="e">
        <f ca="1">IMAGE("https://shop.sonapharmacy.com/cdn/shop/products/Untitled-47.jpg?v=1592848167")</f>
        <v>#NAME?</v>
      </c>
      <c r="H4047" t="e">
        <f ca="1">IMAGE("https://m.media-amazon.com/images/I/81U1mJh81nL._AC_UL320_.jpg")</f>
        <v>#NAME?</v>
      </c>
      <c r="I4047" t="s">
        <v>10608</v>
      </c>
      <c r="J4047">
        <v>28</v>
      </c>
      <c r="K4047" s="2" t="s">
        <v>11341</v>
      </c>
      <c r="L4047">
        <v>4.4000000000000004</v>
      </c>
      <c r="M4047">
        <v>10</v>
      </c>
      <c r="O4047" t="s">
        <v>26</v>
      </c>
      <c r="P4047" t="s">
        <v>39</v>
      </c>
      <c r="Q4047" t="s">
        <v>10610</v>
      </c>
    </row>
    <row r="4048" spans="1:17" ht="15.75" x14ac:dyDescent="0.25">
      <c r="A4048" s="3" t="str">
        <f>HYPERLINK("https://shop.sonapharmacy.com/products/burts-bees%C2%AE-lemon-butter-cuticle-cream-0-60oz", "https://shop.sonapharmacy.com/products/burts-bees%C2%AE-lemon-butter-cuticle-cream-0-60oz")</f>
        <v>https://shop.sonapharmacy.com/products/burts-bees%C2%AE-lemon-butter-cuticle-cream-0-60oz</v>
      </c>
      <c r="B4048" s="3" t="str">
        <f>HYPERLINK("https://shop.sonapharmacy.com/products/burts-bees%c2%ae-lemon-butter-cuticle-cream-0-60oz", "https://shop.sonapharmacy.com/products/burts-bees%c2%ae-lemon-butter-cuticle-cream-0-60oz")</f>
        <v>https://shop.sonapharmacy.com/products/burts-bees%c2%ae-lemon-butter-cuticle-cream-0-60oz</v>
      </c>
      <c r="C4048" t="s">
        <v>8539</v>
      </c>
      <c r="D4048" t="s">
        <v>11342</v>
      </c>
      <c r="E4048" s="3" t="str">
        <f>HYPERLINK("https://www.amazon.com/Burts-Bees-Bit-Holiday-Gift/dp/B01IF3JAF4/ref=sr_1_6?keywords=Burt%27s+Bees%C2%AE+Lemon+Butter+Cuticle+Cream+0.60oz.&amp;qid=1695260124&amp;sr=8-6", "https://www.amazon.com/Burts-Bees-Bit-Holiday-Gift/dp/B01IF3JAF4/ref=sr_1_6?keywords=Burt%27s+Bees%C2%AE+Lemon+Butter+Cuticle+Cream+0.60oz.&amp;qid=1695260124&amp;sr=8-6")</f>
        <v>https://www.amazon.com/Burts-Bees-Bit-Holiday-Gift/dp/B01IF3JAF4/ref=sr_1_6?keywords=Burt%27s+Bees%C2%AE+Lemon+Butter+Cuticle+Cream+0.60oz.&amp;qid=1695260124&amp;sr=8-6</v>
      </c>
      <c r="F4048" t="s">
        <v>11343</v>
      </c>
      <c r="G4048" t="e">
        <f ca="1">IMAGE("https://shop.sonapharmacy.com/cdn/shop/products/0fadcebd-76bc-4875-8263-6bd9c28133f1.3d5d181bb70920ec65fb71d35eaa2949.jpg?v=1610316654")</f>
        <v>#NAME?</v>
      </c>
      <c r="H4048" t="e">
        <f ca="1">IMAGE("https://m.media-amazon.com/images/I/914N5Gmq3VL._AC_UL320_.jpg")</f>
        <v>#NAME?</v>
      </c>
      <c r="I4048" t="s">
        <v>8542</v>
      </c>
      <c r="J4048">
        <v>9.99</v>
      </c>
      <c r="K4048" s="2" t="s">
        <v>11344</v>
      </c>
      <c r="L4048">
        <v>4.5</v>
      </c>
      <c r="M4048">
        <v>36</v>
      </c>
      <c r="O4048" t="s">
        <v>26</v>
      </c>
      <c r="P4048" t="s">
        <v>39</v>
      </c>
      <c r="Q4048" t="s">
        <v>8544</v>
      </c>
    </row>
    <row r="4049" spans="1:17" ht="15.75" x14ac:dyDescent="0.25">
      <c r="A4049" s="3" t="str">
        <f>HYPERLINK("https://shop.sonapharmacy.com/products/apex%C2%AE-glasses-repair-kit", "https://shop.sonapharmacy.com/products/apex%C2%AE-glasses-repair-kit")</f>
        <v>https://shop.sonapharmacy.com/products/apex%C2%AE-glasses-repair-kit</v>
      </c>
      <c r="B4049" s="3" t="str">
        <f>HYPERLINK("https://shop.sonapharmacy.com/products/apex%c2%ae-glasses-repair-kit", "https://shop.sonapharmacy.com/products/apex%c2%ae-glasses-repair-kit")</f>
        <v>https://shop.sonapharmacy.com/products/apex%c2%ae-glasses-repair-kit</v>
      </c>
      <c r="C4049" t="s">
        <v>9610</v>
      </c>
      <c r="D4049" t="s">
        <v>11345</v>
      </c>
      <c r="E4049" s="3" t="str">
        <f>HYPERLINK("https://www.amazon.com/Eyeglass-Repair-Screws-Glasses-Repairing/dp/B0CDLKZGP5/ref=sr_1_5?keywords=Apex+Glasses+Repair+Kit&amp;qid=1695260010&amp;sr=8-5", "https://www.amazon.com/Eyeglass-Repair-Screws-Glasses-Repairing/dp/B0CDLKZGP5/ref=sr_1_5?keywords=Apex+Glasses+Repair+Kit&amp;qid=1695260010&amp;sr=8-5")</f>
        <v>https://www.amazon.com/Eyeglass-Repair-Screws-Glasses-Repairing/dp/B0CDLKZGP5/ref=sr_1_5?keywords=Apex+Glasses+Repair+Kit&amp;qid=1695260010&amp;sr=8-5</v>
      </c>
      <c r="F4049" t="s">
        <v>11346</v>
      </c>
      <c r="G4049" t="e">
        <f ca="1">IMAGE("https://shop.sonapharmacy.com/cdn/shop/products/61DTHhMb4hL._AC_SX679.jpg?v=1609960307")</f>
        <v>#NAME?</v>
      </c>
      <c r="H4049" t="e">
        <f ca="1">IMAGE("https://m.media-amazon.com/images/I/81uSIfqsmsL._AC_UL320_.jpg")</f>
        <v>#NAME?</v>
      </c>
      <c r="I4049" t="s">
        <v>9613</v>
      </c>
      <c r="J4049">
        <v>4.99</v>
      </c>
      <c r="K4049" s="2" t="s">
        <v>11347</v>
      </c>
      <c r="L4049">
        <v>4.7</v>
      </c>
      <c r="M4049">
        <v>5</v>
      </c>
      <c r="O4049" t="s">
        <v>26</v>
      </c>
      <c r="P4049" t="s">
        <v>39</v>
      </c>
      <c r="Q4049" t="s">
        <v>9615</v>
      </c>
    </row>
    <row r="4050" spans="1:17" ht="15.75" x14ac:dyDescent="0.25">
      <c r="A4050" s="3" t="str">
        <f>HYPERLINK("https://shop.sonapharmacy.com/products/prevagen-chewables-dietary-supplement-mixed-berry", "https://shop.sonapharmacy.com/products/prevagen-chewables-dietary-supplement-mixed-berry")</f>
        <v>https://shop.sonapharmacy.com/products/prevagen-chewables-dietary-supplement-mixed-berry</v>
      </c>
      <c r="B4050" s="3" t="str">
        <f>HYPERLINK("https://shop.sonapharmacy.com/products/prevagen-chewables-dietary-supplement-mixed-berry", "https://shop.sonapharmacy.com/products/prevagen-chewables-dietary-supplement-mixed-berry")</f>
        <v>https://shop.sonapharmacy.com/products/prevagen-chewables-dietary-supplement-mixed-berry</v>
      </c>
      <c r="C4050" t="s">
        <v>9410</v>
      </c>
      <c r="D4050" t="s">
        <v>11348</v>
      </c>
      <c r="E4050" s="3" t="str">
        <f>HYPERLINK("https://www.amazon.com/Prevagen-Memory-Regular-Apoaequorin-Attractive-Supplement/dp/B0BN712XBP/ref=sr_1_10?keywords=Prevagen+Chewables+Dietary+Supplement-+Mixed+Berry&amp;qid=1695260645&amp;sr=8-10", "https://www.amazon.com/Prevagen-Memory-Regular-Apoaequorin-Attractive-Supplement/dp/B0BN712XBP/ref=sr_1_10?keywords=Prevagen+Chewables+Dietary+Supplement-+Mixed+Berry&amp;qid=1695260645&amp;sr=8-10")</f>
        <v>https://www.amazon.com/Prevagen-Memory-Regular-Apoaequorin-Attractive-Supplement/dp/B0BN712XBP/ref=sr_1_10?keywords=Prevagen+Chewables+Dietary+Supplement-+Mixed+Berry&amp;qid=1695260645&amp;sr=8-10</v>
      </c>
      <c r="F4050" t="s">
        <v>11349</v>
      </c>
      <c r="G4050" t="e">
        <f ca="1">IMAGE("https://shop.sonapharmacy.com/cdn/shop/products/PrevagenChewablesDietarySupplement-MixedBerry.jpg?v=1594304231")</f>
        <v>#NAME?</v>
      </c>
      <c r="H4050" t="e">
        <f ca="1">IMAGE("https://m.media-amazon.com/images/I/71-0Dd2NbLL._AC_UL320_.jpg")</f>
        <v>#NAME?</v>
      </c>
      <c r="I4050" t="s">
        <v>3535</v>
      </c>
      <c r="J4050">
        <v>73.900000000000006</v>
      </c>
      <c r="K4050" s="2" t="s">
        <v>11350</v>
      </c>
      <c r="L4050">
        <v>4.8</v>
      </c>
      <c r="M4050">
        <v>7</v>
      </c>
      <c r="O4050" t="s">
        <v>39</v>
      </c>
      <c r="P4050" t="s">
        <v>39</v>
      </c>
      <c r="Q4050" t="s">
        <v>9414</v>
      </c>
    </row>
    <row r="4051" spans="1:17" ht="15.75" x14ac:dyDescent="0.25">
      <c r="A4051" s="3" t="str">
        <f>HYPERLINK("https://shop.sonapharmacy.com/products/prevagen-chewables-dietary-supplement-mixed-berry", "https://shop.sonapharmacy.com/products/prevagen-chewables-dietary-supplement-mixed-berry")</f>
        <v>https://shop.sonapharmacy.com/products/prevagen-chewables-dietary-supplement-mixed-berry</v>
      </c>
      <c r="B4051" s="3" t="str">
        <f>HYPERLINK("https://shop.sonapharmacy.com/products/prevagen-chewables-dietary-supplement-mixed-berry", "https://shop.sonapharmacy.com/products/prevagen-chewables-dietary-supplement-mixed-berry")</f>
        <v>https://shop.sonapharmacy.com/products/prevagen-chewables-dietary-supplement-mixed-berry</v>
      </c>
      <c r="C4051" t="s">
        <v>9410</v>
      </c>
      <c r="D4051" t="s">
        <v>11351</v>
      </c>
      <c r="E4051" s="3" t="str">
        <f>HYPERLINK("https://www.amazon.com/Prevagen-Quincy-Bioscience-Aequorin-Capsules/dp/B01LZYUHSP/ref=sr_1_6?keywords=Prevagen+Chewables+Dietary+Supplement-+Mixed+Berry&amp;qid=1695260645&amp;sr=8-6", "https://www.amazon.com/Prevagen-Quincy-Bioscience-Aequorin-Capsules/dp/B01LZYUHSP/ref=sr_1_6?keywords=Prevagen+Chewables+Dietary+Supplement-+Mixed+Berry&amp;qid=1695260645&amp;sr=8-6")</f>
        <v>https://www.amazon.com/Prevagen-Quincy-Bioscience-Aequorin-Capsules/dp/B01LZYUHSP/ref=sr_1_6?keywords=Prevagen+Chewables+Dietary+Supplement-+Mixed+Berry&amp;qid=1695260645&amp;sr=8-6</v>
      </c>
      <c r="F4051" t="s">
        <v>11352</v>
      </c>
      <c r="G4051" t="e">
        <f ca="1">IMAGE("https://shop.sonapharmacy.com/cdn/shop/products/PrevagenChewablesDietarySupplement-MixedBerry.jpg?v=1594304231")</f>
        <v>#NAME?</v>
      </c>
      <c r="H4051" t="e">
        <f ca="1">IMAGE("https://m.media-amazon.com/images/I/81GX9S9AINL._AC_UL320_.jpg")</f>
        <v>#NAME?</v>
      </c>
      <c r="I4051" t="s">
        <v>3535</v>
      </c>
      <c r="J4051">
        <v>73.900000000000006</v>
      </c>
      <c r="K4051" s="2" t="s">
        <v>11350</v>
      </c>
      <c r="L4051">
        <v>4.4000000000000004</v>
      </c>
      <c r="M4051">
        <v>2423</v>
      </c>
      <c r="O4051" t="s">
        <v>39</v>
      </c>
      <c r="P4051" t="s">
        <v>39</v>
      </c>
      <c r="Q4051" t="s">
        <v>9414</v>
      </c>
    </row>
    <row r="4052" spans="1:17" ht="15.75" x14ac:dyDescent="0.25">
      <c r="A4052" s="3" t="str">
        <f>HYPERLINK("https://shop.sonapharmacy.com/products/nature-made-1200-mg-fish-oil-with-vitamin-d-softgels", "https://shop.sonapharmacy.com/products/nature-made-1200-mg-fish-oil-with-vitamin-d-softgels")</f>
        <v>https://shop.sonapharmacy.com/products/nature-made-1200-mg-fish-oil-with-vitamin-d-softgels</v>
      </c>
      <c r="B4052" s="3" t="str">
        <f>HYPERLINK("https://shop.sonapharmacy.com/products/nature-made-1200-mg-fish-oil-with-vitamin-d-softgels", "https://shop.sonapharmacy.com/products/nature-made-1200-mg-fish-oil-with-vitamin-d-softgels")</f>
        <v>https://shop.sonapharmacy.com/products/nature-made-1200-mg-fish-oil-with-vitamin-d-softgels</v>
      </c>
      <c r="C4052" t="s">
        <v>10987</v>
      </c>
      <c r="D4052" t="s">
        <v>11353</v>
      </c>
      <c r="E4052" s="3" t="str">
        <f>HYPERLINK("https://www.amazon.com/Healthy-Supplement-Softgels-Vitamins-Supplements/dp/B0C2GQSY8N/ref=sr_1_8?keywords=Nature+Made%C2%AE+Fish+Oil+With+Vitamin+D+1000IU+Softgels+90ct.&amp;qid=1695260532&amp;sr=8-8", "https://www.amazon.com/Healthy-Supplement-Softgels-Vitamins-Supplements/dp/B0C2GQSY8N/ref=sr_1_8?keywords=Nature+Made%C2%AE+Fish+Oil+With+Vitamin+D+1000IU+Softgels+90ct.&amp;qid=1695260532&amp;sr=8-8")</f>
        <v>https://www.amazon.com/Healthy-Supplement-Softgels-Vitamins-Supplements/dp/B0C2GQSY8N/ref=sr_1_8?keywords=Nature+Made%C2%AE+Fish+Oil+With+Vitamin+D+1000IU+Softgels+90ct.&amp;qid=1695260532&amp;sr=8-8</v>
      </c>
      <c r="F4052" t="s">
        <v>11354</v>
      </c>
      <c r="G4052" t="e">
        <f ca="1">IMAGE("https://shop.sonapharmacy.com/cdn/shop/products/51_VoT57JNL._AC.jpg?v=1610049471")</f>
        <v>#NAME?</v>
      </c>
      <c r="H4052" t="e">
        <f ca="1">IMAGE("https://m.media-amazon.com/images/I/61HM7DmOTQL._AC_UL320_.jpg")</f>
        <v>#NAME?</v>
      </c>
      <c r="I4052" t="s">
        <v>10990</v>
      </c>
      <c r="J4052">
        <v>39.15</v>
      </c>
      <c r="K4052" s="2" t="s">
        <v>11355</v>
      </c>
      <c r="L4052">
        <v>3.9</v>
      </c>
      <c r="M4052">
        <v>5</v>
      </c>
      <c r="O4052" t="s">
        <v>26</v>
      </c>
      <c r="P4052" t="s">
        <v>39</v>
      </c>
      <c r="Q4052" t="s">
        <v>10992</v>
      </c>
    </row>
    <row r="4053" spans="1:17" ht="15.75" x14ac:dyDescent="0.25">
      <c r="A4053" s="3" t="str">
        <f>HYPERLINK("https://shop.sonapharmacy.com/products/lotrimin%C2%AE-af-daily-prevention-tolnaftate-antifungal-powder", "https://shop.sonapharmacy.com/products/lotrimin%C2%AE-af-daily-prevention-tolnaftate-antifungal-powder")</f>
        <v>https://shop.sonapharmacy.com/products/lotrimin%C2%AE-af-daily-prevention-tolnaftate-antifungal-powder</v>
      </c>
      <c r="B4053" s="3" t="str">
        <f>HYPERLINK("https://shop.sonapharmacy.com/products/lotrimin%c2%ae-af-daily-prevention-tolnaftate-antifungal-powder", "https://shop.sonapharmacy.com/products/lotrimin%c2%ae-af-daily-prevention-tolnaftate-antifungal-powder")</f>
        <v>https://shop.sonapharmacy.com/products/lotrimin%c2%ae-af-daily-prevention-tolnaftate-antifungal-powder</v>
      </c>
      <c r="C4053" t="s">
        <v>11356</v>
      </c>
      <c r="D4053" t="s">
        <v>11357</v>
      </c>
      <c r="E4053" s="3" t="str">
        <f>HYPERLINK("https://www.amazon.com/Lotrimin-Prevention-Tolnaftate-Antifungal-Clinically/dp/B0872XBXD2/ref=sr_1_1?keywords=Lotrimin%C2%AE+AF+Daily+Prevention+Tolnaftate+Antifungal+Powder+3oz.&amp;qid=1695260442&amp;rdc=1&amp;sr=8-1", "https://www.amazon.com/Lotrimin-Prevention-Tolnaftate-Antifungal-Clinically/dp/B0872XBXD2/ref=sr_1_1?keywords=Lotrimin%C2%AE+AF+Daily+Prevention+Tolnaftate+Antifungal+Powder+3oz.&amp;qid=1695260442&amp;rdc=1&amp;sr=8-1")</f>
        <v>https://www.amazon.com/Lotrimin-Prevention-Tolnaftate-Antifungal-Clinically/dp/B0872XBXD2/ref=sr_1_1?keywords=Lotrimin%C2%AE+AF+Daily+Prevention+Tolnaftate+Antifungal+Powder+3oz.&amp;qid=1695260442&amp;rdc=1&amp;sr=8-1</v>
      </c>
      <c r="F4053" t="s">
        <v>11358</v>
      </c>
      <c r="G4053" t="e">
        <f ca="1">IMAGE("https://shop.sonapharmacy.com/cdn/shop/products/81sMkz6MZcL._AC_SL1500.jpg?v=1610336551")</f>
        <v>#NAME?</v>
      </c>
      <c r="H4053" t="e">
        <f ca="1">IMAGE("https://m.media-amazon.com/images/I/81-p2YTxm9L._AC_UL320_.jpg")</f>
        <v>#NAME?</v>
      </c>
      <c r="I4053" t="s">
        <v>11359</v>
      </c>
      <c r="J4053">
        <v>28.41</v>
      </c>
      <c r="K4053" s="2" t="s">
        <v>11360</v>
      </c>
      <c r="L4053">
        <v>4.7</v>
      </c>
      <c r="M4053">
        <v>988</v>
      </c>
      <c r="O4053" t="s">
        <v>26</v>
      </c>
      <c r="P4053" t="s">
        <v>39</v>
      </c>
      <c r="Q4053" t="s">
        <v>11361</v>
      </c>
    </row>
    <row r="4054" spans="1:17" ht="15.75" x14ac:dyDescent="0.25">
      <c r="A4054" s="3" t="str">
        <f>HYPERLINK("https://shop.sonapharmacy.com/products/lotrimin%C2%AE-af-jock-itch-antifungal-powder-spray", "https://shop.sonapharmacy.com/products/lotrimin%C2%AE-af-jock-itch-antifungal-powder-spray")</f>
        <v>https://shop.sonapharmacy.com/products/lotrimin%C2%AE-af-jock-itch-antifungal-powder-spray</v>
      </c>
      <c r="B4054" s="3" t="str">
        <f>HYPERLINK("https://shop.sonapharmacy.com/products/lotrimin%c2%ae-af-jock-itch-antifungal-powder-spray", "https://shop.sonapharmacy.com/products/lotrimin%c2%ae-af-jock-itch-antifungal-powder-spray")</f>
        <v>https://shop.sonapharmacy.com/products/lotrimin%c2%ae-af-jock-itch-antifungal-powder-spray</v>
      </c>
      <c r="C4054" t="s">
        <v>11331</v>
      </c>
      <c r="D4054" t="s">
        <v>11287</v>
      </c>
      <c r="E4054" s="3" t="str">
        <f>HYPERLINK("https://www.amazon.com/Lotrimin-Antifungal-Miconazole-Clinically-Effective/dp/B0039NN81S/ref=sr_1_1?keywords=Lotrimin%C2%AE+AF+Jock+Itch+Antifungal+Powder+Spray&amp;qid=1695260446&amp;rdc=1&amp;sr=8-1", "https://www.amazon.com/Lotrimin-Antifungal-Miconazole-Clinically-Effective/dp/B0039NN81S/ref=sr_1_1?keywords=Lotrimin%C2%AE+AF+Jock+Itch+Antifungal+Powder+Spray&amp;qid=1695260446&amp;rdc=1&amp;sr=8-1")</f>
        <v>https://www.amazon.com/Lotrimin-Antifungal-Miconazole-Clinically-Effective/dp/B0039NN81S/ref=sr_1_1?keywords=Lotrimin%C2%AE+AF+Jock+Itch+Antifungal+Powder+Spray&amp;qid=1695260446&amp;rdc=1&amp;sr=8-1</v>
      </c>
      <c r="F4054" t="s">
        <v>11288</v>
      </c>
      <c r="G4054" t="e">
        <f ca="1">IMAGE("https://shop.sonapharmacy.com/cdn/shop/products/lotriminspray.jpg?v=1607963309")</f>
        <v>#NAME?</v>
      </c>
      <c r="H4054" t="e">
        <f ca="1">IMAGE("https://m.media-amazon.com/images/I/81+WiTMkfCL._AC_UL320_.jpg")</f>
        <v>#NAME?</v>
      </c>
      <c r="I4054" t="s">
        <v>11328</v>
      </c>
      <c r="J4054">
        <v>26.01</v>
      </c>
      <c r="K4054" s="2" t="s">
        <v>11362</v>
      </c>
      <c r="L4054">
        <v>4.5999999999999996</v>
      </c>
      <c r="M4054">
        <v>11066</v>
      </c>
      <c r="O4054" t="s">
        <v>26</v>
      </c>
      <c r="P4054" t="s">
        <v>39</v>
      </c>
      <c r="Q4054" t="s">
        <v>11332</v>
      </c>
    </row>
    <row r="4055" spans="1:17" ht="15.75" x14ac:dyDescent="0.25">
      <c r="A4055" s="3" t="str">
        <f>HYPERLINK("https://shop.sonapharmacy.com/products/preservision-areds-formula-soft-gels", "https://shop.sonapharmacy.com/products/preservision-areds-formula-soft-gels")</f>
        <v>https://shop.sonapharmacy.com/products/preservision-areds-formula-soft-gels</v>
      </c>
      <c r="B4055" s="3" t="str">
        <f>HYPERLINK("https://shop.sonapharmacy.com/products/preservision-areds-formula-soft-gels", "https://shop.sonapharmacy.com/products/preservision-areds-formula-soft-gels")</f>
        <v>https://shop.sonapharmacy.com/products/preservision-areds-formula-soft-gels</v>
      </c>
      <c r="C4055" t="s">
        <v>8013</v>
      </c>
      <c r="D4055" t="s">
        <v>11363</v>
      </c>
      <c r="E4055" s="3" t="str">
        <f>HYPERLINK("https://www.amazon.com/PreserVision-Supplement-Contains-Zeaxanthin-Packaging/dp/B09TG6TP2Y/ref=sr_1_6?keywords=PreserVision+AREDS+Formula+Soft+Gels&amp;qid=1695260640&amp;sr=8-6", "https://www.amazon.com/PreserVision-Supplement-Contains-Zeaxanthin-Packaging/dp/B09TG6TP2Y/ref=sr_1_6?keywords=PreserVision+AREDS+Formula+Soft+Gels&amp;qid=1695260640&amp;sr=8-6")</f>
        <v>https://www.amazon.com/PreserVision-Supplement-Contains-Zeaxanthin-Packaging/dp/B09TG6TP2Y/ref=sr_1_6?keywords=PreserVision+AREDS+Formula+Soft+Gels&amp;qid=1695260640&amp;sr=8-6</v>
      </c>
      <c r="F4055" t="s">
        <v>11364</v>
      </c>
      <c r="G4055" t="e">
        <f ca="1">IMAGE("https://shop.sonapharmacy.com/cdn/shop/products/PreserVisionAREDSFormulaSoftGels3.jpg?v=1594926297")</f>
        <v>#NAME?</v>
      </c>
      <c r="H4055" t="e">
        <f ca="1">IMAGE("https://m.media-amazon.com/images/I/81omxUMifpL._AC_UL320_.jpg")</f>
        <v>#NAME?</v>
      </c>
      <c r="I4055" t="s">
        <v>8016</v>
      </c>
      <c r="J4055">
        <v>39.99</v>
      </c>
      <c r="K4055" s="2" t="s">
        <v>11365</v>
      </c>
      <c r="L4055">
        <v>4.5999999999999996</v>
      </c>
      <c r="M4055">
        <v>7036</v>
      </c>
      <c r="O4055" t="s">
        <v>26</v>
      </c>
      <c r="P4055" t="s">
        <v>39</v>
      </c>
      <c r="Q4055" t="s">
        <v>8018</v>
      </c>
    </row>
    <row r="4056" spans="1:17" ht="15.75" x14ac:dyDescent="0.25">
      <c r="A4056" s="3" t="str">
        <f>HYPERLINK("https://shop.sonapharmacy.com/products/bd-home-sharps-container", "https://shop.sonapharmacy.com/products/bd-home-sharps-container")</f>
        <v>https://shop.sonapharmacy.com/products/bd-home-sharps-container</v>
      </c>
      <c r="B4056" s="3" t="str">
        <f>HYPERLINK("https://shop.sonapharmacy.com/products/bd-home-sharps-container", "https://shop.sonapharmacy.com/products/bd-home-sharps-container")</f>
        <v>https://shop.sonapharmacy.com/products/bd-home-sharps-container</v>
      </c>
      <c r="C4056" t="s">
        <v>8261</v>
      </c>
      <c r="D4056" t="s">
        <v>11366</v>
      </c>
      <c r="E4056" s="3" t="str">
        <f>HYPERLINK("https://www.amazon.com/Sharps-Container-Personal-Healthcare-Health/dp/B00EXPVFQQ/ref=sr_1_8?keywords=BD%C2%AE+Home+Sharps+Container&amp;qid=1695260089&amp;sr=8-8", "https://www.amazon.com/Sharps-Container-Personal-Healthcare-Health/dp/B00EXPVFQQ/ref=sr_1_8?keywords=BD%C2%AE+Home+Sharps+Container&amp;qid=1695260089&amp;sr=8-8")</f>
        <v>https://www.amazon.com/Sharps-Container-Personal-Healthcare-Health/dp/B00EXPVFQQ/ref=sr_1_8?keywords=BD%C2%AE+Home+Sharps+Container&amp;qid=1695260089&amp;sr=8-8</v>
      </c>
      <c r="F4056" t="s">
        <v>11367</v>
      </c>
      <c r="G4056" t="e">
        <f ca="1">IMAGE("https://shop.sonapharmacy.com/cdn/shop/products/001655246.jpg?v=1609343493")</f>
        <v>#NAME?</v>
      </c>
      <c r="H4056" t="e">
        <f ca="1">IMAGE("https://m.media-amazon.com/images/I/41y5b35cS9L._AC_UL320_.jpg")</f>
        <v>#NAME?</v>
      </c>
      <c r="I4056" t="s">
        <v>8264</v>
      </c>
      <c r="J4056">
        <v>10.01</v>
      </c>
      <c r="K4056" s="2" t="s">
        <v>11368</v>
      </c>
      <c r="L4056">
        <v>3.8</v>
      </c>
      <c r="M4056">
        <v>7</v>
      </c>
      <c r="O4056" t="s">
        <v>26</v>
      </c>
      <c r="P4056" t="s">
        <v>39</v>
      </c>
      <c r="Q4056" t="s">
        <v>8266</v>
      </c>
    </row>
    <row r="4057" spans="1:17" ht="15.75" x14ac:dyDescent="0.25">
      <c r="A4057" s="3" t="str">
        <f>HYPERLINK("https://shop.sonapharmacy.com/products/bd-home-sharps-container", "https://shop.sonapharmacy.com/products/bd-home-sharps-container")</f>
        <v>https://shop.sonapharmacy.com/products/bd-home-sharps-container</v>
      </c>
      <c r="B4057" s="3" t="str">
        <f>HYPERLINK("https://shop.sonapharmacy.com/products/bd-home-sharps-container", "https://shop.sonapharmacy.com/products/bd-home-sharps-container")</f>
        <v>https://shop.sonapharmacy.com/products/bd-home-sharps-container</v>
      </c>
      <c r="C4057" t="s">
        <v>8261</v>
      </c>
      <c r="D4057" t="s">
        <v>11369</v>
      </c>
      <c r="E4057" s="3" t="str">
        <f>HYPERLINK("https://www.amazon.com/Home-Sharps-Container-Quarts-Each/dp/B0070P64IA/ref=sr_1_5?keywords=BD%C2%AE+Home+Sharps+Container&amp;qid=1695260089&amp;sr=8-5", "https://www.amazon.com/Home-Sharps-Container-Quarts-Each/dp/B0070P64IA/ref=sr_1_5?keywords=BD%C2%AE+Home+Sharps+Container&amp;qid=1695260089&amp;sr=8-5")</f>
        <v>https://www.amazon.com/Home-Sharps-Container-Quarts-Each/dp/B0070P64IA/ref=sr_1_5?keywords=BD%C2%AE+Home+Sharps+Container&amp;qid=1695260089&amp;sr=8-5</v>
      </c>
      <c r="F4057" t="s">
        <v>11370</v>
      </c>
      <c r="G4057" t="e">
        <f ca="1">IMAGE("https://shop.sonapharmacy.com/cdn/shop/products/001655246.jpg?v=1609343493")</f>
        <v>#NAME?</v>
      </c>
      <c r="H4057" t="e">
        <f ca="1">IMAGE("https://m.media-amazon.com/images/I/31s+KDdHoHL._AC_UL320_.jpg")</f>
        <v>#NAME?</v>
      </c>
      <c r="I4057" t="s">
        <v>8264</v>
      </c>
      <c r="J4057">
        <v>10.01</v>
      </c>
      <c r="K4057" s="2" t="s">
        <v>11368</v>
      </c>
      <c r="L4057">
        <v>3.9</v>
      </c>
      <c r="M4057">
        <v>22</v>
      </c>
      <c r="O4057" t="s">
        <v>26</v>
      </c>
      <c r="P4057" t="s">
        <v>39</v>
      </c>
      <c r="Q4057" t="s">
        <v>8266</v>
      </c>
    </row>
    <row r="4058" spans="1:17" ht="15.75" x14ac:dyDescent="0.25">
      <c r="A4058" s="3" t="str">
        <f>HYPERLINK("https://shop.sonapharmacy.com/products/pataday%C2%AE-once-daily-relief-allergy-relief-eye-drop-2-5ml", "https://shop.sonapharmacy.com/products/pataday%C2%AE-once-daily-relief-allergy-relief-eye-drop-2-5ml")</f>
        <v>https://shop.sonapharmacy.com/products/pataday%C2%AE-once-daily-relief-allergy-relief-eye-drop-2-5ml</v>
      </c>
      <c r="B4058" s="3" t="str">
        <f>HYPERLINK("https://shop.sonapharmacy.com/products/pataday%c2%ae-once-daily-relief-allergy-relief-eye-drop-2-5ml", "https://shop.sonapharmacy.com/products/pataday%c2%ae-once-daily-relief-allergy-relief-eye-drop-2-5ml")</f>
        <v>https://shop.sonapharmacy.com/products/pataday%c2%ae-once-daily-relief-allergy-relief-eye-drop-2-5ml</v>
      </c>
      <c r="C4058" t="s">
        <v>11371</v>
      </c>
      <c r="D4058" t="s">
        <v>11372</v>
      </c>
      <c r="E4058" s="3" t="str">
        <f>HYPERLINK("https://www.amazon.com/Pataday-Daily-Relief-Allergy-Drops/dp/B0BQ2RNVHF/ref=sr_1_4?keywords=Pataday%C2%AE+Once+Daily+Relief+Allergy+Relief+Eye+Drop+2.5ml&amp;qid=1695260623&amp;sr=8-4", "https://www.amazon.com/Pataday-Daily-Relief-Allergy-Drops/dp/B0BQ2RNVHF/ref=sr_1_4?keywords=Pataday%C2%AE+Once+Daily+Relief+Allergy+Relief+Eye+Drop+2.5ml&amp;qid=1695260623&amp;sr=8-4")</f>
        <v>https://www.amazon.com/Pataday-Daily-Relief-Allergy-Drops/dp/B0BQ2RNVHF/ref=sr_1_4?keywords=Pataday%C2%AE+Once+Daily+Relief+Allergy+Relief+Eye+Drop+2.5ml&amp;qid=1695260623&amp;sr=8-4</v>
      </c>
      <c r="F4058" t="s">
        <v>11373</v>
      </c>
      <c r="G4058" t="e">
        <f ca="1">IMAGE("https://shop.sonapharmacy.com/cdn/shop/products/99f6ec47-fcf0-48b5-9019-7c897e0f65ea_2.bbe61c9c81b6b47a4e42d3496469a095.png?v=1608662275")</f>
        <v>#NAME?</v>
      </c>
      <c r="H4058" t="e">
        <f ca="1">IMAGE("https://m.media-amazon.com/images/I/51qnrjn6dkL._AC_UL320_.jpg")</f>
        <v>#NAME?</v>
      </c>
      <c r="I4058" t="s">
        <v>11374</v>
      </c>
      <c r="J4058">
        <v>44.64</v>
      </c>
      <c r="K4058" s="2" t="s">
        <v>11375</v>
      </c>
      <c r="L4058">
        <v>4.5999999999999996</v>
      </c>
      <c r="M4058">
        <v>13</v>
      </c>
      <c r="O4058" t="s">
        <v>26</v>
      </c>
      <c r="P4058" t="s">
        <v>39</v>
      </c>
      <c r="Q4058" t="s">
        <v>11376</v>
      </c>
    </row>
    <row r="4059" spans="1:17" ht="15.75" x14ac:dyDescent="0.25">
      <c r="A4059" s="3" t="str">
        <f>HYPERLINK("https://shop.sonapharmacy.com/products/revlon%C2%AE-nail-clipper-with-fingernail-file", "https://shop.sonapharmacy.com/products/revlon%C2%AE-nail-clipper-with-fingernail-file")</f>
        <v>https://shop.sonapharmacy.com/products/revlon%C2%AE-nail-clipper-with-fingernail-file</v>
      </c>
      <c r="B4059" s="3" t="str">
        <f>HYPERLINK("https://shop.sonapharmacy.com/products/revlon%c2%ae-nail-clipper-with-fingernail-file", "https://shop.sonapharmacy.com/products/revlon%c2%ae-nail-clipper-with-fingernail-file")</f>
        <v>https://shop.sonapharmacy.com/products/revlon%c2%ae-nail-clipper-with-fingernail-file</v>
      </c>
      <c r="C4059" t="s">
        <v>11377</v>
      </c>
      <c r="D4059" t="s">
        <v>11378</v>
      </c>
      <c r="E4059" s="3" t="str">
        <f>HYPERLINK("https://www.amazon.com/Clippers-Toenail-Fingernail-Clipper-Stainless/dp/B0BD4HBJZY/ref=sr_1_8?keywords=Revlon%C2%AE+Nail+Clipper+with+Fingernail+File&amp;qid=1695260708&amp;sr=8-8", "https://www.amazon.com/Clippers-Toenail-Fingernail-Clipper-Stainless/dp/B0BD4HBJZY/ref=sr_1_8?keywords=Revlon%C2%AE+Nail+Clipper+with+Fingernail+File&amp;qid=1695260708&amp;sr=8-8")</f>
        <v>https://www.amazon.com/Clippers-Toenail-Fingernail-Clipper-Stainless/dp/B0BD4HBJZY/ref=sr_1_8?keywords=Revlon%C2%AE+Nail+Clipper+with+Fingernail+File&amp;qid=1695260708&amp;sr=8-8</v>
      </c>
      <c r="F4059" t="s">
        <v>11379</v>
      </c>
      <c r="G4059" t="e">
        <f ca="1">IMAGE("https://shop.sonapharmacy.com/cdn/shop/products/5127dCbCYdL._SL1000.jpg?v=1610908245")</f>
        <v>#NAME?</v>
      </c>
      <c r="H4059" t="e">
        <f ca="1">IMAGE("https://m.media-amazon.com/images/I/61j1Cx+h-2L._AC_UL320_.jpg")</f>
        <v>#NAME?</v>
      </c>
      <c r="I4059" t="s">
        <v>11380</v>
      </c>
      <c r="J4059">
        <v>4.99</v>
      </c>
      <c r="K4059" s="2" t="s">
        <v>11381</v>
      </c>
      <c r="L4059">
        <v>4.4000000000000004</v>
      </c>
      <c r="M4059">
        <v>142</v>
      </c>
      <c r="O4059" t="s">
        <v>26</v>
      </c>
      <c r="P4059" t="s">
        <v>39</v>
      </c>
      <c r="Q4059" t="s">
        <v>11382</v>
      </c>
    </row>
    <row r="4060" spans="1:17" ht="15.75" x14ac:dyDescent="0.25">
      <c r="A4060" s="3" t="str">
        <f>HYPERLINK("https://shop.sonapharmacy.com/products/nexcare-gentle-paper-tape-with-dispenser", "https://shop.sonapharmacy.com/products/nexcare-gentle-paper-tape-with-dispenser")</f>
        <v>https://shop.sonapharmacy.com/products/nexcare-gentle-paper-tape-with-dispenser</v>
      </c>
      <c r="B4060" s="3" t="str">
        <f>HYPERLINK("https://shop.sonapharmacy.com/products/nexcare-gentle-paper-tape-with-dispenser", "https://shop.sonapharmacy.com/products/nexcare-gentle-paper-tape-with-dispenser")</f>
        <v>https://shop.sonapharmacy.com/products/nexcare-gentle-paper-tape-with-dispenser</v>
      </c>
      <c r="C4060" t="s">
        <v>9113</v>
      </c>
      <c r="D4060" t="s">
        <v>11383</v>
      </c>
      <c r="E4060" s="3" t="str">
        <f>HYPERLINK("https://www.amazon.com/Nexcare-Gentle-Paper-Carded-First/dp/B00I3J4GRS/ref=sr_1_7?keywords=Nexcare+Gentle+Paper+Tape&amp;qid=1695260585&amp;sr=8-7", "https://www.amazon.com/Nexcare-Gentle-Paper-Carded-First/dp/B00I3J4GRS/ref=sr_1_7?keywords=Nexcare+Gentle+Paper+Tape&amp;qid=1695260585&amp;sr=8-7")</f>
        <v>https://www.amazon.com/Nexcare-Gentle-Paper-Carded-First/dp/B00I3J4GRS/ref=sr_1_7?keywords=Nexcare+Gentle+Paper+Tape&amp;qid=1695260585&amp;sr=8-7</v>
      </c>
      <c r="F4060" t="s">
        <v>11384</v>
      </c>
      <c r="G4060" t="e">
        <f ca="1">IMAGE("https://shop.sonapharmacy.com/cdn/shop/products/817vSXJ0jlL._AC_SL1500.jpg?v=1607703211")</f>
        <v>#NAME?</v>
      </c>
      <c r="H4060" t="e">
        <f ca="1">IMAGE("https://m.media-amazon.com/images/I/81K7guZMJQL._AC_UL320_.jpg")</f>
        <v>#NAME?</v>
      </c>
      <c r="I4060" t="s">
        <v>8760</v>
      </c>
      <c r="J4060">
        <v>11.82</v>
      </c>
      <c r="K4060" s="2" t="s">
        <v>11385</v>
      </c>
      <c r="L4060">
        <v>4.5999999999999996</v>
      </c>
      <c r="M4060">
        <v>266</v>
      </c>
      <c r="O4060" t="s">
        <v>136</v>
      </c>
      <c r="P4060" t="s">
        <v>39</v>
      </c>
      <c r="Q4060" t="s">
        <v>9117</v>
      </c>
    </row>
    <row r="4061" spans="1:17" ht="15.75" x14ac:dyDescent="0.25">
      <c r="A4061" s="3" t="str">
        <f>HYPERLINK("https://shop.sonapharmacy.com/products/nexcare-tegaderm", "https://shop.sonapharmacy.com/products/nexcare-tegaderm")</f>
        <v>https://shop.sonapharmacy.com/products/nexcare-tegaderm</v>
      </c>
      <c r="B4061" s="3" t="str">
        <f>HYPERLINK("https://shop.sonapharmacy.com/products/nexcare-tegaderm", "https://shop.sonapharmacy.com/products/nexcare-tegaderm")</f>
        <v>https://shop.sonapharmacy.com/products/nexcare-tegaderm</v>
      </c>
      <c r="C4061" t="s">
        <v>11243</v>
      </c>
      <c r="D4061" t="s">
        <v>11386</v>
      </c>
      <c r="E4061" s="3" t="str">
        <f>HYPERLINK("https://www.amazon.com/Nexcare-Tegaderm-Waterproof-Transparent-Dressing/dp/B0792Q5RT8/ref=sr_1_9?keywords=Nexcare+Tegaderm&amp;qid=1695260581&amp;sr=8-9", "https://www.amazon.com/Nexcare-Tegaderm-Waterproof-Transparent-Dressing/dp/B0792Q5RT8/ref=sr_1_9?keywords=Nexcare+Tegaderm&amp;qid=1695260581&amp;sr=8-9")</f>
        <v>https://www.amazon.com/Nexcare-Tegaderm-Waterproof-Transparent-Dressing/dp/B0792Q5RT8/ref=sr_1_9?keywords=Nexcare+Tegaderm&amp;qid=1695260581&amp;sr=8-9</v>
      </c>
      <c r="F4061" t="s">
        <v>11387</v>
      </c>
      <c r="G4061" t="e">
        <f ca="1">IMAGE("https://shop.sonapharmacy.com/cdn/shop/products/us-h1626-tegaderm-waterproof-transparent-dressing.jpg?v=1607203084")</f>
        <v>#NAME?</v>
      </c>
      <c r="H4061" t="e">
        <f ca="1">IMAGE("https://m.media-amazon.com/images/I/81OE55eb8TL._AC_UL320_.jpg")</f>
        <v>#NAME?</v>
      </c>
      <c r="I4061" t="s">
        <v>11246</v>
      </c>
      <c r="J4061">
        <v>37.54</v>
      </c>
      <c r="K4061" s="2" t="s">
        <v>11388</v>
      </c>
      <c r="L4061">
        <v>4.7</v>
      </c>
      <c r="M4061">
        <v>81</v>
      </c>
      <c r="O4061" t="s">
        <v>26</v>
      </c>
      <c r="P4061" t="s">
        <v>39</v>
      </c>
      <c r="Q4061" t="s">
        <v>11248</v>
      </c>
    </row>
    <row r="4062" spans="1:17" ht="15.75" x14ac:dyDescent="0.25">
      <c r="A4062" s="3" t="str">
        <f>HYPERLINK("https://shop.sonapharmacy.com/products/claritin%C2%AE-tablets-24-hour", "https://shop.sonapharmacy.com/products/claritin%C2%AE-tablets-24-hour")</f>
        <v>https://shop.sonapharmacy.com/products/claritin%C2%AE-tablets-24-hour</v>
      </c>
      <c r="B4062" s="3" t="str">
        <f>HYPERLINK("https://shop.sonapharmacy.com/products/claritin%c2%ae-tablets-24-hour", "https://shop.sonapharmacy.com/products/claritin%c2%ae-tablets-24-hour")</f>
        <v>https://shop.sonapharmacy.com/products/claritin%c2%ae-tablets-24-hour</v>
      </c>
      <c r="C4062" t="s">
        <v>8495</v>
      </c>
      <c r="D4062" t="s">
        <v>11389</v>
      </c>
      <c r="E4062" s="3" t="str">
        <f>HYPERLINK("https://www.amazon.com/Claritin-Non-Drowsy-Allergy-Tablets-Count/dp/B000FL95OG/ref=sr_1_10?keywords=Claritin%C2%AE+Tablets+24-Hour&amp;qid=1695260144&amp;sr=8-10", "https://www.amazon.com/Claritin-Non-Drowsy-Allergy-Tablets-Count/dp/B000FL95OG/ref=sr_1_10?keywords=Claritin%C2%AE+Tablets+24-Hour&amp;qid=1695260144&amp;sr=8-10")</f>
        <v>https://www.amazon.com/Claritin-Non-Drowsy-Allergy-Tablets-Count/dp/B000FL95OG/ref=sr_1_10?keywords=Claritin%C2%AE+Tablets+24-Hour&amp;qid=1695260144&amp;sr=8-10</v>
      </c>
      <c r="F4062" t="s">
        <v>11390</v>
      </c>
      <c r="G4062" t="e">
        <f ca="1">IMAGE("https://shop.sonapharmacy.com/cdn/shop/products/Untitled-172.jpg?v=1593451168")</f>
        <v>#NAME?</v>
      </c>
      <c r="H4062" t="e">
        <f ca="1">IMAGE("https://m.media-amazon.com/images/I/71HOstgM2XL._AC_UL320_.jpg")</f>
        <v>#NAME?</v>
      </c>
      <c r="I4062" t="s">
        <v>8498</v>
      </c>
      <c r="J4062">
        <v>13.9</v>
      </c>
      <c r="K4062" s="2" t="s">
        <v>11391</v>
      </c>
      <c r="L4062">
        <v>4.7</v>
      </c>
      <c r="M4062">
        <v>324</v>
      </c>
      <c r="O4062" t="s">
        <v>26</v>
      </c>
      <c r="P4062" t="s">
        <v>39</v>
      </c>
      <c r="Q4062" t="s">
        <v>8500</v>
      </c>
    </row>
    <row r="4063" spans="1:17" ht="15.75" x14ac:dyDescent="0.25">
      <c r="A4063" s="3" t="str">
        <f>HYPERLINK("https://shop.sonapharmacy.com/products/coppertone%C2%AE-kids-sunscreen-spf-50-spray-6fl-oz", "https://shop.sonapharmacy.com/products/coppertone%C2%AE-kids-sunscreen-spf-50-spray-6fl-oz")</f>
        <v>https://shop.sonapharmacy.com/products/coppertone%C2%AE-kids-sunscreen-spf-50-spray-6fl-oz</v>
      </c>
      <c r="B4063" s="3" t="str">
        <f>HYPERLINK("https://shop.sonapharmacy.com/products/coppertone%c2%ae-kids-sunscreen-spf-50-spray-6fl-oz", "https://shop.sonapharmacy.com/products/coppertone%c2%ae-kids-sunscreen-spf-50-spray-6fl-oz")</f>
        <v>https://shop.sonapharmacy.com/products/coppertone%c2%ae-kids-sunscreen-spf-50-spray-6fl-oz</v>
      </c>
      <c r="C4063" t="s">
        <v>11083</v>
      </c>
      <c r="D4063" t="s">
        <v>11392</v>
      </c>
      <c r="E4063" s="3" t="str">
        <f>HYPERLINK("https://www.amazon.com/Coppertone-Sunscreen-Mineral-Resistant-Spectrum/dp/B09PC867T3/ref=sr_1_3?keywords=Coppertone%C2%AE+Kids+Sunscreen+SPF+50+Spray+6fl.+oz.&amp;qid=1695260156&amp;sr=8-3", "https://www.amazon.com/Coppertone-Sunscreen-Mineral-Resistant-Spectrum/dp/B09PC867T3/ref=sr_1_3?keywords=Coppertone%C2%AE+Kids+Sunscreen+SPF+50+Spray+6fl.+oz.&amp;qid=1695260156&amp;sr=8-3")</f>
        <v>https://www.amazon.com/Coppertone-Sunscreen-Mineral-Resistant-Spectrum/dp/B09PC867T3/ref=sr_1_3?keywords=Coppertone%C2%AE+Kids+Sunscreen+SPF+50+Spray+6fl.+oz.&amp;qid=1695260156&amp;sr=8-3</v>
      </c>
      <c r="F4063" t="s">
        <v>11393</v>
      </c>
      <c r="G4063" t="e">
        <f ca="1">IMAGE("https://shop.sonapharmacy.com/cdn/shop/products/8029872e-169c-47af-9483-d93f9609f873_1.4d9345ef9baa4a0e3cf8aeab35f6263e.jpg?v=1609272882")</f>
        <v>#NAME?</v>
      </c>
      <c r="H4063" t="e">
        <f ca="1">IMAGE("https://m.media-amazon.com/images/I/519AMeih+lL._AC_UL320_.jpg")</f>
        <v>#NAME?</v>
      </c>
      <c r="I4063" t="s">
        <v>11086</v>
      </c>
      <c r="J4063">
        <v>20.88</v>
      </c>
      <c r="K4063" s="2" t="s">
        <v>11394</v>
      </c>
      <c r="L4063">
        <v>4.0999999999999996</v>
      </c>
      <c r="M4063">
        <v>40</v>
      </c>
      <c r="O4063" t="s">
        <v>26</v>
      </c>
      <c r="P4063" t="s">
        <v>39</v>
      </c>
      <c r="Q4063" t="s">
        <v>11088</v>
      </c>
    </row>
    <row r="4064" spans="1:17" ht="15.75" x14ac:dyDescent="0.25">
      <c r="A4064" s="3" t="str">
        <f>HYPERLINK("https://shop.sonapharmacy.com/products/aspercreme-pain-relieving-creme", "https://shop.sonapharmacy.com/products/aspercreme-pain-relieving-creme")</f>
        <v>https://shop.sonapharmacy.com/products/aspercreme-pain-relieving-creme</v>
      </c>
      <c r="B4064" s="3" t="str">
        <f>HYPERLINK("https://shop.sonapharmacy.com/products/aspercreme-pain-relieving-creme", "https://shop.sonapharmacy.com/products/aspercreme-pain-relieving-creme")</f>
        <v>https://shop.sonapharmacy.com/products/aspercreme-pain-relieving-creme</v>
      </c>
      <c r="C4064" t="s">
        <v>8372</v>
      </c>
      <c r="D4064" t="s">
        <v>11395</v>
      </c>
      <c r="E4064" s="3" t="str">
        <f>HYPERLINK("https://www.amazon.com/ASPERCREME-Pain-Relieving-Creme-1-25/dp/B01IAI4P90/ref=sr_1_8?keywords=Aspercreme+Pain+Relieving+Creme&amp;qid=1695260061&amp;sr=8-8", "https://www.amazon.com/ASPERCREME-Pain-Relieving-Creme-1-25/dp/B01IAI4P90/ref=sr_1_8?keywords=Aspercreme+Pain+Relieving+Creme&amp;qid=1695260061&amp;sr=8-8")</f>
        <v>https://www.amazon.com/ASPERCREME-Pain-Relieving-Creme-1-25/dp/B01IAI4P90/ref=sr_1_8?keywords=Aspercreme+Pain+Relieving+Creme&amp;qid=1695260061&amp;sr=8-8</v>
      </c>
      <c r="F4064" t="s">
        <v>11396</v>
      </c>
      <c r="G4064" t="e">
        <f ca="1">IMAGE("https://shop.sonapharmacy.com/cdn/shop/products/71L3ZWcemAL._AC_SL1280.jpg?v=1611192722")</f>
        <v>#NAME?</v>
      </c>
      <c r="H4064" t="e">
        <f ca="1">IMAGE("https://m.media-amazon.com/images/I/71VKx2D58xL._AC_UL320_.jpg")</f>
        <v>#NAME?</v>
      </c>
      <c r="I4064" t="s">
        <v>8341</v>
      </c>
      <c r="J4064">
        <v>17.07</v>
      </c>
      <c r="K4064" s="2" t="s">
        <v>11397</v>
      </c>
      <c r="L4064">
        <v>4.4000000000000004</v>
      </c>
      <c r="M4064">
        <v>40</v>
      </c>
      <c r="O4064" t="s">
        <v>26</v>
      </c>
      <c r="P4064" t="s">
        <v>39</v>
      </c>
      <c r="Q4064" t="s">
        <v>8376</v>
      </c>
    </row>
    <row r="4065" spans="1:17" ht="15.75" x14ac:dyDescent="0.25">
      <c r="A4065" s="3" t="str">
        <f>HYPERLINK("https://shop.sonapharmacy.com/products/coricidin-hbp-cough-cold-relief-tablets", "https://shop.sonapharmacy.com/products/coricidin-hbp-cough-cold-relief-tablets")</f>
        <v>https://shop.sonapharmacy.com/products/coricidin-hbp-cough-cold-relief-tablets</v>
      </c>
      <c r="B4065" s="3" t="str">
        <f>HYPERLINK("https://shop.sonapharmacy.com/products/coricidin-hbp-cough-cold-relief-tablets", "https://shop.sonapharmacy.com/products/coricidin-hbp-cough-cold-relief-tablets")</f>
        <v>https://shop.sonapharmacy.com/products/coricidin-hbp-cough-cold-relief-tablets</v>
      </c>
      <c r="C4065" t="s">
        <v>9663</v>
      </c>
      <c r="D4065" t="s">
        <v>11398</v>
      </c>
      <c r="E4065" s="3" t="str">
        <f>HYPERLINK("https://www.amazon.com/Coricidin-HBP-Cough-Cold-Tablets/dp/B073SZ851Z/ref=sr_1_5?keywords=Coricidin%C2%AE+HBP+Cough+%26+Cold+Relief+Tablets&amp;qid=1695260160&amp;sr=8-5", "https://www.amazon.com/Coricidin-HBP-Cough-Cold-Tablets/dp/B073SZ851Z/ref=sr_1_5?keywords=Coricidin%C2%AE+HBP+Cough+%26+Cold+Relief+Tablets&amp;qid=1695260160&amp;sr=8-5")</f>
        <v>https://www.amazon.com/Coricidin-HBP-Cough-Cold-Tablets/dp/B073SZ851Z/ref=sr_1_5?keywords=Coricidin%C2%AE+HBP+Cough+%26+Cold+Relief+Tablets&amp;qid=1695260160&amp;sr=8-5</v>
      </c>
      <c r="F4065" t="s">
        <v>11399</v>
      </c>
      <c r="G4065" t="e">
        <f ca="1">IMAGE("https://shop.sonapharmacy.com/cdn/shop/products/CoricidinHBPCough_ColdReliefTablets.png?v=1595523273")</f>
        <v>#NAME?</v>
      </c>
      <c r="H4065" t="e">
        <f ca="1">IMAGE("https://m.media-amazon.com/images/I/81lNo2Vn4OL._AC_UL320_.jpg")</f>
        <v>#NAME?</v>
      </c>
      <c r="I4065" t="s">
        <v>8231</v>
      </c>
      <c r="J4065">
        <v>22.07</v>
      </c>
      <c r="K4065" s="2" t="s">
        <v>11400</v>
      </c>
      <c r="L4065">
        <v>4.5999999999999996</v>
      </c>
      <c r="M4065">
        <v>10</v>
      </c>
      <c r="O4065" t="s">
        <v>26</v>
      </c>
      <c r="P4065" t="s">
        <v>39</v>
      </c>
      <c r="Q4065" t="s">
        <v>9667</v>
      </c>
    </row>
    <row r="4066" spans="1:17" ht="15.75" x14ac:dyDescent="0.25">
      <c r="A4066" s="3" t="str">
        <f>HYPERLINK("https://shop.sonapharmacy.com/products/nexcare-gentle-paper-tape-with-dispenser", "https://shop.sonapharmacy.com/products/nexcare-gentle-paper-tape-with-dispenser")</f>
        <v>https://shop.sonapharmacy.com/products/nexcare-gentle-paper-tape-with-dispenser</v>
      </c>
      <c r="B4066" s="3" t="str">
        <f>HYPERLINK("https://shop.sonapharmacy.com/products/nexcare-gentle-paper-tape-with-dispenser", "https://shop.sonapharmacy.com/products/nexcare-gentle-paper-tape-with-dispenser")</f>
        <v>https://shop.sonapharmacy.com/products/nexcare-gentle-paper-tape-with-dispenser</v>
      </c>
      <c r="C4066" t="s">
        <v>9113</v>
      </c>
      <c r="D4066" t="s">
        <v>11401</v>
      </c>
      <c r="E4066" s="3" t="str">
        <f>HYPERLINK("https://www.amazon.com/Nexcare-Gentle-Securing-Dressings-Carded/dp/B09R6YLX8T/ref=sr_1_2?keywords=Nexcare+Gentle+Paper+Tape&amp;qid=1695260585&amp;sr=8-2", "https://www.amazon.com/Nexcare-Gentle-Securing-Dressings-Carded/dp/B09R6YLX8T/ref=sr_1_2?keywords=Nexcare+Gentle+Paper+Tape&amp;qid=1695260585&amp;sr=8-2")</f>
        <v>https://www.amazon.com/Nexcare-Gentle-Securing-Dressings-Carded/dp/B09R6YLX8T/ref=sr_1_2?keywords=Nexcare+Gentle+Paper+Tape&amp;qid=1695260585&amp;sr=8-2</v>
      </c>
      <c r="F4066" t="s">
        <v>11402</v>
      </c>
      <c r="G4066" t="e">
        <f ca="1">IMAGE("https://shop.sonapharmacy.com/cdn/shop/products/817vSXJ0jlL._AC_SL1500.jpg?v=1607703211")</f>
        <v>#NAME?</v>
      </c>
      <c r="H4066" t="e">
        <f ca="1">IMAGE("https://m.media-amazon.com/images/I/81F-09TG-UL._AC_UL320_.jpg")</f>
        <v>#NAME?</v>
      </c>
      <c r="I4066" t="s">
        <v>8760</v>
      </c>
      <c r="J4066">
        <v>11.7</v>
      </c>
      <c r="K4066" s="2" t="s">
        <v>11403</v>
      </c>
      <c r="L4066">
        <v>4.5999999999999996</v>
      </c>
      <c r="M4066">
        <v>10787</v>
      </c>
      <c r="O4066" t="s">
        <v>136</v>
      </c>
      <c r="P4066" t="s">
        <v>39</v>
      </c>
      <c r="Q4066" t="s">
        <v>9117</v>
      </c>
    </row>
    <row r="4067" spans="1:17" ht="15.75" x14ac:dyDescent="0.25">
      <c r="A4067"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B4067"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C4067" t="s">
        <v>8889</v>
      </c>
      <c r="D4067" t="s">
        <v>11404</v>
      </c>
      <c r="E4067" s="3" t="str">
        <f>HYPERLINK("https://www.amazon.com/Colgate-Whitening-Toothpaste-Breath-Strips/dp/B0795Z8SWZ/ref=sr_1_1?keywords=Colgate%C2%AE+Max+Fresh%C2%AE+With+Breath+Strips+Clean+Mint+Toothpaste+6oz.&amp;qid=1695260147&amp;sr=8-1", "https://www.amazon.com/Colgate-Whitening-Toothpaste-Breath-Strips/dp/B0795Z8SWZ/ref=sr_1_1?keywords=Colgate%C2%AE+Max+Fresh%C2%AE+With+Breath+Strips+Clean+Mint+Toothpaste+6oz.&amp;qid=1695260147&amp;sr=8-1")</f>
        <v>https://www.amazon.com/Colgate-Whitening-Toothpaste-Breath-Strips/dp/B0795Z8SWZ/ref=sr_1_1?keywords=Colgate%C2%AE+Max+Fresh%C2%AE+With+Breath+Strips+Clean+Mint+Toothpaste+6oz.&amp;qid=1695260147&amp;sr=8-1</v>
      </c>
      <c r="F4067" t="s">
        <v>11405</v>
      </c>
      <c r="G4067" t="e">
        <f ca="1">IMAGE("https://shop.sonapharmacy.com/cdn/shop/products/c6289988-8c06-4eaa-9b0b-ecd363befe31_1.0de5bc9f4f35f28fcf4241c46ae2d5e0.png?v=1608652798")</f>
        <v>#NAME?</v>
      </c>
      <c r="H4067" t="e">
        <f ca="1">IMAGE("https://m.media-amazon.com/images/I/91itw3TGTKL._AC_UL320_.jpg")</f>
        <v>#NAME?</v>
      </c>
      <c r="I4067" t="s">
        <v>8102</v>
      </c>
      <c r="J4067">
        <v>10</v>
      </c>
      <c r="K4067" s="2" t="s">
        <v>11406</v>
      </c>
      <c r="L4067">
        <v>4.8</v>
      </c>
      <c r="M4067">
        <v>18860</v>
      </c>
      <c r="O4067" t="s">
        <v>26</v>
      </c>
      <c r="P4067" t="s">
        <v>39</v>
      </c>
      <c r="Q4067" t="s">
        <v>8893</v>
      </c>
    </row>
    <row r="4068" spans="1:17" ht="15.75" x14ac:dyDescent="0.25">
      <c r="A4068" s="3" t="str">
        <f>HYPERLINK("https://shop.sonapharmacy.com/products/sunbum%C2%AE-original-spf-50-sunscreen-spray-6oz", "https://shop.sonapharmacy.com/products/sunbum%C2%AE-original-spf-50-sunscreen-spray-6oz")</f>
        <v>https://shop.sonapharmacy.com/products/sunbum%C2%AE-original-spf-50-sunscreen-spray-6oz</v>
      </c>
      <c r="B4068" s="3" t="str">
        <f>HYPERLINK("https://shop.sonapharmacy.com/products/sunbum%c2%ae-original-spf-50-sunscreen-spray-6oz", "https://shop.sonapharmacy.com/products/sunbum%c2%ae-original-spf-50-sunscreen-spray-6oz")</f>
        <v>https://shop.sonapharmacy.com/products/sunbum%c2%ae-original-spf-50-sunscreen-spray-6oz</v>
      </c>
      <c r="C4068" t="s">
        <v>11222</v>
      </c>
      <c r="D4068" t="s">
        <v>11407</v>
      </c>
      <c r="E4068" s="3" t="str">
        <f>HYPERLINK("https://www.amazon.com/Sun-Bum-Octinoxate-Oxybenzone-Moisturizing/dp/B0C2VJF4MY/ref=sr_1_6?keywords=Sun+Bum%C2%AE+Original+SPF+50+Sunscreen+Spray+6oz.&amp;qid=1695260740&amp;sr=8-6", "https://www.amazon.com/Sun-Bum-Octinoxate-Oxybenzone-Moisturizing/dp/B0C2VJF4MY/ref=sr_1_6?keywords=Sun+Bum%C2%AE+Original+SPF+50+Sunscreen+Spray+6oz.&amp;qid=1695260740&amp;sr=8-6")</f>
        <v>https://www.amazon.com/Sun-Bum-Octinoxate-Oxybenzone-Moisturizing/dp/B0C2VJF4MY/ref=sr_1_6?keywords=Sun+Bum%C2%AE+Original+SPF+50+Sunscreen+Spray+6oz.&amp;qid=1695260740&amp;sr=8-6</v>
      </c>
      <c r="F4068" t="s">
        <v>11408</v>
      </c>
      <c r="G4068" t="e">
        <f ca="1">IMAGE("https://shop.sonapharmacy.com/cdn/shop/products/71a9elrSXbL._AC_SL1500.jpg?v=1611869711")</f>
        <v>#NAME?</v>
      </c>
      <c r="H4068" t="e">
        <f ca="1">IMAGE("https://m.media-amazon.com/images/I/41VLpeG89DL._AC_UL320_.jpg")</f>
        <v>#NAME?</v>
      </c>
      <c r="I4068" t="s">
        <v>3394</v>
      </c>
      <c r="J4068">
        <v>32.03</v>
      </c>
      <c r="K4068" s="2" t="s">
        <v>11409</v>
      </c>
      <c r="L4068">
        <v>5</v>
      </c>
      <c r="M4068">
        <v>2</v>
      </c>
      <c r="O4068" t="s">
        <v>26</v>
      </c>
      <c r="P4068" t="s">
        <v>39</v>
      </c>
      <c r="Q4068" t="s">
        <v>11226</v>
      </c>
    </row>
    <row r="4069" spans="1:17" ht="15.75" x14ac:dyDescent="0.25">
      <c r="A4069" s="3" t="str">
        <f>HYPERLINK("https://shop.sonapharmacy.com/products/owen-mumford-autodrop%C2%AE-eye-drop-guide", "https://shop.sonapharmacy.com/products/owen-mumford-autodrop%C2%AE-eye-drop-guide")</f>
        <v>https://shop.sonapharmacy.com/products/owen-mumford-autodrop%C2%AE-eye-drop-guide</v>
      </c>
      <c r="B4069" s="3" t="str">
        <f>HYPERLINK("https://shop.sonapharmacy.com/products/owen-mumford-autodrop%c2%ae-eye-drop-guide", "https://shop.sonapharmacy.com/products/owen-mumford-autodrop%c2%ae-eye-drop-guide")</f>
        <v>https://shop.sonapharmacy.com/products/owen-mumford-autodrop%c2%ae-eye-drop-guide</v>
      </c>
      <c r="C4069" t="s">
        <v>11410</v>
      </c>
      <c r="D4069" t="s">
        <v>11411</v>
      </c>
      <c r="E4069" s="3" t="str">
        <f>HYPERLINK("https://www.amazon.com/Mumford-OP-6000-Autodrop-Guide/dp/B002LVV3OI/ref=sr_1_1?keywords=Owen+Mumford+Autodrop%C2%AE+Eye+Drop+Guide&amp;qid=1695260624&amp;sr=8-1", "https://www.amazon.com/Mumford-OP-6000-Autodrop-Guide/dp/B002LVV3OI/ref=sr_1_1?keywords=Owen+Mumford+Autodrop%C2%AE+Eye+Drop+Guide&amp;qid=1695260624&amp;sr=8-1")</f>
        <v>https://www.amazon.com/Mumford-OP-6000-Autodrop-Guide/dp/B002LVV3OI/ref=sr_1_1?keywords=Owen+Mumford+Autodrop%C2%AE+Eye+Drop+Guide&amp;qid=1695260624&amp;sr=8-1</v>
      </c>
      <c r="F4069" t="s">
        <v>11412</v>
      </c>
      <c r="G4069" t="e">
        <f ca="1">IMAGE("https://shop.sonapharmacy.com/cdn/shop/products/61Q9_C9VIxL._AC_SL1119.jpg?v=1609171061")</f>
        <v>#NAME?</v>
      </c>
      <c r="H4069" t="e">
        <f ca="1">IMAGE("https://m.media-amazon.com/images/I/61Q9+C9VIxL._AC_UL320_.jpg")</f>
        <v>#NAME?</v>
      </c>
      <c r="I4069" t="s">
        <v>8411</v>
      </c>
      <c r="J4069">
        <v>7.99</v>
      </c>
      <c r="K4069" s="2" t="s">
        <v>11413</v>
      </c>
      <c r="L4069">
        <v>3.8</v>
      </c>
      <c r="M4069">
        <v>4475</v>
      </c>
      <c r="O4069" t="s">
        <v>136</v>
      </c>
      <c r="P4069" t="s">
        <v>39</v>
      </c>
      <c r="Q4069" t="s">
        <v>11414</v>
      </c>
    </row>
    <row r="4070" spans="1:17" ht="15.75" x14ac:dyDescent="0.25">
      <c r="A4070" s="3" t="str">
        <f>HYPERLINK("https://shop.sonapharmacy.com/products/boudreauxs-butt-paste%C2%AE-original-diaper-rash-ointment", "https://shop.sonapharmacy.com/products/boudreauxs-butt-paste%C2%AE-original-diaper-rash-ointment")</f>
        <v>https://shop.sonapharmacy.com/products/boudreauxs-butt-paste%C2%AE-original-diaper-rash-ointment</v>
      </c>
      <c r="B4070" s="3" t="str">
        <f>HYPERLINK("https://shop.sonapharmacy.com/products/boudreauxs-butt-paste%c2%ae-original-diaper-rash-ointment", "https://shop.sonapharmacy.com/products/boudreauxs-butt-paste%c2%ae-original-diaper-rash-ointment")</f>
        <v>https://shop.sonapharmacy.com/products/boudreauxs-butt-paste%c2%ae-original-diaper-rash-ointment</v>
      </c>
      <c r="C4070" t="s">
        <v>9281</v>
      </c>
      <c r="D4070" t="s">
        <v>11415</v>
      </c>
      <c r="E4070" s="3" t="str">
        <f>HYPERLINK("https://www.amazon.com/Boudreauxs-Butt-Paste-Size-2z/dp/B00E4MQG26/ref=sr_1_3?keywords=Boudreaux%27s+Butt+Paste%C2%AE+Original+Diaper+Rash+Ointment&amp;qid=1695260099&amp;sr=8-3", "https://www.amazon.com/Boudreauxs-Butt-Paste-Size-2z/dp/B00E4MQG26/ref=sr_1_3?keywords=Boudreaux%27s+Butt+Paste%C2%AE+Original+Diaper+Rash+Ointment&amp;qid=1695260099&amp;sr=8-3")</f>
        <v>https://www.amazon.com/Boudreauxs-Butt-Paste-Size-2z/dp/B00E4MQG26/ref=sr_1_3?keywords=Boudreaux%27s+Butt+Paste%C2%AE+Original+Diaper+Rash+Ointment&amp;qid=1695260099&amp;sr=8-3</v>
      </c>
      <c r="F4070" t="s">
        <v>11416</v>
      </c>
      <c r="G4070" t="e">
        <f ca="1">IMAGE("https://shop.sonapharmacy.com/cdn/shop/products/2oz.jpg?v=1609271951")</f>
        <v>#NAME?</v>
      </c>
      <c r="H4070" t="e">
        <f ca="1">IMAGE("https://m.media-amazon.com/images/I/61gQu-GsDbL._AC_UL320_.jpg")</f>
        <v>#NAME?</v>
      </c>
      <c r="I4070" t="s">
        <v>9284</v>
      </c>
      <c r="J4070">
        <v>12.99</v>
      </c>
      <c r="K4070" s="2" t="s">
        <v>11417</v>
      </c>
      <c r="L4070">
        <v>4.8</v>
      </c>
      <c r="M4070">
        <v>110</v>
      </c>
      <c r="O4070" t="s">
        <v>26</v>
      </c>
      <c r="P4070" t="s">
        <v>39</v>
      </c>
      <c r="Q4070" t="s">
        <v>9286</v>
      </c>
    </row>
    <row r="4071" spans="1:17" ht="15.75" x14ac:dyDescent="0.25">
      <c r="A4071" s="3" t="str">
        <f>HYPERLINK("https://shop.sonapharmacy.com/products/lemongrass-oil-1-oz", "https://shop.sonapharmacy.com/products/lemongrass-oil-1-oz")</f>
        <v>https://shop.sonapharmacy.com/products/lemongrass-oil-1-oz</v>
      </c>
      <c r="B4071" s="3" t="str">
        <f>HYPERLINK("https://shop.sonapharmacy.com/products/lemongrass-oil-1-oz", "https://shop.sonapharmacy.com/products/lemongrass-oil-1-oz")</f>
        <v>https://shop.sonapharmacy.com/products/lemongrass-oil-1-oz</v>
      </c>
      <c r="C4071" t="s">
        <v>11418</v>
      </c>
      <c r="D4071" t="s">
        <v>11419</v>
      </c>
      <c r="E4071" s="3" t="str">
        <f>HYPERLINK("https://www.amazon.com/Cliganic-Essential-Oils-Lemongrass-Organic/dp/B07QB8FWKK/ref=sr_1_7?keywords=NOW%C2%AE+Lemongrass+Oil+1oz.&amp;qid=1695260595&amp;rdc=1&amp;sr=8-7", "https://www.amazon.com/Cliganic-Essential-Oils-Lemongrass-Organic/dp/B07QB8FWKK/ref=sr_1_7?keywords=NOW%C2%AE+Lemongrass+Oil+1oz.&amp;qid=1695260595&amp;rdc=1&amp;sr=8-7")</f>
        <v>https://www.amazon.com/Cliganic-Essential-Oils-Lemongrass-Organic/dp/B07QB8FWKK/ref=sr_1_7?keywords=NOW%C2%AE+Lemongrass+Oil+1oz.&amp;qid=1695260595&amp;rdc=1&amp;sr=8-7</v>
      </c>
      <c r="F4071" t="s">
        <v>11420</v>
      </c>
      <c r="G4071" t="e">
        <f ca="1">IMAGE("https://shop.sonapharmacy.com/cdn/shop/products/7582_mainimage_0.jpg?v=1609358550")</f>
        <v>#NAME?</v>
      </c>
      <c r="H4071" t="e">
        <f ca="1">IMAGE("https://m.media-amazon.com/images/I/615hG2p0zWS._AC_UL320_.jpg")</f>
        <v>#NAME?</v>
      </c>
      <c r="I4071" t="s">
        <v>9048</v>
      </c>
      <c r="J4071">
        <v>13.99</v>
      </c>
      <c r="K4071" s="2" t="s">
        <v>11421</v>
      </c>
      <c r="L4071">
        <v>4.5</v>
      </c>
      <c r="M4071">
        <v>88479</v>
      </c>
      <c r="O4071" t="s">
        <v>26</v>
      </c>
      <c r="P4071" t="s">
        <v>39</v>
      </c>
      <c r="Q4071" t="s">
        <v>11422</v>
      </c>
    </row>
    <row r="4072" spans="1:17" ht="15.75" x14ac:dyDescent="0.25">
      <c r="A4072" s="3" t="str">
        <f>HYPERLINK("https://shop.sonapharmacy.com/products/sunbum%C2%AE-original-spf-30-sunscreen-lotion", "https://shop.sonapharmacy.com/products/sunbum%C2%AE-original-spf-30-sunscreen-lotion")</f>
        <v>https://shop.sonapharmacy.com/products/sunbum%C2%AE-original-spf-30-sunscreen-lotion</v>
      </c>
      <c r="B4072" s="3" t="str">
        <f>HYPERLINK("https://shop.sonapharmacy.com/products/sunbum%c2%ae-original-spf-30-sunscreen-lotion", "https://shop.sonapharmacy.com/products/sunbum%c2%ae-original-spf-30-sunscreen-lotion")</f>
        <v>https://shop.sonapharmacy.com/products/sunbum%c2%ae-original-spf-30-sunscreen-lotion</v>
      </c>
      <c r="C4072" t="s">
        <v>10325</v>
      </c>
      <c r="D4072" t="s">
        <v>11423</v>
      </c>
      <c r="E4072" s="3" t="str">
        <f>HYPERLINK("https://www.amazon.com/Sun-Bum-Octinoxate-Oxybenzone-Moisturizing/dp/B0C7SKNG2K/ref=sr_1_3?keywords=Sun+Bum%C2%AE+Original+SPF+30+Sunscreen+Lotion&amp;qid=1695260773&amp;sr=8-3", "https://www.amazon.com/Sun-Bum-Octinoxate-Oxybenzone-Moisturizing/dp/B0C7SKNG2K/ref=sr_1_3?keywords=Sun+Bum%C2%AE+Original+SPF+30+Sunscreen+Lotion&amp;qid=1695260773&amp;sr=8-3")</f>
        <v>https://www.amazon.com/Sun-Bum-Octinoxate-Oxybenzone-Moisturizing/dp/B0C7SKNG2K/ref=sr_1_3?keywords=Sun+Bum%C2%AE+Original+SPF+30+Sunscreen+Lotion&amp;qid=1695260773&amp;sr=8-3</v>
      </c>
      <c r="F4072" t="s">
        <v>11424</v>
      </c>
      <c r="G4072" t="e">
        <f ca="1">IMAGE("https://shop.sonapharmacy.com/cdn/shop/products/7112Mn16XDL._SL1500.jpg?v=1611869378")</f>
        <v>#NAME?</v>
      </c>
      <c r="H4072" t="e">
        <f ca="1">IMAGE("https://m.media-amazon.com/images/I/61wrfekRSzL._AC_UL320_.jpg")</f>
        <v>#NAME?</v>
      </c>
      <c r="I4072" t="s">
        <v>4873</v>
      </c>
      <c r="J4072">
        <v>19.989999999999998</v>
      </c>
      <c r="K4072" s="2" t="s">
        <v>11425</v>
      </c>
      <c r="L4072">
        <v>4.8</v>
      </c>
      <c r="M4072">
        <v>8020</v>
      </c>
      <c r="O4072" t="s">
        <v>26</v>
      </c>
      <c r="P4072" t="s">
        <v>39</v>
      </c>
      <c r="Q4072" t="s">
        <v>10329</v>
      </c>
    </row>
    <row r="4073" spans="1:17" ht="15.75" x14ac:dyDescent="0.25">
      <c r="A4073" s="3" t="str">
        <f>HYPERLINK("https://shop.sonapharmacy.com/products/sunbum%C2%AE-original-spf-50-sunscreen-spray-6oz", "https://shop.sonapharmacy.com/products/sunbum%C2%AE-original-spf-50-sunscreen-spray-6oz")</f>
        <v>https://shop.sonapharmacy.com/products/sunbum%C2%AE-original-spf-50-sunscreen-spray-6oz</v>
      </c>
      <c r="B4073" s="3" t="str">
        <f>HYPERLINK("https://shop.sonapharmacy.com/products/sunbum%c2%ae-original-spf-50-sunscreen-spray-6oz", "https://shop.sonapharmacy.com/products/sunbum%c2%ae-original-spf-50-sunscreen-spray-6oz")</f>
        <v>https://shop.sonapharmacy.com/products/sunbum%c2%ae-original-spf-50-sunscreen-spray-6oz</v>
      </c>
      <c r="C4073" t="s">
        <v>11222</v>
      </c>
      <c r="D4073" t="s">
        <v>11426</v>
      </c>
      <c r="E4073" s="3" t="str">
        <f>HYPERLINK("https://www.amazon.com/Sun-Bum-octinoxate-Oxybenzone-Moisturizing/dp/B086R4GXK5/ref=sr_1_2?keywords=Sun+Bum%C2%AE+Original+SPF+50+Sunscreen+Spray+6oz.&amp;qid=1695260740&amp;sr=8-2", "https://www.amazon.com/Sun-Bum-octinoxate-Oxybenzone-Moisturizing/dp/B086R4GXK5/ref=sr_1_2?keywords=Sun+Bum%C2%AE+Original+SPF+50+Sunscreen+Spray+6oz.&amp;qid=1695260740&amp;sr=8-2")</f>
        <v>https://www.amazon.com/Sun-Bum-octinoxate-Oxybenzone-Moisturizing/dp/B086R4GXK5/ref=sr_1_2?keywords=Sun+Bum%C2%AE+Original+SPF+50+Sunscreen+Spray+6oz.&amp;qid=1695260740&amp;sr=8-2</v>
      </c>
      <c r="F4073" t="s">
        <v>11427</v>
      </c>
      <c r="G4073" t="e">
        <f ca="1">IMAGE("https://shop.sonapharmacy.com/cdn/shop/products/71a9elrSXbL._AC_SL1500.jpg?v=1611869711")</f>
        <v>#NAME?</v>
      </c>
      <c r="H4073" t="e">
        <f ca="1">IMAGE("https://m.media-amazon.com/images/I/81Ypvjc6MTL._AC_UL320_.jpg")</f>
        <v>#NAME?</v>
      </c>
      <c r="I4073" t="s">
        <v>3394</v>
      </c>
      <c r="J4073">
        <v>31.99</v>
      </c>
      <c r="K4073" s="2" t="s">
        <v>7637</v>
      </c>
      <c r="L4073">
        <v>4.8</v>
      </c>
      <c r="M4073">
        <v>1109</v>
      </c>
      <c r="O4073" t="s">
        <v>26</v>
      </c>
      <c r="P4073" t="s">
        <v>39</v>
      </c>
      <c r="Q4073" t="s">
        <v>11226</v>
      </c>
    </row>
    <row r="4074" spans="1:17" ht="15.75" x14ac:dyDescent="0.25">
      <c r="A4074" s="3" t="str">
        <f>HYPERLINK("https://shop.sonapharmacy.com/products/philips%C2%AE-sonicare-1100-daily-clean-electric-toothbrush", "https://shop.sonapharmacy.com/products/philips%C2%AE-sonicare-1100-daily-clean-electric-toothbrush")</f>
        <v>https://shop.sonapharmacy.com/products/philips%C2%AE-sonicare-1100-daily-clean-electric-toothbrush</v>
      </c>
      <c r="B4074" s="3" t="str">
        <f>HYPERLINK("https://shop.sonapharmacy.com/products/philips%c2%ae-sonicare-1100-daily-clean-electric-toothbrush", "https://shop.sonapharmacy.com/products/philips%c2%ae-sonicare-1100-daily-clean-electric-toothbrush")</f>
        <v>https://shop.sonapharmacy.com/products/philips%c2%ae-sonicare-1100-daily-clean-electric-toothbrush</v>
      </c>
      <c r="C4074" t="s">
        <v>11428</v>
      </c>
      <c r="D4074" t="s">
        <v>11429</v>
      </c>
      <c r="E4074" s="3" t="str">
        <f>HYPERLINK("https://www.amazon.com/Philips-Sonicare-Dailyclean-Rechargeable-Toothbrush/dp/B09K8RYDK3/ref=sr_1_5?keywords=Philip%27s%C2%AE+Sonicare+1100+Daily+Clean+Electric+Toothbrush&amp;qid=1695260635&amp;sr=8-5", "https://www.amazon.com/Philips-Sonicare-Dailyclean-Rechargeable-Toothbrush/dp/B09K8RYDK3/ref=sr_1_5?keywords=Philip%27s%C2%AE+Sonicare+1100+Daily+Clean+Electric+Toothbrush&amp;qid=1695260635&amp;sr=8-5")</f>
        <v>https://www.amazon.com/Philips-Sonicare-Dailyclean-Rechargeable-Toothbrush/dp/B09K8RYDK3/ref=sr_1_5?keywords=Philip%27s%C2%AE+Sonicare+1100+Daily+Clean+Electric+Toothbrush&amp;qid=1695260635&amp;sr=8-5</v>
      </c>
      <c r="F4074" t="s">
        <v>11430</v>
      </c>
      <c r="G4074" t="e">
        <f ca="1">IMAGE("https://shop.sonapharmacy.com/cdn/shop/products/ead938eb-0b84-44ca-80e3-51c79afb01d2.74bc2eab271bbad9bb49b14d4cdea77e.jpg?v=1608583461")</f>
        <v>#NAME?</v>
      </c>
      <c r="H4074" t="e">
        <f ca="1">IMAGE("https://m.media-amazon.com/images/I/61xN+1caMlL._AC_UL320_.jpg")</f>
        <v>#NAME?</v>
      </c>
      <c r="I4074" t="s">
        <v>3404</v>
      </c>
      <c r="J4074">
        <v>59.99</v>
      </c>
      <c r="K4074" s="2" t="s">
        <v>4669</v>
      </c>
      <c r="L4074">
        <v>4.5999999999999996</v>
      </c>
      <c r="M4074">
        <v>295</v>
      </c>
      <c r="O4074" t="s">
        <v>26</v>
      </c>
      <c r="P4074" t="s">
        <v>39</v>
      </c>
      <c r="Q4074" t="s">
        <v>11431</v>
      </c>
    </row>
    <row r="4075" spans="1:17" ht="15.75" x14ac:dyDescent="0.25">
      <c r="A4075" s="3" t="str">
        <f>HYPERLINK("https://shop.sonapharmacy.com/products/eos%C2%AE-strawberry-sorbet-lip-balm", "https://shop.sonapharmacy.com/products/eos%C2%AE-strawberry-sorbet-lip-balm")</f>
        <v>https://shop.sonapharmacy.com/products/eos%C2%AE-strawberry-sorbet-lip-balm</v>
      </c>
      <c r="B4075" s="3" t="str">
        <f>HYPERLINK("https://shop.sonapharmacy.com/products/eos%c2%ae-strawberry-sorbet-lip-balm", "https://shop.sonapharmacy.com/products/eos%c2%ae-strawberry-sorbet-lip-balm")</f>
        <v>https://shop.sonapharmacy.com/products/eos%c2%ae-strawberry-sorbet-lip-balm</v>
      </c>
      <c r="C4075" t="s">
        <v>8408</v>
      </c>
      <c r="D4075" t="s">
        <v>11432</v>
      </c>
      <c r="E4075" s="3" t="str">
        <f>HYPERLINK("https://www.amazon.com/eos-Strawberry-Dermatologist-Recommended-Sensitive/dp/B0BV64ZLCN/ref=sr_1_5?keywords=EOS%C2%AE+Strawberry+Sorbet+Lip+Balm&amp;qid=1695260249&amp;sr=8-5", "https://www.amazon.com/eos-Strawberry-Dermatologist-Recommended-Sensitive/dp/B0BV64ZLCN/ref=sr_1_5?keywords=EOS%C2%AE+Strawberry+Sorbet+Lip+Balm&amp;qid=1695260249&amp;sr=8-5")</f>
        <v>https://www.amazon.com/eos-Strawberry-Dermatologist-Recommended-Sensitive/dp/B0BV64ZLCN/ref=sr_1_5?keywords=EOS%C2%AE+Strawberry+Sorbet+Lip+Balm&amp;qid=1695260249&amp;sr=8-5</v>
      </c>
      <c r="F4075" t="s">
        <v>11433</v>
      </c>
      <c r="G4075" t="e">
        <f ca="1">IMAGE("https://shop.sonapharmacy.com/cdn/shop/products/892992002847-1a_VB__70684.1610588860.jpg?v=1610642796")</f>
        <v>#NAME?</v>
      </c>
      <c r="H4075" t="e">
        <f ca="1">IMAGE("https://m.media-amazon.com/images/I/51zeSrOkupL._AC_UL320_.jpg")</f>
        <v>#NAME?</v>
      </c>
      <c r="I4075" t="s">
        <v>8411</v>
      </c>
      <c r="J4075">
        <v>7.98</v>
      </c>
      <c r="K4075" s="2" t="s">
        <v>5284</v>
      </c>
      <c r="L4075">
        <v>4.8</v>
      </c>
      <c r="M4075">
        <v>15</v>
      </c>
      <c r="O4075" t="s">
        <v>26</v>
      </c>
      <c r="P4075" t="s">
        <v>39</v>
      </c>
      <c r="Q4075" t="s">
        <v>8413</v>
      </c>
    </row>
    <row r="4076" spans="1:17" ht="15.75" x14ac:dyDescent="0.25">
      <c r="A4076" s="3" t="str">
        <f>HYPERLINK("https://shop.sonapharmacy.com/products/differin%C2%AE-gel-adapalene-gel-0-1-acne-treatment", "https://shop.sonapharmacy.com/products/differin%C2%AE-gel-adapalene-gel-0-1-acne-treatment")</f>
        <v>https://shop.sonapharmacy.com/products/differin%C2%AE-gel-adapalene-gel-0-1-acne-treatment</v>
      </c>
      <c r="B4076" s="3" t="str">
        <f>HYPERLINK("https://shop.sonapharmacy.com/products/differin%c2%ae-gel-adapalene-gel-0-1-acne-treatment", "https://shop.sonapharmacy.com/products/differin%c2%ae-gel-adapalene-gel-0-1-acne-treatment")</f>
        <v>https://shop.sonapharmacy.com/products/differin%c2%ae-gel-adapalene-gel-0-1-acne-treatment</v>
      </c>
      <c r="C4076" t="s">
        <v>10863</v>
      </c>
      <c r="D4076" t="s">
        <v>11434</v>
      </c>
      <c r="E4076" s="3" t="str">
        <f>HYPERLINK("https://www.amazon.com/Differin-1-Acne-Gel-2PC/dp/B07145HWXR/ref=sr_1_10?keywords=Differin%C2%AE+Gel+Adapalene+Gel+0.1%25+Acne+Treatment&amp;qid=1695260198&amp;sr=8-10", "https://www.amazon.com/Differin-1-Acne-Gel-2PC/dp/B07145HWXR/ref=sr_1_10?keywords=Differin%C2%AE+Gel+Adapalene+Gel+0.1%25+Acne+Treatment&amp;qid=1695260198&amp;sr=8-10")</f>
        <v>https://www.amazon.com/Differin-1-Acne-Gel-2PC/dp/B07145HWXR/ref=sr_1_10?keywords=Differin%C2%AE+Gel+Adapalene+Gel+0.1%25+Acne+Treatment&amp;qid=1695260198&amp;sr=8-10</v>
      </c>
      <c r="F4076" t="s">
        <v>11435</v>
      </c>
      <c r="G4076" t="e">
        <f ca="1">IMAGE("https://shop.sonapharmacy.com/cdn/shop/products/5oz.jpg?v=1608302260")</f>
        <v>#NAME?</v>
      </c>
      <c r="H4076" t="e">
        <f ca="1">IMAGE("https://m.media-amazon.com/images/I/61tE7G4pGtL._AC_UY218_.jpg")</f>
        <v>#NAME?</v>
      </c>
      <c r="I4076" t="s">
        <v>3419</v>
      </c>
      <c r="J4076">
        <v>29.94</v>
      </c>
      <c r="K4076" s="2" t="s">
        <v>11436</v>
      </c>
      <c r="L4076">
        <v>4.5999999999999996</v>
      </c>
      <c r="M4076">
        <v>402</v>
      </c>
      <c r="O4076" t="s">
        <v>26</v>
      </c>
      <c r="P4076" t="s">
        <v>39</v>
      </c>
      <c r="Q4076" t="s">
        <v>10867</v>
      </c>
    </row>
    <row r="4077" spans="1:17" ht="15.75" x14ac:dyDescent="0.25">
      <c r="A4077" s="3" t="str">
        <f>HYPERLINK("https://shop.sonapharmacy.com/products/colace-2-in-1-stool-softener-stimulant-laxative", "https://shop.sonapharmacy.com/products/colace-2-in-1-stool-softener-stimulant-laxative")</f>
        <v>https://shop.sonapharmacy.com/products/colace-2-in-1-stool-softener-stimulant-laxative</v>
      </c>
      <c r="B4077" s="3" t="str">
        <f>HYPERLINK("https://shop.sonapharmacy.com/products/colace-2-in-1-stool-softener-stimulant-laxative", "https://shop.sonapharmacy.com/products/colace-2-in-1-stool-softener-stimulant-laxative")</f>
        <v>https://shop.sonapharmacy.com/products/colace-2-in-1-stool-softener-stimulant-laxative</v>
      </c>
      <c r="C4077" t="s">
        <v>8457</v>
      </c>
      <c r="D4077" t="s">
        <v>11437</v>
      </c>
      <c r="E4077" s="3" t="str">
        <f>HYPERLINK("https://www.amazon.com/Colace-Stool-Softener-Stimulant-Laxative/dp/B07P5H3435/ref=sr_1_6?keywords=Colace%C2%AE+2-IN-1+Stool+Softener+%2B+Stimulant+Laxative&amp;qid=1695260155&amp;sr=8-6", "https://www.amazon.com/Colace-Stool-Softener-Stimulant-Laxative/dp/B07P5H3435/ref=sr_1_6?keywords=Colace%C2%AE+2-IN-1+Stool+Softener+%2B+Stimulant+Laxative&amp;qid=1695260155&amp;sr=8-6")</f>
        <v>https://www.amazon.com/Colace-Stool-Softener-Stimulant-Laxative/dp/B07P5H3435/ref=sr_1_6?keywords=Colace%C2%AE+2-IN-1+Stool+Softener+%2B+Stimulant+Laxative&amp;qid=1695260155&amp;sr=8-6</v>
      </c>
      <c r="F4077" t="s">
        <v>11438</v>
      </c>
      <c r="G4077" t="e">
        <f ca="1">IMAGE("https://shop.sonapharmacy.com/cdn/shop/products/Colace2-IN-1Front.png?v=1606927041")</f>
        <v>#NAME?</v>
      </c>
      <c r="H4077" t="e">
        <f ca="1">IMAGE("https://m.media-amazon.com/images/I/419VjpzXZNL._AC_UL320_.jpg")</f>
        <v>#NAME?</v>
      </c>
      <c r="I4077" t="s">
        <v>8460</v>
      </c>
      <c r="J4077">
        <v>31.68</v>
      </c>
      <c r="K4077" s="2" t="s">
        <v>11439</v>
      </c>
      <c r="L4077">
        <v>4.8</v>
      </c>
      <c r="M4077">
        <v>22</v>
      </c>
      <c r="O4077" t="s">
        <v>26</v>
      </c>
      <c r="P4077" t="s">
        <v>39</v>
      </c>
      <c r="Q4077" t="s">
        <v>8462</v>
      </c>
    </row>
    <row r="4078" spans="1:17" ht="15.75" x14ac:dyDescent="0.25">
      <c r="A4078" s="3" t="str">
        <f>HYPERLINK("https://shop.sonapharmacy.com/products/americaine-benzocaine-topical-anesthetic-spray-2-fl-oz", "https://shop.sonapharmacy.com/products/americaine-benzocaine-topical-anesthetic-spray-2-fl-oz")</f>
        <v>https://shop.sonapharmacy.com/products/americaine-benzocaine-topical-anesthetic-spray-2-fl-oz</v>
      </c>
      <c r="B4078" s="3" t="str">
        <f>HYPERLINK("https://shop.sonapharmacy.com/products/americaine-benzocaine-topical-anesthetic-spray-2-fl-oz", "https://shop.sonapharmacy.com/products/americaine-benzocaine-topical-anesthetic-spray-2-fl-oz")</f>
        <v>https://shop.sonapharmacy.com/products/americaine-benzocaine-topical-anesthetic-spray-2-fl-oz</v>
      </c>
      <c r="C4078" t="s">
        <v>9183</v>
      </c>
      <c r="D4078" t="s">
        <v>11440</v>
      </c>
      <c r="E4078" s="3" t="str">
        <f>HYPERLINK("https://www.amazon.com/Americaine-Benzocaine-Topical-Anesthetic-Spray/dp/B00SEDDYWG/ref=sr_1_4?keywords=Americaine+Benzocaine+Topical+Anesthetic+Spray+2+fl.+oz.&amp;qid=1695260003&amp;sr=8-4", "https://www.amazon.com/Americaine-Benzocaine-Topical-Anesthetic-Spray/dp/B00SEDDYWG/ref=sr_1_4?keywords=Americaine+Benzocaine+Topical+Anesthetic+Spray+2+fl.+oz.&amp;qid=1695260003&amp;sr=8-4")</f>
        <v>https://www.amazon.com/Americaine-Benzocaine-Topical-Anesthetic-Spray/dp/B00SEDDYWG/ref=sr_1_4?keywords=Americaine+Benzocaine+Topical+Anesthetic+Spray+2+fl.+oz.&amp;qid=1695260003&amp;sr=8-4</v>
      </c>
      <c r="F4078" t="s">
        <v>11441</v>
      </c>
      <c r="G4078" t="e">
        <f ca="1">IMAGE("https://shop.sonapharmacy.com/cdn/shop/products/410yvWTaP7L._AC.jpg?v=1607971628")</f>
        <v>#NAME?</v>
      </c>
      <c r="H4078" t="e">
        <f ca="1">IMAGE("https://m.media-amazon.com/images/I/71THaCqhkKL._AC_UY218_.jpg")</f>
        <v>#NAME?</v>
      </c>
      <c r="I4078" t="s">
        <v>9137</v>
      </c>
      <c r="J4078">
        <v>14.93</v>
      </c>
      <c r="K4078" s="2" t="s">
        <v>11442</v>
      </c>
      <c r="L4078">
        <v>4.5</v>
      </c>
      <c r="M4078">
        <v>248</v>
      </c>
      <c r="O4078" t="s">
        <v>26</v>
      </c>
      <c r="P4078" t="s">
        <v>39</v>
      </c>
      <c r="Q4078" t="s">
        <v>9187</v>
      </c>
    </row>
    <row r="4079" spans="1:17" ht="15.75" x14ac:dyDescent="0.25">
      <c r="A4079" s="3" t="str">
        <f>HYPERLINK("https://shop.sonapharmacy.com/products/curad-stainless-steel-bandage-scissors", "https://shop.sonapharmacy.com/products/curad-stainless-steel-bandage-scissors")</f>
        <v>https://shop.sonapharmacy.com/products/curad-stainless-steel-bandage-scissors</v>
      </c>
      <c r="B4079" s="3" t="str">
        <f>HYPERLINK("https://shop.sonapharmacy.com/products/curad-stainless-steel-bandage-scissors", "https://shop.sonapharmacy.com/products/curad-stainless-steel-bandage-scissors")</f>
        <v>https://shop.sonapharmacy.com/products/curad-stainless-steel-bandage-scissors</v>
      </c>
      <c r="C4079" t="s">
        <v>9578</v>
      </c>
      <c r="D4079" t="s">
        <v>11443</v>
      </c>
      <c r="E4079" s="3" t="str">
        <f>HYPERLINK("https://www.amazon.com/Mabis-Precision-Bandage-Scissors-Stainless/dp/B0002DL8N8/ref=sr_1_1?keywords=Curad%C2%AE+Stainless+Steel+Bandage+Scissors&amp;qid=1695260182&amp;sr=8-1", "https://www.amazon.com/Mabis-Precision-Bandage-Scissors-Stainless/dp/B0002DL8N8/ref=sr_1_1?keywords=Curad%C2%AE+Stainless+Steel+Bandage+Scissors&amp;qid=1695260182&amp;sr=8-1")</f>
        <v>https://www.amazon.com/Mabis-Precision-Bandage-Scissors-Stainless/dp/B0002DL8N8/ref=sr_1_1?keywords=Curad%C2%AE+Stainless+Steel+Bandage+Scissors&amp;qid=1695260182&amp;sr=8-1</v>
      </c>
      <c r="F4079" t="s">
        <v>11444</v>
      </c>
      <c r="G4079" t="e">
        <f ca="1">IMAGE("https://shop.sonapharmacy.com/cdn/shop/products/scissors.png?v=1607716795")</f>
        <v>#NAME?</v>
      </c>
      <c r="H4079" t="e">
        <f ca="1">IMAGE("https://m.media-amazon.com/images/I/61Wfr2hAICL._AC_UY218_.jpg")</f>
        <v>#NAME?</v>
      </c>
      <c r="I4079" t="s">
        <v>8728</v>
      </c>
      <c r="J4079">
        <v>10.130000000000001</v>
      </c>
      <c r="K4079" s="2" t="s">
        <v>11445</v>
      </c>
      <c r="L4079">
        <v>4.3</v>
      </c>
      <c r="M4079">
        <v>151</v>
      </c>
      <c r="O4079" t="s">
        <v>26</v>
      </c>
      <c r="P4079" t="s">
        <v>39</v>
      </c>
      <c r="Q4079" t="s">
        <v>9582</v>
      </c>
    </row>
    <row r="4080" spans="1:17" ht="15.75" x14ac:dyDescent="0.25">
      <c r="A4080" s="3" t="str">
        <f>HYPERLINK("https://shop.sonapharmacy.com/products/nature-made-hair-skin-and-nails-gummies", "https://shop.sonapharmacy.com/products/nature-made-hair-skin-and-nails-gummies")</f>
        <v>https://shop.sonapharmacy.com/products/nature-made-hair-skin-and-nails-gummies</v>
      </c>
      <c r="B4080" s="3" t="str">
        <f>HYPERLINK("https://shop.sonapharmacy.com/products/nature-made-hair-skin-and-nails-gummies", "https://shop.sonapharmacy.com/products/nature-made-hair-skin-and-nails-gummies")</f>
        <v>https://shop.sonapharmacy.com/products/nature-made-hair-skin-and-nails-gummies</v>
      </c>
      <c r="C4080" t="s">
        <v>11173</v>
      </c>
      <c r="D4080" t="s">
        <v>11446</v>
      </c>
      <c r="E4080" s="3" t="str">
        <f>HYPERLINK("https://www.amazon.com/Natures-Bounty-Solutions-Advanced-Strawberry/dp/B085JDD3V8/ref=sr_1_4?keywords=Nature+Made%C2%AE+Hair+Skin+and+Nails+Gummies&amp;qid=1695260542&amp;sr=8-4", "https://www.amazon.com/Natures-Bounty-Solutions-Advanced-Strawberry/dp/B085JDD3V8/ref=sr_1_4?keywords=Nature+Made%C2%AE+Hair+Skin+and+Nails+Gummies&amp;qid=1695260542&amp;sr=8-4")</f>
        <v>https://www.amazon.com/Natures-Bounty-Solutions-Advanced-Strawberry/dp/B085JDD3V8/ref=sr_1_4?keywords=Nature+Made%C2%AE+Hair+Skin+and+Nails+Gummies&amp;qid=1695260542&amp;sr=8-4</v>
      </c>
      <c r="F4080" t="s">
        <v>11447</v>
      </c>
      <c r="G4080" t="e">
        <f ca="1">IMAGE("https://shop.sonapharmacy.com/cdn/shop/products/71o8Z6P3alL._AC_SL1500.jpg?v=1610048535")</f>
        <v>#NAME?</v>
      </c>
      <c r="H4080" t="e">
        <f ca="1">IMAGE("https://m.media-amazon.com/images/I/71S7UuTUxFL._AC_UL320_.jpg")</f>
        <v>#NAME?</v>
      </c>
      <c r="I4080" t="s">
        <v>11176</v>
      </c>
      <c r="J4080">
        <v>18.87</v>
      </c>
      <c r="K4080" s="2" t="s">
        <v>11448</v>
      </c>
      <c r="L4080">
        <v>4.5999999999999996</v>
      </c>
      <c r="M4080">
        <v>15218</v>
      </c>
      <c r="O4080" t="s">
        <v>26</v>
      </c>
      <c r="P4080" t="s">
        <v>39</v>
      </c>
      <c r="Q4080" t="s">
        <v>11178</v>
      </c>
    </row>
    <row r="4081" spans="1:17" ht="15.75" x14ac:dyDescent="0.25">
      <c r="A4081" s="3" t="str">
        <f>HYPERLINK("https://shop.sonapharmacy.com/products/ban-powder-fresh-roll-on-antiperspirant-deodorant", "https://shop.sonapharmacy.com/products/ban-powder-fresh-roll-on-antiperspirant-deodorant")</f>
        <v>https://shop.sonapharmacy.com/products/ban-powder-fresh-roll-on-antiperspirant-deodorant</v>
      </c>
      <c r="B4081" s="3" t="str">
        <f>HYPERLINK("https://shop.sonapharmacy.com/products/ban-powder-fresh-roll-on-antiperspirant-deodorant", "https://shop.sonapharmacy.com/products/ban-powder-fresh-roll-on-antiperspirant-deodorant")</f>
        <v>https://shop.sonapharmacy.com/products/ban-powder-fresh-roll-on-antiperspirant-deodorant</v>
      </c>
      <c r="C4081" t="s">
        <v>10483</v>
      </c>
      <c r="D4081" t="s">
        <v>11449</v>
      </c>
      <c r="E4081" s="3" t="str">
        <f>HYPERLINK("https://www.amazon.com/Powder-Original-Antiperspirant-Deodorant-Ban/dp/B002OVIC94/ref=sr_1_3?keywords=Ban%C2%AE+Powder+Fresh+Roll-On+Antiperspirant+Deodorant&amp;qid=1695260091&amp;sr=8-3", "https://www.amazon.com/Powder-Original-Antiperspirant-Deodorant-Ban/dp/B002OVIC94/ref=sr_1_3?keywords=Ban%C2%AE+Powder+Fresh+Roll-On+Antiperspirant+Deodorant&amp;qid=1695260091&amp;sr=8-3")</f>
        <v>https://www.amazon.com/Powder-Original-Antiperspirant-Deodorant-Ban/dp/B002OVIC94/ref=sr_1_3?keywords=Ban%C2%AE+Powder+Fresh+Roll-On+Antiperspirant+Deodorant&amp;qid=1695260091&amp;sr=8-3</v>
      </c>
      <c r="F4081" t="s">
        <v>11450</v>
      </c>
      <c r="G4081" t="e">
        <f ca="1">IMAGE("https://shop.sonapharmacy.com/cdn/shop/products/BanPowderRollFront.png?v=1607048361")</f>
        <v>#NAME?</v>
      </c>
      <c r="H4081" t="e">
        <f ca="1">IMAGE("https://m.media-amazon.com/images/I/31NBDIjcyML._AC_UL320_.jpg")</f>
        <v>#NAME?</v>
      </c>
      <c r="I4081" t="s">
        <v>10303</v>
      </c>
      <c r="J4081">
        <v>13.5</v>
      </c>
      <c r="K4081" s="2" t="s">
        <v>11451</v>
      </c>
      <c r="L4081">
        <v>3.4</v>
      </c>
      <c r="M4081">
        <v>18</v>
      </c>
      <c r="O4081" t="s">
        <v>26</v>
      </c>
      <c r="P4081" t="s">
        <v>39</v>
      </c>
      <c r="Q4081" t="s">
        <v>10487</v>
      </c>
    </row>
    <row r="4082" spans="1:17" ht="15.75" x14ac:dyDescent="0.25">
      <c r="A4082" s="3" t="str">
        <f>HYPERLINK("https://shop.sonapharmacy.com/products/prevagen-extra-strength-chewables-20-mg", "https://shop.sonapharmacy.com/products/prevagen-extra-strength-chewables-20-mg")</f>
        <v>https://shop.sonapharmacy.com/products/prevagen-extra-strength-chewables-20-mg</v>
      </c>
      <c r="B4082" s="3" t="str">
        <f>HYPERLINK("https://shop.sonapharmacy.com/products/prevagen-extra-strength-chewables-20-mg", "https://shop.sonapharmacy.com/products/prevagen-extra-strength-chewables-20-mg")</f>
        <v>https://shop.sonapharmacy.com/products/prevagen-extra-strength-chewables-20-mg</v>
      </c>
      <c r="C4082" t="s">
        <v>10264</v>
      </c>
      <c r="D4082" t="s">
        <v>10381</v>
      </c>
      <c r="E4082" s="3" t="str">
        <f>HYPERLINK("https://www.amazon.com/Prevagen-Improves-Memory-Apoaequorin-Supplement/dp/B0892RTHGW/ref=sr_1_3?keywords=Prevagen+Extra+Strength+Chewables+20+mg&amp;qid=1695260655&amp;sr=8-3", "https://www.amazon.com/Prevagen-Improves-Memory-Apoaequorin-Supplement/dp/B0892RTHGW/ref=sr_1_3?keywords=Prevagen+Extra+Strength+Chewables+20+mg&amp;qid=1695260655&amp;sr=8-3")</f>
        <v>https://www.amazon.com/Prevagen-Improves-Memory-Apoaequorin-Supplement/dp/B0892RTHGW/ref=sr_1_3?keywords=Prevagen+Extra+Strength+Chewables+20+mg&amp;qid=1695260655&amp;sr=8-3</v>
      </c>
      <c r="F4082" t="s">
        <v>10382</v>
      </c>
      <c r="G4082" t="e">
        <f ca="1">IMAGE("https://shop.sonapharmacy.com/cdn/shop/products/PrevagenExtraStrengthChewables20mg.jpg?v=1594303828")</f>
        <v>#NAME?</v>
      </c>
      <c r="H4082" t="e">
        <f ca="1">IMAGE("https://m.media-amazon.com/images/I/81rOZcd3VUL._AC_UL320_.jpg")</f>
        <v>#NAME?</v>
      </c>
      <c r="I4082" t="s">
        <v>10267</v>
      </c>
      <c r="J4082">
        <v>101.9</v>
      </c>
      <c r="K4082" s="2" t="s">
        <v>11452</v>
      </c>
      <c r="L4082">
        <v>4.4000000000000004</v>
      </c>
      <c r="M4082">
        <v>3046</v>
      </c>
      <c r="O4082" t="s">
        <v>39</v>
      </c>
      <c r="P4082" t="s">
        <v>39</v>
      </c>
      <c r="Q4082" t="s">
        <v>10269</v>
      </c>
    </row>
    <row r="4083" spans="1:17" ht="15.75" x14ac:dyDescent="0.25">
      <c r="A4083" s="3" t="str">
        <f>HYPERLINK("https://shop.sonapharmacy.com/products/sudafed-sinus-congestion-tablets-18-ct", "https://shop.sonapharmacy.com/products/sudafed-sinus-congestion-tablets-18-ct")</f>
        <v>https://shop.sonapharmacy.com/products/sudafed-sinus-congestion-tablets-18-ct</v>
      </c>
      <c r="B4083" s="3" t="str">
        <f>HYPERLINK("https://shop.sonapharmacy.com/products/sudafed-sinus-congestion-tablets-18-ct", "https://shop.sonapharmacy.com/products/sudafed-sinus-congestion-tablets-18-ct")</f>
        <v>https://shop.sonapharmacy.com/products/sudafed-sinus-congestion-tablets-18-ct</v>
      </c>
      <c r="C4083" t="s">
        <v>11453</v>
      </c>
      <c r="D4083" t="s">
        <v>11454</v>
      </c>
      <c r="E4083" s="3" t="str">
        <f>HYPERLINK("https://www.amazon.com/Sudafed-Congestion-Daytime-Nighttime-Tablets/dp/B075JRKY6K/ref=sr_1_9?keywords=Sudafed+Sinus+Congestion+Tablets&amp;qid=1695260731&amp;sr=8-9", "https://www.amazon.com/Sudafed-Congestion-Daytime-Nighttime-Tablets/dp/B075JRKY6K/ref=sr_1_9?keywords=Sudafed+Sinus+Congestion+Tablets&amp;qid=1695260731&amp;sr=8-9")</f>
        <v>https://www.amazon.com/Sudafed-Congestion-Daytime-Nighttime-Tablets/dp/B075JRKY6K/ref=sr_1_9?keywords=Sudafed+Sinus+Congestion+Tablets&amp;qid=1695260731&amp;sr=8-9</v>
      </c>
      <c r="F4083" t="s">
        <v>11455</v>
      </c>
      <c r="G4083" t="e">
        <f ca="1">IMAGE("https://shop.sonapharmacy.com/cdn/shop/products/SudafedSinusCongestionTablets.jpg?v=1595444685")</f>
        <v>#NAME?</v>
      </c>
      <c r="H4083" t="e">
        <f ca="1">IMAGE("https://m.media-amazon.com/images/I/81RrHA9mzOL._AC_UL320_.jpg")</f>
        <v>#NAME?</v>
      </c>
      <c r="I4083" t="s">
        <v>11456</v>
      </c>
      <c r="J4083">
        <v>18.72</v>
      </c>
      <c r="K4083" s="2" t="s">
        <v>11457</v>
      </c>
      <c r="L4083">
        <v>4.7</v>
      </c>
      <c r="M4083">
        <v>23</v>
      </c>
      <c r="O4083" t="s">
        <v>26</v>
      </c>
      <c r="P4083" t="s">
        <v>39</v>
      </c>
      <c r="Q4083" t="s">
        <v>11458</v>
      </c>
    </row>
    <row r="4084" spans="1:17" ht="15.75" x14ac:dyDescent="0.25">
      <c r="A4084" s="3" t="str">
        <f>HYPERLINK("https://shop.sonapharmacy.com/products/apex%C2%AE-soft-foam-ear-plugs-4-pairs", "https://shop.sonapharmacy.com/products/apex%C2%AE-soft-foam-ear-plugs-4-pairs")</f>
        <v>https://shop.sonapharmacy.com/products/apex%C2%AE-soft-foam-ear-plugs-4-pairs</v>
      </c>
      <c r="B4084" s="3" t="str">
        <f>HYPERLINK("https://shop.sonapharmacy.com/products/apex%c2%ae-soft-foam-ear-plugs-4-pairs", "https://shop.sonapharmacy.com/products/apex%c2%ae-soft-foam-ear-plugs-4-pairs")</f>
        <v>https://shop.sonapharmacy.com/products/apex%c2%ae-soft-foam-ear-plugs-4-pairs</v>
      </c>
      <c r="C4084" t="s">
        <v>10471</v>
      </c>
      <c r="D4084" t="s">
        <v>11459</v>
      </c>
      <c r="E4084" s="3" t="str">
        <f>HYPERLINK("https://www.amazon.com/Earplugs-Sleeping-Mowing-Travel-Lysian/dp/B09VNNN7WD/ref=sr_1_4?keywords=Apex+Soft+Foam+Ear+Plugs+-+4+Pairs&amp;qid=1695260025&amp;sr=8-4", "https://www.amazon.com/Earplugs-Sleeping-Mowing-Travel-Lysian/dp/B09VNNN7WD/ref=sr_1_4?keywords=Apex+Soft+Foam+Ear+Plugs+-+4+Pairs&amp;qid=1695260025&amp;sr=8-4")</f>
        <v>https://www.amazon.com/Earplugs-Sleeping-Mowing-Travel-Lysian/dp/B09VNNN7WD/ref=sr_1_4?keywords=Apex+Soft+Foam+Ear+Plugs+-+4+Pairs&amp;qid=1695260025&amp;sr=8-4</v>
      </c>
      <c r="F4084" t="s">
        <v>11460</v>
      </c>
      <c r="G4084" t="e">
        <f ca="1">IMAGE("https://shop.sonapharmacy.com/cdn/shop/products/61Z0lzeE_zL._AC_SX466.jpg?v=1609960681")</f>
        <v>#NAME?</v>
      </c>
      <c r="H4084" t="e">
        <f ca="1">IMAGE("https://m.media-amazon.com/images/I/61BHHJjFo+L._AC_UL320_.jpg")</f>
        <v>#NAME?</v>
      </c>
      <c r="I4084" t="s">
        <v>10474</v>
      </c>
      <c r="J4084">
        <v>7.19</v>
      </c>
      <c r="K4084" s="2" t="s">
        <v>11461</v>
      </c>
      <c r="L4084">
        <v>4.3</v>
      </c>
      <c r="M4084">
        <v>1688</v>
      </c>
      <c r="O4084" t="s">
        <v>26</v>
      </c>
      <c r="P4084" t="s">
        <v>39</v>
      </c>
      <c r="Q4084" t="s">
        <v>10476</v>
      </c>
    </row>
    <row r="4085" spans="1:17" ht="15.75" x14ac:dyDescent="0.25">
      <c r="A4085" s="3" t="str">
        <f>HYPERLINK("https://shop.sonapharmacy.com/products/q-tips-cotton-swabs", "https://shop.sonapharmacy.com/products/q-tips-cotton-swabs")</f>
        <v>https://shop.sonapharmacy.com/products/q-tips-cotton-swabs</v>
      </c>
      <c r="B4085" s="3" t="str">
        <f>HYPERLINK("https://shop.sonapharmacy.com/products/q-tips-cotton-swabs", "https://shop.sonapharmacy.com/products/q-tips-cotton-swabs")</f>
        <v>https://shop.sonapharmacy.com/products/q-tips-cotton-swabs</v>
      </c>
      <c r="C4085" t="s">
        <v>9155</v>
      </c>
      <c r="D4085" t="s">
        <v>11462</v>
      </c>
      <c r="E4085" s="3" t="str">
        <f>HYPERLINK("https://www.amazon.com/Q-tips-Cotton-Swabs-500-Pack/dp/B00DUGPW40/ref=sr_1_1?keywords=Q-tips+Cotton+Swabs&amp;qid=1695260660&amp;sr=8-1", "https://www.amazon.com/Q-tips-Cotton-Swabs-500-Pack/dp/B00DUGPW40/ref=sr_1_1?keywords=Q-tips+Cotton+Swabs&amp;qid=1695260660&amp;sr=8-1")</f>
        <v>https://www.amazon.com/Q-tips-Cotton-Swabs-500-Pack/dp/B00DUGPW40/ref=sr_1_1?keywords=Q-tips+Cotton+Swabs&amp;qid=1695260660&amp;sr=8-1</v>
      </c>
      <c r="F4085" t="s">
        <v>11463</v>
      </c>
      <c r="G4085" t="e">
        <f ca="1">IMAGE("https://shop.sonapharmacy.com/cdn/shop/products/qtips_travel.png?v=1606762585")</f>
        <v>#NAME?</v>
      </c>
      <c r="H4085" t="e">
        <f ca="1">IMAGE("https://m.media-amazon.com/images/I/615s9faH-hL._AC_UL320_.jpg")</f>
        <v>#NAME?</v>
      </c>
      <c r="I4085" t="s">
        <v>8927</v>
      </c>
      <c r="J4085">
        <v>7.38</v>
      </c>
      <c r="K4085" s="2" t="s">
        <v>11464</v>
      </c>
      <c r="L4085">
        <v>4.8</v>
      </c>
      <c r="M4085">
        <v>6451</v>
      </c>
      <c r="O4085" t="s">
        <v>26</v>
      </c>
      <c r="P4085" t="s">
        <v>39</v>
      </c>
      <c r="Q4085" t="s">
        <v>9159</v>
      </c>
    </row>
    <row r="4086" spans="1:17" ht="15.75" x14ac:dyDescent="0.25">
      <c r="A4086" s="3" t="str">
        <f>HYPERLINK("https://shop.sonapharmacy.com/products/band-aid-hurt-free-wrap", "https://shop.sonapharmacy.com/products/band-aid-hurt-free-wrap")</f>
        <v>https://shop.sonapharmacy.com/products/band-aid-hurt-free-wrap</v>
      </c>
      <c r="B4086" s="3" t="str">
        <f>HYPERLINK("https://shop.sonapharmacy.com/products/band-aid-hurt-free-wrap", "https://shop.sonapharmacy.com/products/band-aid-hurt-free-wrap")</f>
        <v>https://shop.sonapharmacy.com/products/band-aid-hurt-free-wrap</v>
      </c>
      <c r="C4086" t="s">
        <v>8067</v>
      </c>
      <c r="D4086" t="s">
        <v>11465</v>
      </c>
      <c r="E4086" s="3" t="str">
        <f>HYPERLINK("https://www.amazon.com/Band-Aid-Hurt-Free-Wrap-Medium-x2-5yd/dp/B073V31TQM/ref=sr_1_4?keywords=BAND-AID%C2%AE+Hurt-Free+Wrap&amp;qid=1695260060&amp;sr=8-4", "https://www.amazon.com/Band-Aid-Hurt-Free-Wrap-Medium-x2-5yd/dp/B073V31TQM/ref=sr_1_4?keywords=BAND-AID%C2%AE+Hurt-Free+Wrap&amp;qid=1695260060&amp;sr=8-4")</f>
        <v>https://www.amazon.com/Band-Aid-Hurt-Free-Wrap-Medium-x2-5yd/dp/B073V31TQM/ref=sr_1_4?keywords=BAND-AID%C2%AE+Hurt-Free+Wrap&amp;qid=1695260060&amp;sr=8-4</v>
      </c>
      <c r="F4086" t="s">
        <v>11466</v>
      </c>
      <c r="G4086" t="e">
        <f ca="1">IMAGE("https://shop.sonapharmacy.com/cdn/shop/products/band_aid_us_pho_pac_18_1_3088478.jpg?v=1607697047")</f>
        <v>#NAME?</v>
      </c>
      <c r="H4086" t="e">
        <f ca="1">IMAGE("https://m.media-amazon.com/images/I/81aVIrd9K3L._AC_UL320_.jpg")</f>
        <v>#NAME?</v>
      </c>
      <c r="I4086" t="s">
        <v>8070</v>
      </c>
      <c r="J4086">
        <v>14.3</v>
      </c>
      <c r="K4086" s="2" t="s">
        <v>11467</v>
      </c>
      <c r="L4086">
        <v>4.5999999999999996</v>
      </c>
      <c r="M4086">
        <v>40</v>
      </c>
      <c r="O4086" t="s">
        <v>26</v>
      </c>
      <c r="P4086" t="s">
        <v>39</v>
      </c>
      <c r="Q4086" t="s">
        <v>8072</v>
      </c>
    </row>
    <row r="4087" spans="1:17" ht="15.75" x14ac:dyDescent="0.25">
      <c r="A4087" s="3" t="str">
        <f>HYPERLINK("https://shop.sonapharmacy.com/products/okeeffes-working-hands-cream-2-7oz", "https://shop.sonapharmacy.com/products/okeeffes-working-hands-cream-2-7oz")</f>
        <v>https://shop.sonapharmacy.com/products/okeeffes-working-hands-cream-2-7oz</v>
      </c>
      <c r="B4087" s="3" t="str">
        <f>HYPERLINK("https://shop.sonapharmacy.com/products/okeeffes-working-hands-cream-2-7oz", "https://shop.sonapharmacy.com/products/okeeffes-working-hands-cream-2-7oz")</f>
        <v>https://shop.sonapharmacy.com/products/okeeffes-working-hands-cream-2-7oz</v>
      </c>
      <c r="C4087" t="s">
        <v>8312</v>
      </c>
      <c r="D4087" t="s">
        <v>11468</v>
      </c>
      <c r="E4087" s="3" t="str">
        <f>HYPERLINK("https://www.amazon.com/OKeeffes-Working-Hands-Cream-Value/dp/B00NON258U/ref=sr_1_1?keywords=O%27Keeffe%27s+Working+Hands+Cream+2.7oz.&amp;qid=1695260597&amp;sr=8-1", "https://www.amazon.com/OKeeffes-Working-Hands-Cream-Value/dp/B00NON258U/ref=sr_1_1?keywords=O%27Keeffe%27s+Working+Hands+Cream+2.7oz.&amp;qid=1695260597&amp;sr=8-1")</f>
        <v>https://www.amazon.com/OKeeffes-Working-Hands-Cream-Value/dp/B00NON258U/ref=sr_1_1?keywords=O%27Keeffe%27s+Working+Hands+Cream+2.7oz.&amp;qid=1695260597&amp;sr=8-1</v>
      </c>
      <c r="F4087" t="s">
        <v>11469</v>
      </c>
      <c r="G4087" t="e">
        <f ca="1">IMAGE("https://shop.sonapharmacy.com/cdn/shop/products/00be5c22-ab6e-4ab0-b795-94a77c1551f9_2.8f68130d2f977aa423d97d8a89b1994a.jpg?v=1608407194")</f>
        <v>#NAME?</v>
      </c>
      <c r="H4087" t="e">
        <f ca="1">IMAGE("https://m.media-amazon.com/images/I/71qIicGWrkL._AC_UL320_.jpg")</f>
        <v>#NAME?</v>
      </c>
      <c r="I4087" t="s">
        <v>8315</v>
      </c>
      <c r="J4087">
        <v>16.66</v>
      </c>
      <c r="K4087" s="2" t="s">
        <v>11470</v>
      </c>
      <c r="L4087">
        <v>4.8</v>
      </c>
      <c r="M4087">
        <v>24596</v>
      </c>
      <c r="O4087" t="s">
        <v>26</v>
      </c>
      <c r="P4087" t="s">
        <v>39</v>
      </c>
      <c r="Q4087" t="s">
        <v>8317</v>
      </c>
    </row>
    <row r="4088" spans="1:17" ht="15.75" x14ac:dyDescent="0.25">
      <c r="A4088" s="3" t="str">
        <f>HYPERLINK("https://shop.sonapharmacy.com/products/duracell%C2%AE-389-390-silver-oxide-button-battery", "https://shop.sonapharmacy.com/products/duracell%C2%AE-389-390-silver-oxide-button-battery")</f>
        <v>https://shop.sonapharmacy.com/products/duracell%C2%AE-389-390-silver-oxide-button-battery</v>
      </c>
      <c r="B4088" s="3" t="str">
        <f>HYPERLINK("https://shop.sonapharmacy.com/products/duracell%c2%ae-389-390-silver-oxide-button-battery", "https://shop.sonapharmacy.com/products/duracell%c2%ae-389-390-silver-oxide-button-battery")</f>
        <v>https://shop.sonapharmacy.com/products/duracell%c2%ae-389-390-silver-oxide-button-battery</v>
      </c>
      <c r="C4088" t="s">
        <v>10491</v>
      </c>
      <c r="D4088" t="s">
        <v>11471</v>
      </c>
      <c r="E4088" s="3" t="str">
        <f>HYPERLINK("https://www.amazon.com/Duracell-Silver-Battery-1-Count-Durmnd389bpk/dp/B08MFQRQTX/ref=sr_1_2?keywords=Duracell%C2%AE+389%2F390+Silver+Oxide+Button+Battery&amp;qid=1695260222&amp;sr=8-2", "https://www.amazon.com/Duracell-Silver-Battery-1-Count-Durmnd389bpk/dp/B08MFQRQTX/ref=sr_1_2?keywords=Duracell%C2%AE+389%2F390+Silver+Oxide+Button+Battery&amp;qid=1695260222&amp;sr=8-2")</f>
        <v>https://www.amazon.com/Duracell-Silver-Battery-1-Count-Durmnd389bpk/dp/B08MFQRQTX/ref=sr_1_2?keywords=Duracell%C2%AE+389%2F390+Silver+Oxide+Button+Battery&amp;qid=1695260222&amp;sr=8-2</v>
      </c>
      <c r="F4088" t="s">
        <v>11472</v>
      </c>
      <c r="G4088" t="e">
        <f ca="1">IMAGE("https://shop.sonapharmacy.com/cdn/shop/products/61P9QBF64rL._AC_SL1401.jpg?v=1610332976")</f>
        <v>#NAME?</v>
      </c>
      <c r="H4088" t="e">
        <f ca="1">IMAGE("https://m.media-amazon.com/images/I/61wuURsqMpL._AC_UL320_.jpg")</f>
        <v>#NAME?</v>
      </c>
      <c r="I4088" t="s">
        <v>9982</v>
      </c>
      <c r="J4088">
        <v>6.49</v>
      </c>
      <c r="K4088" s="2" t="s">
        <v>11473</v>
      </c>
      <c r="L4088">
        <v>5</v>
      </c>
      <c r="M4088">
        <v>1</v>
      </c>
      <c r="O4088" t="s">
        <v>26</v>
      </c>
      <c r="P4088" t="s">
        <v>39</v>
      </c>
      <c r="Q4088" t="s">
        <v>10495</v>
      </c>
    </row>
    <row r="4089" spans="1:17" ht="15.75" x14ac:dyDescent="0.25">
      <c r="A4089" s="3" t="str">
        <f>HYPERLINK("https://shop.sonapharmacy.com/products/aquaphor%C2%AE-baby-healing-ointment-3oz", "https://shop.sonapharmacy.com/products/aquaphor%C2%AE-baby-healing-ointment-3oz")</f>
        <v>https://shop.sonapharmacy.com/products/aquaphor%C2%AE-baby-healing-ointment-3oz</v>
      </c>
      <c r="B4089" s="3" t="str">
        <f>HYPERLINK("https://shop.sonapharmacy.com/products/aquaphor%c2%ae-baby-healing-ointment-3oz", "https://shop.sonapharmacy.com/products/aquaphor%c2%ae-baby-healing-ointment-3oz")</f>
        <v>https://shop.sonapharmacy.com/products/aquaphor%c2%ae-baby-healing-ointment-3oz</v>
      </c>
      <c r="C4089" t="s">
        <v>8778</v>
      </c>
      <c r="D4089" t="s">
        <v>11474</v>
      </c>
      <c r="E4089" s="3" t="str">
        <f>HYPERLINK("https://www.amazon.com/Aquaphor-Baby-Healing-Ointment-Tube/dp/B00IZAJH24/ref=sr_1_5?keywords=Aquaphor+Baby+Healing+Ointment+3oz.&amp;qid=1695260046&amp;sr=8-5", "https://www.amazon.com/Aquaphor-Baby-Healing-Ointment-Tube/dp/B00IZAJH24/ref=sr_1_5?keywords=Aquaphor+Baby+Healing+Ointment+3oz.&amp;qid=1695260046&amp;sr=8-5")</f>
        <v>https://www.amazon.com/Aquaphor-Baby-Healing-Ointment-Tube/dp/B00IZAJH24/ref=sr_1_5?keywords=Aquaphor+Baby+Healing+Ointment+3oz.&amp;qid=1695260046&amp;sr=8-5</v>
      </c>
      <c r="F4089" t="s">
        <v>11475</v>
      </c>
      <c r="G4089" t="e">
        <f ca="1">IMAGE("https://shop.sonapharmacy.com/cdn/shop/products/71g48qVpgpL._AC_SL1500.jpg?v=1609262462")</f>
        <v>#NAME?</v>
      </c>
      <c r="H4089" t="e">
        <f ca="1">IMAGE("https://m.media-amazon.com/images/I/61aZ9wl0bfL._AC_UL320_.jpg")</f>
        <v>#NAME?</v>
      </c>
      <c r="I4089" t="s">
        <v>8781</v>
      </c>
      <c r="J4089">
        <v>18.989999999999998</v>
      </c>
      <c r="K4089" s="2" t="s">
        <v>11476</v>
      </c>
      <c r="L4089">
        <v>4.7</v>
      </c>
      <c r="M4089">
        <v>32</v>
      </c>
      <c r="O4089" t="s">
        <v>26</v>
      </c>
      <c r="P4089" t="s">
        <v>39</v>
      </c>
      <c r="Q4089" t="s">
        <v>8783</v>
      </c>
    </row>
    <row r="4090" spans="1:17" ht="15.75" x14ac:dyDescent="0.25">
      <c r="A4090" s="3" t="str">
        <f>HYPERLINK("https://shop.sonapharmacy.com/products/mueller-kinesiology-tape%C2%AE-i-strips-pre-cut-tape-roll", "https://shop.sonapharmacy.com/products/mueller-kinesiology-tape%C2%AE-i-strips-pre-cut-tape-roll")</f>
        <v>https://shop.sonapharmacy.com/products/mueller-kinesiology-tape%C2%AE-i-strips-pre-cut-tape-roll</v>
      </c>
      <c r="B4090" s="3" t="str">
        <f>HYPERLINK("https://shop.sonapharmacy.com/products/mueller-kinesiology-tape%c2%ae-i-strips-pre-cut-tape-roll", "https://shop.sonapharmacy.com/products/mueller-kinesiology-tape%c2%ae-i-strips-pre-cut-tape-roll")</f>
        <v>https://shop.sonapharmacy.com/products/mueller-kinesiology-tape%c2%ae-i-strips-pre-cut-tape-roll</v>
      </c>
      <c r="C4090" t="s">
        <v>11477</v>
      </c>
      <c r="D4090" t="s">
        <v>11478</v>
      </c>
      <c r="E4090" s="3" t="str">
        <f>HYPERLINK("https://www.amazon.com/Mueller-Pre-Cut-Kinesiology-Tape-I-Strip/dp/B00PKKXNHW/ref=sr_1_4?keywords=Mueller+Kinesiology+Tape%C2%AE+I-Strips+Pre-Cut+Tape+Roll&amp;qid=1695260503&amp;sr=8-4", "https://www.amazon.com/Mueller-Pre-Cut-Kinesiology-Tape-I-Strip/dp/B00PKKXNHW/ref=sr_1_4?keywords=Mueller+Kinesiology+Tape%C2%AE+I-Strips+Pre-Cut+Tape+Roll&amp;qid=1695260503&amp;sr=8-4")</f>
        <v>https://www.amazon.com/Mueller-Pre-Cut-Kinesiology-Tape-I-Strip/dp/B00PKKXNHW/ref=sr_1_4?keywords=Mueller+Kinesiology+Tape%C2%AE+I-Strips+Pre-Cut+Tape+Roll&amp;qid=1695260503&amp;sr=8-4</v>
      </c>
      <c r="F4090" t="s">
        <v>11479</v>
      </c>
      <c r="G4090" t="e">
        <f ca="1">IMAGE("https://shop.sonapharmacy.com/cdn/shop/products/black_fd3353bd-3884-4f87-90b8-1327b7073970.jpg?v=1609944494")</f>
        <v>#NAME?</v>
      </c>
      <c r="H4090" t="e">
        <f ca="1">IMAGE("https://m.media-amazon.com/images/I/11Y9CU3dlGL._AC_UL320_.jpg")</f>
        <v>#NAME?</v>
      </c>
      <c r="I4090" t="s">
        <v>8096</v>
      </c>
      <c r="J4090">
        <v>17.920000000000002</v>
      </c>
      <c r="K4090" s="2" t="s">
        <v>11480</v>
      </c>
      <c r="L4090">
        <v>5</v>
      </c>
      <c r="M4090">
        <v>2</v>
      </c>
      <c r="O4090" t="s">
        <v>26</v>
      </c>
      <c r="P4090" t="s">
        <v>39</v>
      </c>
      <c r="Q4090" t="s">
        <v>11481</v>
      </c>
    </row>
    <row r="4091" spans="1:17" ht="15.75" x14ac:dyDescent="0.25">
      <c r="A4091" s="3" t="str">
        <f>HYPERLINK("https://shop.sonapharmacy.com/products/breathe-right-original-nasal-strips", "https://shop.sonapharmacy.com/products/breathe-right-original-nasal-strips")</f>
        <v>https://shop.sonapharmacy.com/products/breathe-right-original-nasal-strips</v>
      </c>
      <c r="B4091" s="3" t="str">
        <f>HYPERLINK("https://shop.sonapharmacy.com/products/breathe-right-original-nasal-strips", "https://shop.sonapharmacy.com/products/breathe-right-original-nasal-strips")</f>
        <v>https://shop.sonapharmacy.com/products/breathe-right-original-nasal-strips</v>
      </c>
      <c r="C4091" t="s">
        <v>8894</v>
      </c>
      <c r="D4091" t="s">
        <v>11482</v>
      </c>
      <c r="E4091" s="3" t="str">
        <f>HYPERLINK("https://www.amazon.com/Breathe-Right-Drug-Free-Original-Packages/dp/B07PXFDGGW/ref=sr_1_9?keywords=Breathe+Right%C2%AE+Original+Nasal+Strips+Large%2FTan&amp;qid=1695260103&amp;sr=8-9", "https://www.amazon.com/Breathe-Right-Drug-Free-Original-Packages/dp/B07PXFDGGW/ref=sr_1_9?keywords=Breathe+Right%C2%AE+Original+Nasal+Strips+Large%2FTan&amp;qid=1695260103&amp;sr=8-9")</f>
        <v>https://www.amazon.com/Breathe-Right-Drug-Free-Original-Packages/dp/B07PXFDGGW/ref=sr_1_9?keywords=Breathe+Right%C2%AE+Original+Nasal+Strips+Large%2FTan&amp;qid=1695260103&amp;sr=8-9</v>
      </c>
      <c r="F4091" t="s">
        <v>11483</v>
      </c>
      <c r="G4091" t="e">
        <f ca="1">IMAGE("https://shop.sonapharmacy.com/cdn/shop/files/Sona-Shop-banner2_0c7162f3-c367-451d-8193-c2967a0e8d8e.jpg?v=1614290083")</f>
        <v>#NAME?</v>
      </c>
      <c r="H4091" t="e">
        <f ca="1">IMAGE("https://m.media-amazon.com/images/I/71VC0GisW+L._AC_UL320_.jpg")</f>
        <v>#NAME?</v>
      </c>
      <c r="I4091" t="s">
        <v>5295</v>
      </c>
      <c r="J4091">
        <v>26.58</v>
      </c>
      <c r="K4091" s="2" t="s">
        <v>11484</v>
      </c>
      <c r="L4091">
        <v>4.7</v>
      </c>
      <c r="M4091">
        <v>28</v>
      </c>
      <c r="O4091" t="s">
        <v>26</v>
      </c>
      <c r="P4091" t="s">
        <v>39</v>
      </c>
      <c r="Q4091" t="s">
        <v>8898</v>
      </c>
    </row>
    <row r="4092" spans="1:17" ht="15.75" x14ac:dyDescent="0.25">
      <c r="A4092" s="3" t="str">
        <f>HYPERLINK("https://shop.sonapharmacy.com/products/liquid-i-v-hydration-multiplier-8pck", "https://shop.sonapharmacy.com/products/liquid-i-v-hydration-multiplier-8pck")</f>
        <v>https://shop.sonapharmacy.com/products/liquid-i-v-hydration-multiplier-8pck</v>
      </c>
      <c r="B4092" s="3" t="str">
        <f>HYPERLINK("https://shop.sonapharmacy.com/products/liquid-i-v-hydration-multiplier-8pck", "https://shop.sonapharmacy.com/products/liquid-i-v-hydration-multiplier-8pck")</f>
        <v>https://shop.sonapharmacy.com/products/liquid-i-v-hydration-multiplier-8pck</v>
      </c>
      <c r="C4092" t="s">
        <v>9679</v>
      </c>
      <c r="D4092" t="s">
        <v>11485</v>
      </c>
      <c r="E4092" s="3" t="str">
        <f>HYPERLINK("https://www.amazon.com/Liquid-I-V-Multiplier-Electrolyte-Supplement/dp/B07S975T99/ref=sr_1_2?keywords=Liquid+I.V%C2%AE+Hydration+Multiplier+Electrolyte+Mix+8pck&amp;qid=1695260452&amp;sr=8-2", "https://www.amazon.com/Liquid-I-V-Multiplier-Electrolyte-Supplement/dp/B07S975T99/ref=sr_1_2?keywords=Liquid+I.V%C2%AE+Hydration+Multiplier+Electrolyte+Mix+8pck&amp;qid=1695260452&amp;sr=8-2")</f>
        <v>https://www.amazon.com/Liquid-I-V-Multiplier-Electrolyte-Supplement/dp/B07S975T99/ref=sr_1_2?keywords=Liquid+I.V%C2%AE+Hydration+Multiplier+Electrolyte+Mix+8pck&amp;qid=1695260452&amp;sr=8-2</v>
      </c>
      <c r="F4092" t="s">
        <v>11486</v>
      </c>
      <c r="G4092" t="e">
        <f ca="1">IMAGE("https://shop.sonapharmacy.com/cdn/shop/products/passionfruit.jpg?v=1610031991")</f>
        <v>#NAME?</v>
      </c>
      <c r="H4092" t="e">
        <f ca="1">IMAGE("https://m.media-amazon.com/images/I/81GKizXcPzL._AC_UL320_.jpg")</f>
        <v>#NAME?</v>
      </c>
      <c r="I4092" t="s">
        <v>3458</v>
      </c>
      <c r="J4092">
        <v>39.35</v>
      </c>
      <c r="K4092" s="2" t="s">
        <v>11487</v>
      </c>
      <c r="L4092">
        <v>4.8</v>
      </c>
      <c r="M4092">
        <v>4303</v>
      </c>
      <c r="O4092" t="s">
        <v>26</v>
      </c>
      <c r="P4092" t="s">
        <v>39</v>
      </c>
      <c r="Q4092" t="s">
        <v>9683</v>
      </c>
    </row>
    <row r="4093" spans="1:17" ht="15.75" x14ac:dyDescent="0.25">
      <c r="A4093" s="3" t="str">
        <f>HYPERLINK("https://shop.sonapharmacy.com/products/nature-made-stress-b-complex-tablets", "https://shop.sonapharmacy.com/products/nature-made-stress-b-complex-tablets")</f>
        <v>https://shop.sonapharmacy.com/products/nature-made-stress-b-complex-tablets</v>
      </c>
      <c r="B4093" s="3" t="str">
        <f>HYPERLINK("https://shop.sonapharmacy.com/products/nature-made-stress-b-complex-tablets", "https://shop.sonapharmacy.com/products/nature-made-stress-b-complex-tablets")</f>
        <v>https://shop.sonapharmacy.com/products/nature-made-stress-b-complex-tablets</v>
      </c>
      <c r="C4093" t="s">
        <v>9588</v>
      </c>
      <c r="D4093" t="s">
        <v>11488</v>
      </c>
      <c r="E4093" s="3" t="str">
        <f>HYPERLINK("https://www.amazon.com/Nature-Made-Stress-Complex-total/dp/B00GSW8862/ref=sr_1_2?keywords=Nature+Made%C2%AE+Stress+B-Complex+Tablets+75ct.&amp;qid=1695260553&amp;sr=8-2", "https://www.amazon.com/Nature-Made-Stress-Complex-total/dp/B00GSW8862/ref=sr_1_2?keywords=Nature+Made%C2%AE+Stress+B-Complex+Tablets+75ct.&amp;qid=1695260553&amp;sr=8-2")</f>
        <v>https://www.amazon.com/Nature-Made-Stress-Complex-total/dp/B00GSW8862/ref=sr_1_2?keywords=Nature+Made%C2%AE+Stress+B-Complex+Tablets+75ct.&amp;qid=1695260553&amp;sr=8-2</v>
      </c>
      <c r="F4093" t="s">
        <v>11489</v>
      </c>
      <c r="G4093" t="e">
        <f ca="1">IMAGE("https://shop.sonapharmacy.com/cdn/shop/products/71XtdZFCNcL._AC_SL1500.jpg?v=1610046126")</f>
        <v>#NAME?</v>
      </c>
      <c r="H4093" t="e">
        <f ca="1">IMAGE("https://m.media-amazon.com/images/I/71BJalkzdnL._AC_UL320_.jpg")</f>
        <v>#NAME?</v>
      </c>
      <c r="I4093" t="s">
        <v>9258</v>
      </c>
      <c r="J4093">
        <v>23.59</v>
      </c>
      <c r="K4093" s="2" t="s">
        <v>11490</v>
      </c>
      <c r="L4093">
        <v>4.7</v>
      </c>
      <c r="M4093">
        <v>8278</v>
      </c>
      <c r="O4093" t="s">
        <v>26</v>
      </c>
      <c r="P4093" t="s">
        <v>39</v>
      </c>
      <c r="Q4093" t="s">
        <v>9592</v>
      </c>
    </row>
    <row r="4094" spans="1:17" ht="15.75" x14ac:dyDescent="0.25">
      <c r="A4094"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B4094"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C4094" t="s">
        <v>8889</v>
      </c>
      <c r="D4094" t="s">
        <v>11491</v>
      </c>
      <c r="E4094" s="3" t="str">
        <f>HYPERLINK("https://www.amazon.com/Colgate-Whitening-Toothpaste-Breath-Strips/dp/B087HK651T/ref=sr_1_2?keywords=Colgate%C2%AE+Max+Fresh%C2%AE+With+Breath+Strips+Clean+Mint+Toothpaste+6oz.&amp;qid=1695260147&amp;sr=8-2", "https://www.amazon.com/Colgate-Whitening-Toothpaste-Breath-Strips/dp/B087HK651T/ref=sr_1_2?keywords=Colgate%C2%AE+Max+Fresh%C2%AE+With+Breath+Strips+Clean+Mint+Toothpaste+6oz.&amp;qid=1695260147&amp;sr=8-2")</f>
        <v>https://www.amazon.com/Colgate-Whitening-Toothpaste-Breath-Strips/dp/B087HK651T/ref=sr_1_2?keywords=Colgate%C2%AE+Max+Fresh%C2%AE+With+Breath+Strips+Clean+Mint+Toothpaste+6oz.&amp;qid=1695260147&amp;sr=8-2</v>
      </c>
      <c r="F4094" t="s">
        <v>11492</v>
      </c>
      <c r="G4094" t="e">
        <f ca="1">IMAGE("https://shop.sonapharmacy.com/cdn/shop/products/c6289988-8c06-4eaa-9b0b-ecd363befe31_1.0de5bc9f4f35f28fcf4241c46ae2d5e0.png?v=1608652798")</f>
        <v>#NAME?</v>
      </c>
      <c r="H4094" t="e">
        <f ca="1">IMAGE("https://m.media-amazon.com/images/I/81CBwqScGfL._AC_UL320_.jpg")</f>
        <v>#NAME?</v>
      </c>
      <c r="I4094" t="s">
        <v>8102</v>
      </c>
      <c r="J4094">
        <v>9.81</v>
      </c>
      <c r="K4094" s="2" t="s">
        <v>11493</v>
      </c>
      <c r="L4094">
        <v>4.5</v>
      </c>
      <c r="M4094">
        <v>75</v>
      </c>
      <c r="O4094" t="s">
        <v>26</v>
      </c>
      <c r="P4094" t="s">
        <v>39</v>
      </c>
      <c r="Q4094" t="s">
        <v>8893</v>
      </c>
    </row>
    <row r="4095" spans="1:17" ht="15.75" x14ac:dyDescent="0.25">
      <c r="A4095" s="3" t="str">
        <f>HYPERLINK("https://shop.sonapharmacy.com/products/nature-made-1200-mg-fish-oil-with-720-mg-omega-3", "https://shop.sonapharmacy.com/products/nature-made-1200-mg-fish-oil-with-720-mg-omega-3")</f>
        <v>https://shop.sonapharmacy.com/products/nature-made-1200-mg-fish-oil-with-720-mg-omega-3</v>
      </c>
      <c r="B4095" s="3" t="str">
        <f>HYPERLINK("https://shop.sonapharmacy.com/products/nature-made-1200-mg-fish-oil-with-720-mg-omega-3", "https://shop.sonapharmacy.com/products/nature-made-1200-mg-fish-oil-with-720-mg-omega-3")</f>
        <v>https://shop.sonapharmacy.com/products/nature-made-1200-mg-fish-oil-with-720-mg-omega-3</v>
      </c>
      <c r="C4095" t="s">
        <v>11494</v>
      </c>
      <c r="D4095" t="s">
        <v>11353</v>
      </c>
      <c r="E4095" s="3" t="str">
        <f>HYPERLINK("https://www.amazon.com/Healthy-Supplement-Softgels-Vitamins-Supplements/dp/B0C2GQSY8N/ref=sr_1_10?keywords=Nature+Made%C2%AE+Fish+Oil+with+Omega-3+1200+mg%2F720+mg+Softgels+100ct.&amp;qid=1695260558&amp;sr=8-10", "https://www.amazon.com/Healthy-Supplement-Softgels-Vitamins-Supplements/dp/B0C2GQSY8N/ref=sr_1_10?keywords=Nature+Made%C2%AE+Fish+Oil+with+Omega-3+1200+mg%2F720+mg+Softgels+100ct.&amp;qid=1695260558&amp;sr=8-10")</f>
        <v>https://www.amazon.com/Healthy-Supplement-Softgels-Vitamins-Supplements/dp/B0C2GQSY8N/ref=sr_1_10?keywords=Nature+Made%C2%AE+Fish+Oil+with+Omega-3+1200+mg%2F720+mg+Softgels+100ct.&amp;qid=1695260558&amp;sr=8-10</v>
      </c>
      <c r="F4095" t="s">
        <v>11354</v>
      </c>
      <c r="G4095" t="e">
        <f ca="1">IMAGE("https://shop.sonapharmacy.com/cdn/shop/products/7151vaVLcoL._AC_SL1500__2.jpg?v=1610049528")</f>
        <v>#NAME?</v>
      </c>
      <c r="H4095" t="e">
        <f ca="1">IMAGE("https://m.media-amazon.com/images/I/61HM7DmOTQL._AC_UL320_.jpg")</f>
        <v>#NAME?</v>
      </c>
      <c r="I4095" t="s">
        <v>3458</v>
      </c>
      <c r="J4095">
        <v>39.15</v>
      </c>
      <c r="K4095" s="2" t="s">
        <v>11495</v>
      </c>
      <c r="L4095">
        <v>3.9</v>
      </c>
      <c r="M4095">
        <v>5</v>
      </c>
      <c r="O4095" t="s">
        <v>26</v>
      </c>
      <c r="P4095" t="s">
        <v>39</v>
      </c>
      <c r="Q4095" t="s">
        <v>11496</v>
      </c>
    </row>
    <row r="4096" spans="1:17" ht="15.75" x14ac:dyDescent="0.25">
      <c r="A4096" s="3" t="str">
        <f>HYPERLINK("https://shop.sonapharmacy.com/products/biotene%C2%AE-dry-mouth-oral-rinse-16fl-oz", "https://shop.sonapharmacy.com/products/biotene%C2%AE-dry-mouth-oral-rinse-16fl-oz")</f>
        <v>https://shop.sonapharmacy.com/products/biotene%C2%AE-dry-mouth-oral-rinse-16fl-oz</v>
      </c>
      <c r="B4096" s="3" t="str">
        <f>HYPERLINK("https://shop.sonapharmacy.com/products/biotene%c2%ae-dry-mouth-oral-rinse-16fl-oz", "https://shop.sonapharmacy.com/products/biotene%c2%ae-dry-mouth-oral-rinse-16fl-oz")</f>
        <v>https://shop.sonapharmacy.com/products/biotene%c2%ae-dry-mouth-oral-rinse-16fl-oz</v>
      </c>
      <c r="C4096" t="s">
        <v>11497</v>
      </c>
      <c r="D4096" t="s">
        <v>11498</v>
      </c>
      <c r="E4096" s="3" t="str">
        <f>HYPERLINK("https://www.amazon.com/biot%C3%A8ne-Mouthwash-Breath-Freshener-Treatment/dp/B09SB95WM5/ref=sr_1_2?keywords=Biot%C3%A8ne%C2%AE+Dry+Mouth+Oral+Rinse+16fl.+oz.&amp;qid=1695260085&amp;sr=8-2", "https://www.amazon.com/biot%C3%A8ne-Mouthwash-Breath-Freshener-Treatment/dp/B09SB95WM5/ref=sr_1_2?keywords=Biot%C3%A8ne%C2%AE+Dry+Mouth+Oral+Rinse+16fl.+oz.&amp;qid=1695260085&amp;sr=8-2")</f>
        <v>https://www.amazon.com/biot%C3%A8ne-Mouthwash-Breath-Freshener-Treatment/dp/B09SB95WM5/ref=sr_1_2?keywords=Biot%C3%A8ne%C2%AE+Dry+Mouth+Oral+Rinse+16fl.+oz.&amp;qid=1695260085&amp;sr=8-2</v>
      </c>
      <c r="F4096" t="s">
        <v>11499</v>
      </c>
      <c r="G4096" t="e">
        <f ca="1">IMAGE("https://shop.sonapharmacy.com/cdn/shop/products/98f7080b-d483-4e9e-8c51-ebf1ebb94d1c.2bf2475dcfe6c610df506f211cc52659.jpg?v=1608584581")</f>
        <v>#NAME?</v>
      </c>
      <c r="H4096" t="e">
        <f ca="1">IMAGE("https://m.media-amazon.com/images/I/71X6TJWffOL._AC_UL320_.jpg")</f>
        <v>#NAME?</v>
      </c>
      <c r="I4096" t="s">
        <v>8423</v>
      </c>
      <c r="J4096">
        <v>18.989999999999998</v>
      </c>
      <c r="K4096" s="2" t="s">
        <v>11500</v>
      </c>
      <c r="L4096">
        <v>4.7</v>
      </c>
      <c r="M4096">
        <v>601</v>
      </c>
      <c r="O4096" t="s">
        <v>26</v>
      </c>
      <c r="P4096" t="s">
        <v>39</v>
      </c>
      <c r="Q4096" t="s">
        <v>11501</v>
      </c>
    </row>
    <row r="4097" spans="1:17" ht="15.75" x14ac:dyDescent="0.25">
      <c r="A4097" s="3" t="str">
        <f>HYPERLINK("https://shop.sonapharmacy.com/products/pond-s%C2%AE-cold-cream-make-up-remover-6-1oz", "https://shop.sonapharmacy.com/products/pond-s%C2%AE-cold-cream-make-up-remover-6-1oz")</f>
        <v>https://shop.sonapharmacy.com/products/pond-s%C2%AE-cold-cream-make-up-remover-6-1oz</v>
      </c>
      <c r="B4097" s="3" t="str">
        <f>HYPERLINK("https://shop.sonapharmacy.com/products/pond-s%c2%ae-cold-cream-make-up-remover-6-1oz", "https://shop.sonapharmacy.com/products/pond-s%c2%ae-cold-cream-make-up-remover-6-1oz")</f>
        <v>https://shop.sonapharmacy.com/products/pond-s%c2%ae-cold-cream-make-up-remover-6-1oz</v>
      </c>
      <c r="C4097" t="s">
        <v>10150</v>
      </c>
      <c r="D4097" t="s">
        <v>11502</v>
      </c>
      <c r="E4097" s="3" t="str">
        <f>HYPERLINK("https://www.amazon.com/Ponds-Cream-Make-Up-Remover-Fragrance-Free/dp/B07T5XK78W/ref=sr_1_10?keywords=POND%E2%80%99S%C2%AE+Cold+Cream+Make-Up+Remover+6.1oz&amp;qid=1695260696&amp;sr=8-10", "https://www.amazon.com/Ponds-Cream-Make-Up-Remover-Fragrance-Free/dp/B07T5XK78W/ref=sr_1_10?keywords=POND%E2%80%99S%C2%AE+Cold+Cream+Make-Up+Remover+6.1oz&amp;qid=1695260696&amp;sr=8-10")</f>
        <v>https://www.amazon.com/Ponds-Cream-Make-Up-Remover-Fragrance-Free/dp/B07T5XK78W/ref=sr_1_10?keywords=POND%E2%80%99S%C2%AE+Cold+Cream+Make-Up+Remover+6.1oz&amp;qid=1695260696&amp;sr=8-10</v>
      </c>
      <c r="F4097" t="s">
        <v>11503</v>
      </c>
      <c r="G4097" t="e">
        <f ca="1">IMAGE("https://shop.sonapharmacy.com/cdn/shop/products/233bad93-6828-42d1-806b-ff164795663f_1.53afe850e33b153fa5a01ac3ceadfd71.jpg?v=1608241660")</f>
        <v>#NAME?</v>
      </c>
      <c r="H4097" t="e">
        <f ca="1">IMAGE("https://m.media-amazon.com/images/I/51QaGxrPLEL._AC_UL320_.jpg")</f>
        <v>#NAME?</v>
      </c>
      <c r="I4097" t="s">
        <v>10153</v>
      </c>
      <c r="J4097">
        <v>18.579999999999998</v>
      </c>
      <c r="K4097" s="2" t="s">
        <v>11504</v>
      </c>
      <c r="L4097">
        <v>4.5</v>
      </c>
      <c r="M4097">
        <v>196</v>
      </c>
      <c r="O4097" t="s">
        <v>26</v>
      </c>
      <c r="P4097" t="s">
        <v>39</v>
      </c>
      <c r="Q4097" t="s">
        <v>10155</v>
      </c>
    </row>
    <row r="4098" spans="1:17" ht="15.75" x14ac:dyDescent="0.25">
      <c r="A4098" s="3" t="str">
        <f>HYPERLINK("https://shop.sonapharmacy.com/products/oral-b%C2%AE-deep-clean-toothbrush", "https://shop.sonapharmacy.com/products/oral-b%C2%AE-deep-clean-toothbrush")</f>
        <v>https://shop.sonapharmacy.com/products/oral-b%C2%AE-deep-clean-toothbrush</v>
      </c>
      <c r="B4098" s="3" t="str">
        <f>HYPERLINK("https://shop.sonapharmacy.com/products/oral-b%c2%ae-deep-clean-toothbrush", "https://shop.sonapharmacy.com/products/oral-b%c2%ae-deep-clean-toothbrush")</f>
        <v>https://shop.sonapharmacy.com/products/oral-b%c2%ae-deep-clean-toothbrush</v>
      </c>
      <c r="C4098" t="s">
        <v>9367</v>
      </c>
      <c r="D4098" t="s">
        <v>11505</v>
      </c>
      <c r="E4098" s="3" t="str">
        <f>HYPERLINK("https://www.amazon.com/Oral-B-Complete-Battery-Electric-Toothbrush/dp/B0007DHH88/ref=sr_1_7?keywords=Oral+B%C2%AE+Complete+Deep+Clean+Toothbrush+%5BMedium%5D&amp;qid=1695260620&amp;sr=8-7", "https://www.amazon.com/Oral-B-Complete-Battery-Electric-Toothbrush/dp/B0007DHH88/ref=sr_1_7?keywords=Oral+B%C2%AE+Complete+Deep+Clean+Toothbrush+%5BMedium%5D&amp;qid=1695260620&amp;sr=8-7")</f>
        <v>https://www.amazon.com/Oral-B-Complete-Battery-Electric-Toothbrush/dp/B0007DHH88/ref=sr_1_7?keywords=Oral+B%C2%AE+Complete+Deep+Clean+Toothbrush+%5BMedium%5D&amp;qid=1695260620&amp;sr=8-7</v>
      </c>
      <c r="F4098" t="s">
        <v>11506</v>
      </c>
      <c r="G4098" t="e">
        <f ca="1">IMAGE("https://shop.sonapharmacy.com/cdn/shop/files/Sona-Shop-banner2_0c7162f3-c367-451d-8193-c2967a0e8d8e.jpg?v=1614290083")</f>
        <v>#NAME?</v>
      </c>
      <c r="H4098" t="e">
        <f ca="1">IMAGE("https://m.media-amazon.com/images/I/715AdOd+DjL._AC_UL320_.jpg")</f>
        <v>#NAME?</v>
      </c>
      <c r="I4098" t="s">
        <v>9370</v>
      </c>
      <c r="J4098">
        <v>7.97</v>
      </c>
      <c r="K4098" s="2" t="s">
        <v>11507</v>
      </c>
      <c r="L4098">
        <v>4.5999999999999996</v>
      </c>
      <c r="M4098">
        <v>1661</v>
      </c>
      <c r="O4098" t="s">
        <v>26</v>
      </c>
      <c r="P4098" t="s">
        <v>39</v>
      </c>
      <c r="Q4098" t="s">
        <v>9372</v>
      </c>
    </row>
    <row r="4099" spans="1:17" ht="15.75" x14ac:dyDescent="0.25">
      <c r="A4099" s="3" t="str">
        <f>HYPERLINK("https://shop.sonapharmacy.com/products/a-d%C2%AE-original-diaper-rash-ointment", "https://shop.sonapharmacy.com/products/a-d%C2%AE-original-diaper-rash-ointment")</f>
        <v>https://shop.sonapharmacy.com/products/a-d%C2%AE-original-diaper-rash-ointment</v>
      </c>
      <c r="B4099" s="3" t="str">
        <f>HYPERLINK("https://shop.sonapharmacy.com/products/a-d%c2%ae-original-diaper-rash-ointment", "https://shop.sonapharmacy.com/products/a-d%c2%ae-original-diaper-rash-ointment")</f>
        <v>https://shop.sonapharmacy.com/products/a-d%c2%ae-original-diaper-rash-ointment</v>
      </c>
      <c r="C4099" t="s">
        <v>8297</v>
      </c>
      <c r="D4099" t="s">
        <v>11508</v>
      </c>
      <c r="E4099" s="3" t="str">
        <f>HYPERLINK("https://www.amazon.com/Diaper-Ointment-Protectant-Original-ounces/dp/B00ZPR8KW8/ref=sr_1_5?keywords=A%2BD+Original+Diaper+Rash+Ointment&amp;qid=1695260012&amp;sr=8-5", "https://www.amazon.com/Diaper-Ointment-Protectant-Original-ounces/dp/B00ZPR8KW8/ref=sr_1_5?keywords=A%2BD+Original+Diaper+Rash+Ointment&amp;qid=1695260012&amp;sr=8-5")</f>
        <v>https://www.amazon.com/Diaper-Ointment-Protectant-Original-ounces/dp/B00ZPR8KW8/ref=sr_1_5?keywords=A%2BD+Original+Diaper+Rash+Ointment&amp;qid=1695260012&amp;sr=8-5</v>
      </c>
      <c r="F4099" t="s">
        <v>11509</v>
      </c>
      <c r="G4099" t="e">
        <f ca="1">IMAGE("https://shop.sonapharmacy.com/cdn/shop/products/1.5oz..jpg?v=1609270387")</f>
        <v>#NAME?</v>
      </c>
      <c r="H4099" t="e">
        <f ca="1">IMAGE("https://m.media-amazon.com/images/I/71EPra804UL._AC_UL320_.jpg")</f>
        <v>#NAME?</v>
      </c>
      <c r="I4099" t="s">
        <v>8300</v>
      </c>
      <c r="J4099">
        <v>11.47</v>
      </c>
      <c r="K4099" s="2" t="s">
        <v>11510</v>
      </c>
      <c r="L4099">
        <v>4.8</v>
      </c>
      <c r="M4099">
        <v>1824</v>
      </c>
      <c r="O4099" t="s">
        <v>26</v>
      </c>
      <c r="P4099" t="s">
        <v>39</v>
      </c>
      <c r="Q4099" t="s">
        <v>8302</v>
      </c>
    </row>
    <row r="4100" spans="1:17" ht="15.75" x14ac:dyDescent="0.25">
      <c r="A4100" s="3" t="str">
        <f>HYPERLINK("https://shop.sonapharmacy.com/products/goodsense%C2%AE-multi-purpose-solution-for-contact-lenses-12fl-oz", "https://shop.sonapharmacy.com/products/goodsense%C2%AE-multi-purpose-solution-for-contact-lenses-12fl-oz")</f>
        <v>https://shop.sonapharmacy.com/products/goodsense%C2%AE-multi-purpose-solution-for-contact-lenses-12fl-oz</v>
      </c>
      <c r="B4100" s="3" t="str">
        <f>HYPERLINK("https://shop.sonapharmacy.com/products/goodsense%c2%ae-multi-purpose-solution-for-contact-lenses-12fl-oz", "https://shop.sonapharmacy.com/products/goodsense%c2%ae-multi-purpose-solution-for-contact-lenses-12fl-oz")</f>
        <v>https://shop.sonapharmacy.com/products/goodsense%c2%ae-multi-purpose-solution-for-contact-lenses-12fl-oz</v>
      </c>
      <c r="C4100" t="s">
        <v>11146</v>
      </c>
      <c r="D4100" t="s">
        <v>11511</v>
      </c>
      <c r="E4100" s="3" t="str">
        <f>HYPERLINK("https://www.amazon.com/Biotrue-Contact-Solution-Lenses-Multi-Purpose/dp/B003H03SDQ/ref=sr_1_4?keywords=GoodSense%C2%AE+Multi-Purpose+Solution+For+Contact+Lenses+12fl.+oz.&amp;qid=1695260355&amp;sr=8-4", "https://www.amazon.com/Biotrue-Contact-Solution-Lenses-Multi-Purpose/dp/B003H03SDQ/ref=sr_1_4?keywords=GoodSense%C2%AE+Multi-Purpose+Solution+For+Contact+Lenses+12fl.+oz.&amp;qid=1695260355&amp;sr=8-4")</f>
        <v>https://www.amazon.com/Biotrue-Contact-Solution-Lenses-Multi-Purpose/dp/B003H03SDQ/ref=sr_1_4?keywords=GoodSense%C2%AE+Multi-Purpose+Solution+For+Contact+Lenses+12fl.+oz.&amp;qid=1695260355&amp;sr=8-4</v>
      </c>
      <c r="F4100" t="s">
        <v>11512</v>
      </c>
      <c r="G4100" t="e">
        <f ca="1">IMAGE("https://shop.sonapharmacy.com/cdn/shop/products/gddkc00020.jpg?v=1608829572")</f>
        <v>#NAME?</v>
      </c>
      <c r="H4100" t="e">
        <f ca="1">IMAGE("https://m.media-amazon.com/images/I/818PpnffCNL._AC_UL320_.jpg")</f>
        <v>#NAME?</v>
      </c>
      <c r="I4100" t="s">
        <v>8863</v>
      </c>
      <c r="J4100">
        <v>16.920000000000002</v>
      </c>
      <c r="K4100" s="2" t="s">
        <v>11513</v>
      </c>
      <c r="L4100">
        <v>4.9000000000000004</v>
      </c>
      <c r="M4100">
        <v>33670</v>
      </c>
      <c r="O4100" t="s">
        <v>136</v>
      </c>
      <c r="P4100" t="s">
        <v>39</v>
      </c>
      <c r="Q4100" t="s">
        <v>11150</v>
      </c>
    </row>
    <row r="4101" spans="1:17" ht="15.75" x14ac:dyDescent="0.25">
      <c r="A4101" s="3" t="str">
        <f>HYPERLINK("https://shop.sonapharmacy.com/products/prevagen-regular-strength-10-mg-capsules", "https://shop.sonapharmacy.com/products/prevagen-regular-strength-10-mg-capsules")</f>
        <v>https://shop.sonapharmacy.com/products/prevagen-regular-strength-10-mg-capsules</v>
      </c>
      <c r="B4101" s="3" t="str">
        <f>HYPERLINK("https://shop.sonapharmacy.com/products/prevagen-regular-strength-10-mg-capsules", "https://shop.sonapharmacy.com/products/prevagen-regular-strength-10-mg-capsules")</f>
        <v>https://shop.sonapharmacy.com/products/prevagen-regular-strength-10-mg-capsules</v>
      </c>
      <c r="C4101" t="s">
        <v>8872</v>
      </c>
      <c r="D4101" t="s">
        <v>11514</v>
      </c>
      <c r="E4101" s="3" t="str">
        <f>HYPERLINK("https://www.amazon.com/Prevagen-Mineral-Supplement-60-Count/dp/B00GB9AWXO/ref=sr_1_2?keywords=Prevagen+Regular+Strength+10+mg+Capsules+30+ct.&amp;qid=1695260646&amp;sr=8-2", "https://www.amazon.com/Prevagen-Mineral-Supplement-60-Count/dp/B00GB9AWXO/ref=sr_1_2?keywords=Prevagen+Regular+Strength+10+mg+Capsules+30+ct.&amp;qid=1695260646&amp;sr=8-2")</f>
        <v>https://www.amazon.com/Prevagen-Mineral-Supplement-60-Count/dp/B00GB9AWXO/ref=sr_1_2?keywords=Prevagen+Regular+Strength+10+mg+Capsules+30+ct.&amp;qid=1695260646&amp;sr=8-2</v>
      </c>
      <c r="F4101" t="s">
        <v>11515</v>
      </c>
      <c r="G4101" t="e">
        <f ca="1">IMAGE("https://shop.sonapharmacy.com/cdn/shop/products/Prevagen.jpg?v=1628795146")</f>
        <v>#NAME?</v>
      </c>
      <c r="H4101" t="e">
        <f ca="1">IMAGE("https://m.media-amazon.com/images/I/71f4e+ruaZL._AC_UL320_.jpg")</f>
        <v>#NAME?</v>
      </c>
      <c r="I4101" t="s">
        <v>6516</v>
      </c>
      <c r="J4101">
        <v>68.209999999999994</v>
      </c>
      <c r="K4101" s="2" t="s">
        <v>11516</v>
      </c>
      <c r="L4101">
        <v>4.4000000000000004</v>
      </c>
      <c r="M4101">
        <v>2506</v>
      </c>
      <c r="O4101" t="s">
        <v>39</v>
      </c>
      <c r="P4101" t="s">
        <v>39</v>
      </c>
      <c r="Q4101" t="s">
        <v>8876</v>
      </c>
    </row>
    <row r="4102" spans="1:17" ht="15.75" x14ac:dyDescent="0.25">
      <c r="A4102" s="3" t="str">
        <f>HYPERLINK("https://shop.sonapharmacy.com/products/apex%C2%AE-dayplanner-pill-organizer", "https://shop.sonapharmacy.com/products/apex%C2%AE-dayplanner-pill-organizer")</f>
        <v>https://shop.sonapharmacy.com/products/apex%C2%AE-dayplanner-pill-organizer</v>
      </c>
      <c r="B4102" s="3" t="str">
        <f>HYPERLINK("https://shop.sonapharmacy.com/products/apex%c2%ae-dayplanner-pill-organizer", "https://shop.sonapharmacy.com/products/apex%c2%ae-dayplanner-pill-organizer")</f>
        <v>https://shop.sonapharmacy.com/products/apex%c2%ae-dayplanner-pill-organizer</v>
      </c>
      <c r="C4102" t="s">
        <v>9676</v>
      </c>
      <c r="D4102" t="s">
        <v>11517</v>
      </c>
      <c r="E4102" s="3" t="str">
        <f>HYPERLINK("https://www.amazon.com/Apex-Organizer-Easy-Open-See-Through-Medication/dp/B006JRQKKC/ref=sr_1_5?keywords=apex+day+planner+pill+organizer&amp;qid=1695260004&amp;sr=8-5", "https://www.amazon.com/Apex-Organizer-Easy-Open-See-Through-Medication/dp/B006JRQKKC/ref=sr_1_5?keywords=apex+day+planner+pill+organizer&amp;qid=1695260004&amp;sr=8-5")</f>
        <v>https://www.amazon.com/Apex-Organizer-Easy-Open-See-Through-Medication/dp/B006JRQKKC/ref=sr_1_5?keywords=apex+day+planner+pill+organizer&amp;qid=1695260004&amp;sr=8-5</v>
      </c>
      <c r="F4102" t="s">
        <v>11518</v>
      </c>
      <c r="G4102" t="e">
        <f ca="1">IMAGE("https://shop.sonapharmacy.com/cdn/shop/products/20170616155330QN4J5F9LM5P6Z_full_580x_4c451385-f9da-4907-926b-936bb87a9d9e.jpg?v=1609961315")</f>
        <v>#NAME?</v>
      </c>
      <c r="H4102" t="e">
        <f ca="1">IMAGE("https://m.media-amazon.com/images/I/7170P6M4DmL._AC_UL320_.jpg")</f>
        <v>#NAME?</v>
      </c>
      <c r="I4102" t="s">
        <v>8117</v>
      </c>
      <c r="J4102">
        <v>4.1399999999999997</v>
      </c>
      <c r="K4102" s="2" t="s">
        <v>11519</v>
      </c>
      <c r="L4102">
        <v>4</v>
      </c>
      <c r="M4102">
        <v>2143</v>
      </c>
      <c r="O4102" t="s">
        <v>26</v>
      </c>
      <c r="P4102" t="s">
        <v>39</v>
      </c>
      <c r="Q4102" t="s">
        <v>9678</v>
      </c>
    </row>
    <row r="4103" spans="1:17" ht="15.75" x14ac:dyDescent="0.25">
      <c r="A4103" s="3" t="str">
        <f>HYPERLINK("https://shop.sonapharmacy.com/products/areds-lutein-formula-soft-gels", "https://shop.sonapharmacy.com/products/areds-lutein-formula-soft-gels")</f>
        <v>https://shop.sonapharmacy.com/products/areds-lutein-formula-soft-gels</v>
      </c>
      <c r="B4103" s="3" t="str">
        <f>HYPERLINK("https://shop.sonapharmacy.com/products/areds-lutein-formula-soft-gels", "https://shop.sonapharmacy.com/products/areds-lutein-formula-soft-gels")</f>
        <v>https://shop.sonapharmacy.com/products/areds-lutein-formula-soft-gels</v>
      </c>
      <c r="C4103" t="s">
        <v>11520</v>
      </c>
      <c r="D4103" t="s">
        <v>11363</v>
      </c>
      <c r="E4103" s="3" t="str">
        <f>HYPERLINK("https://www.amazon.com/PreserVision-Supplement-Contains-Zeaxanthin-Packaging/dp/B09TG6TP2Y/ref=sr_1_4?keywords=PreserVision+AREDS+Lutein+Formula+Soft+Gels&amp;qid=1695260648&amp;sr=8-4", "https://www.amazon.com/PreserVision-Supplement-Contains-Zeaxanthin-Packaging/dp/B09TG6TP2Y/ref=sr_1_4?keywords=PreserVision+AREDS+Lutein+Formula+Soft+Gels&amp;qid=1695260648&amp;sr=8-4")</f>
        <v>https://www.amazon.com/PreserVision-Supplement-Contains-Zeaxanthin-Packaging/dp/B09TG6TP2Y/ref=sr_1_4?keywords=PreserVision+AREDS+Lutein+Formula+Soft+Gels&amp;qid=1695260648&amp;sr=8-4</v>
      </c>
      <c r="F4103" t="s">
        <v>11364</v>
      </c>
      <c r="G4103" t="e">
        <f ca="1">IMAGE("https://shop.sonapharmacy.com/cdn/shop/products/PreserVisionAREDSLuteinFormulaSoftGels.jpg?v=1594831159")</f>
        <v>#NAME?</v>
      </c>
      <c r="H4103" t="e">
        <f ca="1">IMAGE("https://m.media-amazon.com/images/I/81omxUMifpL._AC_UL320_.jpg")</f>
        <v>#NAME?</v>
      </c>
      <c r="I4103" t="s">
        <v>11521</v>
      </c>
      <c r="J4103">
        <v>39.99</v>
      </c>
      <c r="K4103" s="2" t="s">
        <v>11522</v>
      </c>
      <c r="L4103">
        <v>4.5999999999999996</v>
      </c>
      <c r="M4103">
        <v>7036</v>
      </c>
      <c r="O4103" t="s">
        <v>26</v>
      </c>
      <c r="P4103" t="s">
        <v>39</v>
      </c>
      <c r="Q4103" t="s">
        <v>11523</v>
      </c>
    </row>
    <row r="4104" spans="1:17" ht="15.75" x14ac:dyDescent="0.25">
      <c r="A4104" s="3" t="str">
        <f>HYPERLINK("https://shop.sonapharmacy.com/products/freshkote%C2%AE-preservative-free-lubricant-eye-drops-10ml", "https://shop.sonapharmacy.com/products/freshkote%C2%AE-preservative-free-lubricant-eye-drops-10ml")</f>
        <v>https://shop.sonapharmacy.com/products/freshkote%C2%AE-preservative-free-lubricant-eye-drops-10ml</v>
      </c>
      <c r="B4104" s="3" t="str">
        <f>HYPERLINK("https://shop.sonapharmacy.com/products/freshkote%c2%ae-preservative-free-lubricant-eye-drops-10ml", "https://shop.sonapharmacy.com/products/freshkote%c2%ae-preservative-free-lubricant-eye-drops-10ml")</f>
        <v>https://shop.sonapharmacy.com/products/freshkote%c2%ae-preservative-free-lubricant-eye-drops-10ml</v>
      </c>
      <c r="C4104" t="s">
        <v>11140</v>
      </c>
      <c r="D4104" t="s">
        <v>11524</v>
      </c>
      <c r="E4104" s="3" t="str">
        <f>HYPERLINK("https://www.amazon.com/FRESHKOTE-Preservative-Free-Lubricant-Eye-Drops/dp/B07JVYF8DC/ref=sr_1_3?keywords=FRESHKOTE%C2%AE+Preservative+Free+Lubricant+Eye+Drops+10ml&amp;qid=1695260263&amp;sr=8-3", "https://www.amazon.com/FRESHKOTE-Preservative-Free-Lubricant-Eye-Drops/dp/B07JVYF8DC/ref=sr_1_3?keywords=FRESHKOTE%C2%AE+Preservative+Free+Lubricant+Eye+Drops+10ml&amp;qid=1695260263&amp;sr=8-3")</f>
        <v>https://www.amazon.com/FRESHKOTE-Preservative-Free-Lubricant-Eye-Drops/dp/B07JVYF8DC/ref=sr_1_3?keywords=FRESHKOTE%C2%AE+Preservative+Free+Lubricant+Eye+Drops+10ml&amp;qid=1695260263&amp;sr=8-3</v>
      </c>
      <c r="F4104" t="s">
        <v>11525</v>
      </c>
      <c r="G4104" t="e">
        <f ca="1">IMAGE("https://shop.sonapharmacy.com/cdn/shop/products/cc95bb31-dd1e-4df1-b218-f6fb162a9828_1.cc44574cec8f4b07384423f902aeba51.jpg?v=1608663131")</f>
        <v>#NAME?</v>
      </c>
      <c r="H4104" t="e">
        <f ca="1">IMAGE("https://m.media-amazon.com/images/I/51risnMQlkL._AC_UL320_.jpg")</f>
        <v>#NAME?</v>
      </c>
      <c r="I4104" t="s">
        <v>11143</v>
      </c>
      <c r="J4104">
        <v>61.99</v>
      </c>
      <c r="K4104" s="2" t="s">
        <v>11526</v>
      </c>
      <c r="L4104">
        <v>4.5999999999999996</v>
      </c>
      <c r="M4104">
        <v>781</v>
      </c>
      <c r="O4104" t="s">
        <v>136</v>
      </c>
      <c r="P4104" t="s">
        <v>39</v>
      </c>
      <c r="Q4104" t="s">
        <v>11145</v>
      </c>
    </row>
    <row r="4105" spans="1:17" ht="15.75" x14ac:dyDescent="0.25">
      <c r="A4105" s="3" t="str">
        <f>HYPERLINK("https://shop.sonapharmacy.com/products/apex%C2%AE-medicine-spoon-10ml", "https://shop.sonapharmacy.com/products/apex%C2%AE-medicine-spoon-10ml")</f>
        <v>https://shop.sonapharmacy.com/products/apex%C2%AE-medicine-spoon-10ml</v>
      </c>
      <c r="B4105" s="3" t="str">
        <f>HYPERLINK("https://shop.sonapharmacy.com/products/apex%c2%ae-medicine-spoon-10ml", "https://shop.sonapharmacy.com/products/apex%c2%ae-medicine-spoon-10ml")</f>
        <v>https://shop.sonapharmacy.com/products/apex%c2%ae-medicine-spoon-10ml</v>
      </c>
      <c r="C4105" t="s">
        <v>8388</v>
      </c>
      <c r="D4105" t="s">
        <v>11527</v>
      </c>
      <c r="E4105" s="3" t="str">
        <f>HYPERLINK("https://www.amazon.com/Ezy-Dose-Calibrated-Medicine-Spoon/dp/B001GBH6RM/ref=sr_1_6?keywords=Apex+Medicine+Spoon+10ml.&amp;qid=1695260008&amp;sr=8-6", "https://www.amazon.com/Ezy-Dose-Calibrated-Medicine-Spoon/dp/B001GBH6RM/ref=sr_1_6?keywords=Apex+Medicine+Spoon+10ml.&amp;qid=1695260008&amp;sr=8-6")</f>
        <v>https://www.amazon.com/Ezy-Dose-Calibrated-Medicine-Spoon/dp/B001GBH6RM/ref=sr_1_6?keywords=Apex+Medicine+Spoon+10ml.&amp;qid=1695260008&amp;sr=8-6</v>
      </c>
      <c r="F4105" t="s">
        <v>11528</v>
      </c>
      <c r="G4105" t="e">
        <f ca="1">IMAGE("https://shop.sonapharmacy.com/cdn/shop/products/318g5JQyUoL._AC.jpg?v=1609960936")</f>
        <v>#NAME?</v>
      </c>
      <c r="H4105" t="e">
        <f ca="1">IMAGE("https://m.media-amazon.com/images/I/51Q0DwQ7zNL._AC_UL320_.jpg")</f>
        <v>#NAME?</v>
      </c>
      <c r="I4105" t="s">
        <v>8294</v>
      </c>
      <c r="J4105">
        <v>2.69</v>
      </c>
      <c r="K4105" s="2" t="s">
        <v>11529</v>
      </c>
      <c r="L4105">
        <v>4.5999999999999996</v>
      </c>
      <c r="M4105">
        <v>1708</v>
      </c>
      <c r="O4105" t="s">
        <v>26</v>
      </c>
      <c r="P4105" t="s">
        <v>39</v>
      </c>
      <c r="Q4105" t="s">
        <v>8392</v>
      </c>
    </row>
    <row r="4106" spans="1:17" ht="15.75" x14ac:dyDescent="0.25">
      <c r="A4106" s="3" t="str">
        <f>HYPERLINK("https://shop.sonapharmacy.com/products/21st-century-acidophilus-probiotic-blend", "https://shop.sonapharmacy.com/products/21st-century-acidophilus-probiotic-blend")</f>
        <v>https://shop.sonapharmacy.com/products/21st-century-acidophilus-probiotic-blend</v>
      </c>
      <c r="B4106" s="3" t="str">
        <f>HYPERLINK("https://shop.sonapharmacy.com/products/21st-century-acidophilus-probiotic-blend", "https://shop.sonapharmacy.com/products/21st-century-acidophilus-probiotic-blend")</f>
        <v>https://shop.sonapharmacy.com/products/21st-century-acidophilus-probiotic-blend</v>
      </c>
      <c r="C4106" t="s">
        <v>10846</v>
      </c>
      <c r="D4106" t="s">
        <v>11530</v>
      </c>
      <c r="E4106" s="3" t="str">
        <f>HYPERLINK("https://www.amazon.com/Century-Acidophilus-Probiotic-Capsules-150-Count/dp/B00MQ3WVO2/ref=sr_1_2?keywords=21st+Century+Acidophilus+Probiotic+Blend+150ct&amp;qid=1695260009&amp;sr=8-2", "https://www.amazon.com/Century-Acidophilus-Probiotic-Capsules-150-Count/dp/B00MQ3WVO2/ref=sr_1_2?keywords=21st+Century+Acidophilus+Probiotic+Blend+150ct&amp;qid=1695260009&amp;sr=8-2")</f>
        <v>https://www.amazon.com/Century-Acidophilus-Probiotic-Capsules-150-Count/dp/B00MQ3WVO2/ref=sr_1_2?keywords=21st+Century+Acidophilus+Probiotic+Blend+150ct&amp;qid=1695260009&amp;sr=8-2</v>
      </c>
      <c r="F4106" t="s">
        <v>11531</v>
      </c>
      <c r="G4106" t="e">
        <f ca="1">IMAGE("https://shop.sonapharmacy.com/cdn/shop/products/71xPW58Oz3L._AC_SL1500.jpg?v=1611182548")</f>
        <v>#NAME?</v>
      </c>
      <c r="H4106" t="e">
        <f ca="1">IMAGE("https://m.media-amazon.com/images/I/71wDt35GaEL._AC_UL320_.jpg")</f>
        <v>#NAME?</v>
      </c>
      <c r="I4106" t="s">
        <v>8792</v>
      </c>
      <c r="J4106">
        <v>19.989999999999998</v>
      </c>
      <c r="K4106" s="2" t="s">
        <v>11532</v>
      </c>
      <c r="L4106">
        <v>4.7</v>
      </c>
      <c r="M4106">
        <v>299</v>
      </c>
      <c r="O4106" t="s">
        <v>26</v>
      </c>
      <c r="P4106" t="s">
        <v>39</v>
      </c>
      <c r="Q4106" t="s">
        <v>10850</v>
      </c>
    </row>
    <row r="4107" spans="1:17" ht="15.75" x14ac:dyDescent="0.25">
      <c r="A4107" s="3" t="str">
        <f>HYPERLINK("https://shop.sonapharmacy.com/products/biofreeze-topical-pain-relief-roll-on", "https://shop.sonapharmacy.com/products/biofreeze-topical-pain-relief-roll-on")</f>
        <v>https://shop.sonapharmacy.com/products/biofreeze-topical-pain-relief-roll-on</v>
      </c>
      <c r="B4107" s="3" t="str">
        <f>HYPERLINK("https://shop.sonapharmacy.com/products/biofreeze-topical-pain-relief-roll-on", "https://shop.sonapharmacy.com/products/biofreeze-topical-pain-relief-roll-on")</f>
        <v>https://shop.sonapharmacy.com/products/biofreeze-topical-pain-relief-roll-on</v>
      </c>
      <c r="C4107" t="s">
        <v>10680</v>
      </c>
      <c r="D4107" t="s">
        <v>11533</v>
      </c>
      <c r="E4107" s="3" t="str">
        <f>HYPERLINK("https://www.amazon.com/Biofreeze-Variety-Reliever-Arthritis-Backache/dp/B07LCDRJVY/ref=sr_1_10?keywords=Biofreeze%C2%AE+Topical+Pain+Relief+Roll-On&amp;qid=1695260097&amp;sr=8-10", "https://www.amazon.com/Biofreeze-Variety-Reliever-Arthritis-Backache/dp/B07LCDRJVY/ref=sr_1_10?keywords=Biofreeze%C2%AE+Topical+Pain+Relief+Roll-On&amp;qid=1695260097&amp;sr=8-10")</f>
        <v>https://www.amazon.com/Biofreeze-Variety-Reliever-Arthritis-Backache/dp/B07LCDRJVY/ref=sr_1_10?keywords=Biofreeze%C2%AE+Topical+Pain+Relief+Roll-On&amp;qid=1695260097&amp;sr=8-10</v>
      </c>
      <c r="F4107" t="s">
        <v>11534</v>
      </c>
      <c r="G4107" t="e">
        <f ca="1">IMAGE("https://shop.sonapharmacy.com/cdn/shop/products/61drbtKQFuL._SL1500.jpg?v=1609344589")</f>
        <v>#NAME?</v>
      </c>
      <c r="H4107" t="e">
        <f ca="1">IMAGE("https://m.media-amazon.com/images/I/61cpMz-KAAL._AC_UL320_.jpg")</f>
        <v>#NAME?</v>
      </c>
      <c r="I4107" t="s">
        <v>3419</v>
      </c>
      <c r="J4107">
        <v>29</v>
      </c>
      <c r="K4107" s="2" t="s">
        <v>11535</v>
      </c>
      <c r="L4107">
        <v>4.8</v>
      </c>
      <c r="M4107">
        <v>4515</v>
      </c>
      <c r="O4107" t="s">
        <v>26</v>
      </c>
      <c r="P4107" t="s">
        <v>39</v>
      </c>
      <c r="Q4107" t="s">
        <v>10684</v>
      </c>
    </row>
    <row r="4108" spans="1:17" ht="15.75" x14ac:dyDescent="0.25">
      <c r="A4108" s="3" t="str">
        <f>HYPERLINK("https://shop.sonapharmacy.com/products/lubriderm-advanced-therapy-lotion-16fl-oz", "https://shop.sonapharmacy.com/products/lubriderm-advanced-therapy-lotion-16fl-oz")</f>
        <v>https://shop.sonapharmacy.com/products/lubriderm-advanced-therapy-lotion-16fl-oz</v>
      </c>
      <c r="B4108" s="3" t="str">
        <f>HYPERLINK("https://shop.sonapharmacy.com/products/lubriderm-advanced-therapy-lotion-16fl-oz", "https://shop.sonapharmacy.com/products/lubriderm-advanced-therapy-lotion-16fl-oz")</f>
        <v>https://shop.sonapharmacy.com/products/lubriderm-advanced-therapy-lotion-16fl-oz</v>
      </c>
      <c r="C4108" t="s">
        <v>11536</v>
      </c>
      <c r="D4108" t="s">
        <v>11537</v>
      </c>
      <c r="E4108" s="3" t="str">
        <f>HYPERLINK("https://www.amazon.com/Lubriderm-Advanced-Moisturizing-Hydration-Non-Greasy/dp/B0CB6G7NG5/ref=sr_1_8?keywords=Lubriderm+Advanced+Therapy+Lotion+16fl.+oz.&amp;qid=1695260446&amp;sr=8-8", "https://www.amazon.com/Lubriderm-Advanced-Moisturizing-Hydration-Non-Greasy/dp/B0CB6G7NG5/ref=sr_1_8?keywords=Lubriderm+Advanced+Therapy+Lotion+16fl.+oz.&amp;qid=1695260446&amp;sr=8-8")</f>
        <v>https://www.amazon.com/Lubriderm-Advanced-Moisturizing-Hydration-Non-Greasy/dp/B0CB6G7NG5/ref=sr_1_8?keywords=Lubriderm+Advanced+Therapy+Lotion+16fl.+oz.&amp;qid=1695260446&amp;sr=8-8</v>
      </c>
      <c r="F4108" t="s">
        <v>11538</v>
      </c>
      <c r="G4108" t="e">
        <f ca="1">IMAGE("https://shop.sonapharmacy.com/cdn/shop/products/2959dd94-977f-477f-9923-549ada0caebd_1.2a57554d6351a83c7043d06ab19cb880.jpg?v=1608321627")</f>
        <v>#NAME?</v>
      </c>
      <c r="H4108" t="e">
        <f ca="1">IMAGE("https://m.media-amazon.com/images/I/414uqod6RoL._AC_UL320_.jpg")</f>
        <v>#NAME?</v>
      </c>
      <c r="I4108" t="s">
        <v>8189</v>
      </c>
      <c r="J4108">
        <v>20.239999999999998</v>
      </c>
      <c r="K4108" s="2" t="s">
        <v>11539</v>
      </c>
      <c r="L4108">
        <v>5</v>
      </c>
      <c r="M4108">
        <v>1</v>
      </c>
      <c r="O4108" t="s">
        <v>26</v>
      </c>
      <c r="P4108" t="s">
        <v>39</v>
      </c>
      <c r="Q4108" t="s">
        <v>11540</v>
      </c>
    </row>
    <row r="4109" spans="1:17" ht="15.75" x14ac:dyDescent="0.25">
      <c r="A4109" s="3" t="str">
        <f>HYPERLINK("https://shop.sonapharmacy.com/products/norms-farms-elderberry-organic-gummies", "https://shop.sonapharmacy.com/products/norms-farms-elderberry-organic-gummies")</f>
        <v>https://shop.sonapharmacy.com/products/norms-farms-elderberry-organic-gummies</v>
      </c>
      <c r="B4109" s="3" t="str">
        <f>HYPERLINK("https://shop.sonapharmacy.com/products/norms-farms-elderberry-organic-gummies", "https://shop.sonapharmacy.com/products/norms-farms-elderberry-organic-gummies")</f>
        <v>https://shop.sonapharmacy.com/products/norms-farms-elderberry-organic-gummies</v>
      </c>
      <c r="C4109" t="s">
        <v>10347</v>
      </c>
      <c r="D4109" t="s">
        <v>11541</v>
      </c>
      <c r="E4109" s="3" t="str">
        <f>HYPERLINK("https://www.amazon.com/ElderKids-Organic-Elderberry-Gummies-Vitamin/dp/B08GLG5LNS/ref=sr_1_3?keywords=Norms+Farms+Elderberry+Organic+Gummies&amp;qid=1695260576&amp;sr=8-3", "https://www.amazon.com/ElderKids-Organic-Elderberry-Gummies-Vitamin/dp/B08GLG5LNS/ref=sr_1_3?keywords=Norms+Farms+Elderberry+Organic+Gummies&amp;qid=1695260576&amp;sr=8-3")</f>
        <v>https://www.amazon.com/ElderKids-Organic-Elderberry-Gummies-Vitamin/dp/B08GLG5LNS/ref=sr_1_3?keywords=Norms+Farms+Elderberry+Organic+Gummies&amp;qid=1695260576&amp;sr=8-3</v>
      </c>
      <c r="F4109" t="s">
        <v>11542</v>
      </c>
      <c r="G4109" t="e">
        <f ca="1">IMAGE("https://shop.sonapharmacy.com/cdn/shop/products/NormsFarmsGummyFront.png?v=1605978541")</f>
        <v>#NAME?</v>
      </c>
      <c r="H4109" t="e">
        <f ca="1">IMAGE("https://m.media-amazon.com/images/I/51dqeZFuE7L._AC_UL320_.jpg")</f>
        <v>#NAME?</v>
      </c>
      <c r="I4109" t="s">
        <v>6011</v>
      </c>
      <c r="J4109">
        <v>43.39</v>
      </c>
      <c r="K4109" s="2" t="s">
        <v>11543</v>
      </c>
      <c r="L4109">
        <v>4.0999999999999996</v>
      </c>
      <c r="M4109">
        <v>24</v>
      </c>
      <c r="O4109" t="s">
        <v>26</v>
      </c>
      <c r="P4109" t="s">
        <v>39</v>
      </c>
      <c r="Q4109" t="s">
        <v>10351</v>
      </c>
    </row>
    <row r="4110" spans="1:17" ht="15.75" x14ac:dyDescent="0.25">
      <c r="A4110" s="3" t="str">
        <f>HYPERLINK("https://shop.sonapharmacy.com/products/breathe-right-original-nasal-strips", "https://shop.sonapharmacy.com/products/breathe-right-original-nasal-strips")</f>
        <v>https://shop.sonapharmacy.com/products/breathe-right-original-nasal-strips</v>
      </c>
      <c r="B4110" s="3" t="str">
        <f>HYPERLINK("https://shop.sonapharmacy.com/products/breathe-right-original-nasal-strips", "https://shop.sonapharmacy.com/products/breathe-right-original-nasal-strips")</f>
        <v>https://shop.sonapharmacy.com/products/breathe-right-original-nasal-strips</v>
      </c>
      <c r="C4110" t="s">
        <v>8894</v>
      </c>
      <c r="D4110" t="s">
        <v>11544</v>
      </c>
      <c r="E4110" s="3" t="str">
        <f>HYPERLINK("https://www.amazon.com/Breathe-Right-Nasal-Strips-30-count/dp/B006897WLC/ref=sr_1_7?keywords=Breathe+Right%C2%AE+Original+Nasal+Strips+Large%2FTan&amp;qid=1695260103&amp;sr=8-7", "https://www.amazon.com/Breathe-Right-Nasal-Strips-30-count/dp/B006897WLC/ref=sr_1_7?keywords=Breathe+Right%C2%AE+Original+Nasal+Strips+Large%2FTan&amp;qid=1695260103&amp;sr=8-7")</f>
        <v>https://www.amazon.com/Breathe-Right-Nasal-Strips-30-count/dp/B006897WLC/ref=sr_1_7?keywords=Breathe+Right%C2%AE+Original+Nasal+Strips+Large%2FTan&amp;qid=1695260103&amp;sr=8-7</v>
      </c>
      <c r="F4110" t="s">
        <v>11545</v>
      </c>
      <c r="G4110" t="e">
        <f ca="1">IMAGE("https://shop.sonapharmacy.com/cdn/shop/files/Sona-Shop-banner2_0c7162f3-c367-451d-8193-c2967a0e8d8e.jpg?v=1614290083")</f>
        <v>#NAME?</v>
      </c>
      <c r="H4110" t="e">
        <f ca="1">IMAGE("https://m.media-amazon.com/images/I/81Ry6JaPYdL._AC_UL320_.jpg")</f>
        <v>#NAME?</v>
      </c>
      <c r="I4110" t="s">
        <v>5295</v>
      </c>
      <c r="J4110">
        <v>25.95</v>
      </c>
      <c r="K4110" s="2" t="s">
        <v>11546</v>
      </c>
      <c r="L4110">
        <v>4.7</v>
      </c>
      <c r="M4110">
        <v>252</v>
      </c>
      <c r="O4110" t="s">
        <v>26</v>
      </c>
      <c r="P4110" t="s">
        <v>39</v>
      </c>
      <c r="Q4110" t="s">
        <v>8898</v>
      </c>
    </row>
    <row r="4111" spans="1:17" ht="15.75" x14ac:dyDescent="0.25">
      <c r="A4111" s="3" t="str">
        <f>HYPERLINK("https://shop.sonapharmacy.com/products/theraslim", "https://shop.sonapharmacy.com/products/theraslim")</f>
        <v>https://shop.sonapharmacy.com/products/theraslim</v>
      </c>
      <c r="B4111" s="3" t="str">
        <f>HYPERLINK("https://shop.sonapharmacy.com/products/theraslim", "https://shop.sonapharmacy.com/products/theraslim")</f>
        <v>https://shop.sonapharmacy.com/products/theraslim</v>
      </c>
      <c r="C4111" t="s">
        <v>9845</v>
      </c>
      <c r="D4111" t="s">
        <v>11547</v>
      </c>
      <c r="E4111" s="3" t="str">
        <f>HYPERLINK("https://www.amazon.com/Klaire-Labs-Ther-Biotic-Womens-Formula/dp/B003PQNOM2/ref=sr_1_3?keywords=Klaire+Labs+Theraslim+Capsules&amp;qid=1695260437&amp;sr=8-3", "https://www.amazon.com/Klaire-Labs-Ther-Biotic-Womens-Formula/dp/B003PQNOM2/ref=sr_1_3?keywords=Klaire+Labs+Theraslim+Capsules&amp;qid=1695260437&amp;sr=8-3")</f>
        <v>https://www.amazon.com/Klaire-Labs-Ther-Biotic-Womens-Formula/dp/B003PQNOM2/ref=sr_1_3?keywords=Klaire+Labs+Theraslim+Capsules&amp;qid=1695260437&amp;sr=8-3</v>
      </c>
      <c r="F4111" t="s">
        <v>11548</v>
      </c>
      <c r="G4111" t="e">
        <f ca="1">IMAGE("https://shop.sonapharmacy.com/cdn/shop/products/61UgGn_O7ML._AC_SL1500.jpg?v=1609358113")</f>
        <v>#NAME?</v>
      </c>
      <c r="H4111" t="e">
        <f ca="1">IMAGE("https://m.media-amazon.com/images/I/612f-BhqIVL._AC_UL320_.jpg")</f>
        <v>#NAME?</v>
      </c>
      <c r="I4111" t="s">
        <v>3544</v>
      </c>
      <c r="J4111">
        <v>49.99</v>
      </c>
      <c r="K4111" s="2" t="s">
        <v>11549</v>
      </c>
      <c r="L4111">
        <v>4.5999999999999996</v>
      </c>
      <c r="M4111">
        <v>458</v>
      </c>
      <c r="O4111" t="s">
        <v>26</v>
      </c>
      <c r="P4111" t="s">
        <v>39</v>
      </c>
      <c r="Q4111" t="s">
        <v>9849</v>
      </c>
    </row>
    <row r="4112" spans="1:17" ht="15.75" x14ac:dyDescent="0.25">
      <c r="A4112" s="3" t="str">
        <f>HYPERLINK("https://shop.sonapharmacy.com/products/metagenics-metakids-baby-probiotic", "https://shop.sonapharmacy.com/products/metagenics-metakids-baby-probiotic")</f>
        <v>https://shop.sonapharmacy.com/products/metagenics-metakids-baby-probiotic</v>
      </c>
      <c r="B4112" s="3" t="str">
        <f>HYPERLINK("https://shop.sonapharmacy.com/products/metagenics-metakids-baby-probiotic", "https://shop.sonapharmacy.com/products/metagenics-metakids-baby-probiotic")</f>
        <v>https://shop.sonapharmacy.com/products/metagenics-metakids-baby-probiotic</v>
      </c>
      <c r="C4112" t="s">
        <v>11234</v>
      </c>
      <c r="D4112" t="s">
        <v>11550</v>
      </c>
      <c r="E4112" s="3" t="str">
        <f>HYPERLINK("https://www.amazon.com/Metagenics-Metakids-Baby-Probiotic/dp/B01KGKRWOA/ref=sr_1_2?keywords=Metagenics+MetaKids+Baby+Probiotic&amp;qid=1695260468&amp;sr=8-2", "https://www.amazon.com/Metagenics-Metakids-Baby-Probiotic/dp/B01KGKRWOA/ref=sr_1_2?keywords=Metagenics+MetaKids+Baby+Probiotic&amp;qid=1695260468&amp;sr=8-2")</f>
        <v>https://www.amazon.com/Metagenics-Metakids-Baby-Probiotic/dp/B01KGKRWOA/ref=sr_1_2?keywords=Metagenics+MetaKids+Baby+Probiotic&amp;qid=1695260468&amp;sr=8-2</v>
      </c>
      <c r="F4112" t="s">
        <v>11551</v>
      </c>
      <c r="G4112" t="e">
        <f ca="1">IMAGE("https://shop.sonapharmacy.com/cdn/shop/products/13211.png?v=1676581823")</f>
        <v>#NAME?</v>
      </c>
      <c r="H4112" t="e">
        <f ca="1">IMAGE("https://m.media-amazon.com/images/I/71vgAknqolL._AC_UL320_.jpg")</f>
        <v>#NAME?</v>
      </c>
      <c r="I4112" t="s">
        <v>11237</v>
      </c>
      <c r="J4112">
        <v>72.52</v>
      </c>
      <c r="K4112" s="2" t="s">
        <v>11552</v>
      </c>
      <c r="L4112">
        <v>3</v>
      </c>
      <c r="M4112">
        <v>6</v>
      </c>
      <c r="O4112" t="s">
        <v>26</v>
      </c>
      <c r="P4112" t="s">
        <v>39</v>
      </c>
      <c r="Q4112" t="s">
        <v>11239</v>
      </c>
    </row>
    <row r="4113" spans="1:17" ht="15.75" x14ac:dyDescent="0.25">
      <c r="A4113" s="3" t="str">
        <f>HYPERLINK("https://shop.sonapharmacy.com/products/aveeno-1-hydrocortisone-anti-itch-cream-1oz", "https://shop.sonapharmacy.com/products/aveeno-1-hydrocortisone-anti-itch-cream-1oz")</f>
        <v>https://shop.sonapharmacy.com/products/aveeno-1-hydrocortisone-anti-itch-cream-1oz</v>
      </c>
      <c r="B4113" s="3" t="str">
        <f>HYPERLINK("https://shop.sonapharmacy.com/products/aveeno-1-hydrocortisone-anti-itch-cream-1oz", "https://shop.sonapharmacy.com/products/aveeno-1-hydrocortisone-anti-itch-cream-1oz")</f>
        <v>https://shop.sonapharmacy.com/products/aveeno-1-hydrocortisone-anti-itch-cream-1oz</v>
      </c>
      <c r="C4113" t="s">
        <v>9637</v>
      </c>
      <c r="D4113" t="s">
        <v>11553</v>
      </c>
      <c r="E4113" s="3" t="str">
        <f>HYPERLINK("https://www.amazon.com/AVEENO-Active-Naturals-Hydrocortisone-Anti-Itch/dp/B00E4MOG5K/ref=sr_1_6?keywords=Aveeno+1%25+Hydrocortisone+Anti-Itch+Cream+1oz&amp;qid=1695260025&amp;sr=8-6", "https://www.amazon.com/AVEENO-Active-Naturals-Hydrocortisone-Anti-Itch/dp/B00E4MOG5K/ref=sr_1_6?keywords=Aveeno+1%25+Hydrocortisone+Anti-Itch+Cream+1oz&amp;qid=1695260025&amp;sr=8-6")</f>
        <v>https://www.amazon.com/AVEENO-Active-Naturals-Hydrocortisone-Anti-Itch/dp/B00E4MOG5K/ref=sr_1_6?keywords=Aveeno+1%25+Hydrocortisone+Anti-Itch+Cream+1oz&amp;qid=1695260025&amp;sr=8-6</v>
      </c>
      <c r="F4113" t="s">
        <v>11554</v>
      </c>
      <c r="G4113" t="e">
        <f ca="1">IMAGE("https://shop.sonapharmacy.com/cdn/shop/products/ave_381370036586_00000_1000wx1000h.jpg?v=1607800061")</f>
        <v>#NAME?</v>
      </c>
      <c r="H4113" t="e">
        <f ca="1">IMAGE("https://m.media-amazon.com/images/I/81cXDkM-j6L._AC_UL320_.jpg")</f>
        <v>#NAME?</v>
      </c>
      <c r="I4113" t="s">
        <v>9640</v>
      </c>
      <c r="J4113">
        <v>16.77</v>
      </c>
      <c r="K4113" s="2" t="s">
        <v>11555</v>
      </c>
      <c r="L4113">
        <v>4.8</v>
      </c>
      <c r="M4113">
        <v>307</v>
      </c>
      <c r="O4113" t="s">
        <v>26</v>
      </c>
      <c r="P4113" t="s">
        <v>39</v>
      </c>
      <c r="Q4113" t="s">
        <v>9642</v>
      </c>
    </row>
    <row r="4114" spans="1:17" ht="15.75" x14ac:dyDescent="0.25">
      <c r="A4114" s="3" t="str">
        <f>HYPERLINK("https://shop.sonapharmacy.com/products/prilosec-otc%C2%AE-delayed-release-acid-reducer-tablets", "https://shop.sonapharmacy.com/products/prilosec-otc%C2%AE-delayed-release-acid-reducer-tablets")</f>
        <v>https://shop.sonapharmacy.com/products/prilosec-otc%C2%AE-delayed-release-acid-reducer-tablets</v>
      </c>
      <c r="B4114" s="3" t="str">
        <f>HYPERLINK("https://shop.sonapharmacy.com/products/prilosec-otc%c2%ae-delayed-release-acid-reducer-tablets", "https://shop.sonapharmacy.com/products/prilosec-otc%c2%ae-delayed-release-acid-reducer-tablets")</f>
        <v>https://shop.sonapharmacy.com/products/prilosec-otc%c2%ae-delayed-release-acid-reducer-tablets</v>
      </c>
      <c r="C4114" t="s">
        <v>9744</v>
      </c>
      <c r="D4114" t="s">
        <v>11556</v>
      </c>
      <c r="E4114" s="3" t="str">
        <f>HYPERLINK("https://www.amazon.com/Prilosec-OTC-Frequent-Heartburn-Medicine/dp/B0000AN9L7/ref=sr_1_1?keywords=Prilosec+OTC%C2%AE+Delayed+Release+Acid+Reducer+Tablets&amp;qid=1695260683&amp;sr=8-1", "https://www.amazon.com/Prilosec-OTC-Frequent-Heartburn-Medicine/dp/B0000AN9L7/ref=sr_1_1?keywords=Prilosec+OTC%C2%AE+Delayed+Release+Acid+Reducer+Tablets&amp;qid=1695260683&amp;sr=8-1")</f>
        <v>https://www.amazon.com/Prilosec-OTC-Frequent-Heartburn-Medicine/dp/B0000AN9L7/ref=sr_1_1?keywords=Prilosec+OTC%C2%AE+Delayed+Release+Acid+Reducer+Tablets&amp;qid=1695260683&amp;sr=8-1</v>
      </c>
      <c r="F4114" t="s">
        <v>11557</v>
      </c>
      <c r="G4114" t="e">
        <f ca="1">IMAGE("https://shop.sonapharmacy.com/cdn/shop/products/81ogWiPVy2L._AC_SL1500.jpg?v=1611026906")</f>
        <v>#NAME?</v>
      </c>
      <c r="H4114" t="e">
        <f ca="1">IMAGE("https://m.media-amazon.com/images/I/61MCxc2GZ6L._AC_UL320_.jpg")</f>
        <v>#NAME?</v>
      </c>
      <c r="I4114" t="s">
        <v>9258</v>
      </c>
      <c r="J4114">
        <v>22.98</v>
      </c>
      <c r="K4114" s="2" t="s">
        <v>11558</v>
      </c>
      <c r="L4114">
        <v>4.8</v>
      </c>
      <c r="M4114">
        <v>15420</v>
      </c>
      <c r="O4114" t="s">
        <v>26</v>
      </c>
      <c r="P4114" t="s">
        <v>39</v>
      </c>
      <c r="Q4114" t="s">
        <v>9748</v>
      </c>
    </row>
    <row r="4115" spans="1:17" ht="15.75" x14ac:dyDescent="0.25">
      <c r="A4115" s="3" t="str">
        <f>HYPERLINK("https://shop.sonapharmacy.com/products/dickinson-s-original-witch-hazel-pore-perfecting-toner-16fl-oz", "https://shop.sonapharmacy.com/products/dickinson-s-original-witch-hazel-pore-perfecting-toner-16fl-oz")</f>
        <v>https://shop.sonapharmacy.com/products/dickinson-s-original-witch-hazel-pore-perfecting-toner-16fl-oz</v>
      </c>
      <c r="B4115" s="3" t="str">
        <f>HYPERLINK("https://shop.sonapharmacy.com/products/dickinson-s-original-witch-hazel-pore-perfecting-toner-16fl-oz", "https://shop.sonapharmacy.com/products/dickinson-s-original-witch-hazel-pore-perfecting-toner-16fl-oz")</f>
        <v>https://shop.sonapharmacy.com/products/dickinson-s-original-witch-hazel-pore-perfecting-toner-16fl-oz</v>
      </c>
      <c r="C4115" t="s">
        <v>11559</v>
      </c>
      <c r="D4115" t="s">
        <v>11560</v>
      </c>
      <c r="E4115" s="3" t="str">
        <f>HYPERLINK("https://www.amazon.com/Dickinsons-Witch-Astringent-Bundle-Bottles/dp/B0B64FGRQK/ref=sr_1_7?keywords=Dickinson%E2%80%99s%C2%AE+Original+Witch+Hazel+Pore+Perfecting+Toner+16fl.+oz.&amp;qid=1695260259&amp;sr=8-7", "https://www.amazon.com/Dickinsons-Witch-Astringent-Bundle-Bottles/dp/B0B64FGRQK/ref=sr_1_7?keywords=Dickinson%E2%80%99s%C2%AE+Original+Witch+Hazel+Pore+Perfecting+Toner+16fl.+oz.&amp;qid=1695260259&amp;sr=8-7")</f>
        <v>https://www.amazon.com/Dickinsons-Witch-Astringent-Bundle-Bottles/dp/B0B64FGRQK/ref=sr_1_7?keywords=Dickinson%E2%80%99s%C2%AE+Original+Witch+Hazel+Pore+Perfecting+Toner+16fl.+oz.&amp;qid=1695260259&amp;sr=8-7</v>
      </c>
      <c r="F4115" t="s">
        <v>11561</v>
      </c>
      <c r="G4115" t="e">
        <f ca="1">IMAGE("https://shop.sonapharmacy.com/cdn/shop/products/51_zfUGXAL._SL1000.jpg?v=1608317391")</f>
        <v>#NAME?</v>
      </c>
      <c r="H4115" t="e">
        <f ca="1">IMAGE("https://m.media-amazon.com/images/I/41wWPcNmlsL._AC_UL320_.jpg")</f>
        <v>#NAME?</v>
      </c>
      <c r="I4115" t="s">
        <v>9634</v>
      </c>
      <c r="J4115">
        <v>11.93</v>
      </c>
      <c r="K4115" s="2" t="s">
        <v>11562</v>
      </c>
      <c r="L4115">
        <v>4.7</v>
      </c>
      <c r="M4115">
        <v>5</v>
      </c>
      <c r="O4115" t="s">
        <v>26</v>
      </c>
      <c r="P4115" t="s">
        <v>39</v>
      </c>
      <c r="Q4115" t="s">
        <v>11563</v>
      </c>
    </row>
    <row r="4116" spans="1:17" ht="15.75" x14ac:dyDescent="0.25">
      <c r="A4116" s="3" t="str">
        <f>HYPERLINK("https://shop.sonapharmacy.com/products/fruit-of-the-earth-aloe-vera-100-gel-6oz", "https://shop.sonapharmacy.com/products/fruit-of-the-earth-aloe-vera-100-gel-6oz")</f>
        <v>https://shop.sonapharmacy.com/products/fruit-of-the-earth-aloe-vera-100-gel-6oz</v>
      </c>
      <c r="B4116" s="3" t="str">
        <f>HYPERLINK("https://shop.sonapharmacy.com/products/fruit-of-the-earth-aloe-vera-100-gel-6oz", "https://shop.sonapharmacy.com/products/fruit-of-the-earth-aloe-vera-100-gel-6oz")</f>
        <v>https://shop.sonapharmacy.com/products/fruit-of-the-earth-aloe-vera-100-gel-6oz</v>
      </c>
      <c r="C4116" t="s">
        <v>8763</v>
      </c>
      <c r="D4116" t="s">
        <v>11564</v>
      </c>
      <c r="E4116" s="3" t="str">
        <f>HYPERLINK("https://www.amazon.com/Fruit-Earth-Ounce-Petal-177ml/dp/B00K9LNWGO/ref=sr_1_6?keywords=Fruit+Of+The+Earth+Aloe+Vera+100%25+Gel+6oz.&amp;qid=1695260255&amp;sr=8-6", "https://www.amazon.com/Fruit-Earth-Ounce-Petal-177ml/dp/B00K9LNWGO/ref=sr_1_6?keywords=Fruit+Of+The+Earth+Aloe+Vera+100%25+Gel+6oz.&amp;qid=1695260255&amp;sr=8-6")</f>
        <v>https://www.amazon.com/Fruit-Earth-Ounce-Petal-177ml/dp/B00K9LNWGO/ref=sr_1_6?keywords=Fruit+Of+The+Earth+Aloe+Vera+100%25+Gel+6oz.&amp;qid=1695260255&amp;sr=8-6</v>
      </c>
      <c r="F4116" t="s">
        <v>11565</v>
      </c>
      <c r="G4116" t="e">
        <f ca="1">IMAGE("https://shop.sonapharmacy.com/cdn/shop/products/aloevera.jpg?v=1607965506")</f>
        <v>#NAME?</v>
      </c>
      <c r="H4116" t="e">
        <f ca="1">IMAGE("https://m.media-amazon.com/images/I/61XUIEkffyL._AC_UL320_.jpg")</f>
        <v>#NAME?</v>
      </c>
      <c r="I4116" t="s">
        <v>8766</v>
      </c>
      <c r="J4116">
        <v>9.14</v>
      </c>
      <c r="K4116" s="2" t="s">
        <v>11566</v>
      </c>
      <c r="L4116">
        <v>4.3</v>
      </c>
      <c r="M4116">
        <v>24</v>
      </c>
      <c r="O4116" t="s">
        <v>26</v>
      </c>
      <c r="P4116" t="s">
        <v>39</v>
      </c>
      <c r="Q4116" t="s">
        <v>8768</v>
      </c>
    </row>
    <row r="4117" spans="1:17" ht="15.75" x14ac:dyDescent="0.25">
      <c r="A4117" s="3" t="str">
        <f>HYPERLINK("https://shop.sonapharmacy.com/products/bacitracin-antibiotic-ointment-1oz", "https://shop.sonapharmacy.com/products/bacitracin-antibiotic-ointment-1oz")</f>
        <v>https://shop.sonapharmacy.com/products/bacitracin-antibiotic-ointment-1oz</v>
      </c>
      <c r="B4117" s="3" t="str">
        <f>HYPERLINK("https://shop.sonapharmacy.com/products/bacitracin-antibiotic-ointment-1oz", "https://shop.sonapharmacy.com/products/bacitracin-antibiotic-ointment-1oz")</f>
        <v>https://shop.sonapharmacy.com/products/bacitracin-antibiotic-ointment-1oz</v>
      </c>
      <c r="C4117" t="s">
        <v>11567</v>
      </c>
      <c r="D4117" t="s">
        <v>11568</v>
      </c>
      <c r="E4117" s="3" t="str">
        <f>HYPERLINK("https://www.amazon.com/Bacitracin-Zinc-Ointment-Oz-Pack/dp/B01DFNBKEI/ref=sr_1_1?keywords=Bacitracin%C2%AE+Antibiotic+Ointment+1oz.&amp;qid=1695260086&amp;sr=8-1", "https://www.amazon.com/Bacitracin-Zinc-Ointment-Oz-Pack/dp/B01DFNBKEI/ref=sr_1_1?keywords=Bacitracin%C2%AE+Antibiotic+Ointment+1oz.&amp;qid=1695260086&amp;sr=8-1")</f>
        <v>https://www.amazon.com/Bacitracin-Zinc-Ointment-Oz-Pack/dp/B01DFNBKEI/ref=sr_1_1?keywords=Bacitracin%C2%AE+Antibiotic+Ointment+1oz.&amp;qid=1695260086&amp;sr=8-1</v>
      </c>
      <c r="F4117" t="s">
        <v>11569</v>
      </c>
      <c r="G4117" t="e">
        <f ca="1">IMAGE("https://shop.sonapharmacy.com/cdn/shop/products/BACITR1OC_Bacitracin-1-oz-Tube-Box.jpg?v=1611254932")</f>
        <v>#NAME?</v>
      </c>
      <c r="H4117" t="e">
        <f ca="1">IMAGE("https://m.media-amazon.com/images/I/71lABph7EJL._AC_UY218_.jpg")</f>
        <v>#NAME?</v>
      </c>
      <c r="I4117" t="s">
        <v>8828</v>
      </c>
      <c r="J4117">
        <v>7.99</v>
      </c>
      <c r="K4117" s="2" t="s">
        <v>11570</v>
      </c>
      <c r="L4117">
        <v>4.7</v>
      </c>
      <c r="M4117">
        <v>3607</v>
      </c>
      <c r="O4117" t="s">
        <v>26</v>
      </c>
      <c r="P4117" t="s">
        <v>39</v>
      </c>
      <c r="Q4117" t="s">
        <v>11571</v>
      </c>
    </row>
    <row r="4118" spans="1:17" ht="15.75" x14ac:dyDescent="0.25">
      <c r="A4118" s="3" t="str">
        <f>HYPERLINK("https://shop.sonapharmacy.com/products/afrin%C2%AE-original", "https://shop.sonapharmacy.com/products/afrin%C2%AE-original")</f>
        <v>https://shop.sonapharmacy.com/products/afrin%C2%AE-original</v>
      </c>
      <c r="B4118" s="3" t="str">
        <f>HYPERLINK("https://shop.sonapharmacy.com/products/afrin%c2%ae-original", "https://shop.sonapharmacy.com/products/afrin%c2%ae-original")</f>
        <v>https://shop.sonapharmacy.com/products/afrin%c2%ae-original</v>
      </c>
      <c r="C4118" t="s">
        <v>8143</v>
      </c>
      <c r="D4118" t="s">
        <v>11572</v>
      </c>
      <c r="E4118" s="3" t="str">
        <f>HYPERLINK("https://www.amazon.com/Afrin-Nasal-Spray-Relief-Original/dp/B01BVXBKZ8/ref=sr_1_10?keywords=Afrin+Original+Nasal+Spray&amp;qid=1695260003&amp;sr=8-10", "https://www.amazon.com/Afrin-Nasal-Spray-Relief-Original/dp/B01BVXBKZ8/ref=sr_1_10?keywords=Afrin+Original+Nasal+Spray&amp;qid=1695260003&amp;sr=8-10")</f>
        <v>https://www.amazon.com/Afrin-Nasal-Spray-Relief-Original/dp/B01BVXBKZ8/ref=sr_1_10?keywords=Afrin+Original+Nasal+Spray&amp;qid=1695260003&amp;sr=8-10</v>
      </c>
      <c r="F4118" t="s">
        <v>11573</v>
      </c>
      <c r="G4118" t="e">
        <f ca="1">IMAGE("https://shop.sonapharmacy.com/cdn/shop/products/81lfsEyuTvL._AC_SL1500.jpg?v=1611182746")</f>
        <v>#NAME?</v>
      </c>
      <c r="H4118" t="e">
        <f ca="1">IMAGE("https://m.media-amazon.com/images/I/6155CyPdM4L._AC_UL320_.jpg")</f>
        <v>#NAME?</v>
      </c>
      <c r="I4118" t="s">
        <v>4275</v>
      </c>
      <c r="J4118">
        <v>23.97</v>
      </c>
      <c r="K4118" s="2" t="s">
        <v>11574</v>
      </c>
      <c r="L4118">
        <v>4.4000000000000004</v>
      </c>
      <c r="M4118">
        <v>241</v>
      </c>
      <c r="O4118" t="s">
        <v>26</v>
      </c>
      <c r="P4118" t="s">
        <v>39</v>
      </c>
      <c r="Q4118" t="s">
        <v>8147</v>
      </c>
    </row>
    <row r="4119" spans="1:17" ht="15.75" x14ac:dyDescent="0.25">
      <c r="A4119" s="3" t="str">
        <f>HYPERLINK("https://shop.sonapharmacy.com/products/norms-farms-elderberry-wellness-syrup-8oz", "https://shop.sonapharmacy.com/products/norms-farms-elderberry-wellness-syrup-8oz")</f>
        <v>https://shop.sonapharmacy.com/products/norms-farms-elderberry-wellness-syrup-8oz</v>
      </c>
      <c r="B4119" s="3" t="str">
        <f>HYPERLINK("https://shop.sonapharmacy.com/products/norms-farms-elderberry-wellness-syrup-8oz", "https://shop.sonapharmacy.com/products/norms-farms-elderberry-wellness-syrup-8oz")</f>
        <v>https://shop.sonapharmacy.com/products/norms-farms-elderberry-wellness-syrup-8oz</v>
      </c>
      <c r="C4119" t="s">
        <v>11575</v>
      </c>
      <c r="D4119" t="s">
        <v>11576</v>
      </c>
      <c r="E4119" s="3" t="str">
        <f>HYPERLINK("https://www.amazon.com/Norms-Supplement-Elderberry-Wellness-Extract/dp/B018WOMMRO/ref=sr_1_2?keywords=Norm%27s+Farms+Elderberry+Wellness+Syrup+8oz&amp;qid=1695260593&amp;sr=8-2", "https://www.amazon.com/Norms-Supplement-Elderberry-Wellness-Extract/dp/B018WOMMRO/ref=sr_1_2?keywords=Norm%27s+Farms+Elderberry+Wellness+Syrup+8oz&amp;qid=1695260593&amp;sr=8-2")</f>
        <v>https://www.amazon.com/Norms-Supplement-Elderberry-Wellness-Extract/dp/B018WOMMRO/ref=sr_1_2?keywords=Norm%27s+Farms+Elderberry+Wellness+Syrup+8oz&amp;qid=1695260593&amp;sr=8-2</v>
      </c>
      <c r="F4119" t="s">
        <v>11577</v>
      </c>
      <c r="G4119" t="e">
        <f ca="1">IMAGE("https://shop.sonapharmacy.com/cdn/shop/products/NormsFarmsEldWellFront.png?v=1605980347")</f>
        <v>#NAME?</v>
      </c>
      <c r="H4119" t="e">
        <f ca="1">IMAGE("https://m.media-amazon.com/images/I/61e2IJkXOaL._AC_UL320_.jpg")</f>
        <v>#NAME?</v>
      </c>
      <c r="I4119" t="s">
        <v>3458</v>
      </c>
      <c r="J4119">
        <v>37.99</v>
      </c>
      <c r="K4119" s="2" t="s">
        <v>4721</v>
      </c>
      <c r="L4119">
        <v>4.5999999999999996</v>
      </c>
      <c r="M4119">
        <v>792</v>
      </c>
      <c r="O4119" t="s">
        <v>26</v>
      </c>
      <c r="P4119" t="s">
        <v>39</v>
      </c>
      <c r="Q4119" t="s">
        <v>11578</v>
      </c>
    </row>
    <row r="4120" spans="1:17" ht="15.75" x14ac:dyDescent="0.25">
      <c r="A4120" s="3" t="str">
        <f>HYPERLINK("https://shop.sonapharmacy.com/products/duracell%C2%AE-389-390-silver-oxide-button-battery", "https://shop.sonapharmacy.com/products/duracell%C2%AE-389-390-silver-oxide-button-battery")</f>
        <v>https://shop.sonapharmacy.com/products/duracell%C2%AE-389-390-silver-oxide-button-battery</v>
      </c>
      <c r="B4120" s="3" t="str">
        <f>HYPERLINK("https://shop.sonapharmacy.com/products/duracell%c2%ae-389-390-silver-oxide-button-battery", "https://shop.sonapharmacy.com/products/duracell%c2%ae-389-390-silver-oxide-button-battery")</f>
        <v>https://shop.sonapharmacy.com/products/duracell%c2%ae-389-390-silver-oxide-button-battery</v>
      </c>
      <c r="C4120" t="s">
        <v>10491</v>
      </c>
      <c r="D4120" t="s">
        <v>11579</v>
      </c>
      <c r="E4120" s="3" t="str">
        <f>HYPERLINK("https://www.amazon.com/Energizer-Batteries-SR1130SW-SR1130W-Battery/dp/B008A0CEH4/ref=sr_1_4?keywords=Duracell%C2%AE+389%2F390+Silver+Oxide+Button+Battery&amp;qid=1695260222&amp;sr=8-4", "https://www.amazon.com/Energizer-Batteries-SR1130SW-SR1130W-Battery/dp/B008A0CEH4/ref=sr_1_4?keywords=Duracell%C2%AE+389%2F390+Silver+Oxide+Button+Battery&amp;qid=1695260222&amp;sr=8-4")</f>
        <v>https://www.amazon.com/Energizer-Batteries-SR1130SW-SR1130W-Battery/dp/B008A0CEH4/ref=sr_1_4?keywords=Duracell%C2%AE+389%2F390+Silver+Oxide+Button+Battery&amp;qid=1695260222&amp;sr=8-4</v>
      </c>
      <c r="F4120" t="s">
        <v>11580</v>
      </c>
      <c r="G4120" t="e">
        <f ca="1">IMAGE("https://shop.sonapharmacy.com/cdn/shop/products/61P9QBF64rL._AC_SL1401.jpg?v=1610332976")</f>
        <v>#NAME?</v>
      </c>
      <c r="H4120" t="e">
        <f ca="1">IMAGE("https://m.media-amazon.com/images/I/419FpyeetOL._AC_UL320_.jpg")</f>
        <v>#NAME?</v>
      </c>
      <c r="I4120" t="s">
        <v>9982</v>
      </c>
      <c r="J4120">
        <v>6.25</v>
      </c>
      <c r="K4120" s="2" t="s">
        <v>11581</v>
      </c>
      <c r="L4120">
        <v>4.5999999999999996</v>
      </c>
      <c r="M4120">
        <v>396</v>
      </c>
      <c r="O4120" t="s">
        <v>26</v>
      </c>
      <c r="P4120" t="s">
        <v>39</v>
      </c>
      <c r="Q4120" t="s">
        <v>10495</v>
      </c>
    </row>
    <row r="4121" spans="1:17" ht="15.75" x14ac:dyDescent="0.25">
      <c r="A4121" s="3" t="str">
        <f>HYPERLINK("https://shop.sonapharmacy.com/products/blu-emu%C2%AE-original-super-strength-topical-cream-4oz", "https://shop.sonapharmacy.com/products/blu-emu%C2%AE-original-super-strength-topical-cream-4oz")</f>
        <v>https://shop.sonapharmacy.com/products/blu-emu%C2%AE-original-super-strength-topical-cream-4oz</v>
      </c>
      <c r="B4121" s="3" t="str">
        <f>HYPERLINK("https://shop.sonapharmacy.com/products/blu-emu%c2%ae-original-super-strength-topical-cream-4oz", "https://shop.sonapharmacy.com/products/blu-emu%c2%ae-original-super-strength-topical-cream-4oz")</f>
        <v>https://shop.sonapharmacy.com/products/blu-emu%c2%ae-original-super-strength-topical-cream-4oz</v>
      </c>
      <c r="C4121" t="s">
        <v>11582</v>
      </c>
      <c r="D4121" t="s">
        <v>11583</v>
      </c>
      <c r="E4121" s="3" t="str">
        <f>HYPERLINK("https://www.amazon.com/Blue-Emu-Original-Super-Strength-Topical/dp/B01M8K0J0N/ref=sr_1_3?keywords=Blu+Emu%C2%AE+Original+Super+Strength+Topical+Cream+4oz.&amp;qid=1695260124&amp;sr=8-3", "https://www.amazon.com/Blue-Emu-Original-Super-Strength-Topical/dp/B01M8K0J0N/ref=sr_1_3?keywords=Blu+Emu%C2%AE+Original+Super+Strength+Topical+Cream+4oz.&amp;qid=1695260124&amp;sr=8-3")</f>
        <v>https://www.amazon.com/Blue-Emu-Original-Super-Strength-Topical/dp/B01M8K0J0N/ref=sr_1_3?keywords=Blu+Emu%C2%AE+Original+Super+Strength+Topical+Cream+4oz.&amp;qid=1695260124&amp;sr=8-3</v>
      </c>
      <c r="F4121" t="s">
        <v>11584</v>
      </c>
      <c r="G4121" t="e">
        <f ca="1">IMAGE("https://shop.sonapharmacy.com/cdn/shop/products/c9fdfeb9-f1a6-4ec0-83a8-0cbbb40c02eb.8a9e9744b2a2264e50449f357e716e35.jpg?v=1613753373")</f>
        <v>#NAME?</v>
      </c>
      <c r="H4121" t="e">
        <f ca="1">IMAGE("https://m.media-amazon.com/images/I/5182O4Ffo8L._AC_UL320_.jpg")</f>
        <v>#NAME?</v>
      </c>
      <c r="I4121" t="s">
        <v>3515</v>
      </c>
      <c r="J4121">
        <v>36.049999999999997</v>
      </c>
      <c r="K4121" s="2" t="s">
        <v>11585</v>
      </c>
      <c r="L4121">
        <v>4.4000000000000004</v>
      </c>
      <c r="M4121">
        <v>62</v>
      </c>
      <c r="O4121" t="s">
        <v>26</v>
      </c>
      <c r="P4121" t="s">
        <v>39</v>
      </c>
      <c r="Q4121" t="s">
        <v>11586</v>
      </c>
    </row>
    <row r="4122" spans="1:17" ht="15.75" x14ac:dyDescent="0.25">
      <c r="A4122" s="3" t="str">
        <f>HYPERLINK("https://shop.sonapharmacy.com/products/okeeffes-working-hands-cream-2-7oz", "https://shop.sonapharmacy.com/products/okeeffes-working-hands-cream-2-7oz")</f>
        <v>https://shop.sonapharmacy.com/products/okeeffes-working-hands-cream-2-7oz</v>
      </c>
      <c r="B4122" s="3" t="str">
        <f>HYPERLINK("https://shop.sonapharmacy.com/products/okeeffes-working-hands-cream-2-7oz", "https://shop.sonapharmacy.com/products/okeeffes-working-hands-cream-2-7oz")</f>
        <v>https://shop.sonapharmacy.com/products/okeeffes-working-hands-cream-2-7oz</v>
      </c>
      <c r="C4122" t="s">
        <v>8312</v>
      </c>
      <c r="D4122" t="s">
        <v>11587</v>
      </c>
      <c r="E4122" s="3" t="str">
        <f>HYPERLINK("https://www.amazon.com/OKeeffes-Working-Hands-Cream-Ounces/dp/B015SPYUGG/ref=sr_1_4?keywords=O%27Keeffe%27s+Working+Hands+Cream+2.7oz.&amp;qid=1695260597&amp;sr=8-4", "https://www.amazon.com/OKeeffes-Working-Hands-Cream-Ounces/dp/B015SPYUGG/ref=sr_1_4?keywords=O%27Keeffe%27s+Working+Hands+Cream+2.7oz.&amp;qid=1695260597&amp;sr=8-4")</f>
        <v>https://www.amazon.com/OKeeffes-Working-Hands-Cream-Ounces/dp/B015SPYUGG/ref=sr_1_4?keywords=O%27Keeffe%27s+Working+Hands+Cream+2.7oz.&amp;qid=1695260597&amp;sr=8-4</v>
      </c>
      <c r="F4122" t="s">
        <v>11588</v>
      </c>
      <c r="G4122" t="e">
        <f ca="1">IMAGE("https://shop.sonapharmacy.com/cdn/shop/products/00be5c22-ab6e-4ab0-b795-94a77c1551f9_2.8f68130d2f977aa423d97d8a89b1994a.jpg?v=1608407194")</f>
        <v>#NAME?</v>
      </c>
      <c r="H4122" t="e">
        <f ca="1">IMAGE("https://m.media-amazon.com/images/I/71qw3aBbmoL._AC_UL320_.jpg")</f>
        <v>#NAME?</v>
      </c>
      <c r="I4122" t="s">
        <v>8315</v>
      </c>
      <c r="J4122">
        <v>15.99</v>
      </c>
      <c r="K4122" s="2" t="s">
        <v>11589</v>
      </c>
      <c r="L4122">
        <v>4.5</v>
      </c>
      <c r="M4122">
        <v>185</v>
      </c>
      <c r="O4122" t="s">
        <v>26</v>
      </c>
      <c r="P4122" t="s">
        <v>39</v>
      </c>
      <c r="Q4122" t="s">
        <v>8317</v>
      </c>
    </row>
    <row r="4123" spans="1:17" ht="15.75" x14ac:dyDescent="0.25">
      <c r="A4123" s="3" t="str">
        <f>HYPERLINK("https://shop.sonapharmacy.com/products/band-aid-water-block-tough-strips", "https://shop.sonapharmacy.com/products/band-aid-water-block-tough-strips")</f>
        <v>https://shop.sonapharmacy.com/products/band-aid-water-block-tough-strips</v>
      </c>
      <c r="B4123" s="3" t="str">
        <f>HYPERLINK("https://shop.sonapharmacy.com/products/band-aid-water-block-tough-strips", "https://shop.sonapharmacy.com/products/band-aid-water-block-tough-strips")</f>
        <v>https://shop.sonapharmacy.com/products/band-aid-water-block-tough-strips</v>
      </c>
      <c r="C4123" t="s">
        <v>11590</v>
      </c>
      <c r="D4123" t="s">
        <v>11010</v>
      </c>
      <c r="E4123" s="3" t="str">
        <f>HYPERLINK("https://www.amazon.com/Band-Aid-Adhesive-Featuring-Skin-Flex-Character/dp/B08R5FP2D2/ref=sr_1_3?keywords=BAND-AID%C2%AE+Water+Block+Tough+Strips&amp;qid=1695260066&amp;sr=8-3", "https://www.amazon.com/Band-Aid-Adhesive-Featuring-Skin-Flex-Character/dp/B08R5FP2D2/ref=sr_1_3?keywords=BAND-AID%C2%AE+Water+Block+Tough+Strips&amp;qid=1695260066&amp;sr=8-3")</f>
        <v>https://www.amazon.com/Band-Aid-Adhesive-Featuring-Skin-Flex-Character/dp/B08R5FP2D2/ref=sr_1_3?keywords=BAND-AID%C2%AE+Water+Block+Tough+Strips&amp;qid=1695260066&amp;sr=8-3</v>
      </c>
      <c r="F4123" t="s">
        <v>11011</v>
      </c>
      <c r="G4123" t="e">
        <f ca="1">IMAGE("https://shop.sonapharmacy.com/cdn/shop/products/bab_381370055662_band_aid_band_aid_waterblock_tough_xl_10ct_007.jpg?v=1607200327")</f>
        <v>#NAME?</v>
      </c>
      <c r="H4123" t="e">
        <f ca="1">IMAGE("https://m.media-amazon.com/images/I/81hPYFlfxKL._AC_UL320_.jpg")</f>
        <v>#NAME?</v>
      </c>
      <c r="I4123" t="s">
        <v>8326</v>
      </c>
      <c r="J4123">
        <v>11.98</v>
      </c>
      <c r="K4123" s="2" t="s">
        <v>11591</v>
      </c>
      <c r="L4123">
        <v>4.8</v>
      </c>
      <c r="M4123">
        <v>9829</v>
      </c>
      <c r="O4123" t="s">
        <v>26</v>
      </c>
      <c r="P4123" t="s">
        <v>39</v>
      </c>
      <c r="Q4123" t="s">
        <v>11592</v>
      </c>
    </row>
    <row r="4124" spans="1:17" ht="15.75" x14ac:dyDescent="0.25">
      <c r="A4124" s="3" t="str">
        <f>HYPERLINK("https://shop.sonapharmacy.com/products/mueller%C2%AE-patella-stabilizer-knee-brace-small", "https://shop.sonapharmacy.com/products/mueller%C2%AE-patella-stabilizer-knee-brace-small")</f>
        <v>https://shop.sonapharmacy.com/products/mueller%C2%AE-patella-stabilizer-knee-brace-small</v>
      </c>
      <c r="B4124" s="3" t="str">
        <f>HYPERLINK("https://shop.sonapharmacy.com/products/mueller%c2%ae-patella-stabilizer-knee-brace-small", "https://shop.sonapharmacy.com/products/mueller%c2%ae-patella-stabilizer-knee-brace-small")</f>
        <v>https://shop.sonapharmacy.com/products/mueller%c2%ae-patella-stabilizer-knee-brace-small</v>
      </c>
      <c r="C4124" t="s">
        <v>11593</v>
      </c>
      <c r="D4124" t="s">
        <v>11594</v>
      </c>
      <c r="E4124" s="3"/>
      <c r="F4124" t="s">
        <v>11595</v>
      </c>
      <c r="G4124" t="e">
        <f ca="1">IMAGE("https://shop.sonapharmacy.com/cdn/shop/products/70c09fcb-c37d-4329-b1fe-4ae9357c2e51_1.c82a15112bc135095cb7730cd9d1c1be.jpg?v=1609870873")</f>
        <v>#NAME?</v>
      </c>
      <c r="H4124" t="e">
        <f ca="1">IMAGE("https://m.media-amazon.com/images/I/71Kl2H-JZCL._AC_UL320_.jpg")</f>
        <v>#NAME?</v>
      </c>
      <c r="I4124" t="s">
        <v>11596</v>
      </c>
      <c r="J4124">
        <v>59.99</v>
      </c>
      <c r="K4124" s="2" t="s">
        <v>11597</v>
      </c>
      <c r="L4124">
        <v>4.0999999999999996</v>
      </c>
      <c r="M4124">
        <v>80</v>
      </c>
      <c r="O4124" t="s">
        <v>136</v>
      </c>
      <c r="P4124" t="s">
        <v>39</v>
      </c>
      <c r="Q4124" t="s">
        <v>11598</v>
      </c>
    </row>
    <row r="4125" spans="1:17" ht="15.75" x14ac:dyDescent="0.25">
      <c r="A4125" s="3" t="str">
        <f>HYPERLINK("https://shop.sonapharmacy.com/products/duracell%C2%AE-aa-coppertop-alkaline-batteries", "https://shop.sonapharmacy.com/products/duracell%C2%AE-aa-coppertop-alkaline-batteries")</f>
        <v>https://shop.sonapharmacy.com/products/duracell%C2%AE-aa-coppertop-alkaline-batteries</v>
      </c>
      <c r="B4125" s="3" t="str">
        <f>HYPERLINK("https://shop.sonapharmacy.com/products/duracell%c2%ae-aa-coppertop-alkaline-batteries", "https://shop.sonapharmacy.com/products/duracell%c2%ae-aa-coppertop-alkaline-batteries")</f>
        <v>https://shop.sonapharmacy.com/products/duracell%c2%ae-aa-coppertop-alkaline-batteries</v>
      </c>
      <c r="C4125" t="s">
        <v>9023</v>
      </c>
      <c r="D4125" t="s">
        <v>11599</v>
      </c>
      <c r="E4125" s="3" t="str">
        <f>HYPERLINK("https://www.amazon.com/Coppertop-Batteries-Ingredients-Long-lasting-Household/dp/B002UXRXE6/ref=sr_1_5?keywords=Duracell%C2%AE+AA+CopperTop+Alkaline+Batteries&amp;qid=1695260202&amp;sr=8-5", "https://www.amazon.com/Coppertop-Batteries-Ingredients-Long-lasting-Household/dp/B002UXRXE6/ref=sr_1_5?keywords=Duracell%C2%AE+AA+CopperTop+Alkaline+Batteries&amp;qid=1695260202&amp;sr=8-5")</f>
        <v>https://www.amazon.com/Coppertop-Batteries-Ingredients-Long-lasting-Household/dp/B002UXRXE6/ref=sr_1_5?keywords=Duracell%C2%AE+AA+CopperTop+Alkaline+Batteries&amp;qid=1695260202&amp;sr=8-5</v>
      </c>
      <c r="F4125" t="s">
        <v>11600</v>
      </c>
      <c r="G4125" t="e">
        <f ca="1">IMAGE("https://shop.sonapharmacy.com/cdn/shop/products/b3e62c3a-da6e-4a57-a7e4-c37556c20cce_1.d37a55fc5e4e20c625490346499e718f.png?v=1610335054")</f>
        <v>#NAME?</v>
      </c>
      <c r="H4125" t="e">
        <f ca="1">IMAGE("https://m.media-amazon.com/images/I/71EWTyn-hEL._AC_UL320_.jpg")</f>
        <v>#NAME?</v>
      </c>
      <c r="I4125" t="s">
        <v>8169</v>
      </c>
      <c r="J4125">
        <v>14.39</v>
      </c>
      <c r="K4125" s="2" t="s">
        <v>11601</v>
      </c>
      <c r="L4125">
        <v>4.8</v>
      </c>
      <c r="M4125">
        <v>64006</v>
      </c>
      <c r="O4125" t="s">
        <v>26</v>
      </c>
      <c r="P4125" t="s">
        <v>39</v>
      </c>
      <c r="Q4125" t="s">
        <v>9027</v>
      </c>
    </row>
    <row r="4126" spans="1:17" ht="15.75" x14ac:dyDescent="0.25">
      <c r="A4126" s="3" t="str">
        <f>HYPERLINK("https://shop.sonapharmacy.com/products/centrum%C2%AE-men-120-tablets", "https://shop.sonapharmacy.com/products/centrum%C2%AE-men-120-tablets")</f>
        <v>https://shop.sonapharmacy.com/products/centrum%C2%AE-men-120-tablets</v>
      </c>
      <c r="B4126" s="3" t="str">
        <f>HYPERLINK("https://shop.sonapharmacy.com/products/centrum%c2%ae-men-120-tablets", "https://shop.sonapharmacy.com/products/centrum%c2%ae-men-120-tablets")</f>
        <v>https://shop.sonapharmacy.com/products/centrum%c2%ae-men-120-tablets</v>
      </c>
      <c r="C4126" t="s">
        <v>11602</v>
      </c>
      <c r="D4126" t="s">
        <v>11603</v>
      </c>
      <c r="E4126" s="3" t="str">
        <f>HYPERLINK("https://www.amazon.com/Centrum-Multivitamin-Supplement-Vitamins-Supplements/dp/B0C9611ZLM/ref=sr_1_2?keywords=Centrum%C2%AE+Men+120+Tablets&amp;qid=1695260124&amp;sr=8-2", "https://www.amazon.com/Centrum-Multivitamin-Supplement-Vitamins-Supplements/dp/B0C9611ZLM/ref=sr_1_2?keywords=Centrum%C2%AE+Men+120+Tablets&amp;qid=1695260124&amp;sr=8-2")</f>
        <v>https://www.amazon.com/Centrum-Multivitamin-Supplement-Vitamins-Supplements/dp/B0C9611ZLM/ref=sr_1_2?keywords=Centrum%C2%AE+Men+120+Tablets&amp;qid=1695260124&amp;sr=8-2</v>
      </c>
      <c r="F4126" t="s">
        <v>11604</v>
      </c>
      <c r="G4126" t="e">
        <f ca="1">IMAGE("https://shop.sonapharmacy.com/cdn/shop/files/Sona-Shop-banner2_0c7162f3-c367-451d-8193-c2967a0e8d8e.jpg?v=1614290083")</f>
        <v>#NAME?</v>
      </c>
      <c r="H4126" t="e">
        <f ca="1">IMAGE("https://m.media-amazon.com/images/I/51wVUQhSNzL._AC_UL320_.jpg")</f>
        <v>#NAME?</v>
      </c>
      <c r="I4126" t="s">
        <v>11328</v>
      </c>
      <c r="J4126">
        <v>23.99</v>
      </c>
      <c r="K4126" s="2" t="s">
        <v>11605</v>
      </c>
      <c r="L4126">
        <v>5</v>
      </c>
      <c r="M4126">
        <v>1</v>
      </c>
      <c r="O4126" t="s">
        <v>26</v>
      </c>
      <c r="P4126" t="s">
        <v>39</v>
      </c>
      <c r="Q4126" t="s">
        <v>11606</v>
      </c>
    </row>
    <row r="4127" spans="1:17" ht="15.75" x14ac:dyDescent="0.25">
      <c r="A4127" s="3" t="str">
        <f>HYPERLINK("https://shop.sonapharmacy.com/products/neutrogena%C2%AE-neutrogena-gentle-oil-free-liquid-eye-makeup-remover-5-5fl-oz", "https://shop.sonapharmacy.com/products/neutrogena%C2%AE-neutrogena-gentle-oil-free-liquid-eye-makeup-remover-5-5fl-oz")</f>
        <v>https://shop.sonapharmacy.com/products/neutrogena%C2%AE-neutrogena-gentle-oil-free-liquid-eye-makeup-remover-5-5fl-oz</v>
      </c>
      <c r="B4127" s="3" t="str">
        <f>HYPERLINK("https://shop.sonapharmacy.com/products/neutrogena%c2%ae-neutrogena-gentle-oil-free-liquid-eye-makeup-remover-5-5fl-oz", "https://shop.sonapharmacy.com/products/neutrogena%c2%ae-neutrogena-gentle-oil-free-liquid-eye-makeup-remover-5-5fl-oz")</f>
        <v>https://shop.sonapharmacy.com/products/neutrogena%c2%ae-neutrogena-gentle-oil-free-liquid-eye-makeup-remover-5-5fl-oz</v>
      </c>
      <c r="C4127" t="s">
        <v>11607</v>
      </c>
      <c r="D4127" t="s">
        <v>11608</v>
      </c>
      <c r="E4127" s="3" t="str">
        <f>HYPERLINK("https://www.amazon.com/Neutrogena-Non-Greasy-Waterproof-Dermatologist-Ophthalmologist/dp/B088N4CB19/ref=sr_1_fkmr0_2?keywords=Neutrogena%C2%AE+Gentle+Oil-Free+Liquid+Eye+Makeup+Remover+5.5fl.+oz&amp;qid=1695260558&amp;sr=8-2-fkmr0", "https://www.amazon.com/Neutrogena-Non-Greasy-Waterproof-Dermatologist-Ophthalmologist/dp/B088N4CB19/ref=sr_1_fkmr0_2?keywords=Neutrogena%C2%AE+Gentle+Oil-Free+Liquid+Eye+Makeup+Remover+5.5fl.+oz&amp;qid=1695260558&amp;sr=8-2-fkmr0")</f>
        <v>https://www.amazon.com/Neutrogena-Non-Greasy-Waterproof-Dermatologist-Ophthalmologist/dp/B088N4CB19/ref=sr_1_fkmr0_2?keywords=Neutrogena%C2%AE+Gentle+Oil-Free+Liquid+Eye+Makeup+Remover+5.5fl.+oz&amp;qid=1695260558&amp;sr=8-2-fkmr0</v>
      </c>
      <c r="F4127" t="s">
        <v>11609</v>
      </c>
      <c r="G4127" t="e">
        <f ca="1">IMAGE("https://shop.sonapharmacy.com/cdn/shop/products/6805065XX_5pt5oz_0.jpg?v=1608304177")</f>
        <v>#NAME?</v>
      </c>
      <c r="H4127" t="e">
        <f ca="1">IMAGE("https://m.media-amazon.com/images/I/81oivjiqZXL._AC_UL320_.jpg")</f>
        <v>#NAME?</v>
      </c>
      <c r="I4127" t="s">
        <v>11610</v>
      </c>
      <c r="J4127">
        <v>20.46</v>
      </c>
      <c r="K4127" s="2" t="s">
        <v>11611</v>
      </c>
      <c r="L4127">
        <v>4.7</v>
      </c>
      <c r="M4127">
        <v>15778</v>
      </c>
      <c r="O4127" t="s">
        <v>26</v>
      </c>
      <c r="P4127" t="s">
        <v>39</v>
      </c>
      <c r="Q4127" t="s">
        <v>11612</v>
      </c>
    </row>
    <row r="4128" spans="1:17" ht="15.75" x14ac:dyDescent="0.25">
      <c r="A4128" s="3" t="str">
        <f>HYPERLINK("https://shop.sonapharmacy.com/products/bayer-genuine-aspirin-325-mg-tablets", "https://shop.sonapharmacy.com/products/bayer-genuine-aspirin-325-mg-tablets")</f>
        <v>https://shop.sonapharmacy.com/products/bayer-genuine-aspirin-325-mg-tablets</v>
      </c>
      <c r="B4128" s="3" t="str">
        <f>HYPERLINK("https://shop.sonapharmacy.com/products/bayer-genuine-aspirin-325-mg-tablets", "https://shop.sonapharmacy.com/products/bayer-genuine-aspirin-325-mg-tablets")</f>
        <v>https://shop.sonapharmacy.com/products/bayer-genuine-aspirin-325-mg-tablets</v>
      </c>
      <c r="C4128" t="s">
        <v>9910</v>
      </c>
      <c r="D4128" t="s">
        <v>11613</v>
      </c>
      <c r="E4128" s="3" t="str">
        <f>HYPERLINK("https://www.amazon.com/Genuine-Bayer-Aspirin-Tablets-24-Count/dp/B0044R1HYI/ref=sr_1_2?keywords=Bayer%C2%AE+Genuine+Aspirin+325mg+Tablets&amp;qid=1695260088&amp;sr=8-2", "https://www.amazon.com/Genuine-Bayer-Aspirin-Tablets-24-Count/dp/B0044R1HYI/ref=sr_1_2?keywords=Bayer%C2%AE+Genuine+Aspirin+325mg+Tablets&amp;qid=1695260088&amp;sr=8-2")</f>
        <v>https://www.amazon.com/Genuine-Bayer-Aspirin-Tablets-24-Count/dp/B0044R1HYI/ref=sr_1_2?keywords=Bayer%C2%AE+Genuine+Aspirin+325mg+Tablets&amp;qid=1695260088&amp;sr=8-2</v>
      </c>
      <c r="F4128" t="s">
        <v>11614</v>
      </c>
      <c r="G4128" t="e">
        <f ca="1">IMAGE("https://shop.sonapharmacy.com/cdn/shop/products/Untitled-26.jpg?v=1592598679")</f>
        <v>#NAME?</v>
      </c>
      <c r="H4128" t="e">
        <f ca="1">IMAGE("https://m.media-amazon.com/images/I/71e4oLhyIML._AC_UL320_.jpg")</f>
        <v>#NAME?</v>
      </c>
      <c r="I4128" t="s">
        <v>8766</v>
      </c>
      <c r="J4128">
        <v>8.99</v>
      </c>
      <c r="K4128" s="2" t="s">
        <v>11615</v>
      </c>
      <c r="L4128">
        <v>4.7</v>
      </c>
      <c r="M4128">
        <v>140</v>
      </c>
      <c r="O4128" t="s">
        <v>26</v>
      </c>
      <c r="P4128" t="s">
        <v>39</v>
      </c>
      <c r="Q4128" t="s">
        <v>9914</v>
      </c>
    </row>
    <row r="4129" spans="1:17" ht="15.75" x14ac:dyDescent="0.25">
      <c r="A4129" s="3" t="str">
        <f>HYPERLINK("https://shop.sonapharmacy.com/products/sun-bum%C2%AE-mineral-spf-50-sunscreen-face-stick-0-45oz", "https://shop.sonapharmacy.com/products/sun-bum%C2%AE-mineral-spf-50-sunscreen-face-stick-0-45oz")</f>
        <v>https://shop.sonapharmacy.com/products/sun-bum%C2%AE-mineral-spf-50-sunscreen-face-stick-0-45oz</v>
      </c>
      <c r="B4129" s="3" t="str">
        <f>HYPERLINK("https://shop.sonapharmacy.com/products/sun-bum%c2%ae-mineral-spf-50-sunscreen-face-stick-0-45oz", "https://shop.sonapharmacy.com/products/sun-bum%c2%ae-mineral-spf-50-sunscreen-face-stick-0-45oz")</f>
        <v>https://shop.sonapharmacy.com/products/sun-bum%c2%ae-mineral-spf-50-sunscreen-face-stick-0-45oz</v>
      </c>
      <c r="C4129" t="s">
        <v>11616</v>
      </c>
      <c r="D4129" t="s">
        <v>11617</v>
      </c>
      <c r="E4129" s="3" t="str">
        <f>HYPERLINK("https://www.amazon.com/Baby-Bum-Sunscreen-Protection-Fragrance/dp/B07Q273HPH/ref=sr_1_2?keywords=Sun+Bum%C2%AE+Mineral+SPF+50+Sunscreen+Face+Stick+0.45oz&amp;qid=1695260742&amp;sr=8-2", "https://www.amazon.com/Baby-Bum-Sunscreen-Protection-Fragrance/dp/B07Q273HPH/ref=sr_1_2?keywords=Sun+Bum%C2%AE+Mineral+SPF+50+Sunscreen+Face+Stick+0.45oz&amp;qid=1695260742&amp;sr=8-2")</f>
        <v>https://www.amazon.com/Baby-Bum-Sunscreen-Protection-Fragrance/dp/B07Q273HPH/ref=sr_1_2?keywords=Sun+Bum%C2%AE+Mineral+SPF+50+Sunscreen+Face+Stick+0.45oz&amp;qid=1695260742&amp;sr=8-2</v>
      </c>
      <c r="F4129" t="s">
        <v>11618</v>
      </c>
      <c r="G4129" t="e">
        <f ca="1">IMAGE("https://shop.sonapharmacy.com/cdn/shop/products/61LGJ0kxSAL._SL1500.jpg?v=1629233959")</f>
        <v>#NAME?</v>
      </c>
      <c r="H4129" t="e">
        <f ca="1">IMAGE("https://m.media-amazon.com/images/I/715D-uGq1nL._AC_UL320_.jpg")</f>
        <v>#NAME?</v>
      </c>
      <c r="I4129" t="s">
        <v>9258</v>
      </c>
      <c r="J4129">
        <v>22.5</v>
      </c>
      <c r="K4129" s="2" t="s">
        <v>11619</v>
      </c>
      <c r="L4129">
        <v>4.7</v>
      </c>
      <c r="M4129">
        <v>319</v>
      </c>
      <c r="O4129" t="s">
        <v>26</v>
      </c>
      <c r="P4129" t="s">
        <v>39</v>
      </c>
      <c r="Q4129" t="s">
        <v>11620</v>
      </c>
    </row>
    <row r="4130" spans="1:17" ht="15.75" x14ac:dyDescent="0.25">
      <c r="A4130" s="3" t="str">
        <f>HYPERLINK("https://shop.sonapharmacy.com/products/eos%C2%AE-strawberry-sorbet-lip-balm", "https://shop.sonapharmacy.com/products/eos%C2%AE-strawberry-sorbet-lip-balm")</f>
        <v>https://shop.sonapharmacy.com/products/eos%C2%AE-strawberry-sorbet-lip-balm</v>
      </c>
      <c r="B4130" s="3" t="str">
        <f>HYPERLINK("https://shop.sonapharmacy.com/products/eos%c2%ae-strawberry-sorbet-lip-balm", "https://shop.sonapharmacy.com/products/eos%c2%ae-strawberry-sorbet-lip-balm")</f>
        <v>https://shop.sonapharmacy.com/products/eos%c2%ae-strawberry-sorbet-lip-balm</v>
      </c>
      <c r="C4130" t="s">
        <v>8408</v>
      </c>
      <c r="D4130" t="s">
        <v>11621</v>
      </c>
      <c r="E4130" s="3" t="str">
        <f>HYPERLINK("https://www.amazon.com/eos-Natural-Strawberry-Sensitive-Products/dp/B09NNYTTXK/ref=sr_1_6?keywords=EOS%C2%AE+Strawberry+Sorbet+Lip+Balm&amp;qid=1695260249&amp;sr=8-6", "https://www.amazon.com/eos-Natural-Strawberry-Sensitive-Products/dp/B09NNYTTXK/ref=sr_1_6?keywords=EOS%C2%AE+Strawberry+Sorbet+Lip+Balm&amp;qid=1695260249&amp;sr=8-6")</f>
        <v>https://www.amazon.com/eos-Natural-Strawberry-Sensitive-Products/dp/B09NNYTTXK/ref=sr_1_6?keywords=EOS%C2%AE+Strawberry+Sorbet+Lip+Balm&amp;qid=1695260249&amp;sr=8-6</v>
      </c>
      <c r="F4130" t="s">
        <v>11622</v>
      </c>
      <c r="G4130" t="e">
        <f ca="1">IMAGE("https://shop.sonapharmacy.com/cdn/shop/products/892992002847-1a_VB__70684.1610588860.jpg?v=1610642796")</f>
        <v>#NAME?</v>
      </c>
      <c r="H4130" t="e">
        <f ca="1">IMAGE("https://m.media-amazon.com/images/I/81d1lMch6PL._AC_UL320_.jpg")</f>
        <v>#NAME?</v>
      </c>
      <c r="I4130" t="s">
        <v>8411</v>
      </c>
      <c r="J4130">
        <v>7.48</v>
      </c>
      <c r="K4130" s="2" t="s">
        <v>11623</v>
      </c>
      <c r="L4130">
        <v>4.5999999999999996</v>
      </c>
      <c r="M4130">
        <v>150</v>
      </c>
      <c r="O4130" t="s">
        <v>26</v>
      </c>
      <c r="P4130" t="s">
        <v>39</v>
      </c>
      <c r="Q4130" t="s">
        <v>8413</v>
      </c>
    </row>
    <row r="4131" spans="1:17" ht="15.75" x14ac:dyDescent="0.25">
      <c r="A4131" s="3" t="str">
        <f>HYPERLINK("https://shop.sonapharmacy.com/products/eos%C2%AE-sweet-mint-lip-balm", "https://shop.sonapharmacy.com/products/eos%C2%AE-sweet-mint-lip-balm")</f>
        <v>https://shop.sonapharmacy.com/products/eos%C2%AE-sweet-mint-lip-balm</v>
      </c>
      <c r="B4131" s="3" t="str">
        <f>HYPERLINK("https://shop.sonapharmacy.com/products/eos%c2%ae-sweet-mint-lip-balm", "https://shop.sonapharmacy.com/products/eos%c2%ae-sweet-mint-lip-balm")</f>
        <v>https://shop.sonapharmacy.com/products/eos%c2%ae-sweet-mint-lip-balm</v>
      </c>
      <c r="C4131" t="s">
        <v>8435</v>
      </c>
      <c r="D4131" t="s">
        <v>11621</v>
      </c>
      <c r="E4131" s="3" t="str">
        <f>HYPERLINK("https://www.amazon.com/eos-Natural-Strawberry-Sensitive-Products/dp/B09NNYTTXK/ref=sr_1_6?keywords=EOS%C2%AE+Sweet+Mint+Lip+Balm&amp;qid=1695260226&amp;sr=8-6", "https://www.amazon.com/eos-Natural-Strawberry-Sensitive-Products/dp/B09NNYTTXK/ref=sr_1_6?keywords=EOS%C2%AE+Sweet+Mint+Lip+Balm&amp;qid=1695260226&amp;sr=8-6")</f>
        <v>https://www.amazon.com/eos-Natural-Strawberry-Sensitive-Products/dp/B09NNYTTXK/ref=sr_1_6?keywords=EOS%C2%AE+Sweet+Mint+Lip+Balm&amp;qid=1695260226&amp;sr=8-6</v>
      </c>
      <c r="F4131" t="s">
        <v>11622</v>
      </c>
      <c r="G4131" t="e">
        <f ca="1">IMAGE("https://shop.sonapharmacy.com/cdn/shop/products/GUEST_b0fdc7d4-45d7-4d76-93a9-fe22762c8990.jpg?v=1610643893")</f>
        <v>#NAME?</v>
      </c>
      <c r="H4131" t="e">
        <f ca="1">IMAGE("https://m.media-amazon.com/images/I/81d1lMch6PL._AC_UL320_.jpg")</f>
        <v>#NAME?</v>
      </c>
      <c r="I4131" t="s">
        <v>8411</v>
      </c>
      <c r="J4131">
        <v>7.48</v>
      </c>
      <c r="K4131" s="2" t="s">
        <v>11623</v>
      </c>
      <c r="L4131">
        <v>4.5999999999999996</v>
      </c>
      <c r="M4131">
        <v>150</v>
      </c>
      <c r="O4131" t="s">
        <v>26</v>
      </c>
      <c r="P4131" t="s">
        <v>39</v>
      </c>
      <c r="Q4131" t="s">
        <v>8439</v>
      </c>
    </row>
    <row r="4132" spans="1:17" ht="15.75" x14ac:dyDescent="0.25">
      <c r="A4132" s="3" t="str">
        <f>HYPERLINK("https://shop.sonapharmacy.com/products/sona-buffered-c-capsules", "https://shop.sonapharmacy.com/products/sona-buffered-c-capsules")</f>
        <v>https://shop.sonapharmacy.com/products/sona-buffered-c-capsules</v>
      </c>
      <c r="B4132" s="3" t="str">
        <f>HYPERLINK("https://shop.sonapharmacy.com/products/sona-buffered-c-capsules", "https://shop.sonapharmacy.com/products/sona-buffered-c-capsules")</f>
        <v>https://shop.sonapharmacy.com/products/sona-buffered-c-capsules</v>
      </c>
      <c r="C4132" t="s">
        <v>11624</v>
      </c>
      <c r="D4132" t="s">
        <v>11625</v>
      </c>
      <c r="E4132" s="3" t="str">
        <f>HYPERLINK("https://www.amazon.com/Vital-Nutrients-Buffered-Sensitive-Individuals/dp/B002E9ZAW8/ref=sr_1_10?keywords=Sona+Buffered+C+Capsules&amp;qid=1695260718&amp;sr=8-10", "https://www.amazon.com/Vital-Nutrients-Buffered-Sensitive-Individuals/dp/B002E9ZAW8/ref=sr_1_10?keywords=Sona+Buffered+C+Capsules&amp;qid=1695260718&amp;sr=8-10")</f>
        <v>https://www.amazon.com/Vital-Nutrients-Buffered-Sensitive-Individuals/dp/B002E9ZAW8/ref=sr_1_10?keywords=Sona+Buffered+C+Capsules&amp;qid=1695260718&amp;sr=8-10</v>
      </c>
      <c r="F4132" t="s">
        <v>11626</v>
      </c>
      <c r="G4132" t="e">
        <f ca="1">IMAGE("https://shop.sonapharmacy.com/cdn/shop/files/BufferedC_SonaShop.jpg?v=1692370201")</f>
        <v>#NAME?</v>
      </c>
      <c r="H4132" t="e">
        <f ca="1">IMAGE("https://m.media-amazon.com/images/I/71jAPC7uU7L._AC_UL320_.jpg")</f>
        <v>#NAME?</v>
      </c>
      <c r="I4132" t="s">
        <v>11627</v>
      </c>
      <c r="J4132">
        <v>36.9</v>
      </c>
      <c r="K4132" s="2" t="s">
        <v>11628</v>
      </c>
      <c r="L4132">
        <v>4.7</v>
      </c>
      <c r="M4132">
        <v>89</v>
      </c>
      <c r="O4132" t="s">
        <v>26</v>
      </c>
      <c r="P4132" t="s">
        <v>39</v>
      </c>
      <c r="Q4132" t="s">
        <v>11629</v>
      </c>
    </row>
    <row r="4133" spans="1:17" ht="15.75" x14ac:dyDescent="0.25">
      <c r="A4133" s="3" t="str">
        <f>HYPERLINK("https://shop.sonapharmacy.com/products/major-cough-dm-12-hour-cough-relief-cough-suppressant-liquid", "https://shop.sonapharmacy.com/products/major-cough-dm-12-hour-cough-relief-cough-suppressant-liquid")</f>
        <v>https://shop.sonapharmacy.com/products/major-cough-dm-12-hour-cough-relief-cough-suppressant-liquid</v>
      </c>
      <c r="B4133" s="3" t="str">
        <f>HYPERLINK("https://shop.sonapharmacy.com/products/major-cough-dm-12-hour-cough-relief-cough-suppressant-liquid", "https://shop.sonapharmacy.com/products/major-cough-dm-12-hour-cough-relief-cough-suppressant-liquid")</f>
        <v>https://shop.sonapharmacy.com/products/major-cough-dm-12-hour-cough-relief-cough-suppressant-liquid</v>
      </c>
      <c r="C4133" t="s">
        <v>11630</v>
      </c>
      <c r="D4133" t="s">
        <v>11631</v>
      </c>
      <c r="E4133" s="3" t="str">
        <f>HYPERLINK("https://www.amazon.com/Mucinex-Extended-Bi-Layer-Expectorant-Suppressant/dp/B07H7PQ4Y4/ref=sr_1_5?keywords=Major%C2%AE+Cough+DM+12+Hour+Cough+Relief+Cough+Suppressant+Liquid&amp;qid=1695260458&amp;sr=8-5", "https://www.amazon.com/Mucinex-Extended-Bi-Layer-Expectorant-Suppressant/dp/B07H7PQ4Y4/ref=sr_1_5?keywords=Major%C2%AE+Cough+DM+12+Hour+Cough+Relief+Cough+Suppressant+Liquid&amp;qid=1695260458&amp;sr=8-5")</f>
        <v>https://www.amazon.com/Mucinex-Extended-Bi-Layer-Expectorant-Suppressant/dp/B07H7PQ4Y4/ref=sr_1_5?keywords=Major%C2%AE+Cough+DM+12+Hour+Cough+Relief+Cough+Suppressant+Liquid&amp;qid=1695260458&amp;sr=8-5</v>
      </c>
      <c r="F4133" t="s">
        <v>11632</v>
      </c>
      <c r="G4133" t="e">
        <f ca="1">IMAGE("https://shop.sonapharmacy.com/cdn/shop/products/MajorCoughDM12HourCoughReliefCoughSuppressantLiquid.jpg?v=1595356959")</f>
        <v>#NAME?</v>
      </c>
      <c r="H4133" t="e">
        <f ca="1">IMAGE("https://m.media-amazon.com/images/I/71vmXOEaQjL._AC_UL320_.jpg")</f>
        <v>#NAME?</v>
      </c>
      <c r="I4133" t="s">
        <v>11633</v>
      </c>
      <c r="J4133">
        <v>23.9</v>
      </c>
      <c r="K4133" s="2" t="s">
        <v>11634</v>
      </c>
      <c r="L4133">
        <v>4.8</v>
      </c>
      <c r="M4133">
        <v>4593</v>
      </c>
      <c r="O4133" t="s">
        <v>136</v>
      </c>
      <c r="P4133" t="s">
        <v>39</v>
      </c>
      <c r="Q4133" t="s">
        <v>11635</v>
      </c>
    </row>
    <row r="4134" spans="1:17" ht="15.75" x14ac:dyDescent="0.25">
      <c r="A4134" s="3" t="str">
        <f>HYPERLINK("https://shop.sonapharmacy.com/products/dove%C2%AE-cucumber-and-green-tea-soap-2pck", "https://shop.sonapharmacy.com/products/dove%C2%AE-cucumber-and-green-tea-soap-2pck")</f>
        <v>https://shop.sonapharmacy.com/products/dove%C2%AE-cucumber-and-green-tea-soap-2pck</v>
      </c>
      <c r="B4134" s="3" t="str">
        <f>HYPERLINK("https://shop.sonapharmacy.com/products/dove%c2%ae-cucumber-and-green-tea-soap-2pck", "https://shop.sonapharmacy.com/products/dove%c2%ae-cucumber-and-green-tea-soap-2pck")</f>
        <v>https://shop.sonapharmacy.com/products/dove%c2%ae-cucumber-and-green-tea-soap-2pck</v>
      </c>
      <c r="C4134" t="s">
        <v>8995</v>
      </c>
      <c r="D4134" t="s">
        <v>11636</v>
      </c>
      <c r="E4134" s="3" t="str">
        <f>HYPERLINK("https://www.amazon.com/Dove-fresh-Beauty-Cucumber-Green/dp/B0007D8E1C/ref=sr_1_5?keywords=Dove%C2%AE+Cucumber+and+Green+Tea+Soap+2pck.&amp;qid=1695260197&amp;sr=8-5", "https://www.amazon.com/Dove-fresh-Beauty-Cucumber-Green/dp/B0007D8E1C/ref=sr_1_5?keywords=Dove%C2%AE+Cucumber+and+Green+Tea+Soap+2pck.&amp;qid=1695260197&amp;sr=8-5")</f>
        <v>https://www.amazon.com/Dove-fresh-Beauty-Cucumber-Green/dp/B0007D8E1C/ref=sr_1_5?keywords=Dove%C2%AE+Cucumber+and+Green+Tea+Soap+2pck.&amp;qid=1695260197&amp;sr=8-5</v>
      </c>
      <c r="F4134" t="s">
        <v>11637</v>
      </c>
      <c r="G4134" t="e">
        <f ca="1">IMAGE("https://shop.sonapharmacy.com/cdn/shop/products/71Zl1fG85wL._SL1500.jpg?v=1639931743")</f>
        <v>#NAME?</v>
      </c>
      <c r="H4134" t="e">
        <f ca="1">IMAGE("https://m.media-amazon.com/images/I/71HZ1uae85L._AC_UL320_.jpg")</f>
        <v>#NAME?</v>
      </c>
      <c r="I4134" t="s">
        <v>8998</v>
      </c>
      <c r="J4134">
        <v>10.64</v>
      </c>
      <c r="K4134" s="2" t="s">
        <v>11638</v>
      </c>
      <c r="L4134">
        <v>4.8</v>
      </c>
      <c r="M4134">
        <v>2424</v>
      </c>
      <c r="O4134" t="s">
        <v>136</v>
      </c>
      <c r="P4134" t="s">
        <v>39</v>
      </c>
      <c r="Q4134" t="s">
        <v>9000</v>
      </c>
    </row>
    <row r="4135" spans="1:17" ht="15.75" x14ac:dyDescent="0.25">
      <c r="A4135" s="3" t="str">
        <f>HYPERLINK("https://shop.sonapharmacy.com/products/differin%C2%AE-gel-adapalene-gel-0-1-acne-treatment", "https://shop.sonapharmacy.com/products/differin%C2%AE-gel-adapalene-gel-0-1-acne-treatment")</f>
        <v>https://shop.sonapharmacy.com/products/differin%C2%AE-gel-adapalene-gel-0-1-acne-treatment</v>
      </c>
      <c r="B4135" s="3" t="str">
        <f>HYPERLINK("https://shop.sonapharmacy.com/products/differin%c2%ae-gel-adapalene-gel-0-1-acne-treatment", "https://shop.sonapharmacy.com/products/differin%c2%ae-gel-adapalene-gel-0-1-acne-treatment")</f>
        <v>https://shop.sonapharmacy.com/products/differin%c2%ae-gel-adapalene-gel-0-1-acne-treatment</v>
      </c>
      <c r="C4135" t="s">
        <v>10863</v>
      </c>
      <c r="D4135" t="s">
        <v>11639</v>
      </c>
      <c r="E4135" s="3" t="str">
        <f>HYPERLINK("https://www.amazon.com/Differin-Retinoid-Treatment-Adapalene-Peroxide/dp/B0C67DBGJ7/ref=sr_1_9?keywords=Differin%C2%AE+Gel+Adapalene+Gel+0.1%25+Acne+Treatment&amp;qid=1695260198&amp;sr=8-9", "https://www.amazon.com/Differin-Retinoid-Treatment-Adapalene-Peroxide/dp/B0C67DBGJ7/ref=sr_1_9?keywords=Differin%C2%AE+Gel+Adapalene+Gel+0.1%25+Acne+Treatment&amp;qid=1695260198&amp;sr=8-9")</f>
        <v>https://www.amazon.com/Differin-Retinoid-Treatment-Adapalene-Peroxide/dp/B0C67DBGJ7/ref=sr_1_9?keywords=Differin%C2%AE+Gel+Adapalene+Gel+0.1%25+Acne+Treatment&amp;qid=1695260198&amp;sr=8-9</v>
      </c>
      <c r="F4135" t="s">
        <v>11640</v>
      </c>
      <c r="G4135" t="e">
        <f ca="1">IMAGE("https://shop.sonapharmacy.com/cdn/shop/products/5oz.jpg?v=1608302260")</f>
        <v>#NAME?</v>
      </c>
      <c r="H4135" t="e">
        <f ca="1">IMAGE("https://m.media-amazon.com/images/I/81y5xamjFOL._AC_UY218_.jpg")</f>
        <v>#NAME?</v>
      </c>
      <c r="I4135" t="s">
        <v>3419</v>
      </c>
      <c r="J4135">
        <v>27.99</v>
      </c>
      <c r="K4135" s="2" t="s">
        <v>11641</v>
      </c>
      <c r="L4135">
        <v>4.5999999999999996</v>
      </c>
      <c r="M4135">
        <v>6</v>
      </c>
      <c r="O4135" t="s">
        <v>26</v>
      </c>
      <c r="P4135" t="s">
        <v>39</v>
      </c>
      <c r="Q4135" t="s">
        <v>10867</v>
      </c>
    </row>
    <row r="4136" spans="1:17" ht="15.75" x14ac:dyDescent="0.25">
      <c r="A4136" s="3" t="str">
        <f>HYPERLINK("https://shop.sonapharmacy.com/products/sun-bum%C2%AE-baby-bum%C2%AE-mineral-spf-50-sunscreen-lotion-fragrance-free-3oz", "https://shop.sonapharmacy.com/products/sun-bum%C2%AE-baby-bum%C2%AE-mineral-spf-50-sunscreen-lotion-fragrance-free-3oz")</f>
        <v>https://shop.sonapharmacy.com/products/sun-bum%C2%AE-baby-bum%C2%AE-mineral-spf-50-sunscreen-lotion-fragrance-free-3oz</v>
      </c>
      <c r="B4136" s="3" t="str">
        <f>HYPERLINK("https://shop.sonapharmacy.com/products/sun-bum%c2%ae-baby-bum%c2%ae-mineral-spf-50-sunscreen-lotion-fragrance-free-3oz", "https://shop.sonapharmacy.com/products/sun-bum%c2%ae-baby-bum%c2%ae-mineral-spf-50-sunscreen-lotion-fragrance-free-3oz")</f>
        <v>https://shop.sonapharmacy.com/products/sun-bum%c2%ae-baby-bum%c2%ae-mineral-spf-50-sunscreen-lotion-fragrance-free-3oz</v>
      </c>
      <c r="C4136" t="s">
        <v>11642</v>
      </c>
      <c r="D4136" t="s">
        <v>11643</v>
      </c>
      <c r="E4136" s="3" t="str">
        <f>HYPERLINK("https://www.amazon.com/Two-Peas-Organics-Sunscreen-Waterproof/dp/B0857KN65D/ref=sr_1_7?keywords=Sun+Bum%C2%AE+Baby+Bum%C2%AE+Mineral+SPF+50+Sunscreen+Lotion-Fragrance+Free+3oz.&amp;qid=1695260741&amp;sr=8-7", "https://www.amazon.com/Two-Peas-Organics-Sunscreen-Waterproof/dp/B0857KN65D/ref=sr_1_7?keywords=Sun+Bum%C2%AE+Baby+Bum%C2%AE+Mineral+SPF+50+Sunscreen+Lotion-Fragrance+Free+3oz.&amp;qid=1695260741&amp;sr=8-7")</f>
        <v>https://www.amazon.com/Two-Peas-Organics-Sunscreen-Waterproof/dp/B0857KN65D/ref=sr_1_7?keywords=Sun+Bum%C2%AE+Baby+Bum%C2%AE+Mineral+SPF+50+Sunscreen+Lotion-Fragrance+Free+3oz.&amp;qid=1695260741&amp;sr=8-7</v>
      </c>
      <c r="F4136" t="s">
        <v>11644</v>
      </c>
      <c r="G4136" t="e">
        <f ca="1">IMAGE("https://shop.sonapharmacy.com/cdn/shop/products/e4280c3c0cadfa994e93b07302be64e8_ra_w403_h806_pa_w403_h806.jpg?v=1629233192")</f>
        <v>#NAME?</v>
      </c>
      <c r="H4136" t="e">
        <f ca="1">IMAGE("https://m.media-amazon.com/images/I/71i-6pP-N3L._AC_UL320_.jpg")</f>
        <v>#NAME?</v>
      </c>
      <c r="I4136" t="s">
        <v>3419</v>
      </c>
      <c r="J4136">
        <v>27.99</v>
      </c>
      <c r="K4136" s="2" t="s">
        <v>11641</v>
      </c>
      <c r="L4136">
        <v>4.2</v>
      </c>
      <c r="M4136">
        <v>1509</v>
      </c>
      <c r="O4136" t="s">
        <v>26</v>
      </c>
      <c r="P4136" t="s">
        <v>39</v>
      </c>
      <c r="Q4136" t="s">
        <v>11645</v>
      </c>
    </row>
    <row r="4137" spans="1:17" ht="15.75" x14ac:dyDescent="0.25">
      <c r="A4137" s="3" t="str">
        <f>HYPERLINK("https://shop.sonapharmacy.com/products/cetaphil-moisturizing-lotion-8-fl-oz", "https://shop.sonapharmacy.com/products/cetaphil-moisturizing-lotion-8-fl-oz")</f>
        <v>https://shop.sonapharmacy.com/products/cetaphil-moisturizing-lotion-8-fl-oz</v>
      </c>
      <c r="B4137" s="3" t="str">
        <f>HYPERLINK("https://shop.sonapharmacy.com/products/cetaphil-moisturizing-lotion-8-fl-oz", "https://shop.sonapharmacy.com/products/cetaphil-moisturizing-lotion-8-fl-oz")</f>
        <v>https://shop.sonapharmacy.com/products/cetaphil-moisturizing-lotion-8-fl-oz</v>
      </c>
      <c r="C4137" t="s">
        <v>10808</v>
      </c>
      <c r="D4137" t="s">
        <v>11646</v>
      </c>
      <c r="E4137" s="3" t="str">
        <f>HYPERLINK("https://www.amazon.com/Moisturizing-Hydrating-Moisturizer-Hydration-Non-Greasy/dp/B001ET734C/ref=sr_1_1?keywords=Cetaphil+Moisturizing+Lotion+8+fl+oz&amp;qid=1695260122&amp;sr=8-1", "https://www.amazon.com/Moisturizing-Hydrating-Moisturizer-Hydration-Non-Greasy/dp/B001ET734C/ref=sr_1_1?keywords=Cetaphil+Moisturizing+Lotion+8+fl+oz&amp;qid=1695260122&amp;sr=8-1")</f>
        <v>https://www.amazon.com/Moisturizing-Hydrating-Moisturizer-Hydration-Non-Greasy/dp/B001ET734C/ref=sr_1_1?keywords=Cetaphil+Moisturizing+Lotion+8+fl+oz&amp;qid=1695260122&amp;sr=8-1</v>
      </c>
      <c r="F4137" t="s">
        <v>11647</v>
      </c>
      <c r="G4137" t="e">
        <f ca="1">IMAGE("https://shop.sonapharmacy.com/cdn/shop/files/Sona-Shop-banner2_0c7162f3-c367-451d-8193-c2967a0e8d8e.jpg?v=1614290083")</f>
        <v>#NAME?</v>
      </c>
      <c r="H4137" t="e">
        <f ca="1">IMAGE("https://m.media-amazon.com/images/I/51REFFjS-qL._AC_UL320_.jpg")</f>
        <v>#NAME?</v>
      </c>
      <c r="I4137" t="s">
        <v>10322</v>
      </c>
      <c r="J4137">
        <v>21.99</v>
      </c>
      <c r="K4137" s="2" t="s">
        <v>11648</v>
      </c>
      <c r="L4137">
        <v>4.7</v>
      </c>
      <c r="M4137">
        <v>2996</v>
      </c>
      <c r="O4137" t="s">
        <v>26</v>
      </c>
      <c r="P4137" t="s">
        <v>39</v>
      </c>
      <c r="Q4137" t="s">
        <v>10812</v>
      </c>
    </row>
    <row r="4138" spans="1:17" ht="15.75" x14ac:dyDescent="0.25">
      <c r="A4138" s="3" t="str">
        <f>HYPERLINK("https://shop.sonapharmacy.com/products/dramamine%C2%AE-all-day-less-drowsy-motion-sickness-relief-tablets-8ct", "https://shop.sonapharmacy.com/products/dramamine%C2%AE-all-day-less-drowsy-motion-sickness-relief-tablets-8ct")</f>
        <v>https://shop.sonapharmacy.com/products/dramamine%C2%AE-all-day-less-drowsy-motion-sickness-relief-tablets-8ct</v>
      </c>
      <c r="B4138" s="3" t="str">
        <f>HYPERLINK("https://shop.sonapharmacy.com/products/dramamine%c2%ae-all-day-less-drowsy-motion-sickness-relief-tablets-8ct", "https://shop.sonapharmacy.com/products/dramamine%c2%ae-all-day-less-drowsy-motion-sickness-relief-tablets-8ct")</f>
        <v>https://shop.sonapharmacy.com/products/dramamine%c2%ae-all-day-less-drowsy-motion-sickness-relief-tablets-8ct</v>
      </c>
      <c r="C4138" t="s">
        <v>8671</v>
      </c>
      <c r="D4138" t="s">
        <v>11649</v>
      </c>
      <c r="E4138" s="3" t="str">
        <f>HYPERLINK("https://www.amazon.com/Dramamine-Drowsy-Motion-Sickness-Tablets/dp/B085GY29H2/ref=sr_1_1?keywords=Dramamine%C2%AE+All+Day+Less+Drowsy+Motion+Sickness+Relief+Tablets+8ct.&amp;qid=1695260195&amp;rdc=1&amp;sr=8-1", "https://www.amazon.com/Dramamine-Drowsy-Motion-Sickness-Tablets/dp/B085GY29H2/ref=sr_1_1?keywords=Dramamine%C2%AE+All+Day+Less+Drowsy+Motion+Sickness+Relief+Tablets+8ct.&amp;qid=1695260195&amp;rdc=1&amp;sr=8-1")</f>
        <v>https://www.amazon.com/Dramamine-Drowsy-Motion-Sickness-Tablets/dp/B085GY29H2/ref=sr_1_1?keywords=Dramamine%C2%AE+All+Day+Less+Drowsy+Motion+Sickness+Relief+Tablets+8ct.&amp;qid=1695260195&amp;rdc=1&amp;sr=8-1</v>
      </c>
      <c r="F4138" t="s">
        <v>11650</v>
      </c>
      <c r="G4138" t="e">
        <f ca="1">IMAGE("https://shop.sonapharmacy.com/cdn/shop/products/7101eILcpJL._AC_SL1500.jpg?v=1610849450")</f>
        <v>#NAME?</v>
      </c>
      <c r="H4138" t="e">
        <f ca="1">IMAGE("https://m.media-amazon.com/images/I/716qT5uetKL._AC_UL320_.jpg")</f>
        <v>#NAME?</v>
      </c>
      <c r="I4138" t="s">
        <v>8674</v>
      </c>
      <c r="J4138">
        <v>11.91</v>
      </c>
      <c r="K4138" s="2" t="s">
        <v>11651</v>
      </c>
      <c r="L4138">
        <v>4.8</v>
      </c>
      <c r="M4138">
        <v>2006</v>
      </c>
      <c r="O4138" t="s">
        <v>26</v>
      </c>
      <c r="P4138" t="s">
        <v>39</v>
      </c>
      <c r="Q4138" t="s">
        <v>8676</v>
      </c>
    </row>
    <row r="4139" spans="1:17" ht="15.75" x14ac:dyDescent="0.25">
      <c r="A4139" s="3" t="str">
        <f>HYPERLINK("https://shop.sonapharmacy.com/products/goodsense%C2%AE-comfort-grip-toenail-clipper", "https://shop.sonapharmacy.com/products/goodsense%C2%AE-comfort-grip-toenail-clipper")</f>
        <v>https://shop.sonapharmacy.com/products/goodsense%C2%AE-comfort-grip-toenail-clipper</v>
      </c>
      <c r="B4139" s="3" t="str">
        <f>HYPERLINK("https://shop.sonapharmacy.com/products/goodsense%c2%ae-comfort-grip-toenail-clipper", "https://shop.sonapharmacy.com/products/goodsense%c2%ae-comfort-grip-toenail-clipper")</f>
        <v>https://shop.sonapharmacy.com/products/goodsense%c2%ae-comfort-grip-toenail-clipper</v>
      </c>
      <c r="C4139" t="s">
        <v>11652</v>
      </c>
      <c r="D4139" t="s">
        <v>10617</v>
      </c>
      <c r="E4139" s="3" t="str">
        <f>HYPERLINK("https://www.amazon.com/Grip-Nail-Clipper-Comfort-Stainless/dp/B077JCWBL9/ref=sr_1_8?keywords=GoodSense%C2%AE+Comfort+Grip+Toenail+Clipper&amp;qid=1695260356&amp;sr=8-8", "https://www.amazon.com/Grip-Nail-Clipper-Comfort-Stainless/dp/B077JCWBL9/ref=sr_1_8?keywords=GoodSense%C2%AE+Comfort+Grip+Toenail+Clipper&amp;qid=1695260356&amp;sr=8-8")</f>
        <v>https://www.amazon.com/Grip-Nail-Clipper-Comfort-Stainless/dp/B077JCWBL9/ref=sr_1_8?keywords=GoodSense%C2%AE+Comfort+Grip+Toenail+Clipper&amp;qid=1695260356&amp;sr=8-8</v>
      </c>
      <c r="F4139" t="s">
        <v>10618</v>
      </c>
      <c r="G4139" t="e">
        <f ca="1">IMAGE("https://shop.sonapharmacy.com/cdn/shop/products/5713937-1.jpg?v=1610910480")</f>
        <v>#NAME?</v>
      </c>
      <c r="H4139" t="e">
        <f ca="1">IMAGE("https://m.media-amazon.com/images/I/312M-dw91+L._AC_UL320_.jpg")</f>
        <v>#NAME?</v>
      </c>
      <c r="I4139" t="s">
        <v>8927</v>
      </c>
      <c r="J4139">
        <v>6.95</v>
      </c>
      <c r="K4139" s="2" t="s">
        <v>11653</v>
      </c>
      <c r="L4139">
        <v>4.4000000000000004</v>
      </c>
      <c r="M4139">
        <v>282</v>
      </c>
      <c r="O4139" t="s">
        <v>136</v>
      </c>
      <c r="P4139" t="s">
        <v>39</v>
      </c>
      <c r="Q4139" t="s">
        <v>11654</v>
      </c>
    </row>
    <row r="4140" spans="1:17" ht="15.75" x14ac:dyDescent="0.25">
      <c r="A4140" s="3" t="str">
        <f>HYPERLINK("https://shop.sonapharmacy.com/products/a-d%C2%AE-original-diaper-rash-ointment", "https://shop.sonapharmacy.com/products/a-d%C2%AE-original-diaper-rash-ointment")</f>
        <v>https://shop.sonapharmacy.com/products/a-d%C2%AE-original-diaper-rash-ointment</v>
      </c>
      <c r="B4140" s="3" t="str">
        <f>HYPERLINK("https://shop.sonapharmacy.com/products/a-d%c2%ae-original-diaper-rash-ointment", "https://shop.sonapharmacy.com/products/a-d%c2%ae-original-diaper-rash-ointment")</f>
        <v>https://shop.sonapharmacy.com/products/a-d%c2%ae-original-diaper-rash-ointment</v>
      </c>
      <c r="C4140" t="s">
        <v>8297</v>
      </c>
      <c r="D4140" t="s">
        <v>11655</v>
      </c>
      <c r="E4140" s="3" t="str">
        <f>HYPERLINK("https://www.amazon.com/Original-Ointment-Protectant-Lanolin-Petrolatum/dp/B016I2JUWM/ref=sr_1_1?keywords=A%2BD+Original+Diaper+Rash+Ointment&amp;qid=1695260012&amp;sr=8-1", "https://www.amazon.com/Original-Ointment-Protectant-Lanolin-Petrolatum/dp/B016I2JUWM/ref=sr_1_1?keywords=A%2BD+Original+Diaper+Rash+Ointment&amp;qid=1695260012&amp;sr=8-1")</f>
        <v>https://www.amazon.com/Original-Ointment-Protectant-Lanolin-Petrolatum/dp/B016I2JUWM/ref=sr_1_1?keywords=A%2BD+Original+Diaper+Rash+Ointment&amp;qid=1695260012&amp;sr=8-1</v>
      </c>
      <c r="F4140" t="s">
        <v>11656</v>
      </c>
      <c r="G4140" t="e">
        <f ca="1">IMAGE("https://shop.sonapharmacy.com/cdn/shop/products/1.5oz..jpg?v=1609270387")</f>
        <v>#NAME?</v>
      </c>
      <c r="H4140" t="e">
        <f ca="1">IMAGE("https://m.media-amazon.com/images/I/71f2na7S9CL._AC_UL320_.jpg")</f>
        <v>#NAME?</v>
      </c>
      <c r="I4140" t="s">
        <v>8300</v>
      </c>
      <c r="J4140">
        <v>10.97</v>
      </c>
      <c r="K4140" s="2" t="s">
        <v>11657</v>
      </c>
      <c r="L4140">
        <v>4.8</v>
      </c>
      <c r="M4140">
        <v>21628</v>
      </c>
      <c r="O4140" t="s">
        <v>26</v>
      </c>
      <c r="P4140" t="s">
        <v>39</v>
      </c>
      <c r="Q4140" t="s">
        <v>8302</v>
      </c>
    </row>
    <row r="4141" spans="1:17" ht="15.75" x14ac:dyDescent="0.25">
      <c r="A4141" s="3" t="str">
        <f>HYPERLINK("https://shop.sonapharmacy.com/products/nature-made-super-b-complex-tablets", "https://shop.sonapharmacy.com/products/nature-made-super-b-complex-tablets")</f>
        <v>https://shop.sonapharmacy.com/products/nature-made-super-b-complex-tablets</v>
      </c>
      <c r="B4141" s="3" t="str">
        <f>HYPERLINK("https://shop.sonapharmacy.com/products/nature-made-super-b-complex-tablets", "https://shop.sonapharmacy.com/products/nature-made-super-b-complex-tablets")</f>
        <v>https://shop.sonapharmacy.com/products/nature-made-super-b-complex-tablets</v>
      </c>
      <c r="C4141" t="s">
        <v>11658</v>
      </c>
      <c r="D4141" t="s">
        <v>11659</v>
      </c>
      <c r="E4141" s="3" t="str">
        <f>HYPERLINK("https://www.amazon.com/Nature-Made-Super-Complex-Tablets/dp/B00E4MP9WO/ref=sr_1_1?keywords=Nature+Made%C2%AE+Super+B-Complex+Tablets+140ct.&amp;qid=1695260548&amp;sr=8-1", "https://www.amazon.com/Nature-Made-Super-Complex-Tablets/dp/B00E4MP9WO/ref=sr_1_1?keywords=Nature+Made%C2%AE+Super+B-Complex+Tablets+140ct.&amp;qid=1695260548&amp;sr=8-1")</f>
        <v>https://www.amazon.com/Nature-Made-Super-Complex-Tablets/dp/B00E4MP9WO/ref=sr_1_1?keywords=Nature+Made%C2%AE+Super+B-Complex+Tablets+140ct.&amp;qid=1695260548&amp;sr=8-1</v>
      </c>
      <c r="F4141" t="s">
        <v>11660</v>
      </c>
      <c r="G4141" t="e">
        <f ca="1">IMAGE("https://shop.sonapharmacy.com/cdn/shop/products/71Gh5irEA8L._AC_SL1500.jpg?v=1610046177")</f>
        <v>#NAME?</v>
      </c>
      <c r="H4141" t="e">
        <f ca="1">IMAGE("https://m.media-amazon.com/images/I/61EMnf9-YgL._AC_UL320_.jpg")</f>
        <v>#NAME?</v>
      </c>
      <c r="I4141" t="s">
        <v>11661</v>
      </c>
      <c r="J4141">
        <v>26.47</v>
      </c>
      <c r="K4141" s="2" t="s">
        <v>11662</v>
      </c>
      <c r="L4141">
        <v>4.8</v>
      </c>
      <c r="M4141">
        <v>6375</v>
      </c>
      <c r="O4141" t="s">
        <v>26</v>
      </c>
      <c r="P4141" t="s">
        <v>39</v>
      </c>
      <c r="Q4141" t="s">
        <v>11663</v>
      </c>
    </row>
    <row r="4142" spans="1:17" ht="15.75" x14ac:dyDescent="0.25">
      <c r="A4142" s="3" t="str">
        <f>HYPERLINK("https://shop.sonapharmacy.com/products/duracell%C2%AE-301-386-silver-oxide-button-battery", "https://shop.sonapharmacy.com/products/duracell%C2%AE-301-386-silver-oxide-button-battery")</f>
        <v>https://shop.sonapharmacy.com/products/duracell%C2%AE-301-386-silver-oxide-button-battery</v>
      </c>
      <c r="B4142" s="3" t="str">
        <f>HYPERLINK("https://shop.sonapharmacy.com/products/duracell%c2%ae-301-386-silver-oxide-button-battery", "https://shop.sonapharmacy.com/products/duracell%c2%ae-301-386-silver-oxide-button-battery")</f>
        <v>https://shop.sonapharmacy.com/products/duracell%c2%ae-301-386-silver-oxide-button-battery</v>
      </c>
      <c r="C4142" t="s">
        <v>9877</v>
      </c>
      <c r="D4142" t="s">
        <v>11664</v>
      </c>
      <c r="E4142" s="3" t="str">
        <f>HYPERLINK("https://www.amazon.com/Duracell-Volt-Silver-Oxide-Battery/dp/B0017UEK4E/ref=sr_1_3?keywords=Duracell%C2%AE+301%2F386+Silver+Oxide+Button+Battery&amp;qid=1695260213&amp;sr=8-3", "https://www.amazon.com/Duracell-Volt-Silver-Oxide-Battery/dp/B0017UEK4E/ref=sr_1_3?keywords=Duracell%C2%AE+301%2F386+Silver+Oxide+Button+Battery&amp;qid=1695260213&amp;sr=8-3")</f>
        <v>https://www.amazon.com/Duracell-Volt-Silver-Oxide-Battery/dp/B0017UEK4E/ref=sr_1_3?keywords=Duracell%C2%AE+301%2F386+Silver+Oxide+Button+Battery&amp;qid=1695260213&amp;sr=8-3</v>
      </c>
      <c r="F4142" t="s">
        <v>11665</v>
      </c>
      <c r="G4142" t="e">
        <f ca="1">IMAGE("https://shop.sonapharmacy.com/cdn/shop/products/61graATYFOL._AC_SL1401.jpg?v=1610332821")</f>
        <v>#NAME?</v>
      </c>
      <c r="H4142" t="e">
        <f ca="1">IMAGE("https://m.media-amazon.com/images/I/61KE8BW1nyL._AC_UL320_.jpg")</f>
        <v>#NAME?</v>
      </c>
      <c r="I4142" t="s">
        <v>8206</v>
      </c>
      <c r="J4142">
        <v>9.99</v>
      </c>
      <c r="K4142" s="2" t="s">
        <v>11666</v>
      </c>
      <c r="L4142">
        <v>4.5</v>
      </c>
      <c r="M4142">
        <v>112</v>
      </c>
      <c r="O4142" t="s">
        <v>26</v>
      </c>
      <c r="P4142" t="s">
        <v>39</v>
      </c>
      <c r="Q4142" t="s">
        <v>9881</v>
      </c>
    </row>
    <row r="4143" spans="1:17" ht="15.75" x14ac:dyDescent="0.25">
      <c r="A4143" s="3" t="str">
        <f>HYPERLINK("https://shop.sonapharmacy.com/products/gelusil%C2%AE-antacid-anti-gas-cool-mint-chewable-tablets-100ct", "https://shop.sonapharmacy.com/products/gelusil%C2%AE-antacid-anti-gas-cool-mint-chewable-tablets-100ct")</f>
        <v>https://shop.sonapharmacy.com/products/gelusil%C2%AE-antacid-anti-gas-cool-mint-chewable-tablets-100ct</v>
      </c>
      <c r="B4143" s="3" t="str">
        <f>HYPERLINK("https://shop.sonapharmacy.com/products/gelusil%c2%ae-antacid-anti-gas-cool-mint-chewable-tablets-100ct", "https://shop.sonapharmacy.com/products/gelusil%c2%ae-antacid-anti-gas-cool-mint-chewable-tablets-100ct")</f>
        <v>https://shop.sonapharmacy.com/products/gelusil%c2%ae-antacid-anti-gas-cool-mint-chewable-tablets-100ct</v>
      </c>
      <c r="C4143" t="s">
        <v>11667</v>
      </c>
      <c r="D4143" t="s">
        <v>11668</v>
      </c>
      <c r="E4143" s="3" t="str">
        <f>HYPERLINK("https://www.amazon.com/Gelusil-Anti-Acid-Heartburn-Multi-Symptom-Acid-Indigestion/dp/B079WB9YQ5/ref=sr_1_1?keywords=Gelusil%C2%AE+Antacid+%26+Anti-Gas+Cool+Mint+Chewable+Tablets+100ct.&amp;qid=1695260295&amp;sr=8-1", "https://www.amazon.com/Gelusil-Anti-Acid-Heartburn-Multi-Symptom-Acid-Indigestion/dp/B079WB9YQ5/ref=sr_1_1?keywords=Gelusil%C2%AE+Antacid+%26+Anti-Gas+Cool+Mint+Chewable+Tablets+100ct.&amp;qid=1695260295&amp;sr=8-1")</f>
        <v>https://www.amazon.com/Gelusil-Anti-Acid-Heartburn-Multi-Symptom-Acid-Indigestion/dp/B079WB9YQ5/ref=sr_1_1?keywords=Gelusil%C2%AE+Antacid+%26+Anti-Gas+Cool+Mint+Chewable+Tablets+100ct.&amp;qid=1695260295&amp;sr=8-1</v>
      </c>
      <c r="F4143" t="s">
        <v>11669</v>
      </c>
      <c r="G4143" t="e">
        <f ca="1">IMAGE("https://shop.sonapharmacy.com/cdn/shop/products/51_tdpqBLL._AC.jpg?v=1610987695")</f>
        <v>#NAME?</v>
      </c>
      <c r="H4143" t="e">
        <f ca="1">IMAGE("https://m.media-amazon.com/images/I/810OVfXsK+L._AC_UL320_.jpg")</f>
        <v>#NAME?</v>
      </c>
      <c r="I4143" t="s">
        <v>11610</v>
      </c>
      <c r="J4143">
        <v>20.18</v>
      </c>
      <c r="K4143" s="2" t="s">
        <v>11670</v>
      </c>
      <c r="L4143">
        <v>4.8</v>
      </c>
      <c r="M4143">
        <v>912</v>
      </c>
      <c r="O4143" t="s">
        <v>26</v>
      </c>
      <c r="P4143" t="s">
        <v>39</v>
      </c>
      <c r="Q4143" t="s">
        <v>11671</v>
      </c>
    </row>
    <row r="4144" spans="1:17" ht="15.75" x14ac:dyDescent="0.25">
      <c r="A4144"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B4144"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C4144" t="s">
        <v>9351</v>
      </c>
      <c r="D4144" t="s">
        <v>11672</v>
      </c>
      <c r="E4144" s="3" t="str">
        <f>HYPERLINK("https://www.amazon.com/Always-Discreet-Incontinence-Postpartum-Absorbency/dp/B08BVKTLZM/ref=sr_1_6?keywords=Always+Discreet+Maximum+Absorbency+XL+Underwear+for+Women+15ct.&amp;qid=1695260003&amp;sr=8-6", "https://www.amazon.com/Always-Discreet-Incontinence-Postpartum-Absorbency/dp/B08BVKTLZM/ref=sr_1_6?keywords=Always+Discreet+Maximum+Absorbency+XL+Underwear+for+Women+15ct.&amp;qid=1695260003&amp;sr=8-6")</f>
        <v>https://www.amazon.com/Always-Discreet-Incontinence-Postpartum-Absorbency/dp/B08BVKTLZM/ref=sr_1_6?keywords=Always+Discreet+Maximum+Absorbency+XL+Underwear+for+Women+15ct.&amp;qid=1695260003&amp;sr=8-6</v>
      </c>
      <c r="F4144" t="s">
        <v>11673</v>
      </c>
      <c r="G4144" t="e">
        <f ca="1">IMAGE("https://shop.sonapharmacy.com/cdn/shop/products/338639f2-0083-468e-b2eb-218450a0aa4f_1.a078bb5a3baa7563816301e343b7d24b.jpg?v=1611074803")</f>
        <v>#NAME?</v>
      </c>
      <c r="H4144" t="e">
        <f ca="1">IMAGE("https://m.media-amazon.com/images/I/81Yk9v0tBgL._AC_UL320_.jpg")</f>
        <v>#NAME?</v>
      </c>
      <c r="I4144" t="s">
        <v>3419</v>
      </c>
      <c r="J4144">
        <v>27.76</v>
      </c>
      <c r="K4144" s="2" t="s">
        <v>11674</v>
      </c>
      <c r="L4144">
        <v>4.5999999999999996</v>
      </c>
      <c r="M4144">
        <v>16711</v>
      </c>
      <c r="O4144" t="s">
        <v>26</v>
      </c>
      <c r="P4144" t="s">
        <v>39</v>
      </c>
      <c r="Q4144" t="s">
        <v>9355</v>
      </c>
    </row>
    <row r="4145" spans="1:17" ht="15.75" x14ac:dyDescent="0.25">
      <c r="A4145" s="3" t="str">
        <f>HYPERLINK("https://shop.sonapharmacy.com/products/sunbum%C2%AE-original-spf-50-sunscreen-lotion-3oz", "https://shop.sonapharmacy.com/products/sunbum%C2%AE-original-spf-50-sunscreen-lotion-3oz")</f>
        <v>https://shop.sonapharmacy.com/products/sunbum%C2%AE-original-spf-50-sunscreen-lotion-3oz</v>
      </c>
      <c r="B4145" s="3" t="str">
        <f>HYPERLINK("https://shop.sonapharmacy.com/products/sunbum%c2%ae-original-spf-50-sunscreen-lotion-3oz", "https://shop.sonapharmacy.com/products/sunbum%c2%ae-original-spf-50-sunscreen-lotion-3oz")</f>
        <v>https://shop.sonapharmacy.com/products/sunbum%c2%ae-original-spf-50-sunscreen-lotion-3oz</v>
      </c>
      <c r="C4145" t="s">
        <v>9924</v>
      </c>
      <c r="D4145" t="s">
        <v>11675</v>
      </c>
      <c r="E4145" s="3" t="str">
        <f>HYPERLINK("https://www.amazon.com/Sun-Bum-Moisturizing-SPF-Hypoallergenic/dp/B004XGPM32/ref=sr_1_1?keywords=Sun+Bum%C2%AE+Original+SPF+50+Sunscreen+Lotion&amp;qid=1695260742&amp;rdc=1&amp;sr=8-1", "https://www.amazon.com/Sun-Bum-Moisturizing-SPF-Hypoallergenic/dp/B004XGPM32/ref=sr_1_1?keywords=Sun+Bum%C2%AE+Original+SPF+50+Sunscreen+Lotion&amp;qid=1695260742&amp;rdc=1&amp;sr=8-1")</f>
        <v>https://www.amazon.com/Sun-Bum-Moisturizing-SPF-Hypoallergenic/dp/B004XGPM32/ref=sr_1_1?keywords=Sun+Bum%C2%AE+Original+SPF+50+Sunscreen+Lotion&amp;qid=1695260742&amp;rdc=1&amp;sr=8-1</v>
      </c>
      <c r="F4145" t="s">
        <v>11676</v>
      </c>
      <c r="G4145" t="e">
        <f ca="1">IMAGE("https://shop.sonapharmacy.com/cdn/shop/products/71liju0WraL._SL1500.jpg?v=1611868598")</f>
        <v>#NAME?</v>
      </c>
      <c r="H4145" t="e">
        <f ca="1">IMAGE("https://m.media-amazon.com/images/I/71RoOxdOQDL._AC_UL320_.jpg")</f>
        <v>#NAME?</v>
      </c>
      <c r="I4145" t="s">
        <v>4873</v>
      </c>
      <c r="J4145">
        <v>18.489999999999998</v>
      </c>
      <c r="K4145" s="2" t="s">
        <v>11677</v>
      </c>
      <c r="L4145">
        <v>4.8</v>
      </c>
      <c r="M4145">
        <v>19197</v>
      </c>
      <c r="O4145" t="s">
        <v>26</v>
      </c>
      <c r="P4145" t="s">
        <v>39</v>
      </c>
      <c r="Q4145" t="s">
        <v>9928</v>
      </c>
    </row>
    <row r="4146" spans="1:17" ht="15.75" x14ac:dyDescent="0.25">
      <c r="A4146" s="3" t="str">
        <f>HYPERLINK("https://shop.sonapharmacy.com/products/nexcare-opticlude", "https://shop.sonapharmacy.com/products/nexcare-opticlude")</f>
        <v>https://shop.sonapharmacy.com/products/nexcare-opticlude</v>
      </c>
      <c r="B4146" s="3" t="str">
        <f>HYPERLINK("https://shop.sonapharmacy.com/products/nexcare-opticlude", "https://shop.sonapharmacy.com/products/nexcare-opticlude")</f>
        <v>https://shop.sonapharmacy.com/products/nexcare-opticlude</v>
      </c>
      <c r="C4146" t="s">
        <v>8566</v>
      </c>
      <c r="D4146" t="s">
        <v>11678</v>
      </c>
      <c r="E4146" s="3" t="str">
        <f>HYPERLINK("https://www.amazon.com/Nexcare-Opticlude-Orthoptic-Patches-Junior/dp/B01IAI9N3I/ref=sr_1_3?keywords=Nexcare+Opticlude+Eye+Patch&amp;qid=1695260565&amp;sr=8-3", "https://www.amazon.com/Nexcare-Opticlude-Orthoptic-Patches-Junior/dp/B01IAI9N3I/ref=sr_1_3?keywords=Nexcare+Opticlude+Eye+Patch&amp;qid=1695260565&amp;sr=8-3")</f>
        <v>https://www.amazon.com/Nexcare-Opticlude-Orthoptic-Patches-Junior/dp/B01IAI9N3I/ref=sr_1_3?keywords=Nexcare+Opticlude+Eye+Patch&amp;qid=1695260565&amp;sr=8-3</v>
      </c>
      <c r="F4146" t="s">
        <v>11679</v>
      </c>
      <c r="G4146" t="e">
        <f ca="1">IMAGE("https://shop.sonapharmacy.com/cdn/shop/products/us-1539-opticlude-eyepatch.jpg?v=1607704873")</f>
        <v>#NAME?</v>
      </c>
      <c r="H4146" t="e">
        <f ca="1">IMAGE("https://m.media-amazon.com/images/I/71EkofQ4EEL._AC_UL320_.jpg")</f>
        <v>#NAME?</v>
      </c>
      <c r="I4146" t="s">
        <v>4296</v>
      </c>
      <c r="J4146">
        <v>19.95</v>
      </c>
      <c r="K4146" s="2" t="s">
        <v>11680</v>
      </c>
      <c r="L4146">
        <v>4.5999999999999996</v>
      </c>
      <c r="M4146">
        <v>52</v>
      </c>
      <c r="O4146" t="s">
        <v>26</v>
      </c>
      <c r="P4146" t="s">
        <v>39</v>
      </c>
      <c r="Q4146" t="s">
        <v>8570</v>
      </c>
    </row>
    <row r="4147" spans="1:17" ht="15.75" x14ac:dyDescent="0.25">
      <c r="A4147" s="3" t="str">
        <f>HYPERLINK("https://shop.sonapharmacy.com/products/salonpas%C2%AE-pain-relieving-jet-spray-with-maximum-strength-lidocaine", "https://shop.sonapharmacy.com/products/salonpas%C2%AE-pain-relieving-jet-spray-with-maximum-strength-lidocaine")</f>
        <v>https://shop.sonapharmacy.com/products/salonpas%C2%AE-pain-relieving-jet-spray-with-maximum-strength-lidocaine</v>
      </c>
      <c r="B4147" s="3" t="str">
        <f>HYPERLINK("https://shop.sonapharmacy.com/products/salonpas%c2%ae-pain-relieving-jet-spray-with-maximum-strength-lidocaine", "https://shop.sonapharmacy.com/products/salonpas%c2%ae-pain-relieving-jet-spray-with-maximum-strength-lidocaine")</f>
        <v>https://shop.sonapharmacy.com/products/salonpas%c2%ae-pain-relieving-jet-spray-with-maximum-strength-lidocaine</v>
      </c>
      <c r="C4147" t="s">
        <v>10319</v>
      </c>
      <c r="D4147" t="s">
        <v>11681</v>
      </c>
      <c r="E4147" s="3" t="str">
        <f>HYPERLINK("https://www.amazon.com/Salonpas-pain-relieving-jet-spray/dp/B008OM312U/ref=sr_1_2?keywords=Salonpas%C2%AE+Pain+Relieving+Jet+Spray&amp;qid=1695260696&amp;sr=8-2", "https://www.amazon.com/Salonpas-pain-relieving-jet-spray/dp/B008OM312U/ref=sr_1_2?keywords=Salonpas%C2%AE+Pain+Relieving+Jet+Spray&amp;qid=1695260696&amp;sr=8-2")</f>
        <v>https://www.amazon.com/Salonpas-pain-relieving-jet-spray/dp/B008OM312U/ref=sr_1_2?keywords=Salonpas%C2%AE+Pain+Relieving+Jet+Spray&amp;qid=1695260696&amp;sr=8-2</v>
      </c>
      <c r="F4147" t="s">
        <v>11682</v>
      </c>
      <c r="G4147" t="e">
        <f ca="1">IMAGE("https://shop.sonapharmacy.com/cdn/shop/products/7948a0dd-7927-4fc3-917e-0fdd93255875.6ac17ff675d7094789a7341c4fdfc58f.jpg?v=1613749979")</f>
        <v>#NAME?</v>
      </c>
      <c r="H4147" t="e">
        <f ca="1">IMAGE("https://m.media-amazon.com/images/I/7187iYAJL6L._AC_UL320_.jpg")</f>
        <v>#NAME?</v>
      </c>
      <c r="I4147" t="s">
        <v>10322</v>
      </c>
      <c r="J4147">
        <v>21.79</v>
      </c>
      <c r="K4147" s="2" t="s">
        <v>11683</v>
      </c>
      <c r="L4147">
        <v>4.7</v>
      </c>
      <c r="M4147">
        <v>344</v>
      </c>
      <c r="O4147" t="s">
        <v>26</v>
      </c>
      <c r="P4147" t="s">
        <v>39</v>
      </c>
      <c r="Q4147" t="s">
        <v>10324</v>
      </c>
    </row>
    <row r="4148" spans="1:17" ht="15.75" x14ac:dyDescent="0.25">
      <c r="A4148" s="3" t="str">
        <f>HYPERLINK("https://shop.sonapharmacy.com/products/omega-3-pet", "https://shop.sonapharmacy.com/products/omega-3-pet")</f>
        <v>https://shop.sonapharmacy.com/products/omega-3-pet</v>
      </c>
      <c r="B4148" s="3" t="str">
        <f>HYPERLINK("https://shop.sonapharmacy.com/products/omega-3-pet", "https://shop.sonapharmacy.com/products/omega-3-pet")</f>
        <v>https://shop.sonapharmacy.com/products/omega-3-pet</v>
      </c>
      <c r="C4148" t="s">
        <v>9140</v>
      </c>
      <c r="D4148" t="s">
        <v>11684</v>
      </c>
      <c r="E4148" s="3" t="str">
        <f>HYPERLINK("https://www.amazon.com/Nordic-Naturals-Supplement-Promotes-Multi-Dog/dp/B00CBY93XS/ref=sr_1_2?keywords=Nordic+Naturals+Omega-3+Pet+Softgels&amp;qid=1695260579&amp;sr=8-2", "https://www.amazon.com/Nordic-Naturals-Supplement-Promotes-Multi-Dog/dp/B00CBY93XS/ref=sr_1_2?keywords=Nordic+Naturals+Omega-3+Pet+Softgels&amp;qid=1695260579&amp;sr=8-2")</f>
        <v>https://www.amazon.com/Nordic-Naturals-Supplement-Promotes-Multi-Dog/dp/B00CBY93XS/ref=sr_1_2?keywords=Nordic+Naturals+Omega-3+Pet+Softgels&amp;qid=1695260579&amp;sr=8-2</v>
      </c>
      <c r="F4148" t="s">
        <v>11685</v>
      </c>
      <c r="G4148" t="e">
        <f ca="1">IMAGE("https://shop.sonapharmacy.com/cdn/shop/products/90.jpg?v=1610050123")</f>
        <v>#NAME?</v>
      </c>
      <c r="H4148" t="e">
        <f ca="1">IMAGE("https://m.media-amazon.com/images/I/61npiSHGO4L._AC_UL320_.jpg")</f>
        <v>#NAME?</v>
      </c>
      <c r="I4148" t="s">
        <v>9143</v>
      </c>
      <c r="J4148">
        <v>36.51</v>
      </c>
      <c r="K4148" s="2" t="s">
        <v>11686</v>
      </c>
      <c r="L4148">
        <v>4.5999999999999996</v>
      </c>
      <c r="M4148">
        <v>10021</v>
      </c>
      <c r="O4148" t="s">
        <v>39</v>
      </c>
      <c r="P4148" t="s">
        <v>39</v>
      </c>
      <c r="Q4148" t="s">
        <v>9145</v>
      </c>
    </row>
    <row r="4149" spans="1:17" ht="15.75" x14ac:dyDescent="0.25">
      <c r="A4149" s="3" t="str">
        <f>HYPERLINK("https://shop.sonapharmacy.com/products/bayer-chewable-81-mg-low-dose-aspirin", "https://shop.sonapharmacy.com/products/bayer-chewable-81-mg-low-dose-aspirin")</f>
        <v>https://shop.sonapharmacy.com/products/bayer-chewable-81-mg-low-dose-aspirin</v>
      </c>
      <c r="B4149" s="3" t="str">
        <f>HYPERLINK("https://shop.sonapharmacy.com/products/bayer-chewable-81-mg-low-dose-aspirin", "https://shop.sonapharmacy.com/products/bayer-chewable-81-mg-low-dose-aspirin")</f>
        <v>https://shop.sonapharmacy.com/products/bayer-chewable-81-mg-low-dose-aspirin</v>
      </c>
      <c r="C4149" t="s">
        <v>8629</v>
      </c>
      <c r="D4149" t="s">
        <v>11687</v>
      </c>
      <c r="E4149" s="3" t="str">
        <f>HYPERLINK("https://www.amazon.com/Rite-Aid-Pharmacy-Aspirin-Chewable/dp/B0091MEIKG/ref=sr_1_9?keywords=Bayer%C2%AE+Chewable+81+mg+Low+Dose+Aspirin&amp;qid=1695260078&amp;sr=8-9", "https://www.amazon.com/Rite-Aid-Pharmacy-Aspirin-Chewable/dp/B0091MEIKG/ref=sr_1_9?keywords=Bayer%C2%AE+Chewable+81+mg+Low+Dose+Aspirin&amp;qid=1695260078&amp;sr=8-9")</f>
        <v>https://www.amazon.com/Rite-Aid-Pharmacy-Aspirin-Chewable/dp/B0091MEIKG/ref=sr_1_9?keywords=Bayer%C2%AE+Chewable+81+mg+Low+Dose+Aspirin&amp;qid=1695260078&amp;sr=8-9</v>
      </c>
      <c r="F4149" t="s">
        <v>11688</v>
      </c>
      <c r="G4149" t="e">
        <f ca="1">IMAGE("https://shop.sonapharmacy.com/cdn/shop/products/Untitled-22.jpg?v=1592598310")</f>
        <v>#NAME?</v>
      </c>
      <c r="H4149" t="e">
        <f ca="1">IMAGE("https://m.media-amazon.com/images/I/61OKxvBmWVL._AC_UL320_.jpg")</f>
        <v>#NAME?</v>
      </c>
      <c r="I4149" t="s">
        <v>8632</v>
      </c>
      <c r="J4149">
        <v>6.99</v>
      </c>
      <c r="K4149" s="2" t="s">
        <v>11689</v>
      </c>
      <c r="L4149">
        <v>4.5999999999999996</v>
      </c>
      <c r="M4149">
        <v>6638</v>
      </c>
      <c r="O4149" t="s">
        <v>26</v>
      </c>
      <c r="P4149" t="s">
        <v>39</v>
      </c>
      <c r="Q4149" t="s">
        <v>8634</v>
      </c>
    </row>
    <row r="4150" spans="1:17" ht="15.75" x14ac:dyDescent="0.25">
      <c r="A4150" s="3" t="str">
        <f>HYPERLINK("https://shop.sonapharmacy.com/products/prevagen-extra-strength-chewables-20-mg", "https://shop.sonapharmacy.com/products/prevagen-extra-strength-chewables-20-mg")</f>
        <v>https://shop.sonapharmacy.com/products/prevagen-extra-strength-chewables-20-mg</v>
      </c>
      <c r="B4150" s="3" t="str">
        <f>HYPERLINK("https://shop.sonapharmacy.com/products/prevagen-extra-strength-chewables-20-mg", "https://shop.sonapharmacy.com/products/prevagen-extra-strength-chewables-20-mg")</f>
        <v>https://shop.sonapharmacy.com/products/prevagen-extra-strength-chewables-20-mg</v>
      </c>
      <c r="C4150" t="s">
        <v>10264</v>
      </c>
      <c r="D4150" t="s">
        <v>11690</v>
      </c>
      <c r="E4150" s="3" t="str">
        <f>HYPERLINK("https://www.amazon.com/Prevagen-Extra-Strength-20mg-capsules/dp/B00GBESZVA/ref=sr_1_8?keywords=Prevagen+Extra+Strength+Chewables+20+mg&amp;qid=1695260655&amp;sr=8-8", "https://www.amazon.com/Prevagen-Extra-Strength-20mg-capsules/dp/B00GBESZVA/ref=sr_1_8?keywords=Prevagen+Extra+Strength+Chewables+20+mg&amp;qid=1695260655&amp;sr=8-8")</f>
        <v>https://www.amazon.com/Prevagen-Extra-Strength-20mg-capsules/dp/B00GBESZVA/ref=sr_1_8?keywords=Prevagen+Extra+Strength+Chewables+20+mg&amp;qid=1695260655&amp;sr=8-8</v>
      </c>
      <c r="F4150" t="s">
        <v>11691</v>
      </c>
      <c r="G4150" t="e">
        <f ca="1">IMAGE("https://shop.sonapharmacy.com/cdn/shop/products/PrevagenExtraStrengthChewables20mg.jpg?v=1594303828")</f>
        <v>#NAME?</v>
      </c>
      <c r="H4150" t="e">
        <f ca="1">IMAGE("https://m.media-amazon.com/images/I/71Gm1MhlvCL._AC_UL320_.jpg")</f>
        <v>#NAME?</v>
      </c>
      <c r="I4150" t="s">
        <v>10267</v>
      </c>
      <c r="J4150">
        <v>94.43</v>
      </c>
      <c r="K4150" s="2" t="s">
        <v>11692</v>
      </c>
      <c r="L4150">
        <v>4.3</v>
      </c>
      <c r="M4150">
        <v>7238</v>
      </c>
      <c r="O4150" t="s">
        <v>39</v>
      </c>
      <c r="P4150" t="s">
        <v>39</v>
      </c>
      <c r="Q4150" t="s">
        <v>10269</v>
      </c>
    </row>
    <row r="4151" spans="1:17" ht="15.75" x14ac:dyDescent="0.25">
      <c r="A4151" s="3" t="str">
        <f>HYPERLINK("https://shop.sonapharmacy.com/products/prevagen-extra-strength-chewables-20-mg", "https://shop.sonapharmacy.com/products/prevagen-extra-strength-chewables-20-mg")</f>
        <v>https://shop.sonapharmacy.com/products/prevagen-extra-strength-chewables-20-mg</v>
      </c>
      <c r="B4151" s="3" t="str">
        <f>HYPERLINK("https://shop.sonapharmacy.com/products/prevagen-extra-strength-chewables-20-mg", "https://shop.sonapharmacy.com/products/prevagen-extra-strength-chewables-20-mg")</f>
        <v>https://shop.sonapharmacy.com/products/prevagen-extra-strength-chewables-20-mg</v>
      </c>
      <c r="C4151" t="s">
        <v>10264</v>
      </c>
      <c r="D4151" t="s">
        <v>11693</v>
      </c>
      <c r="E4151" s="3" t="str">
        <f>HYPERLINK("https://www.amazon.com/Prevagen-Improves-Memory-Apoaequorin-Attractive/dp/B0BN6ZDFFG/ref=sr_1_10?keywords=Prevagen+Extra+Strength+Chewables+20+mg&amp;qid=1695260655&amp;sr=8-10", "https://www.amazon.com/Prevagen-Improves-Memory-Apoaequorin-Attractive/dp/B0BN6ZDFFG/ref=sr_1_10?keywords=Prevagen+Extra+Strength+Chewables+20+mg&amp;qid=1695260655&amp;sr=8-10")</f>
        <v>https://www.amazon.com/Prevagen-Improves-Memory-Apoaequorin-Attractive/dp/B0BN6ZDFFG/ref=sr_1_10?keywords=Prevagen+Extra+Strength+Chewables+20+mg&amp;qid=1695260655&amp;sr=8-10</v>
      </c>
      <c r="F4151" t="s">
        <v>11694</v>
      </c>
      <c r="G4151" t="e">
        <f ca="1">IMAGE("https://shop.sonapharmacy.com/cdn/shop/products/PrevagenExtraStrengthChewables20mg.jpg?v=1594303828")</f>
        <v>#NAME?</v>
      </c>
      <c r="H4151" t="e">
        <f ca="1">IMAGE("https://m.media-amazon.com/images/I/61qiNFfMpoL._AC_UL320_.jpg")</f>
        <v>#NAME?</v>
      </c>
      <c r="I4151" t="s">
        <v>10267</v>
      </c>
      <c r="J4151">
        <v>94.43</v>
      </c>
      <c r="K4151" s="2" t="s">
        <v>11692</v>
      </c>
      <c r="L4151">
        <v>4.4000000000000004</v>
      </c>
      <c r="M4151">
        <v>1016</v>
      </c>
      <c r="O4151" t="s">
        <v>39</v>
      </c>
      <c r="P4151" t="s">
        <v>39</v>
      </c>
      <c r="Q4151" t="s">
        <v>10269</v>
      </c>
    </row>
    <row r="4152" spans="1:17" ht="15.75" x14ac:dyDescent="0.25">
      <c r="A4152" s="3" t="str">
        <f>HYPERLINK("https://shop.sonapharmacy.com/products/johnsons%C2%AE-aloe-vitamin-e-powder", "https://shop.sonapharmacy.com/products/johnsons%C2%AE-aloe-vitamin-e-powder")</f>
        <v>https://shop.sonapharmacy.com/products/johnsons%C2%AE-aloe-vitamin-e-powder</v>
      </c>
      <c r="B4152" s="3" t="str">
        <f>HYPERLINK("https://shop.sonapharmacy.com/products/johnsons%c2%ae-aloe-vitamin-e-powder", "https://shop.sonapharmacy.com/products/johnsons%c2%ae-aloe-vitamin-e-powder")</f>
        <v>https://shop.sonapharmacy.com/products/johnsons%c2%ae-aloe-vitamin-e-powder</v>
      </c>
      <c r="C4152" t="s">
        <v>8082</v>
      </c>
      <c r="D4152" t="s">
        <v>11695</v>
      </c>
      <c r="E4152" s="3" t="str">
        <f>HYPERLINK("https://www.amazon.com/JOHNSONS-Baby-Powder-Soothing-Vitamin/dp/B01I5OBBG4/ref=sr_1_5?keywords=Johnson%27s%C2%AE+Aloe+%26+Vitamin+E+Powder&amp;qid=1695260488&amp;sr=8-5", "https://www.amazon.com/JOHNSONS-Baby-Powder-Soothing-Vitamin/dp/B01I5OBBG4/ref=sr_1_5?keywords=Johnson%27s%C2%AE+Aloe+%26+Vitamin+E+Powder&amp;qid=1695260488&amp;sr=8-5")</f>
        <v>https://www.amazon.com/JOHNSONS-Baby-Powder-Soothing-Vitamin/dp/B01I5OBBG4/ref=sr_1_5?keywords=Johnson%27s%C2%AE+Aloe+%26+Vitamin+E+Powder&amp;qid=1695260488&amp;sr=8-5</v>
      </c>
      <c r="F4152" t="s">
        <v>11696</v>
      </c>
      <c r="G4152" t="e">
        <f ca="1">IMAGE("https://shop.sonapharmacy.com/cdn/shop/products/41ZWPhAz-CL._AC_SL1000.jpg?v=1609256209")</f>
        <v>#NAME?</v>
      </c>
      <c r="H4152" t="e">
        <f ca="1">IMAGE("https://m.media-amazon.com/images/I/51AlCksi9LL._AC_UL320_.jpg")</f>
        <v>#NAME?</v>
      </c>
      <c r="I4152" t="s">
        <v>8034</v>
      </c>
      <c r="J4152">
        <v>5.68</v>
      </c>
      <c r="K4152" s="2" t="s">
        <v>11697</v>
      </c>
      <c r="L4152">
        <v>4.4000000000000004</v>
      </c>
      <c r="M4152">
        <v>522</v>
      </c>
      <c r="O4152" t="s">
        <v>26</v>
      </c>
      <c r="P4152" t="s">
        <v>39</v>
      </c>
      <c r="Q4152" t="s">
        <v>8086</v>
      </c>
    </row>
    <row r="4153" spans="1:17" ht="15.75" x14ac:dyDescent="0.25">
      <c r="A4153" s="3" t="str">
        <f>HYPERLINK("https://shop.sonapharmacy.com/products/differin%C2%AE-gel-adapalene-gel-0-1-acne-treatment", "https://shop.sonapharmacy.com/products/differin%C2%AE-gel-adapalene-gel-0-1-acne-treatment")</f>
        <v>https://shop.sonapharmacy.com/products/differin%C2%AE-gel-adapalene-gel-0-1-acne-treatment</v>
      </c>
      <c r="B4153" s="3" t="str">
        <f>HYPERLINK("https://shop.sonapharmacy.com/products/differin%c2%ae-gel-adapalene-gel-0-1-acne-treatment", "https://shop.sonapharmacy.com/products/differin%c2%ae-gel-adapalene-gel-0-1-acne-treatment")</f>
        <v>https://shop.sonapharmacy.com/products/differin%c2%ae-gel-adapalene-gel-0-1-acne-treatment</v>
      </c>
      <c r="C4153" t="s">
        <v>10863</v>
      </c>
      <c r="D4153" t="s">
        <v>11698</v>
      </c>
      <c r="E4153" s="3" t="str">
        <f>HYPERLINK("https://www.amazon.com/Differin-Adapalene-prescription-strength-treatment/dp/B07ZTN5N1V/ref=sr_1_2?keywords=Differin%C2%AE+Gel+Adapalene+Gel+0.1%25+Acne+Treatment&amp;qid=1695260198&amp;sr=8-2", "https://www.amazon.com/Differin-Adapalene-prescription-strength-treatment/dp/B07ZTN5N1V/ref=sr_1_2?keywords=Differin%C2%AE+Gel+Adapalene+Gel+0.1%25+Acne+Treatment&amp;qid=1695260198&amp;sr=8-2")</f>
        <v>https://www.amazon.com/Differin-Adapalene-prescription-strength-treatment/dp/B07ZTN5N1V/ref=sr_1_2?keywords=Differin%C2%AE+Gel+Adapalene+Gel+0.1%25+Acne+Treatment&amp;qid=1695260198&amp;sr=8-2</v>
      </c>
      <c r="F4153" t="s">
        <v>11699</v>
      </c>
      <c r="G4153" t="e">
        <f ca="1">IMAGE("https://shop.sonapharmacy.com/cdn/shop/products/5oz.jpg?v=1608302260")</f>
        <v>#NAME?</v>
      </c>
      <c r="H4153" t="e">
        <f ca="1">IMAGE("https://m.media-amazon.com/images/I/619+D2fMXfL._AC_UY218_.jpg")</f>
        <v>#NAME?</v>
      </c>
      <c r="I4153" t="s">
        <v>3419</v>
      </c>
      <c r="J4153">
        <v>27.49</v>
      </c>
      <c r="K4153" s="2" t="s">
        <v>11700</v>
      </c>
      <c r="L4153">
        <v>4.5999999999999996</v>
      </c>
      <c r="M4153">
        <v>8162</v>
      </c>
      <c r="O4153" t="s">
        <v>26</v>
      </c>
      <c r="P4153" t="s">
        <v>39</v>
      </c>
      <c r="Q4153" t="s">
        <v>10867</v>
      </c>
    </row>
    <row r="4154" spans="1:17" ht="15.75" x14ac:dyDescent="0.25">
      <c r="A4154" s="3" t="str">
        <f>HYPERLINK("https://shop.sonapharmacy.com/products/lotrimin%C2%AE-af-daily-prevention-tolnaftate-antifungal-powder", "https://shop.sonapharmacy.com/products/lotrimin%C2%AE-af-daily-prevention-tolnaftate-antifungal-powder")</f>
        <v>https://shop.sonapharmacy.com/products/lotrimin%C2%AE-af-daily-prevention-tolnaftate-antifungal-powder</v>
      </c>
      <c r="B4154" s="3" t="str">
        <f>HYPERLINK("https://shop.sonapharmacy.com/products/lotrimin%c2%ae-af-daily-prevention-tolnaftate-antifungal-powder", "https://shop.sonapharmacy.com/products/lotrimin%c2%ae-af-daily-prevention-tolnaftate-antifungal-powder")</f>
        <v>https://shop.sonapharmacy.com/products/lotrimin%c2%ae-af-daily-prevention-tolnaftate-antifungal-powder</v>
      </c>
      <c r="C4154" t="s">
        <v>11356</v>
      </c>
      <c r="D4154" t="s">
        <v>11701</v>
      </c>
      <c r="E4154" s="3" t="str">
        <f>HYPERLINK("https://www.amazon.com/Lotrimin-Prevention-Tolnaftate-Antifungal-Clinically/dp/B08761699D/ref=sr_1_2?keywords=Lotrimin%C2%AE+AF+Daily+Prevention+Tolnaftate+Antifungal+Powder+3oz.&amp;qid=1695260442&amp;sr=8-2", "https://www.amazon.com/Lotrimin-Prevention-Tolnaftate-Antifungal-Clinically/dp/B08761699D/ref=sr_1_2?keywords=Lotrimin%C2%AE+AF+Daily+Prevention+Tolnaftate+Antifungal+Powder+3oz.&amp;qid=1695260442&amp;sr=8-2")</f>
        <v>https://www.amazon.com/Lotrimin-Prevention-Tolnaftate-Antifungal-Clinically/dp/B08761699D/ref=sr_1_2?keywords=Lotrimin%C2%AE+AF+Daily+Prevention+Tolnaftate+Antifungal+Powder+3oz.&amp;qid=1695260442&amp;sr=8-2</v>
      </c>
      <c r="F4154" t="s">
        <v>11702</v>
      </c>
      <c r="G4154" t="e">
        <f ca="1">IMAGE("https://shop.sonapharmacy.com/cdn/shop/products/81sMkz6MZcL._AC_SL1500.jpg?v=1610336551")</f>
        <v>#NAME?</v>
      </c>
      <c r="H4154" t="e">
        <f ca="1">IMAGE("https://m.media-amazon.com/images/I/71joE2+z4ZL._AC_UL320_.jpg")</f>
        <v>#NAME?</v>
      </c>
      <c r="I4154" t="s">
        <v>11359</v>
      </c>
      <c r="J4154">
        <v>25.47</v>
      </c>
      <c r="K4154" s="2" t="s">
        <v>11703</v>
      </c>
      <c r="L4154">
        <v>4.5</v>
      </c>
      <c r="M4154">
        <v>476</v>
      </c>
      <c r="O4154" t="s">
        <v>26</v>
      </c>
      <c r="P4154" t="s">
        <v>39</v>
      </c>
      <c r="Q4154" t="s">
        <v>11361</v>
      </c>
    </row>
    <row r="4155" spans="1:17" ht="15.75" x14ac:dyDescent="0.25">
      <c r="A4155" s="3" t="str">
        <f>HYPERLINK("https://shop.sonapharmacy.com/products/burts-bees%C2%AE-lemon-butter-cuticle-cream-0-60oz", "https://shop.sonapharmacy.com/products/burts-bees%C2%AE-lemon-butter-cuticle-cream-0-60oz")</f>
        <v>https://shop.sonapharmacy.com/products/burts-bees%C2%AE-lemon-butter-cuticle-cream-0-60oz</v>
      </c>
      <c r="B4155" s="3" t="str">
        <f>HYPERLINK("https://shop.sonapharmacy.com/products/burts-bees%c2%ae-lemon-butter-cuticle-cream-0-60oz", "https://shop.sonapharmacy.com/products/burts-bees%c2%ae-lemon-butter-cuticle-cream-0-60oz")</f>
        <v>https://shop.sonapharmacy.com/products/burts-bees%c2%ae-lemon-butter-cuticle-cream-0-60oz</v>
      </c>
      <c r="C4155" t="s">
        <v>8539</v>
      </c>
      <c r="D4155" t="s">
        <v>11704</v>
      </c>
      <c r="E4155" s="3" t="str">
        <f>HYPERLINK("https://www.amazon.com/Burts-Bees-Moisturizing-Products-Surprise/dp/B0BPMYM412/ref=sr_1_7?keywords=Burt%27s+Bees%C2%AE+Lemon+Butter+Cuticle+Cream+0.60oz.&amp;qid=1695260124&amp;sr=8-7", "https://www.amazon.com/Burts-Bees-Moisturizing-Products-Surprise/dp/B0BPMYM412/ref=sr_1_7?keywords=Burt%27s+Bees%C2%AE+Lemon+Butter+Cuticle+Cream+0.60oz.&amp;qid=1695260124&amp;sr=8-7")</f>
        <v>https://www.amazon.com/Burts-Bees-Moisturizing-Products-Surprise/dp/B0BPMYM412/ref=sr_1_7?keywords=Burt%27s+Bees%C2%AE+Lemon+Butter+Cuticle+Cream+0.60oz.&amp;qid=1695260124&amp;sr=8-7</v>
      </c>
      <c r="F4155" t="s">
        <v>11705</v>
      </c>
      <c r="G4155" t="e">
        <f ca="1">IMAGE("https://shop.sonapharmacy.com/cdn/shop/products/0fadcebd-76bc-4875-8263-6bd9c28133f1.3d5d181bb70920ec65fb71d35eaa2949.jpg?v=1610316654")</f>
        <v>#NAME?</v>
      </c>
      <c r="H4155" t="e">
        <f ca="1">IMAGE("https://m.media-amazon.com/images/I/71NMnUxCkCL._AC_UL320_.jpg")</f>
        <v>#NAME?</v>
      </c>
      <c r="I4155" t="s">
        <v>8542</v>
      </c>
      <c r="J4155">
        <v>8.89</v>
      </c>
      <c r="K4155" s="2" t="s">
        <v>11706</v>
      </c>
      <c r="L4155">
        <v>4.7</v>
      </c>
      <c r="M4155">
        <v>2018</v>
      </c>
      <c r="O4155" t="s">
        <v>26</v>
      </c>
      <c r="P4155" t="s">
        <v>39</v>
      </c>
      <c r="Q4155" t="s">
        <v>8544</v>
      </c>
    </row>
    <row r="4156" spans="1:17" ht="15.75" x14ac:dyDescent="0.25">
      <c r="A4156" s="3" t="str">
        <f>HYPERLINK("https://shop.sonapharmacy.com/products/metagenics-coq10-st-100", "https://shop.sonapharmacy.com/products/metagenics-coq10-st-100")</f>
        <v>https://shop.sonapharmacy.com/products/metagenics-coq10-st-100</v>
      </c>
      <c r="B4156" s="3" t="str">
        <f>HYPERLINK("https://shop.sonapharmacy.com/products/metagenics-coq10-st-100", "https://shop.sonapharmacy.com/products/metagenics-coq10-st-100")</f>
        <v>https://shop.sonapharmacy.com/products/metagenics-coq10-st-100</v>
      </c>
      <c r="C4156" t="s">
        <v>10757</v>
      </c>
      <c r="D4156" t="s">
        <v>11707</v>
      </c>
      <c r="E4156" s="3" t="str">
        <f>HYPERLINK("https://www.amazon.com/Metagenics-CoQ10-ST-100-Softgel-Count/dp/B004GLBAFI/ref=sr_1_1?keywords=Metagenics+CoQ10+ST-100&amp;qid=1695260461&amp;sr=8-1", "https://www.amazon.com/Metagenics-CoQ10-ST-100-Softgel-Count/dp/B004GLBAFI/ref=sr_1_1?keywords=Metagenics+CoQ10+ST-100&amp;qid=1695260461&amp;sr=8-1")</f>
        <v>https://www.amazon.com/Metagenics-CoQ10-ST-100-Softgel-Count/dp/B004GLBAFI/ref=sr_1_1?keywords=Metagenics+CoQ10+ST-100&amp;qid=1695260461&amp;sr=8-1</v>
      </c>
      <c r="F4156" t="s">
        <v>11708</v>
      </c>
      <c r="G4156" t="e">
        <f ca="1">IMAGE("https://shop.sonapharmacy.com/cdn/shop/products/ccabd559-90cf-4ade-9938-9635db5c3192-358-358.png?v=1668627545")</f>
        <v>#NAME?</v>
      </c>
      <c r="H4156" t="e">
        <f ca="1">IMAGE("https://m.media-amazon.com/images/I/71paxZwlFlL._AC_UL320_.jpg")</f>
        <v>#NAME?</v>
      </c>
      <c r="I4156" t="s">
        <v>10760</v>
      </c>
      <c r="J4156">
        <v>117.7</v>
      </c>
      <c r="K4156" s="2" t="s">
        <v>11709</v>
      </c>
      <c r="L4156">
        <v>4.5</v>
      </c>
      <c r="M4156">
        <v>63</v>
      </c>
      <c r="O4156" t="s">
        <v>26</v>
      </c>
      <c r="P4156" t="s">
        <v>39</v>
      </c>
      <c r="Q4156" t="s">
        <v>10762</v>
      </c>
    </row>
    <row r="4157" spans="1:17" ht="15.75" x14ac:dyDescent="0.25">
      <c r="A4157" s="3" t="str">
        <f>HYPERLINK("https://shop.sonapharmacy.com/products/metagenics-coq10-st-100", "https://shop.sonapharmacy.com/products/metagenics-coq10-st-100")</f>
        <v>https://shop.sonapharmacy.com/products/metagenics-coq10-st-100</v>
      </c>
      <c r="B4157" s="3" t="str">
        <f>HYPERLINK("https://shop.sonapharmacy.com/products/metagenics-coq10-st-100", "https://shop.sonapharmacy.com/products/metagenics-coq10-st-100")</f>
        <v>https://shop.sonapharmacy.com/products/metagenics-coq10-st-100</v>
      </c>
      <c r="C4157" t="s">
        <v>10757</v>
      </c>
      <c r="D4157" t="s">
        <v>11710</v>
      </c>
      <c r="E4157" s="3" t="str">
        <f>HYPERLINK("https://www.amazon.com/Metagenics-Absorbable-Supplement-Production-Cardiovascular/dp/B0068VOIIA/ref=sr_1_5?keywords=Metagenics+CoQ10+ST-100&amp;qid=1695260461&amp;sr=8-5", "https://www.amazon.com/Metagenics-Absorbable-Supplement-Production-Cardiovascular/dp/B0068VOIIA/ref=sr_1_5?keywords=Metagenics+CoQ10+ST-100&amp;qid=1695260461&amp;sr=8-5")</f>
        <v>https://www.amazon.com/Metagenics-Absorbable-Supplement-Production-Cardiovascular/dp/B0068VOIIA/ref=sr_1_5?keywords=Metagenics+CoQ10+ST-100&amp;qid=1695260461&amp;sr=8-5</v>
      </c>
      <c r="F4157" t="s">
        <v>11711</v>
      </c>
      <c r="G4157" t="e">
        <f ca="1">IMAGE("https://shop.sonapharmacy.com/cdn/shop/products/ccabd559-90cf-4ade-9938-9635db5c3192-358-358.png?v=1668627545")</f>
        <v>#NAME?</v>
      </c>
      <c r="H4157" t="e">
        <f ca="1">IMAGE("https://m.media-amazon.com/images/I/71OLtWH8xpL._AC_UL320_.jpg")</f>
        <v>#NAME?</v>
      </c>
      <c r="I4157" t="s">
        <v>10760</v>
      </c>
      <c r="J4157">
        <v>117.7</v>
      </c>
      <c r="K4157" s="2" t="s">
        <v>11709</v>
      </c>
      <c r="L4157">
        <v>4.4000000000000004</v>
      </c>
      <c r="M4157">
        <v>32</v>
      </c>
      <c r="O4157" t="s">
        <v>26</v>
      </c>
      <c r="P4157" t="s">
        <v>39</v>
      </c>
      <c r="Q4157" t="s">
        <v>10762</v>
      </c>
    </row>
    <row r="4158" spans="1:17" ht="15.75" x14ac:dyDescent="0.25">
      <c r="A4158" s="3" t="str">
        <f>HYPERLINK("https://shop.sonapharmacy.com/products/lil-critters-omega-3-dha-60-gummies", "https://shop.sonapharmacy.com/products/lil-critters-omega-3-dha-60-gummies")</f>
        <v>https://shop.sonapharmacy.com/products/lil-critters-omega-3-dha-60-gummies</v>
      </c>
      <c r="B4158" s="3" t="str">
        <f>HYPERLINK("https://shop.sonapharmacy.com/products/lil-critters-omega-3-dha-60-gummies", "https://shop.sonapharmacy.com/products/lil-critters-omega-3-dha-60-gummies")</f>
        <v>https://shop.sonapharmacy.com/products/lil-critters-omega-3-dha-60-gummies</v>
      </c>
      <c r="C4158" t="s">
        <v>10056</v>
      </c>
      <c r="D4158" t="s">
        <v>11712</v>
      </c>
      <c r="E4158" s="3" t="str">
        <f>HYPERLINK("https://www.amazon.com/LIL-CRITTERS-Omega-EPA-Gummies/dp/B07JH4VB3G/ref=sr_1_4?keywords=L%27il+Critters+Omega-3+DHA+60+Gummies&amp;qid=1695260432&amp;sr=8-4", "https://www.amazon.com/LIL-CRITTERS-Omega-EPA-Gummies/dp/B07JH4VB3G/ref=sr_1_4?keywords=L%27il+Critters+Omega-3+DHA+60+Gummies&amp;qid=1695260432&amp;sr=8-4")</f>
        <v>https://www.amazon.com/LIL-CRITTERS-Omega-EPA-Gummies/dp/B07JH4VB3G/ref=sr_1_4?keywords=L%27il+Critters+Omega-3+DHA+60+Gummies&amp;qid=1695260432&amp;sr=8-4</v>
      </c>
      <c r="F4158" t="s">
        <v>11713</v>
      </c>
      <c r="G4158" t="e">
        <f ca="1">IMAGE("https://shop.sonapharmacy.com/cdn/shop/products/L_ilCrittersOmega-3DHA60Gummies.png?v=1594927814")</f>
        <v>#NAME?</v>
      </c>
      <c r="H4158" t="e">
        <f ca="1">IMAGE("https://m.media-amazon.com/images/I/61xLq0vUczL._AC_UL320_.jpg")</f>
        <v>#NAME?</v>
      </c>
      <c r="I4158" t="s">
        <v>10059</v>
      </c>
      <c r="J4158">
        <v>14.45</v>
      </c>
      <c r="K4158" s="2" t="s">
        <v>11714</v>
      </c>
      <c r="L4158">
        <v>4.5999999999999996</v>
      </c>
      <c r="M4158">
        <v>529</v>
      </c>
      <c r="O4158" t="s">
        <v>26</v>
      </c>
      <c r="P4158" t="s">
        <v>39</v>
      </c>
      <c r="Q4158" t="s">
        <v>10061</v>
      </c>
    </row>
    <row r="4159" spans="1:17" ht="15.75" x14ac:dyDescent="0.25">
      <c r="A4159" s="3" t="str">
        <f>HYPERLINK("https://shop.sonapharmacy.com/products/advil-200-mg-ibuprofen-tablets", "https://shop.sonapharmacy.com/products/advil-200-mg-ibuprofen-tablets")</f>
        <v>https://shop.sonapharmacy.com/products/advil-200-mg-ibuprofen-tablets</v>
      </c>
      <c r="B4159" s="3" t="str">
        <f>HYPERLINK("https://shop.sonapharmacy.com/products/advil-200-mg-ibuprofen-tablets", "https://shop.sonapharmacy.com/products/advil-200-mg-ibuprofen-tablets")</f>
        <v>https://shop.sonapharmacy.com/products/advil-200-mg-ibuprofen-tablets</v>
      </c>
      <c r="C4159" t="s">
        <v>8377</v>
      </c>
      <c r="D4159" t="s">
        <v>11715</v>
      </c>
      <c r="E4159" s="3" t="str">
        <f>HYPERLINK("https://www.amazon.com/Advil-Capsules-Individually-Ibuprofen-Temporary/dp/B0006SW71G/ref=sr_1_7?keywords=Advil+200mg+Ibuprofen+Tablets&amp;qid=1695260034&amp;sr=8-7", "https://www.amazon.com/Advil-Capsules-Individually-Ibuprofen-Temporary/dp/B0006SW71G/ref=sr_1_7?keywords=Advil+200mg+Ibuprofen+Tablets&amp;qid=1695260034&amp;sr=8-7")</f>
        <v>https://www.amazon.com/Advil-Capsules-Individually-Ibuprofen-Temporary/dp/B0006SW71G/ref=sr_1_7?keywords=Advil+200mg+Ibuprofen+Tablets&amp;qid=1695260034&amp;sr=8-7</v>
      </c>
      <c r="F4159" t="s">
        <v>11716</v>
      </c>
      <c r="G4159" t="e">
        <f ca="1">IMAGE("https://shop.sonapharmacy.com/cdn/shop/products/71csOFCEiJL._SL1200.jpg?v=1611188571")</f>
        <v>#NAME?</v>
      </c>
      <c r="H4159" t="e">
        <f ca="1">IMAGE("https://m.media-amazon.com/images/I/81gF7vW0jPL._AC_UL320_.jpg")</f>
        <v>#NAME?</v>
      </c>
      <c r="I4159" t="s">
        <v>8300</v>
      </c>
      <c r="J4159">
        <v>10.78</v>
      </c>
      <c r="K4159" s="2" t="s">
        <v>11717</v>
      </c>
      <c r="L4159">
        <v>4.9000000000000004</v>
      </c>
      <c r="M4159">
        <v>17103</v>
      </c>
      <c r="O4159" t="s">
        <v>26</v>
      </c>
      <c r="P4159" t="s">
        <v>39</v>
      </c>
      <c r="Q4159" t="s">
        <v>8381</v>
      </c>
    </row>
    <row r="4160" spans="1:17" ht="15.75" x14ac:dyDescent="0.25">
      <c r="A4160" s="3" t="str">
        <f>HYPERLINK("https://shop.sonapharmacy.com/products/alteril-natural-sleep-aid-supplement-tablets", "https://shop.sonapharmacy.com/products/alteril-natural-sleep-aid-supplement-tablets")</f>
        <v>https://shop.sonapharmacy.com/products/alteril-natural-sleep-aid-supplement-tablets</v>
      </c>
      <c r="B4160" s="3" t="str">
        <f>HYPERLINK("https://shop.sonapharmacy.com/products/alteril-natural-sleep-aid-supplement-tablets", "https://shop.sonapharmacy.com/products/alteril-natural-sleep-aid-supplement-tablets")</f>
        <v>https://shop.sonapharmacy.com/products/alteril-natural-sleep-aid-supplement-tablets</v>
      </c>
      <c r="C4160" t="s">
        <v>8443</v>
      </c>
      <c r="D4160" t="s">
        <v>11718</v>
      </c>
      <c r="E4160" s="3" t="str">
        <f>HYPERLINK("https://www.amazon.com/Alteril-Natural-Sleep-Tablets-Pack/dp/B00KHX9NY4/ref=sr_1_3?keywords=Alteril+Natural+Sleep+Aid+Supplement+Tablets+30ct.&amp;qid=1695260031&amp;sr=8-3", "https://www.amazon.com/Alteril-Natural-Sleep-Tablets-Pack/dp/B00KHX9NY4/ref=sr_1_3?keywords=Alteril+Natural+Sleep+Aid+Supplement+Tablets+30ct.&amp;qid=1695260031&amp;sr=8-3")</f>
        <v>https://www.amazon.com/Alteril-Natural-Sleep-Tablets-Pack/dp/B00KHX9NY4/ref=sr_1_3?keywords=Alteril+Natural+Sleep+Aid+Supplement+Tablets+30ct.&amp;qid=1695260031&amp;sr=8-3</v>
      </c>
      <c r="F4160" t="s">
        <v>11719</v>
      </c>
      <c r="G4160" t="e">
        <f ca="1">IMAGE("https://shop.sonapharmacy.com/cdn/shop/products/AlterilNaturalSleepAidSupplementTablets.jpg?v=1594927516")</f>
        <v>#NAME?</v>
      </c>
      <c r="H4160" t="e">
        <f ca="1">IMAGE("https://m.media-amazon.com/images/I/71hsEsDdoYL._AC_UL320_.jpg")</f>
        <v>#NAME?</v>
      </c>
      <c r="I4160" t="s">
        <v>8446</v>
      </c>
      <c r="J4160">
        <v>32.25</v>
      </c>
      <c r="K4160" s="2" t="s">
        <v>11720</v>
      </c>
      <c r="L4160">
        <v>4.2</v>
      </c>
      <c r="M4160">
        <v>28</v>
      </c>
      <c r="O4160" t="s">
        <v>136</v>
      </c>
      <c r="P4160" t="s">
        <v>39</v>
      </c>
      <c r="Q4160" t="s">
        <v>8448</v>
      </c>
    </row>
    <row r="4161" spans="1:17" ht="15.75" x14ac:dyDescent="0.25">
      <c r="A4161" s="3" t="str">
        <f>HYPERLINK("https://shop.sonapharmacy.com/products/liquid-i-v-hydration-multiplier-8pck", "https://shop.sonapharmacy.com/products/liquid-i-v-hydration-multiplier-8pck")</f>
        <v>https://shop.sonapharmacy.com/products/liquid-i-v-hydration-multiplier-8pck</v>
      </c>
      <c r="B4161" s="3" t="str">
        <f>HYPERLINK("https://shop.sonapharmacy.com/products/liquid-i-v-hydration-multiplier-8pck", "https://shop.sonapharmacy.com/products/liquid-i-v-hydration-multiplier-8pck")</f>
        <v>https://shop.sonapharmacy.com/products/liquid-i-v-hydration-multiplier-8pck</v>
      </c>
      <c r="C4161" t="s">
        <v>9679</v>
      </c>
      <c r="D4161" t="s">
        <v>11721</v>
      </c>
      <c r="E4161" s="3" t="str">
        <f>HYPERLINK("https://www.amazon.com/Liquid-Hydration-Multiplier-Electrolyte-Supplement/dp/B08ZV74P7G/ref=sr_1_7?keywords=Liquid+I.V%C2%AE+Hydration+Multiplier+Electrolyte+Mix+8pck&amp;qid=1695260452&amp;sr=8-7", "https://www.amazon.com/Liquid-Hydration-Multiplier-Electrolyte-Supplement/dp/B08ZV74P7G/ref=sr_1_7?keywords=Liquid+I.V%C2%AE+Hydration+Multiplier+Electrolyte+Mix+8pck&amp;qid=1695260452&amp;sr=8-7")</f>
        <v>https://www.amazon.com/Liquid-Hydration-Multiplier-Electrolyte-Supplement/dp/B08ZV74P7G/ref=sr_1_7?keywords=Liquid+I.V%C2%AE+Hydration+Multiplier+Electrolyte+Mix+8pck&amp;qid=1695260452&amp;sr=8-7</v>
      </c>
      <c r="F4161" t="s">
        <v>11722</v>
      </c>
      <c r="G4161" t="e">
        <f ca="1">IMAGE("https://shop.sonapharmacy.com/cdn/shop/products/passionfruit.jpg?v=1610031991")</f>
        <v>#NAME?</v>
      </c>
      <c r="H4161" t="e">
        <f ca="1">IMAGE("https://m.media-amazon.com/images/I/81aTmu1NoGL._AC_UL320_.jpg")</f>
        <v>#NAME?</v>
      </c>
      <c r="I4161" t="s">
        <v>3458</v>
      </c>
      <c r="J4161">
        <v>36.49</v>
      </c>
      <c r="K4161" s="2" t="s">
        <v>11723</v>
      </c>
      <c r="L4161">
        <v>4.8</v>
      </c>
      <c r="M4161">
        <v>1719</v>
      </c>
      <c r="O4161" t="s">
        <v>26</v>
      </c>
      <c r="P4161" t="s">
        <v>39</v>
      </c>
      <c r="Q4161" t="s">
        <v>9683</v>
      </c>
    </row>
    <row r="4162" spans="1:17" ht="15.75" x14ac:dyDescent="0.25">
      <c r="A4162" s="3" t="str">
        <f>HYPERLINK("https://shop.sonapharmacy.com/products/nature-made-1000-mg-l-lysine-tablets", "https://shop.sonapharmacy.com/products/nature-made-1000-mg-l-lysine-tablets")</f>
        <v>https://shop.sonapharmacy.com/products/nature-made-1000-mg-l-lysine-tablets</v>
      </c>
      <c r="B4162" s="3" t="str">
        <f>HYPERLINK("https://shop.sonapharmacy.com/products/nature-made-1000-mg-l-lysine-tablets", "https://shop.sonapharmacy.com/products/nature-made-1000-mg-l-lysine-tablets")</f>
        <v>https://shop.sonapharmacy.com/products/nature-made-1000-mg-l-lysine-tablets</v>
      </c>
      <c r="C4162" t="s">
        <v>11724</v>
      </c>
      <c r="D4162" t="s">
        <v>11725</v>
      </c>
      <c r="E4162" s="3" t="str">
        <f>HYPERLINK("https://www.amazon.com/Natures-Bounty-L-Lysine-Tablets-Bottles/dp/B010ONJV8O/ref=sr_1_2?keywords=Nature+Made%C2%AE+L-Lysine+1000mg+Tablets+60ct.&amp;qid=1695260567&amp;sr=8-2", "https://www.amazon.com/Natures-Bounty-L-Lysine-Tablets-Bottles/dp/B010ONJV8O/ref=sr_1_2?keywords=Nature+Made%C2%AE+L-Lysine+1000mg+Tablets+60ct.&amp;qid=1695260567&amp;sr=8-2")</f>
        <v>https://www.amazon.com/Natures-Bounty-L-Lysine-Tablets-Bottles/dp/B010ONJV8O/ref=sr_1_2?keywords=Nature+Made%C2%AE+L-Lysine+1000mg+Tablets+60ct.&amp;qid=1695260567&amp;sr=8-2</v>
      </c>
      <c r="F4162" t="s">
        <v>11726</v>
      </c>
      <c r="G4162" t="e">
        <f ca="1">IMAGE("https://shop.sonapharmacy.com/cdn/shop/products/71NZZEcgnEL._AC_SL1500.jpg?v=1610047509")</f>
        <v>#NAME?</v>
      </c>
      <c r="H4162" t="e">
        <f ca="1">IMAGE("https://m.media-amazon.com/images/I/51hOF3EGUfL._AC_UL320_.jpg")</f>
        <v>#NAME?</v>
      </c>
      <c r="I4162" t="s">
        <v>9640</v>
      </c>
      <c r="J4162">
        <v>15.92</v>
      </c>
      <c r="K4162" s="2" t="s">
        <v>11727</v>
      </c>
      <c r="L4162">
        <v>4.7</v>
      </c>
      <c r="M4162">
        <v>677</v>
      </c>
      <c r="O4162" t="s">
        <v>26</v>
      </c>
      <c r="P4162" t="s">
        <v>39</v>
      </c>
      <c r="Q4162" t="s">
        <v>11728</v>
      </c>
    </row>
    <row r="4163" spans="1:17" ht="15.75" x14ac:dyDescent="0.25">
      <c r="A4163" s="3" t="str">
        <f>HYPERLINK("https://shop.sonapharmacy.com/products/lotrimin%C2%AE-af-miconazole-nitrate-antifungal-powder-spray-4-6oz", "https://shop.sonapharmacy.com/products/lotrimin%C2%AE-af-miconazole-nitrate-antifungal-powder-spray-4-6oz")</f>
        <v>https://shop.sonapharmacy.com/products/lotrimin%C2%AE-af-miconazole-nitrate-antifungal-powder-spray-4-6oz</v>
      </c>
      <c r="B4163" s="3" t="str">
        <f>HYPERLINK("https://shop.sonapharmacy.com/products/lotrimin%c2%ae-af-miconazole-nitrate-antifungal-powder-spray-4-6oz", "https://shop.sonapharmacy.com/products/lotrimin%c2%ae-af-miconazole-nitrate-antifungal-powder-spray-4-6oz")</f>
        <v>https://shop.sonapharmacy.com/products/lotrimin%c2%ae-af-miconazole-nitrate-antifungal-powder-spray-4-6oz</v>
      </c>
      <c r="C4163" t="s">
        <v>11266</v>
      </c>
      <c r="D4163" t="s">
        <v>10654</v>
      </c>
      <c r="E4163" s="3" t="str">
        <f>HYPERLINK("https://www.amazon.com/Miconazole-Clinically-Effective-Antifungal-Treatment/dp/B07QQZV9QK/ref=sr_1_2?keywords=Lotrimin%C2%AE+AF+Miconazole+Nitrate+Antifungal+Powder+Spray+4.6oz.&amp;qid=1695260454&amp;rdc=1&amp;sr=8-2", "https://www.amazon.com/Miconazole-Clinically-Effective-Antifungal-Treatment/dp/B07QQZV9QK/ref=sr_1_2?keywords=Lotrimin%C2%AE+AF+Miconazole+Nitrate+Antifungal+Powder+Spray+4.6oz.&amp;qid=1695260454&amp;rdc=1&amp;sr=8-2")</f>
        <v>https://www.amazon.com/Miconazole-Clinically-Effective-Antifungal-Treatment/dp/B07QQZV9QK/ref=sr_1_2?keywords=Lotrimin%C2%AE+AF+Miconazole+Nitrate+Antifungal+Powder+Spray+4.6oz.&amp;qid=1695260454&amp;rdc=1&amp;sr=8-2</v>
      </c>
      <c r="F4163" t="s">
        <v>10655</v>
      </c>
      <c r="G4163" t="e">
        <f ca="1">IMAGE("https://shop.sonapharmacy.com/cdn/shop/products/81uLeasGK_L._SL1500.jpg?v=1610337134")</f>
        <v>#NAME?</v>
      </c>
      <c r="H4163" t="e">
        <f ca="1">IMAGE("https://m.media-amazon.com/images/I/81QC9GujLmL._AC_UL320_.jpg")</f>
        <v>#NAME?</v>
      </c>
      <c r="I4163" t="s">
        <v>11267</v>
      </c>
      <c r="J4163">
        <v>22.77</v>
      </c>
      <c r="K4163" s="2" t="s">
        <v>11729</v>
      </c>
      <c r="L4163">
        <v>4.5999999999999996</v>
      </c>
      <c r="M4163">
        <v>4295</v>
      </c>
      <c r="O4163" t="s">
        <v>26</v>
      </c>
      <c r="P4163" t="s">
        <v>39</v>
      </c>
      <c r="Q4163" t="s">
        <v>11269</v>
      </c>
    </row>
    <row r="4164" spans="1:17" ht="15.75" x14ac:dyDescent="0.25">
      <c r="A4164" s="3" t="str">
        <f>HYPERLINK("https://shop.sonapharmacy.com/products/eos%C2%AE-coconut-milk-shea-lip-balm", "https://shop.sonapharmacy.com/products/eos%C2%AE-coconut-milk-shea-lip-balm")</f>
        <v>https://shop.sonapharmacy.com/products/eos%C2%AE-coconut-milk-shea-lip-balm</v>
      </c>
      <c r="B4164" s="3" t="str">
        <f>HYPERLINK("https://shop.sonapharmacy.com/products/eos%c2%ae-coconut-milk-shea-lip-balm", "https://shop.sonapharmacy.com/products/eos%c2%ae-coconut-milk-shea-lip-balm")</f>
        <v>https://shop.sonapharmacy.com/products/eos%c2%ae-coconut-milk-shea-lip-balm</v>
      </c>
      <c r="C4164" t="s">
        <v>11730</v>
      </c>
      <c r="D4164" t="s">
        <v>11731</v>
      </c>
      <c r="E4164" s="3" t="str">
        <f>HYPERLINK("https://www.amazon.com/eos-Natural-Raspberry-Moisture-Products/dp/B0BNP54RMD/ref=sr_1_2?keywords=EOS%C2%AE+Coconut+Milk+Shea+Lip+Balm&amp;qid=1695260226&amp;sr=8-2", "https://www.amazon.com/eos-Natural-Raspberry-Moisture-Products/dp/B0BNP54RMD/ref=sr_1_2?keywords=EOS%C2%AE+Coconut+Milk+Shea+Lip+Balm&amp;qid=1695260226&amp;sr=8-2")</f>
        <v>https://www.amazon.com/eos-Natural-Raspberry-Moisture-Products/dp/B0BNP54RMD/ref=sr_1_2?keywords=EOS%C2%AE+Coconut+Milk+Shea+Lip+Balm&amp;qid=1695260226&amp;sr=8-2</v>
      </c>
      <c r="F4164" t="s">
        <v>11732</v>
      </c>
      <c r="G4164" t="e">
        <f ca="1">IMAGE("https://shop.sonapharmacy.com/cdn/shop/products/81eGEYCcDWL._SL1500.jpg?v=1610644753")</f>
        <v>#NAME?</v>
      </c>
      <c r="H4164" t="e">
        <f ca="1">IMAGE("https://m.media-amazon.com/images/I/81FNhKK7bOL._AC_UL320_.jpg")</f>
        <v>#NAME?</v>
      </c>
      <c r="I4164" t="s">
        <v>8411</v>
      </c>
      <c r="J4164">
        <v>7.27</v>
      </c>
      <c r="K4164" s="2" t="s">
        <v>11733</v>
      </c>
      <c r="L4164">
        <v>4.5999999999999996</v>
      </c>
      <c r="M4164">
        <v>55428</v>
      </c>
      <c r="O4164" t="s">
        <v>26</v>
      </c>
      <c r="P4164" t="s">
        <v>39</v>
      </c>
      <c r="Q4164" t="s">
        <v>11734</v>
      </c>
    </row>
    <row r="4165" spans="1:17" ht="15.75" x14ac:dyDescent="0.25">
      <c r="A4165" s="3" t="str">
        <f>HYPERLINK("https://shop.sonapharmacy.com/products/mueller%C2%AE-adjustable-ankle-moderate-support-one-size", "https://shop.sonapharmacy.com/products/mueller%C2%AE-adjustable-ankle-moderate-support-one-size")</f>
        <v>https://shop.sonapharmacy.com/products/mueller%C2%AE-adjustable-ankle-moderate-support-one-size</v>
      </c>
      <c r="B4165" s="3" t="str">
        <f>HYPERLINK("https://shop.sonapharmacy.com/products/mueller%c2%ae-adjustable-ankle-moderate-support-one-size", "https://shop.sonapharmacy.com/products/mueller%c2%ae-adjustable-ankle-moderate-support-one-size")</f>
        <v>https://shop.sonapharmacy.com/products/mueller%c2%ae-adjustable-ankle-moderate-support-one-size</v>
      </c>
      <c r="C4165" t="s">
        <v>11735</v>
      </c>
      <c r="D4165" t="s">
        <v>11736</v>
      </c>
      <c r="E4165" s="3" t="str">
        <f>HYPERLINK("https://www.amazon.com/Mueller-Adjustable-Ankle-Support-6511-1/dp/B07LCWSDJH/ref=sr_1_1?keywords=Mueller%C2%AE+Adjustable+Ankle+Moderate+Support+One+Size&amp;qid=1695260510&amp;sr=8-1", "https://www.amazon.com/Mueller-Adjustable-Ankle-Support-6511-1/dp/B07LCWSDJH/ref=sr_1_1?keywords=Mueller%C2%AE+Adjustable+Ankle+Moderate+Support+One+Size&amp;qid=1695260510&amp;sr=8-1")</f>
        <v>https://www.amazon.com/Mueller-Adjustable-Ankle-Support-6511-1/dp/B07LCWSDJH/ref=sr_1_1?keywords=Mueller%C2%AE+Adjustable+Ankle+Moderate+Support+One+Size&amp;qid=1695260510&amp;sr=8-1</v>
      </c>
      <c r="F4165" t="s">
        <v>11737</v>
      </c>
      <c r="G4165" t="e">
        <f ca="1">IMAGE("https://shop.sonapharmacy.com/cdn/shop/products/41Wb-0af6-L._AC.jpg?v=1609871368")</f>
        <v>#NAME?</v>
      </c>
      <c r="H4165" t="e">
        <f ca="1">IMAGE("https://m.media-amazon.com/images/I/51tjdPQfAJL._AC_UL320_.jpg")</f>
        <v>#NAME?</v>
      </c>
      <c r="I4165" t="s">
        <v>11738</v>
      </c>
      <c r="J4165">
        <v>22.41</v>
      </c>
      <c r="K4165" s="2" t="s">
        <v>11739</v>
      </c>
      <c r="L4165">
        <v>3.8</v>
      </c>
      <c r="M4165">
        <v>7</v>
      </c>
      <c r="O4165" t="s">
        <v>26</v>
      </c>
      <c r="P4165" t="s">
        <v>39</v>
      </c>
      <c r="Q4165" t="s">
        <v>11740</v>
      </c>
    </row>
    <row r="4166" spans="1:17" ht="15.75" x14ac:dyDescent="0.25">
      <c r="A4166" s="3" t="str">
        <f>HYPERLINK("https://shop.sonapharmacy.com/products/azo-cranberry%C2%AE-urinary-tract-health-gummies-40ct", "https://shop.sonapharmacy.com/products/azo-cranberry%C2%AE-urinary-tract-health-gummies-40ct")</f>
        <v>https://shop.sonapharmacy.com/products/azo-cranberry%C2%AE-urinary-tract-health-gummies-40ct</v>
      </c>
      <c r="B4166" s="3" t="str">
        <f>HYPERLINK("https://shop.sonapharmacy.com/products/azo-cranberry%c2%ae-urinary-tract-health-gummies-40ct", "https://shop.sonapharmacy.com/products/azo-cranberry%c2%ae-urinary-tract-health-gummies-40ct")</f>
        <v>https://shop.sonapharmacy.com/products/azo-cranberry%c2%ae-urinary-tract-health-gummies-40ct</v>
      </c>
      <c r="C4166" t="s">
        <v>9798</v>
      </c>
      <c r="D4166" t="s">
        <v>11741</v>
      </c>
      <c r="E4166" s="3" t="str">
        <f>HYPERLINK("https://www.amazon.com/AZO-Clinical-Strength-Pharmacist-Recommended/dp/B0BXNRWR1W/ref=sr_1_9?keywords=AZO+Cranberry%C2%AE+Urinary+Tract+Health+Gummies+40ct.&amp;qid=1695260048&amp;sr=8-9", "https://www.amazon.com/AZO-Clinical-Strength-Pharmacist-Recommended/dp/B0BXNRWR1W/ref=sr_1_9?keywords=AZO+Cranberry%C2%AE+Urinary+Tract+Health+Gummies+40ct.&amp;qid=1695260048&amp;sr=8-9")</f>
        <v>https://www.amazon.com/AZO-Clinical-Strength-Pharmacist-Recommended/dp/B0BXNRWR1W/ref=sr_1_9?keywords=AZO+Cranberry%C2%AE+Urinary+Tract+Health+Gummies+40ct.&amp;qid=1695260048&amp;sr=8-9</v>
      </c>
      <c r="F4166" t="s">
        <v>11742</v>
      </c>
      <c r="G4166" t="e">
        <f ca="1">IMAGE("https://shop.sonapharmacy.com/cdn/shop/products/71FVFE1UAmL._AC_SL1500.jpg?v=1611192359")</f>
        <v>#NAME?</v>
      </c>
      <c r="H4166" t="e">
        <f ca="1">IMAGE("https://m.media-amazon.com/images/I/51A40Ef00hL._AC_UL320_.jpg")</f>
        <v>#NAME?</v>
      </c>
      <c r="I4166" t="s">
        <v>8231</v>
      </c>
      <c r="J4166">
        <v>19.97</v>
      </c>
      <c r="K4166" s="2" t="s">
        <v>11743</v>
      </c>
      <c r="L4166">
        <v>3.7</v>
      </c>
      <c r="M4166">
        <v>76</v>
      </c>
      <c r="O4166" t="s">
        <v>26</v>
      </c>
      <c r="P4166" t="s">
        <v>39</v>
      </c>
      <c r="Q4166" t="s">
        <v>9802</v>
      </c>
    </row>
    <row r="4167" spans="1:17" ht="15.75" x14ac:dyDescent="0.25">
      <c r="A4167" s="3" t="str">
        <f>HYPERLINK("https://shop.sonapharmacy.com/products/omron-3-series%C2%AE-upper-arm-blood-pressure-monitor", "https://shop.sonapharmacy.com/products/omron-3-series%C2%AE-upper-arm-blood-pressure-monitor")</f>
        <v>https://shop.sonapharmacy.com/products/omron-3-series%C2%AE-upper-arm-blood-pressure-monitor</v>
      </c>
      <c r="B4167" s="3" t="str">
        <f>HYPERLINK("https://shop.sonapharmacy.com/products/omron-3-series%c2%ae-upper-arm-blood-pressure-monitor", "https://shop.sonapharmacy.com/products/omron-3-series%c2%ae-upper-arm-blood-pressure-monitor")</f>
        <v>https://shop.sonapharmacy.com/products/omron-3-series%c2%ae-upper-arm-blood-pressure-monitor</v>
      </c>
      <c r="C4167" t="s">
        <v>11744</v>
      </c>
      <c r="D4167" t="s">
        <v>11745</v>
      </c>
      <c r="E4167" s="3" t="str">
        <f>HYPERLINK("https://www.amazon.com/OMRON-BP742N-Upper-Pressure-Monitor/dp/B00WAIJZX8/ref=sr_1_10?keywords=Omron+3+Series%C2%AE+Upper+Arm+Blood+Pressure+Monitor&amp;qid=1695260613&amp;sr=8-10", "https://www.amazon.com/OMRON-BP742N-Upper-Pressure-Monitor/dp/B00WAIJZX8/ref=sr_1_10?keywords=Omron+3+Series%C2%AE+Upper+Arm+Blood+Pressure+Monitor&amp;qid=1695260613&amp;sr=8-10")</f>
        <v>https://www.amazon.com/OMRON-BP742N-Upper-Pressure-Monitor/dp/B00WAIJZX8/ref=sr_1_10?keywords=Omron+3+Series%C2%AE+Upper+Arm+Blood+Pressure+Monitor&amp;qid=1695260613&amp;sr=8-10</v>
      </c>
      <c r="F4167" t="s">
        <v>11746</v>
      </c>
      <c r="G4167" t="e">
        <f ca="1">IMAGE("https://shop.sonapharmacy.com/cdn/shop/products/Omron3Series_UpperArmBloodPressureMonitor.png?v=1594217120")</f>
        <v>#NAME?</v>
      </c>
      <c r="H4167" t="e">
        <f ca="1">IMAGE("https://m.media-amazon.com/images/I/714oIAQNgML._AC_UL320_.jpg")</f>
        <v>#NAME?</v>
      </c>
      <c r="I4167" t="s">
        <v>11747</v>
      </c>
      <c r="J4167">
        <v>98.64</v>
      </c>
      <c r="K4167" s="2" t="s">
        <v>11748</v>
      </c>
      <c r="L4167">
        <v>4.5</v>
      </c>
      <c r="M4167">
        <v>361</v>
      </c>
      <c r="O4167" t="s">
        <v>26</v>
      </c>
      <c r="P4167" t="s">
        <v>39</v>
      </c>
      <c r="Q4167" t="s">
        <v>11749</v>
      </c>
    </row>
    <row r="4168" spans="1:17" ht="15.75" x14ac:dyDescent="0.25">
      <c r="A4168" s="3" t="str">
        <f>HYPERLINK("https://shop.sonapharmacy.com/products/goodsense%C2%AE-clearlax-laxative-powder", "https://shop.sonapharmacy.com/products/goodsense%C2%AE-clearlax-laxative-powder")</f>
        <v>https://shop.sonapharmacy.com/products/goodsense%C2%AE-clearlax-laxative-powder</v>
      </c>
      <c r="B4168" s="3" t="str">
        <f>HYPERLINK("https://shop.sonapharmacy.com/products/goodsense%c2%ae-clearlax-laxative-powder", "https://shop.sonapharmacy.com/products/goodsense%c2%ae-clearlax-laxative-powder")</f>
        <v>https://shop.sonapharmacy.com/products/goodsense%c2%ae-clearlax-laxative-powder</v>
      </c>
      <c r="C4168" t="s">
        <v>8137</v>
      </c>
      <c r="D4168" t="s">
        <v>11750</v>
      </c>
      <c r="E4168" s="3" t="str">
        <f>HYPERLINK("https://www.amazon.com/GoodSense-Clearlax-Polyethylene-Laxative-Solution/dp/B003FBRTV4/ref=sr_1_4?keywords=GoodSense%C2%AE+ClearLax+Laxative+Powder&amp;qid=1695260311&amp;sr=8-4", "https://www.amazon.com/GoodSense-Clearlax-Polyethylene-Laxative-Solution/dp/B003FBRTV4/ref=sr_1_4?keywords=GoodSense%C2%AE+ClearLax+Laxative+Powder&amp;qid=1695260311&amp;sr=8-4")</f>
        <v>https://www.amazon.com/GoodSense-Clearlax-Polyethylene-Laxative-Solution/dp/B003FBRTV4/ref=sr_1_4?keywords=GoodSense%C2%AE+ClearLax+Laxative+Powder&amp;qid=1695260311&amp;sr=8-4</v>
      </c>
      <c r="F4168" t="s">
        <v>11751</v>
      </c>
      <c r="G4168" t="e">
        <f ca="1">IMAGE("https://shop.sonapharmacy.com/cdn/shop/products/110890.jpg?v=1611081016")</f>
        <v>#NAME?</v>
      </c>
      <c r="H4168" t="e">
        <f ca="1">IMAGE("https://m.media-amazon.com/images/I/51tdUaR3mdL._AC_UL320_.jpg")</f>
        <v>#NAME?</v>
      </c>
      <c r="I4168" t="s">
        <v>8140</v>
      </c>
      <c r="J4168">
        <v>11.99</v>
      </c>
      <c r="K4168" s="2" t="s">
        <v>11752</v>
      </c>
      <c r="L4168">
        <v>4.5999999999999996</v>
      </c>
      <c r="M4168">
        <v>757</v>
      </c>
      <c r="O4168" t="s">
        <v>26</v>
      </c>
      <c r="P4168" t="s">
        <v>39</v>
      </c>
      <c r="Q4168" t="s">
        <v>8142</v>
      </c>
    </row>
    <row r="4169" spans="1:17" ht="15.75" x14ac:dyDescent="0.25">
      <c r="A4169" s="3" t="str">
        <f>HYPERLINK("https://shop.sonapharmacy.com/products/apex%C2%AE-baby-ear-syringe", "https://shop.sonapharmacy.com/products/apex%C2%AE-baby-ear-syringe")</f>
        <v>https://shop.sonapharmacy.com/products/apex%C2%AE-baby-ear-syringe</v>
      </c>
      <c r="B4169" s="3" t="str">
        <f>HYPERLINK("https://shop.sonapharmacy.com/products/apex%c2%ae-baby-ear-syringe", "https://shop.sonapharmacy.com/products/apex%c2%ae-baby-ear-syringe")</f>
        <v>https://shop.sonapharmacy.com/products/apex%c2%ae-baby-ear-syringe</v>
      </c>
      <c r="C4169" t="s">
        <v>9929</v>
      </c>
      <c r="D4169" t="s">
        <v>11753</v>
      </c>
      <c r="E4169" s="3" t="str">
        <f>HYPERLINK("https://www.amazon.com/Syringe-Washing-Squeeze-Suction-Cleaning/dp/B099WFBC58/ref=sr_1_4?keywords=Apex+Baby+Ear+Syringe&amp;qid=1695260016&amp;sr=8-4", "https://www.amazon.com/Syringe-Washing-Squeeze-Suction-Cleaning/dp/B099WFBC58/ref=sr_1_4?keywords=Apex+Baby+Ear+Syringe&amp;qid=1695260016&amp;sr=8-4")</f>
        <v>https://www.amazon.com/Syringe-Washing-Squeeze-Suction-Cleaning/dp/B099WFBC58/ref=sr_1_4?keywords=Apex+Baby+Ear+Syringe&amp;qid=1695260016&amp;sr=8-4</v>
      </c>
      <c r="F4169" t="s">
        <v>11754</v>
      </c>
      <c r="G4169" t="e">
        <f ca="1">IMAGE("https://shop.sonapharmacy.com/cdn/shop/products/Apex-Baby-Ear-Syringe.jpg?v=1609959529")</f>
        <v>#NAME?</v>
      </c>
      <c r="H4169" t="e">
        <f ca="1">IMAGE("https://m.media-amazon.com/images/I/51c7xbZtGYL._AC_UL320_.jpg")</f>
        <v>#NAME?</v>
      </c>
      <c r="I4169" t="s">
        <v>9490</v>
      </c>
      <c r="J4169">
        <v>6.49</v>
      </c>
      <c r="K4169" s="2" t="s">
        <v>11755</v>
      </c>
      <c r="L4169">
        <v>4.3</v>
      </c>
      <c r="M4169">
        <v>128</v>
      </c>
      <c r="O4169" t="s">
        <v>26</v>
      </c>
      <c r="P4169" t="s">
        <v>39</v>
      </c>
      <c r="Q4169" t="s">
        <v>9933</v>
      </c>
    </row>
    <row r="4170" spans="1:17" ht="15.75" x14ac:dyDescent="0.25">
      <c r="A4170"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B4170"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C4170" t="s">
        <v>11756</v>
      </c>
      <c r="D4170" t="s">
        <v>11757</v>
      </c>
      <c r="E4170" s="3" t="str">
        <f>HYPERLINK("https://www.amazon.com/GoodSense-Omeprazole-Delayed-Release-Heartburn/dp/B08DPVCSDW/ref=sr_1_6?keywords=GoodSense%C2%AE+Omeprazole+Delayed+Release+Acid+Reducer+Tablets&amp;qid=1695260366&amp;sr=8-6", "https://www.amazon.com/GoodSense-Omeprazole-Delayed-Release-Heartburn/dp/B08DPVCSDW/ref=sr_1_6?keywords=GoodSense%C2%AE+Omeprazole+Delayed+Release+Acid+Reducer+Tablets&amp;qid=1695260366&amp;sr=8-6")</f>
        <v>https://www.amazon.com/GoodSense-Omeprazole-Delayed-Release-Heartburn/dp/B08DPVCSDW/ref=sr_1_6?keywords=GoodSense%C2%AE+Omeprazole+Delayed+Release+Acid+Reducer+Tablets&amp;qid=1695260366&amp;sr=8-6</v>
      </c>
      <c r="F4170" t="s">
        <v>11758</v>
      </c>
      <c r="G4170" t="e">
        <f ca="1">IMAGE("https://shop.sonapharmacy.com/cdn/shop/products/61mXugZtvTL._AC_SL1000_1a51445e-2089-4814-b7ea-c9463c6da8ef.jpg?v=1611027744")</f>
        <v>#NAME?</v>
      </c>
      <c r="H4170" t="e">
        <f ca="1">IMAGE("https://m.media-amazon.com/images/I/91F3N5lBoUL._AC_UL320_.jpg")</f>
        <v>#NAME?</v>
      </c>
      <c r="I4170" t="s">
        <v>10716</v>
      </c>
      <c r="J4170">
        <v>29.99</v>
      </c>
      <c r="K4170" s="2" t="s">
        <v>11759</v>
      </c>
      <c r="L4170">
        <v>4.8</v>
      </c>
      <c r="M4170">
        <v>1767</v>
      </c>
      <c r="O4170" t="s">
        <v>26</v>
      </c>
      <c r="P4170" t="s">
        <v>39</v>
      </c>
      <c r="Q4170" t="s">
        <v>11760</v>
      </c>
    </row>
    <row r="4171" spans="1:17" ht="15.75" x14ac:dyDescent="0.25">
      <c r="A4171" s="3" t="str">
        <f>HYPERLINK("https://shop.sonapharmacy.com/products/apex%C2%AE-glasses-repair-kit", "https://shop.sonapharmacy.com/products/apex%C2%AE-glasses-repair-kit")</f>
        <v>https://shop.sonapharmacy.com/products/apex%C2%AE-glasses-repair-kit</v>
      </c>
      <c r="B4171" s="3" t="str">
        <f>HYPERLINK("https://shop.sonapharmacy.com/products/apex%c2%ae-glasses-repair-kit", "https://shop.sonapharmacy.com/products/apex%c2%ae-glasses-repair-kit")</f>
        <v>https://shop.sonapharmacy.com/products/apex%c2%ae-glasses-repair-kit</v>
      </c>
      <c r="C4171" t="s">
        <v>9610</v>
      </c>
      <c r="D4171" t="s">
        <v>11761</v>
      </c>
      <c r="E4171" s="3" t="str">
        <f>HYPERLINK("https://www.amazon.com/Tasainu-Eyeglass-Silicone-Screwdriver-Suitable/dp/B0BYZKL2QV/ref=sr_1_6?keywords=Apex+Glasses+Repair+Kit&amp;qid=1695260010&amp;sr=8-6", "https://www.amazon.com/Tasainu-Eyeglass-Silicone-Screwdriver-Suitable/dp/B0BYZKL2QV/ref=sr_1_6?keywords=Apex+Glasses+Repair+Kit&amp;qid=1695260010&amp;sr=8-6")</f>
        <v>https://www.amazon.com/Tasainu-Eyeglass-Silicone-Screwdriver-Suitable/dp/B0BYZKL2QV/ref=sr_1_6?keywords=Apex+Glasses+Repair+Kit&amp;qid=1695260010&amp;sr=8-6</v>
      </c>
      <c r="F4171" t="s">
        <v>11762</v>
      </c>
      <c r="G4171" t="e">
        <f ca="1">IMAGE("https://shop.sonapharmacy.com/cdn/shop/products/61DTHhMb4hL._AC_SX679.jpg?v=1609960307")</f>
        <v>#NAME?</v>
      </c>
      <c r="H4171" t="e">
        <f ca="1">IMAGE("https://m.media-amazon.com/images/I/71+y7j0GXpL._AC_UL320_.jpg")</f>
        <v>#NAME?</v>
      </c>
      <c r="I4171" t="s">
        <v>9613</v>
      </c>
      <c r="J4171">
        <v>4.38</v>
      </c>
      <c r="K4171" s="2" t="s">
        <v>11763</v>
      </c>
      <c r="L4171">
        <v>4.3</v>
      </c>
      <c r="M4171">
        <v>155</v>
      </c>
      <c r="O4171" t="s">
        <v>26</v>
      </c>
      <c r="P4171" t="s">
        <v>39</v>
      </c>
      <c r="Q4171" t="s">
        <v>9615</v>
      </c>
    </row>
    <row r="4172" spans="1:17" ht="15.75" x14ac:dyDescent="0.25">
      <c r="A4172" s="3" t="str">
        <f>HYPERLINK("https://shop.sonapharmacy.com/products/sudafed-sinus-congestion-tablets-18-ct", "https://shop.sonapharmacy.com/products/sudafed-sinus-congestion-tablets-18-ct")</f>
        <v>https://shop.sonapharmacy.com/products/sudafed-sinus-congestion-tablets-18-ct</v>
      </c>
      <c r="B4172" s="3" t="str">
        <f>HYPERLINK("https://shop.sonapharmacy.com/products/sudafed-sinus-congestion-tablets-18-ct", "https://shop.sonapharmacy.com/products/sudafed-sinus-congestion-tablets-18-ct")</f>
        <v>https://shop.sonapharmacy.com/products/sudafed-sinus-congestion-tablets-18-ct</v>
      </c>
      <c r="C4172" t="s">
        <v>11453</v>
      </c>
      <c r="D4172" t="s">
        <v>11764</v>
      </c>
      <c r="E4172" s="3"/>
      <c r="F4172" t="s">
        <v>11765</v>
      </c>
      <c r="G4172" t="e">
        <f ca="1">IMAGE("https://shop.sonapharmacy.com/cdn/shop/products/SudafedSinusCongestionTablets.jpg?v=1595444685")</f>
        <v>#NAME?</v>
      </c>
      <c r="H4172" t="e">
        <f ca="1">IMAGE("https://m.media-amazon.com/images/I/61sazy69bdL._AC_UL320_.jpg")</f>
        <v>#NAME?</v>
      </c>
      <c r="I4172" t="s">
        <v>11456</v>
      </c>
      <c r="J4172">
        <v>16.989999999999998</v>
      </c>
      <c r="K4172" s="2" t="s">
        <v>11766</v>
      </c>
      <c r="L4172">
        <v>4.5999999999999996</v>
      </c>
      <c r="M4172">
        <v>2578</v>
      </c>
      <c r="O4172" t="s">
        <v>26</v>
      </c>
      <c r="P4172" t="s">
        <v>39</v>
      </c>
      <c r="Q4172" t="s">
        <v>11458</v>
      </c>
    </row>
    <row r="4173" spans="1:17" ht="15.75" x14ac:dyDescent="0.25">
      <c r="A4173" s="3" t="str">
        <f>HYPERLINK("https://shop.sonapharmacy.com/products/duracell%C2%AE-2032-3v-lithium-coin-battery", "https://shop.sonapharmacy.com/products/duracell%C2%AE-2032-3v-lithium-coin-battery")</f>
        <v>https://shop.sonapharmacy.com/products/duracell%C2%AE-2032-3v-lithium-coin-battery</v>
      </c>
      <c r="B4173" s="3" t="str">
        <f>HYPERLINK("https://shop.sonapharmacy.com/products/duracell%c2%ae-2032-3v-lithium-coin-battery", "https://shop.sonapharmacy.com/products/duracell%c2%ae-2032-3v-lithium-coin-battery")</f>
        <v>https://shop.sonapharmacy.com/products/duracell%c2%ae-2032-3v-lithium-coin-battery</v>
      </c>
      <c r="C4173" t="s">
        <v>11767</v>
      </c>
      <c r="D4173" t="s">
        <v>11768</v>
      </c>
      <c r="E4173" s="3"/>
      <c r="F4173" t="s">
        <v>11769</v>
      </c>
      <c r="G4173" t="e">
        <f ca="1">IMAGE("https://shop.sonapharmacy.com/cdn/shop/products/71rYCdBwUPL._AC_SL1500.jpg?v=1610333437")</f>
        <v>#NAME?</v>
      </c>
      <c r="H4173" t="e">
        <f ca="1">IMAGE("https://m.media-amazon.com/images/I/71EIpBFMq3L._AC_UL320_.jpg")</f>
        <v>#NAME?</v>
      </c>
      <c r="I4173" t="s">
        <v>8880</v>
      </c>
      <c r="J4173">
        <v>13.84</v>
      </c>
      <c r="K4173" s="2" t="s">
        <v>11770</v>
      </c>
      <c r="L4173">
        <v>4.5</v>
      </c>
      <c r="M4173">
        <v>1729</v>
      </c>
      <c r="O4173" t="s">
        <v>26</v>
      </c>
      <c r="P4173" t="s">
        <v>39</v>
      </c>
      <c r="Q4173" t="s">
        <v>11771</v>
      </c>
    </row>
    <row r="4174" spans="1:17" ht="15.75" x14ac:dyDescent="0.25">
      <c r="A4174" s="3" t="str">
        <f>HYPERLINK("https://shop.sonapharmacy.com/products/eos%C2%AE-sweet-mint-lip-balm", "https://shop.sonapharmacy.com/products/eos%C2%AE-sweet-mint-lip-balm")</f>
        <v>https://shop.sonapharmacy.com/products/eos%C2%AE-sweet-mint-lip-balm</v>
      </c>
      <c r="B4174" s="3" t="str">
        <f>HYPERLINK("https://shop.sonapharmacy.com/products/eos%c2%ae-sweet-mint-lip-balm", "https://shop.sonapharmacy.com/products/eos%c2%ae-sweet-mint-lip-balm")</f>
        <v>https://shop.sonapharmacy.com/products/eos%c2%ae-sweet-mint-lip-balm</v>
      </c>
      <c r="C4174" t="s">
        <v>8435</v>
      </c>
      <c r="D4174" t="s">
        <v>11772</v>
      </c>
      <c r="E4174" s="3" t="str">
        <f>HYPERLINK("https://www.amazon.com/eos-Dermatologist-Recommended-Moisture-Sensitive/dp/B0CB6DWG5W/ref=sr_1_10?keywords=EOS%C2%AE+Sweet+Mint+Lip+Balm&amp;qid=1695260226&amp;sr=8-10", "https://www.amazon.com/eos-Dermatologist-Recommended-Moisture-Sensitive/dp/B0CB6DWG5W/ref=sr_1_10?keywords=EOS%C2%AE+Sweet+Mint+Lip+Balm&amp;qid=1695260226&amp;sr=8-10")</f>
        <v>https://www.amazon.com/eos-Dermatologist-Recommended-Moisture-Sensitive/dp/B0CB6DWG5W/ref=sr_1_10?keywords=EOS%C2%AE+Sweet+Mint+Lip+Balm&amp;qid=1695260226&amp;sr=8-10</v>
      </c>
      <c r="F4174" t="s">
        <v>11773</v>
      </c>
      <c r="G4174" t="e">
        <f ca="1">IMAGE("https://shop.sonapharmacy.com/cdn/shop/products/GUEST_b0fdc7d4-45d7-4d76-93a9-fe22762c8990.jpg?v=1610643893")</f>
        <v>#NAME?</v>
      </c>
      <c r="H4174" t="e">
        <f ca="1">IMAGE("https://m.media-amazon.com/images/I/51+kH2MltpL._AC_UL320_.jpg")</f>
        <v>#NAME?</v>
      </c>
      <c r="I4174" t="s">
        <v>8411</v>
      </c>
      <c r="J4174">
        <v>7.18</v>
      </c>
      <c r="K4174" s="2" t="s">
        <v>11774</v>
      </c>
      <c r="L4174">
        <v>5</v>
      </c>
      <c r="M4174">
        <v>1</v>
      </c>
      <c r="O4174" t="s">
        <v>26</v>
      </c>
      <c r="P4174" t="s">
        <v>39</v>
      </c>
      <c r="Q4174" t="s">
        <v>8439</v>
      </c>
    </row>
    <row r="4175" spans="1:17" ht="15.75" x14ac:dyDescent="0.25">
      <c r="A4175" s="3" t="str">
        <f>HYPERLINK("https://shop.sonapharmacy.com/products/phisoderm-anti-blemish-gel-cleanser-6oz", "https://shop.sonapharmacy.com/products/phisoderm-anti-blemish-gel-cleanser-6oz")</f>
        <v>https://shop.sonapharmacy.com/products/phisoderm-anti-blemish-gel-cleanser-6oz</v>
      </c>
      <c r="B4175" s="3" t="str">
        <f>HYPERLINK("https://shop.sonapharmacy.com/products/phisoderm-anti-blemish-gel-cleanser-6oz", "https://shop.sonapharmacy.com/products/phisoderm-anti-blemish-gel-cleanser-6oz")</f>
        <v>https://shop.sonapharmacy.com/products/phisoderm-anti-blemish-gel-cleanser-6oz</v>
      </c>
      <c r="C4175" t="s">
        <v>8099</v>
      </c>
      <c r="D4175" t="s">
        <v>11775</v>
      </c>
      <c r="E4175" s="3" t="str">
        <f>HYPERLINK("https://www.amazon.com/pHisoderm-thomaswi-Phisoderm-Anti-Blemish-Cleanser/dp/B0014CW3IA/ref=sr_1_9?keywords=Phisoderm+Anti-Blemish+Gel+Cleanser+6oz.&amp;qid=1695260646&amp;sr=8-9", "https://www.amazon.com/pHisoderm-thomaswi-Phisoderm-Anti-Blemish-Cleanser/dp/B0014CW3IA/ref=sr_1_9?keywords=Phisoderm+Anti-Blemish+Gel+Cleanser+6oz.&amp;qid=1695260646&amp;sr=8-9")</f>
        <v>https://www.amazon.com/pHisoderm-thomaswi-Phisoderm-Anti-Blemish-Cleanser/dp/B0014CW3IA/ref=sr_1_9?keywords=Phisoderm+Anti-Blemish+Gel+Cleanser+6oz.&amp;qid=1695260646&amp;sr=8-9</v>
      </c>
      <c r="F4175" t="s">
        <v>11776</v>
      </c>
      <c r="G4175" t="e">
        <f ca="1">IMAGE("https://shop.sonapharmacy.com/cdn/shop/products/72de085f-0d9e-4dcc-a7c8-97413c8c71dd_1.8c57de847d24ae111148749ef4a3c57b.jpg?v=1608307791")</f>
        <v>#NAME?</v>
      </c>
      <c r="H4175" t="e">
        <f ca="1">IMAGE("https://m.media-amazon.com/images/I/51s9pxXX4TL._AC_UL320_.jpg")</f>
        <v>#NAME?</v>
      </c>
      <c r="I4175" t="s">
        <v>8102</v>
      </c>
      <c r="J4175">
        <v>8.9700000000000006</v>
      </c>
      <c r="K4175" s="2" t="s">
        <v>11777</v>
      </c>
      <c r="L4175">
        <v>3.8</v>
      </c>
      <c r="M4175">
        <v>45</v>
      </c>
      <c r="O4175" t="s">
        <v>26</v>
      </c>
      <c r="P4175" t="s">
        <v>39</v>
      </c>
      <c r="Q4175" t="s">
        <v>8104</v>
      </c>
    </row>
    <row r="4176" spans="1:17" ht="15.75" x14ac:dyDescent="0.25">
      <c r="A4176" s="3" t="str">
        <f>HYPERLINK("https://shop.sonapharmacy.com/products/geri-care%C2%AE-senna-plus-natural-vegetable-laxative-with-stool-softener", "https://shop.sonapharmacy.com/products/geri-care%C2%AE-senna-plus-natural-vegetable-laxative-with-stool-softener")</f>
        <v>https://shop.sonapharmacy.com/products/geri-care%C2%AE-senna-plus-natural-vegetable-laxative-with-stool-softener</v>
      </c>
      <c r="B4176" s="3" t="str">
        <f>HYPERLINK("https://shop.sonapharmacy.com/products/geri-care%c2%ae-senna-plus-natural-vegetable-laxative-with-stool-softener", "https://shop.sonapharmacy.com/products/geri-care%c2%ae-senna-plus-natural-vegetable-laxative-with-stool-softener")</f>
        <v>https://shop.sonapharmacy.com/products/geri-care%c2%ae-senna-plus-natural-vegetable-laxative-with-stool-softener</v>
      </c>
      <c r="C4176" t="s">
        <v>10782</v>
      </c>
      <c r="D4176" t="s">
        <v>11778</v>
      </c>
      <c r="E4176" s="3" t="str">
        <f>HYPERLINK("https://www.amazon.com/Natural-Vegetable-Laxative-Softener-tablets/dp/B00M3EX1A2/ref=sr_1_3?keywords=Geri-Care%C2%AE+Senna+Plus+Natural+Vegetable+Laxative+with+Stool+Softener+100ct.&amp;qid=1695260288&amp;sr=8-3", "https://www.amazon.com/Natural-Vegetable-Laxative-Softener-tablets/dp/B00M3EX1A2/ref=sr_1_3?keywords=Geri-Care%C2%AE+Senna+Plus+Natural+Vegetable+Laxative+with+Stool+Softener+100ct.&amp;qid=1695260288&amp;sr=8-3")</f>
        <v>https://www.amazon.com/Natural-Vegetable-Laxative-Softener-tablets/dp/B00M3EX1A2/ref=sr_1_3?keywords=Geri-Care%C2%AE+Senna+Plus+Natural+Vegetable+Laxative+with+Stool+Softener+100ct.&amp;qid=1695260288&amp;sr=8-3</v>
      </c>
      <c r="F4176" t="s">
        <v>11779</v>
      </c>
      <c r="G4176" t="e">
        <f ca="1">IMAGE("https://shop.sonapharmacy.com/cdn/shop/products/GCSennaPlus.png?v=1606875558")</f>
        <v>#NAME?</v>
      </c>
      <c r="H4176" t="e">
        <f ca="1">IMAGE("https://m.media-amazon.com/images/I/71firXAobqL._AC_UL320_.jpg")</f>
        <v>#NAME?</v>
      </c>
      <c r="I4176" t="s">
        <v>10785</v>
      </c>
      <c r="J4176">
        <v>9.99</v>
      </c>
      <c r="K4176" s="2" t="s">
        <v>11780</v>
      </c>
      <c r="L4176">
        <v>4.5999999999999996</v>
      </c>
      <c r="M4176">
        <v>2162</v>
      </c>
      <c r="O4176" t="s">
        <v>26</v>
      </c>
      <c r="P4176" t="s">
        <v>39</v>
      </c>
      <c r="Q4176" t="s">
        <v>10787</v>
      </c>
    </row>
    <row r="4177" spans="1:17" ht="15.75" x14ac:dyDescent="0.25">
      <c r="A4177" s="3" t="str">
        <f>HYPERLINK("https://shop.sonapharmacy.com/products/breathe-right-original-nasal-strips", "https://shop.sonapharmacy.com/products/breathe-right-original-nasal-strips")</f>
        <v>https://shop.sonapharmacy.com/products/breathe-right-original-nasal-strips</v>
      </c>
      <c r="B4177" s="3" t="str">
        <f>HYPERLINK("https://shop.sonapharmacy.com/products/breathe-right-original-nasal-strips", "https://shop.sonapharmacy.com/products/breathe-right-original-nasal-strips")</f>
        <v>https://shop.sonapharmacy.com/products/breathe-right-original-nasal-strips</v>
      </c>
      <c r="C4177" t="s">
        <v>8894</v>
      </c>
      <c r="D4177" t="s">
        <v>11781</v>
      </c>
      <c r="E4177" s="3" t="str">
        <f>HYPERLINK("https://www.amazon.com/Breathe-Right-Drug-Free-Original-Packages/dp/B07VG9MKTZ/ref=sr_1_4?keywords=Breathe+Right%C2%AE+Original+Nasal+Strips+Large%2FTan&amp;qid=1695260103&amp;sr=8-4", "https://www.amazon.com/Breathe-Right-Drug-Free-Original-Packages/dp/B07VG9MKTZ/ref=sr_1_4?keywords=Breathe+Right%C2%AE+Original+Nasal+Strips+Large%2FTan&amp;qid=1695260103&amp;sr=8-4")</f>
        <v>https://www.amazon.com/Breathe-Right-Drug-Free-Original-Packages/dp/B07VG9MKTZ/ref=sr_1_4?keywords=Breathe+Right%C2%AE+Original+Nasal+Strips+Large%2FTan&amp;qid=1695260103&amp;sr=8-4</v>
      </c>
      <c r="F4177" t="s">
        <v>11782</v>
      </c>
      <c r="G4177" t="e">
        <f ca="1">IMAGE("https://shop.sonapharmacy.com/cdn/shop/files/Sona-Shop-banner2_0c7162f3-c367-451d-8193-c2967a0e8d8e.jpg?v=1614290083")</f>
        <v>#NAME?</v>
      </c>
      <c r="H4177" t="e">
        <f ca="1">IMAGE("https://m.media-amazon.com/images/I/61kVo62CeEL._AC_UL320_.jpg")</f>
        <v>#NAME?</v>
      </c>
      <c r="I4177" t="s">
        <v>5295</v>
      </c>
      <c r="J4177">
        <v>24.2</v>
      </c>
      <c r="K4177" s="2" t="s">
        <v>11783</v>
      </c>
      <c r="L4177">
        <v>4.4000000000000004</v>
      </c>
      <c r="M4177">
        <v>46</v>
      </c>
      <c r="O4177" t="s">
        <v>26</v>
      </c>
      <c r="P4177" t="s">
        <v>39</v>
      </c>
      <c r="Q4177" t="s">
        <v>8898</v>
      </c>
    </row>
    <row r="4178" spans="1:17" ht="15.75" x14ac:dyDescent="0.25">
      <c r="A4178" s="3" t="str">
        <f>HYPERLINK("https://shop.sonapharmacy.com/products/essential%C2%AE-medical-supply-super-bigfoot-standing-cane-tip", "https://shop.sonapharmacy.com/products/essential%C2%AE-medical-supply-super-bigfoot-standing-cane-tip")</f>
        <v>https://shop.sonapharmacy.com/products/essential%C2%AE-medical-supply-super-bigfoot-standing-cane-tip</v>
      </c>
      <c r="B4178" s="3" t="str">
        <f>HYPERLINK("https://shop.sonapharmacy.com/products/essential%c2%ae-medical-supply-super-bigfoot-standing-cane-tip", "https://shop.sonapharmacy.com/products/essential%c2%ae-medical-supply-super-bigfoot-standing-cane-tip")</f>
        <v>https://shop.sonapharmacy.com/products/essential%c2%ae-medical-supply-super-bigfoot-standing-cane-tip</v>
      </c>
      <c r="C4178" t="s">
        <v>11784</v>
      </c>
      <c r="D4178" t="s">
        <v>11785</v>
      </c>
      <c r="E4178" s="3" t="str">
        <f>HYPERLINK("https://www.amazon.com/Essential-Medical-Supply-Matching-Standing/dp/B07CB1Z6XC/ref=sr_1_2?keywords=Essential%C2%AE+Medical+Supply+Super+Bigfoot+Standing+Cane+Tip&amp;qid=1695260217&amp;sr=8-2", "https://www.amazon.com/Essential-Medical-Supply-Matching-Standing/dp/B07CB1Z6XC/ref=sr_1_2?keywords=Essential%C2%AE+Medical+Supply+Super+Bigfoot+Standing+Cane+Tip&amp;qid=1695260217&amp;sr=8-2")</f>
        <v>https://www.amazon.com/Essential-Medical-Supply-Matching-Standing/dp/B07CB1Z6XC/ref=sr_1_2?keywords=Essential%C2%AE+Medical+Supply+Super+Bigfoot+Standing+Cane+Tip&amp;qid=1695260217&amp;sr=8-2</v>
      </c>
      <c r="F4178" t="s">
        <v>11786</v>
      </c>
      <c r="G4178" t="e">
        <f ca="1">IMAGE("https://shop.sonapharmacy.com/cdn/shop/products/7e0d6f12-3ba6-49ed-9404-b9747c1e3705_1.98841e81978cf9093b317f3a5d752a8b.jpg?v=1609954102")</f>
        <v>#NAME?</v>
      </c>
      <c r="H4178" t="e">
        <f ca="1">IMAGE("https://m.media-amazon.com/images/I/71dub7hbvyL._AC_UL320_.jpg")</f>
        <v>#NAME?</v>
      </c>
      <c r="I4178" t="s">
        <v>11787</v>
      </c>
      <c r="J4178">
        <v>24.53</v>
      </c>
      <c r="K4178" s="2" t="s">
        <v>11788</v>
      </c>
      <c r="L4178">
        <v>4.5999999999999996</v>
      </c>
      <c r="M4178">
        <v>1869</v>
      </c>
      <c r="O4178" t="s">
        <v>136</v>
      </c>
      <c r="P4178" t="s">
        <v>39</v>
      </c>
      <c r="Q4178" t="s">
        <v>11789</v>
      </c>
    </row>
    <row r="4179" spans="1:17" ht="15.75" x14ac:dyDescent="0.25">
      <c r="A4179" s="3" t="str">
        <f>HYPERLINK("https://shop.sonapharmacy.com/products/clear-the-air-purifying-blend-1-oz", "https://shop.sonapharmacy.com/products/clear-the-air-purifying-blend-1-oz")</f>
        <v>https://shop.sonapharmacy.com/products/clear-the-air-purifying-blend-1-oz</v>
      </c>
      <c r="B4179" s="3" t="str">
        <f>HYPERLINK("https://shop.sonapharmacy.com/products/clear-the-air-purifying-blend-1-oz", "https://shop.sonapharmacy.com/products/clear-the-air-purifying-blend-1-oz")</f>
        <v>https://shop.sonapharmacy.com/products/clear-the-air-purifying-blend-1-oz</v>
      </c>
      <c r="C4179" t="s">
        <v>11790</v>
      </c>
      <c r="D4179" t="s">
        <v>11791</v>
      </c>
      <c r="E4179" s="3" t="str">
        <f>HYPERLINK("https://www.amazon.com/Clear-Purifying-Blend-Foods-Pack/dp/B00LB442BM/ref=sr_1_2?keywords=NOW%C2%AE+Clear+the+Air+Purifying+Blend+1oz.&amp;qid=1695260588&amp;sr=8-2", "https://www.amazon.com/Clear-Purifying-Blend-Foods-Pack/dp/B00LB442BM/ref=sr_1_2?keywords=NOW%C2%AE+Clear+the+Air+Purifying+Blend+1oz.&amp;qid=1695260588&amp;sr=8-2")</f>
        <v>https://www.amazon.com/Clear-Purifying-Blend-Foods-Pack/dp/B00LB442BM/ref=sr_1_2?keywords=NOW%C2%AE+Clear+the+Air+Purifying+Blend+1oz.&amp;qid=1695260588&amp;sr=8-2</v>
      </c>
      <c r="F4179" t="s">
        <v>11792</v>
      </c>
      <c r="G4179" t="e">
        <f ca="1">IMAGE("https://shop.sonapharmacy.com/cdn/shop/products/1740069601315-2t.jpg?v=1611163425")</f>
        <v>#NAME?</v>
      </c>
      <c r="H4179" t="e">
        <f ca="1">IMAGE("https://m.media-amazon.com/images/I/61rn8ghs1TL._AC_UL320_.jpg")</f>
        <v>#NAME?</v>
      </c>
      <c r="I4179" t="s">
        <v>11793</v>
      </c>
      <c r="J4179">
        <v>23.28</v>
      </c>
      <c r="K4179" s="2" t="s">
        <v>11794</v>
      </c>
      <c r="L4179">
        <v>4.5</v>
      </c>
      <c r="M4179">
        <v>7</v>
      </c>
      <c r="O4179" t="s">
        <v>26</v>
      </c>
      <c r="P4179" t="s">
        <v>39</v>
      </c>
      <c r="Q4179" t="s">
        <v>11795</v>
      </c>
    </row>
    <row r="4180" spans="1:17" ht="15.75" x14ac:dyDescent="0.25">
      <c r="A4180" s="3" t="str">
        <f>HYPERLINK("https://shop.sonapharmacy.com/products/duracell%C2%AE-389-390-silver-oxide-button-battery", "https://shop.sonapharmacy.com/products/duracell%C2%AE-389-390-silver-oxide-button-battery")</f>
        <v>https://shop.sonapharmacy.com/products/duracell%C2%AE-389-390-silver-oxide-button-battery</v>
      </c>
      <c r="B4180" s="3" t="str">
        <f>HYPERLINK("https://shop.sonapharmacy.com/products/duracell%c2%ae-389-390-silver-oxide-button-battery", "https://shop.sonapharmacy.com/products/duracell%c2%ae-389-390-silver-oxide-button-battery")</f>
        <v>https://shop.sonapharmacy.com/products/duracell%c2%ae-389-390-silver-oxide-button-battery</v>
      </c>
      <c r="C4180" t="s">
        <v>10491</v>
      </c>
      <c r="D4180" t="s">
        <v>11796</v>
      </c>
      <c r="E4180" s="3" t="str">
        <f>HYPERLINK("https://www.amazon.com/Duracell-Silver-Battery-lasting-battery/dp/B077NPTFZT/ref=sr_1_1?keywords=Duracell%C2%AE+389%2F390+Silver+Oxide+Button+Battery&amp;qid=1695260222&amp;sr=8-1", "https://www.amazon.com/Duracell-Silver-Battery-lasting-battery/dp/B077NPTFZT/ref=sr_1_1?keywords=Duracell%C2%AE+389%2F390+Silver+Oxide+Button+Battery&amp;qid=1695260222&amp;sr=8-1")</f>
        <v>https://www.amazon.com/Duracell-Silver-Battery-lasting-battery/dp/B077NPTFZT/ref=sr_1_1?keywords=Duracell%C2%AE+389%2F390+Silver+Oxide+Button+Battery&amp;qid=1695260222&amp;sr=8-1</v>
      </c>
      <c r="F4180" t="s">
        <v>11797</v>
      </c>
      <c r="G4180" t="e">
        <f ca="1">IMAGE("https://shop.sonapharmacy.com/cdn/shop/products/61P9QBF64rL._AC_SL1401.jpg?v=1610332976")</f>
        <v>#NAME?</v>
      </c>
      <c r="H4180" t="e">
        <f ca="1">IMAGE("https://m.media-amazon.com/images/I/51VT9zf0bRL._AC_UL320_.jpg")</f>
        <v>#NAME?</v>
      </c>
      <c r="I4180" t="s">
        <v>9982</v>
      </c>
      <c r="J4180">
        <v>5.89</v>
      </c>
      <c r="K4180" s="2" t="s">
        <v>11798</v>
      </c>
      <c r="L4180">
        <v>4.7</v>
      </c>
      <c r="M4180">
        <v>1662</v>
      </c>
      <c r="O4180" t="s">
        <v>26</v>
      </c>
      <c r="P4180" t="s">
        <v>39</v>
      </c>
      <c r="Q4180" t="s">
        <v>10495</v>
      </c>
    </row>
    <row r="4181" spans="1:17" ht="15.75" x14ac:dyDescent="0.25">
      <c r="A4181" s="3" t="str">
        <f>HYPERLINK("https://shop.sonapharmacy.com/products/duracell%C2%AE-389-390-silver-oxide-button-battery", "https://shop.sonapharmacy.com/products/duracell%C2%AE-389-390-silver-oxide-button-battery")</f>
        <v>https://shop.sonapharmacy.com/products/duracell%C2%AE-389-390-silver-oxide-button-battery</v>
      </c>
      <c r="B4181" s="3" t="str">
        <f>HYPERLINK("https://shop.sonapharmacy.com/products/duracell%c2%ae-389-390-silver-oxide-button-battery", "https://shop.sonapharmacy.com/products/duracell%c2%ae-389-390-silver-oxide-button-battery")</f>
        <v>https://shop.sonapharmacy.com/products/duracell%c2%ae-389-390-silver-oxide-button-battery</v>
      </c>
      <c r="C4181" t="s">
        <v>10491</v>
      </c>
      <c r="D4181" t="s">
        <v>11471</v>
      </c>
      <c r="E4181" s="3" t="str">
        <f>HYPERLINK("https://www.amazon.com/1-5V-Silver-Oxide-Battery/dp/B00LQQL8EE/ref=sr_1_6?keywords=Duracell%C2%AE+389%2F390+Silver+Oxide+Button+Battery&amp;qid=1695260222&amp;sr=8-6", "https://www.amazon.com/1-5V-Silver-Oxide-Battery/dp/B00LQQL8EE/ref=sr_1_6?keywords=Duracell%C2%AE+389%2F390+Silver+Oxide+Button+Battery&amp;qid=1695260222&amp;sr=8-6")</f>
        <v>https://www.amazon.com/1-5V-Silver-Oxide-Battery/dp/B00LQQL8EE/ref=sr_1_6?keywords=Duracell%C2%AE+389%2F390+Silver+Oxide+Button+Battery&amp;qid=1695260222&amp;sr=8-6</v>
      </c>
      <c r="F4181" t="s">
        <v>11799</v>
      </c>
      <c r="G4181" t="e">
        <f ca="1">IMAGE("https://shop.sonapharmacy.com/cdn/shop/products/61P9QBF64rL._AC_SL1401.jpg?v=1610332976")</f>
        <v>#NAME?</v>
      </c>
      <c r="H4181" t="e">
        <f ca="1">IMAGE("https://m.media-amazon.com/images/I/61wuURsqMpL._AC_UL320_.jpg")</f>
        <v>#NAME?</v>
      </c>
      <c r="I4181" t="s">
        <v>9982</v>
      </c>
      <c r="J4181">
        <v>5.89</v>
      </c>
      <c r="K4181" s="2" t="s">
        <v>11798</v>
      </c>
      <c r="L4181">
        <v>4.7</v>
      </c>
      <c r="M4181">
        <v>14</v>
      </c>
      <c r="O4181" t="s">
        <v>26</v>
      </c>
      <c r="P4181" t="s">
        <v>39</v>
      </c>
      <c r="Q4181" t="s">
        <v>10495</v>
      </c>
    </row>
    <row r="4182" spans="1:17" ht="15.75" x14ac:dyDescent="0.25">
      <c r="A4182" s="3" t="str">
        <f>HYPERLINK("https://shop.sonapharmacy.com/products/lotrimin%C2%AE-af-jock-itch-antifungal-powder-spray", "https://shop.sonapharmacy.com/products/lotrimin%C2%AE-af-jock-itch-antifungal-powder-spray")</f>
        <v>https://shop.sonapharmacy.com/products/lotrimin%C2%AE-af-jock-itch-antifungal-powder-spray</v>
      </c>
      <c r="B4182" s="3" t="str">
        <f>HYPERLINK("https://shop.sonapharmacy.com/products/lotrimin%c2%ae-af-jock-itch-antifungal-powder-spray", "https://shop.sonapharmacy.com/products/lotrimin%c2%ae-af-jock-itch-antifungal-powder-spray")</f>
        <v>https://shop.sonapharmacy.com/products/lotrimin%c2%ae-af-jock-itch-antifungal-powder-spray</v>
      </c>
      <c r="C4182" t="s">
        <v>11331</v>
      </c>
      <c r="D4182" t="s">
        <v>10654</v>
      </c>
      <c r="E4182" s="3" t="str">
        <f>HYPERLINK("https://www.amazon.com/Miconazole-Clinically-Effective-Antifungal-Treatment/dp/B07QQZV9QK/ref=sr_1_2?keywords=Lotrimin%C2%AE+AF+Jock+Itch+Antifungal+Powder+Spray&amp;qid=1695260446&amp;rdc=1&amp;sr=8-2", "https://www.amazon.com/Miconazole-Clinically-Effective-Antifungal-Treatment/dp/B07QQZV9QK/ref=sr_1_2?keywords=Lotrimin%C2%AE+AF+Jock+Itch+Antifungal+Powder+Spray&amp;qid=1695260446&amp;rdc=1&amp;sr=8-2")</f>
        <v>https://www.amazon.com/Miconazole-Clinically-Effective-Antifungal-Treatment/dp/B07QQZV9QK/ref=sr_1_2?keywords=Lotrimin%C2%AE+AF+Jock+Itch+Antifungal+Powder+Spray&amp;qid=1695260446&amp;rdc=1&amp;sr=8-2</v>
      </c>
      <c r="F4182" t="s">
        <v>10655</v>
      </c>
      <c r="G4182" t="e">
        <f ca="1">IMAGE("https://shop.sonapharmacy.com/cdn/shop/products/lotriminspray.jpg?v=1607963309")</f>
        <v>#NAME?</v>
      </c>
      <c r="H4182" t="e">
        <f ca="1">IMAGE("https://m.media-amazon.com/images/I/81QC9GujLmL._AC_UL320_.jpg")</f>
        <v>#NAME?</v>
      </c>
      <c r="I4182" t="s">
        <v>11328</v>
      </c>
      <c r="J4182">
        <v>22.77</v>
      </c>
      <c r="K4182" s="2" t="s">
        <v>11800</v>
      </c>
      <c r="L4182">
        <v>4.5999999999999996</v>
      </c>
      <c r="M4182">
        <v>4295</v>
      </c>
      <c r="O4182" t="s">
        <v>26</v>
      </c>
      <c r="P4182" t="s">
        <v>39</v>
      </c>
      <c r="Q4182" t="s">
        <v>11332</v>
      </c>
    </row>
    <row r="4183" spans="1:17" ht="15.75" x14ac:dyDescent="0.25">
      <c r="A4183" s="3" t="str">
        <f>HYPERLINK("https://shop.sonapharmacy.com/products/carex%E2%84%A2-aluminum-adult-crutches", "https://shop.sonapharmacy.com/products/carex%E2%84%A2-aluminum-adult-crutches")</f>
        <v>https://shop.sonapharmacy.com/products/carex%E2%84%A2-aluminum-adult-crutches</v>
      </c>
      <c r="B4183" s="3" t="str">
        <f>HYPERLINK("https://shop.sonapharmacy.com/products/carex%e2%84%a2-aluminum-adult-crutches", "https://shop.sonapharmacy.com/products/carex%e2%84%a2-aluminum-adult-crutches")</f>
        <v>https://shop.sonapharmacy.com/products/carex%e2%84%a2-aluminum-adult-crutches</v>
      </c>
      <c r="C4183" t="s">
        <v>11801</v>
      </c>
      <c r="D4183" t="s">
        <v>11802</v>
      </c>
      <c r="E4183" s="3"/>
      <c r="F4183" t="s">
        <v>11803</v>
      </c>
      <c r="G4183" t="e">
        <f ca="1">IMAGE("https://shop.sonapharmacy.com/cdn/shop/products/CarexAluminumCrutchesYouth_AdultandTall_1_720x_17f8688a-06ff-4271-84a2-9e898ae6a65a.png?v=1609953352")</f>
        <v>#NAME?</v>
      </c>
      <c r="H4183" t="e">
        <f ca="1">IMAGE("https://m.media-amazon.com/images/I/51Ma3mIQ1yL._AC_UL320_.jpg")</f>
        <v>#NAME?</v>
      </c>
      <c r="I4183" t="s">
        <v>11804</v>
      </c>
      <c r="J4183">
        <v>79.989999999999995</v>
      </c>
      <c r="K4183" s="2" t="s">
        <v>11800</v>
      </c>
      <c r="L4183">
        <v>4.0999999999999996</v>
      </c>
      <c r="M4183">
        <v>56</v>
      </c>
      <c r="O4183" t="s">
        <v>26</v>
      </c>
      <c r="P4183" t="s">
        <v>39</v>
      </c>
      <c r="Q4183" t="s">
        <v>11805</v>
      </c>
    </row>
    <row r="4184" spans="1:17" ht="15.75" x14ac:dyDescent="0.25">
      <c r="A4184" s="3" t="str">
        <f>HYPERLINK("https://shop.sonapharmacy.com/products/nivea%C2%AE-sensitive-shave-gel-7oz", "https://shop.sonapharmacy.com/products/nivea%C2%AE-sensitive-shave-gel-7oz")</f>
        <v>https://shop.sonapharmacy.com/products/nivea%C2%AE-sensitive-shave-gel-7oz</v>
      </c>
      <c r="B4184" s="3" t="str">
        <f>HYPERLINK("https://shop.sonapharmacy.com/products/nivea%c2%ae-sensitive-shave-gel-7oz", "https://shop.sonapharmacy.com/products/nivea%c2%ae-sensitive-shave-gel-7oz")</f>
        <v>https://shop.sonapharmacy.com/products/nivea%c2%ae-sensitive-shave-gel-7oz</v>
      </c>
      <c r="C4184" t="s">
        <v>11806</v>
      </c>
      <c r="D4184" t="s">
        <v>11807</v>
      </c>
      <c r="E4184" s="3"/>
      <c r="F4184" t="s">
        <v>11808</v>
      </c>
      <c r="G4184" t="e">
        <f ca="1">IMAGE("https://shop.sonapharmacy.com/cdn/shop/products/3b43c19f-a3d8-49da-b495-81df6c4f8039.f4873e5c15da5720c9da618e2c5c3b6e.jpg?v=1610309585")</f>
        <v>#NAME?</v>
      </c>
      <c r="H4184" t="e">
        <f ca="1">IMAGE("https://m.media-amazon.com/images/I/71HyyZiS+WL._AC_UL320_.jpg")</f>
        <v>#NAME?</v>
      </c>
      <c r="I4184" t="s">
        <v>8600</v>
      </c>
      <c r="J4184">
        <v>9.7100000000000009</v>
      </c>
      <c r="K4184" s="2" t="s">
        <v>11809</v>
      </c>
      <c r="L4184">
        <v>4.7</v>
      </c>
      <c r="M4184">
        <v>21771</v>
      </c>
      <c r="O4184" t="s">
        <v>26</v>
      </c>
      <c r="P4184" t="s">
        <v>39</v>
      </c>
      <c r="Q4184" t="s">
        <v>11810</v>
      </c>
    </row>
    <row r="4185" spans="1:17" ht="15.75" x14ac:dyDescent="0.25">
      <c r="A4185" s="3" t="str">
        <f>HYPERLINK("https://shop.sonapharmacy.com/products/lice-shield-shampoo-conditioner", "https://shop.sonapharmacy.com/products/lice-shield-shampoo-conditioner")</f>
        <v>https://shop.sonapharmacy.com/products/lice-shield-shampoo-conditioner</v>
      </c>
      <c r="B4185" s="3" t="str">
        <f>HYPERLINK("https://shop.sonapharmacy.com/products/lice-shield-shampoo-conditioner", "https://shop.sonapharmacy.com/products/lice-shield-shampoo-conditioner")</f>
        <v>https://shop.sonapharmacy.com/products/lice-shield-shampoo-conditioner</v>
      </c>
      <c r="C4185" t="s">
        <v>11290</v>
      </c>
      <c r="D4185" t="s">
        <v>11811</v>
      </c>
      <c r="E4185" s="3" t="str">
        <f>HYPERLINK("https://www.amazon.com/Lice-Shield-Repellent-Shampoo-Conditioner/dp/B00UIFG27M/ref=sr_1_8?keywords=Lice+Shield+Shampoo&amp;qid=1695260434&amp;sr=8-8", "https://www.amazon.com/Lice-Shield-Repellent-Shampoo-Conditioner/dp/B00UIFG27M/ref=sr_1_8?keywords=Lice+Shield+Shampoo&amp;qid=1695260434&amp;sr=8-8")</f>
        <v>https://www.amazon.com/Lice-Shield-Repellent-Shampoo-Conditioner/dp/B00UIFG27M/ref=sr_1_8?keywords=Lice+Shield+Shampoo&amp;qid=1695260434&amp;sr=8-8</v>
      </c>
      <c r="F4185" t="s">
        <v>11812</v>
      </c>
      <c r="G4185" t="e">
        <f ca="1">IMAGE("https://shop.sonapharmacy.com/cdn/shop/products/liceshield.jpg?v=1608136014")</f>
        <v>#NAME?</v>
      </c>
      <c r="H4185" t="e">
        <f ca="1">IMAGE("https://m.media-amazon.com/images/I/41slT66xA8L._AC_UL320_.jpg")</f>
        <v>#NAME?</v>
      </c>
      <c r="I4185" t="s">
        <v>4296</v>
      </c>
      <c r="J4185">
        <v>19.29</v>
      </c>
      <c r="K4185" s="2" t="s">
        <v>11813</v>
      </c>
      <c r="L4185">
        <v>4.4000000000000004</v>
      </c>
      <c r="M4185">
        <v>4</v>
      </c>
      <c r="O4185" t="s">
        <v>26</v>
      </c>
      <c r="P4185" t="s">
        <v>39</v>
      </c>
      <c r="Q4185" t="s">
        <v>11294</v>
      </c>
    </row>
    <row r="4186" spans="1:17" ht="15.75" x14ac:dyDescent="0.25">
      <c r="A4186" s="3" t="str">
        <f>HYPERLINK("https://shop.sonapharmacy.com/products/rolaids%C2%AE-ultra-strength-antacid-fruit-chewable-tablets-72ct", "https://shop.sonapharmacy.com/products/rolaids%C2%AE-ultra-strength-antacid-fruit-chewable-tablets-72ct")</f>
        <v>https://shop.sonapharmacy.com/products/rolaids%C2%AE-ultra-strength-antacid-fruit-chewable-tablets-72ct</v>
      </c>
      <c r="B4186" s="3" t="str">
        <f>HYPERLINK("https://shop.sonapharmacy.com/products/rolaids%c2%ae-ultra-strength-antacid-fruit-chewable-tablets-72ct", "https://shop.sonapharmacy.com/products/rolaids%c2%ae-ultra-strength-antacid-fruit-chewable-tablets-72ct")</f>
        <v>https://shop.sonapharmacy.com/products/rolaids%c2%ae-ultra-strength-antacid-fruit-chewable-tablets-72ct</v>
      </c>
      <c r="C4186" t="s">
        <v>8980</v>
      </c>
      <c r="D4186" t="s">
        <v>11814</v>
      </c>
      <c r="E4186" s="3" t="str">
        <f>HYPERLINK("https://www.amazon.com/Strength-Antacid-Chewable-Tablets1000-Stickers/dp/B0C4G6BNBD/ref=sr_1_8?keywords=Rolaids%C2%AE+Ultra+Strength+Antacid+Fruit+Chewable+Tablets+72ct.&amp;qid=1695260692&amp;sr=8-8", "https://www.amazon.com/Strength-Antacid-Chewable-Tablets1000-Stickers/dp/B0C4G6BNBD/ref=sr_1_8?keywords=Rolaids%C2%AE+Ultra+Strength+Antacid+Fruit+Chewable+Tablets+72ct.&amp;qid=1695260692&amp;sr=8-8")</f>
        <v>https://www.amazon.com/Strength-Antacid-Chewable-Tablets1000-Stickers/dp/B0C4G6BNBD/ref=sr_1_8?keywords=Rolaids%C2%AE+Ultra+Strength+Antacid+Fruit+Chewable+Tablets+72ct.&amp;qid=1695260692&amp;sr=8-8</v>
      </c>
      <c r="F4186" t="s">
        <v>11815</v>
      </c>
      <c r="G4186" t="e">
        <f ca="1">IMAGE("https://shop.sonapharmacy.com/cdn/shop/products/69b77a05-4b4d-4b4c-ba14-78edb3d793ad.d4991a55857af9c4d097b18ccba909ec.jpg?v=1610906524")</f>
        <v>#NAME?</v>
      </c>
      <c r="H4186" t="e">
        <f ca="1">IMAGE("https://m.media-amazon.com/images/I/712aUupdc-L._AC_UL320_.jpg")</f>
        <v>#NAME?</v>
      </c>
      <c r="I4186" t="s">
        <v>8983</v>
      </c>
      <c r="J4186">
        <v>9.99</v>
      </c>
      <c r="K4186" s="2" t="s">
        <v>11816</v>
      </c>
      <c r="L4186">
        <v>5</v>
      </c>
      <c r="M4186">
        <v>5</v>
      </c>
      <c r="O4186" t="s">
        <v>26</v>
      </c>
      <c r="P4186" t="s">
        <v>39</v>
      </c>
      <c r="Q4186" t="s">
        <v>8985</v>
      </c>
    </row>
    <row r="4187" spans="1:17" ht="15.75" x14ac:dyDescent="0.25">
      <c r="A4187" s="3" t="str">
        <f>HYPERLINK("https://shop.sonapharmacy.com/products/colgate%C2%AE-max-fresh%C2%AE-with-breath-strips-cool-mint-toothpaste-6oz", "https://shop.sonapharmacy.com/products/colgate%C2%AE-max-fresh%C2%AE-with-breath-strips-cool-mint-toothpaste-6oz")</f>
        <v>https://shop.sonapharmacy.com/products/colgate%C2%AE-max-fresh%C2%AE-with-breath-strips-cool-mint-toothpaste-6oz</v>
      </c>
      <c r="B4187" s="3" t="str">
        <f>HYPERLINK("https://shop.sonapharmacy.com/products/colgate%c2%ae-max-fresh%c2%ae-with-breath-strips-cool-mint-toothpaste-6oz", "https://shop.sonapharmacy.com/products/colgate%c2%ae-max-fresh%c2%ae-with-breath-strips-cool-mint-toothpaste-6oz")</f>
        <v>https://shop.sonapharmacy.com/products/colgate%c2%ae-max-fresh%c2%ae-with-breath-strips-cool-mint-toothpaste-6oz</v>
      </c>
      <c r="C4187" t="s">
        <v>8198</v>
      </c>
      <c r="D4187" t="s">
        <v>11817</v>
      </c>
      <c r="E4187" s="3" t="str">
        <f>HYPERLINK("https://www.amazon.com/Colgate-Whitening-Toothpaste-Breath-Strips/dp/B00G8EF1R4/ref=sr_1_1?keywords=Colgate%C2%AE+Max+Fresh%C2%AE+With+Breath+Strips+Cool+Mint+Toothpaste+6oz.&amp;qid=1695260143&amp;sr=8-1", "https://www.amazon.com/Colgate-Whitening-Toothpaste-Breath-Strips/dp/B00G8EF1R4/ref=sr_1_1?keywords=Colgate%C2%AE+Max+Fresh%C2%AE+With+Breath+Strips+Cool+Mint+Toothpaste+6oz.&amp;qid=1695260143&amp;sr=8-1")</f>
        <v>https://www.amazon.com/Colgate-Whitening-Toothpaste-Breath-Strips/dp/B00G8EF1R4/ref=sr_1_1?keywords=Colgate%C2%AE+Max+Fresh%C2%AE+With+Breath+Strips+Cool+Mint+Toothpaste+6oz.&amp;qid=1695260143&amp;sr=8-1</v>
      </c>
      <c r="F4187" t="s">
        <v>11818</v>
      </c>
      <c r="G4187" t="e">
        <f ca="1">IMAGE("https://shop.sonapharmacy.com/cdn/shop/products/360ae4ed-e444-4623-9fe6-180a0c669cfa_7.d343bb9d6244207be3ec4e9415ae2fe1.png?v=1608652602")</f>
        <v>#NAME?</v>
      </c>
      <c r="H4187" t="e">
        <f ca="1">IMAGE("https://m.media-amazon.com/images/I/71-U5VZ0k9L._AC_UL320_.jpg")</f>
        <v>#NAME?</v>
      </c>
      <c r="I4187" t="s">
        <v>8102</v>
      </c>
      <c r="J4187">
        <v>8.91</v>
      </c>
      <c r="K4187" s="2" t="s">
        <v>11819</v>
      </c>
      <c r="L4187">
        <v>3.7</v>
      </c>
      <c r="M4187">
        <v>6</v>
      </c>
      <c r="O4187" t="s">
        <v>26</v>
      </c>
      <c r="P4187" t="s">
        <v>39</v>
      </c>
      <c r="Q4187" t="s">
        <v>8202</v>
      </c>
    </row>
    <row r="4188" spans="1:17" ht="15.75" x14ac:dyDescent="0.25">
      <c r="A4188" s="3" t="str">
        <f>HYPERLINK("https://shop.sonapharmacy.com/products/nexcare-opticlude", "https://shop.sonapharmacy.com/products/nexcare-opticlude")</f>
        <v>https://shop.sonapharmacy.com/products/nexcare-opticlude</v>
      </c>
      <c r="B4188" s="3" t="str">
        <f>HYPERLINK("https://shop.sonapharmacy.com/products/nexcare-opticlude", "https://shop.sonapharmacy.com/products/nexcare-opticlude")</f>
        <v>https://shop.sonapharmacy.com/products/nexcare-opticlude</v>
      </c>
      <c r="C4188" t="s">
        <v>8566</v>
      </c>
      <c r="D4188" t="s">
        <v>10894</v>
      </c>
      <c r="E4188" s="3" t="str">
        <f>HYPERLINK("https://www.amazon.com/Nexcare-Opticlude-Orthoptic-Patches-Regular/dp/B016UCITJU/ref=sr_1_1?keywords=Nexcare+Opticlude+Eye+Patch&amp;qid=1695260565&amp;sr=8-1", "https://www.amazon.com/Nexcare-Opticlude-Orthoptic-Patches-Regular/dp/B016UCITJU/ref=sr_1_1?keywords=Nexcare+Opticlude+Eye+Patch&amp;qid=1695260565&amp;sr=8-1")</f>
        <v>https://www.amazon.com/Nexcare-Opticlude-Orthoptic-Patches-Regular/dp/B016UCITJU/ref=sr_1_1?keywords=Nexcare+Opticlude+Eye+Patch&amp;qid=1695260565&amp;sr=8-1</v>
      </c>
      <c r="F4188" t="s">
        <v>11820</v>
      </c>
      <c r="G4188" t="e">
        <f ca="1">IMAGE("https://shop.sonapharmacy.com/cdn/shop/products/us-1539-opticlude-eyepatch.jpg?v=1607704873")</f>
        <v>#NAME?</v>
      </c>
      <c r="H4188" t="e">
        <f ca="1">IMAGE("https://m.media-amazon.com/images/I/81dtHZF03nL._AC_UL320_.jpg")</f>
        <v>#NAME?</v>
      </c>
      <c r="I4188" t="s">
        <v>4296</v>
      </c>
      <c r="J4188">
        <v>19.25</v>
      </c>
      <c r="K4188" s="2" t="s">
        <v>11821</v>
      </c>
      <c r="L4188">
        <v>4.5</v>
      </c>
      <c r="M4188">
        <v>599</v>
      </c>
      <c r="O4188" t="s">
        <v>26</v>
      </c>
      <c r="P4188" t="s">
        <v>39</v>
      </c>
      <c r="Q4188" t="s">
        <v>8570</v>
      </c>
    </row>
    <row r="4189" spans="1:17" ht="15.75" x14ac:dyDescent="0.25">
      <c r="A4189" s="3" t="str">
        <f>HYPERLINK("https://shop.sonapharmacy.com/products/coricidin-hbp-chest-congestion-cough-liquid-gels", "https://shop.sonapharmacy.com/products/coricidin-hbp-chest-congestion-cough-liquid-gels")</f>
        <v>https://shop.sonapharmacy.com/products/coricidin-hbp-chest-congestion-cough-liquid-gels</v>
      </c>
      <c r="B4189" s="3" t="str">
        <f>HYPERLINK("https://shop.sonapharmacy.com/products/coricidin-hbp-chest-congestion-cough-liquid-gels", "https://shop.sonapharmacy.com/products/coricidin-hbp-chest-congestion-cough-liquid-gels")</f>
        <v>https://shop.sonapharmacy.com/products/coricidin-hbp-chest-congestion-cough-liquid-gels</v>
      </c>
      <c r="C4189" t="s">
        <v>9766</v>
      </c>
      <c r="D4189" t="s">
        <v>11822</v>
      </c>
      <c r="E4189" s="3" t="str">
        <f>HYPERLINK("https://www.amazon.com/Coricidin-Chest-Congestion-Cough-Liquigels/dp/B07QF38Z3H/ref=sr_1_8?keywords=Coricidin%C2%AE+HBP+Chest+Congestion+%26+Cough+Liquid+Gels&amp;qid=1695260160&amp;sr=8-8", "https://www.amazon.com/Coricidin-Chest-Congestion-Cough-Liquigels/dp/B07QF38Z3H/ref=sr_1_8?keywords=Coricidin%C2%AE+HBP+Chest+Congestion+%26+Cough+Liquid+Gels&amp;qid=1695260160&amp;sr=8-8")</f>
        <v>https://www.amazon.com/Coricidin-Chest-Congestion-Cough-Liquigels/dp/B07QF38Z3H/ref=sr_1_8?keywords=Coricidin%C2%AE+HBP+Chest+Congestion+%26+Cough+Liquid+Gels&amp;qid=1695260160&amp;sr=8-8</v>
      </c>
      <c r="F4189" t="s">
        <v>11823</v>
      </c>
      <c r="G4189" t="e">
        <f ca="1">IMAGE("https://shop.sonapharmacy.com/cdn/shop/products/CoricidinHBPChestCongestion_CoughLiquidGels.png?v=1595528319")</f>
        <v>#NAME?</v>
      </c>
      <c r="H4189" t="e">
        <f ca="1">IMAGE("https://m.media-amazon.com/images/I/71UNjqLVCgL._AC_UL320_.jpg")</f>
        <v>#NAME?</v>
      </c>
      <c r="I4189" t="s">
        <v>9769</v>
      </c>
      <c r="J4189">
        <v>20.49</v>
      </c>
      <c r="K4189" s="2" t="s">
        <v>11824</v>
      </c>
      <c r="L4189">
        <v>4.8</v>
      </c>
      <c r="M4189">
        <v>478</v>
      </c>
      <c r="O4189" t="s">
        <v>26</v>
      </c>
      <c r="P4189" t="s">
        <v>39</v>
      </c>
      <c r="Q4189" t="s">
        <v>9771</v>
      </c>
    </row>
    <row r="4190" spans="1:17" ht="15.75" x14ac:dyDescent="0.25">
      <c r="A4190" s="3" t="str">
        <f>HYPERLINK("https://shop.sonapharmacy.com/products/ayr-saline-nasal-gel-no-drip-sinus-spray", "https://shop.sonapharmacy.com/products/ayr-saline-nasal-gel-no-drip-sinus-spray")</f>
        <v>https://shop.sonapharmacy.com/products/ayr-saline-nasal-gel-no-drip-sinus-spray</v>
      </c>
      <c r="B4190" s="3" t="str">
        <f>HYPERLINK("https://shop.sonapharmacy.com/products/ayr-saline-nasal-gel-no-drip-sinus-spray", "https://shop.sonapharmacy.com/products/ayr-saline-nasal-gel-no-drip-sinus-spray")</f>
        <v>https://shop.sonapharmacy.com/products/ayr-saline-nasal-gel-no-drip-sinus-spray</v>
      </c>
      <c r="C4190" t="s">
        <v>8709</v>
      </c>
      <c r="D4190" t="s">
        <v>11825</v>
      </c>
      <c r="E4190" s="3" t="str">
        <f>HYPERLINK("https://www.amazon.com/Saline-No-drip-Soothing-0-75-Ounce-Bottles/dp/B001CP8W20/ref=sr_1_3?keywords=Ayr%C2%AE+Saline+Nasal+Gel+No-Drip+Sinus+Spray+0.75oz.&amp;qid=1695260047&amp;sr=8-3", "https://www.amazon.com/Saline-No-drip-Soothing-0-75-Ounce-Bottles/dp/B001CP8W20/ref=sr_1_3?keywords=Ayr%C2%AE+Saline+Nasal+Gel+No-Drip+Sinus+Spray+0.75oz.&amp;qid=1695260047&amp;sr=8-3")</f>
        <v>https://www.amazon.com/Saline-No-drip-Soothing-0-75-Ounce-Bottles/dp/B001CP8W20/ref=sr_1_3?keywords=Ayr%C2%AE+Saline+Nasal+Gel+No-Drip+Sinus+Spray+0.75oz.&amp;qid=1695260047&amp;sr=8-3</v>
      </c>
      <c r="F4190" t="s">
        <v>11826</v>
      </c>
      <c r="G4190" t="e">
        <f ca="1">IMAGE("https://shop.sonapharmacy.com/cdn/shop/products/s-l400_2.jpg?v=1610026827")</f>
        <v>#NAME?</v>
      </c>
      <c r="H4190" t="e">
        <f ca="1">IMAGE("https://m.media-amazon.com/images/I/611wMs9KjIL._AC_UL320_.jpg")</f>
        <v>#NAME?</v>
      </c>
      <c r="I4190" t="s">
        <v>8712</v>
      </c>
      <c r="J4190">
        <v>23.56</v>
      </c>
      <c r="K4190" s="2" t="s">
        <v>11827</v>
      </c>
      <c r="L4190">
        <v>4.7</v>
      </c>
      <c r="M4190">
        <v>621</v>
      </c>
      <c r="O4190" t="s">
        <v>26</v>
      </c>
      <c r="P4190" t="s">
        <v>39</v>
      </c>
      <c r="Q4190" t="s">
        <v>8714</v>
      </c>
    </row>
    <row r="4191" spans="1:17" ht="15.75" x14ac:dyDescent="0.25">
      <c r="A4191" s="3" t="str">
        <f>HYPERLINK("https://shop.sonapharmacy.com/products/off-%C2%AE-family-care-insect-repellent-smooth-dry-spray-4oz", "https://shop.sonapharmacy.com/products/off-%C2%AE-family-care-insect-repellent-smooth-dry-spray-4oz")</f>
        <v>https://shop.sonapharmacy.com/products/off-%C2%AE-family-care-insect-repellent-smooth-dry-spray-4oz</v>
      </c>
      <c r="B4191" s="3" t="str">
        <f>HYPERLINK("https://shop.sonapharmacy.com/products/off-%c2%ae-family-care-insect-repellent-smooth-dry-spray-4oz", "https://shop.sonapharmacy.com/products/off-%c2%ae-family-care-insect-repellent-smooth-dry-spray-4oz")</f>
        <v>https://shop.sonapharmacy.com/products/off-%c2%ae-family-care-insect-repellent-smooth-dry-spray-4oz</v>
      </c>
      <c r="C4191" t="s">
        <v>9392</v>
      </c>
      <c r="D4191" t="s">
        <v>11828</v>
      </c>
      <c r="E4191" s="3" t="str">
        <f>HYPERLINK("https://www.amazon.com/OFF-Family-Smooth-Insect-Spray/dp/B07TTV4SG6/ref=sr_1_3?keywords=OFF%21%C2%AE+Family+Care+Insect+Repellent+Smooth+%26+Dry+Spray+4oz.&amp;qid=1695260656&amp;sr=8-3", "https://www.amazon.com/OFF-Family-Smooth-Insect-Spray/dp/B07TTV4SG6/ref=sr_1_3?keywords=OFF%21%C2%AE+Family+Care+Insect+Repellent+Smooth+%26+Dry+Spray+4oz.&amp;qid=1695260656&amp;sr=8-3")</f>
        <v>https://www.amazon.com/OFF-Family-Smooth-Insect-Spray/dp/B07TTV4SG6/ref=sr_1_3?keywords=OFF%21%C2%AE+Family+Care+Insect+Repellent+Smooth+%26+Dry+Spray+4oz.&amp;qid=1695260656&amp;sr=8-3</v>
      </c>
      <c r="F4191" t="s">
        <v>11829</v>
      </c>
      <c r="G4191" t="e">
        <f ca="1">IMAGE("https://shop.sonapharmacy.com/cdn/shop/products/82380d77-220c-40b4-8024-71396ca6a7d8.a797d23efa84ece1415562ae9d549027_4e55f6cf-6eb1-4669-a3ee-922c1347d47c.jpg?v=1610757010")</f>
        <v>#NAME?</v>
      </c>
      <c r="H4191" t="e">
        <f ca="1">IMAGE("https://m.media-amazon.com/images/I/71jfZdj+2hL._AC_UL320_.jpg")</f>
        <v>#NAME?</v>
      </c>
      <c r="I4191" t="s">
        <v>9395</v>
      </c>
      <c r="J4191">
        <v>16.489999999999998</v>
      </c>
      <c r="K4191" s="2" t="s">
        <v>11830</v>
      </c>
      <c r="L4191">
        <v>4.7</v>
      </c>
      <c r="M4191">
        <v>11</v>
      </c>
      <c r="O4191" t="s">
        <v>26</v>
      </c>
      <c r="P4191" t="s">
        <v>39</v>
      </c>
      <c r="Q4191" t="s">
        <v>9397</v>
      </c>
    </row>
    <row r="4192" spans="1:17" ht="15.75" x14ac:dyDescent="0.25">
      <c r="A4192" s="3" t="str">
        <f>HYPERLINK("https://shop.sonapharmacy.com/products/align-probiotic-24-7-digestive-support", "https://shop.sonapharmacy.com/products/align-probiotic-24-7-digestive-support")</f>
        <v>https://shop.sonapharmacy.com/products/align-probiotic-24-7-digestive-support</v>
      </c>
      <c r="B4192" s="3" t="str">
        <f>HYPERLINK("https://shop.sonapharmacy.com/products/align-probiotic-24-7-digestive-support", "https://shop.sonapharmacy.com/products/align-probiotic-24-7-digestive-support")</f>
        <v>https://shop.sonapharmacy.com/products/align-probiotic-24-7-digestive-support</v>
      </c>
      <c r="C4192" t="s">
        <v>9464</v>
      </c>
      <c r="D4192" t="s">
        <v>11831</v>
      </c>
      <c r="E4192" s="3" t="str">
        <f>HYPERLINK("https://www.amazon.com/Probiotic-Supplement-Digestive-Support-Capsules/dp/B0073JF17S/ref=sr_1_6?keywords=Align+Probiotic+24%2F7+Digestive+Support+Capsules&amp;qid=1695260004&amp;sr=8-6", "https://www.amazon.com/Probiotic-Supplement-Digestive-Support-Capsules/dp/B0073JF17S/ref=sr_1_6?keywords=Align+Probiotic+24%2F7+Digestive+Support+Capsules&amp;qid=1695260004&amp;sr=8-6")</f>
        <v>https://www.amazon.com/Probiotic-Supplement-Digestive-Support-Capsules/dp/B0073JF17S/ref=sr_1_6?keywords=Align+Probiotic+24%2F7+Digestive+Support+Capsules&amp;qid=1695260004&amp;sr=8-6</v>
      </c>
      <c r="F4192" t="s">
        <v>11832</v>
      </c>
      <c r="G4192" t="e">
        <f ca="1">IMAGE("https://shop.sonapharmacy.com/cdn/shop/products/a1ba3294-73b6-45cf-906d-9cbc4c9cb26f_1.8812d9b99c0fb270ad843db24db916b4.jpg?v=1611188868")</f>
        <v>#NAME?</v>
      </c>
      <c r="H4192" t="e">
        <f ca="1">IMAGE("https://m.media-amazon.com/images/I/61oBMtUAYhL._AC_UL320_.jpg")</f>
        <v>#NAME?</v>
      </c>
      <c r="I4192" t="s">
        <v>9467</v>
      </c>
      <c r="J4192">
        <v>53.98</v>
      </c>
      <c r="K4192" s="2" t="s">
        <v>11833</v>
      </c>
      <c r="L4192">
        <v>4.9000000000000004</v>
      </c>
      <c r="M4192">
        <v>18</v>
      </c>
      <c r="O4192" t="s">
        <v>26</v>
      </c>
      <c r="P4192" t="s">
        <v>39</v>
      </c>
      <c r="Q4192" t="s">
        <v>9469</v>
      </c>
    </row>
    <row r="4193" spans="1:17" ht="15.75" x14ac:dyDescent="0.25">
      <c r="A4193" s="3" t="str">
        <f>HYPERLINK("https://shop.sonapharmacy.com/products/goodsense%C2%AE-double-edge-stainless-steel-razor-10ct", "https://shop.sonapharmacy.com/products/goodsense%C2%AE-double-edge-stainless-steel-razor-10ct")</f>
        <v>https://shop.sonapharmacy.com/products/goodsense%C2%AE-double-edge-stainless-steel-razor-10ct</v>
      </c>
      <c r="B4193" s="3" t="str">
        <f>HYPERLINK("https://shop.sonapharmacy.com/products/goodsense%c2%ae-double-edge-stainless-steel-razor-10ct", "https://shop.sonapharmacy.com/products/goodsense%c2%ae-double-edge-stainless-steel-razor-10ct")</f>
        <v>https://shop.sonapharmacy.com/products/goodsense%c2%ae-double-edge-stainless-steel-razor-10ct</v>
      </c>
      <c r="C4193" t="s">
        <v>10996</v>
      </c>
      <c r="D4193" t="s">
        <v>11834</v>
      </c>
      <c r="E4193" s="3" t="str">
        <f>HYPERLINK("https://www.amazon.com/Safety-Razor-Platinum-Tungsten-Chromium/dp/B07CGMTVM4/ref=sr_1_9?keywords=GoodSense%C2%AE+Double+Edge+Stainless+Steel+Razor+10ct.&amp;qid=1695260322&amp;sr=8-9", "https://www.amazon.com/Safety-Razor-Platinum-Tungsten-Chromium/dp/B07CGMTVM4/ref=sr_1_9?keywords=GoodSense%C2%AE+Double+Edge+Stainless+Steel+Razor+10ct.&amp;qid=1695260322&amp;sr=8-9")</f>
        <v>https://www.amazon.com/Safety-Razor-Platinum-Tungsten-Chromium/dp/B07CGMTVM4/ref=sr_1_9?keywords=GoodSense%C2%AE+Double+Edge+Stainless+Steel+Razor+10ct.&amp;qid=1695260322&amp;sr=8-9</v>
      </c>
      <c r="F4193" t="s">
        <v>11835</v>
      </c>
      <c r="G4193" t="e">
        <f ca="1">IMAGE("https://shop.sonapharmacy.com/cdn/shop/products/337121.jpg?v=1610904297")</f>
        <v>#NAME?</v>
      </c>
      <c r="H4193" t="e">
        <f ca="1">IMAGE("https://m.media-amazon.com/images/I/814gGFXvwxL._AC_UL320_.jpg")</f>
        <v>#NAME?</v>
      </c>
      <c r="I4193" t="s">
        <v>10999</v>
      </c>
      <c r="J4193">
        <v>13.77</v>
      </c>
      <c r="K4193" s="2" t="s">
        <v>11836</v>
      </c>
      <c r="L4193">
        <v>4.5999999999999996</v>
      </c>
      <c r="M4193">
        <v>4008</v>
      </c>
      <c r="O4193" t="s">
        <v>26</v>
      </c>
      <c r="P4193" t="s">
        <v>39</v>
      </c>
      <c r="Q4193" t="s">
        <v>11001</v>
      </c>
    </row>
    <row r="4194" spans="1:17" ht="15.75" x14ac:dyDescent="0.25">
      <c r="A4194" s="3" t="str">
        <f>HYPERLINK("https://shop.sonapharmacy.com/products/coq10", "https://shop.sonapharmacy.com/products/coq10")</f>
        <v>https://shop.sonapharmacy.com/products/coq10</v>
      </c>
      <c r="B4194" s="3" t="str">
        <f>HYPERLINK("https://shop.sonapharmacy.com/products/coq10", "https://shop.sonapharmacy.com/products/coq10")</f>
        <v>https://shop.sonapharmacy.com/products/coq10</v>
      </c>
      <c r="C4194" t="s">
        <v>11837</v>
      </c>
      <c r="D4194" t="s">
        <v>11838</v>
      </c>
      <c r="E4194" s="3" t="str">
        <f>HYPERLINK("https://www.amazon.com/Integrative-Therapeutics-Patented-Stabilized-Ubiquinol/dp/B001PYXM1Y/ref=sr_1_2?keywords=Integrative+Therapeutics+CoQ10+Softgel+60ct.&amp;qid=1695260406&amp;sr=8-2", "https://www.amazon.com/Integrative-Therapeutics-Patented-Stabilized-Ubiquinol/dp/B001PYXM1Y/ref=sr_1_2?keywords=Integrative+Therapeutics+CoQ10+Softgel+60ct.&amp;qid=1695260406&amp;sr=8-2")</f>
        <v>https://www.amazon.com/Integrative-Therapeutics-Patented-Stabilized-Ubiquinol/dp/B001PYXM1Y/ref=sr_1_2?keywords=Integrative+Therapeutics+CoQ10+Softgel+60ct.&amp;qid=1695260406&amp;sr=8-2</v>
      </c>
      <c r="F4194" t="s">
        <v>11839</v>
      </c>
      <c r="G4194" t="e">
        <f ca="1">IMAGE("https://shop.sonapharmacy.com/cdn/shop/products/61htMunw_-L._AC_SL1500.jpg?v=1609356631")</f>
        <v>#NAME?</v>
      </c>
      <c r="H4194" t="e">
        <f ca="1">IMAGE("https://m.media-amazon.com/images/I/517w0PKSAoL._AC_UL320_.jpg")</f>
        <v>#NAME?</v>
      </c>
      <c r="I4194" t="s">
        <v>4287</v>
      </c>
      <c r="J4194">
        <v>66.75</v>
      </c>
      <c r="K4194" s="2" t="s">
        <v>11840</v>
      </c>
      <c r="L4194">
        <v>4.7</v>
      </c>
      <c r="M4194">
        <v>182</v>
      </c>
      <c r="O4194" t="s">
        <v>39</v>
      </c>
      <c r="P4194" t="s">
        <v>39</v>
      </c>
      <c r="Q4194" t="s">
        <v>11841</v>
      </c>
    </row>
    <row r="4195" spans="1:17" ht="15.75" x14ac:dyDescent="0.25">
      <c r="A4195" s="3" t="str">
        <f>HYPERLINK("https://shop.sonapharmacy.com/products/good-sense-ibuprofen-liquid-capsules", "https://shop.sonapharmacy.com/products/good-sense-ibuprofen-liquid-capsules")</f>
        <v>https://shop.sonapharmacy.com/products/good-sense-ibuprofen-liquid-capsules</v>
      </c>
      <c r="B4195" s="3" t="str">
        <f>HYPERLINK("https://shop.sonapharmacy.com/products/good-sense-ibuprofen-liquid-capsules", "https://shop.sonapharmacy.com/products/good-sense-ibuprofen-liquid-capsules")</f>
        <v>https://shop.sonapharmacy.com/products/good-sense-ibuprofen-liquid-capsules</v>
      </c>
      <c r="C4195" t="s">
        <v>10145</v>
      </c>
      <c r="D4195" t="s">
        <v>11842</v>
      </c>
      <c r="E4195" s="3" t="str">
        <f>HYPERLINK("https://www.amazon.com/Basic-Care-Ibuprofen-Liquid-Count/dp/B074F2TF6J/ref=sr_1_4?keywords=GoodSense%C2%AE+Ibuprofen+Liquid+Capsules&amp;qid=1695260322&amp;sr=8-4", "https://www.amazon.com/Basic-Care-Ibuprofen-Liquid-Count/dp/B074F2TF6J/ref=sr_1_4?keywords=GoodSense%C2%AE+Ibuprofen+Liquid+Capsules&amp;qid=1695260322&amp;sr=8-4")</f>
        <v>https://www.amazon.com/Basic-Care-Ibuprofen-Liquid-Count/dp/B074F2TF6J/ref=sr_1_4?keywords=GoodSense%C2%AE+Ibuprofen+Liquid+Capsules&amp;qid=1695260322&amp;sr=8-4</v>
      </c>
      <c r="F4195" t="s">
        <v>11843</v>
      </c>
      <c r="G4195" t="e">
        <f ca="1">IMAGE("https://shop.sonapharmacy.com/cdn/shop/products/PLD0086.jpg?v=1609353567")</f>
        <v>#NAME?</v>
      </c>
      <c r="H4195" t="e">
        <f ca="1">IMAGE("https://m.media-amazon.com/images/I/71yEtXkI2uL._AC_UL320_.jpg")</f>
        <v>#NAME?</v>
      </c>
      <c r="I4195" t="s">
        <v>8902</v>
      </c>
      <c r="J4195">
        <v>10.73</v>
      </c>
      <c r="K4195" s="2" t="s">
        <v>11844</v>
      </c>
      <c r="L4195">
        <v>4.8</v>
      </c>
      <c r="M4195">
        <v>5524</v>
      </c>
      <c r="O4195" t="s">
        <v>26</v>
      </c>
      <c r="P4195" t="s">
        <v>39</v>
      </c>
      <c r="Q4195" t="s">
        <v>10149</v>
      </c>
    </row>
    <row r="4196" spans="1:17" ht="15.75" x14ac:dyDescent="0.25">
      <c r="A4196" s="3" t="str">
        <f>HYPERLINK("https://shop.sonapharmacy.com/products/biofreeze-topical-pain-relief-gel", "https://shop.sonapharmacy.com/products/biofreeze-topical-pain-relief-gel")</f>
        <v>https://shop.sonapharmacy.com/products/biofreeze-topical-pain-relief-gel</v>
      </c>
      <c r="B4196" s="3" t="str">
        <f>HYPERLINK("https://shop.sonapharmacy.com/products/biofreeze-topical-pain-relief-gel", "https://shop.sonapharmacy.com/products/biofreeze-topical-pain-relief-gel")</f>
        <v>https://shop.sonapharmacy.com/products/biofreeze-topical-pain-relief-gel</v>
      </c>
      <c r="C4196" t="s">
        <v>11845</v>
      </c>
      <c r="D4196" t="s">
        <v>11846</v>
      </c>
      <c r="E4196" s="3" t="str">
        <f>HYPERLINK("https://www.amazon.com/Biofreeze-Professional-Roll-Relief-Bottle/dp/B074H79WMX/ref=sr_1_4?keywords=Biofreeze%C2%AE+Topical+Pain+Relief+Gel&amp;qid=1695260090&amp;sr=8-4", "https://www.amazon.com/Biofreeze-Professional-Roll-Relief-Bottle/dp/B074H79WMX/ref=sr_1_4?keywords=Biofreeze%C2%AE+Topical+Pain+Relief+Gel&amp;qid=1695260090&amp;sr=8-4")</f>
        <v>https://www.amazon.com/Biofreeze-Professional-Roll-Relief-Bottle/dp/B074H79WMX/ref=sr_1_4?keywords=Biofreeze%C2%AE+Topical+Pain+Relief+Gel&amp;qid=1695260090&amp;sr=8-4</v>
      </c>
      <c r="F4196" t="s">
        <v>11847</v>
      </c>
      <c r="G4196" t="e">
        <f ca="1">IMAGE("https://shop.sonapharmacy.com/cdn/shop/products/BiofreezeGel.png?v=1606962058")</f>
        <v>#NAME?</v>
      </c>
      <c r="H4196" t="e">
        <f ca="1">IMAGE("https://m.media-amazon.com/images/I/71XDHhOGtyL._AC_UL320_.jpg")</f>
        <v>#NAME?</v>
      </c>
      <c r="I4196" t="s">
        <v>3419</v>
      </c>
      <c r="J4196">
        <v>26.39</v>
      </c>
      <c r="K4196" s="2" t="s">
        <v>11848</v>
      </c>
      <c r="L4196">
        <v>4.8</v>
      </c>
      <c r="M4196">
        <v>9037</v>
      </c>
      <c r="O4196" t="s">
        <v>26</v>
      </c>
      <c r="P4196" t="s">
        <v>39</v>
      </c>
      <c r="Q4196" t="s">
        <v>11849</v>
      </c>
    </row>
    <row r="4197" spans="1:17" ht="15.75" x14ac:dyDescent="0.25">
      <c r="A4197" s="3" t="str">
        <f>HYPERLINK("https://shop.sonapharmacy.com/products/biofreeze-topical-pain-relief-roll-on", "https://shop.sonapharmacy.com/products/biofreeze-topical-pain-relief-roll-on")</f>
        <v>https://shop.sonapharmacy.com/products/biofreeze-topical-pain-relief-roll-on</v>
      </c>
      <c r="B4197" s="3" t="str">
        <f>HYPERLINK("https://shop.sonapharmacy.com/products/biofreeze-topical-pain-relief-roll-on", "https://shop.sonapharmacy.com/products/biofreeze-topical-pain-relief-roll-on")</f>
        <v>https://shop.sonapharmacy.com/products/biofreeze-topical-pain-relief-roll-on</v>
      </c>
      <c r="C4197" t="s">
        <v>10680</v>
      </c>
      <c r="D4197" t="s">
        <v>11846</v>
      </c>
      <c r="E4197" s="3" t="str">
        <f>HYPERLINK("https://www.amazon.com/Biofreeze-Professional-Roll-Relief-Bottle/dp/B074H79WMX/ref=sr_1_2?keywords=Biofreeze%C2%AE+Topical+Pain+Relief+Roll-On&amp;qid=1695260097&amp;sr=8-2", "https://www.amazon.com/Biofreeze-Professional-Roll-Relief-Bottle/dp/B074H79WMX/ref=sr_1_2?keywords=Biofreeze%C2%AE+Topical+Pain+Relief+Roll-On&amp;qid=1695260097&amp;sr=8-2")</f>
        <v>https://www.amazon.com/Biofreeze-Professional-Roll-Relief-Bottle/dp/B074H79WMX/ref=sr_1_2?keywords=Biofreeze%C2%AE+Topical+Pain+Relief+Roll-On&amp;qid=1695260097&amp;sr=8-2</v>
      </c>
      <c r="F4197" t="s">
        <v>11847</v>
      </c>
      <c r="G4197" t="e">
        <f ca="1">IMAGE("https://shop.sonapharmacy.com/cdn/shop/products/61drbtKQFuL._SL1500.jpg?v=1609344589")</f>
        <v>#NAME?</v>
      </c>
      <c r="H4197" t="e">
        <f ca="1">IMAGE("https://m.media-amazon.com/images/I/71XDHhOGtyL._AC_UL320_.jpg")</f>
        <v>#NAME?</v>
      </c>
      <c r="I4197" t="s">
        <v>3419</v>
      </c>
      <c r="J4197">
        <v>26.39</v>
      </c>
      <c r="K4197" s="2" t="s">
        <v>11848</v>
      </c>
      <c r="L4197">
        <v>4.8</v>
      </c>
      <c r="M4197">
        <v>9037</v>
      </c>
      <c r="O4197" t="s">
        <v>26</v>
      </c>
      <c r="P4197" t="s">
        <v>39</v>
      </c>
      <c r="Q4197" t="s">
        <v>10684</v>
      </c>
    </row>
    <row r="4198" spans="1:17" ht="15.75" x14ac:dyDescent="0.25">
      <c r="A4198" s="3" t="str">
        <f>HYPERLINK("https://shop.sonapharmacy.com/products/mueller-kinesiology-tape%C2%AE-i-strips-pre-cut-tape-roll", "https://shop.sonapharmacy.com/products/mueller-kinesiology-tape%C2%AE-i-strips-pre-cut-tape-roll")</f>
        <v>https://shop.sonapharmacy.com/products/mueller-kinesiology-tape%C2%AE-i-strips-pre-cut-tape-roll</v>
      </c>
      <c r="B4198" s="3" t="str">
        <f>HYPERLINK("https://shop.sonapharmacy.com/products/mueller-kinesiology-tape%c2%ae-i-strips-pre-cut-tape-roll", "https://shop.sonapharmacy.com/products/mueller-kinesiology-tape%c2%ae-i-strips-pre-cut-tape-roll")</f>
        <v>https://shop.sonapharmacy.com/products/mueller-kinesiology-tape%c2%ae-i-strips-pre-cut-tape-roll</v>
      </c>
      <c r="C4198" t="s">
        <v>11477</v>
      </c>
      <c r="D4198" t="s">
        <v>11850</v>
      </c>
      <c r="E4198" s="3" t="str">
        <f>HYPERLINK("https://www.amazon.com/MUELLER-Typhoon-Kinesiology-Therapeutic-I-Strips/dp/B08C6TNFT1/ref=sr_1_3?keywords=Mueller+Kinesiology+Tape%C2%AE+I-Strips+Pre-Cut+Tape+Roll&amp;qid=1695260503&amp;sr=8-3", "https://www.amazon.com/MUELLER-Typhoon-Kinesiology-Therapeutic-I-Strips/dp/B08C6TNFT1/ref=sr_1_3?keywords=Mueller+Kinesiology+Tape%C2%AE+I-Strips+Pre-Cut+Tape+Roll&amp;qid=1695260503&amp;sr=8-3")</f>
        <v>https://www.amazon.com/MUELLER-Typhoon-Kinesiology-Therapeutic-I-Strips/dp/B08C6TNFT1/ref=sr_1_3?keywords=Mueller+Kinesiology+Tape%C2%AE+I-Strips+Pre-Cut+Tape+Roll&amp;qid=1695260503&amp;sr=8-3</v>
      </c>
      <c r="F4198" t="s">
        <v>11851</v>
      </c>
      <c r="G4198" t="e">
        <f ca="1">IMAGE("https://shop.sonapharmacy.com/cdn/shop/products/black_fd3353bd-3884-4f87-90b8-1327b7073970.jpg?v=1609944494")</f>
        <v>#NAME?</v>
      </c>
      <c r="H4198" t="e">
        <f ca="1">IMAGE("https://m.media-amazon.com/images/I/71WUJYna9gL._AC_UL320_.jpg")</f>
        <v>#NAME?</v>
      </c>
      <c r="I4198" t="s">
        <v>8096</v>
      </c>
      <c r="J4198">
        <v>15.99</v>
      </c>
      <c r="K4198" s="2" t="s">
        <v>11852</v>
      </c>
      <c r="L4198">
        <v>4.5999999999999996</v>
      </c>
      <c r="M4198">
        <v>31</v>
      </c>
      <c r="O4198" t="s">
        <v>26</v>
      </c>
      <c r="P4198" t="s">
        <v>39</v>
      </c>
      <c r="Q4198" t="s">
        <v>11481</v>
      </c>
    </row>
    <row r="4199" spans="1:17" ht="15.75" x14ac:dyDescent="0.25">
      <c r="A4199" s="3" t="str">
        <f>HYPERLINK("https://shop.sonapharmacy.com/products/okeeffes-working-hands-cream-2-7oz", "https://shop.sonapharmacy.com/products/okeeffes-working-hands-cream-2-7oz")</f>
        <v>https://shop.sonapharmacy.com/products/okeeffes-working-hands-cream-2-7oz</v>
      </c>
      <c r="B4199" s="3" t="str">
        <f>HYPERLINK("https://shop.sonapharmacy.com/products/okeeffes-working-hands-cream-2-7oz", "https://shop.sonapharmacy.com/products/okeeffes-working-hands-cream-2-7oz")</f>
        <v>https://shop.sonapharmacy.com/products/okeeffes-working-hands-cream-2-7oz</v>
      </c>
      <c r="C4199" t="s">
        <v>8312</v>
      </c>
      <c r="D4199" t="s">
        <v>11853</v>
      </c>
      <c r="E4199" s="3" t="str">
        <f>HYPERLINK("https://www.amazon.com/OKeeffes-Working-Hands-Cream-Moisturizing/dp/B08XW43WT9/ref=sr_1_7?keywords=O%27Keeffe%27s+Working+Hands+Cream+2.7oz.&amp;qid=1695260597&amp;sr=8-7", "https://www.amazon.com/OKeeffes-Working-Hands-Cream-Moisturizing/dp/B08XW43WT9/ref=sr_1_7?keywords=O%27Keeffe%27s+Working+Hands+Cream+2.7oz.&amp;qid=1695260597&amp;sr=8-7")</f>
        <v>https://www.amazon.com/OKeeffes-Working-Hands-Cream-Moisturizing/dp/B08XW43WT9/ref=sr_1_7?keywords=O%27Keeffe%27s+Working+Hands+Cream+2.7oz.&amp;qid=1695260597&amp;sr=8-7</v>
      </c>
      <c r="F4199" t="s">
        <v>11854</v>
      </c>
      <c r="G4199" t="e">
        <f ca="1">IMAGE("https://shop.sonapharmacy.com/cdn/shop/products/00be5c22-ab6e-4ab0-b795-94a77c1551f9_2.8f68130d2f977aa423d97d8a89b1994a.jpg?v=1608407194")</f>
        <v>#NAME?</v>
      </c>
      <c r="H4199" t="e">
        <f ca="1">IMAGE("https://m.media-amazon.com/images/I/81UH3VnuwQL._AC_UL320_.jpg")</f>
        <v>#NAME?</v>
      </c>
      <c r="I4199" t="s">
        <v>8315</v>
      </c>
      <c r="J4199">
        <v>14.82</v>
      </c>
      <c r="K4199" s="2" t="s">
        <v>11855</v>
      </c>
      <c r="L4199">
        <v>4.7</v>
      </c>
      <c r="M4199">
        <v>657</v>
      </c>
      <c r="O4199" t="s">
        <v>26</v>
      </c>
      <c r="P4199" t="s">
        <v>39</v>
      </c>
      <c r="Q4199" t="s">
        <v>8317</v>
      </c>
    </row>
    <row r="4200" spans="1:17" ht="15.75" x14ac:dyDescent="0.25">
      <c r="A4200" s="3" t="str">
        <f>HYPERLINK("https://shop.sonapharmacy.com/products/curad-flex-fabric-bandages", "https://shop.sonapharmacy.com/products/curad-flex-fabric-bandages")</f>
        <v>https://shop.sonapharmacy.com/products/curad-flex-fabric-bandages</v>
      </c>
      <c r="B4200" s="3" t="str">
        <f>HYPERLINK("https://shop.sonapharmacy.com/products/curad-flex-fabric-bandages", "https://shop.sonapharmacy.com/products/curad-flex-fabric-bandages")</f>
        <v>https://shop.sonapharmacy.com/products/curad-flex-fabric-bandages</v>
      </c>
      <c r="C4200" t="s">
        <v>10355</v>
      </c>
      <c r="D4200" t="s">
        <v>11856</v>
      </c>
      <c r="E4200" s="3" t="str">
        <f>HYPERLINK("https://www.amazon.com/Curad-Flex-Fabric-Inches-bandages-count/dp/B004YJ0POE/ref=sr_1_4?keywords=Curad%C2%AE+Flex-Fabric+Bandages&amp;qid=1695260173&amp;sr=8-4", "https://www.amazon.com/Curad-Flex-Fabric-Inches-bandages-count/dp/B004YJ0POE/ref=sr_1_4?keywords=Curad%C2%AE+Flex-Fabric+Bandages&amp;qid=1695260173&amp;sr=8-4")</f>
        <v>https://www.amazon.com/Curad-Flex-Fabric-Inches-bandages-count/dp/B004YJ0POE/ref=sr_1_4?keywords=Curad%C2%AE+Flex-Fabric+Bandages&amp;qid=1695260173&amp;sr=8-4</v>
      </c>
      <c r="F4200" t="s">
        <v>11857</v>
      </c>
      <c r="G4200" t="e">
        <f ca="1">IMAGE("https://shop.sonapharmacy.com/cdn/shop/products/flexstrip.png?v=1607709917")</f>
        <v>#NAME?</v>
      </c>
      <c r="H4200" t="e">
        <f ca="1">IMAGE("https://m.media-amazon.com/images/I/71XKxituUXL._AC_UL320_.jpg")</f>
        <v>#NAME?</v>
      </c>
      <c r="I4200" t="s">
        <v>8680</v>
      </c>
      <c r="J4200">
        <v>7.89</v>
      </c>
      <c r="K4200" s="2" t="s">
        <v>11858</v>
      </c>
      <c r="L4200">
        <v>4.5999999999999996</v>
      </c>
      <c r="M4200">
        <v>653</v>
      </c>
      <c r="O4200" t="s">
        <v>26</v>
      </c>
      <c r="P4200" t="s">
        <v>39</v>
      </c>
      <c r="Q4200" t="s">
        <v>10359</v>
      </c>
    </row>
    <row r="4201" spans="1:17" ht="15.75" x14ac:dyDescent="0.25">
      <c r="A4201" s="3" t="str">
        <f>HYPERLINK("https://shop.sonapharmacy.com/products/apex%C2%AE-deluxe-contact-lens-cases-2ct", "https://shop.sonapharmacy.com/products/apex%C2%AE-deluxe-contact-lens-cases-2ct")</f>
        <v>https://shop.sonapharmacy.com/products/apex%C2%AE-deluxe-contact-lens-cases-2ct</v>
      </c>
      <c r="B4201" s="3" t="str">
        <f>HYPERLINK("https://shop.sonapharmacy.com/products/apex%c2%ae-deluxe-contact-lens-cases-2ct", "https://shop.sonapharmacy.com/products/apex%c2%ae-deluxe-contact-lens-cases-2ct")</f>
        <v>https://shop.sonapharmacy.com/products/apex%c2%ae-deluxe-contact-lens-cases-2ct</v>
      </c>
      <c r="C4201" t="s">
        <v>10981</v>
      </c>
      <c r="D4201" t="s">
        <v>10982</v>
      </c>
      <c r="E4201" s="3" t="str">
        <f>HYPERLINK("https://www.amazon.com/Apex-Deluxe-Contact-Lens-Cases/dp/B000MANCPS/ref=sr_1_1?keywords=Apex+Deluxe+Contact+Lens+Cases+2ct.&amp;qid=1695260007&amp;sr=8-1", "https://www.amazon.com/Apex-Deluxe-Contact-Lens-Cases/dp/B000MANCPS/ref=sr_1_1?keywords=Apex+Deluxe+Contact+Lens+Cases+2ct.&amp;qid=1695260007&amp;sr=8-1")</f>
        <v>https://www.amazon.com/Apex-Deluxe-Contact-Lens-Cases/dp/B000MANCPS/ref=sr_1_1?keywords=Apex+Deluxe+Contact+Lens+Cases+2ct.&amp;qid=1695260007&amp;sr=8-1</v>
      </c>
      <c r="F4201" t="s">
        <v>11859</v>
      </c>
      <c r="G4201" t="e">
        <f ca="1">IMAGE("https://shop.sonapharmacy.com/cdn/shop/products/57.jpg?v=1609957863")</f>
        <v>#NAME?</v>
      </c>
      <c r="H4201" t="e">
        <f ca="1">IMAGE("https://m.media-amazon.com/images/I/71NetkfqOEL._AC_UL320_.jpg")</f>
        <v>#NAME?</v>
      </c>
      <c r="I4201" t="s">
        <v>10984</v>
      </c>
      <c r="J4201">
        <v>4.9000000000000004</v>
      </c>
      <c r="K4201" s="2" t="s">
        <v>11860</v>
      </c>
      <c r="L4201">
        <v>4.2</v>
      </c>
      <c r="M4201">
        <v>23</v>
      </c>
      <c r="O4201" t="s">
        <v>26</v>
      </c>
      <c r="P4201" t="s">
        <v>39</v>
      </c>
      <c r="Q4201" t="s">
        <v>10986</v>
      </c>
    </row>
    <row r="4202" spans="1:17" ht="15.75" x14ac:dyDescent="0.25">
      <c r="A4202" s="3" t="str">
        <f>HYPERLINK("https://shop.sonapharmacy.com/products/nature-made-super-b-complex-tablets", "https://shop.sonapharmacy.com/products/nature-made-super-b-complex-tablets")</f>
        <v>https://shop.sonapharmacy.com/products/nature-made-super-b-complex-tablets</v>
      </c>
      <c r="B4202" s="3" t="str">
        <f>HYPERLINK("https://shop.sonapharmacy.com/products/nature-made-super-b-complex-tablets", "https://shop.sonapharmacy.com/products/nature-made-super-b-complex-tablets")</f>
        <v>https://shop.sonapharmacy.com/products/nature-made-super-b-complex-tablets</v>
      </c>
      <c r="C4202" t="s">
        <v>11658</v>
      </c>
      <c r="D4202" t="s">
        <v>11861</v>
      </c>
      <c r="E4202" s="3" t="str">
        <f>HYPERLINK("https://www.amazon.com/Nature-Super-B-Complex-Tablets-1-Pack/dp/B0CGTPY6VV/ref=sr_1_5?keywords=Nature+Made%C2%AE+Super+B-Complex+Tablets+140ct.&amp;qid=1695260548&amp;sr=8-5", "https://www.amazon.com/Nature-Super-B-Complex-Tablets-1-Pack/dp/B0CGTPY6VV/ref=sr_1_5?keywords=Nature+Made%C2%AE+Super+B-Complex+Tablets+140ct.&amp;qid=1695260548&amp;sr=8-5")</f>
        <v>https://www.amazon.com/Nature-Super-B-Complex-Tablets-1-Pack/dp/B0CGTPY6VV/ref=sr_1_5?keywords=Nature+Made%C2%AE+Super+B-Complex+Tablets+140ct.&amp;qid=1695260548&amp;sr=8-5</v>
      </c>
      <c r="F4202" t="s">
        <v>11862</v>
      </c>
      <c r="G4202" t="e">
        <f ca="1">IMAGE("https://shop.sonapharmacy.com/cdn/shop/products/71Gh5irEA8L._AC_SL1500.jpg?v=1610046177")</f>
        <v>#NAME?</v>
      </c>
      <c r="H4202" t="e">
        <f ca="1">IMAGE("https://m.media-amazon.com/images/I/51efNM+cseL._AC_UL320_.jpg")</f>
        <v>#NAME?</v>
      </c>
      <c r="I4202" t="s">
        <v>11661</v>
      </c>
      <c r="J4202">
        <v>24.99</v>
      </c>
      <c r="K4202" s="2" t="s">
        <v>11863</v>
      </c>
      <c r="L4202">
        <v>1</v>
      </c>
      <c r="M4202">
        <v>1</v>
      </c>
      <c r="O4202" t="s">
        <v>26</v>
      </c>
      <c r="P4202" t="s">
        <v>39</v>
      </c>
      <c r="Q4202" t="s">
        <v>11663</v>
      </c>
    </row>
    <row r="4203" spans="1:17" ht="15.75" x14ac:dyDescent="0.25">
      <c r="A4203" s="3" t="str">
        <f>HYPERLINK("https://shop.sonapharmacy.com/products/okeeffes-working-hands-cream-2-7oz", "https://shop.sonapharmacy.com/products/okeeffes-working-hands-cream-2-7oz")</f>
        <v>https://shop.sonapharmacy.com/products/okeeffes-working-hands-cream-2-7oz</v>
      </c>
      <c r="B4203" s="3" t="str">
        <f>HYPERLINK("https://shop.sonapharmacy.com/products/okeeffes-working-hands-cream-2-7oz", "https://shop.sonapharmacy.com/products/okeeffes-working-hands-cream-2-7oz")</f>
        <v>https://shop.sonapharmacy.com/products/okeeffes-working-hands-cream-2-7oz</v>
      </c>
      <c r="C4203" t="s">
        <v>8312</v>
      </c>
      <c r="D4203" t="s">
        <v>11864</v>
      </c>
      <c r="E4203" s="3" t="str">
        <f>HYPERLINK("https://www.amazon.com/OKeeffes-Working-Hands-Treatment-Sample/dp/B0BYHWCT6D/ref=sr_1_6?keywords=O%27Keeffe%27s+Working+Hands+Cream+2.7oz.&amp;qid=1695260597&amp;sr=8-6", "https://www.amazon.com/OKeeffes-Working-Hands-Treatment-Sample/dp/B0BYHWCT6D/ref=sr_1_6?keywords=O%27Keeffe%27s+Working+Hands+Cream+2.7oz.&amp;qid=1695260597&amp;sr=8-6")</f>
        <v>https://www.amazon.com/OKeeffes-Working-Hands-Treatment-Sample/dp/B0BYHWCT6D/ref=sr_1_6?keywords=O%27Keeffe%27s+Working+Hands+Cream+2.7oz.&amp;qid=1695260597&amp;sr=8-6</v>
      </c>
      <c r="F4203" t="s">
        <v>11865</v>
      </c>
      <c r="G4203" t="e">
        <f ca="1">IMAGE("https://shop.sonapharmacy.com/cdn/shop/products/00be5c22-ab6e-4ab0-b795-94a77c1551f9_2.8f68130d2f977aa423d97d8a89b1994a.jpg?v=1608407194")</f>
        <v>#NAME?</v>
      </c>
      <c r="H4203" t="e">
        <f ca="1">IMAGE("https://m.media-amazon.com/images/I/71dOpv7ms8L._AC_UL320_.jpg")</f>
        <v>#NAME?</v>
      </c>
      <c r="I4203" t="s">
        <v>8315</v>
      </c>
      <c r="J4203">
        <v>14.8</v>
      </c>
      <c r="K4203" s="2" t="s">
        <v>11866</v>
      </c>
      <c r="L4203">
        <v>4.4000000000000004</v>
      </c>
      <c r="M4203">
        <v>4</v>
      </c>
      <c r="O4203" t="s">
        <v>26</v>
      </c>
      <c r="P4203" t="s">
        <v>39</v>
      </c>
      <c r="Q4203" t="s">
        <v>8317</v>
      </c>
    </row>
    <row r="4204" spans="1:17" ht="15.75" x14ac:dyDescent="0.25">
      <c r="A4204" s="3" t="str">
        <f>HYPERLINK("https://shop.sonapharmacy.com/products/nature-made-hair-skin-and-nails-gummies", "https://shop.sonapharmacy.com/products/nature-made-hair-skin-and-nails-gummies")</f>
        <v>https://shop.sonapharmacy.com/products/nature-made-hair-skin-and-nails-gummies</v>
      </c>
      <c r="B4204" s="3" t="str">
        <f>HYPERLINK("https://shop.sonapharmacy.com/products/nature-made-hair-skin-and-nails-gummies", "https://shop.sonapharmacy.com/products/nature-made-hair-skin-and-nails-gummies")</f>
        <v>https://shop.sonapharmacy.com/products/nature-made-hair-skin-and-nails-gummies</v>
      </c>
      <c r="C4204" t="s">
        <v>11173</v>
      </c>
      <c r="D4204" t="s">
        <v>11867</v>
      </c>
      <c r="E4204" s="3" t="str">
        <f>HYPERLINK("https://www.amazon.com/Natures-Bounty-Vitamin-Optimal-Solutions/dp/B07X57RCD8/ref=sr_1_5?keywords=Nature+Made%C2%AE+Hair+Skin+and+Nails+Gummies&amp;qid=1695260542&amp;sr=8-5", "https://www.amazon.com/Natures-Bounty-Vitamin-Optimal-Solutions/dp/B07X57RCD8/ref=sr_1_5?keywords=Nature+Made%C2%AE+Hair+Skin+and+Nails+Gummies&amp;qid=1695260542&amp;sr=8-5")</f>
        <v>https://www.amazon.com/Natures-Bounty-Vitamin-Optimal-Solutions/dp/B07X57RCD8/ref=sr_1_5?keywords=Nature+Made%C2%AE+Hair+Skin+and+Nails+Gummies&amp;qid=1695260542&amp;sr=8-5</v>
      </c>
      <c r="F4204" t="s">
        <v>11868</v>
      </c>
      <c r="G4204" t="e">
        <f ca="1">IMAGE("https://shop.sonapharmacy.com/cdn/shop/products/71o8Z6P3alL._AC_SL1500.jpg?v=1610048535")</f>
        <v>#NAME?</v>
      </c>
      <c r="H4204" t="e">
        <f ca="1">IMAGE("https://m.media-amazon.com/images/I/71aN2iQtOML._AC_UL320_.jpg")</f>
        <v>#NAME?</v>
      </c>
      <c r="I4204" t="s">
        <v>11176</v>
      </c>
      <c r="J4204">
        <v>16.64</v>
      </c>
      <c r="K4204" s="2" t="s">
        <v>11869</v>
      </c>
      <c r="L4204">
        <v>4.7</v>
      </c>
      <c r="M4204">
        <v>12293</v>
      </c>
      <c r="O4204" t="s">
        <v>26</v>
      </c>
      <c r="P4204" t="s">
        <v>39</v>
      </c>
      <c r="Q4204" t="s">
        <v>11178</v>
      </c>
    </row>
    <row r="4205" spans="1:17" ht="15.75" x14ac:dyDescent="0.25">
      <c r="A4205" s="3" t="str">
        <f>HYPERLINK("https://shop.sonapharmacy.com/products/metagenics-coq10-st-100", "https://shop.sonapharmacy.com/products/metagenics-coq10-st-100")</f>
        <v>https://shop.sonapharmacy.com/products/metagenics-coq10-st-100</v>
      </c>
      <c r="B4205" s="3" t="str">
        <f>HYPERLINK("https://shop.sonapharmacy.com/products/metagenics-coq10-st-100", "https://shop.sonapharmacy.com/products/metagenics-coq10-st-100")</f>
        <v>https://shop.sonapharmacy.com/products/metagenics-coq10-st-100</v>
      </c>
      <c r="C4205" t="s">
        <v>10757</v>
      </c>
      <c r="D4205" t="s">
        <v>11870</v>
      </c>
      <c r="E4205" s="3" t="str">
        <f>HYPERLINK("https://www.amazon.com/Metagenics-ST-100-Absorbable-Coenzyme-Softgels/dp/B005P0SH3C/ref=sr_1_3?keywords=Metagenics+CoQ10+ST-100&amp;qid=1695260461&amp;sr=8-3", "https://www.amazon.com/Metagenics-ST-100-Absorbable-Coenzyme-Softgels/dp/B005P0SH3C/ref=sr_1_3?keywords=Metagenics+CoQ10+ST-100&amp;qid=1695260461&amp;sr=8-3")</f>
        <v>https://www.amazon.com/Metagenics-ST-100-Absorbable-Coenzyme-Softgels/dp/B005P0SH3C/ref=sr_1_3?keywords=Metagenics+CoQ10+ST-100&amp;qid=1695260461&amp;sr=8-3</v>
      </c>
      <c r="F4205" t="s">
        <v>11871</v>
      </c>
      <c r="G4205" t="e">
        <f ca="1">IMAGE("https://shop.sonapharmacy.com/cdn/shop/products/ccabd559-90cf-4ade-9938-9635db5c3192-358-358.png?v=1668627545")</f>
        <v>#NAME?</v>
      </c>
      <c r="H4205" t="e">
        <f ca="1">IMAGE("https://m.media-amazon.com/images/I/51eNQfq4aOL._AC_UL320_.jpg")</f>
        <v>#NAME?</v>
      </c>
      <c r="I4205" t="s">
        <v>10760</v>
      </c>
      <c r="J4205">
        <v>112.64</v>
      </c>
      <c r="K4205" s="2" t="s">
        <v>11872</v>
      </c>
      <c r="L4205">
        <v>5</v>
      </c>
      <c r="M4205">
        <v>2</v>
      </c>
      <c r="O4205" t="s">
        <v>26</v>
      </c>
      <c r="P4205" t="s">
        <v>39</v>
      </c>
      <c r="Q4205" t="s">
        <v>10762</v>
      </c>
    </row>
    <row r="4206" spans="1:17" ht="15.75" x14ac:dyDescent="0.25">
      <c r="A4206" s="3" t="str">
        <f>HYPERLINK("https://shop.sonapharmacy.com/products/lactaid%C2%AE-fast-act-lactase-enzyme-caplets-60ct", "https://shop.sonapharmacy.com/products/lactaid%C2%AE-fast-act-lactase-enzyme-caplets-60ct")</f>
        <v>https://shop.sonapharmacy.com/products/lactaid%C2%AE-fast-act-lactase-enzyme-caplets-60ct</v>
      </c>
      <c r="B4206" s="3" t="str">
        <f>HYPERLINK("https://shop.sonapharmacy.com/products/lactaid%c2%ae-fast-act-lactase-enzyme-caplets-60ct", "https://shop.sonapharmacy.com/products/lactaid%c2%ae-fast-act-lactase-enzyme-caplets-60ct")</f>
        <v>https://shop.sonapharmacy.com/products/lactaid%c2%ae-fast-act-lactase-enzyme-caplets-60ct</v>
      </c>
      <c r="C4206" t="s">
        <v>11873</v>
      </c>
      <c r="D4206" t="s">
        <v>11874</v>
      </c>
      <c r="E4206" s="3" t="str">
        <f>HYPERLINK("https://www.amazon.com/Guardian-Relief-Acting-Caplets-Lactase/dp/B07BRQP9YR/ref=sr_1_6?keywords=Lactaid%C2%AE+Fast+Act+Lactase+Enzyme+Caplets+60ct.&amp;qid=1695260472&amp;sr=8-6", "https://www.amazon.com/Guardian-Relief-Acting-Caplets-Lactase/dp/B07BRQP9YR/ref=sr_1_6?keywords=Lactaid%C2%AE+Fast+Act+Lactase+Enzyme+Caplets+60ct.&amp;qid=1695260472&amp;sr=8-6")</f>
        <v>https://www.amazon.com/Guardian-Relief-Acting-Caplets-Lactase/dp/B07BRQP9YR/ref=sr_1_6?keywords=Lactaid%C2%AE+Fast+Act+Lactase+Enzyme+Caplets+60ct.&amp;qid=1695260472&amp;sr=8-6</v>
      </c>
      <c r="F4206" t="s">
        <v>11875</v>
      </c>
      <c r="G4206" t="e">
        <f ca="1">IMAGE("https://shop.sonapharmacy.com/cdn/shop/products/46208c60-00c3-4dad-92a8-9e7168f0b83f.4ac6c75c3d69059101e9e1a9b10c2e01.jpg?v=1610985551")</f>
        <v>#NAME?</v>
      </c>
      <c r="H4206" t="e">
        <f ca="1">IMAGE("https://m.media-amazon.com/images/I/81F+zRgQ9fL._AC_UL320_.jpg")</f>
        <v>#NAME?</v>
      </c>
      <c r="I4206" t="s">
        <v>11876</v>
      </c>
      <c r="J4206">
        <v>33.99</v>
      </c>
      <c r="K4206" s="2" t="s">
        <v>11877</v>
      </c>
      <c r="L4206">
        <v>4.7</v>
      </c>
      <c r="M4206">
        <v>3393</v>
      </c>
      <c r="O4206" t="s">
        <v>26</v>
      </c>
      <c r="P4206" t="s">
        <v>39</v>
      </c>
      <c r="Q4206" t="s">
        <v>11878</v>
      </c>
    </row>
    <row r="4207" spans="1:17" ht="15.75" x14ac:dyDescent="0.25">
      <c r="A4207" s="3" t="str">
        <f>HYPERLINK("https://shop.sonapharmacy.com/products/peppermint-oil-1-oz", "https://shop.sonapharmacy.com/products/peppermint-oil-1-oz")</f>
        <v>https://shop.sonapharmacy.com/products/peppermint-oil-1-oz</v>
      </c>
      <c r="B4207" s="3" t="str">
        <f>HYPERLINK("https://shop.sonapharmacy.com/products/peppermint-oil-1-oz", "https://shop.sonapharmacy.com/products/peppermint-oil-1-oz")</f>
        <v>https://shop.sonapharmacy.com/products/peppermint-oil-1-oz</v>
      </c>
      <c r="C4207" t="s">
        <v>11879</v>
      </c>
      <c r="D4207" t="s">
        <v>11880</v>
      </c>
      <c r="E4207" s="3" t="str">
        <f>HYPERLINK("https://www.amazon.com/Cliganic-Essential-Oils-Peppermint-Organic/dp/B07QB8DL5N/ref=sr_1_7?keywords=NOW%C2%AE+Peppermint+Oil+1oz.&amp;qid=1695260602&amp;rdc=1&amp;sr=8-7", "https://www.amazon.com/Cliganic-Essential-Oils-Peppermint-Organic/dp/B07QB8DL5N/ref=sr_1_7?keywords=NOW%C2%AE+Peppermint+Oil+1oz.&amp;qid=1695260602&amp;rdc=1&amp;sr=8-7")</f>
        <v>https://www.amazon.com/Cliganic-Essential-Oils-Peppermint-Organic/dp/B07QB8DL5N/ref=sr_1_7?keywords=NOW%C2%AE+Peppermint+Oil+1oz.&amp;qid=1695260602&amp;rdc=1&amp;sr=8-7</v>
      </c>
      <c r="F4207" t="s">
        <v>11881</v>
      </c>
      <c r="G4207" t="e">
        <f ca="1">IMAGE("https://shop.sonapharmacy.com/cdn/shop/products/12_2_ede43dd3-931d-4016-acdb-1f2c099ffc9a.jpg?v=1611162955")</f>
        <v>#NAME?</v>
      </c>
      <c r="H4207" t="e">
        <f ca="1">IMAGE("https://m.media-amazon.com/images/I/61RrLWNuW4L._AC_UL320_.jpg")</f>
        <v>#NAME?</v>
      </c>
      <c r="I4207" t="s">
        <v>3392</v>
      </c>
      <c r="J4207">
        <v>13.99</v>
      </c>
      <c r="K4207" s="2" t="s">
        <v>11882</v>
      </c>
      <c r="L4207">
        <v>4.5</v>
      </c>
      <c r="M4207">
        <v>88479</v>
      </c>
      <c r="O4207" t="s">
        <v>26</v>
      </c>
      <c r="P4207" t="s">
        <v>39</v>
      </c>
      <c r="Q4207" t="s">
        <v>11883</v>
      </c>
    </row>
    <row r="4208" spans="1:17" ht="15.75" x14ac:dyDescent="0.25">
      <c r="A4208" s="3" t="str">
        <f>HYPERLINK("https://shop.sonapharmacy.com/products/sunbum%C2%AE-original-spf-50-sunscreen-lotion-3oz", "https://shop.sonapharmacy.com/products/sunbum%C2%AE-original-spf-50-sunscreen-lotion-3oz")</f>
        <v>https://shop.sonapharmacy.com/products/sunbum%C2%AE-original-spf-50-sunscreen-lotion-3oz</v>
      </c>
      <c r="B4208" s="3" t="str">
        <f>HYPERLINK("https://shop.sonapharmacy.com/products/sunbum%c2%ae-original-spf-50-sunscreen-lotion-3oz", "https://shop.sonapharmacy.com/products/sunbum%c2%ae-original-spf-50-sunscreen-lotion-3oz")</f>
        <v>https://shop.sonapharmacy.com/products/sunbum%c2%ae-original-spf-50-sunscreen-lotion-3oz</v>
      </c>
      <c r="C4208" t="s">
        <v>9924</v>
      </c>
      <c r="D4208" t="s">
        <v>11884</v>
      </c>
      <c r="E4208" s="3" t="str">
        <f>HYPERLINK("https://www.amazon.com/Sun-Bum-Octinoxate-Oxybenzone-Moisturizing/dp/B09JHWKHVF/ref=sr_1_7?keywords=Sun+Bum%C2%AE+Original+SPF+50+Sunscreen+Lotion&amp;qid=1695260742&amp;rdc=1&amp;sr=8-7", "https://www.amazon.com/Sun-Bum-Octinoxate-Oxybenzone-Moisturizing/dp/B09JHWKHVF/ref=sr_1_7?keywords=Sun+Bum%C2%AE+Original+SPF+50+Sunscreen+Lotion&amp;qid=1695260742&amp;rdc=1&amp;sr=8-7")</f>
        <v>https://www.amazon.com/Sun-Bum-Octinoxate-Oxybenzone-Moisturizing/dp/B09JHWKHVF/ref=sr_1_7?keywords=Sun+Bum%C2%AE+Original+SPF+50+Sunscreen+Lotion&amp;qid=1695260742&amp;rdc=1&amp;sr=8-7</v>
      </c>
      <c r="F4208" t="s">
        <v>11885</v>
      </c>
      <c r="G4208" t="e">
        <f ca="1">IMAGE("https://shop.sonapharmacy.com/cdn/shop/products/71liju0WraL._SL1500.jpg?v=1611868598")</f>
        <v>#NAME?</v>
      </c>
      <c r="H4208" t="e">
        <f ca="1">IMAGE("https://m.media-amazon.com/images/I/71Q2sCeHRrL._AC_UL320_.jpg")</f>
        <v>#NAME?</v>
      </c>
      <c r="I4208" t="s">
        <v>4873</v>
      </c>
      <c r="J4208">
        <v>17.489999999999998</v>
      </c>
      <c r="K4208" s="2" t="s">
        <v>11886</v>
      </c>
      <c r="L4208">
        <v>4.7</v>
      </c>
      <c r="M4208">
        <v>472</v>
      </c>
      <c r="O4208" t="s">
        <v>26</v>
      </c>
      <c r="P4208" t="s">
        <v>39</v>
      </c>
      <c r="Q4208" t="s">
        <v>9928</v>
      </c>
    </row>
    <row r="4209" spans="1:17" ht="15.75" x14ac:dyDescent="0.25">
      <c r="A4209" s="3" t="str">
        <f>HYPERLINK("https://shop.sonapharmacy.com/products/compound-w%C2%AE-wart-remover-maximum-strength-one-step-pads-7ct", "https://shop.sonapharmacy.com/products/compound-w%C2%AE-wart-remover-maximum-strength-one-step-pads-7ct")</f>
        <v>https://shop.sonapharmacy.com/products/compound-w%C2%AE-wart-remover-maximum-strength-one-step-pads-7ct</v>
      </c>
      <c r="B4209" s="3" t="str">
        <f>HYPERLINK("https://shop.sonapharmacy.com/products/compound-w%c2%ae-wart-remover-maximum-strength-one-step-pads-7ct", "https://shop.sonapharmacy.com/products/compound-w%c2%ae-wart-remover-maximum-strength-one-step-pads-7ct")</f>
        <v>https://shop.sonapharmacy.com/products/compound-w%c2%ae-wart-remover-maximum-strength-one-step-pads-7ct</v>
      </c>
      <c r="C4209" t="s">
        <v>11887</v>
      </c>
      <c r="D4209" t="s">
        <v>11888</v>
      </c>
      <c r="E4209" s="3" t="str">
        <f>HYPERLINK("https://www.amazon.com/Compound-Wart-Remover-Maximum-Strength/dp/B00E4MNKUM/ref=sr_1_2?keywords=Compound+W%C2%AE+Wart+Remover+Maximum+Strength+One+Step+Pads+14ct.&amp;qid=1695260152&amp;sr=8-2", "https://www.amazon.com/Compound-Wart-Remover-Maximum-Strength/dp/B00E4MNKUM/ref=sr_1_2?keywords=Compound+W%C2%AE+Wart+Remover+Maximum+Strength+One+Step+Pads+14ct.&amp;qid=1695260152&amp;sr=8-2")</f>
        <v>https://www.amazon.com/Compound-Wart-Remover-Maximum-Strength/dp/B00E4MNKUM/ref=sr_1_2?keywords=Compound+W%C2%AE+Wart+Remover+Maximum+Strength+One+Step+Pads+14ct.&amp;qid=1695260152&amp;sr=8-2</v>
      </c>
      <c r="F4209" t="s">
        <v>11889</v>
      </c>
      <c r="G4209" t="e">
        <f ca="1">IMAGE("https://shop.sonapharmacy.com/cdn/shop/products/71tm3iAf1sL._AC_SL1500.jpg?v=1610313397")</f>
        <v>#NAME?</v>
      </c>
      <c r="H4209" t="e">
        <f ca="1">IMAGE("https://m.media-amazon.com/images/I/71TpXA2Fw2S._AC_UL320_.jpg")</f>
        <v>#NAME?</v>
      </c>
      <c r="I4209" t="s">
        <v>9009</v>
      </c>
      <c r="J4209">
        <v>21.23</v>
      </c>
      <c r="K4209" s="2" t="s">
        <v>4778</v>
      </c>
      <c r="L4209">
        <v>4.4000000000000004</v>
      </c>
      <c r="M4209">
        <v>100</v>
      </c>
      <c r="O4209" t="s">
        <v>26</v>
      </c>
      <c r="P4209" t="s">
        <v>39</v>
      </c>
      <c r="Q4209" t="s">
        <v>11890</v>
      </c>
    </row>
    <row r="4210" spans="1:17" ht="15.75" x14ac:dyDescent="0.25">
      <c r="A4210" s="3" t="str">
        <f>HYPERLINK("https://shop.sonapharmacy.com/products/flonase-sensimist-allergy-relief-spray", "https://shop.sonapharmacy.com/products/flonase-sensimist-allergy-relief-spray")</f>
        <v>https://shop.sonapharmacy.com/products/flonase-sensimist-allergy-relief-spray</v>
      </c>
      <c r="B4210" s="3" t="str">
        <f>HYPERLINK("https://shop.sonapharmacy.com/products/flonase-sensimist-allergy-relief-spray", "https://shop.sonapharmacy.com/products/flonase-sensimist-allergy-relief-spray")</f>
        <v>https://shop.sonapharmacy.com/products/flonase-sensimist-allergy-relief-spray</v>
      </c>
      <c r="C4210" t="s">
        <v>11891</v>
      </c>
      <c r="D4210" t="s">
        <v>11892</v>
      </c>
      <c r="E4210" s="3" t="str">
        <f>HYPERLINK("https://www.amazon.com/Flonase-Sensimist-Allergy-Relief-Sprays/dp/B071S3SZ1K/ref=sr_1_6?keywords=Flonase%C2%AE+Sensimist+Allergy+Relief+Spray&amp;qid=1695260252&amp;sr=8-6", "https://www.amazon.com/Flonase-Sensimist-Allergy-Relief-Sprays/dp/B071S3SZ1K/ref=sr_1_6?keywords=Flonase%C2%AE+Sensimist+Allergy+Relief+Spray&amp;qid=1695260252&amp;sr=8-6")</f>
        <v>https://www.amazon.com/Flonase-Sensimist-Allergy-Relief-Sprays/dp/B071S3SZ1K/ref=sr_1_6?keywords=Flonase%C2%AE+Sensimist+Allergy+Relief+Spray&amp;qid=1695260252&amp;sr=8-6</v>
      </c>
      <c r="F4210" t="s">
        <v>11893</v>
      </c>
      <c r="G4210" t="e">
        <f ca="1">IMAGE("https://shop.sonapharmacy.com/cdn/shop/products/FlonaseSensimistAllergyReliefSpray.jpg?v=1595345172")</f>
        <v>#NAME?</v>
      </c>
      <c r="H4210" t="e">
        <f ca="1">IMAGE("https://m.media-amazon.com/images/I/71tYc3IlGaL._AC_UL320_.jpg")</f>
        <v>#NAME?</v>
      </c>
      <c r="I4210" t="s">
        <v>11894</v>
      </c>
      <c r="J4210">
        <v>34</v>
      </c>
      <c r="K4210" s="2" t="s">
        <v>11895</v>
      </c>
      <c r="L4210">
        <v>4.7</v>
      </c>
      <c r="M4210">
        <v>262</v>
      </c>
      <c r="O4210" t="s">
        <v>26</v>
      </c>
      <c r="P4210" t="s">
        <v>39</v>
      </c>
      <c r="Q4210" t="s">
        <v>11896</v>
      </c>
    </row>
    <row r="4211" spans="1:17" ht="15.75" x14ac:dyDescent="0.25">
      <c r="A4211" s="3" t="str">
        <f t="shared" ref="A4211:B4213" si="42">HYPERLINK("https://shop.sonapharmacy.com/products/prevagen-extra-strength-capsules-20-mg", "https://shop.sonapharmacy.com/products/prevagen-extra-strength-capsules-20-mg")</f>
        <v>https://shop.sonapharmacy.com/products/prevagen-extra-strength-capsules-20-mg</v>
      </c>
      <c r="B4211" s="3" t="str">
        <f t="shared" si="42"/>
        <v>https://shop.sonapharmacy.com/products/prevagen-extra-strength-capsules-20-mg</v>
      </c>
      <c r="C4211" t="s">
        <v>9057</v>
      </c>
      <c r="D4211" t="s">
        <v>11690</v>
      </c>
      <c r="E4211" s="3" t="str">
        <f>HYPERLINK("https://www.amazon.com/Prevagen-Extra-Strength-20mg-capsules/dp/B00GBESZVA/ref=sr_1_1?keywords=Prevagen+Extra+Strength+Capsules+20+mg&amp;qid=1695260651&amp;sr=8-1", "https://www.amazon.com/Prevagen-Extra-Strength-20mg-capsules/dp/B00GBESZVA/ref=sr_1_1?keywords=Prevagen+Extra+Strength+Capsules+20+mg&amp;qid=1695260651&amp;sr=8-1")</f>
        <v>https://www.amazon.com/Prevagen-Extra-Strength-20mg-capsules/dp/B00GBESZVA/ref=sr_1_1?keywords=Prevagen+Extra+Strength+Capsules+20+mg&amp;qid=1695260651&amp;sr=8-1</v>
      </c>
      <c r="F4211" t="s">
        <v>11691</v>
      </c>
      <c r="G4211" t="e">
        <f ca="1">IMAGE("https://shop.sonapharmacy.com/cdn/shop/products/PrevagenExtraStrengthCapsules20mg.jpg?v=1594304097")</f>
        <v>#NAME?</v>
      </c>
      <c r="H4211" t="e">
        <f ca="1">IMAGE("https://m.media-amazon.com/images/I/71Gm1MhlvCL._AC_UL320_.jpg")</f>
        <v>#NAME?</v>
      </c>
      <c r="I4211" t="s">
        <v>9060</v>
      </c>
      <c r="J4211">
        <v>94.43</v>
      </c>
      <c r="K4211" s="2" t="s">
        <v>11897</v>
      </c>
      <c r="L4211">
        <v>4.3</v>
      </c>
      <c r="M4211">
        <v>7238</v>
      </c>
      <c r="O4211" t="s">
        <v>39</v>
      </c>
      <c r="P4211" t="s">
        <v>39</v>
      </c>
      <c r="Q4211" t="s">
        <v>9062</v>
      </c>
    </row>
    <row r="4212" spans="1:17" ht="15.75" x14ac:dyDescent="0.25">
      <c r="A4212" s="3" t="str">
        <f t="shared" si="42"/>
        <v>https://shop.sonapharmacy.com/products/prevagen-extra-strength-capsules-20-mg</v>
      </c>
      <c r="B4212" s="3" t="str">
        <f t="shared" si="42"/>
        <v>https://shop.sonapharmacy.com/products/prevagen-extra-strength-capsules-20-mg</v>
      </c>
      <c r="C4212" t="s">
        <v>9057</v>
      </c>
      <c r="D4212" t="s">
        <v>11693</v>
      </c>
      <c r="E4212" s="3" t="str">
        <f>HYPERLINK("https://www.amazon.com/Prevagen-Improves-Memory-Apoaequorin-Attractive/dp/B0BN6ZDFFG/ref=sr_1_3?keywords=Prevagen+Extra+Strength+Capsules+20+mg&amp;qid=1695260651&amp;sr=8-3", "https://www.amazon.com/Prevagen-Improves-Memory-Apoaequorin-Attractive/dp/B0BN6ZDFFG/ref=sr_1_3?keywords=Prevagen+Extra+Strength+Capsules+20+mg&amp;qid=1695260651&amp;sr=8-3")</f>
        <v>https://www.amazon.com/Prevagen-Improves-Memory-Apoaequorin-Attractive/dp/B0BN6ZDFFG/ref=sr_1_3?keywords=Prevagen+Extra+Strength+Capsules+20+mg&amp;qid=1695260651&amp;sr=8-3</v>
      </c>
      <c r="F4212" t="s">
        <v>11694</v>
      </c>
      <c r="G4212" t="e">
        <f ca="1">IMAGE("https://shop.sonapharmacy.com/cdn/shop/products/PrevagenExtraStrengthCapsules20mg.jpg?v=1594304097")</f>
        <v>#NAME?</v>
      </c>
      <c r="H4212" t="e">
        <f ca="1">IMAGE("https://m.media-amazon.com/images/I/61qiNFfMpoL._AC_UL320_.jpg")</f>
        <v>#NAME?</v>
      </c>
      <c r="I4212" t="s">
        <v>9060</v>
      </c>
      <c r="J4212">
        <v>94.43</v>
      </c>
      <c r="K4212" s="2" t="s">
        <v>11897</v>
      </c>
      <c r="L4212">
        <v>4.4000000000000004</v>
      </c>
      <c r="M4212">
        <v>1016</v>
      </c>
      <c r="O4212" t="s">
        <v>39</v>
      </c>
      <c r="P4212" t="s">
        <v>39</v>
      </c>
      <c r="Q4212" t="s">
        <v>9062</v>
      </c>
    </row>
    <row r="4213" spans="1:17" ht="15.75" x14ac:dyDescent="0.25">
      <c r="A4213" s="3" t="str">
        <f t="shared" si="42"/>
        <v>https://shop.sonapharmacy.com/products/prevagen-extra-strength-capsules-20-mg</v>
      </c>
      <c r="B4213" s="3" t="str">
        <f t="shared" si="42"/>
        <v>https://shop.sonapharmacy.com/products/prevagen-extra-strength-capsules-20-mg</v>
      </c>
      <c r="C4213" t="s">
        <v>9057</v>
      </c>
      <c r="D4213" t="s">
        <v>11690</v>
      </c>
      <c r="E4213" s="3" t="str">
        <f>HYPERLINK("https://www.amazon.com/Prevagen-Improves-Memory-Extra-Strength/dp/B08HHDKJKQ/ref=sr_1_4?keywords=Prevagen+Extra+Strength+Capsules+20+mg&amp;qid=1695260651&amp;sr=8-4", "https://www.amazon.com/Prevagen-Improves-Memory-Extra-Strength/dp/B08HHDKJKQ/ref=sr_1_4?keywords=Prevagen+Extra+Strength+Capsules+20+mg&amp;qid=1695260651&amp;sr=8-4")</f>
        <v>https://www.amazon.com/Prevagen-Improves-Memory-Extra-Strength/dp/B08HHDKJKQ/ref=sr_1_4?keywords=Prevagen+Extra+Strength+Capsules+20+mg&amp;qid=1695260651&amp;sr=8-4</v>
      </c>
      <c r="F4213" t="s">
        <v>11898</v>
      </c>
      <c r="G4213" t="e">
        <f ca="1">IMAGE("https://shop.sonapharmacy.com/cdn/shop/products/PrevagenExtraStrengthCapsules20mg.jpg?v=1594304097")</f>
        <v>#NAME?</v>
      </c>
      <c r="H4213" t="e">
        <f ca="1">IMAGE("https://m.media-amazon.com/images/I/71Gm1MhlvCL._AC_UL320_.jpg")</f>
        <v>#NAME?</v>
      </c>
      <c r="I4213" t="s">
        <v>9060</v>
      </c>
      <c r="J4213">
        <v>94.43</v>
      </c>
      <c r="K4213" s="2" t="s">
        <v>11897</v>
      </c>
      <c r="L4213">
        <v>4.4000000000000004</v>
      </c>
      <c r="M4213">
        <v>2703</v>
      </c>
      <c r="O4213" t="s">
        <v>39</v>
      </c>
      <c r="P4213" t="s">
        <v>39</v>
      </c>
      <c r="Q4213" t="s">
        <v>9062</v>
      </c>
    </row>
    <row r="4214" spans="1:17" ht="15.75" x14ac:dyDescent="0.25">
      <c r="A4214" s="3" t="str">
        <f>HYPERLINK("https://shop.sonapharmacy.com/products/apex%C2%AE-weekly-twice-a-day-pill-organizer", "https://shop.sonapharmacy.com/products/apex%C2%AE-weekly-twice-a-day-pill-organizer")</f>
        <v>https://shop.sonapharmacy.com/products/apex%C2%AE-weekly-twice-a-day-pill-organizer</v>
      </c>
      <c r="B4214" s="3" t="str">
        <f>HYPERLINK("https://shop.sonapharmacy.com/products/apex%c2%ae-weekly-twice-a-day-pill-organizer", "https://shop.sonapharmacy.com/products/apex%c2%ae-weekly-twice-a-day-pill-organizer")</f>
        <v>https://shop.sonapharmacy.com/products/apex%c2%ae-weekly-twice-a-day-pill-organizer</v>
      </c>
      <c r="C4214" t="s">
        <v>9754</v>
      </c>
      <c r="D4214" t="s">
        <v>11899</v>
      </c>
      <c r="E4214" s="3" t="str">
        <f>HYPERLINK("https://www.amazon.com/MEDca-Weekly-Pill-Organizer-Twice/dp/B071J1L2B2/ref=sr_1_7?keywords=Apex+Weekly+Twice-A-Day+Pill+Organizer&amp;qid=1695260022&amp;sr=8-7", "https://www.amazon.com/MEDca-Weekly-Pill-Organizer-Twice/dp/B071J1L2B2/ref=sr_1_7?keywords=Apex+Weekly+Twice-A-Day+Pill+Organizer&amp;qid=1695260022&amp;sr=8-7")</f>
        <v>https://www.amazon.com/MEDca-Weekly-Pill-Organizer-Twice/dp/B071J1L2B2/ref=sr_1_7?keywords=Apex+Weekly+Twice-A-Day+Pill+Organizer&amp;qid=1695260022&amp;sr=8-7</v>
      </c>
      <c r="F4214" t="s">
        <v>11900</v>
      </c>
      <c r="G4214" t="e">
        <f ca="1">IMAGE("https://shop.sonapharmacy.com/cdn/shop/products/81bW58qDenL._AC_SL1500.jpg?v=1609957632")</f>
        <v>#NAME?</v>
      </c>
      <c r="H4214" t="e">
        <f ca="1">IMAGE("https://m.media-amazon.com/images/I/81NLE-SfU9L._AC_UL320_.jpg")</f>
        <v>#NAME?</v>
      </c>
      <c r="I4214" t="s">
        <v>8983</v>
      </c>
      <c r="J4214">
        <v>9.75</v>
      </c>
      <c r="K4214" s="2" t="s">
        <v>4787</v>
      </c>
      <c r="L4214">
        <v>3.9</v>
      </c>
      <c r="M4214">
        <v>6658</v>
      </c>
      <c r="O4214" t="s">
        <v>26</v>
      </c>
      <c r="P4214" t="s">
        <v>39</v>
      </c>
      <c r="Q4214" t="s">
        <v>9758</v>
      </c>
    </row>
    <row r="4215" spans="1:17" ht="15.75" x14ac:dyDescent="0.25">
      <c r="A4215" s="3" t="str">
        <f>HYPERLINK("https://shop.sonapharmacy.com/products/natrapel%C2%AE-deet-free-lemon-eucalyptus-insect-repellent-spray-6oz", "https://shop.sonapharmacy.com/products/natrapel%C2%AE-deet-free-lemon-eucalyptus-insect-repellent-spray-6oz")</f>
        <v>https://shop.sonapharmacy.com/products/natrapel%C2%AE-deet-free-lemon-eucalyptus-insect-repellent-spray-6oz</v>
      </c>
      <c r="B4215" s="3" t="str">
        <f>HYPERLINK("https://shop.sonapharmacy.com/products/natrapel%c2%ae-deet-free-lemon-eucalyptus-insect-repellent-spray-6oz", "https://shop.sonapharmacy.com/products/natrapel%c2%ae-deet-free-lemon-eucalyptus-insect-repellent-spray-6oz")</f>
        <v>https://shop.sonapharmacy.com/products/natrapel%c2%ae-deet-free-lemon-eucalyptus-insect-repellent-spray-6oz</v>
      </c>
      <c r="C4215" t="s">
        <v>11901</v>
      </c>
      <c r="D4215" t="s">
        <v>11902</v>
      </c>
      <c r="E4215" s="3" t="str">
        <f>HYPERLINK("https://www.amazon.com/TRAP-Repellent-DEET-Free-Eucalyptus-Essential/dp/B0C2VJYFTC/ref=sr_1_2?keywords=Natrapel%C2%AE+Deet+Free+Lemon+Eucalyptus+Insect+Repellent+Spray+6oz.&amp;qid=1695260519&amp;sr=8-2", "https://www.amazon.com/TRAP-Repellent-DEET-Free-Eucalyptus-Essential/dp/B0C2VJYFTC/ref=sr_1_2?keywords=Natrapel%C2%AE+Deet+Free+Lemon+Eucalyptus+Insect+Repellent+Spray+6oz.&amp;qid=1695260519&amp;sr=8-2")</f>
        <v>https://www.amazon.com/TRAP-Repellent-DEET-Free-Eucalyptus-Essential/dp/B0C2VJYFTC/ref=sr_1_2?keywords=Natrapel%C2%AE+Deet+Free+Lemon+Eucalyptus+Insect+Repellent+Spray+6oz.&amp;qid=1695260519&amp;sr=8-2</v>
      </c>
      <c r="F4215" t="s">
        <v>11903</v>
      </c>
      <c r="G4215" t="e">
        <f ca="1">IMAGE("https://shop.sonapharmacy.com/cdn/shop/products/61Dm0mqSnVL._AC_SL1500.jpg?v=1610764180")</f>
        <v>#NAME?</v>
      </c>
      <c r="H4215" t="e">
        <f ca="1">IMAGE("https://m.media-amazon.com/images/I/81uqZK2zn+L._AC_UL320_.jpg")</f>
        <v>#NAME?</v>
      </c>
      <c r="I4215" t="s">
        <v>11610</v>
      </c>
      <c r="J4215">
        <v>18.989999999999998</v>
      </c>
      <c r="K4215" s="2" t="s">
        <v>11904</v>
      </c>
      <c r="L4215">
        <v>3.7</v>
      </c>
      <c r="M4215">
        <v>9</v>
      </c>
      <c r="O4215" t="s">
        <v>26</v>
      </c>
      <c r="P4215" t="s">
        <v>39</v>
      </c>
      <c r="Q4215" t="s">
        <v>11905</v>
      </c>
    </row>
    <row r="4216" spans="1:17" ht="15.75" x14ac:dyDescent="0.25">
      <c r="A4216" s="3" t="str">
        <f>HYPERLINK("https://shop.sonapharmacy.com/products/band-aid-tough-strips", "https://shop.sonapharmacy.com/products/band-aid-tough-strips")</f>
        <v>https://shop.sonapharmacy.com/products/band-aid-tough-strips</v>
      </c>
      <c r="B4216" s="3" t="str">
        <f>HYPERLINK("https://shop.sonapharmacy.com/products/band-aid-tough-strips", "https://shop.sonapharmacy.com/products/band-aid-tough-strips")</f>
        <v>https://shop.sonapharmacy.com/products/band-aid-tough-strips</v>
      </c>
      <c r="C4216" t="s">
        <v>9687</v>
      </c>
      <c r="D4216" t="s">
        <v>11906</v>
      </c>
      <c r="E4216" s="3" t="str">
        <f>HYPERLINK("https://www.amazon.com/BAND-AID-Brand-TOUGH-STRIPS-Bandages/dp/B01IAHYUCS/ref=sr_1_6?keywords=BAND-AID%C2%AE+Tough+Strips&amp;qid=1695260064&amp;sr=8-6", "https://www.amazon.com/BAND-AID-Brand-TOUGH-STRIPS-Bandages/dp/B01IAHYUCS/ref=sr_1_6?keywords=BAND-AID%C2%AE+Tough+Strips&amp;qid=1695260064&amp;sr=8-6")</f>
        <v>https://www.amazon.com/BAND-AID-Brand-TOUGH-STRIPS-Bandages/dp/B01IAHYUCS/ref=sr_1_6?keywords=BAND-AID%C2%AE+Tough+Strips&amp;qid=1695260064&amp;sr=8-6</v>
      </c>
      <c r="F4216" t="s">
        <v>11907</v>
      </c>
      <c r="G4216" t="e">
        <f ca="1">IMAGE("https://shop.sonapharmacy.com/cdn/shop/products/bab_381370044246_band_aid_band_aid_tough_strip_xl_10ct_007.jpg?v=1607288053")</f>
        <v>#NAME?</v>
      </c>
      <c r="H4216" t="e">
        <f ca="1">IMAGE("https://m.media-amazon.com/images/I/61+bEuqGd3L._AC_UL320_.jpg")</f>
        <v>#NAME?</v>
      </c>
      <c r="I4216" t="s">
        <v>8512</v>
      </c>
      <c r="J4216">
        <v>9.99</v>
      </c>
      <c r="K4216" s="2" t="s">
        <v>11908</v>
      </c>
      <c r="L4216">
        <v>4.5</v>
      </c>
      <c r="M4216">
        <v>33</v>
      </c>
      <c r="O4216" t="s">
        <v>26</v>
      </c>
      <c r="P4216" t="s">
        <v>39</v>
      </c>
      <c r="Q4216" t="s">
        <v>9691</v>
      </c>
    </row>
    <row r="4217" spans="1:17" ht="15.75" x14ac:dyDescent="0.25">
      <c r="A4217"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B4217"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C4217" t="s">
        <v>11756</v>
      </c>
      <c r="D4217" t="s">
        <v>11909</v>
      </c>
      <c r="E4217" s="3" t="str">
        <f>HYPERLINK("https://www.amazon.com/Omeprazole-Delayed-Release-Tablets-Heartburn/dp/B07Y61SZBS/ref=sr_1_8?keywords=GoodSense%C2%AE+Omeprazole+Delayed+Release+Acid+Reducer+Tablets&amp;qid=1695260366&amp;sr=8-8", "https://www.amazon.com/Omeprazole-Delayed-Release-Tablets-Heartburn/dp/B07Y61SZBS/ref=sr_1_8?keywords=GoodSense%C2%AE+Omeprazole+Delayed+Release+Acid+Reducer+Tablets&amp;qid=1695260366&amp;sr=8-8")</f>
        <v>https://www.amazon.com/Omeprazole-Delayed-Release-Tablets-Heartburn/dp/B07Y61SZBS/ref=sr_1_8?keywords=GoodSense%C2%AE+Omeprazole+Delayed+Release+Acid+Reducer+Tablets&amp;qid=1695260366&amp;sr=8-8</v>
      </c>
      <c r="F4217" t="s">
        <v>11910</v>
      </c>
      <c r="G4217" t="e">
        <f ca="1">IMAGE("https://shop.sonapharmacy.com/cdn/shop/products/61mXugZtvTL._AC_SL1000_1a51445e-2089-4814-b7ea-c9463c6da8ef.jpg?v=1611027744")</f>
        <v>#NAME?</v>
      </c>
      <c r="H4217" t="e">
        <f ca="1">IMAGE("https://m.media-amazon.com/images/I/61ATiov4n1L._AC_UL320_.jpg")</f>
        <v>#NAME?</v>
      </c>
      <c r="I4217" t="s">
        <v>10716</v>
      </c>
      <c r="J4217">
        <v>28.95</v>
      </c>
      <c r="K4217" s="2" t="s">
        <v>11911</v>
      </c>
      <c r="L4217">
        <v>4.8</v>
      </c>
      <c r="M4217">
        <v>750</v>
      </c>
      <c r="O4217" t="s">
        <v>26</v>
      </c>
      <c r="P4217" t="s">
        <v>39</v>
      </c>
      <c r="Q4217" t="s">
        <v>11760</v>
      </c>
    </row>
    <row r="4218" spans="1:17" ht="15.75" x14ac:dyDescent="0.25">
      <c r="A4218" s="3" t="str">
        <f>HYPERLINK("https://shop.sonapharmacy.com/products/okeeffes%C2%AE-cooling-relief-lip-repair", "https://shop.sonapharmacy.com/products/okeeffes%C2%AE-cooling-relief-lip-repair")</f>
        <v>https://shop.sonapharmacy.com/products/okeeffes%C2%AE-cooling-relief-lip-repair</v>
      </c>
      <c r="B4218" s="3" t="str">
        <f>HYPERLINK("https://shop.sonapharmacy.com/products/okeeffes%c2%ae-cooling-relief-lip-repair", "https://shop.sonapharmacy.com/products/okeeffes%c2%ae-cooling-relief-lip-repair")</f>
        <v>https://shop.sonapharmacy.com/products/okeeffes%c2%ae-cooling-relief-lip-repair</v>
      </c>
      <c r="C4218" t="s">
        <v>8157</v>
      </c>
      <c r="D4218" t="s">
        <v>11912</v>
      </c>
      <c r="E4218" s="3" t="str">
        <f>HYPERLINK("https://www.amazon.com/OKeeffes-Cooling-Relief-Repair-ounce/dp/B07GVTD1Q5/ref=sr_1_3?keywords=O%27Keeffe%27s%C2%AE+Cooling+Relief+Lip+Repair&amp;qid=1695260611&amp;sr=8-3", "https://www.amazon.com/OKeeffes-Cooling-Relief-Repair-ounce/dp/B07GVTD1Q5/ref=sr_1_3?keywords=O%27Keeffe%27s%C2%AE+Cooling+Relief+Lip+Repair&amp;qid=1695260611&amp;sr=8-3")</f>
        <v>https://www.amazon.com/OKeeffes-Cooling-Relief-Repair-ounce/dp/B07GVTD1Q5/ref=sr_1_3?keywords=O%27Keeffe%27s%C2%AE+Cooling+Relief+Lip+Repair&amp;qid=1695260611&amp;sr=8-3</v>
      </c>
      <c r="F4218" t="s">
        <v>11913</v>
      </c>
      <c r="G4218" t="e">
        <f ca="1">IMAGE("https://shop.sonapharmacy.com/cdn/shop/products/91uQWoqzf5L._AC_SL1500.jpg?v=1608226728")</f>
        <v>#NAME?</v>
      </c>
      <c r="H4218" t="e">
        <f ca="1">IMAGE("https://m.media-amazon.com/images/I/61dgjEdeAIL._AC_UL320_.jpg")</f>
        <v>#NAME?</v>
      </c>
      <c r="I4218" t="s">
        <v>8160</v>
      </c>
      <c r="J4218">
        <v>7.99</v>
      </c>
      <c r="K4218" s="2" t="s">
        <v>11914</v>
      </c>
      <c r="L4218">
        <v>4.5999999999999996</v>
      </c>
      <c r="M4218">
        <v>1330</v>
      </c>
      <c r="O4218" t="s">
        <v>26</v>
      </c>
      <c r="P4218" t="s">
        <v>39</v>
      </c>
      <c r="Q4218" t="s">
        <v>8162</v>
      </c>
    </row>
    <row r="4219" spans="1:17" ht="15.75" x14ac:dyDescent="0.25">
      <c r="A4219" s="3" t="str">
        <f>HYPERLINK("https://shop.sonapharmacy.com/products/schiff-move-free-joint-health-advanced-plus-msm-tablets", "https://shop.sonapharmacy.com/products/schiff-move-free-joint-health-advanced-plus-msm-tablets")</f>
        <v>https://shop.sonapharmacy.com/products/schiff-move-free-joint-health-advanced-plus-msm-tablets</v>
      </c>
      <c r="B4219" s="3" t="str">
        <f>HYPERLINK("https://shop.sonapharmacy.com/products/schiff-move-free-joint-health-advanced-plus-msm-tablets", "https://shop.sonapharmacy.com/products/schiff-move-free-joint-health-advanced-plus-msm-tablets")</f>
        <v>https://shop.sonapharmacy.com/products/schiff-move-free-joint-health-advanced-plus-msm-tablets</v>
      </c>
      <c r="C4219" t="s">
        <v>8905</v>
      </c>
      <c r="D4219" t="s">
        <v>11915</v>
      </c>
      <c r="E4219" s="3" t="str">
        <f>HYPERLINK("https://www.amazon.com/Move-Free-Advanced-Vitamin-tablets/dp/B00UG9OAWY/ref=sr_1_7?keywords=Schiff+Move+Free+joint+Health+Advanced+Plus+MSM+Tablets&amp;qid=1695260725&amp;sr=8-7", "https://www.amazon.com/Move-Free-Advanced-Vitamin-tablets/dp/B00UG9OAWY/ref=sr_1_7?keywords=Schiff+Move+Free+joint+Health+Advanced+Plus+MSM+Tablets&amp;qid=1695260725&amp;sr=8-7")</f>
        <v>https://www.amazon.com/Move-Free-Advanced-Vitamin-tablets/dp/B00UG9OAWY/ref=sr_1_7?keywords=Schiff+Move+Free+joint+Health+Advanced+Plus+MSM+Tablets&amp;qid=1695260725&amp;sr=8-7</v>
      </c>
      <c r="F4219" t="s">
        <v>11916</v>
      </c>
      <c r="G4219" t="e">
        <f ca="1">IMAGE("https://shop.sonapharmacy.com/cdn/shop/products/movefreehealthresized.jpg?v=1592492207")</f>
        <v>#NAME?</v>
      </c>
      <c r="H4219" t="e">
        <f ca="1">IMAGE("https://m.media-amazon.com/images/I/81S4mWwoTBS._AC_UL320_.jpg")</f>
        <v>#NAME?</v>
      </c>
      <c r="I4219" t="s">
        <v>8908</v>
      </c>
      <c r="J4219">
        <v>53.89</v>
      </c>
      <c r="K4219" s="2" t="s">
        <v>11917</v>
      </c>
      <c r="L4219">
        <v>4.5</v>
      </c>
      <c r="M4219">
        <v>68</v>
      </c>
      <c r="O4219" t="s">
        <v>26</v>
      </c>
      <c r="P4219" t="s">
        <v>39</v>
      </c>
      <c r="Q4219" t="s">
        <v>8910</v>
      </c>
    </row>
    <row r="4220" spans="1:17" ht="15.75" x14ac:dyDescent="0.25">
      <c r="A4220" s="3" t="str">
        <f>HYPERLINK("https://shop.sonapharmacy.com/products/natures-way-sambucus-elderberry-zinc-lozenges", "https://shop.sonapharmacy.com/products/natures-way-sambucus-elderberry-zinc-lozenges")</f>
        <v>https://shop.sonapharmacy.com/products/natures-way-sambucus-elderberry-zinc-lozenges</v>
      </c>
      <c r="B4220" s="3" t="str">
        <f>HYPERLINK("https://shop.sonapharmacy.com/products/natures-way-sambucus-elderberry-zinc-lozenges", "https://shop.sonapharmacy.com/products/natures-way-sambucus-elderberry-zinc-lozenges")</f>
        <v>https://shop.sonapharmacy.com/products/natures-way-sambucus-elderberry-zinc-lozenges</v>
      </c>
      <c r="C4220" t="s">
        <v>11918</v>
      </c>
      <c r="D4220" t="s">
        <v>11919</v>
      </c>
      <c r="E4220" s="3" t="str">
        <f>HYPERLINK("https://www.amazon.com/Natures-Way-Sambucus-Lozenges-Elderberry/dp/B08CHXJ3FJ/ref=sr_1_8?keywords=Nature%27s+Way%C2%AE+Sambucus+Elderberry+Zinc+Lozenges+24ct.&amp;qid=1695260560&amp;sr=8-8", "https://www.amazon.com/Natures-Way-Sambucus-Lozenges-Elderberry/dp/B08CHXJ3FJ/ref=sr_1_8?keywords=Nature%27s+Way%C2%AE+Sambucus+Elderberry+Zinc+Lozenges+24ct.&amp;qid=1695260560&amp;sr=8-8")</f>
        <v>https://www.amazon.com/Natures-Way-Sambucus-Lozenges-Elderberry/dp/B08CHXJ3FJ/ref=sr_1_8?keywords=Nature%27s+Way%C2%AE+Sambucus+Elderberry+Zinc+Lozenges+24ct.&amp;qid=1695260560&amp;sr=8-8</v>
      </c>
      <c r="F4220" t="s">
        <v>11920</v>
      </c>
      <c r="G4220" t="e">
        <f ca="1">IMAGE("https://shop.sonapharmacy.com/cdn/shop/products/12089.png?v=1610116249")</f>
        <v>#NAME?</v>
      </c>
      <c r="H4220" t="e">
        <f ca="1">IMAGE("https://m.media-amazon.com/images/I/71HOx396ckS._AC_UL320_.jpg")</f>
        <v>#NAME?</v>
      </c>
      <c r="I4220" t="s">
        <v>11921</v>
      </c>
      <c r="J4220">
        <v>16.38</v>
      </c>
      <c r="K4220" s="2" t="s">
        <v>11917</v>
      </c>
      <c r="L4220">
        <v>4.0999999999999996</v>
      </c>
      <c r="M4220">
        <v>41</v>
      </c>
      <c r="O4220" t="s">
        <v>26</v>
      </c>
      <c r="P4220" t="s">
        <v>39</v>
      </c>
      <c r="Q4220" t="s">
        <v>11922</v>
      </c>
    </row>
    <row r="4221" spans="1:17" ht="15.75" x14ac:dyDescent="0.25">
      <c r="A4221" s="3" t="str">
        <f>HYPERLINK("https://shop.sonapharmacy.com/products/natures-way-sambucus-elderberry-zinc-lozenges", "https://shop.sonapharmacy.com/products/natures-way-sambucus-elderberry-zinc-lozenges")</f>
        <v>https://shop.sonapharmacy.com/products/natures-way-sambucus-elderberry-zinc-lozenges</v>
      </c>
      <c r="B4221" s="3" t="str">
        <f>HYPERLINK("https://shop.sonapharmacy.com/products/natures-way-sambucus-elderberry-zinc-lozenges", "https://shop.sonapharmacy.com/products/natures-way-sambucus-elderberry-zinc-lozenges")</f>
        <v>https://shop.sonapharmacy.com/products/natures-way-sambucus-elderberry-zinc-lozenges</v>
      </c>
      <c r="C4221" t="s">
        <v>11918</v>
      </c>
      <c r="D4221" t="s">
        <v>11923</v>
      </c>
      <c r="E4221" s="3" t="str">
        <f>HYPERLINK("https://www.amazon.com/Natures-Way-Sambucus-Lozenges-Elderberry/dp/B094898Y58/ref=sr_1_7?keywords=Nature%27s+Way%C2%AE+Sambucus+Elderberry+Zinc+Lozenges+24ct.&amp;qid=1695260560&amp;sr=8-7", "https://www.amazon.com/Natures-Way-Sambucus-Lozenges-Elderberry/dp/B094898Y58/ref=sr_1_7?keywords=Nature%27s+Way%C2%AE+Sambucus+Elderberry+Zinc+Lozenges+24ct.&amp;qid=1695260560&amp;sr=8-7")</f>
        <v>https://www.amazon.com/Natures-Way-Sambucus-Lozenges-Elderberry/dp/B094898Y58/ref=sr_1_7?keywords=Nature%27s+Way%C2%AE+Sambucus+Elderberry+Zinc+Lozenges+24ct.&amp;qid=1695260560&amp;sr=8-7</v>
      </c>
      <c r="F4221" t="s">
        <v>11924</v>
      </c>
      <c r="G4221" t="e">
        <f ca="1">IMAGE("https://shop.sonapharmacy.com/cdn/shop/products/12089.png?v=1610116249")</f>
        <v>#NAME?</v>
      </c>
      <c r="H4221" t="e">
        <f ca="1">IMAGE("https://m.media-amazon.com/images/I/71DYM5J-OCL._AC_UL320_.jpg")</f>
        <v>#NAME?</v>
      </c>
      <c r="I4221" t="s">
        <v>11921</v>
      </c>
      <c r="J4221">
        <v>16.38</v>
      </c>
      <c r="K4221" s="2" t="s">
        <v>11917</v>
      </c>
      <c r="L4221">
        <v>4.4000000000000004</v>
      </c>
      <c r="M4221">
        <v>102</v>
      </c>
      <c r="O4221" t="s">
        <v>26</v>
      </c>
      <c r="P4221" t="s">
        <v>39</v>
      </c>
      <c r="Q4221" t="s">
        <v>11922</v>
      </c>
    </row>
    <row r="4222" spans="1:17" ht="15.75" x14ac:dyDescent="0.25">
      <c r="A4222" s="3" t="str">
        <f>HYPERLINK("https://shop.sonapharmacy.com/products/dickinson-s-original-witch-hazel-pore-perfecting-toner-16fl-oz", "https://shop.sonapharmacy.com/products/dickinson-s-original-witch-hazel-pore-perfecting-toner-16fl-oz")</f>
        <v>https://shop.sonapharmacy.com/products/dickinson-s-original-witch-hazel-pore-perfecting-toner-16fl-oz</v>
      </c>
      <c r="B4222" s="3" t="str">
        <f>HYPERLINK("https://shop.sonapharmacy.com/products/dickinson-s-original-witch-hazel-pore-perfecting-toner-16fl-oz", "https://shop.sonapharmacy.com/products/dickinson-s-original-witch-hazel-pore-perfecting-toner-16fl-oz")</f>
        <v>https://shop.sonapharmacy.com/products/dickinson-s-original-witch-hazel-pore-perfecting-toner-16fl-oz</v>
      </c>
      <c r="C4222" t="s">
        <v>11559</v>
      </c>
      <c r="D4222" t="s">
        <v>11925</v>
      </c>
      <c r="E4222" s="3" t="str">
        <f>HYPERLINK("https://www.amazon.com/Dickinsons-Witch-Hazel-Facial-Toner/dp/B0B1VNQZT4/ref=sr_1_2?keywords=Dickinson%E2%80%99s%C2%AE+Original+Witch+Hazel+Pore+Perfecting+Toner+16fl.+oz.&amp;qid=1695260259&amp;sr=8-2", "https://www.amazon.com/Dickinsons-Witch-Hazel-Facial-Toner/dp/B0B1VNQZT4/ref=sr_1_2?keywords=Dickinson%E2%80%99s%C2%AE+Original+Witch+Hazel+Pore+Perfecting+Toner+16fl.+oz.&amp;qid=1695260259&amp;sr=8-2")</f>
        <v>https://www.amazon.com/Dickinsons-Witch-Hazel-Facial-Toner/dp/B0B1VNQZT4/ref=sr_1_2?keywords=Dickinson%E2%80%99s%C2%AE+Original+Witch+Hazel+Pore+Perfecting+Toner+16fl.+oz.&amp;qid=1695260259&amp;sr=8-2</v>
      </c>
      <c r="F4222" t="s">
        <v>11926</v>
      </c>
      <c r="G4222" t="e">
        <f ca="1">IMAGE("https://shop.sonapharmacy.com/cdn/shop/products/51_zfUGXAL._SL1000.jpg?v=1608317391")</f>
        <v>#NAME?</v>
      </c>
      <c r="H4222" t="e">
        <f ca="1">IMAGE("https://m.media-amazon.com/images/I/81Xmh7zW2zL._AC_UL320_.jpg")</f>
        <v>#NAME?</v>
      </c>
      <c r="I4222" t="s">
        <v>9634</v>
      </c>
      <c r="J4222">
        <v>10.81</v>
      </c>
      <c r="K4222" s="2" t="s">
        <v>11927</v>
      </c>
      <c r="L4222">
        <v>4.7</v>
      </c>
      <c r="M4222">
        <v>318</v>
      </c>
      <c r="O4222" t="s">
        <v>26</v>
      </c>
      <c r="P4222" t="s">
        <v>39</v>
      </c>
      <c r="Q4222" t="s">
        <v>11563</v>
      </c>
    </row>
    <row r="4223" spans="1:17" ht="15.75" x14ac:dyDescent="0.25">
      <c r="A4223" s="3" t="str">
        <f>HYPERLINK("https://shop.sonapharmacy.com/products/nix-lice-killing-creme-rinse-family-pack", "https://shop.sonapharmacy.com/products/nix-lice-killing-creme-rinse-family-pack")</f>
        <v>https://shop.sonapharmacy.com/products/nix-lice-killing-creme-rinse-family-pack</v>
      </c>
      <c r="B4223" s="3" t="str">
        <f>HYPERLINK("https://shop.sonapharmacy.com/products/nix-lice-killing-creme-rinse-family-pack", "https://shop.sonapharmacy.com/products/nix-lice-killing-creme-rinse-family-pack")</f>
        <v>https://shop.sonapharmacy.com/products/nix-lice-killing-creme-rinse-family-pack</v>
      </c>
      <c r="C4223" t="s">
        <v>11928</v>
      </c>
      <c r="D4223" t="s">
        <v>11929</v>
      </c>
      <c r="E4223" s="3" t="str">
        <f>HYPERLINK("https://www.amazon.com/Lice-Treatment-Creme-Rinse-Removal/dp/B00E4MPTTC/ref=sr_1_5?keywords=Nix+Lice+Killing+Creme+Rinse+Family+Pack&amp;qid=1695260578&amp;sr=8-5", "https://www.amazon.com/Lice-Treatment-Creme-Rinse-Removal/dp/B00E4MPTTC/ref=sr_1_5?keywords=Nix+Lice+Killing+Creme+Rinse+Family+Pack&amp;qid=1695260578&amp;sr=8-5")</f>
        <v>https://www.amazon.com/Lice-Treatment-Creme-Rinse-Removal/dp/B00E4MPTTC/ref=sr_1_5?keywords=Nix+Lice+Killing+Creme+Rinse+Family+Pack&amp;qid=1695260578&amp;sr=8-5</v>
      </c>
      <c r="F4223" t="s">
        <v>11930</v>
      </c>
      <c r="G4223" t="e">
        <f ca="1">IMAGE("https://shop.sonapharmacy.com/cdn/shop/products/6ae674ec-6ed3-4309-bd81-a126090b953f.b27e7c9a1569ab3613c3df83b7802cb1.jpg?v=1608136682")</f>
        <v>#NAME?</v>
      </c>
      <c r="H4223" t="e">
        <f ca="1">IMAGE("https://m.media-amazon.com/images/I/71Db91evhzL._AC_UL320_.jpg")</f>
        <v>#NAME?</v>
      </c>
      <c r="I4223" t="s">
        <v>11931</v>
      </c>
      <c r="J4223">
        <v>40.79</v>
      </c>
      <c r="K4223" s="2" t="s">
        <v>11932</v>
      </c>
      <c r="L4223">
        <v>5</v>
      </c>
      <c r="M4223">
        <v>7</v>
      </c>
      <c r="O4223" t="s">
        <v>26</v>
      </c>
      <c r="P4223" t="s">
        <v>39</v>
      </c>
      <c r="Q4223" t="s">
        <v>11933</v>
      </c>
    </row>
    <row r="4224" spans="1:17" ht="15.75" x14ac:dyDescent="0.25">
      <c r="A4224" s="3" t="str">
        <f>HYPERLINK("https://shop.sonapharmacy.com/products/theraslim", "https://shop.sonapharmacy.com/products/theraslim")</f>
        <v>https://shop.sonapharmacy.com/products/theraslim</v>
      </c>
      <c r="B4224" s="3" t="str">
        <f>HYPERLINK("https://shop.sonapharmacy.com/products/theraslim", "https://shop.sonapharmacy.com/products/theraslim")</f>
        <v>https://shop.sonapharmacy.com/products/theraslim</v>
      </c>
      <c r="C4224" t="s">
        <v>9845</v>
      </c>
      <c r="D4224" t="s">
        <v>11934</v>
      </c>
      <c r="E4224" s="3" t="str">
        <f>HYPERLINK("https://www.amazon.com/Klaire-Labs-Pro-Biotic-Complex-Bifidobacterium/dp/B001PYZDOS/ref=sr_1_5?keywords=Klaire+Labs+Theraslim+Capsules&amp;qid=1695260437&amp;sr=8-5", "https://www.amazon.com/Klaire-Labs-Pro-Biotic-Complex-Bifidobacterium/dp/B001PYZDOS/ref=sr_1_5?keywords=Klaire+Labs+Theraslim+Capsules&amp;qid=1695260437&amp;sr=8-5")</f>
        <v>https://www.amazon.com/Klaire-Labs-Pro-Biotic-Complex-Bifidobacterium/dp/B001PYZDOS/ref=sr_1_5?keywords=Klaire+Labs+Theraslim+Capsules&amp;qid=1695260437&amp;sr=8-5</v>
      </c>
      <c r="F4224" t="s">
        <v>11935</v>
      </c>
      <c r="G4224" t="e">
        <f ca="1">IMAGE("https://shop.sonapharmacy.com/cdn/shop/products/61UgGn_O7ML._AC_SL1500.jpg?v=1609358113")</f>
        <v>#NAME?</v>
      </c>
      <c r="H4224" t="e">
        <f ca="1">IMAGE("https://m.media-amazon.com/images/I/61tCHuqRExL._AC_UL320_.jpg")</f>
        <v>#NAME?</v>
      </c>
      <c r="I4224" t="s">
        <v>3544</v>
      </c>
      <c r="J4224">
        <v>44.99</v>
      </c>
      <c r="K4224" s="2" t="s">
        <v>11936</v>
      </c>
      <c r="L4224">
        <v>4.5999999999999996</v>
      </c>
      <c r="M4224">
        <v>115</v>
      </c>
      <c r="O4224" t="s">
        <v>26</v>
      </c>
      <c r="P4224" t="s">
        <v>39</v>
      </c>
      <c r="Q4224" t="s">
        <v>9849</v>
      </c>
    </row>
    <row r="4225" spans="1:17" ht="15.75" x14ac:dyDescent="0.25">
      <c r="A4225"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B4225"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C4225" t="s">
        <v>11756</v>
      </c>
      <c r="D4225" t="s">
        <v>11937</v>
      </c>
      <c r="E4225" s="3" t="str">
        <f>HYPERLINK("https://www.amazon.com/GoodSense-Omeprazole-Delayed-Release-Reducer/dp/B07QZCZQ5N/ref=sr_1_1?keywords=GoodSense%C2%AE+Omeprazole+Delayed+Release+Acid+Reducer+Tablets&amp;qid=1695260366&amp;sr=8-1", "https://www.amazon.com/GoodSense-Omeprazole-Delayed-Release-Reducer/dp/B07QZCZQ5N/ref=sr_1_1?keywords=GoodSense%C2%AE+Omeprazole+Delayed+Release+Acid+Reducer+Tablets&amp;qid=1695260366&amp;sr=8-1")</f>
        <v>https://www.amazon.com/GoodSense-Omeprazole-Delayed-Release-Reducer/dp/B07QZCZQ5N/ref=sr_1_1?keywords=GoodSense%C2%AE+Omeprazole+Delayed+Release+Acid+Reducer+Tablets&amp;qid=1695260366&amp;sr=8-1</v>
      </c>
      <c r="F4225" t="s">
        <v>11938</v>
      </c>
      <c r="G4225" t="e">
        <f ca="1">IMAGE("https://shop.sonapharmacy.com/cdn/shop/products/61mXugZtvTL._AC_SL1000_1a51445e-2089-4814-b7ea-c9463c6da8ef.jpg?v=1611027744")</f>
        <v>#NAME?</v>
      </c>
      <c r="H4225" t="e">
        <f ca="1">IMAGE("https://m.media-amazon.com/images/I/713NF21m0-L._AC_UL320_.jpg")</f>
        <v>#NAME?</v>
      </c>
      <c r="I4225" t="s">
        <v>10716</v>
      </c>
      <c r="J4225">
        <v>28.74</v>
      </c>
      <c r="K4225" s="2" t="s">
        <v>11939</v>
      </c>
      <c r="L4225">
        <v>4.8</v>
      </c>
      <c r="M4225">
        <v>5391</v>
      </c>
      <c r="O4225" t="s">
        <v>26</v>
      </c>
      <c r="P4225" t="s">
        <v>39</v>
      </c>
      <c r="Q4225" t="s">
        <v>11760</v>
      </c>
    </row>
    <row r="4226" spans="1:17" ht="15.75" x14ac:dyDescent="0.25">
      <c r="A4226"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B4226"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C4226" t="s">
        <v>9018</v>
      </c>
      <c r="D4226" t="s">
        <v>11940</v>
      </c>
      <c r="E4226" s="3" t="str">
        <f>HYPERLINK("https://www.amazon.com/Degree-Shower-Protection-Antiperspirant-Deodorant/dp/B00E4MNPBQ/ref=sr_1_3?keywords=Degree%C2%AE+Shower+Clean+Dry+Protection+Antiperspirant+Deodorant+Stick&amp;qid=1695260181&amp;sr=8-3", "https://www.amazon.com/Degree-Shower-Protection-Antiperspirant-Deodorant/dp/B00E4MNPBQ/ref=sr_1_3?keywords=Degree%C2%AE+Shower+Clean+Dry+Protection+Antiperspirant+Deodorant+Stick&amp;qid=1695260181&amp;sr=8-3")</f>
        <v>https://www.amazon.com/Degree-Shower-Protection-Antiperspirant-Deodorant/dp/B00E4MNPBQ/ref=sr_1_3?keywords=Degree%C2%AE+Shower+Clean+Dry+Protection+Antiperspirant+Deodorant+Stick&amp;qid=1695260181&amp;sr=8-3</v>
      </c>
      <c r="F4226" t="s">
        <v>11941</v>
      </c>
      <c r="G4226" t="e">
        <f ca="1">IMAGE("https://shop.sonapharmacy.com/cdn/shop/products/DegreeShowerFront.png?v=1607052182")</f>
        <v>#NAME?</v>
      </c>
      <c r="H4226" t="e">
        <f ca="1">IMAGE("https://m.media-amazon.com/images/I/51Qug17vqdL._AC_UL320_.jpg")</f>
        <v>#NAME?</v>
      </c>
      <c r="I4226" t="s">
        <v>8264</v>
      </c>
      <c r="J4226">
        <v>8.51</v>
      </c>
      <c r="K4226" s="2" t="s">
        <v>11942</v>
      </c>
      <c r="L4226">
        <v>4.5999999999999996</v>
      </c>
      <c r="M4226">
        <v>156</v>
      </c>
      <c r="O4226" t="s">
        <v>26</v>
      </c>
      <c r="P4226" t="s">
        <v>39</v>
      </c>
      <c r="Q4226" t="s">
        <v>9022</v>
      </c>
    </row>
    <row r="4227" spans="1:17" ht="15.75" x14ac:dyDescent="0.25">
      <c r="A4227" s="3" t="str">
        <f>HYPERLINK("https://shop.sonapharmacy.com/products/clearasil%C2%AE-rapid-rescue-deep-treatment-wash-6-78fl-oz", "https://shop.sonapharmacy.com/products/clearasil%C2%AE-rapid-rescue-deep-treatment-wash-6-78fl-oz")</f>
        <v>https://shop.sonapharmacy.com/products/clearasil%C2%AE-rapid-rescue-deep-treatment-wash-6-78fl-oz</v>
      </c>
      <c r="B4227" s="3" t="str">
        <f>HYPERLINK("https://shop.sonapharmacy.com/products/clearasil%c2%ae-rapid-rescue-deep-treatment-wash-6-78fl-oz", "https://shop.sonapharmacy.com/products/clearasil%c2%ae-rapid-rescue-deep-treatment-wash-6-78fl-oz")</f>
        <v>https://shop.sonapharmacy.com/products/clearasil%c2%ae-rapid-rescue-deep-treatment-wash-6-78fl-oz</v>
      </c>
      <c r="C4227" t="s">
        <v>11943</v>
      </c>
      <c r="D4227" t="s">
        <v>11944</v>
      </c>
      <c r="E4227" s="3" t="str">
        <f>HYPERLINK("https://www.amazon.com/Clearasil-Treatment-Strenght-Salicylic-Medication/dp/B0C1FXB1KP/ref=sr_1_2?keywords=Clearasil%C2%AE+Rapid+Rescue+Deep+Treatment+Wash+6.78fl.+oz.&amp;qid=1695260150&amp;sr=8-2", "https://www.amazon.com/Clearasil-Treatment-Strenght-Salicylic-Medication/dp/B0C1FXB1KP/ref=sr_1_2?keywords=Clearasil%C2%AE+Rapid+Rescue+Deep+Treatment+Wash+6.78fl.+oz.&amp;qid=1695260150&amp;sr=8-2")</f>
        <v>https://www.amazon.com/Clearasil-Treatment-Strenght-Salicylic-Medication/dp/B0C1FXB1KP/ref=sr_1_2?keywords=Clearasil%C2%AE+Rapid+Rescue+Deep+Treatment+Wash+6.78fl.+oz.&amp;qid=1695260150&amp;sr=8-2</v>
      </c>
      <c r="F4227" t="s">
        <v>11945</v>
      </c>
      <c r="G4227" t="e">
        <f ca="1">IMAGE("https://shop.sonapharmacy.com/cdn/shop/products/7124PVwBAwL._SL1500.jpg?v=1608301403")</f>
        <v>#NAME?</v>
      </c>
      <c r="H4227" t="e">
        <f ca="1">IMAGE("https://m.media-amazon.com/images/I/51N6jBjQluL._AC_UL320_.jpg")</f>
        <v>#NAME?</v>
      </c>
      <c r="I4227" t="s">
        <v>11946</v>
      </c>
      <c r="J4227">
        <v>17.91</v>
      </c>
      <c r="K4227" s="2" t="s">
        <v>11947</v>
      </c>
      <c r="L4227">
        <v>4.5999999999999996</v>
      </c>
      <c r="M4227">
        <v>1501</v>
      </c>
      <c r="O4227" t="s">
        <v>26</v>
      </c>
      <c r="P4227" t="s">
        <v>39</v>
      </c>
      <c r="Q4227" t="s">
        <v>11948</v>
      </c>
    </row>
    <row r="4228" spans="1:17" ht="15.75" x14ac:dyDescent="0.25">
      <c r="A4228" s="3" t="str">
        <f>HYPERLINK("https://shop.sonapharmacy.com/products/mucinex-600-mg-guaifenesin-mucus-and-chest-congestion-expectorant", "https://shop.sonapharmacy.com/products/mucinex-600-mg-guaifenesin-mucus-and-chest-congestion-expectorant")</f>
        <v>https://shop.sonapharmacy.com/products/mucinex-600-mg-guaifenesin-mucus-and-chest-congestion-expectorant</v>
      </c>
      <c r="B4228" s="3" t="str">
        <f>HYPERLINK("https://shop.sonapharmacy.com/products/mucinex-600-mg-guaifenesin-mucus-and-chest-congestion-expectorant", "https://shop.sonapharmacy.com/products/mucinex-600-mg-guaifenesin-mucus-and-chest-congestion-expectorant")</f>
        <v>https://shop.sonapharmacy.com/products/mucinex-600-mg-guaifenesin-mucus-and-chest-congestion-expectorant</v>
      </c>
      <c r="C4228" t="s">
        <v>11949</v>
      </c>
      <c r="D4228" t="s">
        <v>11950</v>
      </c>
      <c r="E4228" s="3" t="str">
        <f>HYPERLINK("https://www.amazon.com/Congestion-Mucinex-Expectorant-Extended-Guaifenesin/dp/B089KSPKQ1/ref=sr_1_6?keywords=Mucinex%C2%AE+600mg+Guaifenesin+Mucus+and+Chest+Congestion+Expectorant&amp;qid=1695260509&amp;sr=8-6", "https://www.amazon.com/Congestion-Mucinex-Expectorant-Extended-Guaifenesin/dp/B089KSPKQ1/ref=sr_1_6?keywords=Mucinex%C2%AE+600mg+Guaifenesin+Mucus+and+Chest+Congestion+Expectorant&amp;qid=1695260509&amp;sr=8-6")</f>
        <v>https://www.amazon.com/Congestion-Mucinex-Expectorant-Extended-Guaifenesin/dp/B089KSPKQ1/ref=sr_1_6?keywords=Mucinex%C2%AE+600mg+Guaifenesin+Mucus+and+Chest+Congestion+Expectorant&amp;qid=1695260509&amp;sr=8-6</v>
      </c>
      <c r="F4228" t="s">
        <v>11951</v>
      </c>
      <c r="G4228" t="e">
        <f ca="1">IMAGE("https://shop.sonapharmacy.com/cdn/shop/products/3e768c58-21ea-4f73-9cc1-b690925618eb_1.58434ebb65e7a2d85fd1e0aad781824e.jpg?v=1612279729")</f>
        <v>#NAME?</v>
      </c>
      <c r="H4228" t="e">
        <f ca="1">IMAGE("https://m.media-amazon.com/images/I/61XnwyCug+L._AC_UL320_.jpg")</f>
        <v>#NAME?</v>
      </c>
      <c r="I4228" t="s">
        <v>11952</v>
      </c>
      <c r="J4228">
        <v>31.11</v>
      </c>
      <c r="K4228" s="2" t="s">
        <v>11953</v>
      </c>
      <c r="L4228">
        <v>5</v>
      </c>
      <c r="M4228">
        <v>6</v>
      </c>
      <c r="O4228" t="s">
        <v>26</v>
      </c>
      <c r="P4228" t="s">
        <v>39</v>
      </c>
      <c r="Q4228" t="s">
        <v>11954</v>
      </c>
    </row>
    <row r="4229" spans="1:17" ht="15.75" x14ac:dyDescent="0.25">
      <c r="A4229" s="3" t="str">
        <f>HYPERLINK("https://shop.sonapharmacy.com/products/omega-3-pet", "https://shop.sonapharmacy.com/products/omega-3-pet")</f>
        <v>https://shop.sonapharmacy.com/products/omega-3-pet</v>
      </c>
      <c r="B4229" s="3" t="str">
        <f>HYPERLINK("https://shop.sonapharmacy.com/products/omega-3-pet", "https://shop.sonapharmacy.com/products/omega-3-pet")</f>
        <v>https://shop.sonapharmacy.com/products/omega-3-pet</v>
      </c>
      <c r="C4229" t="s">
        <v>9140</v>
      </c>
      <c r="D4229" t="s">
        <v>11955</v>
      </c>
      <c r="E4229" s="3" t="str">
        <f>HYPERLINK("https://www.amazon.com/Nordic-Naturals-Omega-Pet-Count/dp/B002CQU596/ref=sr_1_1?keywords=Nordic+Naturals+Omega-3+Pet+Softgels&amp;qid=1695260579&amp;sr=8-1", "https://www.amazon.com/Nordic-Naturals-Omega-Pet-Count/dp/B002CQU596/ref=sr_1_1?keywords=Nordic+Naturals+Omega-3+Pet+Softgels&amp;qid=1695260579&amp;sr=8-1")</f>
        <v>https://www.amazon.com/Nordic-Naturals-Omega-Pet-Count/dp/B002CQU596/ref=sr_1_1?keywords=Nordic+Naturals+Omega-3+Pet+Softgels&amp;qid=1695260579&amp;sr=8-1</v>
      </c>
      <c r="F4229" t="s">
        <v>11956</v>
      </c>
      <c r="G4229" t="e">
        <f ca="1">IMAGE("https://shop.sonapharmacy.com/cdn/shop/products/90.jpg?v=1610050123")</f>
        <v>#NAME?</v>
      </c>
      <c r="H4229" t="e">
        <f ca="1">IMAGE("https://m.media-amazon.com/images/I/71p+I6crpbL._AC_UL320_.jpg")</f>
        <v>#NAME?</v>
      </c>
      <c r="I4229" t="s">
        <v>9143</v>
      </c>
      <c r="J4229">
        <v>33.96</v>
      </c>
      <c r="K4229" s="2" t="s">
        <v>11957</v>
      </c>
      <c r="L4229">
        <v>4.7</v>
      </c>
      <c r="M4229">
        <v>3636</v>
      </c>
      <c r="O4229" t="s">
        <v>39</v>
      </c>
      <c r="P4229" t="s">
        <v>39</v>
      </c>
      <c r="Q4229" t="s">
        <v>9145</v>
      </c>
    </row>
    <row r="4230" spans="1:17" ht="15.75" x14ac:dyDescent="0.25">
      <c r="A4230" s="3" t="str">
        <f>HYPERLINK("https://shop.sonapharmacy.com/products/coppertone%C2%AE-sport-spf-50-lotion-7fl-oz", "https://shop.sonapharmacy.com/products/coppertone%C2%AE-sport-spf-50-lotion-7fl-oz")</f>
        <v>https://shop.sonapharmacy.com/products/coppertone%C2%AE-sport-spf-50-lotion-7fl-oz</v>
      </c>
      <c r="B4230" s="3" t="str">
        <f>HYPERLINK("https://shop.sonapharmacy.com/products/coppertone%c2%ae-sport-spf-50-lotion-7fl-oz", "https://shop.sonapharmacy.com/products/coppertone%c2%ae-sport-spf-50-lotion-7fl-oz")</f>
        <v>https://shop.sonapharmacy.com/products/coppertone%c2%ae-sport-spf-50-lotion-7fl-oz</v>
      </c>
      <c r="C4230" t="s">
        <v>10531</v>
      </c>
      <c r="D4230" t="s">
        <v>11958</v>
      </c>
      <c r="E4230" s="3" t="str">
        <f>HYPERLINK("https://www.amazon.com/Coppertone-Mineral-Sunscreen-Lotion-Multipack/dp/B08YC9P17D/ref=sr_1_4?keywords=Coppertone%C2%AE+Sport+SPF+50+Lotion+7fl.+oz.&amp;qid=1695260163&amp;rdc=1&amp;sr=8-4", "https://www.amazon.com/Coppertone-Mineral-Sunscreen-Lotion-Multipack/dp/B08YC9P17D/ref=sr_1_4?keywords=Coppertone%C2%AE+Sport+SPF+50+Lotion+7fl.+oz.&amp;qid=1695260163&amp;rdc=1&amp;sr=8-4")</f>
        <v>https://www.amazon.com/Coppertone-Mineral-Sunscreen-Lotion-Multipack/dp/B08YC9P17D/ref=sr_1_4?keywords=Coppertone%C2%AE+Sport+SPF+50+Lotion+7fl.+oz.&amp;qid=1695260163&amp;rdc=1&amp;sr=8-4</v>
      </c>
      <c r="F4230" t="s">
        <v>11959</v>
      </c>
      <c r="G4230" t="e">
        <f ca="1">IMAGE("https://shop.sonapharmacy.com/cdn/shop/products/7c8cb15f-7cf8-4b1b-ac3e-39de3fdcc5ad.2c921551f07b212d0fab7b1d3dd73227.jpg?v=1610648627")</f>
        <v>#NAME?</v>
      </c>
      <c r="H4230" t="e">
        <f ca="1">IMAGE("https://m.media-amazon.com/images/I/6171MkKe2KL._AC_UL320_.jpg")</f>
        <v>#NAME?</v>
      </c>
      <c r="I4230" t="s">
        <v>10534</v>
      </c>
      <c r="J4230">
        <v>19.39</v>
      </c>
      <c r="K4230" s="2" t="s">
        <v>11960</v>
      </c>
      <c r="L4230">
        <v>4.2</v>
      </c>
      <c r="M4230">
        <v>209</v>
      </c>
      <c r="O4230" t="s">
        <v>26</v>
      </c>
      <c r="P4230" t="s">
        <v>39</v>
      </c>
      <c r="Q4230" t="s">
        <v>10536</v>
      </c>
    </row>
    <row r="4231" spans="1:17" ht="15.75" x14ac:dyDescent="0.25">
      <c r="A4231" s="3" t="str">
        <f>HYPERLINK("https://shop.sonapharmacy.com/products/preservision-areds-formula-soft-gels", "https://shop.sonapharmacy.com/products/preservision-areds-formula-soft-gels")</f>
        <v>https://shop.sonapharmacy.com/products/preservision-areds-formula-soft-gels</v>
      </c>
      <c r="B4231" s="3" t="str">
        <f>HYPERLINK("https://shop.sonapharmacy.com/products/preservision-areds-formula-soft-gels", "https://shop.sonapharmacy.com/products/preservision-areds-formula-soft-gels")</f>
        <v>https://shop.sonapharmacy.com/products/preservision-areds-formula-soft-gels</v>
      </c>
      <c r="C4231" t="s">
        <v>8013</v>
      </c>
      <c r="D4231" t="s">
        <v>11961</v>
      </c>
      <c r="E4231" s="3" t="str">
        <f>HYPERLINK("https://www.amazon.com/PreserVision%C2%AE-Formula-MultiVitamin-Vitamin-Supplement/dp/B07SXTZVRN/ref=sr_1_1?keywords=PreserVision+AREDS+Formula+Soft+Gels&amp;qid=1695260640&amp;sr=8-1", "https://www.amazon.com/PreserVision%C2%AE-Formula-MultiVitamin-Vitamin-Supplement/dp/B07SXTZVRN/ref=sr_1_1?keywords=PreserVision+AREDS+Formula+Soft+Gels&amp;qid=1695260640&amp;sr=8-1")</f>
        <v>https://www.amazon.com/PreserVision%C2%AE-Formula-MultiVitamin-Vitamin-Supplement/dp/B07SXTZVRN/ref=sr_1_1?keywords=PreserVision+AREDS+Formula+Soft+Gels&amp;qid=1695260640&amp;sr=8-1</v>
      </c>
      <c r="F4231" t="s">
        <v>11962</v>
      </c>
      <c r="G4231" t="e">
        <f ca="1">IMAGE("https://shop.sonapharmacy.com/cdn/shop/products/PreserVisionAREDSFormulaSoftGels3.jpg?v=1594926297")</f>
        <v>#NAME?</v>
      </c>
      <c r="H4231" t="e">
        <f ca="1">IMAGE("https://m.media-amazon.com/images/I/816gqMzPNnL._AC_UL320_.jpg")</f>
        <v>#NAME?</v>
      </c>
      <c r="I4231" t="s">
        <v>8016</v>
      </c>
      <c r="J4231">
        <v>33.79</v>
      </c>
      <c r="K4231" s="2" t="s">
        <v>11963</v>
      </c>
      <c r="L4231">
        <v>4.5999999999999996</v>
      </c>
      <c r="M4231">
        <v>215</v>
      </c>
      <c r="O4231" t="s">
        <v>26</v>
      </c>
      <c r="P4231" t="s">
        <v>39</v>
      </c>
      <c r="Q4231" t="s">
        <v>8018</v>
      </c>
    </row>
    <row r="4232" spans="1:17" ht="15.75" x14ac:dyDescent="0.25">
      <c r="A4232" s="3" t="str">
        <f>HYPERLINK("https://shop.sonapharmacy.com/products/major-dok-100mg-stool-softener-laxative", "https://shop.sonapharmacy.com/products/major-dok-100mg-stool-softener-laxative")</f>
        <v>https://shop.sonapharmacy.com/products/major-dok-100mg-stool-softener-laxative</v>
      </c>
      <c r="B4232" s="3" t="str">
        <f>HYPERLINK("https://shop.sonapharmacy.com/products/major-dok-100mg-stool-softener-laxative", "https://shop.sonapharmacy.com/products/major-dok-100mg-stool-softener-laxative")</f>
        <v>https://shop.sonapharmacy.com/products/major-dok-100mg-stool-softener-laxative</v>
      </c>
      <c r="C4232" t="s">
        <v>11964</v>
      </c>
      <c r="D4232" t="s">
        <v>11965</v>
      </c>
      <c r="E4232" s="3" t="str">
        <f>HYPERLINK("https://www.amazon.com/Dulcolax-Softener-Laxative-Capsules-Docusate/dp/B0C4WBSC1Q/ref=sr_1_9?keywords=DOK%C2%AE+100mg+Stool+Softener+Laxative&amp;qid=1695260207&amp;sr=8-9", "https://www.amazon.com/Dulcolax-Softener-Laxative-Capsules-Docusate/dp/B0C4WBSC1Q/ref=sr_1_9?keywords=DOK%C2%AE+100mg+Stool+Softener+Laxative&amp;qid=1695260207&amp;sr=8-9")</f>
        <v>https://www.amazon.com/Dulcolax-Softener-Laxative-Capsules-Docusate/dp/B0C4WBSC1Q/ref=sr_1_9?keywords=DOK%C2%AE+100mg+Stool+Softener+Laxative&amp;qid=1695260207&amp;sr=8-9</v>
      </c>
      <c r="F4232" t="s">
        <v>11966</v>
      </c>
      <c r="G4232" t="e">
        <f ca="1">IMAGE("https://shop.sonapharmacy.com/cdn/shop/products/61-JO5pblbL._AC_SL1500.jpg?v=1609359163")</f>
        <v>#NAME?</v>
      </c>
      <c r="H4232" t="e">
        <f ca="1">IMAGE("https://m.media-amazon.com/images/I/81S7zoXYE7L._AC_UL320_.jpg")</f>
        <v>#NAME?</v>
      </c>
      <c r="I4232" t="s">
        <v>11967</v>
      </c>
      <c r="J4232">
        <v>10.9</v>
      </c>
      <c r="K4232" s="2" t="s">
        <v>11968</v>
      </c>
      <c r="L4232">
        <v>4.4000000000000004</v>
      </c>
      <c r="M4232">
        <v>1175</v>
      </c>
      <c r="O4232" t="s">
        <v>26</v>
      </c>
      <c r="P4232" t="s">
        <v>39</v>
      </c>
      <c r="Q4232" t="s">
        <v>11969</v>
      </c>
    </row>
    <row r="4233" spans="1:17" ht="15.75" x14ac:dyDescent="0.25">
      <c r="A4233" s="3" t="str">
        <f>HYPERLINK("https://shop.sonapharmacy.com/products/nix-premium-metal-lice-two-sided-comb", "https://shop.sonapharmacy.com/products/nix-premium-metal-lice-two-sided-comb")</f>
        <v>https://shop.sonapharmacy.com/products/nix-premium-metal-lice-two-sided-comb</v>
      </c>
      <c r="B4233" s="3" t="str">
        <f>HYPERLINK("https://shop.sonapharmacy.com/products/nix-premium-metal-lice-two-sided-comb", "https://shop.sonapharmacy.com/products/nix-premium-metal-lice-two-sided-comb")</f>
        <v>https://shop.sonapharmacy.com/products/nix-premium-metal-lice-two-sided-comb</v>
      </c>
      <c r="C4233" t="s">
        <v>9999</v>
      </c>
      <c r="D4233" t="s">
        <v>11970</v>
      </c>
      <c r="E4233" s="3" t="str">
        <f>HYPERLINK("https://www.amazon.com/Licefreee-NitDuo-Sided-Treatment-Removes/dp/B08XMZ6WXK/ref=sr_1_9?keywords=Nix+Premium+Metal+Lice+Two+Sided+Comb&amp;qid=1695260572&amp;sr=8-9", "https://www.amazon.com/Licefreee-NitDuo-Sided-Treatment-Removes/dp/B08XMZ6WXK/ref=sr_1_9?keywords=Nix+Premium+Metal+Lice+Two+Sided+Comb&amp;qid=1695260572&amp;sr=8-9")</f>
        <v>https://www.amazon.com/Licefreee-NitDuo-Sided-Treatment-Removes/dp/B08XMZ6WXK/ref=sr_1_9?keywords=Nix+Premium+Metal+Lice+Two+Sided+Comb&amp;qid=1695260572&amp;sr=8-9</v>
      </c>
      <c r="F4233" t="s">
        <v>11971</v>
      </c>
      <c r="G4233" t="e">
        <f ca="1">IMAGE("https://shop.sonapharmacy.com/cdn/shop/products/6118_WK_7dL._AC_SL1500.jpg?v=1608136365")</f>
        <v>#NAME?</v>
      </c>
      <c r="H4233" t="e">
        <f ca="1">IMAGE("https://m.media-amazon.com/images/I/61HZiOpQeDL._AC_UL320_.jpg")</f>
        <v>#NAME?</v>
      </c>
      <c r="I4233" t="s">
        <v>8760</v>
      </c>
      <c r="J4233">
        <v>9.99</v>
      </c>
      <c r="K4233" s="2" t="s">
        <v>11972</v>
      </c>
      <c r="L4233">
        <v>4.4000000000000004</v>
      </c>
      <c r="M4233">
        <v>160</v>
      </c>
      <c r="O4233" t="s">
        <v>26</v>
      </c>
      <c r="P4233" t="s">
        <v>39</v>
      </c>
      <c r="Q4233" t="s">
        <v>10003</v>
      </c>
    </row>
    <row r="4234" spans="1:17" ht="15.75" x14ac:dyDescent="0.25">
      <c r="A4234" s="3" t="str">
        <f>HYPERLINK("https://shop.sonapharmacy.com/products/benadryl%C2%AE-original-strength-itch-stopping-cream-1oz", "https://shop.sonapharmacy.com/products/benadryl%C2%AE-original-strength-itch-stopping-cream-1oz")</f>
        <v>https://shop.sonapharmacy.com/products/benadryl%C2%AE-original-strength-itch-stopping-cream-1oz</v>
      </c>
      <c r="B4234" s="3" t="str">
        <f>HYPERLINK("https://shop.sonapharmacy.com/products/benadryl%c2%ae-original-strength-itch-stopping-cream-1oz", "https://shop.sonapharmacy.com/products/benadryl%c2%ae-original-strength-itch-stopping-cream-1oz")</f>
        <v>https://shop.sonapharmacy.com/products/benadryl%c2%ae-original-strength-itch-stopping-cream-1oz</v>
      </c>
      <c r="C4234" t="s">
        <v>8484</v>
      </c>
      <c r="D4234" t="s">
        <v>11973</v>
      </c>
      <c r="E4234" s="3" t="str">
        <f>HYPERLINK("https://www.amazon.com/Benadryl-Stopping-Cream-Original-Strength/dp/B00E4MM25Q/ref=sr_1_2?keywords=Benadryl%C2%AE+Original+Strength+Itch+Stopping+Cream+1oz&amp;qid=1695260112&amp;sr=8-2", "https://www.amazon.com/Benadryl-Stopping-Cream-Original-Strength/dp/B00E4MM25Q/ref=sr_1_2?keywords=Benadryl%C2%AE+Original+Strength+Itch+Stopping+Cream+1oz&amp;qid=1695260112&amp;sr=8-2")</f>
        <v>https://www.amazon.com/Benadryl-Stopping-Cream-Original-Strength/dp/B00E4MM25Q/ref=sr_1_2?keywords=Benadryl%C2%AE+Original+Strength+Itch+Stopping+Cream+1oz&amp;qid=1695260112&amp;sr=8-2</v>
      </c>
      <c r="F4234" t="s">
        <v>11974</v>
      </c>
      <c r="G4234" t="e">
        <f ca="1">IMAGE("https://shop.sonapharmacy.com/cdn/shop/products/44103667-6875-436e-b776-cf3d6402ef0d_1.65737eb7090c77f7aa9709f0319524eb.jpg?v=1611255561")</f>
        <v>#NAME?</v>
      </c>
      <c r="H4234" t="e">
        <f ca="1">IMAGE("https://m.media-amazon.com/images/I/71AmM++ZEhL._AC_UL320_.jpg")</f>
        <v>#NAME?</v>
      </c>
      <c r="I4234" t="s">
        <v>8487</v>
      </c>
      <c r="J4234">
        <v>12.65</v>
      </c>
      <c r="K4234" s="2" t="s">
        <v>11975</v>
      </c>
      <c r="L4234">
        <v>4.5999999999999996</v>
      </c>
      <c r="M4234">
        <v>209</v>
      </c>
      <c r="O4234" t="s">
        <v>26</v>
      </c>
      <c r="P4234" t="s">
        <v>39</v>
      </c>
      <c r="Q4234" t="s">
        <v>8489</v>
      </c>
    </row>
    <row r="4235" spans="1:17" ht="15.75" x14ac:dyDescent="0.25">
      <c r="A4235" s="3" t="str">
        <f>HYPERLINK("https://shop.sonapharmacy.com/products/lotrimin%C2%AE-af-jock-itch-antifungal-cream", "https://shop.sonapharmacy.com/products/lotrimin%C2%AE-af-jock-itch-antifungal-cream")</f>
        <v>https://shop.sonapharmacy.com/products/lotrimin%C2%AE-af-jock-itch-antifungal-cream</v>
      </c>
      <c r="B4235" s="3" t="str">
        <f>HYPERLINK("https://shop.sonapharmacy.com/products/lotrimin%c2%ae-af-jock-itch-antifungal-cream", "https://shop.sonapharmacy.com/products/lotrimin%c2%ae-af-jock-itch-antifungal-cream")</f>
        <v>https://shop.sonapharmacy.com/products/lotrimin%c2%ae-af-jock-itch-antifungal-cream</v>
      </c>
      <c r="C4235" t="s">
        <v>11976</v>
      </c>
      <c r="D4235" t="s">
        <v>11977</v>
      </c>
      <c r="E4235" s="3" t="str">
        <f>HYPERLINK("https://www.amazon.com/Lotrimin-AF-Antifungal-Cream-1-05/dp/B073SYVYWT/ref=sr_1_7?keywords=Lotrimin%C2%AE+AF+Jock+Itch+Antifungal+Cream&amp;qid=1695260464&amp;sr=8-7", "https://www.amazon.com/Lotrimin-AF-Antifungal-Cream-1-05/dp/B073SYVYWT/ref=sr_1_7?keywords=Lotrimin%C2%AE+AF+Jock+Itch+Antifungal+Cream&amp;qid=1695260464&amp;sr=8-7")</f>
        <v>https://www.amazon.com/Lotrimin-AF-Antifungal-Cream-1-05/dp/B073SYVYWT/ref=sr_1_7?keywords=Lotrimin%C2%AE+AF+Jock+Itch+Antifungal+Cream&amp;qid=1695260464&amp;sr=8-7</v>
      </c>
      <c r="F4235" t="s">
        <v>11978</v>
      </c>
      <c r="G4235" t="e">
        <f ca="1">IMAGE("https://shop.sonapharmacy.com/cdn/shop/products/lotrimincream.jpg?v=1607963126")</f>
        <v>#NAME?</v>
      </c>
      <c r="H4235" t="e">
        <f ca="1">IMAGE("https://m.media-amazon.com/images/I/61Kxq7T-keL._AC_UL320_.jpg")</f>
        <v>#NAME?</v>
      </c>
      <c r="I4235" t="s">
        <v>3373</v>
      </c>
      <c r="J4235">
        <v>23.9</v>
      </c>
      <c r="K4235" s="2" t="s">
        <v>11979</v>
      </c>
      <c r="L4235">
        <v>4.5999999999999996</v>
      </c>
      <c r="M4235">
        <v>495</v>
      </c>
      <c r="O4235" t="s">
        <v>26</v>
      </c>
      <c r="P4235" t="s">
        <v>39</v>
      </c>
      <c r="Q4235" t="s">
        <v>11980</v>
      </c>
    </row>
    <row r="4236" spans="1:17" ht="15.75" x14ac:dyDescent="0.25">
      <c r="A4236" s="3" t="str">
        <f>HYPERLINK("https://shop.sonapharmacy.com/products/lactaid%C2%AE-fast-act-lactase-enzyme-caplets-60ct", "https://shop.sonapharmacy.com/products/lactaid%C2%AE-fast-act-lactase-enzyme-caplets-60ct")</f>
        <v>https://shop.sonapharmacy.com/products/lactaid%C2%AE-fast-act-lactase-enzyme-caplets-60ct</v>
      </c>
      <c r="B4236" s="3" t="str">
        <f>HYPERLINK("https://shop.sonapharmacy.com/products/lactaid%c2%ae-fast-act-lactase-enzyme-caplets-60ct", "https://shop.sonapharmacy.com/products/lactaid%c2%ae-fast-act-lactase-enzyme-caplets-60ct")</f>
        <v>https://shop.sonapharmacy.com/products/lactaid%c2%ae-fast-act-lactase-enzyme-caplets-60ct</v>
      </c>
      <c r="C4236" t="s">
        <v>11873</v>
      </c>
      <c r="D4236" t="s">
        <v>11981</v>
      </c>
      <c r="E4236" s="3" t="str">
        <f>HYPERLINK("https://www.amazon.com/Lactaid-Fast-Lactase-Enzyme-Supplement-Caplets/dp/B001B3KEK6/ref=sr_1_5?keywords=Lactaid%C2%AE+Fast+Act+Lactase+Enzyme+Caplets+60ct.&amp;qid=1695260472&amp;sr=8-5", "https://www.amazon.com/Lactaid-Fast-Lactase-Enzyme-Supplement-Caplets/dp/B001B3KEK6/ref=sr_1_5?keywords=Lactaid%C2%AE+Fast+Act+Lactase+Enzyme+Caplets+60ct.&amp;qid=1695260472&amp;sr=8-5")</f>
        <v>https://www.amazon.com/Lactaid-Fast-Lactase-Enzyme-Supplement-Caplets/dp/B001B3KEK6/ref=sr_1_5?keywords=Lactaid%C2%AE+Fast+Act+Lactase+Enzyme+Caplets+60ct.&amp;qid=1695260472&amp;sr=8-5</v>
      </c>
      <c r="F4236" t="s">
        <v>11982</v>
      </c>
      <c r="G4236" t="e">
        <f ca="1">IMAGE("https://shop.sonapharmacy.com/cdn/shop/products/46208c60-00c3-4dad-92a8-9e7168f0b83f.4ac6c75c3d69059101e9e1a9b10c2e01.jpg?v=1610985551")</f>
        <v>#NAME?</v>
      </c>
      <c r="H4236" t="e">
        <f ca="1">IMAGE("https://m.media-amazon.com/images/I/81DGoSRhuvL._AC_UL320_.jpg")</f>
        <v>#NAME?</v>
      </c>
      <c r="I4236" t="s">
        <v>11876</v>
      </c>
      <c r="J4236">
        <v>32.99</v>
      </c>
      <c r="K4236" s="2" t="s">
        <v>11983</v>
      </c>
      <c r="L4236">
        <v>4.5999999999999996</v>
      </c>
      <c r="M4236">
        <v>234</v>
      </c>
      <c r="O4236" t="s">
        <v>26</v>
      </c>
      <c r="P4236" t="s">
        <v>39</v>
      </c>
      <c r="Q4236" t="s">
        <v>11878</v>
      </c>
    </row>
    <row r="4237" spans="1:17" ht="15.75" x14ac:dyDescent="0.25">
      <c r="A4237" s="3" t="str">
        <f>HYPERLINK("https://shop.sonapharmacy.com/products/mueller%C2%AE-adjustable-knee-support-one-size", "https://shop.sonapharmacy.com/products/mueller%C2%AE-adjustable-knee-support-one-size")</f>
        <v>https://shop.sonapharmacy.com/products/mueller%C2%AE-adjustable-knee-support-one-size</v>
      </c>
      <c r="B4237" s="3" t="str">
        <f>HYPERLINK("https://shop.sonapharmacy.com/products/mueller%c2%ae-adjustable-knee-support-one-size", "https://shop.sonapharmacy.com/products/mueller%c2%ae-adjustable-knee-support-one-size")</f>
        <v>https://shop.sonapharmacy.com/products/mueller%c2%ae-adjustable-knee-support-one-size</v>
      </c>
      <c r="C4237" t="s">
        <v>11984</v>
      </c>
      <c r="D4237" t="s">
        <v>11985</v>
      </c>
      <c r="E4237" s="3" t="str">
        <f>HYPERLINK("https://www.amazon.com/Mueller-Sport-Care-Adjustable-Support/dp/B00E4MNUNY/ref=sr_1_3?keywords=Mueller%C2%AE+Adjustable+Knee+Support+One+Size&amp;qid=1695260508&amp;sr=8-3", "https://www.amazon.com/Mueller-Sport-Care-Adjustable-Support/dp/B00E4MNUNY/ref=sr_1_3?keywords=Mueller%C2%AE+Adjustable+Knee+Support+One+Size&amp;qid=1695260508&amp;sr=8-3")</f>
        <v>https://www.amazon.com/Mueller-Sport-Care-Adjustable-Support/dp/B00E4MNUNY/ref=sr_1_3?keywords=Mueller%C2%AE+Adjustable+Knee+Support+One+Size&amp;qid=1695260508&amp;sr=8-3</v>
      </c>
      <c r="F4237" t="s">
        <v>11986</v>
      </c>
      <c r="G4237" t="e">
        <f ca="1">IMAGE("https://shop.sonapharmacy.com/cdn/shop/products/mueller-fitness-mueller-adjustable-knee-support-with-straps-black_1000x1000_2b28ef4c-e541-48d6-b63b-f578210ad0f6.jpg?v=1609863349")</f>
        <v>#NAME?</v>
      </c>
      <c r="H4237" t="e">
        <f ca="1">IMAGE("https://m.media-amazon.com/images/I/71T4rxOhUnL._AC_UL320_.jpg")</f>
        <v>#NAME?</v>
      </c>
      <c r="I4237" t="s">
        <v>11987</v>
      </c>
      <c r="J4237">
        <v>23.99</v>
      </c>
      <c r="K4237" s="2" t="s">
        <v>11988</v>
      </c>
      <c r="L4237">
        <v>5</v>
      </c>
      <c r="M4237">
        <v>1</v>
      </c>
      <c r="O4237" t="s">
        <v>26</v>
      </c>
      <c r="P4237" t="s">
        <v>39</v>
      </c>
      <c r="Q4237" t="s">
        <v>11989</v>
      </c>
    </row>
    <row r="4238" spans="1:17" ht="15.75" x14ac:dyDescent="0.25">
      <c r="A4238" s="3" t="str">
        <f>HYPERLINK("https://shop.sonapharmacy.com/products/good-sense-children", "https://shop.sonapharmacy.com/products/good-sense-children")</f>
        <v>https://shop.sonapharmacy.com/products/good-sense-children</v>
      </c>
      <c r="B4238" s="3" t="str">
        <f>HYPERLINK("https://shop.sonapharmacy.com/products/good-sense-children", "https://shop.sonapharmacy.com/products/good-sense-children")</f>
        <v>https://shop.sonapharmacy.com/products/good-sense-children</v>
      </c>
      <c r="C4238" t="s">
        <v>11990</v>
      </c>
      <c r="D4238" t="s">
        <v>11991</v>
      </c>
      <c r="E4238" s="3" t="str">
        <f>HYPERLINK("https://www.amazon.com/Basic-Care-Childrens-Ibuprofen-Suspension/dp/B07HGF91QH/ref=sr_1_4?keywords=GoodSense%C2%AE+Children%27s+Oral+Suspension+Ibuprofen&amp;qid=1695260307&amp;sr=8-4", "https://www.amazon.com/Basic-Care-Childrens-Ibuprofen-Suspension/dp/B07HGF91QH/ref=sr_1_4?keywords=GoodSense%C2%AE+Children%27s+Oral+Suspension+Ibuprofen&amp;qid=1695260307&amp;sr=8-4")</f>
        <v>https://www.amazon.com/Basic-Care-Childrens-Ibuprofen-Suspension/dp/B07HGF91QH/ref=sr_1_4?keywords=GoodSense%C2%AE+Children%27s+Oral+Suspension+Ibuprofen&amp;qid=1695260307&amp;sr=8-4</v>
      </c>
      <c r="F4238" t="s">
        <v>11992</v>
      </c>
      <c r="G4238" t="e">
        <f ca="1">IMAGE("https://shop.sonapharmacy.com/cdn/shop/products/51j0L_70nIL._AC_SL1000.jpg?v=1610030885")</f>
        <v>#NAME?</v>
      </c>
      <c r="H4238" t="e">
        <f ca="1">IMAGE("https://m.media-amazon.com/images/I/61qVqNaxeIL._AC_UL320_.jpg")</f>
        <v>#NAME?</v>
      </c>
      <c r="I4238" t="s">
        <v>5109</v>
      </c>
      <c r="J4238">
        <v>10.67</v>
      </c>
      <c r="K4238" s="2" t="s">
        <v>11993</v>
      </c>
      <c r="L4238">
        <v>4.8</v>
      </c>
      <c r="M4238">
        <v>5771</v>
      </c>
      <c r="O4238" t="s">
        <v>136</v>
      </c>
      <c r="P4238" t="s">
        <v>39</v>
      </c>
      <c r="Q4238" t="s">
        <v>11994</v>
      </c>
    </row>
    <row r="4239" spans="1:17" ht="15.75" x14ac:dyDescent="0.25">
      <c r="A4239" s="3" t="str">
        <f>HYPERLINK("https://shop.sonapharmacy.com/products/sun-bum%C2%AE-baby-bum%C2%AE-mineral-spf-50-sunscreen-lotion-fragrance-free-3oz", "https://shop.sonapharmacy.com/products/sun-bum%C2%AE-baby-bum%C2%AE-mineral-spf-50-sunscreen-lotion-fragrance-free-3oz")</f>
        <v>https://shop.sonapharmacy.com/products/sun-bum%C2%AE-baby-bum%C2%AE-mineral-spf-50-sunscreen-lotion-fragrance-free-3oz</v>
      </c>
      <c r="B4239" s="3" t="str">
        <f>HYPERLINK("https://shop.sonapharmacy.com/products/sun-bum%c2%ae-baby-bum%c2%ae-mineral-spf-50-sunscreen-lotion-fragrance-free-3oz", "https://shop.sonapharmacy.com/products/sun-bum%c2%ae-baby-bum%c2%ae-mineral-spf-50-sunscreen-lotion-fragrance-free-3oz")</f>
        <v>https://shop.sonapharmacy.com/products/sun-bum%c2%ae-baby-bum%c2%ae-mineral-spf-50-sunscreen-lotion-fragrance-free-3oz</v>
      </c>
      <c r="C4239" t="s">
        <v>11642</v>
      </c>
      <c r="D4239" t="s">
        <v>11995</v>
      </c>
      <c r="E4239" s="3" t="str">
        <f>HYPERLINK("https://www.amazon.com/Sun-Bum-Sunscreen-Protection-Sensitive/dp/B086R85W4W/ref=sr_1_5?keywords=Sun+Bum%C2%AE+Baby+Bum%C2%AE+Mineral+SPF+50+Sunscreen+Lotion-Fragrance+Free+3oz.&amp;qid=1695260741&amp;sr=8-5", "https://www.amazon.com/Sun-Bum-Sunscreen-Protection-Sensitive/dp/B086R85W4W/ref=sr_1_5?keywords=Sun+Bum%C2%AE+Baby+Bum%C2%AE+Mineral+SPF+50+Sunscreen+Lotion-Fragrance+Free+3oz.&amp;qid=1695260741&amp;sr=8-5")</f>
        <v>https://www.amazon.com/Sun-Bum-Sunscreen-Protection-Sensitive/dp/B086R85W4W/ref=sr_1_5?keywords=Sun+Bum%C2%AE+Baby+Bum%C2%AE+Mineral+SPF+50+Sunscreen+Lotion-Fragrance+Free+3oz.&amp;qid=1695260741&amp;sr=8-5</v>
      </c>
      <c r="F4239" t="s">
        <v>11996</v>
      </c>
      <c r="G4239" t="e">
        <f ca="1">IMAGE("https://shop.sonapharmacy.com/cdn/shop/products/e4280c3c0cadfa994e93b07302be64e8_ra_w403_h806_pa_w403_h806.jpg?v=1629233192")</f>
        <v>#NAME?</v>
      </c>
      <c r="H4239" t="e">
        <f ca="1">IMAGE("https://m.media-amazon.com/images/I/71-mUK8g7ZL._AC_UL320_.jpg")</f>
        <v>#NAME?</v>
      </c>
      <c r="I4239" t="s">
        <v>3419</v>
      </c>
      <c r="J4239">
        <v>25.4</v>
      </c>
      <c r="K4239" s="2" t="s">
        <v>11997</v>
      </c>
      <c r="L4239">
        <v>4.9000000000000004</v>
      </c>
      <c r="M4239">
        <v>173</v>
      </c>
      <c r="O4239" t="s">
        <v>26</v>
      </c>
      <c r="P4239" t="s">
        <v>39</v>
      </c>
      <c r="Q4239" t="s">
        <v>11645</v>
      </c>
    </row>
    <row r="4240" spans="1:17" ht="15.75" x14ac:dyDescent="0.25">
      <c r="A4240" s="3" t="str">
        <f>HYPERLINK("https://shop.sonapharmacy.com/products/purpose-gentle-cleansing-bar-6oz", "https://shop.sonapharmacy.com/products/purpose-gentle-cleansing-bar-6oz")</f>
        <v>https://shop.sonapharmacy.com/products/purpose-gentle-cleansing-bar-6oz</v>
      </c>
      <c r="B4240" s="3" t="str">
        <f>HYPERLINK("https://shop.sonapharmacy.com/products/purpose-gentle-cleansing-bar-6oz", "https://shop.sonapharmacy.com/products/purpose-gentle-cleansing-bar-6oz")</f>
        <v>https://shop.sonapharmacy.com/products/purpose-gentle-cleansing-bar-6oz</v>
      </c>
      <c r="C4240" t="s">
        <v>8652</v>
      </c>
      <c r="D4240" t="s">
        <v>11998</v>
      </c>
      <c r="E4240" s="3" t="str">
        <f>HYPERLINK("https://www.amazon.com/Purpose-Gentle-Cleansing-Bar-3-6/dp/B000052YLW/ref=sr_1_9?keywords=Purpose+Gentle+Cleansing+Bar+6oz.&amp;qid=1695260662&amp;sr=8-9", "https://www.amazon.com/Purpose-Gentle-Cleansing-Bar-3-6/dp/B000052YLW/ref=sr_1_9?keywords=Purpose+Gentle+Cleansing+Bar+6oz.&amp;qid=1695260662&amp;sr=8-9")</f>
        <v>https://www.amazon.com/Purpose-Gentle-Cleansing-Bar-3-6/dp/B000052YLW/ref=sr_1_9?keywords=Purpose+Gentle+Cleansing+Bar+6oz.&amp;qid=1695260662&amp;sr=8-9</v>
      </c>
      <c r="F4240" t="s">
        <v>11999</v>
      </c>
      <c r="G4240" t="e">
        <f ca="1">IMAGE("https://shop.sonapharmacy.com/cdn/shop/products/118399_1400x_93c89fb8-439e-40d6-8d57-f94ddb60c699.jpg?v=1608315285")</f>
        <v>#NAME?</v>
      </c>
      <c r="H4240" t="e">
        <f ca="1">IMAGE("https://m.media-amazon.com/images/I/71q1uzrwNBL._AC_UL320_.jpg")</f>
        <v>#NAME?</v>
      </c>
      <c r="I4240" t="s">
        <v>8632</v>
      </c>
      <c r="J4240">
        <v>6.42</v>
      </c>
      <c r="K4240" s="2" t="s">
        <v>12000</v>
      </c>
      <c r="L4240">
        <v>4.7</v>
      </c>
      <c r="M4240">
        <v>347</v>
      </c>
      <c r="O4240" t="s">
        <v>26</v>
      </c>
      <c r="P4240" t="s">
        <v>39</v>
      </c>
      <c r="Q4240" t="s">
        <v>8656</v>
      </c>
    </row>
    <row r="4241" spans="1:17" ht="15.75" x14ac:dyDescent="0.25">
      <c r="A4241" s="3" t="str">
        <f>HYPERLINK("https://shop.sonapharmacy.com/products/sunbum%C2%AE-original-spf-30-sunscreen-lotion", "https://shop.sonapharmacy.com/products/sunbum%C2%AE-original-spf-30-sunscreen-lotion")</f>
        <v>https://shop.sonapharmacy.com/products/sunbum%C2%AE-original-spf-30-sunscreen-lotion</v>
      </c>
      <c r="B4241" s="3" t="str">
        <f>HYPERLINK("https://shop.sonapharmacy.com/products/sunbum%c2%ae-original-spf-30-sunscreen-lotion", "https://shop.sonapharmacy.com/products/sunbum%c2%ae-original-spf-30-sunscreen-lotion")</f>
        <v>https://shop.sonapharmacy.com/products/sunbum%c2%ae-original-spf-30-sunscreen-lotion</v>
      </c>
      <c r="C4241" t="s">
        <v>10325</v>
      </c>
      <c r="D4241" t="s">
        <v>12001</v>
      </c>
      <c r="E4241" s="3" t="str">
        <f>HYPERLINK("https://www.amazon.com/Sun-Bum-Moisturizing-Protection-Hypoallergenic/dp/B004XGLE7K/ref=sr_1_5?keywords=Sun+Bum%C2%AE+Original+SPF+30+Sunscreen+Lotion&amp;qid=1695260773&amp;rdc=1&amp;sr=8-5", "https://www.amazon.com/Sun-Bum-Moisturizing-Protection-Hypoallergenic/dp/B004XGLE7K/ref=sr_1_5?keywords=Sun+Bum%C2%AE+Original+SPF+30+Sunscreen+Lotion&amp;qid=1695260773&amp;rdc=1&amp;sr=8-5")</f>
        <v>https://www.amazon.com/Sun-Bum-Moisturizing-Protection-Hypoallergenic/dp/B004XGLE7K/ref=sr_1_5?keywords=Sun+Bum%C2%AE+Original+SPF+30+Sunscreen+Lotion&amp;qid=1695260773&amp;rdc=1&amp;sr=8-5</v>
      </c>
      <c r="F4241" t="s">
        <v>12002</v>
      </c>
      <c r="G4241" t="e">
        <f ca="1">IMAGE("https://shop.sonapharmacy.com/cdn/shop/products/7112Mn16XDL._SL1500.jpg?v=1611869378")</f>
        <v>#NAME?</v>
      </c>
      <c r="H4241" t="e">
        <f ca="1">IMAGE("https://m.media-amazon.com/images/I/51vDqka5ZWL._AC_UL320_.jpg")</f>
        <v>#NAME?</v>
      </c>
      <c r="I4241" t="s">
        <v>4873</v>
      </c>
      <c r="J4241">
        <v>16.920000000000002</v>
      </c>
      <c r="K4241" s="2" t="s">
        <v>12003</v>
      </c>
      <c r="L4241">
        <v>4.8</v>
      </c>
      <c r="M4241">
        <v>21217</v>
      </c>
      <c r="O4241" t="s">
        <v>26</v>
      </c>
      <c r="P4241" t="s">
        <v>39</v>
      </c>
      <c r="Q4241" t="s">
        <v>10329</v>
      </c>
    </row>
    <row r="4242" spans="1:17" ht="15.75" x14ac:dyDescent="0.25">
      <c r="A4242" s="3" t="str">
        <f>HYPERLINK("https://shop.sonapharmacy.com/products/refresh%C2%AE-optive%C2%AE-mega-3-preservative-free-lubricant-eye-drops", "https://shop.sonapharmacy.com/products/refresh%C2%AE-optive%C2%AE-mega-3-preservative-free-lubricant-eye-drops")</f>
        <v>https://shop.sonapharmacy.com/products/refresh%C2%AE-optive%C2%AE-mega-3-preservative-free-lubricant-eye-drops</v>
      </c>
      <c r="B4242" s="3" t="str">
        <f>HYPERLINK("https://shop.sonapharmacy.com/products/refresh%c2%ae-optive%c2%ae-mega-3-preservative-free-lubricant-eye-drops", "https://shop.sonapharmacy.com/products/refresh%c2%ae-optive%c2%ae-mega-3-preservative-free-lubricant-eye-drops")</f>
        <v>https://shop.sonapharmacy.com/products/refresh%c2%ae-optive%c2%ae-mega-3-preservative-free-lubricant-eye-drops</v>
      </c>
      <c r="C4242" t="s">
        <v>12004</v>
      </c>
      <c r="D4242" t="s">
        <v>12005</v>
      </c>
      <c r="E4242" s="3" t="str">
        <f>HYPERLINK("https://www.amazon.com/Refresh-Lubricant-Preservative-Free-Single-Use-Containers/dp/B092G6QKNV/ref=sr_1_1?keywords=Refresh%C2%AE+Optive%C2%AE+Mega-3+Preservative+Free+Lubricant+Eye+Drops&amp;qid=1695260678&amp;sr=8-1", "https://www.amazon.com/Refresh-Lubricant-Preservative-Free-Single-Use-Containers/dp/B092G6QKNV/ref=sr_1_1?keywords=Refresh%C2%AE+Optive%C2%AE+Mega-3+Preservative+Free+Lubricant+Eye+Drops&amp;qid=1695260678&amp;sr=8-1")</f>
        <v>https://www.amazon.com/Refresh-Lubricant-Preservative-Free-Single-Use-Containers/dp/B092G6QKNV/ref=sr_1_1?keywords=Refresh%C2%AE+Optive%C2%AE+Mega-3+Preservative+Free+Lubricant+Eye+Drops&amp;qid=1695260678&amp;sr=8-1</v>
      </c>
      <c r="F4242" t="s">
        <v>12006</v>
      </c>
      <c r="G4242" t="e">
        <f ca="1">IMAGE("https://shop.sonapharmacy.com/cdn/shop/products/mega3-hero-packaging.png?v=1608823768")</f>
        <v>#NAME?</v>
      </c>
      <c r="H4242" t="e">
        <f ca="1">IMAGE("https://m.media-amazon.com/images/I/71ZnX2mrSEL._AC_UL320_.jpg")</f>
        <v>#NAME?</v>
      </c>
      <c r="I4242" t="s">
        <v>6793</v>
      </c>
      <c r="J4242">
        <v>31.98</v>
      </c>
      <c r="K4242" s="2" t="s">
        <v>12007</v>
      </c>
      <c r="L4242">
        <v>4.7</v>
      </c>
      <c r="M4242">
        <v>17991</v>
      </c>
      <c r="O4242" t="s">
        <v>26</v>
      </c>
      <c r="P4242" t="s">
        <v>39</v>
      </c>
      <c r="Q4242" t="s">
        <v>12008</v>
      </c>
    </row>
    <row r="4243" spans="1:17" ht="15.75" x14ac:dyDescent="0.25">
      <c r="A4243" s="3" t="str">
        <f>HYPERLINK("https://shop.sonapharmacy.com/products/mommys-bliss-original-gripe-water", "https://shop.sonapharmacy.com/products/mommys-bliss-original-gripe-water")</f>
        <v>https://shop.sonapharmacy.com/products/mommys-bliss-original-gripe-water</v>
      </c>
      <c r="B4243" s="3" t="str">
        <f>HYPERLINK("https://shop.sonapharmacy.com/products/mommys-bliss-original-gripe-water", "https://shop.sonapharmacy.com/products/mommys-bliss-original-gripe-water")</f>
        <v>https://shop.sonapharmacy.com/products/mommys-bliss-original-gripe-water</v>
      </c>
      <c r="C4243" t="s">
        <v>10605</v>
      </c>
      <c r="D4243" t="s">
        <v>12009</v>
      </c>
      <c r="E4243" s="3" t="str">
        <f>HYPERLINK("https://www.amazon.com/Mommys-Bliss-Original-Double-Bottles/dp/B00E3Y0N5G/ref=sr_1_2?keywords=Mommy%27s+Bliss+Original+Gripe+Water&amp;qid=1695260479&amp;sr=8-2", "https://www.amazon.com/Mommys-Bliss-Original-Double-Bottles/dp/B00E3Y0N5G/ref=sr_1_2?keywords=Mommy%27s+Bliss+Original+Gripe+Water&amp;qid=1695260479&amp;sr=8-2")</f>
        <v>https://www.amazon.com/Mommys-Bliss-Original-Double-Bottles/dp/B00E3Y0N5G/ref=sr_1_2?keywords=Mommy%27s+Bliss+Original+Gripe+Water&amp;qid=1695260479&amp;sr=8-2</v>
      </c>
      <c r="F4243" t="s">
        <v>12010</v>
      </c>
      <c r="G4243" t="e">
        <f ca="1">IMAGE("https://shop.sonapharmacy.com/cdn/shop/products/Untitled-47.jpg?v=1592848167")</f>
        <v>#NAME?</v>
      </c>
      <c r="H4243" t="e">
        <f ca="1">IMAGE("https://m.media-amazon.com/images/I/91Mq4goTx1L._AC_UL320_.jpg")</f>
        <v>#NAME?</v>
      </c>
      <c r="I4243" t="s">
        <v>10608</v>
      </c>
      <c r="J4243">
        <v>22.9</v>
      </c>
      <c r="K4243" s="2" t="s">
        <v>12011</v>
      </c>
      <c r="L4243">
        <v>4.7</v>
      </c>
      <c r="M4243">
        <v>11069</v>
      </c>
      <c r="O4243" t="s">
        <v>26</v>
      </c>
      <c r="P4243" t="s">
        <v>39</v>
      </c>
      <c r="Q4243" t="s">
        <v>10610</v>
      </c>
    </row>
    <row r="4244" spans="1:17" ht="15.75" x14ac:dyDescent="0.25">
      <c r="A4244" s="3" t="str">
        <f>HYPERLINK("https://shop.sonapharmacy.com/products/aquaphor%C2%AE-healing-ointment", "https://shop.sonapharmacy.com/products/aquaphor%C2%AE-healing-ointment")</f>
        <v>https://shop.sonapharmacy.com/products/aquaphor%C2%AE-healing-ointment</v>
      </c>
      <c r="B4244" s="3" t="str">
        <f>HYPERLINK("https://shop.sonapharmacy.com/products/aquaphor%c2%ae-healing-ointment", "https://shop.sonapharmacy.com/products/aquaphor%c2%ae-healing-ointment")</f>
        <v>https://shop.sonapharmacy.com/products/aquaphor%c2%ae-healing-ointment</v>
      </c>
      <c r="C4244" t="s">
        <v>9238</v>
      </c>
      <c r="D4244" t="s">
        <v>12012</v>
      </c>
      <c r="E4244" s="3" t="str">
        <f>HYPERLINK("https://www.amazon.com/Aquaphor-11961-Moisturizes-Irritated-Hypoallergenic/dp/B07BQT9G1V/ref=sr_1_6?keywords=Aquaphor+Healing+Ointment&amp;qid=1695260029&amp;sr=8-6", "https://www.amazon.com/Aquaphor-11961-Moisturizes-Irritated-Hypoallergenic/dp/B07BQT9G1V/ref=sr_1_6?keywords=Aquaphor+Healing+Ointment&amp;qid=1695260029&amp;sr=8-6")</f>
        <v>https://www.amazon.com/Aquaphor-11961-Moisturizes-Irritated-Hypoallergenic/dp/B07BQT9G1V/ref=sr_1_6?keywords=Aquaphor+Healing+Ointment&amp;qid=1695260029&amp;sr=8-6</v>
      </c>
      <c r="F4244" t="s">
        <v>12013</v>
      </c>
      <c r="G4244" t="e">
        <f ca="1">IMAGE("https://shop.sonapharmacy.com/cdn/shop/products/83663518614618p.jpg?v=1609722179")</f>
        <v>#NAME?</v>
      </c>
      <c r="H4244" t="e">
        <f ca="1">IMAGE("https://m.media-amazon.com/images/I/716tG7PjAnL._AC_UL320_.jpg")</f>
        <v>#NAME?</v>
      </c>
      <c r="I4244" t="s">
        <v>9241</v>
      </c>
      <c r="J4244">
        <v>9.99</v>
      </c>
      <c r="K4244" s="2" t="s">
        <v>12014</v>
      </c>
      <c r="L4244">
        <v>4.8</v>
      </c>
      <c r="M4244">
        <v>372</v>
      </c>
      <c r="O4244" t="s">
        <v>26</v>
      </c>
      <c r="P4244" t="s">
        <v>39</v>
      </c>
      <c r="Q4244" t="s">
        <v>9243</v>
      </c>
    </row>
    <row r="4245" spans="1:17" ht="15.75" x14ac:dyDescent="0.25">
      <c r="A4245" s="3" t="str">
        <f>HYPERLINK("https://shop.sonapharmacy.com/products/halls-relief-honey-lemon-cough-drops", "https://shop.sonapharmacy.com/products/halls-relief-honey-lemon-cough-drops")</f>
        <v>https://shop.sonapharmacy.com/products/halls-relief-honey-lemon-cough-drops</v>
      </c>
      <c r="B4245" s="3" t="str">
        <f>HYPERLINK("https://shop.sonapharmacy.com/products/halls-relief-honey-lemon-cough-drops", "https://shop.sonapharmacy.com/products/halls-relief-honey-lemon-cough-drops")</f>
        <v>https://shop.sonapharmacy.com/products/halls-relief-honey-lemon-cough-drops</v>
      </c>
      <c r="C4245" t="s">
        <v>8031</v>
      </c>
      <c r="D4245" t="s">
        <v>12015</v>
      </c>
      <c r="E4245" s="3" t="str">
        <f>HYPERLINK("https://www.amazon.com/Halls-Honey-Lemon-Cough-Drops/dp/B07C8LMB68/ref=sr_1_3?keywords=Halls%C2%AE+Relief+Honey+Lemon+Cough+Drops&amp;qid=1695260411&amp;sr=8-3", "https://www.amazon.com/Halls-Honey-Lemon-Cough-Drops/dp/B07C8LMB68/ref=sr_1_3?keywords=Halls%C2%AE+Relief+Honey+Lemon+Cough+Drops&amp;qid=1695260411&amp;sr=8-3")</f>
        <v>https://www.amazon.com/Halls-Honey-Lemon-Cough-Drops/dp/B07C8LMB68/ref=sr_1_3?keywords=Halls%C2%AE+Relief+Honey+Lemon+Cough+Drops&amp;qid=1695260411&amp;sr=8-3</v>
      </c>
      <c r="F4245" t="s">
        <v>12016</v>
      </c>
      <c r="G4245" t="e">
        <f ca="1">IMAGE("https://shop.sonapharmacy.com/cdn/shop/products/HALLS_Menthol_HoneyLemon_30ct.png?v=1608215589")</f>
        <v>#NAME?</v>
      </c>
      <c r="H4245" t="e">
        <f ca="1">IMAGE("https://m.media-amazon.com/images/I/71dNlndTz7L._AC_UL320_.jpg")</f>
        <v>#NAME?</v>
      </c>
      <c r="I4245" t="s">
        <v>8034</v>
      </c>
      <c r="J4245">
        <v>5.2</v>
      </c>
      <c r="K4245" s="2" t="s">
        <v>5335</v>
      </c>
      <c r="L4245">
        <v>4.2</v>
      </c>
      <c r="M4245">
        <v>42</v>
      </c>
      <c r="O4245" t="s">
        <v>26</v>
      </c>
      <c r="P4245" t="s">
        <v>39</v>
      </c>
      <c r="Q4245" t="s">
        <v>8036</v>
      </c>
    </row>
    <row r="4246" spans="1:17" ht="15.75" x14ac:dyDescent="0.25">
      <c r="A4246" s="3" t="str">
        <f>HYPERLINK("https://shop.sonapharmacy.com/products/aquaphor%C2%AE-healing-ointment", "https://shop.sonapharmacy.com/products/aquaphor%C2%AE-healing-ointment")</f>
        <v>https://shop.sonapharmacy.com/products/aquaphor%C2%AE-healing-ointment</v>
      </c>
      <c r="B4246" s="3" t="str">
        <f>HYPERLINK("https://shop.sonapharmacy.com/products/aquaphor%c2%ae-healing-ointment", "https://shop.sonapharmacy.com/products/aquaphor%c2%ae-healing-ointment")</f>
        <v>https://shop.sonapharmacy.com/products/aquaphor%c2%ae-healing-ointment</v>
      </c>
      <c r="C4246" t="s">
        <v>9238</v>
      </c>
      <c r="D4246" t="s">
        <v>12017</v>
      </c>
      <c r="E4246" s="3" t="str">
        <f>HYPERLINK("https://www.amazon.com/Aquaphor-Childrens-Protectant-Moisturizer-Multi-Purpose/dp/B0BS1PSMLH/ref=sr_1_9?keywords=Aquaphor+Healing+Ointment&amp;qid=1695260029&amp;sr=8-9", "https://www.amazon.com/Aquaphor-Childrens-Protectant-Moisturizer-Multi-Purpose/dp/B0BS1PSMLH/ref=sr_1_9?keywords=Aquaphor+Healing+Ointment&amp;qid=1695260029&amp;sr=8-9")</f>
        <v>https://www.amazon.com/Aquaphor-Childrens-Protectant-Moisturizer-Multi-Purpose/dp/B0BS1PSMLH/ref=sr_1_9?keywords=Aquaphor+Healing+Ointment&amp;qid=1695260029&amp;sr=8-9</v>
      </c>
      <c r="F4246" t="s">
        <v>12018</v>
      </c>
      <c r="G4246" t="e">
        <f ca="1">IMAGE("https://shop.sonapharmacy.com/cdn/shop/products/83663518614618p.jpg?v=1609722179")</f>
        <v>#NAME?</v>
      </c>
      <c r="H4246" t="e">
        <f ca="1">IMAGE("https://m.media-amazon.com/images/I/71QSDntXeDL._AC_UL320_.jpg")</f>
        <v>#NAME?</v>
      </c>
      <c r="I4246" t="s">
        <v>9241</v>
      </c>
      <c r="J4246">
        <v>9.9700000000000006</v>
      </c>
      <c r="K4246" s="2" t="s">
        <v>12019</v>
      </c>
      <c r="L4246">
        <v>4.9000000000000004</v>
      </c>
      <c r="M4246">
        <v>19</v>
      </c>
      <c r="O4246" t="s">
        <v>26</v>
      </c>
      <c r="P4246" t="s">
        <v>39</v>
      </c>
      <c r="Q4246" t="s">
        <v>9243</v>
      </c>
    </row>
    <row r="4247" spans="1:17" ht="15.75" x14ac:dyDescent="0.25">
      <c r="A4247" s="3" t="str">
        <f>HYPERLINK("https://shop.sonapharmacy.com/products/compound-w%C2%AE-wart-remover-fast-acting-liquid-0-31oz", "https://shop.sonapharmacy.com/products/compound-w%C2%AE-wart-remover-fast-acting-liquid-0-31oz")</f>
        <v>https://shop.sonapharmacy.com/products/compound-w%C2%AE-wart-remover-fast-acting-liquid-0-31oz</v>
      </c>
      <c r="B4247" s="3" t="str">
        <f>HYPERLINK("https://shop.sonapharmacy.com/products/compound-w%c2%ae-wart-remover-fast-acting-liquid-0-31oz", "https://shop.sonapharmacy.com/products/compound-w%c2%ae-wart-remover-fast-acting-liquid-0-31oz")</f>
        <v>https://shop.sonapharmacy.com/products/compound-w%c2%ae-wart-remover-fast-acting-liquid-0-31oz</v>
      </c>
      <c r="C4247" t="s">
        <v>12020</v>
      </c>
      <c r="D4247" t="s">
        <v>12021</v>
      </c>
      <c r="E4247" s="3" t="str">
        <f>HYPERLINK("https://www.amazon.com/Compound-Remover-Strength-Fast-Acting-0-31-Ounce/dp/B001G7QREO/ref=sr_1_1?keywords=Compound+W%C2%AE+Wart+Remover+Fast+Acting+Liquid+0.31oz.&amp;qid=1695260151&amp;sr=8-1", "https://www.amazon.com/Compound-Remover-Strength-Fast-Acting-0-31-Ounce/dp/B001G7QREO/ref=sr_1_1?keywords=Compound+W%C2%AE+Wart+Remover+Fast+Acting+Liquid+0.31oz.&amp;qid=1695260151&amp;sr=8-1")</f>
        <v>https://www.amazon.com/Compound-Remover-Strength-Fast-Acting-0-31-Ounce/dp/B001G7QREO/ref=sr_1_1?keywords=Compound+W%C2%AE+Wart+Remover+Fast+Acting+Liquid+0.31oz.&amp;qid=1695260151&amp;sr=8-1</v>
      </c>
      <c r="F4247" t="s">
        <v>12022</v>
      </c>
      <c r="G4247" t="e">
        <f ca="1">IMAGE("https://shop.sonapharmacy.com/cdn/shop/products/71p2T_KIenL._AC_SL1500.jpg?v=1610313852")</f>
        <v>#NAME?</v>
      </c>
      <c r="H4247" t="e">
        <f ca="1">IMAGE("https://m.media-amazon.com/images/I/61uqxxKz6iL._AC_UL320_.jpg")</f>
        <v>#NAME?</v>
      </c>
      <c r="I4247" t="s">
        <v>9258</v>
      </c>
      <c r="J4247">
        <v>20.149999999999999</v>
      </c>
      <c r="K4247" s="2" t="s">
        <v>12023</v>
      </c>
      <c r="L4247">
        <v>4.4000000000000004</v>
      </c>
      <c r="M4247">
        <v>142</v>
      </c>
      <c r="O4247" t="s">
        <v>26</v>
      </c>
      <c r="P4247" t="s">
        <v>39</v>
      </c>
      <c r="Q4247" t="s">
        <v>12024</v>
      </c>
    </row>
    <row r="4248" spans="1:17" ht="15.75" x14ac:dyDescent="0.25">
      <c r="A4248" s="3" t="str">
        <f>HYPERLINK("https://shop.sonapharmacy.com/products/major-fexofenadine-hydrochloride-180-mg-tablets", "https://shop.sonapharmacy.com/products/major-fexofenadine-hydrochloride-180-mg-tablets")</f>
        <v>https://shop.sonapharmacy.com/products/major-fexofenadine-hydrochloride-180-mg-tablets</v>
      </c>
      <c r="B4248" s="3" t="str">
        <f>HYPERLINK("https://shop.sonapharmacy.com/products/major-fexofenadine-hydrochloride-180-mg-tablets", "https://shop.sonapharmacy.com/products/major-fexofenadine-hydrochloride-180-mg-tablets")</f>
        <v>https://shop.sonapharmacy.com/products/major-fexofenadine-hydrochloride-180-mg-tablets</v>
      </c>
      <c r="C4248" t="s">
        <v>12025</v>
      </c>
      <c r="D4248" t="s">
        <v>12026</v>
      </c>
      <c r="E4248" s="3" t="str">
        <f>HYPERLINK("https://www.amazon.com/Amazon-Basic-Care-Hydrochloride-Antihistamine/dp/B0C5473JWN/ref=sr_1_4?keywords=Major+Fexofenadine+Hydrochloride+180+mg+Tablets&amp;qid=1695260482&amp;sr=8-4", "https://www.amazon.com/Amazon-Basic-Care-Hydrochloride-Antihistamine/dp/B0C5473JWN/ref=sr_1_4?keywords=Major+Fexofenadine+Hydrochloride+180+mg+Tablets&amp;qid=1695260482&amp;sr=8-4")</f>
        <v>https://www.amazon.com/Amazon-Basic-Care-Hydrochloride-Antihistamine/dp/B0C5473JWN/ref=sr_1_4?keywords=Major+Fexofenadine+Hydrochloride+180+mg+Tablets&amp;qid=1695260482&amp;sr=8-4</v>
      </c>
      <c r="F4248" t="s">
        <v>12027</v>
      </c>
      <c r="G4248" t="e">
        <f ca="1">IMAGE("https://shop.sonapharmacy.com/cdn/shop/products/MajorFexofenadineHydrochloride180mgTablets.jpg?v=1595528492")</f>
        <v>#NAME?</v>
      </c>
      <c r="H4248" t="e">
        <f ca="1">IMAGE("https://m.media-amazon.com/images/I/61tMJ-KtMCL._AC_UL320_.jpg")</f>
        <v>#NAME?</v>
      </c>
      <c r="I4248" t="s">
        <v>12028</v>
      </c>
      <c r="J4248">
        <v>32.85</v>
      </c>
      <c r="K4248" s="2" t="s">
        <v>12029</v>
      </c>
      <c r="L4248">
        <v>4.4000000000000004</v>
      </c>
      <c r="M4248">
        <v>38</v>
      </c>
      <c r="O4248" t="s">
        <v>26</v>
      </c>
      <c r="P4248" t="s">
        <v>39</v>
      </c>
      <c r="Q4248" t="s">
        <v>12030</v>
      </c>
    </row>
    <row r="4249" spans="1:17" ht="15.75" x14ac:dyDescent="0.25">
      <c r="A4249" s="3" t="str">
        <f>HYPERLINK("https://shop.sonapharmacy.com/products/accu-chek-guide-test-strips-50-ct", "https://shop.sonapharmacy.com/products/accu-chek-guide-test-strips-50-ct")</f>
        <v>https://shop.sonapharmacy.com/products/accu-chek-guide-test-strips-50-ct</v>
      </c>
      <c r="B4249" s="3" t="str">
        <f>HYPERLINK("https://shop.sonapharmacy.com/products/accu-chek-guide-test-strips-50-ct", "https://shop.sonapharmacy.com/products/accu-chek-guide-test-strips-50-ct")</f>
        <v>https://shop.sonapharmacy.com/products/accu-chek-guide-test-strips-50-ct</v>
      </c>
      <c r="C4249" t="s">
        <v>8734</v>
      </c>
      <c r="D4249" t="s">
        <v>12031</v>
      </c>
      <c r="E4249" s="3" t="str">
        <f>HYPERLINK("https://www.amazon.com/Accu-Chek-Guide-Glucose-Test-Strips/dp/B087NPJX1W/ref=sr_1_1?keywords=Accu-Chek+Guide+Test+Strips&amp;qid=1695260023&amp;sr=8-1", "https://www.amazon.com/Accu-Chek-Guide-Glucose-Test-Strips/dp/B087NPJX1W/ref=sr_1_1?keywords=Accu-Chek+Guide+Test+Strips&amp;qid=1695260023&amp;sr=8-1")</f>
        <v>https://www.amazon.com/Accu-Chek-Guide-Glucose-Test-Strips/dp/B087NPJX1W/ref=sr_1_1?keywords=Accu-Chek+Guide+Test+Strips&amp;qid=1695260023&amp;sr=8-1</v>
      </c>
      <c r="F4249" t="s">
        <v>12032</v>
      </c>
      <c r="G4249" t="e">
        <f ca="1">IMAGE("https://shop.sonapharmacy.com/cdn/shop/products/Accu-ChekGuideTestStrips50ct.yyy.jpg?v=1594217683")</f>
        <v>#NAME?</v>
      </c>
      <c r="H4249" t="e">
        <f ca="1">IMAGE("https://m.media-amazon.com/images/I/71imFW8YsAL._AC_UL320_.jpg")</f>
        <v>#NAME?</v>
      </c>
      <c r="I4249" t="s">
        <v>8737</v>
      </c>
      <c r="J4249">
        <v>44.44</v>
      </c>
      <c r="K4249" s="2" t="s">
        <v>12033</v>
      </c>
      <c r="L4249">
        <v>4.7</v>
      </c>
      <c r="M4249">
        <v>9097</v>
      </c>
      <c r="O4249" t="s">
        <v>26</v>
      </c>
      <c r="P4249" t="s">
        <v>39</v>
      </c>
      <c r="Q4249" t="s">
        <v>8739</v>
      </c>
    </row>
    <row r="4250" spans="1:17" ht="15.75" x14ac:dyDescent="0.25">
      <c r="A4250" s="3" t="str">
        <f>HYPERLINK("https://shop.sonapharmacy.com/products/nature-made-1400-mg-flaxseed-oil-700-mg-omega-3-softgels", "https://shop.sonapharmacy.com/products/nature-made-1400-mg-flaxseed-oil-700-mg-omega-3-softgels")</f>
        <v>https://shop.sonapharmacy.com/products/nature-made-1400-mg-flaxseed-oil-700-mg-omega-3-softgels</v>
      </c>
      <c r="B4250" s="3" t="str">
        <f>HYPERLINK("https://shop.sonapharmacy.com/products/nature-made-1400-mg-flaxseed-oil-700-mg-omega-3-softgels", "https://shop.sonapharmacy.com/products/nature-made-1400-mg-flaxseed-oil-700-mg-omega-3-softgels")</f>
        <v>https://shop.sonapharmacy.com/products/nature-made-1400-mg-flaxseed-oil-700-mg-omega-3-softgels</v>
      </c>
      <c r="C4250" t="s">
        <v>10705</v>
      </c>
      <c r="D4250" t="s">
        <v>12034</v>
      </c>
      <c r="E4250" s="3" t="str">
        <f>HYPERLINK("https://www.amazon.com/Softgels-Contains-Linolenic-Powerfully-Supports/dp/B01DPW5TXW/ref=sr_1_8?keywords=Nature+Made%C2%AE+Flaxseed+Oil+Omega-3+1400+mg%2F700+mg+Softgels+100ct.&amp;qid=1695260538&amp;sr=8-8", "https://www.amazon.com/Softgels-Contains-Linolenic-Powerfully-Supports/dp/B01DPW5TXW/ref=sr_1_8?keywords=Nature+Made%C2%AE+Flaxseed+Oil+Omega-3+1400+mg%2F700+mg+Softgels+100ct.&amp;qid=1695260538&amp;sr=8-8")</f>
        <v>https://www.amazon.com/Softgels-Contains-Linolenic-Powerfully-Supports/dp/B01DPW5TXW/ref=sr_1_8?keywords=Nature+Made%C2%AE+Flaxseed+Oil+Omega-3+1400+mg%2F700+mg+Softgels+100ct.&amp;qid=1695260538&amp;sr=8-8</v>
      </c>
      <c r="F4250" t="s">
        <v>12035</v>
      </c>
      <c r="G4250" t="e">
        <f ca="1">IMAGE("https://shop.sonapharmacy.com/cdn/shop/products/71FBpkInSkL._AC_SL1500.jpg?v=1610046851")</f>
        <v>#NAME?</v>
      </c>
      <c r="H4250" t="e">
        <f ca="1">IMAGE("https://m.media-amazon.com/images/I/6149fJeWfAL._AC_UL320_.jpg")</f>
        <v>#NAME?</v>
      </c>
      <c r="I4250" t="s">
        <v>8692</v>
      </c>
      <c r="J4250">
        <v>21.95</v>
      </c>
      <c r="K4250" s="2" t="s">
        <v>12036</v>
      </c>
      <c r="L4250">
        <v>4.5999999999999996</v>
      </c>
      <c r="M4250">
        <v>772</v>
      </c>
      <c r="O4250" t="s">
        <v>26</v>
      </c>
      <c r="P4250" t="s">
        <v>39</v>
      </c>
      <c r="Q4250" t="s">
        <v>10709</v>
      </c>
    </row>
    <row r="4251" spans="1:17" ht="15.75" x14ac:dyDescent="0.25">
      <c r="A4251" s="3" t="str">
        <f>HYPERLINK("https://shop.sonapharmacy.com/products/citrucel%C2%AE-orange-flavor-sugar-free-fiber-powder-16-9oz", "https://shop.sonapharmacy.com/products/citrucel%C2%AE-orange-flavor-sugar-free-fiber-powder-16-9oz")</f>
        <v>https://shop.sonapharmacy.com/products/citrucel%C2%AE-orange-flavor-sugar-free-fiber-powder-16-9oz</v>
      </c>
      <c r="B4251" s="3" t="str">
        <f>HYPERLINK("https://shop.sonapharmacy.com/products/citrucel%c2%ae-orange-flavor-sugar-free-fiber-powder-16-9oz", "https://shop.sonapharmacy.com/products/citrucel%c2%ae-orange-flavor-sugar-free-fiber-powder-16-9oz")</f>
        <v>https://shop.sonapharmacy.com/products/citrucel%c2%ae-orange-flavor-sugar-free-fiber-powder-16-9oz</v>
      </c>
      <c r="C4251" t="s">
        <v>9539</v>
      </c>
      <c r="D4251" t="s">
        <v>12037</v>
      </c>
      <c r="E4251" s="3" t="str">
        <f>HYPERLINK("https://www.amazon.com/Equate-Therapy-Smooth-Texture-Orange/dp/B0013U052Y/ref=sr_1_5?keywords=Citrucel%C2%AE+Orange+Flavor+Sugar-Free+Fiber+Powder+16.9oz.&amp;qid=1695260135&amp;sr=8-5", "https://www.amazon.com/Equate-Therapy-Smooth-Texture-Orange/dp/B0013U052Y/ref=sr_1_5?keywords=Citrucel%C2%AE+Orange+Flavor+Sugar-Free+Fiber+Powder+16.9oz.&amp;qid=1695260135&amp;sr=8-5")</f>
        <v>https://www.amazon.com/Equate-Therapy-Smooth-Texture-Orange/dp/B0013U052Y/ref=sr_1_5?keywords=Citrucel%C2%AE+Orange+Flavor+Sugar-Free+Fiber+Powder+16.9oz.&amp;qid=1695260135&amp;sr=8-5</v>
      </c>
      <c r="F4251" t="s">
        <v>12038</v>
      </c>
      <c r="G4251" t="e">
        <f ca="1">IMAGE("https://shop.sonapharmacy.com/cdn/shop/products/711W3DclJgL._AC_SL1500.jpg?v=1610982192")</f>
        <v>#NAME?</v>
      </c>
      <c r="H4251" t="e">
        <f ca="1">IMAGE("https://m.media-amazon.com/images/I/71I7i7X+h9L._AC_UL320_.jpg")</f>
        <v>#NAME?</v>
      </c>
      <c r="I4251" t="s">
        <v>9542</v>
      </c>
      <c r="J4251">
        <v>35.44</v>
      </c>
      <c r="K4251" s="2" t="s">
        <v>12039</v>
      </c>
      <c r="L4251">
        <v>4.5999999999999996</v>
      </c>
      <c r="M4251">
        <v>708</v>
      </c>
      <c r="O4251" t="s">
        <v>26</v>
      </c>
      <c r="P4251" t="s">
        <v>39</v>
      </c>
      <c r="Q4251" t="s">
        <v>9544</v>
      </c>
    </row>
    <row r="4252" spans="1:17" ht="15.75" x14ac:dyDescent="0.25">
      <c r="A4252" s="3" t="str">
        <f>HYPERLINK("https://shop.sonapharmacy.com/products/apex%C2%AE-baby-ear-syringe", "https://shop.sonapharmacy.com/products/apex%C2%AE-baby-ear-syringe")</f>
        <v>https://shop.sonapharmacy.com/products/apex%C2%AE-baby-ear-syringe</v>
      </c>
      <c r="B4252" s="3" t="str">
        <f>HYPERLINK("https://shop.sonapharmacy.com/products/apex%c2%ae-baby-ear-syringe", "https://shop.sonapharmacy.com/products/apex%c2%ae-baby-ear-syringe")</f>
        <v>https://shop.sonapharmacy.com/products/apex%c2%ae-baby-ear-syringe</v>
      </c>
      <c r="C4252" t="s">
        <v>9929</v>
      </c>
      <c r="D4252" t="s">
        <v>12040</v>
      </c>
      <c r="E4252" s="3" t="str">
        <f>HYPERLINK("https://www.amazon.com/Comfort-Sterile-Nasal-Aspirator-Syringe/dp/B0B457GR2J/ref=sr_1_8?keywords=Apex+Baby+Ear+Syringe&amp;qid=1695260016&amp;sr=8-8", "https://www.amazon.com/Comfort-Sterile-Nasal-Aspirator-Syringe/dp/B0B457GR2J/ref=sr_1_8?keywords=Apex+Baby+Ear+Syringe&amp;qid=1695260016&amp;sr=8-8")</f>
        <v>https://www.amazon.com/Comfort-Sterile-Nasal-Aspirator-Syringe/dp/B0B457GR2J/ref=sr_1_8?keywords=Apex+Baby+Ear+Syringe&amp;qid=1695260016&amp;sr=8-8</v>
      </c>
      <c r="F4252" t="s">
        <v>12041</v>
      </c>
      <c r="G4252" t="e">
        <f ca="1">IMAGE("https://shop.sonapharmacy.com/cdn/shop/products/Apex-Baby-Ear-Syringe.jpg?v=1609959529")</f>
        <v>#NAME?</v>
      </c>
      <c r="H4252" t="e">
        <f ca="1">IMAGE("https://m.media-amazon.com/images/I/51X+IGRnAGL._AC_UL320_.jpg")</f>
        <v>#NAME?</v>
      </c>
      <c r="I4252" t="s">
        <v>9490</v>
      </c>
      <c r="J4252">
        <v>5.99</v>
      </c>
      <c r="K4252" s="2" t="s">
        <v>12042</v>
      </c>
      <c r="L4252">
        <v>4.5</v>
      </c>
      <c r="M4252">
        <v>79</v>
      </c>
      <c r="O4252" t="s">
        <v>26</v>
      </c>
      <c r="P4252" t="s">
        <v>39</v>
      </c>
      <c r="Q4252" t="s">
        <v>9933</v>
      </c>
    </row>
    <row r="4253" spans="1:17" ht="15.75" x14ac:dyDescent="0.25">
      <c r="A4253" s="3" t="str">
        <f>HYPERLINK("https://shop.sonapharmacy.com/products/bacitracin-antibiotic-ointment-1oz", "https://shop.sonapharmacy.com/products/bacitracin-antibiotic-ointment-1oz")</f>
        <v>https://shop.sonapharmacy.com/products/bacitracin-antibiotic-ointment-1oz</v>
      </c>
      <c r="B4253" s="3" t="str">
        <f>HYPERLINK("https://shop.sonapharmacy.com/products/bacitracin-antibiotic-ointment-1oz", "https://shop.sonapharmacy.com/products/bacitracin-antibiotic-ointment-1oz")</f>
        <v>https://shop.sonapharmacy.com/products/bacitracin-antibiotic-ointment-1oz</v>
      </c>
      <c r="C4253" t="s">
        <v>11567</v>
      </c>
      <c r="D4253" t="s">
        <v>12043</v>
      </c>
      <c r="E4253" s="3" t="str">
        <f>HYPERLINK("https://www.amazon.com/Antibiotic-Bacitracin-Polymyxin-Protection-Neomycin-Free/dp/B073QVB39Q/ref=sr_1_7?keywords=Bacitracin%C2%AE+Antibiotic+Ointment+1oz.&amp;qid=1695260086&amp;sr=8-7", "https://www.amazon.com/Antibiotic-Bacitracin-Polymyxin-Protection-Neomycin-Free/dp/B073QVB39Q/ref=sr_1_7?keywords=Bacitracin%C2%AE+Antibiotic+Ointment+1oz.&amp;qid=1695260086&amp;sr=8-7")</f>
        <v>https://www.amazon.com/Antibiotic-Bacitracin-Polymyxin-Protection-Neomycin-Free/dp/B073QVB39Q/ref=sr_1_7?keywords=Bacitracin%C2%AE+Antibiotic+Ointment+1oz.&amp;qid=1695260086&amp;sr=8-7</v>
      </c>
      <c r="F4253" t="s">
        <v>12044</v>
      </c>
      <c r="G4253" t="e">
        <f ca="1">IMAGE("https://shop.sonapharmacy.com/cdn/shop/products/BACITR1OC_Bacitracin-1-oz-Tube-Box.jpg?v=1611254932")</f>
        <v>#NAME?</v>
      </c>
      <c r="H4253" t="e">
        <f ca="1">IMAGE("https://m.media-amazon.com/images/I/619qAEyW4zL._AC_UY218_.jpg")</f>
        <v>#NAME?</v>
      </c>
      <c r="I4253" t="s">
        <v>8828</v>
      </c>
      <c r="J4253">
        <v>6.99</v>
      </c>
      <c r="K4253" s="2" t="s">
        <v>12045</v>
      </c>
      <c r="L4253">
        <v>4.5</v>
      </c>
      <c r="M4253">
        <v>708</v>
      </c>
      <c r="O4253" t="s">
        <v>26</v>
      </c>
      <c r="P4253" t="s">
        <v>39</v>
      </c>
      <c r="Q4253" t="s">
        <v>11571</v>
      </c>
    </row>
    <row r="4254" spans="1:17" ht="15.75" x14ac:dyDescent="0.25">
      <c r="A4254" s="3" t="str">
        <f>HYPERLINK("https://shop.sonapharmacy.com/products/apex%C2%AE-deluxe-pill-splitter", "https://shop.sonapharmacy.com/products/apex%C2%AE-deluxe-pill-splitter")</f>
        <v>https://shop.sonapharmacy.com/products/apex%C2%AE-deluxe-pill-splitter</v>
      </c>
      <c r="B4254" s="3" t="str">
        <f>HYPERLINK("https://shop.sonapharmacy.com/products/apex%c2%ae-deluxe-pill-splitter", "https://shop.sonapharmacy.com/products/apex%c2%ae-deluxe-pill-splitter")</f>
        <v>https://shop.sonapharmacy.com/products/apex%c2%ae-deluxe-pill-splitter</v>
      </c>
      <c r="C4254" t="s">
        <v>12046</v>
      </c>
      <c r="D4254" t="s">
        <v>12047</v>
      </c>
      <c r="E4254" s="3" t="str">
        <f>HYPERLINK("https://www.amazon.com/Apex-Ultra-Pill-Splitter-Pack/dp/B00EO9D1G8/ref=sr_1_9?keywords=Apex+Deluxe+Pill+Splitter&amp;qid=1695260012&amp;sr=8-9", "https://www.amazon.com/Apex-Ultra-Pill-Splitter-Pack/dp/B00EO9D1G8/ref=sr_1_9?keywords=Apex+Deluxe+Pill+Splitter&amp;qid=1695260012&amp;sr=8-9")</f>
        <v>https://www.amazon.com/Apex-Ultra-Pill-Splitter-Pack/dp/B00EO9D1G8/ref=sr_1_9?keywords=Apex+Deluxe+Pill+Splitter&amp;qid=1695260012&amp;sr=8-9</v>
      </c>
      <c r="F4254" t="s">
        <v>12048</v>
      </c>
      <c r="G4254" t="e">
        <f ca="1">IMAGE("https://shop.sonapharmacy.com/cdn/shop/products/71YkvKgibmL._AC_SL1500.jpg?v=1609958940")</f>
        <v>#NAME?</v>
      </c>
      <c r="H4254" t="e">
        <f ca="1">IMAGE("https://m.media-amazon.com/images/I/51-WlpZbgRL._AC_UL320_.jpg")</f>
        <v>#NAME?</v>
      </c>
      <c r="I4254" t="s">
        <v>8963</v>
      </c>
      <c r="J4254">
        <v>9.99</v>
      </c>
      <c r="K4254" s="2" t="s">
        <v>12049</v>
      </c>
      <c r="L4254">
        <v>4.0999999999999996</v>
      </c>
      <c r="M4254">
        <v>670</v>
      </c>
      <c r="O4254" t="s">
        <v>26</v>
      </c>
      <c r="P4254" t="s">
        <v>39</v>
      </c>
      <c r="Q4254" t="s">
        <v>12050</v>
      </c>
    </row>
    <row r="4255" spans="1:17" ht="15.75" x14ac:dyDescent="0.25">
      <c r="A4255" s="3" t="str">
        <f>HYPERLINK("https://shop.sonapharmacy.com/products/duracell%C2%AE-303-357-76-silver-oxide-button-battery", "https://shop.sonapharmacy.com/products/duracell%C2%AE-303-357-76-silver-oxide-button-battery")</f>
        <v>https://shop.sonapharmacy.com/products/duracell%C2%AE-303-357-76-silver-oxide-button-battery</v>
      </c>
      <c r="B4255" s="3" t="str">
        <f>HYPERLINK("https://shop.sonapharmacy.com/products/duracell%c2%ae-303-357-76-silver-oxide-button-battery", "https://shop.sonapharmacy.com/products/duracell%c2%ae-303-357-76-silver-oxide-button-battery")</f>
        <v>https://shop.sonapharmacy.com/products/duracell%c2%ae-303-357-76-silver-oxide-button-battery</v>
      </c>
      <c r="C4255" t="s">
        <v>8329</v>
      </c>
      <c r="D4255" t="s">
        <v>12051</v>
      </c>
      <c r="E4255" s="3" t="str">
        <f>HYPERLINK("https://www.amazon.com/Duracell-SR44W-Silver-Oxide-Battery/dp/B013J3O1U4/ref=sr_1_9?keywords=Duracell%C2%AE+303%2F357%2F76+Silver+Oxide+Button+Battery&amp;qid=1695260202&amp;sr=8-9", "https://www.amazon.com/Duracell-SR44W-Silver-Oxide-Battery/dp/B013J3O1U4/ref=sr_1_9?keywords=Duracell%C2%AE+303%2F357%2F76+Silver+Oxide+Button+Battery&amp;qid=1695260202&amp;sr=8-9")</f>
        <v>https://www.amazon.com/Duracell-SR44W-Silver-Oxide-Battery/dp/B013J3O1U4/ref=sr_1_9?keywords=Duracell%C2%AE+303%2F357%2F76+Silver+Oxide+Button+Battery&amp;qid=1695260202&amp;sr=8-9</v>
      </c>
      <c r="F4255" t="s">
        <v>12052</v>
      </c>
      <c r="G4255" t="e">
        <f ca="1">IMAGE("https://shop.sonapharmacy.com/cdn/shop/products/3099066_A.eps_High_540x_008cc7a8-ba13-4a78-a067-abc0e573a874.jpg?v=1610332687")</f>
        <v>#NAME?</v>
      </c>
      <c r="H4255" t="e">
        <f ca="1">IMAGE("https://m.media-amazon.com/images/I/41pFGe-gxQL._AC_UL320_.jpg")</f>
        <v>#NAME?</v>
      </c>
      <c r="I4255" t="s">
        <v>8332</v>
      </c>
      <c r="J4255">
        <v>13.98</v>
      </c>
      <c r="K4255" s="2" t="s">
        <v>12053</v>
      </c>
      <c r="L4255">
        <v>4.5999999999999996</v>
      </c>
      <c r="M4255">
        <v>267</v>
      </c>
      <c r="O4255" t="s">
        <v>26</v>
      </c>
      <c r="P4255" t="s">
        <v>39</v>
      </c>
      <c r="Q4255" t="s">
        <v>8334</v>
      </c>
    </row>
    <row r="4256" spans="1:17" ht="15.75" x14ac:dyDescent="0.25">
      <c r="A4256" s="3" t="str">
        <f>HYPERLINK("https://shop.sonapharmacy.com/products/nasacort-allergy-24hr-nasal-spray", "https://shop.sonapharmacy.com/products/nasacort-allergy-24hr-nasal-spray")</f>
        <v>https://shop.sonapharmacy.com/products/nasacort-allergy-24hr-nasal-spray</v>
      </c>
      <c r="B4256" s="3" t="str">
        <f>HYPERLINK("https://shop.sonapharmacy.com/products/nasacort-allergy-24hr-nasal-spray", "https://shop.sonapharmacy.com/products/nasacort-allergy-24hr-nasal-spray")</f>
        <v>https://shop.sonapharmacy.com/products/nasacort-allergy-24hr-nasal-spray</v>
      </c>
      <c r="C4256" t="s">
        <v>10882</v>
      </c>
      <c r="D4256" t="s">
        <v>12054</v>
      </c>
      <c r="E4256" s="3" t="str">
        <f>HYPERLINK("https://www.amazon.com/Nasacort-Allergy-Adults-Non-Drowsy-Alcohol-Free/dp/B00M1QM8EM/ref=sr_1_1?keywords=Nasacort+Allergy+24HR+Nasal+Spray&amp;qid=1695260517&amp;sr=8-1", "https://www.amazon.com/Nasacort-Allergy-Adults-Non-Drowsy-Alcohol-Free/dp/B00M1QM8EM/ref=sr_1_1?keywords=Nasacort+Allergy+24HR+Nasal+Spray&amp;qid=1695260517&amp;sr=8-1")</f>
        <v>https://www.amazon.com/Nasacort-Allergy-Adults-Non-Drowsy-Alcohol-Free/dp/B00M1QM8EM/ref=sr_1_1?keywords=Nasacort+Allergy+24HR+Nasal+Spray&amp;qid=1695260517&amp;sr=8-1</v>
      </c>
      <c r="F4256" t="s">
        <v>12055</v>
      </c>
      <c r="G4256" t="e">
        <f ca="1">IMAGE("https://shop.sonapharmacy.com/cdn/shop/products/NasacortAllergy24HRNasalSpray.png?v=1595517896")</f>
        <v>#NAME?</v>
      </c>
      <c r="H4256" t="e">
        <f ca="1">IMAGE("https://m.media-amazon.com/images/I/61moV2Fw6OL._AC_UL320_.jpg")</f>
        <v>#NAME?</v>
      </c>
      <c r="I4256" t="s">
        <v>10885</v>
      </c>
      <c r="J4256">
        <v>26.97</v>
      </c>
      <c r="K4256" s="2" t="s">
        <v>12056</v>
      </c>
      <c r="L4256">
        <v>4.7</v>
      </c>
      <c r="M4256">
        <v>9043</v>
      </c>
      <c r="O4256" t="s">
        <v>26</v>
      </c>
      <c r="P4256" t="s">
        <v>39</v>
      </c>
      <c r="Q4256" t="s">
        <v>10886</v>
      </c>
    </row>
    <row r="4257" spans="1:17" ht="15.75" x14ac:dyDescent="0.25">
      <c r="A4257" s="3" t="str">
        <f>HYPERLINK("https://shop.sonapharmacy.com/products/foille-medicated-first-aid-ointment-1oz", "https://shop.sonapharmacy.com/products/foille-medicated-first-aid-ointment-1oz")</f>
        <v>https://shop.sonapharmacy.com/products/foille-medicated-first-aid-ointment-1oz</v>
      </c>
      <c r="B4257" s="3" t="str">
        <f>HYPERLINK("https://shop.sonapharmacy.com/products/foille-medicated-first-aid-ointment-1oz", "https://shop.sonapharmacy.com/products/foille-medicated-first-aid-ointment-1oz")</f>
        <v>https://shop.sonapharmacy.com/products/foille-medicated-first-aid-ointment-1oz</v>
      </c>
      <c r="C4257" t="s">
        <v>8677</v>
      </c>
      <c r="D4257" t="s">
        <v>12057</v>
      </c>
      <c r="E4257" s="3" t="str">
        <f>HYPERLINK("https://www.amazon.com/Foille-36015M-Medicated-First-Aid-Ointment/dp/B07F2CQTVJ/ref=sr_1_8?keywords=Foille+Medicated+First+Aid+Ointment+1oz.&amp;qid=1695260242&amp;sr=8-8", "https://www.amazon.com/Foille-36015M-Medicated-First-Aid-Ointment/dp/B07F2CQTVJ/ref=sr_1_8?keywords=Foille+Medicated+First+Aid+Ointment+1oz.&amp;qid=1695260242&amp;sr=8-8")</f>
        <v>https://www.amazon.com/Foille-36015M-Medicated-First-Aid-Ointment/dp/B07F2CQTVJ/ref=sr_1_8?keywords=Foille+Medicated+First+Aid+Ointment+1oz.&amp;qid=1695260242&amp;sr=8-8</v>
      </c>
      <c r="F4257" t="s">
        <v>12058</v>
      </c>
      <c r="G4257" t="e">
        <f ca="1">IMAGE("https://shop.sonapharmacy.com/cdn/shop/products/51q-pUYDQIL._AC_SL1500.jpg?v=1609351378")</f>
        <v>#NAME?</v>
      </c>
      <c r="H4257" t="e">
        <f ca="1">IMAGE("https://m.media-amazon.com/images/I/61vgVpCDgzL._AC_UL320_.jpg")</f>
        <v>#NAME?</v>
      </c>
      <c r="I4257" t="s">
        <v>8680</v>
      </c>
      <c r="J4257">
        <v>7.47</v>
      </c>
      <c r="K4257" s="2" t="s">
        <v>12059</v>
      </c>
      <c r="L4257">
        <v>4.9000000000000004</v>
      </c>
      <c r="M4257">
        <v>18</v>
      </c>
      <c r="O4257" t="s">
        <v>26</v>
      </c>
      <c r="P4257" t="s">
        <v>39</v>
      </c>
      <c r="Q4257" t="s">
        <v>8682</v>
      </c>
    </row>
    <row r="4258" spans="1:17" ht="15.75" x14ac:dyDescent="0.25">
      <c r="A4258" s="3" t="str">
        <f>HYPERLINK("https://shop.sonapharmacy.com/products/eucerin%C2%AE-skin-calming-body-wash-for-dry-itchy-skin-8-4fl-oz", "https://shop.sonapharmacy.com/products/eucerin%C2%AE-skin-calming-body-wash-for-dry-itchy-skin-8-4fl-oz")</f>
        <v>https://shop.sonapharmacy.com/products/eucerin%C2%AE-skin-calming-body-wash-for-dry-itchy-skin-8-4fl-oz</v>
      </c>
      <c r="B4258" s="3" t="str">
        <f>HYPERLINK("https://shop.sonapharmacy.com/products/eucerin%c2%ae-skin-calming-body-wash-for-dry-itchy-skin-8-4fl-oz", "https://shop.sonapharmacy.com/products/eucerin%c2%ae-skin-calming-body-wash-for-dry-itchy-skin-8-4fl-oz")</f>
        <v>https://shop.sonapharmacy.com/products/eucerin%c2%ae-skin-calming-body-wash-for-dry-itchy-skin-8-4fl-oz</v>
      </c>
      <c r="C4258" t="s">
        <v>12060</v>
      </c>
      <c r="D4258" t="s">
        <v>12061</v>
      </c>
      <c r="E4258" s="3" t="str">
        <f>HYPERLINK("https://www.amazon.com/Eucerin-Skin-Calming-Body-Wash/dp/B00IB0XFTO/ref=sr_1_1?keywords=Eucerin%C2%AE+Skin+Calming+Body+Wash+For+Dry%2C+Itchy+Skin+8.4fl.+oz.&amp;qid=1695260229&amp;sr=8-1", "https://www.amazon.com/Eucerin-Skin-Calming-Body-Wash/dp/B00IB0XFTO/ref=sr_1_1?keywords=Eucerin%C2%AE+Skin+Calming+Body+Wash+For+Dry%2C+Itchy+Skin+8.4fl.+oz.&amp;qid=1695260229&amp;sr=8-1")</f>
        <v>https://www.amazon.com/Eucerin-Skin-Calming-Body-Wash/dp/B00IB0XFTO/ref=sr_1_1?keywords=Eucerin%C2%AE+Skin+Calming+Body+Wash+For+Dry%2C+Itchy+Skin+8.4fl.+oz.&amp;qid=1695260229&amp;sr=8-1</v>
      </c>
      <c r="F4258" t="s">
        <v>12062</v>
      </c>
      <c r="G4258" t="e">
        <f ca="1">IMAGE("https://shop.sonapharmacy.com/cdn/shop/products/351db66d-68d6-4654-a311-b0d867b9cc1d.24e4a98435f360fbba3aafdbd2aefb1b.jpg?v=1608490500")</f>
        <v>#NAME?</v>
      </c>
      <c r="H4258" t="e">
        <f ca="1">IMAGE("https://m.media-amazon.com/images/I/5123zNMtBkL._AC_UL320_.jpg")</f>
        <v>#NAME?</v>
      </c>
      <c r="I4258" t="s">
        <v>12063</v>
      </c>
      <c r="J4258">
        <v>13.76</v>
      </c>
      <c r="K4258" s="2" t="s">
        <v>12064</v>
      </c>
      <c r="L4258">
        <v>4.4000000000000004</v>
      </c>
      <c r="M4258">
        <v>9845</v>
      </c>
      <c r="O4258" t="s">
        <v>26</v>
      </c>
      <c r="P4258" t="s">
        <v>39</v>
      </c>
      <c r="Q4258" t="s">
        <v>12065</v>
      </c>
    </row>
    <row r="4259" spans="1:17" ht="15.75" x14ac:dyDescent="0.25">
      <c r="A4259" s="3" t="str">
        <f>HYPERLINK("https://shop.sonapharmacy.com/products/lipo-flavonoid-plus-ear-ringing-reduction-tablets", "https://shop.sonapharmacy.com/products/lipo-flavonoid-plus-ear-ringing-reduction-tablets")</f>
        <v>https://shop.sonapharmacy.com/products/lipo-flavonoid-plus-ear-ringing-reduction-tablets</v>
      </c>
      <c r="B4259" s="3" t="str">
        <f>HYPERLINK("https://shop.sonapharmacy.com/products/lipo-flavonoid-plus-ear-ringing-reduction-tablets", "https://shop.sonapharmacy.com/products/lipo-flavonoid-plus-ear-ringing-reduction-tablets")</f>
        <v>https://shop.sonapharmacy.com/products/lipo-flavonoid-plus-ear-ringing-reduction-tablets</v>
      </c>
      <c r="C4259" t="s">
        <v>10396</v>
      </c>
      <c r="D4259" t="s">
        <v>12066</v>
      </c>
      <c r="E4259" s="3" t="str">
        <f>HYPERLINK("https://www.amazon.com/Lipo-Flavonoid-Supplement-Treatment-Melatonin-Sufferers/dp/B09FGB36TP/ref=sr_1_6?keywords=Lipo+Flavonoid+Plus+Ear+Ringing+Reduction+Tablets&amp;qid=1695260442&amp;sr=8-6", "https://www.amazon.com/Lipo-Flavonoid-Supplement-Treatment-Melatonin-Sufferers/dp/B09FGB36TP/ref=sr_1_6?keywords=Lipo+Flavonoid+Plus+Ear+Ringing+Reduction+Tablets&amp;qid=1695260442&amp;sr=8-6")</f>
        <v>https://www.amazon.com/Lipo-Flavonoid-Supplement-Treatment-Melatonin-Sufferers/dp/B09FGB36TP/ref=sr_1_6?keywords=Lipo+Flavonoid+Plus+Ear+Ringing+Reduction+Tablets&amp;qid=1695260442&amp;sr=8-6</v>
      </c>
      <c r="F4259" t="s">
        <v>12067</v>
      </c>
      <c r="G4259" t="e">
        <f ca="1">IMAGE("https://shop.sonapharmacy.com/cdn/shop/products/LipoFlavonoidPlusEarRingingReductionTablets.jpg?v=1594930866")</f>
        <v>#NAME?</v>
      </c>
      <c r="H4259" t="e">
        <f ca="1">IMAGE("https://m.media-amazon.com/images/I/81eHqdeG-gL._AC_UL320_.jpg")</f>
        <v>#NAME?</v>
      </c>
      <c r="I4259" t="s">
        <v>10399</v>
      </c>
      <c r="J4259">
        <v>55.95</v>
      </c>
      <c r="K4259" s="2" t="s">
        <v>12068</v>
      </c>
      <c r="L4259">
        <v>3.8</v>
      </c>
      <c r="M4259">
        <v>442</v>
      </c>
      <c r="O4259" t="s">
        <v>26</v>
      </c>
      <c r="P4259" t="s">
        <v>39</v>
      </c>
      <c r="Q4259" t="s">
        <v>10401</v>
      </c>
    </row>
    <row r="4260" spans="1:17" ht="15.75" x14ac:dyDescent="0.25">
      <c r="A4260" s="3" t="str">
        <f>HYPERLINK("https://shop.sonapharmacy.com/products/sundown-vitamin-e-oil-2-5fl", "https://shop.sonapharmacy.com/products/sundown-vitamin-e-oil-2-5fl")</f>
        <v>https://shop.sonapharmacy.com/products/sundown-vitamin-e-oil-2-5fl</v>
      </c>
      <c r="B4260" s="3" t="str">
        <f>HYPERLINK("https://shop.sonapharmacy.com/products/sundown-vitamin-e-oil-2-5fl", "https://shop.sonapharmacy.com/products/sundown-vitamin-e-oil-2-5fl")</f>
        <v>https://shop.sonapharmacy.com/products/sundown-vitamin-e-oil-2-5fl</v>
      </c>
      <c r="C4260" t="s">
        <v>8883</v>
      </c>
      <c r="D4260" t="s">
        <v>12069</v>
      </c>
      <c r="E4260" s="3" t="str">
        <f>HYPERLINK("https://www.amazon.com/Sundown-Naturals-Vitamin-2-50-Packs/dp/B015IP1UQE/ref=sr_1_1?keywords=Sundown+Vitamin+E+Oil+2.5fl&amp;qid=1695260741&amp;sr=8-1", "https://www.amazon.com/Sundown-Naturals-Vitamin-2-50-Packs/dp/B015IP1UQE/ref=sr_1_1?keywords=Sundown+Vitamin+E+Oil+2.5fl&amp;qid=1695260741&amp;sr=8-1")</f>
        <v>https://www.amazon.com/Sundown-Naturals-Vitamin-2-50-Packs/dp/B015IP1UQE/ref=sr_1_1?keywords=Sundown+Vitamin+E+Oil+2.5fl&amp;qid=1695260741&amp;sr=8-1</v>
      </c>
      <c r="F4260" t="s">
        <v>12070</v>
      </c>
      <c r="G4260" t="e">
        <f ca="1">IMAGE("https://shop.sonapharmacy.com/cdn/shop/products/b5528557-4aee-4dfe-a2a2-302b5998af18_1.8e7a790b89db2b249d70e2d54929257f.jpg?v=1608242073")</f>
        <v>#NAME?</v>
      </c>
      <c r="H4260" t="e">
        <f ca="1">IMAGE("https://m.media-amazon.com/images/I/617JNIMc+KL._AC_UL320_.jpg")</f>
        <v>#NAME?</v>
      </c>
      <c r="I4260" t="s">
        <v>8886</v>
      </c>
      <c r="J4260">
        <v>14.72</v>
      </c>
      <c r="K4260" s="2" t="s">
        <v>12071</v>
      </c>
      <c r="L4260">
        <v>4.5999999999999996</v>
      </c>
      <c r="M4260">
        <v>242</v>
      </c>
      <c r="O4260" t="s">
        <v>26</v>
      </c>
      <c r="P4260" t="s">
        <v>39</v>
      </c>
      <c r="Q4260" t="s">
        <v>8888</v>
      </c>
    </row>
    <row r="4261" spans="1:17" ht="15.75" x14ac:dyDescent="0.25">
      <c r="A4261" s="3" t="str">
        <f>HYPERLINK("https://shop.sonapharmacy.com/products/natrapel%C2%AE-deet-free-lemon-eucalyptus-insect-repellent-spray-6oz", "https://shop.sonapharmacy.com/products/natrapel%C2%AE-deet-free-lemon-eucalyptus-insect-repellent-spray-6oz")</f>
        <v>https://shop.sonapharmacy.com/products/natrapel%C2%AE-deet-free-lemon-eucalyptus-insect-repellent-spray-6oz</v>
      </c>
      <c r="B4261" s="3" t="str">
        <f>HYPERLINK("https://shop.sonapharmacy.com/products/natrapel%c2%ae-deet-free-lemon-eucalyptus-insect-repellent-spray-6oz", "https://shop.sonapharmacy.com/products/natrapel%c2%ae-deet-free-lemon-eucalyptus-insect-repellent-spray-6oz")</f>
        <v>https://shop.sonapharmacy.com/products/natrapel%c2%ae-deet-free-lemon-eucalyptus-insect-repellent-spray-6oz</v>
      </c>
      <c r="C4261" t="s">
        <v>11901</v>
      </c>
      <c r="D4261" t="s">
        <v>12072</v>
      </c>
      <c r="E4261" s="3" t="str">
        <f>HYPERLINK("https://www.amazon.com/KICKOUTOR-Mosquito-Repellent-Eucalyptus-Essential/dp/B0C2ZDJSH7/ref=sr_1_5?keywords=Natrapel%C2%AE+Deet+Free+Lemon+Eucalyptus+Insect+Repellent+Spray+6oz.&amp;qid=1695260519&amp;sr=8-5", "https://www.amazon.com/KICKOUTOR-Mosquito-Repellent-Eucalyptus-Essential/dp/B0C2ZDJSH7/ref=sr_1_5?keywords=Natrapel%C2%AE+Deet+Free+Lemon+Eucalyptus+Insect+Repellent+Spray+6oz.&amp;qid=1695260519&amp;sr=8-5")</f>
        <v>https://www.amazon.com/KICKOUTOR-Mosquito-Repellent-Eucalyptus-Essential/dp/B0C2ZDJSH7/ref=sr_1_5?keywords=Natrapel%C2%AE+Deet+Free+Lemon+Eucalyptus+Insect+Repellent+Spray+6oz.&amp;qid=1695260519&amp;sr=8-5</v>
      </c>
      <c r="F4261" t="s">
        <v>12073</v>
      </c>
      <c r="G4261" t="e">
        <f ca="1">IMAGE("https://shop.sonapharmacy.com/cdn/shop/products/61Dm0mqSnVL._AC_SL1500.jpg?v=1610764180")</f>
        <v>#NAME?</v>
      </c>
      <c r="H4261" t="e">
        <f ca="1">IMAGE("https://m.media-amazon.com/images/I/810tWG5tFfL._AC_UL320_.jpg")</f>
        <v>#NAME?</v>
      </c>
      <c r="I4261" t="s">
        <v>11610</v>
      </c>
      <c r="J4261">
        <v>17.989999999999998</v>
      </c>
      <c r="K4261" s="2" t="s">
        <v>12074</v>
      </c>
      <c r="L4261">
        <v>3.9</v>
      </c>
      <c r="M4261">
        <v>33</v>
      </c>
      <c r="O4261" t="s">
        <v>26</v>
      </c>
      <c r="P4261" t="s">
        <v>39</v>
      </c>
      <c r="Q4261" t="s">
        <v>11905</v>
      </c>
    </row>
    <row r="4262" spans="1:17" ht="15.75" x14ac:dyDescent="0.25">
      <c r="A4262" s="3" t="str">
        <f>HYPERLINK("https://shop.sonapharmacy.com/products/miralax%C2%AE-osmotic-laxative-powder", "https://shop.sonapharmacy.com/products/miralax%C2%AE-osmotic-laxative-powder")</f>
        <v>https://shop.sonapharmacy.com/products/miralax%C2%AE-osmotic-laxative-powder</v>
      </c>
      <c r="B4262" s="3" t="str">
        <f>HYPERLINK("https://shop.sonapharmacy.com/products/miralax%c2%ae-osmotic-laxative-powder", "https://shop.sonapharmacy.com/products/miralax%c2%ae-osmotic-laxative-powder")</f>
        <v>https://shop.sonapharmacy.com/products/miralax%c2%ae-osmotic-laxative-powder</v>
      </c>
      <c r="C4262" t="s">
        <v>9337</v>
      </c>
      <c r="D4262" t="s">
        <v>12075</v>
      </c>
      <c r="E4262" s="3"/>
      <c r="F4262" t="s">
        <v>12076</v>
      </c>
      <c r="G4262" t="e">
        <f ca="1">IMAGE("https://shop.sonapharmacy.com/cdn/shop/products/81f6hF9NoSL._AC_SL1500.jpg?v=1611083511")</f>
        <v>#NAME?</v>
      </c>
      <c r="H4262" t="e">
        <f ca="1">IMAGE("https://m.media-amazon.com/images/I/71tmR95PvWL._AC_UL320_.jpg")</f>
        <v>#NAME?</v>
      </c>
      <c r="I4262" t="s">
        <v>8886</v>
      </c>
      <c r="J4262">
        <v>14.68</v>
      </c>
      <c r="K4262" s="2" t="s">
        <v>12077</v>
      </c>
      <c r="L4262">
        <v>4.7</v>
      </c>
      <c r="M4262">
        <v>4862</v>
      </c>
      <c r="O4262" t="s">
        <v>26</v>
      </c>
      <c r="P4262" t="s">
        <v>39</v>
      </c>
      <c r="Q4262" t="s">
        <v>9339</v>
      </c>
    </row>
    <row r="4263" spans="1:17" ht="15.75" x14ac:dyDescent="0.25">
      <c r="A4263" s="3" t="str">
        <f>HYPERLINK("https://shop.sonapharmacy.com/products/miralax%C2%AE-osmotic-laxative-powder", "https://shop.sonapharmacy.com/products/miralax%C2%AE-osmotic-laxative-powder")</f>
        <v>https://shop.sonapharmacy.com/products/miralax%C2%AE-osmotic-laxative-powder</v>
      </c>
      <c r="B4263" s="3" t="str">
        <f>HYPERLINK("https://shop.sonapharmacy.com/products/miralax%c2%ae-osmotic-laxative-powder", "https://shop.sonapharmacy.com/products/miralax%c2%ae-osmotic-laxative-powder")</f>
        <v>https://shop.sonapharmacy.com/products/miralax%c2%ae-osmotic-laxative-powder</v>
      </c>
      <c r="C4263" t="s">
        <v>9337</v>
      </c>
      <c r="D4263" t="s">
        <v>12075</v>
      </c>
      <c r="E4263" s="3"/>
      <c r="F4263" t="s">
        <v>12076</v>
      </c>
      <c r="G4263" t="e">
        <f ca="1">IMAGE("https://shop.sonapharmacy.com/cdn/shop/products/81f6hF9NoSL._AC_SL1500.jpg?v=1611083511")</f>
        <v>#NAME?</v>
      </c>
      <c r="H4263" t="e">
        <f ca="1">IMAGE("https://m.media-amazon.com/images/I/71tmR95PvWL._AC_UL320_.jpg")</f>
        <v>#NAME?</v>
      </c>
      <c r="I4263" t="s">
        <v>8886</v>
      </c>
      <c r="J4263">
        <v>14.68</v>
      </c>
      <c r="K4263" s="2" t="s">
        <v>12077</v>
      </c>
      <c r="L4263">
        <v>4.7</v>
      </c>
      <c r="M4263">
        <v>4862</v>
      </c>
      <c r="O4263" t="s">
        <v>26</v>
      </c>
      <c r="P4263" t="s">
        <v>39</v>
      </c>
      <c r="Q4263" t="s">
        <v>9339</v>
      </c>
    </row>
    <row r="4264" spans="1:17" ht="15.75" x14ac:dyDescent="0.25">
      <c r="A4264" s="3" t="str">
        <f>HYPERLINK("https://shop.sonapharmacy.com/products/miralax%C2%AE-osmotic-laxative-powder", "https://shop.sonapharmacy.com/products/miralax%C2%AE-osmotic-laxative-powder")</f>
        <v>https://shop.sonapharmacy.com/products/miralax%C2%AE-osmotic-laxative-powder</v>
      </c>
      <c r="B4264" s="3" t="str">
        <f>HYPERLINK("https://shop.sonapharmacy.com/products/miralax%c2%ae-osmotic-laxative-powder", "https://shop.sonapharmacy.com/products/miralax%c2%ae-osmotic-laxative-powder")</f>
        <v>https://shop.sonapharmacy.com/products/miralax%c2%ae-osmotic-laxative-powder</v>
      </c>
      <c r="C4264" t="s">
        <v>9337</v>
      </c>
      <c r="D4264" t="s">
        <v>12075</v>
      </c>
      <c r="E4264" s="3" t="str">
        <f>HYPERLINK("https://www.amazon.com/MiraLAX-Laxative-Powder-Constipation-Stirrers/dp/B088LF79CN/ref=sr_1_5?keywords=MiraLAX%C2%AE+Osmotic+Laxative+Powder&amp;qid=1695260489&amp;rdc=1&amp;sr=8-5", "https://www.amazon.com/MiraLAX-Laxative-Powder-Constipation-Stirrers/dp/B088LF79CN/ref=sr_1_5?keywords=MiraLAX%C2%AE+Osmotic+Laxative+Powder&amp;qid=1695260489&amp;rdc=1&amp;sr=8-5")</f>
        <v>https://www.amazon.com/MiraLAX-Laxative-Powder-Constipation-Stirrers/dp/B088LF79CN/ref=sr_1_5?keywords=MiraLAX%C2%AE+Osmotic+Laxative+Powder&amp;qid=1695260489&amp;rdc=1&amp;sr=8-5</v>
      </c>
      <c r="F4264" t="s">
        <v>12076</v>
      </c>
      <c r="G4264" t="e">
        <f ca="1">IMAGE("https://shop.sonapharmacy.com/cdn/shop/products/81f6hF9NoSL._AC_SL1500.jpg?v=1611083511")</f>
        <v>#NAME?</v>
      </c>
      <c r="H4264" t="e">
        <f ca="1">IMAGE("https://m.media-amazon.com/images/I/71tmR95PvWL._AC_UL320_.jpg")</f>
        <v>#NAME?</v>
      </c>
      <c r="I4264" t="s">
        <v>8886</v>
      </c>
      <c r="J4264">
        <v>14.68</v>
      </c>
      <c r="K4264" s="2" t="s">
        <v>12077</v>
      </c>
      <c r="L4264">
        <v>4.7</v>
      </c>
      <c r="M4264">
        <v>4862</v>
      </c>
      <c r="O4264" t="s">
        <v>26</v>
      </c>
      <c r="P4264" t="s">
        <v>39</v>
      </c>
      <c r="Q4264" t="s">
        <v>9339</v>
      </c>
    </row>
    <row r="4265" spans="1:17" ht="15.75" x14ac:dyDescent="0.25">
      <c r="A4265" s="3" t="str">
        <f>HYPERLINK("https://shop.sonapharmacy.com/products/miralax%C2%AE-osmotic-laxative-powder", "https://shop.sonapharmacy.com/products/miralax%C2%AE-osmotic-laxative-powder")</f>
        <v>https://shop.sonapharmacy.com/products/miralax%C2%AE-osmotic-laxative-powder</v>
      </c>
      <c r="B4265" s="3" t="str">
        <f>HYPERLINK("https://shop.sonapharmacy.com/products/miralax%c2%ae-osmotic-laxative-powder", "https://shop.sonapharmacy.com/products/miralax%c2%ae-osmotic-laxative-powder")</f>
        <v>https://shop.sonapharmacy.com/products/miralax%c2%ae-osmotic-laxative-powder</v>
      </c>
      <c r="C4265" t="s">
        <v>9337</v>
      </c>
      <c r="D4265" t="s">
        <v>11097</v>
      </c>
      <c r="E4265" s="3" t="str">
        <f>HYPERLINK("https://www.amazon.com/GoodSense-Clearlax-Polyethylene-Laxative-Solution/dp/B004AI9CM0/ref=sr_1_7?keywords=MiraLAX%C2%AE+Osmotic+Laxative+Powder&amp;qid=1695260489&amp;sr=8-7", "https://www.amazon.com/GoodSense-Clearlax-Polyethylene-Laxative-Solution/dp/B004AI9CM0/ref=sr_1_7?keywords=MiraLAX%C2%AE+Osmotic+Laxative+Powder&amp;qid=1695260489&amp;sr=8-7")</f>
        <v>https://www.amazon.com/GoodSense-Clearlax-Polyethylene-Laxative-Solution/dp/B004AI9CM0/ref=sr_1_7?keywords=MiraLAX%C2%AE+Osmotic+Laxative+Powder&amp;qid=1695260489&amp;sr=8-7</v>
      </c>
      <c r="F4265" t="s">
        <v>11098</v>
      </c>
      <c r="G4265" t="e">
        <f ca="1">IMAGE("https://shop.sonapharmacy.com/cdn/shop/products/81f6hF9NoSL._AC_SL1500.jpg?v=1611083511")</f>
        <v>#NAME?</v>
      </c>
      <c r="H4265" t="e">
        <f ca="1">IMAGE("https://m.media-amazon.com/images/I/71sENj2zxVL._AC_UL320_.jpg")</f>
        <v>#NAME?</v>
      </c>
      <c r="I4265" t="s">
        <v>8886</v>
      </c>
      <c r="J4265">
        <v>14.68</v>
      </c>
      <c r="K4265" s="2" t="s">
        <v>12077</v>
      </c>
      <c r="L4265">
        <v>4.7</v>
      </c>
      <c r="M4265">
        <v>3308</v>
      </c>
      <c r="O4265" t="s">
        <v>26</v>
      </c>
      <c r="P4265" t="s">
        <v>39</v>
      </c>
      <c r="Q4265" t="s">
        <v>9339</v>
      </c>
    </row>
    <row r="4266" spans="1:17" ht="15.75" x14ac:dyDescent="0.25">
      <c r="A4266" s="3" t="str">
        <f>HYPERLINK("https://shop.sonapharmacy.com/products/sunbum%C2%AE-original-spf-30-sunscreen-lotion", "https://shop.sonapharmacy.com/products/sunbum%C2%AE-original-spf-30-sunscreen-lotion")</f>
        <v>https://shop.sonapharmacy.com/products/sunbum%C2%AE-original-spf-30-sunscreen-lotion</v>
      </c>
      <c r="B4266" s="3" t="str">
        <f>HYPERLINK("https://shop.sonapharmacy.com/products/sunbum%c2%ae-original-spf-30-sunscreen-lotion", "https://shop.sonapharmacy.com/products/sunbum%c2%ae-original-spf-30-sunscreen-lotion")</f>
        <v>https://shop.sonapharmacy.com/products/sunbum%c2%ae-original-spf-30-sunscreen-lotion</v>
      </c>
      <c r="C4266" t="s">
        <v>10325</v>
      </c>
      <c r="D4266" t="s">
        <v>12078</v>
      </c>
      <c r="E4266" s="3" t="str">
        <f>HYPERLINK("https://www.amazon.com/Sun-Bum-Moisturizing-SPF-Hypoallergenic/dp/B004XGPMFA/ref=sr_1_1?keywords=Sun+Bum%C2%AE+Original+SPF+30+Sunscreen+Lotion&amp;qid=1695260773&amp;rdc=1&amp;sr=8-1", "https://www.amazon.com/Sun-Bum-Moisturizing-SPF-Hypoallergenic/dp/B004XGPMFA/ref=sr_1_1?keywords=Sun+Bum%C2%AE+Original+SPF+30+Sunscreen+Lotion&amp;qid=1695260773&amp;rdc=1&amp;sr=8-1")</f>
        <v>https://www.amazon.com/Sun-Bum-Moisturizing-SPF-Hypoallergenic/dp/B004XGPMFA/ref=sr_1_1?keywords=Sun+Bum%C2%AE+Original+SPF+30+Sunscreen+Lotion&amp;qid=1695260773&amp;rdc=1&amp;sr=8-1</v>
      </c>
      <c r="F4266" t="s">
        <v>12079</v>
      </c>
      <c r="G4266" t="e">
        <f ca="1">IMAGE("https://shop.sonapharmacy.com/cdn/shop/products/7112Mn16XDL._SL1500.jpg?v=1611869378")</f>
        <v>#NAME?</v>
      </c>
      <c r="H4266" t="e">
        <f ca="1">IMAGE("https://m.media-amazon.com/images/I/51r7EEM3paL._AC_UL320_.jpg")</f>
        <v>#NAME?</v>
      </c>
      <c r="I4266" t="s">
        <v>4873</v>
      </c>
      <c r="J4266">
        <v>16.489999999999998</v>
      </c>
      <c r="K4266" s="2" t="s">
        <v>12080</v>
      </c>
      <c r="L4266">
        <v>4.8</v>
      </c>
      <c r="M4266">
        <v>19197</v>
      </c>
      <c r="O4266" t="s">
        <v>26</v>
      </c>
      <c r="P4266" t="s">
        <v>39</v>
      </c>
      <c r="Q4266" t="s">
        <v>10329</v>
      </c>
    </row>
    <row r="4267" spans="1:17" ht="15.75" x14ac:dyDescent="0.25">
      <c r="A4267" s="3" t="str">
        <f>HYPERLINK("https://shop.sonapharmacy.com/products/mommys-bliss-original-gripe-water", "https://shop.sonapharmacy.com/products/mommys-bliss-original-gripe-water")</f>
        <v>https://shop.sonapharmacy.com/products/mommys-bliss-original-gripe-water</v>
      </c>
      <c r="B4267" s="3" t="str">
        <f>HYPERLINK("https://shop.sonapharmacy.com/products/mommys-bliss-original-gripe-water", "https://shop.sonapharmacy.com/products/mommys-bliss-original-gripe-water")</f>
        <v>https://shop.sonapharmacy.com/products/mommys-bliss-original-gripe-water</v>
      </c>
      <c r="C4267" t="s">
        <v>10605</v>
      </c>
      <c r="D4267" t="s">
        <v>12081</v>
      </c>
      <c r="E4267" s="3" t="str">
        <f>HYPERLINK("https://www.amazon.com/Mommys-Bliss-Double-Gripe-Water/dp/B00TDFID98/ref=sr_1_5?keywords=Mommy%27s+Bliss+Original+Gripe+Water&amp;qid=1695260479&amp;sr=8-5", "https://www.amazon.com/Mommys-Bliss-Double-Gripe-Water/dp/B00TDFID98/ref=sr_1_5?keywords=Mommy%27s+Bliss+Original+Gripe+Water&amp;qid=1695260479&amp;sr=8-5")</f>
        <v>https://www.amazon.com/Mommys-Bliss-Double-Gripe-Water/dp/B00TDFID98/ref=sr_1_5?keywords=Mommy%27s+Bliss+Original+Gripe+Water&amp;qid=1695260479&amp;sr=8-5</v>
      </c>
      <c r="F4267" t="s">
        <v>12082</v>
      </c>
      <c r="G4267" t="e">
        <f ca="1">IMAGE("https://shop.sonapharmacy.com/cdn/shop/products/Untitled-47.jpg?v=1592848167")</f>
        <v>#NAME?</v>
      </c>
      <c r="H4267" t="e">
        <f ca="1">IMAGE("https://m.media-amazon.com/images/I/91XLxXqKvGL._AC_UL320_.jpg")</f>
        <v>#NAME?</v>
      </c>
      <c r="I4267" t="s">
        <v>10608</v>
      </c>
      <c r="J4267">
        <v>22.39</v>
      </c>
      <c r="K4267" s="2" t="s">
        <v>12083</v>
      </c>
      <c r="L4267">
        <v>4.8</v>
      </c>
      <c r="M4267">
        <v>620</v>
      </c>
      <c r="O4267" t="s">
        <v>26</v>
      </c>
      <c r="P4267" t="s">
        <v>39</v>
      </c>
      <c r="Q4267" t="s">
        <v>10610</v>
      </c>
    </row>
    <row r="4268" spans="1:17" ht="15.75" x14ac:dyDescent="0.25">
      <c r="A4268" s="3" t="str">
        <f>HYPERLINK("https://shop.sonapharmacy.com/products/aveeno%C2%AE-daily-moisturizing-body-wash-12fl-oz", "https://shop.sonapharmacy.com/products/aveeno%C2%AE-daily-moisturizing-body-wash-12fl-oz")</f>
        <v>https://shop.sonapharmacy.com/products/aveeno%C2%AE-daily-moisturizing-body-wash-12fl-oz</v>
      </c>
      <c r="B4268" s="3" t="str">
        <f>HYPERLINK("https://shop.sonapharmacy.com/products/aveeno%c2%ae-daily-moisturizing-body-wash-12fl-oz", "https://shop.sonapharmacy.com/products/aveeno%c2%ae-daily-moisturizing-body-wash-12fl-oz")</f>
        <v>https://shop.sonapharmacy.com/products/aveeno%c2%ae-daily-moisturizing-body-wash-12fl-oz</v>
      </c>
      <c r="C4268" t="s">
        <v>8657</v>
      </c>
      <c r="D4268" t="s">
        <v>12084</v>
      </c>
      <c r="E4268" s="3" t="str">
        <f>HYPERLINK("https://www.amazon.com/Aveeno-Skin-Relief-Moisturizing-Lotion/dp/B0774PWF6N/ref=sr_1_5?keywords=Aveeno%C2%AE+Daily+Moisturizing+Body+Wash+12fl.+oz.&amp;qid=1695260037&amp;sr=8-5", "https://www.amazon.com/Aveeno-Skin-Relief-Moisturizing-Lotion/dp/B0774PWF6N/ref=sr_1_5?keywords=Aveeno%C2%AE+Daily+Moisturizing+Body+Wash+12fl.+oz.&amp;qid=1695260037&amp;sr=8-5")</f>
        <v>https://www.amazon.com/Aveeno-Skin-Relief-Moisturizing-Lotion/dp/B0774PWF6N/ref=sr_1_5?keywords=Aveeno%C2%AE+Daily+Moisturizing+Body+Wash+12fl.+oz.&amp;qid=1695260037&amp;sr=8-5</v>
      </c>
      <c r="F4268" t="s">
        <v>12085</v>
      </c>
      <c r="G4268" t="e">
        <f ca="1">IMAGE("https://shop.sonapharmacy.com/cdn/shop/products/ave_381370014188_dailymoist_bodywash_12oz_00000_1000w_1000h.jpg?v=1611191757")</f>
        <v>#NAME?</v>
      </c>
      <c r="H4268" t="e">
        <f ca="1">IMAGE("https://m.media-amazon.com/images/I/71PfrehsE-L._AC_UL320_.jpg")</f>
        <v>#NAME?</v>
      </c>
      <c r="I4268" t="s">
        <v>8660</v>
      </c>
      <c r="J4268">
        <v>15.14</v>
      </c>
      <c r="K4268" s="2" t="s">
        <v>12086</v>
      </c>
      <c r="L4268">
        <v>4.7</v>
      </c>
      <c r="M4268">
        <v>4622</v>
      </c>
      <c r="O4268" t="s">
        <v>136</v>
      </c>
      <c r="P4268" t="s">
        <v>39</v>
      </c>
      <c r="Q4268" t="s">
        <v>8662</v>
      </c>
    </row>
    <row r="4269" spans="1:17" ht="15.75" x14ac:dyDescent="0.25">
      <c r="A4269" s="3" t="str">
        <f>HYPERLINK("https://shop.sonapharmacy.com/products/dramamine%C2%AE-motion-sickness-relief-orange-flavor-chewable-tablets-8ct", "https://shop.sonapharmacy.com/products/dramamine%C2%AE-motion-sickness-relief-orange-flavor-chewable-tablets-8ct")</f>
        <v>https://shop.sonapharmacy.com/products/dramamine%C2%AE-motion-sickness-relief-orange-flavor-chewable-tablets-8ct</v>
      </c>
      <c r="B4269" s="3" t="str">
        <f>HYPERLINK("https://shop.sonapharmacy.com/products/dramamine%c2%ae-motion-sickness-relief-orange-flavor-chewable-tablets-8ct", "https://shop.sonapharmacy.com/products/dramamine%c2%ae-motion-sickness-relief-orange-flavor-chewable-tablets-8ct")</f>
        <v>https://shop.sonapharmacy.com/products/dramamine%c2%ae-motion-sickness-relief-orange-flavor-chewable-tablets-8ct</v>
      </c>
      <c r="C4269" t="s">
        <v>12087</v>
      </c>
      <c r="D4269" t="s">
        <v>12088</v>
      </c>
      <c r="E4269" s="3" t="str">
        <f>HYPERLINK("https://www.amazon.com/Dramamine-Sickness-Chewable-Tablets-Flavored/dp/B07BX3BVFQ/ref=sr_1_8?keywords=Dramamine%C2%AE+Motion+Sickness+Relief+Orange+Flavor+Chewable+Tablets+8ct.&amp;qid=1695260201&amp;sr=8-8", "https://www.amazon.com/Dramamine-Sickness-Chewable-Tablets-Flavored/dp/B07BX3BVFQ/ref=sr_1_8?keywords=Dramamine%C2%AE+Motion+Sickness+Relief+Orange+Flavor+Chewable+Tablets+8ct.&amp;qid=1695260201&amp;sr=8-8")</f>
        <v>https://www.amazon.com/Dramamine-Sickness-Chewable-Tablets-Flavored/dp/B07BX3BVFQ/ref=sr_1_8?keywords=Dramamine%C2%AE+Motion+Sickness+Relief+Orange+Flavor+Chewable+Tablets+8ct.&amp;qid=1695260201&amp;sr=8-8</v>
      </c>
      <c r="F4269" t="s">
        <v>12089</v>
      </c>
      <c r="G4269" t="e">
        <f ca="1">IMAGE("https://shop.sonapharmacy.com/cdn/shop/products/71ZPZn4VCHL._AC_SL1500.jpg?v=1610849677")</f>
        <v>#NAME?</v>
      </c>
      <c r="H4269" t="e">
        <f ca="1">IMAGE("https://m.media-amazon.com/images/I/61BZATVKFXL._AC_UL320_.jpg")</f>
        <v>#NAME?</v>
      </c>
      <c r="I4269" t="s">
        <v>8070</v>
      </c>
      <c r="J4269">
        <v>11.91</v>
      </c>
      <c r="K4269" s="2" t="s">
        <v>12090</v>
      </c>
      <c r="L4269">
        <v>5</v>
      </c>
      <c r="M4269">
        <v>27</v>
      </c>
      <c r="O4269" t="s">
        <v>26</v>
      </c>
      <c r="P4269" t="s">
        <v>39</v>
      </c>
      <c r="Q4269" t="s">
        <v>12091</v>
      </c>
    </row>
    <row r="4270" spans="1:17" ht="15.75" x14ac:dyDescent="0.25">
      <c r="A4270" s="3" t="str">
        <f>HYPERLINK("https://shop.sonapharmacy.com/products/major%C2%AE-mintox-maximum-strength-antacid", "https://shop.sonapharmacy.com/products/major%C2%AE-mintox-maximum-strength-antacid")</f>
        <v>https://shop.sonapharmacy.com/products/major%C2%AE-mintox-maximum-strength-antacid</v>
      </c>
      <c r="B4270" s="3" t="str">
        <f>HYPERLINK("https://shop.sonapharmacy.com/products/major%c2%ae-mintox-maximum-strength-antacid", "https://shop.sonapharmacy.com/products/major%c2%ae-mintox-maximum-strength-antacid")</f>
        <v>https://shop.sonapharmacy.com/products/major%c2%ae-mintox-maximum-strength-antacid</v>
      </c>
      <c r="C4270" t="s">
        <v>8635</v>
      </c>
      <c r="D4270" t="s">
        <v>12092</v>
      </c>
      <c r="E4270" s="3" t="str">
        <f>HYPERLINK("https://www.amazon.com/Maximum-Strength-Antacid-Anti-Gas-Generic/dp/B00NDDU0O2/ref=sr_1_3?keywords=Major%C2%AE+Mintox+Maximum+Strength+Antacid&amp;qid=1695260463&amp;sr=8-3", "https://www.amazon.com/Maximum-Strength-Antacid-Anti-Gas-Generic/dp/B00NDDU0O2/ref=sr_1_3?keywords=Major%C2%AE+Mintox+Maximum+Strength+Antacid&amp;qid=1695260463&amp;sr=8-3")</f>
        <v>https://www.amazon.com/Maximum-Strength-Antacid-Anti-Gas-Generic/dp/B00NDDU0O2/ref=sr_1_3?keywords=Major%C2%AE+Mintox+Maximum+Strength+Antacid&amp;qid=1695260463&amp;sr=8-3</v>
      </c>
      <c r="F4270" t="s">
        <v>12093</v>
      </c>
      <c r="G4270" t="e">
        <f ca="1">IMAGE("https://shop.sonapharmacy.com/cdn/shop/products/810nWLAG04L._AC_SL1500.jpg?v=1613748218")</f>
        <v>#NAME?</v>
      </c>
      <c r="H4270" t="e">
        <f ca="1">IMAGE("https://m.media-amazon.com/images/I/61gl+hAiYvL._AC_UL320_.jpg")</f>
        <v>#NAME?</v>
      </c>
      <c r="I4270" t="s">
        <v>8638</v>
      </c>
      <c r="J4270">
        <v>10</v>
      </c>
      <c r="K4270" s="2" t="s">
        <v>12094</v>
      </c>
      <c r="L4270">
        <v>4.8</v>
      </c>
      <c r="M4270">
        <v>17</v>
      </c>
      <c r="O4270" t="s">
        <v>26</v>
      </c>
      <c r="P4270" t="s">
        <v>39</v>
      </c>
      <c r="Q4270" t="s">
        <v>8640</v>
      </c>
    </row>
    <row r="4271" spans="1:17" ht="15.75" x14ac:dyDescent="0.25">
      <c r="A4271" s="3" t="str">
        <f>HYPERLINK("https://shop.sonapharmacy.com/products/amlactin%C2%AE-daily-moisturizing-body-lotion", "https://shop.sonapharmacy.com/products/amlactin%C2%AE-daily-moisturizing-body-lotion")</f>
        <v>https://shop.sonapharmacy.com/products/amlactin%C2%AE-daily-moisturizing-body-lotion</v>
      </c>
      <c r="B4271" s="3" t="str">
        <f>HYPERLINK("https://shop.sonapharmacy.com/products/amlactin%c2%ae-daily-moisturizing-body-lotion", "https://shop.sonapharmacy.com/products/amlactin%c2%ae-daily-moisturizing-body-lotion")</f>
        <v>https://shop.sonapharmacy.com/products/amlactin%c2%ae-daily-moisturizing-body-lotion</v>
      </c>
      <c r="C4271" t="s">
        <v>11054</v>
      </c>
      <c r="D4271" t="s">
        <v>12095</v>
      </c>
      <c r="E4271" s="3" t="str">
        <f>HYPERLINK("https://www.amazon.com/AmLactin-Moisturizing-Lotion-Bottles-Paraben/dp/B07BRT6L7G/ref=sr_1_1?keywords=AmLactin+Daily+Moisturizing+Body+Lotion&amp;qid=1695260004&amp;sr=8-1", "https://www.amazon.com/AmLactin-Moisturizing-Lotion-Bottles-Paraben/dp/B07BRT6L7G/ref=sr_1_1?keywords=AmLactin+Daily+Moisturizing+Body+Lotion&amp;qid=1695260004&amp;sr=8-1")</f>
        <v>https://www.amazon.com/AmLactin-Moisturizing-Lotion-Bottles-Paraben/dp/B07BRT6L7G/ref=sr_1_1?keywords=AmLactin+Daily+Moisturizing+Body+Lotion&amp;qid=1695260004&amp;sr=8-1</v>
      </c>
      <c r="F4271" t="s">
        <v>12096</v>
      </c>
      <c r="G4271" t="e">
        <f ca="1">IMAGE("https://shop.sonapharmacy.com/cdn/shop/products/043dc7fe-a480-4655-88db-8b40c338edbb_1.8cd1d0af8c994bebf80e2e186559c036.jpg?v=1611169026")</f>
        <v>#NAME?</v>
      </c>
      <c r="H4271" t="e">
        <f ca="1">IMAGE("https://m.media-amazon.com/images/I/61+46XtSrOL._AC_UL320_.jpg")</f>
        <v>#NAME?</v>
      </c>
      <c r="I4271" t="s">
        <v>9290</v>
      </c>
      <c r="J4271">
        <v>27.94</v>
      </c>
      <c r="K4271" s="2" t="s">
        <v>12097</v>
      </c>
      <c r="L4271">
        <v>4.4000000000000004</v>
      </c>
      <c r="M4271">
        <v>26596</v>
      </c>
      <c r="O4271" t="s">
        <v>26</v>
      </c>
      <c r="P4271" t="s">
        <v>39</v>
      </c>
      <c r="Q4271" t="s">
        <v>11058</v>
      </c>
    </row>
    <row r="4272" spans="1:17" ht="15.75" x14ac:dyDescent="0.25">
      <c r="A4272"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B4272"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C4272" t="s">
        <v>9018</v>
      </c>
      <c r="D4272" t="s">
        <v>12098</v>
      </c>
      <c r="E4272" s="3" t="str">
        <f>HYPERLINK("https://www.amazon.com/Degree-Shower-Protection-Antiperspirant-Deodorant/dp/B01IAF0RZY/ref=sr_1_2?keywords=Degree%C2%AE+Shower+Clean+Dry+Protection+Antiperspirant+Deodorant+Stick&amp;qid=1695260181&amp;sr=8-2", "https://www.amazon.com/Degree-Shower-Protection-Antiperspirant-Deodorant/dp/B01IAF0RZY/ref=sr_1_2?keywords=Degree%C2%AE+Shower+Clean+Dry+Protection+Antiperspirant+Deodorant+Stick&amp;qid=1695260181&amp;sr=8-2")</f>
        <v>https://www.amazon.com/Degree-Shower-Protection-Antiperspirant-Deodorant/dp/B01IAF0RZY/ref=sr_1_2?keywords=Degree%C2%AE+Shower+Clean+Dry+Protection+Antiperspirant+Deodorant+Stick&amp;qid=1695260181&amp;sr=8-2</v>
      </c>
      <c r="F4272" t="s">
        <v>12099</v>
      </c>
      <c r="G4272" t="e">
        <f ca="1">IMAGE("https://shop.sonapharmacy.com/cdn/shop/products/DegreeShowerFront.png?v=1607052182")</f>
        <v>#NAME?</v>
      </c>
      <c r="H4272" t="e">
        <f ca="1">IMAGE("https://m.media-amazon.com/images/I/51sDWB5Xx7L._AC_UL320_.jpg")</f>
        <v>#NAME?</v>
      </c>
      <c r="I4272" t="s">
        <v>8264</v>
      </c>
      <c r="J4272">
        <v>8.1</v>
      </c>
      <c r="K4272" s="2" t="s">
        <v>12100</v>
      </c>
      <c r="L4272">
        <v>4.5999999999999996</v>
      </c>
      <c r="M4272">
        <v>579</v>
      </c>
      <c r="O4272" t="s">
        <v>26</v>
      </c>
      <c r="P4272" t="s">
        <v>39</v>
      </c>
      <c r="Q4272" t="s">
        <v>9022</v>
      </c>
    </row>
    <row r="4273" spans="1:17" ht="15.75" x14ac:dyDescent="0.25">
      <c r="A4273" s="3" t="str">
        <f>HYPERLINK("https://shop.sonapharmacy.com/products/compound-w%C2%AE-wart-remover-maximum-strength-fast-acting-gel-0-25oz", "https://shop.sonapharmacy.com/products/compound-w%C2%AE-wart-remover-maximum-strength-fast-acting-gel-0-25oz")</f>
        <v>https://shop.sonapharmacy.com/products/compound-w%C2%AE-wart-remover-maximum-strength-fast-acting-gel-0-25oz</v>
      </c>
      <c r="B4273" s="3" t="str">
        <f>HYPERLINK("https://shop.sonapharmacy.com/products/compound-w%c2%ae-wart-remover-maximum-strength-fast-acting-gel-0-25oz", "https://shop.sonapharmacy.com/products/compound-w%c2%ae-wart-remover-maximum-strength-fast-acting-gel-0-25oz")</f>
        <v>https://shop.sonapharmacy.com/products/compound-w%c2%ae-wart-remover-maximum-strength-fast-acting-gel-0-25oz</v>
      </c>
      <c r="C4273" t="s">
        <v>12101</v>
      </c>
      <c r="D4273" t="s">
        <v>12021</v>
      </c>
      <c r="E4273" s="3" t="str">
        <f>HYPERLINK("https://www.amazon.com/Compound-Remover-Strength-Fast-Acting-0-31-Ounce/dp/B001G7QREO/ref=sr_1_5?keywords=Compound+W%C2%AE+Wart+Remover+Maximum+Strength+Fast+Acting+Gel+0.25oz.&amp;qid=1695260161&amp;sr=8-5", "https://www.amazon.com/Compound-Remover-Strength-Fast-Acting-0-31-Ounce/dp/B001G7QREO/ref=sr_1_5?keywords=Compound+W%C2%AE+Wart+Remover+Maximum+Strength+Fast+Acting+Gel+0.25oz.&amp;qid=1695260161&amp;sr=8-5")</f>
        <v>https://www.amazon.com/Compound-Remover-Strength-Fast-Acting-0-31-Ounce/dp/B001G7QREO/ref=sr_1_5?keywords=Compound+W%C2%AE+Wart+Remover+Maximum+Strength+Fast+Acting+Gel+0.25oz.&amp;qid=1695260161&amp;sr=8-5</v>
      </c>
      <c r="F4273" t="s">
        <v>12022</v>
      </c>
      <c r="G4273" t="e">
        <f ca="1">IMAGE("https://shop.sonapharmacy.com/cdn/shop/products/71dwPZ9ywDL._AC_SL1500.jpg?v=1610313629")</f>
        <v>#NAME?</v>
      </c>
      <c r="H4273" t="e">
        <f ca="1">IMAGE("https://m.media-amazon.com/images/I/61uqxxKz6iL._AC_UL320_.jpg")</f>
        <v>#NAME?</v>
      </c>
      <c r="I4273" t="s">
        <v>9258</v>
      </c>
      <c r="J4273">
        <v>19.649999999999999</v>
      </c>
      <c r="K4273" s="2" t="s">
        <v>12102</v>
      </c>
      <c r="L4273">
        <v>4.4000000000000004</v>
      </c>
      <c r="M4273">
        <v>142</v>
      </c>
      <c r="O4273" t="s">
        <v>26</v>
      </c>
      <c r="P4273" t="s">
        <v>39</v>
      </c>
      <c r="Q4273" t="s">
        <v>12103</v>
      </c>
    </row>
    <row r="4274" spans="1:17" ht="15.75" x14ac:dyDescent="0.25">
      <c r="A4274" s="3" t="str">
        <f>HYPERLINK("https://shop.sonapharmacy.com/products/colace-2-in-1-stool-softener-stimulant-laxative", "https://shop.sonapharmacy.com/products/colace-2-in-1-stool-softener-stimulant-laxative")</f>
        <v>https://shop.sonapharmacy.com/products/colace-2-in-1-stool-softener-stimulant-laxative</v>
      </c>
      <c r="B4274" s="3" t="str">
        <f>HYPERLINK("https://shop.sonapharmacy.com/products/colace-2-in-1-stool-softener-stimulant-laxative", "https://shop.sonapharmacy.com/products/colace-2-in-1-stool-softener-stimulant-laxative")</f>
        <v>https://shop.sonapharmacy.com/products/colace-2-in-1-stool-softener-stimulant-laxative</v>
      </c>
      <c r="C4274" t="s">
        <v>8457</v>
      </c>
      <c r="D4274" t="s">
        <v>12104</v>
      </c>
      <c r="E4274" s="3" t="str">
        <f>HYPERLINK("https://www.amazon.com/Softener-Stimulant-Laxative-Tablets-Constipation/dp/B003D3OF7U/ref=sr_1_5?keywords=Colace%C2%AE+2-IN-1+Stool+Softener+%2B+Stimulant+Laxative&amp;qid=1695260155&amp;sr=8-5", "https://www.amazon.com/Softener-Stimulant-Laxative-Tablets-Constipation/dp/B003D3OF7U/ref=sr_1_5?keywords=Colace%C2%AE+2-IN-1+Stool+Softener+%2B+Stimulant+Laxative&amp;qid=1695260155&amp;sr=8-5")</f>
        <v>https://www.amazon.com/Softener-Stimulant-Laxative-Tablets-Constipation/dp/B003D3OF7U/ref=sr_1_5?keywords=Colace%C2%AE+2-IN-1+Stool+Softener+%2B+Stimulant+Laxative&amp;qid=1695260155&amp;sr=8-5</v>
      </c>
      <c r="F4274" t="s">
        <v>12105</v>
      </c>
      <c r="G4274" t="e">
        <f ca="1">IMAGE("https://shop.sonapharmacy.com/cdn/shop/products/Colace2-IN-1Front.png?v=1606927041")</f>
        <v>#NAME?</v>
      </c>
      <c r="H4274" t="e">
        <f ca="1">IMAGE("https://m.media-amazon.com/images/I/71woqabTptL._AC_UL320_.jpg")</f>
        <v>#NAME?</v>
      </c>
      <c r="I4274" t="s">
        <v>8460</v>
      </c>
      <c r="J4274">
        <v>25.99</v>
      </c>
      <c r="K4274" s="2" t="s">
        <v>12106</v>
      </c>
      <c r="L4274">
        <v>4.5999999999999996</v>
      </c>
      <c r="M4274">
        <v>213</v>
      </c>
      <c r="O4274" t="s">
        <v>26</v>
      </c>
      <c r="P4274" t="s">
        <v>39</v>
      </c>
      <c r="Q4274" t="s">
        <v>8462</v>
      </c>
    </row>
    <row r="4275" spans="1:17" ht="15.75" x14ac:dyDescent="0.25">
      <c r="A4275" s="3" t="str">
        <f>HYPERLINK("https://shop.sonapharmacy.com/products/colace-2-in-1-stool-softener-stimulant-laxative", "https://shop.sonapharmacy.com/products/colace-2-in-1-stool-softener-stimulant-laxative")</f>
        <v>https://shop.sonapharmacy.com/products/colace-2-in-1-stool-softener-stimulant-laxative</v>
      </c>
      <c r="B4275" s="3" t="str">
        <f>HYPERLINK("https://shop.sonapharmacy.com/products/colace-2-in-1-stool-softener-stimulant-laxative", "https://shop.sonapharmacy.com/products/colace-2-in-1-stool-softener-stimulant-laxative")</f>
        <v>https://shop.sonapharmacy.com/products/colace-2-in-1-stool-softener-stimulant-laxative</v>
      </c>
      <c r="C4275" t="s">
        <v>8457</v>
      </c>
      <c r="D4275" t="s">
        <v>12104</v>
      </c>
      <c r="E4275" s="3" t="str">
        <f>HYPERLINK("https://www.amazon.com/Softener-Stimulant-Laxative-Tablets-Constipation/dp/B0166NL0U8/ref=sr_1_9?keywords=Colace%C2%AE+2-IN-1+Stool+Softener+%2B+Stimulant+Laxative&amp;qid=1695260155&amp;sr=8-9", "https://www.amazon.com/Softener-Stimulant-Laxative-Tablets-Constipation/dp/B0166NL0U8/ref=sr_1_9?keywords=Colace%C2%AE+2-IN-1+Stool+Softener+%2B+Stimulant+Laxative&amp;qid=1695260155&amp;sr=8-9")</f>
        <v>https://www.amazon.com/Softener-Stimulant-Laxative-Tablets-Constipation/dp/B0166NL0U8/ref=sr_1_9?keywords=Colace%C2%AE+2-IN-1+Stool+Softener+%2B+Stimulant+Laxative&amp;qid=1695260155&amp;sr=8-9</v>
      </c>
      <c r="F4275" t="s">
        <v>12107</v>
      </c>
      <c r="G4275" t="e">
        <f ca="1">IMAGE("https://shop.sonapharmacy.com/cdn/shop/products/Colace2-IN-1Front.png?v=1606927041")</f>
        <v>#NAME?</v>
      </c>
      <c r="H4275" t="e">
        <f ca="1">IMAGE("https://m.media-amazon.com/images/I/91qYnUOs5vL._AC_UL320_.jpg")</f>
        <v>#NAME?</v>
      </c>
      <c r="I4275" t="s">
        <v>8460</v>
      </c>
      <c r="J4275">
        <v>25.99</v>
      </c>
      <c r="K4275" s="2" t="s">
        <v>12106</v>
      </c>
      <c r="L4275">
        <v>4.7</v>
      </c>
      <c r="M4275">
        <v>8</v>
      </c>
      <c r="O4275" t="s">
        <v>26</v>
      </c>
      <c r="P4275" t="s">
        <v>39</v>
      </c>
      <c r="Q4275" t="s">
        <v>8462</v>
      </c>
    </row>
    <row r="4276" spans="1:17" ht="15.75" x14ac:dyDescent="0.25">
      <c r="A4276" s="3" t="str">
        <f>HYPERLINK("https://shop.sonapharmacy.com/products/flonase-allergy-relief-spray", "https://shop.sonapharmacy.com/products/flonase-allergy-relief-spray")</f>
        <v>https://shop.sonapharmacy.com/products/flonase-allergy-relief-spray</v>
      </c>
      <c r="B4276" s="3" t="str">
        <f>HYPERLINK("https://shop.sonapharmacy.com/products/flonase-allergy-relief-spray", "https://shop.sonapharmacy.com/products/flonase-allergy-relief-spray")</f>
        <v>https://shop.sonapharmacy.com/products/flonase-allergy-relief-spray</v>
      </c>
      <c r="C4276" t="s">
        <v>12108</v>
      </c>
      <c r="D4276" t="s">
        <v>12109</v>
      </c>
      <c r="E4276" s="3" t="str">
        <f>HYPERLINK("https://www.amazon.com/Amazon-Basic-Care-Glucocorticoid-Non-Drowsy-62/dp/B098PXW3NK/ref=sr_1_7?keywords=Flonase%C2%AE+Allergy+Relief+Spray&amp;qid=1695260276&amp;sr=8-7", "https://www.amazon.com/Amazon-Basic-Care-Glucocorticoid-Non-Drowsy-62/dp/B098PXW3NK/ref=sr_1_7?keywords=Flonase%C2%AE+Allergy+Relief+Spray&amp;qid=1695260276&amp;sr=8-7")</f>
        <v>https://www.amazon.com/Amazon-Basic-Care-Glucocorticoid-Non-Drowsy-62/dp/B098PXW3NK/ref=sr_1_7?keywords=Flonase%C2%AE+Allergy+Relief+Spray&amp;qid=1695260276&amp;sr=8-7</v>
      </c>
      <c r="F4276" t="s">
        <v>12110</v>
      </c>
      <c r="G4276" t="e">
        <f ca="1">IMAGE("https://shop.sonapharmacy.com/cdn/shop/products/81W9dcRd7bL._AC_SL1500.jpg?v=1611864793")</f>
        <v>#NAME?</v>
      </c>
      <c r="H4276" t="e">
        <f ca="1">IMAGE("https://m.media-amazon.com/images/I/71c1BrLVZZL._AC_UL320_.jpg")</f>
        <v>#NAME?</v>
      </c>
      <c r="I4276" t="s">
        <v>11894</v>
      </c>
      <c r="J4276">
        <v>31.78</v>
      </c>
      <c r="K4276" s="2" t="s">
        <v>12106</v>
      </c>
      <c r="L4276">
        <v>4.7</v>
      </c>
      <c r="M4276">
        <v>21846</v>
      </c>
      <c r="O4276" t="s">
        <v>26</v>
      </c>
      <c r="P4276" t="s">
        <v>39</v>
      </c>
      <c r="Q4276" t="s">
        <v>12111</v>
      </c>
    </row>
    <row r="4277" spans="1:17" ht="15.75" x14ac:dyDescent="0.25">
      <c r="A4277" s="3" t="str">
        <f>HYPERLINK("https://shop.sonapharmacy.com/products/itch-x-fast-acting-anti-itch-gel-1-25-oz", "https://shop.sonapharmacy.com/products/itch-x-fast-acting-anti-itch-gel-1-25-oz")</f>
        <v>https://shop.sonapharmacy.com/products/itch-x-fast-acting-anti-itch-gel-1-25-oz</v>
      </c>
      <c r="B4277" s="3" t="str">
        <f>HYPERLINK("https://shop.sonapharmacy.com/products/itch-x-fast-acting-anti-itch-gel-1-25-oz", "https://shop.sonapharmacy.com/products/itch-x-fast-acting-anti-itch-gel-1-25-oz")</f>
        <v>https://shop.sonapharmacy.com/products/itch-x-fast-acting-anti-itch-gel-1-25-oz</v>
      </c>
      <c r="C4277" t="s">
        <v>11019</v>
      </c>
      <c r="D4277" t="s">
        <v>12112</v>
      </c>
      <c r="E4277" s="3" t="str">
        <f>HYPERLINK("https://www.amazon.com/2486925-788802-Anti-Itch-1-25oz-Ascher/dp/B00D62ZLM6/ref=sr_1_3?keywords=Itch-X+Fast-Acting+Anti-Itch+Gel+1.25+Oz&amp;qid=1695260411&amp;sr=8-3", "https://www.amazon.com/2486925-788802-Anti-Itch-1-25oz-Ascher/dp/B00D62ZLM6/ref=sr_1_3?keywords=Itch-X+Fast-Acting+Anti-Itch+Gel+1.25+Oz&amp;qid=1695260411&amp;sr=8-3")</f>
        <v>https://www.amazon.com/2486925-788802-Anti-Itch-1-25oz-Ascher/dp/B00D62ZLM6/ref=sr_1_3?keywords=Itch-X+Fast-Acting+Anti-Itch+Gel+1.25+Oz&amp;qid=1695260411&amp;sr=8-3</v>
      </c>
      <c r="F4277" t="s">
        <v>12113</v>
      </c>
      <c r="G4277" t="e">
        <f ca="1">IMAGE("https://shop.sonapharmacy.com/cdn/shop/products/db6281f4-f805-40d2-92d5-a65448263c5c.b3064e9fb6e9b172ae31ad23b3be0b2c.jpg?v=1607966605")</f>
        <v>#NAME?</v>
      </c>
      <c r="H4277" t="e">
        <f ca="1">IMAGE("https://m.media-amazon.com/images/I/31MZUTD-XiL._AC_UL320_.jpg")</f>
        <v>#NAME?</v>
      </c>
      <c r="I4277" t="s">
        <v>8963</v>
      </c>
      <c r="J4277">
        <v>9.7799999999999994</v>
      </c>
      <c r="K4277" s="2" t="s">
        <v>12114</v>
      </c>
      <c r="L4277">
        <v>5</v>
      </c>
      <c r="M4277">
        <v>3</v>
      </c>
      <c r="O4277" t="s">
        <v>26</v>
      </c>
      <c r="P4277" t="s">
        <v>39</v>
      </c>
      <c r="Q4277" t="s">
        <v>11023</v>
      </c>
    </row>
    <row r="4278" spans="1:17" ht="15.75" x14ac:dyDescent="0.25">
      <c r="A4278" s="3" t="str">
        <f>HYPERLINK("https://shop.sonapharmacy.com/products/dentemp%C2%AE-loose-cap-lost-filling-repair", "https://shop.sonapharmacy.com/products/dentemp%C2%AE-loose-cap-lost-filling-repair")</f>
        <v>https://shop.sonapharmacy.com/products/dentemp%C2%AE-loose-cap-lost-filling-repair</v>
      </c>
      <c r="B4278" s="3" t="str">
        <f>HYPERLINK("https://shop.sonapharmacy.com/products/dentemp%c2%ae-loose-cap-lost-filling-repair", "https://shop.sonapharmacy.com/products/dentemp%c2%ae-loose-cap-lost-filling-repair")</f>
        <v>https://shop.sonapharmacy.com/products/dentemp%c2%ae-loose-cap-lost-filling-repair</v>
      </c>
      <c r="C4278" t="s">
        <v>9593</v>
      </c>
      <c r="D4278" t="s">
        <v>12115</v>
      </c>
      <c r="E4278" s="3" t="str">
        <f>HYPERLINK("https://www.amazon.com/Dentemp-Repair-Fillings-Loose-Strength/dp/B00NFUBV32/ref=sr_1_1?keywords=Dentemp%C2%AE+Loose+Cap+%26+Lost+Filling+Repair&amp;qid=1695260175&amp;sr=8-1", "https://www.amazon.com/Dentemp-Repair-Fillings-Loose-Strength/dp/B00NFUBV32/ref=sr_1_1?keywords=Dentemp%C2%AE+Loose+Cap+%26+Lost+Filling+Repair&amp;qid=1695260175&amp;sr=8-1")</f>
        <v>https://www.amazon.com/Dentemp-Repair-Fillings-Loose-Strength/dp/B00NFUBV32/ref=sr_1_1?keywords=Dentemp%C2%AE+Loose+Cap+%26+Lost+Filling+Repair&amp;qid=1695260175&amp;sr=8-1</v>
      </c>
      <c r="F4278" t="s">
        <v>12116</v>
      </c>
      <c r="G4278" t="e">
        <f ca="1">IMAGE("https://shop.sonapharmacy.com/cdn/shop/products/dentemp-loose-cap-lost-filling.jpg?v=1608570207")</f>
        <v>#NAME?</v>
      </c>
      <c r="H4278" t="e">
        <f ca="1">IMAGE("https://m.media-amazon.com/images/I/81Rz9875EOL._AC_UL320_.jpg")</f>
        <v>#NAME?</v>
      </c>
      <c r="I4278" t="s">
        <v>9241</v>
      </c>
      <c r="J4278">
        <v>9.68</v>
      </c>
      <c r="K4278" s="2" t="s">
        <v>12117</v>
      </c>
      <c r="L4278">
        <v>4</v>
      </c>
      <c r="M4278">
        <v>125</v>
      </c>
      <c r="O4278" t="s">
        <v>26</v>
      </c>
      <c r="P4278" t="s">
        <v>39</v>
      </c>
      <c r="Q4278" t="s">
        <v>9597</v>
      </c>
    </row>
    <row r="4279" spans="1:17" ht="15.75" x14ac:dyDescent="0.25">
      <c r="A4279" s="3" t="str">
        <f>HYPERLINK("https://shop.sonapharmacy.com/products/goodsense%C2%AE-flexible-fabric-bandages", "https://shop.sonapharmacy.com/products/goodsense%C2%AE-flexible-fabric-bandages")</f>
        <v>https://shop.sonapharmacy.com/products/goodsense%C2%AE-flexible-fabric-bandages</v>
      </c>
      <c r="B4279" s="3" t="str">
        <f>HYPERLINK("https://shop.sonapharmacy.com/products/goodsense%c2%ae-flexible-fabric-bandages", "https://shop.sonapharmacy.com/products/goodsense%c2%ae-flexible-fabric-bandages")</f>
        <v>https://shop.sonapharmacy.com/products/goodsense%c2%ae-flexible-fabric-bandages</v>
      </c>
      <c r="C4279" t="s">
        <v>9244</v>
      </c>
      <c r="D4279" t="s">
        <v>12118</v>
      </c>
      <c r="E4279" s="3" t="str">
        <f>HYPERLINK("https://www.amazon.com/Band-Aid-Adhesvie-Bandages-Flexible-Fabric/dp/B00570JWGQ/ref=sr_1_8?keywords=GoodSense%C2%AE+Flexible+Fabric+Bandages&amp;qid=1695260315&amp;sr=8-8", "https://www.amazon.com/Band-Aid-Adhesvie-Bandages-Flexible-Fabric/dp/B00570JWGQ/ref=sr_1_8?keywords=GoodSense%C2%AE+Flexible+Fabric+Bandages&amp;qid=1695260315&amp;sr=8-8")</f>
        <v>https://www.amazon.com/Band-Aid-Adhesvie-Bandages-Flexible-Fabric/dp/B00570JWGQ/ref=sr_1_8?keywords=GoodSense%C2%AE+Flexible+Fabric+Bandages&amp;qid=1695260315&amp;sr=8-8</v>
      </c>
      <c r="F4279" t="s">
        <v>12119</v>
      </c>
      <c r="G4279" t="e">
        <f ca="1">IMAGE("https://shop.sonapharmacy.com/cdn/shop/products/146894.jpg?v=1607809318")</f>
        <v>#NAME?</v>
      </c>
      <c r="H4279" t="e">
        <f ca="1">IMAGE("https://m.media-amazon.com/images/I/81uWcnNvGJL._AC_UL320_.jpg")</f>
        <v>#NAME?</v>
      </c>
      <c r="I4279" t="s">
        <v>9247</v>
      </c>
      <c r="J4279">
        <v>7.16</v>
      </c>
      <c r="K4279" s="2" t="s">
        <v>12120</v>
      </c>
      <c r="L4279">
        <v>4.7</v>
      </c>
      <c r="M4279">
        <v>3803</v>
      </c>
      <c r="O4279" t="s">
        <v>26</v>
      </c>
      <c r="P4279" t="s">
        <v>39</v>
      </c>
      <c r="Q4279" t="s">
        <v>9249</v>
      </c>
    </row>
    <row r="4280" spans="1:17" ht="15.75" x14ac:dyDescent="0.25">
      <c r="A4280" s="3" t="str">
        <f>HYPERLINK("https://shop.sonapharmacy.com/products/arnicare%C2%AE-pain-relief-tablets-60ct", "https://shop.sonapharmacy.com/products/arnicare%C2%AE-pain-relief-tablets-60ct")</f>
        <v>https://shop.sonapharmacy.com/products/arnicare%C2%AE-pain-relief-tablets-60ct</v>
      </c>
      <c r="B4280" s="3" t="str">
        <f>HYPERLINK("https://shop.sonapharmacy.com/products/arnicare%c2%ae-pain-relief-tablets-60ct", "https://shop.sonapharmacy.com/products/arnicare%c2%ae-pain-relief-tablets-60ct")</f>
        <v>https://shop.sonapharmacy.com/products/arnicare%c2%ae-pain-relief-tablets-60ct</v>
      </c>
      <c r="C4280" t="s">
        <v>12121</v>
      </c>
      <c r="D4280" t="s">
        <v>12122</v>
      </c>
      <c r="E4280" s="3" t="str">
        <f>HYPERLINK("https://www.amazon.com/Boiron-Arnicare-Homeopathic-Stiffness-Non-Drowsy/dp/B08DQL5N5D/ref=sr_1_5?keywords=Arnicare+Pain+Relief+Tablets+60ct.&amp;qid=1695260026&amp;sr=8-5", "https://www.amazon.com/Boiron-Arnicare-Homeopathic-Stiffness-Non-Drowsy/dp/B08DQL5N5D/ref=sr_1_5?keywords=Arnicare+Pain+Relief+Tablets+60ct.&amp;qid=1695260026&amp;sr=8-5")</f>
        <v>https://www.amazon.com/Boiron-Arnicare-Homeopathic-Stiffness-Non-Drowsy/dp/B08DQL5N5D/ref=sr_1_5?keywords=Arnicare+Pain+Relief+Tablets+60ct.&amp;qid=1695260026&amp;sr=8-5</v>
      </c>
      <c r="F4280" t="s">
        <v>12123</v>
      </c>
      <c r="G4280" t="e">
        <f ca="1">IMAGE("https://shop.sonapharmacy.com/cdn/shop/products/61TmNv8oJCL._AC_SL1000.jpg?v=1611029881")</f>
        <v>#NAME?</v>
      </c>
      <c r="H4280" t="e">
        <f ca="1">IMAGE("https://m.media-amazon.com/images/I/61OmmcC75kL._AC_UL320_.jpg")</f>
        <v>#NAME?</v>
      </c>
      <c r="I4280" t="s">
        <v>11793</v>
      </c>
      <c r="J4280">
        <v>21.18</v>
      </c>
      <c r="K4280" s="2" t="s">
        <v>12124</v>
      </c>
      <c r="L4280">
        <v>4.5999999999999996</v>
      </c>
      <c r="M4280">
        <v>713</v>
      </c>
      <c r="O4280" t="s">
        <v>26</v>
      </c>
      <c r="P4280" t="s">
        <v>39</v>
      </c>
      <c r="Q4280" t="s">
        <v>12125</v>
      </c>
    </row>
    <row r="4281" spans="1:17" ht="15.75" x14ac:dyDescent="0.25">
      <c r="A4281" s="3" t="str">
        <f>HYPERLINK("https://shop.sonapharmacy.com/products/arnicare%C2%AE-pain-relief-tablets-60ct", "https://shop.sonapharmacy.com/products/arnicare%C2%AE-pain-relief-tablets-60ct")</f>
        <v>https://shop.sonapharmacy.com/products/arnicare%C2%AE-pain-relief-tablets-60ct</v>
      </c>
      <c r="B4281" s="3" t="str">
        <f>HYPERLINK("https://shop.sonapharmacy.com/products/arnicare%c2%ae-pain-relief-tablets-60ct", "https://shop.sonapharmacy.com/products/arnicare%c2%ae-pain-relief-tablets-60ct")</f>
        <v>https://shop.sonapharmacy.com/products/arnicare%c2%ae-pain-relief-tablets-60ct</v>
      </c>
      <c r="C4281" t="s">
        <v>12121</v>
      </c>
      <c r="D4281" t="s">
        <v>12126</v>
      </c>
      <c r="E4281" s="3" t="str">
        <f>HYPERLINK("https://www.amazon.com/Boiron-Arthritis-Homeopathic-Rheumatic-Non-Drowsy/dp/B08DQQC68G/ref=sr_1_4?keywords=Arnicare+Pain+Relief+Tablets+60ct.&amp;qid=1695260026&amp;sr=8-4", "https://www.amazon.com/Boiron-Arthritis-Homeopathic-Rheumatic-Non-Drowsy/dp/B08DQQC68G/ref=sr_1_4?keywords=Arnicare+Pain+Relief+Tablets+60ct.&amp;qid=1695260026&amp;sr=8-4")</f>
        <v>https://www.amazon.com/Boiron-Arthritis-Homeopathic-Rheumatic-Non-Drowsy/dp/B08DQQC68G/ref=sr_1_4?keywords=Arnicare+Pain+Relief+Tablets+60ct.&amp;qid=1695260026&amp;sr=8-4</v>
      </c>
      <c r="F4281" t="s">
        <v>12127</v>
      </c>
      <c r="G4281" t="e">
        <f ca="1">IMAGE("https://shop.sonapharmacy.com/cdn/shop/products/61TmNv8oJCL._AC_SL1000.jpg?v=1611029881")</f>
        <v>#NAME?</v>
      </c>
      <c r="H4281" t="e">
        <f ca="1">IMAGE("https://m.media-amazon.com/images/I/71+NWCKNcGL._AC_UL320_.jpg")</f>
        <v>#NAME?</v>
      </c>
      <c r="I4281" t="s">
        <v>11793</v>
      </c>
      <c r="J4281">
        <v>21.18</v>
      </c>
      <c r="K4281" s="2" t="s">
        <v>12124</v>
      </c>
      <c r="L4281">
        <v>4.4000000000000004</v>
      </c>
      <c r="M4281">
        <v>412</v>
      </c>
      <c r="O4281" t="s">
        <v>26</v>
      </c>
      <c r="P4281" t="s">
        <v>39</v>
      </c>
      <c r="Q4281" t="s">
        <v>12125</v>
      </c>
    </row>
    <row r="4282" spans="1:17" ht="15.75" x14ac:dyDescent="0.25">
      <c r="A4282" s="3" t="str">
        <f>HYPERLINK("https://shop.sonapharmacy.com/products/schiff-megared-superior-omega-3-krill-oil", "https://shop.sonapharmacy.com/products/schiff-megared-superior-omega-3-krill-oil")</f>
        <v>https://shop.sonapharmacy.com/products/schiff-megared-superior-omega-3-krill-oil</v>
      </c>
      <c r="B4282" s="3" t="str">
        <f>HYPERLINK("https://shop.sonapharmacy.com/products/schiff-megared-superior-omega-3-krill-oil", "https://shop.sonapharmacy.com/products/schiff-megared-superior-omega-3-krill-oil")</f>
        <v>https://shop.sonapharmacy.com/products/schiff-megared-superior-omega-3-krill-oil</v>
      </c>
      <c r="C4282" t="s">
        <v>12128</v>
      </c>
      <c r="D4282" t="s">
        <v>12129</v>
      </c>
      <c r="E4282" s="3" t="str">
        <f>HYPERLINK("https://www.amazon.com/Megared-Supplement-Strength-Softgels-Aftertaste/dp/B00HQ0D2C0/ref=sr_1_6?keywords=Schiff+MegaRed+Superior+Omega-3+Krill+Oil&amp;qid=1695260726&amp;sr=8-6", "https://www.amazon.com/Megared-Supplement-Strength-Softgels-Aftertaste/dp/B00HQ0D2C0/ref=sr_1_6?keywords=Schiff+MegaRed+Superior+Omega-3+Krill+Oil&amp;qid=1695260726&amp;sr=8-6")</f>
        <v>https://www.amazon.com/Megared-Supplement-Strength-Softgels-Aftertaste/dp/B00HQ0D2C0/ref=sr_1_6?keywords=Schiff+MegaRed+Superior+Omega-3+Krill+Oil&amp;qid=1695260726&amp;sr=8-6</v>
      </c>
      <c r="F4282" t="s">
        <v>12130</v>
      </c>
      <c r="G4282" t="e">
        <f ca="1">IMAGE("https://shop.sonapharmacy.com/cdn/shop/products/SchiffMegaRedSuperiorOmega-3KrillOil.jpg?v=1594994428")</f>
        <v>#NAME?</v>
      </c>
      <c r="H4282" t="e">
        <f ca="1">IMAGE("https://m.media-amazon.com/images/I/81nDnEyGLqL._AC_UL320_.jpg")</f>
        <v>#NAME?</v>
      </c>
      <c r="I4282" t="s">
        <v>12131</v>
      </c>
      <c r="J4282">
        <v>57.25</v>
      </c>
      <c r="K4282" s="2" t="s">
        <v>12132</v>
      </c>
      <c r="L4282">
        <v>4.8</v>
      </c>
      <c r="M4282">
        <v>256</v>
      </c>
      <c r="O4282" t="s">
        <v>26</v>
      </c>
      <c r="P4282" t="s">
        <v>39</v>
      </c>
      <c r="Q4282" t="s">
        <v>12133</v>
      </c>
    </row>
    <row r="4283" spans="1:17" ht="15.75" x14ac:dyDescent="0.25">
      <c r="A4283" s="3" t="str">
        <f>HYPERLINK("https://shop.sonapharmacy.com/products/listerine%C2%AE-total-care-mouthwash", "https://shop.sonapharmacy.com/products/listerine%C2%AE-total-care-mouthwash")</f>
        <v>https://shop.sonapharmacy.com/products/listerine%C2%AE-total-care-mouthwash</v>
      </c>
      <c r="B4283" s="3" t="str">
        <f>HYPERLINK("https://shop.sonapharmacy.com/products/listerine%c2%ae-total-care-mouthwash", "https://shop.sonapharmacy.com/products/listerine%c2%ae-total-care-mouthwash")</f>
        <v>https://shop.sonapharmacy.com/products/listerine%c2%ae-total-care-mouthwash</v>
      </c>
      <c r="C4283" t="s">
        <v>8810</v>
      </c>
      <c r="D4283" t="s">
        <v>12134</v>
      </c>
      <c r="E4283" s="3" t="str">
        <f>HYPERLINK("https://www.amazon.com/Listerine-Anticavity-Mouthwash-Alcohol-Free-Convenience/dp/B0C3MYB4P6/ref=sr_1_4?keywords=Listerine%C2%AE+Total+Care+Mouthwash&amp;qid=1695260463&amp;sr=8-4", "https://www.amazon.com/Listerine-Anticavity-Mouthwash-Alcohol-Free-Convenience/dp/B0C3MYB4P6/ref=sr_1_4?keywords=Listerine%C2%AE+Total+Care+Mouthwash&amp;qid=1695260463&amp;sr=8-4")</f>
        <v>https://www.amazon.com/Listerine-Anticavity-Mouthwash-Alcohol-Free-Convenience/dp/B0C3MYB4P6/ref=sr_1_4?keywords=Listerine%C2%AE+Total+Care+Mouthwash&amp;qid=1695260463&amp;sr=8-4</v>
      </c>
      <c r="F4283" t="s">
        <v>12135</v>
      </c>
      <c r="G4283" t="e">
        <f ca="1">IMAGE("https://shop.sonapharmacy.com/cdn/shop/products/81vNiROdiIL._SL1500.jpg?v=1647185014")</f>
        <v>#NAME?</v>
      </c>
      <c r="H4283" t="e">
        <f ca="1">IMAGE("https://m.media-amazon.com/images/I/81T3s-0044L._AC_UL320_.jpg")</f>
        <v>#NAME?</v>
      </c>
      <c r="I4283" t="s">
        <v>8813</v>
      </c>
      <c r="J4283">
        <v>11.57</v>
      </c>
      <c r="K4283" s="2" t="s">
        <v>12136</v>
      </c>
      <c r="L4283">
        <v>4.8</v>
      </c>
      <c r="M4283">
        <v>41</v>
      </c>
      <c r="O4283" t="s">
        <v>26</v>
      </c>
      <c r="P4283" t="s">
        <v>39</v>
      </c>
      <c r="Q4283" t="s">
        <v>8815</v>
      </c>
    </row>
    <row r="4284" spans="1:17" ht="15.75" x14ac:dyDescent="0.25">
      <c r="A4284" s="3" t="str">
        <f>HYPERLINK("https://shop.sonapharmacy.com/products/bd-home-sharps-container", "https://shop.sonapharmacy.com/products/bd-home-sharps-container")</f>
        <v>https://shop.sonapharmacy.com/products/bd-home-sharps-container</v>
      </c>
      <c r="B4284" s="3" t="str">
        <f>HYPERLINK("https://shop.sonapharmacy.com/products/bd-home-sharps-container", "https://shop.sonapharmacy.com/products/bd-home-sharps-container")</f>
        <v>https://shop.sonapharmacy.com/products/bd-home-sharps-container</v>
      </c>
      <c r="C4284" t="s">
        <v>8261</v>
      </c>
      <c r="D4284" t="s">
        <v>12137</v>
      </c>
      <c r="E4284" s="3" t="str">
        <f>HYPERLINK("https://www.amazon.com/BD-Home-Sharps-Container/dp/B00I4F9VJE/ref=sr_1_3?keywords=BD%C2%AE+Home+Sharps+Container&amp;qid=1695260089&amp;sr=8-3", "https://www.amazon.com/BD-Home-Sharps-Container/dp/B00I4F9VJE/ref=sr_1_3?keywords=BD%C2%AE+Home+Sharps+Container&amp;qid=1695260089&amp;sr=8-3")</f>
        <v>https://www.amazon.com/BD-Home-Sharps-Container/dp/B00I4F9VJE/ref=sr_1_3?keywords=BD%C2%AE+Home+Sharps+Container&amp;qid=1695260089&amp;sr=8-3</v>
      </c>
      <c r="F4284" t="s">
        <v>12138</v>
      </c>
      <c r="G4284" t="e">
        <f ca="1">IMAGE("https://shop.sonapharmacy.com/cdn/shop/products/001655246.jpg?v=1609343493")</f>
        <v>#NAME?</v>
      </c>
      <c r="H4284" t="e">
        <f ca="1">IMAGE("https://m.media-amazon.com/images/I/71kDtZJzSUL._AC_UL320_.jpg")</f>
        <v>#NAME?</v>
      </c>
      <c r="I4284" t="s">
        <v>8264</v>
      </c>
      <c r="J4284">
        <v>7.99</v>
      </c>
      <c r="K4284" s="2" t="s">
        <v>12139</v>
      </c>
      <c r="L4284">
        <v>4.9000000000000004</v>
      </c>
      <c r="M4284">
        <v>13</v>
      </c>
      <c r="O4284" t="s">
        <v>26</v>
      </c>
      <c r="P4284" t="s">
        <v>39</v>
      </c>
      <c r="Q4284" t="s">
        <v>8266</v>
      </c>
    </row>
    <row r="4285" spans="1:17" ht="15.75" x14ac:dyDescent="0.25">
      <c r="A4285" s="3" t="str">
        <f>HYPERLINK("https://shop.sonapharmacy.com/products/bacitracin-antibiotic-ointment-1oz", "https://shop.sonapharmacy.com/products/bacitracin-antibiotic-ointment-1oz")</f>
        <v>https://shop.sonapharmacy.com/products/bacitracin-antibiotic-ointment-1oz</v>
      </c>
      <c r="B4285" s="3" t="str">
        <f>HYPERLINK("https://shop.sonapharmacy.com/products/bacitracin-antibiotic-ointment-1oz", "https://shop.sonapharmacy.com/products/bacitracin-antibiotic-ointment-1oz")</f>
        <v>https://shop.sonapharmacy.com/products/bacitracin-antibiotic-ointment-1oz</v>
      </c>
      <c r="C4285" t="s">
        <v>11567</v>
      </c>
      <c r="D4285" t="s">
        <v>12140</v>
      </c>
      <c r="E4285" s="3" t="str">
        <f>HYPERLINK("https://www.amazon.com/Bacitracin-Antibiotic-Ointment-Ointment-infections/dp/B08L37RB9B/ref=sr_1_3?keywords=Bacitracin%C2%AE+Antibiotic+Ointment+1oz.&amp;qid=1695260086&amp;sr=8-3", "https://www.amazon.com/Bacitracin-Antibiotic-Ointment-Ointment-infections/dp/B08L37RB9B/ref=sr_1_3?keywords=Bacitracin%C2%AE+Antibiotic+Ointment+1oz.&amp;qid=1695260086&amp;sr=8-3")</f>
        <v>https://www.amazon.com/Bacitracin-Antibiotic-Ointment-Ointment-infections/dp/B08L37RB9B/ref=sr_1_3?keywords=Bacitracin%C2%AE+Antibiotic+Ointment+1oz.&amp;qid=1695260086&amp;sr=8-3</v>
      </c>
      <c r="F4285" t="s">
        <v>12141</v>
      </c>
      <c r="G4285" t="e">
        <f ca="1">IMAGE("https://shop.sonapharmacy.com/cdn/shop/products/BACITR1OC_Bacitracin-1-oz-Tube-Box.jpg?v=1611254932")</f>
        <v>#NAME?</v>
      </c>
      <c r="H4285" t="e">
        <f ca="1">IMAGE("https://m.media-amazon.com/images/I/51Yuu7sUNTL._AC_UY218_.jpg")</f>
        <v>#NAME?</v>
      </c>
      <c r="I4285" t="s">
        <v>8828</v>
      </c>
      <c r="J4285">
        <v>6.79</v>
      </c>
      <c r="K4285" s="2" t="s">
        <v>12142</v>
      </c>
      <c r="L4285">
        <v>4.7</v>
      </c>
      <c r="M4285">
        <v>1747</v>
      </c>
      <c r="O4285" t="s">
        <v>26</v>
      </c>
      <c r="P4285" t="s">
        <v>39</v>
      </c>
      <c r="Q4285" t="s">
        <v>11571</v>
      </c>
    </row>
    <row r="4286" spans="1:17" ht="15.75" x14ac:dyDescent="0.25">
      <c r="A4286" s="3" t="str">
        <f>HYPERLINK("https://shop.sonapharmacy.com/products/oral-b%C2%AE-indicator-color-collection-toothbrush", "https://shop.sonapharmacy.com/products/oral-b%C2%AE-indicator-color-collection-toothbrush")</f>
        <v>https://shop.sonapharmacy.com/products/oral-b%C2%AE-indicator-color-collection-toothbrush</v>
      </c>
      <c r="B4286" s="3" t="str">
        <f>HYPERLINK("https://shop.sonapharmacy.com/products/oral-b%c2%ae-indicator-color-collection-toothbrush", "https://shop.sonapharmacy.com/products/oral-b%c2%ae-indicator-color-collection-toothbrush")</f>
        <v>https://shop.sonapharmacy.com/products/oral-b%c2%ae-indicator-color-collection-toothbrush</v>
      </c>
      <c r="C4286" t="s">
        <v>10813</v>
      </c>
      <c r="D4286" t="s">
        <v>12143</v>
      </c>
      <c r="E4286" s="3" t="str">
        <f>HYPERLINK("https://www.amazon.com/Oral-B-Indicator-Contour-Bristle-Toothbrush/dp/B0014CW1WS/ref=sr_1_1?keywords=Oral+B%C2%AE+Indicator+Color+Collection+Toothbrush&amp;qid=1695260620&amp;sr=8-1", "https://www.amazon.com/Oral-B-Indicator-Contour-Bristle-Toothbrush/dp/B0014CW1WS/ref=sr_1_1?keywords=Oral+B%C2%AE+Indicator+Color+Collection+Toothbrush&amp;qid=1695260620&amp;sr=8-1")</f>
        <v>https://www.amazon.com/Oral-B-Indicator-Contour-Bristle-Toothbrush/dp/B0014CW1WS/ref=sr_1_1?keywords=Oral+B%C2%AE+Indicator+Color+Collection+Toothbrush&amp;qid=1695260620&amp;sr=8-1</v>
      </c>
      <c r="F4286" t="s">
        <v>12144</v>
      </c>
      <c r="G4286" t="e">
        <f ca="1">IMAGE("https://shop.sonapharmacy.com/cdn/shop/products/ea6566ae-7c35-4b2a-98ae-dda59c4311a5_1.bbd0b5b6b7f3d72c3738494ffd15fb43_1.jpg?v=1610052429")</f>
        <v>#NAME?</v>
      </c>
      <c r="H4286" t="e">
        <f ca="1">IMAGE("https://m.media-amazon.com/images/I/61woXnJAKzL._AC_UL320_.jpg")</f>
        <v>#NAME?</v>
      </c>
      <c r="I4286" t="s">
        <v>8034</v>
      </c>
      <c r="J4286">
        <v>5</v>
      </c>
      <c r="K4286" s="2" t="s">
        <v>12145</v>
      </c>
      <c r="L4286">
        <v>4.5</v>
      </c>
      <c r="M4286">
        <v>238</v>
      </c>
      <c r="O4286" t="s">
        <v>26</v>
      </c>
      <c r="P4286" t="s">
        <v>39</v>
      </c>
      <c r="Q4286" t="s">
        <v>10817</v>
      </c>
    </row>
    <row r="4287" spans="1:17" ht="15.75" x14ac:dyDescent="0.25">
      <c r="A4287" s="3" t="str">
        <f>HYPERLINK("https://shop.sonapharmacy.com/products/nexcare-opticlude", "https://shop.sonapharmacy.com/products/nexcare-opticlude")</f>
        <v>https://shop.sonapharmacy.com/products/nexcare-opticlude</v>
      </c>
      <c r="B4287" s="3" t="str">
        <f>HYPERLINK("https://shop.sonapharmacy.com/products/nexcare-opticlude", "https://shop.sonapharmacy.com/products/nexcare-opticlude")</f>
        <v>https://shop.sonapharmacy.com/products/nexcare-opticlude</v>
      </c>
      <c r="C4287" t="s">
        <v>8566</v>
      </c>
      <c r="D4287" t="s">
        <v>12146</v>
      </c>
      <c r="E4287" s="3" t="str">
        <f>HYPERLINK("https://www.amazon.com/Nexcare-Opticlude-Orthoptic-Patches-Junior/dp/B01IAI9KZO/ref=sr_1_8?keywords=Nexcare+Opticlude+Eye+Patch&amp;qid=1695260565&amp;sr=8-8", "https://www.amazon.com/Nexcare-Opticlude-Orthoptic-Patches-Junior/dp/B01IAI9KZO/ref=sr_1_8?keywords=Nexcare+Opticlude+Eye+Patch&amp;qid=1695260565&amp;sr=8-8")</f>
        <v>https://www.amazon.com/Nexcare-Opticlude-Orthoptic-Patches-Junior/dp/B01IAI9KZO/ref=sr_1_8?keywords=Nexcare+Opticlude+Eye+Patch&amp;qid=1695260565&amp;sr=8-8</v>
      </c>
      <c r="F4287" t="s">
        <v>12147</v>
      </c>
      <c r="G4287" t="e">
        <f ca="1">IMAGE("https://shop.sonapharmacy.com/cdn/shop/products/us-1539-opticlude-eyepatch.jpg?v=1607704873")</f>
        <v>#NAME?</v>
      </c>
      <c r="H4287" t="e">
        <f ca="1">IMAGE("https://m.media-amazon.com/images/I/71EkofQ4EEL._AC_UL320_.jpg")</f>
        <v>#NAME?</v>
      </c>
      <c r="I4287" t="s">
        <v>4296</v>
      </c>
      <c r="J4287">
        <v>17.440000000000001</v>
      </c>
      <c r="K4287" s="2" t="s">
        <v>12148</v>
      </c>
      <c r="L4287">
        <v>4.4000000000000004</v>
      </c>
      <c r="M4287">
        <v>11</v>
      </c>
      <c r="O4287" t="s">
        <v>26</v>
      </c>
      <c r="P4287" t="s">
        <v>39</v>
      </c>
      <c r="Q4287" t="s">
        <v>8570</v>
      </c>
    </row>
    <row r="4288" spans="1:17" ht="15.75" x14ac:dyDescent="0.25">
      <c r="A4288" s="3" t="str">
        <f>HYPERLINK("https://shop.sonapharmacy.com/products/attends%C2%AE-advanced-underwear-extra-absorbency-large-18ct", "https://shop.sonapharmacy.com/products/attends%C2%AE-advanced-underwear-extra-absorbency-large-18ct")</f>
        <v>https://shop.sonapharmacy.com/products/attends%C2%AE-advanced-underwear-extra-absorbency-large-18ct</v>
      </c>
      <c r="B4288" s="3" t="str">
        <f>HYPERLINK("https://shop.sonapharmacy.com/products/attends%c2%ae-advanced-underwear-extra-absorbency-large-18ct", "https://shop.sonapharmacy.com/products/attends%c2%ae-advanced-underwear-extra-absorbency-large-18ct")</f>
        <v>https://shop.sonapharmacy.com/products/attends%c2%ae-advanced-underwear-extra-absorbency-large-18ct</v>
      </c>
      <c r="C4288" t="s">
        <v>12149</v>
      </c>
      <c r="D4288" t="s">
        <v>12150</v>
      </c>
      <c r="E4288" s="3" t="str">
        <f>HYPERLINK("https://www.amazon.com/Attends-Super-Underwear-Absorbency-APP0740/dp/B001STIJ9Q/ref=sr_1_5?keywords=Attends+Advanced+Underwear+Extra+Absorbency+Large+18ct.&amp;qid=1695260030&amp;sr=8-5", "https://www.amazon.com/Attends-Super-Underwear-Absorbency-APP0740/dp/B001STIJ9Q/ref=sr_1_5?keywords=Attends+Advanced+Underwear+Extra+Absorbency+Large+18ct.&amp;qid=1695260030&amp;sr=8-5")</f>
        <v>https://www.amazon.com/Attends-Super-Underwear-Absorbency-APP0740/dp/B001STIJ9Q/ref=sr_1_5?keywords=Attends+Advanced+Underwear+Extra+Absorbency+Large+18ct.&amp;qid=1695260030&amp;sr=8-5</v>
      </c>
      <c r="F4288" t="s">
        <v>12151</v>
      </c>
      <c r="G4288" t="e">
        <f ca="1">IMAGE("https://shop.sonapharmacy.com/cdn/shop/products/76123c3a-2b78-49c6-8437-aa68caa99352_1.eab0c01c02484f7ee0d6e4a34b37ba19.png?v=1611078396")</f>
        <v>#NAME?</v>
      </c>
      <c r="H4288" t="e">
        <f ca="1">IMAGE("https://m.media-amazon.com/images/I/71ZWG7jt1XL._AC_UL320_.jpg")</f>
        <v>#NAME?</v>
      </c>
      <c r="I4288" t="s">
        <v>9258</v>
      </c>
      <c r="J4288">
        <v>19.34</v>
      </c>
      <c r="K4288" s="2" t="s">
        <v>12152</v>
      </c>
      <c r="L4288">
        <v>3.8</v>
      </c>
      <c r="M4288">
        <v>28</v>
      </c>
      <c r="O4288" t="s">
        <v>26</v>
      </c>
      <c r="P4288" t="s">
        <v>39</v>
      </c>
      <c r="Q4288" t="s">
        <v>12153</v>
      </c>
    </row>
    <row r="4289" spans="1:17" ht="15.75" x14ac:dyDescent="0.25">
      <c r="A4289" s="3" t="str">
        <f>HYPERLINK("https://shop.sonapharmacy.com/products/mueller%C2%AE-fitted-right-wrist-brace", "https://shop.sonapharmacy.com/products/mueller%C2%AE-fitted-right-wrist-brace")</f>
        <v>https://shop.sonapharmacy.com/products/mueller%C2%AE-fitted-right-wrist-brace</v>
      </c>
      <c r="B4289" s="3" t="str">
        <f>HYPERLINK("https://shop.sonapharmacy.com/products/mueller%c2%ae-fitted-right-wrist-brace", "https://shop.sonapharmacy.com/products/mueller%c2%ae-fitted-right-wrist-brace")</f>
        <v>https://shop.sonapharmacy.com/products/mueller%c2%ae-fitted-right-wrist-brace</v>
      </c>
      <c r="C4289" t="s">
        <v>12154</v>
      </c>
      <c r="D4289" t="s">
        <v>12155</v>
      </c>
      <c r="E4289" s="3" t="str">
        <f>HYPERLINK("https://www.amazon.com/Mueller-Green-Fitted-Wrist-Brace/dp/B00HA6FSPE/ref=sr_1_2?keywords=Mueller%C2%AE+Fitted+Right+Wrist+Brace&amp;qid=1695260520&amp;sr=8-2", "https://www.amazon.com/Mueller-Green-Fitted-Wrist-Brace/dp/B00HA6FSPE/ref=sr_1_2?keywords=Mueller%C2%AE+Fitted+Right+Wrist+Brace&amp;qid=1695260520&amp;sr=8-2")</f>
        <v>https://www.amazon.com/Mueller-Green-Fitted-Wrist-Brace/dp/B00HA6FSPE/ref=sr_1_2?keywords=Mueller%C2%AE+Fitted+Right+Wrist+Brace&amp;qid=1695260520&amp;sr=8-2</v>
      </c>
      <c r="F4289" t="s">
        <v>12156</v>
      </c>
      <c r="G4289" t="e">
        <f ca="1">IMAGE("https://shop.sonapharmacy.com/cdn/shop/products/images_1_1d5ad19f-de63-41e5-876d-5ccb48d4d692.jpg?v=1609862929")</f>
        <v>#NAME?</v>
      </c>
      <c r="H4289" t="e">
        <f ca="1">IMAGE("https://m.media-amazon.com/images/I/61OuQ83bxgL._AC_UL320_.jpg")</f>
        <v>#NAME?</v>
      </c>
      <c r="I4289" t="s">
        <v>12157</v>
      </c>
      <c r="J4289">
        <v>33.520000000000003</v>
      </c>
      <c r="K4289" s="2" t="s">
        <v>12158</v>
      </c>
      <c r="L4289">
        <v>4.5999999999999996</v>
      </c>
      <c r="M4289">
        <v>16</v>
      </c>
      <c r="O4289" t="s">
        <v>26</v>
      </c>
      <c r="P4289" t="s">
        <v>39</v>
      </c>
      <c r="Q4289" t="s">
        <v>12159</v>
      </c>
    </row>
    <row r="4290" spans="1:17" ht="15.75" x14ac:dyDescent="0.25">
      <c r="A4290" s="3" t="str">
        <f>HYPERLINK("https://shop.sonapharmacy.com/products/bayer-genuine-aspirin-325-mg-tablets", "https://shop.sonapharmacy.com/products/bayer-genuine-aspirin-325-mg-tablets")</f>
        <v>https://shop.sonapharmacy.com/products/bayer-genuine-aspirin-325-mg-tablets</v>
      </c>
      <c r="B4290" s="3" t="str">
        <f>HYPERLINK("https://shop.sonapharmacy.com/products/bayer-genuine-aspirin-325-mg-tablets", "https://shop.sonapharmacy.com/products/bayer-genuine-aspirin-325-mg-tablets")</f>
        <v>https://shop.sonapharmacy.com/products/bayer-genuine-aspirin-325-mg-tablets</v>
      </c>
      <c r="C4290" t="s">
        <v>9910</v>
      </c>
      <c r="D4290" t="s">
        <v>12160</v>
      </c>
      <c r="E4290" s="3" t="str">
        <f>HYPERLINK("https://www.amazon.com/Genuine-Bayer-Aspirin-Tablets-Count/dp/B01341HKV8/ref=sr_1_3?keywords=Bayer%C2%AE+Genuine+Aspirin+325mg+Tablets&amp;qid=1695260088&amp;sr=8-3", "https://www.amazon.com/Genuine-Bayer-Aspirin-Tablets-Count/dp/B01341HKV8/ref=sr_1_3?keywords=Bayer%C2%AE+Genuine+Aspirin+325mg+Tablets&amp;qid=1695260088&amp;sr=8-3")</f>
        <v>https://www.amazon.com/Genuine-Bayer-Aspirin-Tablets-Count/dp/B01341HKV8/ref=sr_1_3?keywords=Bayer%C2%AE+Genuine+Aspirin+325mg+Tablets&amp;qid=1695260088&amp;sr=8-3</v>
      </c>
      <c r="F4290" t="s">
        <v>12161</v>
      </c>
      <c r="G4290" t="e">
        <f ca="1">IMAGE("https://shop.sonapharmacy.com/cdn/shop/products/Untitled-26.jpg?v=1592598679")</f>
        <v>#NAME?</v>
      </c>
      <c r="H4290" t="e">
        <f ca="1">IMAGE("https://m.media-amazon.com/images/I/81XvE4+Rb0L._AC_UL320_.jpg")</f>
        <v>#NAME?</v>
      </c>
      <c r="I4290" t="s">
        <v>8766</v>
      </c>
      <c r="J4290">
        <v>7.71</v>
      </c>
      <c r="K4290" s="2" t="s">
        <v>12162</v>
      </c>
      <c r="L4290">
        <v>4.7</v>
      </c>
      <c r="M4290">
        <v>149</v>
      </c>
      <c r="O4290" t="s">
        <v>26</v>
      </c>
      <c r="P4290" t="s">
        <v>39</v>
      </c>
      <c r="Q4290" t="s">
        <v>9914</v>
      </c>
    </row>
    <row r="4291" spans="1:17" ht="15.75" x14ac:dyDescent="0.25">
      <c r="A4291" s="3" t="str">
        <f>HYPERLINK("https://shop.sonapharmacy.com/products/oral-b%C2%AE-deep-clean-toothbrush", "https://shop.sonapharmacy.com/products/oral-b%C2%AE-deep-clean-toothbrush")</f>
        <v>https://shop.sonapharmacy.com/products/oral-b%C2%AE-deep-clean-toothbrush</v>
      </c>
      <c r="B4291" s="3" t="str">
        <f>HYPERLINK("https://shop.sonapharmacy.com/products/oral-b%c2%ae-deep-clean-toothbrush", "https://shop.sonapharmacy.com/products/oral-b%c2%ae-deep-clean-toothbrush")</f>
        <v>https://shop.sonapharmacy.com/products/oral-b%c2%ae-deep-clean-toothbrush</v>
      </c>
      <c r="C4291" t="s">
        <v>9367</v>
      </c>
      <c r="D4291" t="s">
        <v>12163</v>
      </c>
      <c r="E4291" s="3" t="str">
        <f>HYPERLINK("https://www.amazon.com/Oral-B-Complete-Clean-Toothbrushes-Medium/dp/B0797KPVRG/ref=sr_1_3?keywords=Oral+B%C2%AE+Complete+Deep+Clean+Toothbrush+%5BMedium%5D&amp;qid=1695260620&amp;sr=8-3", "https://www.amazon.com/Oral-B-Complete-Clean-Toothbrushes-Medium/dp/B0797KPVRG/ref=sr_1_3?keywords=Oral+B%C2%AE+Complete+Deep+Clean+Toothbrush+%5BMedium%5D&amp;qid=1695260620&amp;sr=8-3")</f>
        <v>https://www.amazon.com/Oral-B-Complete-Clean-Toothbrushes-Medium/dp/B0797KPVRG/ref=sr_1_3?keywords=Oral+B%C2%AE+Complete+Deep+Clean+Toothbrush+%5BMedium%5D&amp;qid=1695260620&amp;sr=8-3</v>
      </c>
      <c r="F4291" t="s">
        <v>12164</v>
      </c>
      <c r="G4291" t="e">
        <f ca="1">IMAGE("https://shop.sonapharmacy.com/cdn/shop/files/Sona-Shop-banner2_0c7162f3-c367-451d-8193-c2967a0e8d8e.jpg?v=1614290083")</f>
        <v>#NAME?</v>
      </c>
      <c r="H4291" t="e">
        <f ca="1">IMAGE("https://m.media-amazon.com/images/I/61+pXz+Vw0L._AC_UL320_.jpg")</f>
        <v>#NAME?</v>
      </c>
      <c r="I4291" t="s">
        <v>9370</v>
      </c>
      <c r="J4291">
        <v>6.58</v>
      </c>
      <c r="K4291" s="2" t="s">
        <v>12165</v>
      </c>
      <c r="L4291">
        <v>4.2</v>
      </c>
      <c r="M4291">
        <v>123</v>
      </c>
      <c r="O4291" t="s">
        <v>26</v>
      </c>
      <c r="P4291" t="s">
        <v>39</v>
      </c>
      <c r="Q4291" t="s">
        <v>9372</v>
      </c>
    </row>
    <row r="4292" spans="1:17" ht="15.75" x14ac:dyDescent="0.25">
      <c r="A4292" s="3" t="str">
        <f>HYPERLINK("https://shop.sonapharmacy.com/products/sunbum%C2%AE-original-spf-50-sunscreen-lotion-3oz", "https://shop.sonapharmacy.com/products/sunbum%C2%AE-original-spf-50-sunscreen-lotion-3oz")</f>
        <v>https://shop.sonapharmacy.com/products/sunbum%C2%AE-original-spf-50-sunscreen-lotion-3oz</v>
      </c>
      <c r="B4292" s="3" t="str">
        <f>HYPERLINK("https://shop.sonapharmacy.com/products/sunbum%c2%ae-original-spf-50-sunscreen-lotion-3oz", "https://shop.sonapharmacy.com/products/sunbum%c2%ae-original-spf-50-sunscreen-lotion-3oz")</f>
        <v>https://shop.sonapharmacy.com/products/sunbum%c2%ae-original-spf-50-sunscreen-lotion-3oz</v>
      </c>
      <c r="C4292" t="s">
        <v>9924</v>
      </c>
      <c r="D4292" t="s">
        <v>12166</v>
      </c>
      <c r="E4292" s="3" t="str">
        <f>HYPERLINK("https://www.amazon.com/Sun-Bum-Moisturizing-Protection-Hypoallergenic/dp/B004XGLDTY/ref=sr_1_8?keywords=Sun+Bum%C2%AE+Original+SPF+50+Sunscreen+Lotion&amp;qid=1695260742&amp;rdc=1&amp;sr=8-8", "https://www.amazon.com/Sun-Bum-Moisturizing-Protection-Hypoallergenic/dp/B004XGLDTY/ref=sr_1_8?keywords=Sun+Bum%C2%AE+Original+SPF+50+Sunscreen+Lotion&amp;qid=1695260742&amp;rdc=1&amp;sr=8-8")</f>
        <v>https://www.amazon.com/Sun-Bum-Moisturizing-Protection-Hypoallergenic/dp/B004XGLDTY/ref=sr_1_8?keywords=Sun+Bum%C2%AE+Original+SPF+50+Sunscreen+Lotion&amp;qid=1695260742&amp;rdc=1&amp;sr=8-8</v>
      </c>
      <c r="F4292" t="s">
        <v>12167</v>
      </c>
      <c r="G4292" t="e">
        <f ca="1">IMAGE("https://shop.sonapharmacy.com/cdn/shop/products/71liju0WraL._SL1500.jpg?v=1611868598")</f>
        <v>#NAME?</v>
      </c>
      <c r="H4292" t="e">
        <f ca="1">IMAGE("https://m.media-amazon.com/images/I/51-XGWRSpnL._AC_UL320_.jpg")</f>
        <v>#NAME?</v>
      </c>
      <c r="I4292" t="s">
        <v>4873</v>
      </c>
      <c r="J4292">
        <v>16.04</v>
      </c>
      <c r="K4292" s="2" t="s">
        <v>12168</v>
      </c>
      <c r="L4292">
        <v>4.8</v>
      </c>
      <c r="M4292">
        <v>21217</v>
      </c>
      <c r="O4292" t="s">
        <v>26</v>
      </c>
      <c r="P4292" t="s">
        <v>39</v>
      </c>
      <c r="Q4292" t="s">
        <v>9928</v>
      </c>
    </row>
    <row r="4293" spans="1:17" ht="15.75" x14ac:dyDescent="0.25">
      <c r="A4293" s="3" t="str">
        <f>HYPERLINK("https://shop.sonapharmacy.com/products/band-aid-cushion-care-gauze-pads", "https://shop.sonapharmacy.com/products/band-aid-cushion-care-gauze-pads")</f>
        <v>https://shop.sonapharmacy.com/products/band-aid-cushion-care-gauze-pads</v>
      </c>
      <c r="B4293" s="3" t="str">
        <f>HYPERLINK("https://shop.sonapharmacy.com/products/band-aid-cushion-care-gauze-pads", "https://shop.sonapharmacy.com/products/band-aid-cushion-care-gauze-pads")</f>
        <v>https://shop.sonapharmacy.com/products/band-aid-cushion-care-gauze-pads</v>
      </c>
      <c r="C4293" t="s">
        <v>9012</v>
      </c>
      <c r="D4293" t="s">
        <v>12169</v>
      </c>
      <c r="E4293" s="3" t="str">
        <f>HYPERLINK("https://www.amazon.com/GERBER-Band-Aid-Brand-Large-Gauze/dp/B00MX862H2/ref=sr_1_6?keywords=BAND-AID%C2%AE+Cushion-Care+Gauze+Pads&amp;qid=1695260110&amp;sr=8-6", "https://www.amazon.com/GERBER-Band-Aid-Brand-Large-Gauze/dp/B00MX862H2/ref=sr_1_6?keywords=BAND-AID%C2%AE+Cushion-Care+Gauze+Pads&amp;qid=1695260110&amp;sr=8-6")</f>
        <v>https://www.amazon.com/GERBER-Band-Aid-Brand-Large-Gauze/dp/B00MX862H2/ref=sr_1_6?keywords=BAND-AID%C2%AE+Cushion-Care+Gauze+Pads&amp;qid=1695260110&amp;sr=8-6</v>
      </c>
      <c r="F4293" t="s">
        <v>12170</v>
      </c>
      <c r="G4293" t="e">
        <f ca="1">IMAGE("https://shop.sonapharmacy.com/cdn/shop/products/band_aid_us_pho_pac_18_1_2727067.jpg?v=1607288415")</f>
        <v>#NAME?</v>
      </c>
      <c r="H4293" t="e">
        <f ca="1">IMAGE("https://m.media-amazon.com/images/I/81rue4ZseeL._AC_UY218_.jpg")</f>
        <v>#NAME?</v>
      </c>
      <c r="I4293" t="s">
        <v>9015</v>
      </c>
      <c r="J4293">
        <v>7.85</v>
      </c>
      <c r="K4293" s="2" t="s">
        <v>12171</v>
      </c>
      <c r="L4293">
        <v>4.5999999999999996</v>
      </c>
      <c r="M4293">
        <v>17</v>
      </c>
      <c r="O4293" t="s">
        <v>26</v>
      </c>
      <c r="P4293" t="s">
        <v>39</v>
      </c>
      <c r="Q4293" t="s">
        <v>9017</v>
      </c>
    </row>
    <row r="4294" spans="1:17" ht="15.75" x14ac:dyDescent="0.25">
      <c r="A4294" s="3" t="str">
        <f>HYPERLINK("https://shop.sonapharmacy.com/products/aquaphor%C2%AE-lip-repair-tube-10ml", "https://shop.sonapharmacy.com/products/aquaphor%C2%AE-lip-repair-tube-10ml")</f>
        <v>https://shop.sonapharmacy.com/products/aquaphor%C2%AE-lip-repair-tube-10ml</v>
      </c>
      <c r="B4294" s="3" t="str">
        <f>HYPERLINK("https://shop.sonapharmacy.com/products/aquaphor%c2%ae-lip-repair-tube-10ml", "https://shop.sonapharmacy.com/products/aquaphor%c2%ae-lip-repair-tube-10ml")</f>
        <v>https://shop.sonapharmacy.com/products/aquaphor%c2%ae-lip-repair-tube-10ml</v>
      </c>
      <c r="C4294" t="s">
        <v>8831</v>
      </c>
      <c r="D4294" t="s">
        <v>12172</v>
      </c>
      <c r="E4294" s="3" t="str">
        <f>HYPERLINK("https://www.amazon.com/Aquaphor-Repair-Tube-Blister-Ounce/dp/B06XDCPYYL/ref=sr_1_1?keywords=Aquaphor+Lip+Repair+Tube+10ml&amp;qid=1695260018&amp;rdc=1&amp;sr=8-1", "https://www.amazon.com/Aquaphor-Repair-Tube-Blister-Ounce/dp/B06XDCPYYL/ref=sr_1_1?keywords=Aquaphor+Lip+Repair+Tube+10ml&amp;qid=1695260018&amp;rdc=1&amp;sr=8-1")</f>
        <v>https://www.amazon.com/Aquaphor-Repair-Tube-Blister-Ounce/dp/B06XDCPYYL/ref=sr_1_1?keywords=Aquaphor+Lip+Repair+Tube+10ml&amp;qid=1695260018&amp;rdc=1&amp;sr=8-1</v>
      </c>
      <c r="F4294" t="s">
        <v>12173</v>
      </c>
      <c r="G4294" t="e">
        <f ca="1">IMAGE("https://shop.sonapharmacy.com/cdn/shop/products/a9273c19-1d53-4858-abb8-43a4ce27b9d6_1.52617476fb0deabe5812834a044fdaec.jpg?v=1608231857")</f>
        <v>#NAME?</v>
      </c>
      <c r="H4294" t="e">
        <f ca="1">IMAGE("https://m.media-amazon.com/images/I/71m3lXLdXRL._AC_UL320_.jpg")</f>
        <v>#NAME?</v>
      </c>
      <c r="I4294" t="s">
        <v>8834</v>
      </c>
      <c r="J4294">
        <v>8.39</v>
      </c>
      <c r="K4294" s="2" t="s">
        <v>12174</v>
      </c>
      <c r="L4294">
        <v>4.8</v>
      </c>
      <c r="M4294">
        <v>4295</v>
      </c>
      <c r="O4294" t="s">
        <v>26</v>
      </c>
      <c r="P4294" t="s">
        <v>39</v>
      </c>
      <c r="Q4294" t="s">
        <v>8836</v>
      </c>
    </row>
    <row r="4295" spans="1:17" ht="15.75" x14ac:dyDescent="0.25">
      <c r="A4295" s="3" t="str">
        <f>HYPERLINK("https://shop.sonapharmacy.com/products/nexcare-tegaderm", "https://shop.sonapharmacy.com/products/nexcare-tegaderm")</f>
        <v>https://shop.sonapharmacy.com/products/nexcare-tegaderm</v>
      </c>
      <c r="B4295" s="3" t="str">
        <f>HYPERLINK("https://shop.sonapharmacy.com/products/nexcare-tegaderm", "https://shop.sonapharmacy.com/products/nexcare-tegaderm")</f>
        <v>https://shop.sonapharmacy.com/products/nexcare-tegaderm</v>
      </c>
      <c r="C4295" t="s">
        <v>11243</v>
      </c>
      <c r="D4295" t="s">
        <v>12175</v>
      </c>
      <c r="E4295" s="3" t="str">
        <f>HYPERLINK("https://www.amazon.com/Nexcare-Tegaderm-Transparent-Dressing-Inches/dp/B000PQ5NM4/ref=sr_1_4?keywords=Nexcare+Tegaderm&amp;qid=1695260581&amp;sr=8-4", "https://www.amazon.com/Nexcare-Tegaderm-Transparent-Dressing-Inches/dp/B000PQ5NM4/ref=sr_1_4?keywords=Nexcare+Tegaderm&amp;qid=1695260581&amp;sr=8-4")</f>
        <v>https://www.amazon.com/Nexcare-Tegaderm-Transparent-Dressing-Inches/dp/B000PQ5NM4/ref=sr_1_4?keywords=Nexcare+Tegaderm&amp;qid=1695260581&amp;sr=8-4</v>
      </c>
      <c r="F4295" t="s">
        <v>12176</v>
      </c>
      <c r="G4295" t="e">
        <f ca="1">IMAGE("https://shop.sonapharmacy.com/cdn/shop/products/us-h1626-tegaderm-waterproof-transparent-dressing.jpg?v=1607203084")</f>
        <v>#NAME?</v>
      </c>
      <c r="H4295" t="e">
        <f ca="1">IMAGE("https://m.media-amazon.com/images/I/71Xx-Y-02xL._AC_UL320_.jpg")</f>
        <v>#NAME?</v>
      </c>
      <c r="I4295" t="s">
        <v>11246</v>
      </c>
      <c r="J4295">
        <v>29.77</v>
      </c>
      <c r="K4295" s="2" t="s">
        <v>12177</v>
      </c>
      <c r="L4295">
        <v>4.7</v>
      </c>
      <c r="M4295">
        <v>7106</v>
      </c>
      <c r="O4295" t="s">
        <v>26</v>
      </c>
      <c r="P4295" t="s">
        <v>39</v>
      </c>
      <c r="Q4295" t="s">
        <v>11248</v>
      </c>
    </row>
    <row r="4296" spans="1:17" ht="15.75" x14ac:dyDescent="0.25">
      <c r="A4296" s="3" t="str">
        <f>HYPERLINK("https://shop.sonapharmacy.com/products/apex%C2%AE-weekly-twice-a-day-pill-organizer", "https://shop.sonapharmacy.com/products/apex%C2%AE-weekly-twice-a-day-pill-organizer")</f>
        <v>https://shop.sonapharmacy.com/products/apex%C2%AE-weekly-twice-a-day-pill-organizer</v>
      </c>
      <c r="B4296" s="3" t="str">
        <f>HYPERLINK("https://shop.sonapharmacy.com/products/apex%c2%ae-weekly-twice-a-day-pill-organizer", "https://shop.sonapharmacy.com/products/apex%c2%ae-weekly-twice-a-day-pill-organizer")</f>
        <v>https://shop.sonapharmacy.com/products/apex%c2%ae-weekly-twice-a-day-pill-organizer</v>
      </c>
      <c r="C4296" t="s">
        <v>9754</v>
      </c>
      <c r="D4296" t="s">
        <v>12178</v>
      </c>
      <c r="E4296" s="3" t="str">
        <f>HYPERLINK("https://www.amazon.com/Apex-Twice-Weekly-Organizer-Color/dp/B00E4MJINU/ref=sr_1_5?keywords=Apex+Weekly+Twice-A-Day+Pill+Organizer&amp;qid=1695260022&amp;sr=8-5", "https://www.amazon.com/Apex-Twice-Weekly-Organizer-Color/dp/B00E4MJINU/ref=sr_1_5?keywords=Apex+Weekly+Twice-A-Day+Pill+Organizer&amp;qid=1695260022&amp;sr=8-5")</f>
        <v>https://www.amazon.com/Apex-Twice-Weekly-Organizer-Color/dp/B00E4MJINU/ref=sr_1_5?keywords=Apex+Weekly+Twice-A-Day+Pill+Organizer&amp;qid=1695260022&amp;sr=8-5</v>
      </c>
      <c r="F4296" t="s">
        <v>12179</v>
      </c>
      <c r="G4296" t="e">
        <f ca="1">IMAGE("https://shop.sonapharmacy.com/cdn/shop/products/81bW58qDenL._AC_SL1500.jpg?v=1609957632")</f>
        <v>#NAME?</v>
      </c>
      <c r="H4296" t="e">
        <f ca="1">IMAGE("https://m.media-amazon.com/images/I/61Gdmate9PL._AC_UL320_.jpg")</f>
        <v>#NAME?</v>
      </c>
      <c r="I4296" t="s">
        <v>8983</v>
      </c>
      <c r="J4296">
        <v>8.9499999999999993</v>
      </c>
      <c r="K4296" s="2" t="s">
        <v>12180</v>
      </c>
      <c r="L4296">
        <v>4.0999999999999996</v>
      </c>
      <c r="M4296">
        <v>8</v>
      </c>
      <c r="O4296" t="s">
        <v>26</v>
      </c>
      <c r="P4296" t="s">
        <v>39</v>
      </c>
      <c r="Q4296" t="s">
        <v>9758</v>
      </c>
    </row>
    <row r="4297" spans="1:17" ht="15.75" x14ac:dyDescent="0.25">
      <c r="A4297" s="3" t="str">
        <f>HYPERLINK("https://shop.sonapharmacy.com/products/blink%C2%AE-tears-dry-eye-lubricating-eye-drops-0-5fl-oz", "https://shop.sonapharmacy.com/products/blink%C2%AE-tears-dry-eye-lubricating-eye-drops-0-5fl-oz")</f>
        <v>https://shop.sonapharmacy.com/products/blink%C2%AE-tears-dry-eye-lubricating-eye-drops-0-5fl-oz</v>
      </c>
      <c r="B4297" s="3" t="str">
        <f>HYPERLINK("https://shop.sonapharmacy.com/products/blink%c2%ae-tears-dry-eye-lubricating-eye-drops-0-5fl-oz", "https://shop.sonapharmacy.com/products/blink%c2%ae-tears-dry-eye-lubricating-eye-drops-0-5fl-oz")</f>
        <v>https://shop.sonapharmacy.com/products/blink%c2%ae-tears-dry-eye-lubricating-eye-drops-0-5fl-oz</v>
      </c>
      <c r="C4297" t="s">
        <v>9096</v>
      </c>
      <c r="D4297" t="s">
        <v>12181</v>
      </c>
      <c r="E4297" s="3" t="str">
        <f>HYPERLINK("https://www.amazon.com/blink-Tears-Lubricating-Drops-Mild-Moderate/dp/B0771RLG6R/ref=sr_1_5?keywords=Blink%C2%AE+Tears+Dry+Eye+Lubricating+Eye+Drops+0.5fl.+oz.&amp;qid=1695260095&amp;sr=8-5", "https://www.amazon.com/blink-Tears-Lubricating-Drops-Mild-Moderate/dp/B0771RLG6R/ref=sr_1_5?keywords=Blink%C2%AE+Tears+Dry+Eye+Lubricating+Eye+Drops+0.5fl.+oz.&amp;qid=1695260095&amp;sr=8-5")</f>
        <v>https://www.amazon.com/blink-Tears-Lubricating-Drops-Mild-Moderate/dp/B0771RLG6R/ref=sr_1_5?keywords=Blink%C2%AE+Tears+Dry+Eye+Lubricating+Eye+Drops+0.5fl.+oz.&amp;qid=1695260095&amp;sr=8-5</v>
      </c>
      <c r="F4297" t="s">
        <v>12182</v>
      </c>
      <c r="G4297" t="e">
        <f ca="1">IMAGE("https://shop.sonapharmacy.com/cdn/shop/products/81TAn4CNviL._AC_SL1500.jpg?v=1629237098")</f>
        <v>#NAME?</v>
      </c>
      <c r="H4297" t="e">
        <f ca="1">IMAGE("https://m.media-amazon.com/images/I/61ykc2syHTL._AC_UL320_.jpg")</f>
        <v>#NAME?</v>
      </c>
      <c r="I4297" t="s">
        <v>9099</v>
      </c>
      <c r="J4297">
        <v>23</v>
      </c>
      <c r="K4297" s="2" t="s">
        <v>12183</v>
      </c>
      <c r="L4297">
        <v>4.7</v>
      </c>
      <c r="M4297">
        <v>11</v>
      </c>
      <c r="O4297" t="s">
        <v>26</v>
      </c>
      <c r="P4297" t="s">
        <v>39</v>
      </c>
      <c r="Q4297" t="s">
        <v>9101</v>
      </c>
    </row>
    <row r="4298" spans="1:17" ht="15.75" x14ac:dyDescent="0.25">
      <c r="A4298" s="3" t="str">
        <f>HYPERLINK("https://shop.sonapharmacy.com/products/flonase-allergy-relief-spray", "https://shop.sonapharmacy.com/products/flonase-allergy-relief-spray")</f>
        <v>https://shop.sonapharmacy.com/products/flonase-allergy-relief-spray</v>
      </c>
      <c r="B4298" s="3" t="str">
        <f>HYPERLINK("https://shop.sonapharmacy.com/products/flonase-allergy-relief-spray", "https://shop.sonapharmacy.com/products/flonase-allergy-relief-spray")</f>
        <v>https://shop.sonapharmacy.com/products/flonase-allergy-relief-spray</v>
      </c>
      <c r="C4298" t="s">
        <v>12108</v>
      </c>
      <c r="D4298" t="s">
        <v>12184</v>
      </c>
      <c r="E4298" s="3"/>
      <c r="F4298" t="s">
        <v>12185</v>
      </c>
      <c r="G4298" t="e">
        <f ca="1">IMAGE("https://shop.sonapharmacy.com/cdn/shop/products/81W9dcRd7bL._AC_SL1500.jpg?v=1611864793")</f>
        <v>#NAME?</v>
      </c>
      <c r="H4298" t="e">
        <f ca="1">IMAGE("https://m.media-amazon.com/images/I/8144rY9D7lL._AC_UL320_.jpg")</f>
        <v>#NAME?</v>
      </c>
      <c r="I4298" t="s">
        <v>11894</v>
      </c>
      <c r="J4298">
        <v>31.05</v>
      </c>
      <c r="K4298" s="2" t="s">
        <v>12186</v>
      </c>
      <c r="L4298">
        <v>4.8</v>
      </c>
      <c r="M4298">
        <v>1449</v>
      </c>
      <c r="O4298" t="s">
        <v>26</v>
      </c>
      <c r="P4298" t="s">
        <v>39</v>
      </c>
      <c r="Q4298" t="s">
        <v>12111</v>
      </c>
    </row>
    <row r="4299" spans="1:17" ht="15.75" x14ac:dyDescent="0.25">
      <c r="A4299" s="3" t="str">
        <f>HYPERLINK("https://shop.sonapharmacy.com/products/flonase-sensimist-allergy-relief-spray", "https://shop.sonapharmacy.com/products/flonase-sensimist-allergy-relief-spray")</f>
        <v>https://shop.sonapharmacy.com/products/flonase-sensimist-allergy-relief-spray</v>
      </c>
      <c r="B4299" s="3" t="str">
        <f>HYPERLINK("https://shop.sonapharmacy.com/products/flonase-sensimist-allergy-relief-spray", "https://shop.sonapharmacy.com/products/flonase-sensimist-allergy-relief-spray")</f>
        <v>https://shop.sonapharmacy.com/products/flonase-sensimist-allergy-relief-spray</v>
      </c>
      <c r="C4299" t="s">
        <v>11891</v>
      </c>
      <c r="D4299" t="s">
        <v>12184</v>
      </c>
      <c r="E4299" s="3" t="str">
        <f>HYPERLINK("https://www.amazon.com/Flonase-Sensimist-Allergy-Medicine-Multipack/dp/B0896LQY6Y/ref=sr_1_4?keywords=Flonase%C2%AE+Sensimist+Allergy+Relief+Spray&amp;qid=1695260252&amp;sr=8-4", "https://www.amazon.com/Flonase-Sensimist-Allergy-Medicine-Multipack/dp/B0896LQY6Y/ref=sr_1_4?keywords=Flonase%C2%AE+Sensimist+Allergy+Relief+Spray&amp;qid=1695260252&amp;sr=8-4")</f>
        <v>https://www.amazon.com/Flonase-Sensimist-Allergy-Medicine-Multipack/dp/B0896LQY6Y/ref=sr_1_4?keywords=Flonase%C2%AE+Sensimist+Allergy+Relief+Spray&amp;qid=1695260252&amp;sr=8-4</v>
      </c>
      <c r="F4299" t="s">
        <v>12185</v>
      </c>
      <c r="G4299" t="e">
        <f ca="1">IMAGE("https://shop.sonapharmacy.com/cdn/shop/products/FlonaseSensimistAllergyReliefSpray.jpg?v=1595345172")</f>
        <v>#NAME?</v>
      </c>
      <c r="H4299" t="e">
        <f ca="1">IMAGE("https://m.media-amazon.com/images/I/8144rY9D7lL._AC_UL320_.jpg")</f>
        <v>#NAME?</v>
      </c>
      <c r="I4299" t="s">
        <v>11894</v>
      </c>
      <c r="J4299">
        <v>31.05</v>
      </c>
      <c r="K4299" s="2" t="s">
        <v>12186</v>
      </c>
      <c r="L4299">
        <v>4.8</v>
      </c>
      <c r="M4299">
        <v>1449</v>
      </c>
      <c r="O4299" t="s">
        <v>26</v>
      </c>
      <c r="P4299" t="s">
        <v>39</v>
      </c>
      <c r="Q4299" t="s">
        <v>11896</v>
      </c>
    </row>
    <row r="4300" spans="1:17" ht="15.75" x14ac:dyDescent="0.25">
      <c r="A4300" s="3" t="str">
        <f>HYPERLINK("https://shop.sonapharmacy.com/products/holy-basil-leaf", "https://shop.sonapharmacy.com/products/holy-basil-leaf")</f>
        <v>https://shop.sonapharmacy.com/products/holy-basil-leaf</v>
      </c>
      <c r="B4300" s="3" t="str">
        <f>HYPERLINK("https://shop.sonapharmacy.com/products/holy-basil-leaf", "https://shop.sonapharmacy.com/products/holy-basil-leaf")</f>
        <v>https://shop.sonapharmacy.com/products/holy-basil-leaf</v>
      </c>
      <c r="C4300" t="s">
        <v>12187</v>
      </c>
      <c r="D4300" t="s">
        <v>12188</v>
      </c>
      <c r="E4300" s="3" t="str">
        <f>HYPERLINK("https://www.amazon.com/Gaia-Herbs-Basil-Liquid-Capsules/dp/B007W8O8J2/ref=sr_1_1?keywords=Gaia%C2%AE+Herbs+Holy+Basil+Leaf+Capsules+60ct.&amp;qid=1695260277&amp;sr=8-1", "https://www.amazon.com/Gaia-Herbs-Basil-Liquid-Capsules/dp/B007W8O8J2/ref=sr_1_1?keywords=Gaia%C2%AE+Herbs+Holy+Basil+Leaf+Capsules+60ct.&amp;qid=1695260277&amp;sr=8-1")</f>
        <v>https://www.amazon.com/Gaia-Herbs-Basil-Liquid-Capsules/dp/B007W8O8J2/ref=sr_1_1?keywords=Gaia%C2%AE+Herbs+Holy+Basil+Leaf+Capsules+60ct.&amp;qid=1695260277&amp;sr=8-1</v>
      </c>
      <c r="F4300" t="s">
        <v>12189</v>
      </c>
      <c r="G4300" t="e">
        <f ca="1">IMAGE("https://shop.sonapharmacy.com/cdn/shop/products/HolyBasilLeaf.png?v=1594754029")</f>
        <v>#NAME?</v>
      </c>
      <c r="H4300" t="e">
        <f ca="1">IMAGE("https://m.media-amazon.com/images/I/71oeuz1vYhL._AC_UL320_.jpg")</f>
        <v>#NAME?</v>
      </c>
      <c r="I4300" t="s">
        <v>3404</v>
      </c>
      <c r="J4300">
        <v>47.8</v>
      </c>
      <c r="K4300" s="2" t="s">
        <v>12190</v>
      </c>
      <c r="L4300">
        <v>4.5999999999999996</v>
      </c>
      <c r="M4300">
        <v>684</v>
      </c>
      <c r="O4300" t="s">
        <v>26</v>
      </c>
      <c r="P4300" t="s">
        <v>39</v>
      </c>
      <c r="Q4300" t="s">
        <v>12191</v>
      </c>
    </row>
    <row r="4301" spans="1:17" ht="15.75" x14ac:dyDescent="0.25">
      <c r="A4301" s="3" t="str">
        <f>HYPERLINK("https://shop.sonapharmacy.com/products/biotene%C2%AE-dry-mouth-oral-rinse-16fl-oz", "https://shop.sonapharmacy.com/products/biotene%C2%AE-dry-mouth-oral-rinse-16fl-oz")</f>
        <v>https://shop.sonapharmacy.com/products/biotene%C2%AE-dry-mouth-oral-rinse-16fl-oz</v>
      </c>
      <c r="B4301" s="3" t="str">
        <f>HYPERLINK("https://shop.sonapharmacy.com/products/biotene%c2%ae-dry-mouth-oral-rinse-16fl-oz", "https://shop.sonapharmacy.com/products/biotene%c2%ae-dry-mouth-oral-rinse-16fl-oz")</f>
        <v>https://shop.sonapharmacy.com/products/biotene%c2%ae-dry-mouth-oral-rinse-16fl-oz</v>
      </c>
      <c r="C4301" t="s">
        <v>11497</v>
      </c>
      <c r="D4301" t="s">
        <v>12192</v>
      </c>
      <c r="E4301" s="3" t="str">
        <f>HYPERLINK("https://www.amazon.com/Biotene-Mouth-Gentle-Soothing-Moisturization/dp/B06XRQZLCJ/ref=sr_1_4?keywords=Biot%C3%A8ne%C2%AE+Dry+Mouth+Oral+Rinse+16fl.+oz.&amp;qid=1695260085&amp;sr=8-4", "https://www.amazon.com/Biotene-Mouth-Gentle-Soothing-Moisturization/dp/B06XRQZLCJ/ref=sr_1_4?keywords=Biot%C3%A8ne%C2%AE+Dry+Mouth+Oral+Rinse+16fl.+oz.&amp;qid=1695260085&amp;sr=8-4")</f>
        <v>https://www.amazon.com/Biotene-Mouth-Gentle-Soothing-Moisturization/dp/B06XRQZLCJ/ref=sr_1_4?keywords=Biot%C3%A8ne%C2%AE+Dry+Mouth+Oral+Rinse+16fl.+oz.&amp;qid=1695260085&amp;sr=8-4</v>
      </c>
      <c r="F4301" t="s">
        <v>12193</v>
      </c>
      <c r="G4301" t="e">
        <f ca="1">IMAGE("https://shop.sonapharmacy.com/cdn/shop/products/98f7080b-d483-4e9e-8c51-ebf1ebb94d1c.2bf2475dcfe6c610df506f211cc52659.jpg?v=1608584581")</f>
        <v>#NAME?</v>
      </c>
      <c r="H4301" t="e">
        <f ca="1">IMAGE("https://m.media-amazon.com/images/I/61TEJwPPkuL._AC_UL320_.jpg")</f>
        <v>#NAME?</v>
      </c>
      <c r="I4301" t="s">
        <v>8423</v>
      </c>
      <c r="J4301">
        <v>15.5</v>
      </c>
      <c r="K4301" s="2" t="s">
        <v>12194</v>
      </c>
      <c r="L4301">
        <v>4.5</v>
      </c>
      <c r="M4301">
        <v>89</v>
      </c>
      <c r="O4301" t="s">
        <v>26</v>
      </c>
      <c r="P4301" t="s">
        <v>39</v>
      </c>
      <c r="Q4301" t="s">
        <v>11501</v>
      </c>
    </row>
    <row r="4302" spans="1:17" ht="15.75" x14ac:dyDescent="0.25">
      <c r="A4302" s="3" t="str">
        <f>HYPERLINK("https://shop.sonapharmacy.com/products/cara%C2%AE-standard-size-moist-dry-heating-pad", "https://shop.sonapharmacy.com/products/cara%C2%AE-standard-size-moist-dry-heating-pad")</f>
        <v>https://shop.sonapharmacy.com/products/cara%C2%AE-standard-size-moist-dry-heating-pad</v>
      </c>
      <c r="B4302" s="3" t="str">
        <f>HYPERLINK("https://shop.sonapharmacy.com/products/cara%c2%ae-standard-size-moist-dry-heating-pad", "https://shop.sonapharmacy.com/products/cara%c2%ae-standard-size-moist-dry-heating-pad")</f>
        <v>https://shop.sonapharmacy.com/products/cara%c2%ae-standard-size-moist-dry-heating-pad</v>
      </c>
      <c r="C4302" t="s">
        <v>8751</v>
      </c>
      <c r="D4302" t="s">
        <v>12195</v>
      </c>
      <c r="E4302" s="3" t="str">
        <f>HYPERLINK("https://www.amazon.com/Deluxe-Washable-Heating-Moist-Standard/dp/B00KHTH0YS/ref=sr_1_3?keywords=Cara%C2%AE+Standard+Size+Moist%2FDry+Heating+Pad&amp;qid=1695260154&amp;sr=8-3", "https://www.amazon.com/Deluxe-Washable-Heating-Moist-Standard/dp/B00KHTH0YS/ref=sr_1_3?keywords=Cara%C2%AE+Standard+Size+Moist%2FDry+Heating+Pad&amp;qid=1695260154&amp;sr=8-3")</f>
        <v>https://www.amazon.com/Deluxe-Washable-Heating-Moist-Standard/dp/B00KHTH0YS/ref=sr_1_3?keywords=Cara%C2%AE+Standard+Size+Moist%2FDry+Heating+Pad&amp;qid=1695260154&amp;sr=8-3</v>
      </c>
      <c r="F4302" t="s">
        <v>12196</v>
      </c>
      <c r="G4302" t="e">
        <f ca="1">IMAGE("https://shop.sonapharmacy.com/cdn/shop/products/da718653-98e8-4d98-a1bc-4562155c6543_1.6a398de2ed3c5b4be415e9ebd72152f4.jpg?v=1611153880")</f>
        <v>#NAME?</v>
      </c>
      <c r="H4302" t="e">
        <f ca="1">IMAGE("https://m.media-amazon.com/images/I/71N2e3TEmQL._AC_UL320_.jpg")</f>
        <v>#NAME?</v>
      </c>
      <c r="I4302" t="s">
        <v>8754</v>
      </c>
      <c r="J4302">
        <v>36.869999999999997</v>
      </c>
      <c r="K4302" s="2" t="s">
        <v>12197</v>
      </c>
      <c r="L4302">
        <v>3.6</v>
      </c>
      <c r="M4302">
        <v>52</v>
      </c>
      <c r="O4302" t="s">
        <v>26</v>
      </c>
      <c r="P4302" t="s">
        <v>39</v>
      </c>
      <c r="Q4302" t="s">
        <v>8756</v>
      </c>
    </row>
    <row r="4303" spans="1:17" ht="15.75" x14ac:dyDescent="0.25">
      <c r="A4303" s="3" t="str">
        <f>HYPERLINK("https://shop.sonapharmacy.com/products/sudafed-sinus-congestion-tablets-18-ct", "https://shop.sonapharmacy.com/products/sudafed-sinus-congestion-tablets-18-ct")</f>
        <v>https://shop.sonapharmacy.com/products/sudafed-sinus-congestion-tablets-18-ct</v>
      </c>
      <c r="B4303" s="3" t="str">
        <f>HYPERLINK("https://shop.sonapharmacy.com/products/sudafed-sinus-congestion-tablets-18-ct", "https://shop.sonapharmacy.com/products/sudafed-sinus-congestion-tablets-18-ct")</f>
        <v>https://shop.sonapharmacy.com/products/sudafed-sinus-congestion-tablets-18-ct</v>
      </c>
      <c r="C4303" t="s">
        <v>11453</v>
      </c>
      <c r="D4303" t="s">
        <v>12198</v>
      </c>
      <c r="E4303" s="3"/>
      <c r="F4303" t="s">
        <v>12199</v>
      </c>
      <c r="G4303" t="e">
        <f ca="1">IMAGE("https://shop.sonapharmacy.com/cdn/shop/products/SudafedSinusCongestionTablets.jpg?v=1595444685")</f>
        <v>#NAME?</v>
      </c>
      <c r="H4303" t="e">
        <f ca="1">IMAGE("https://m.media-amazon.com/images/I/71cq9u-4ZSL._AC_UL320_.jpg")</f>
        <v>#NAME?</v>
      </c>
      <c r="I4303" t="s">
        <v>11456</v>
      </c>
      <c r="J4303">
        <v>14.99</v>
      </c>
      <c r="K4303" s="2" t="s">
        <v>12200</v>
      </c>
      <c r="L4303">
        <v>4.7</v>
      </c>
      <c r="M4303">
        <v>3106</v>
      </c>
      <c r="O4303" t="s">
        <v>26</v>
      </c>
      <c r="P4303" t="s">
        <v>39</v>
      </c>
      <c r="Q4303" t="s">
        <v>11458</v>
      </c>
    </row>
    <row r="4304" spans="1:17" ht="15.75" x14ac:dyDescent="0.25">
      <c r="A4304" s="3" t="str">
        <f>HYPERLINK("https://shop.sonapharmacy.com/products/apex%C2%AE-soft-foam-ear-plugs-4-pairs", "https://shop.sonapharmacy.com/products/apex%C2%AE-soft-foam-ear-plugs-4-pairs")</f>
        <v>https://shop.sonapharmacy.com/products/apex%C2%AE-soft-foam-ear-plugs-4-pairs</v>
      </c>
      <c r="B4304" s="3" t="str">
        <f>HYPERLINK("https://shop.sonapharmacy.com/products/apex%c2%ae-soft-foam-ear-plugs-4-pairs", "https://shop.sonapharmacy.com/products/apex%c2%ae-soft-foam-ear-plugs-4-pairs")</f>
        <v>https://shop.sonapharmacy.com/products/apex%c2%ae-soft-foam-ear-plugs-4-pairs</v>
      </c>
      <c r="C4304" t="s">
        <v>10471</v>
      </c>
      <c r="D4304" t="s">
        <v>12201</v>
      </c>
      <c r="E4304" s="3" t="str">
        <f>HYPERLINK("https://www.amazon.com/Sleeping-Cancelling-Earplugs-Shooting-Protection/dp/B0BX74LTJF/ref=sr_1_8?keywords=Apex+Soft+Foam+Ear+Plugs+-+4+Pairs&amp;qid=1695260025&amp;sr=8-8", "https://www.amazon.com/Sleeping-Cancelling-Earplugs-Shooting-Protection/dp/B0BX74LTJF/ref=sr_1_8?keywords=Apex+Soft+Foam+Ear+Plugs+-+4+Pairs&amp;qid=1695260025&amp;sr=8-8")</f>
        <v>https://www.amazon.com/Sleeping-Cancelling-Earplugs-Shooting-Protection/dp/B0BX74LTJF/ref=sr_1_8?keywords=Apex+Soft+Foam+Ear+Plugs+-+4+Pairs&amp;qid=1695260025&amp;sr=8-8</v>
      </c>
      <c r="F4304" t="s">
        <v>12202</v>
      </c>
      <c r="G4304" t="e">
        <f ca="1">IMAGE("https://shop.sonapharmacy.com/cdn/shop/products/61Z0lzeE_zL._AC_SX466.jpg?v=1609960681")</f>
        <v>#NAME?</v>
      </c>
      <c r="H4304" t="e">
        <f ca="1">IMAGE("https://m.media-amazon.com/images/I/51GHNuMbQKL._AC_UL320_.jpg")</f>
        <v>#NAME?</v>
      </c>
      <c r="I4304" t="s">
        <v>10474</v>
      </c>
      <c r="J4304">
        <v>5.77</v>
      </c>
      <c r="K4304" s="2" t="s">
        <v>12203</v>
      </c>
      <c r="L4304">
        <v>4.0999999999999996</v>
      </c>
      <c r="M4304">
        <v>6</v>
      </c>
      <c r="O4304" t="s">
        <v>26</v>
      </c>
      <c r="P4304" t="s">
        <v>39</v>
      </c>
      <c r="Q4304" t="s">
        <v>10476</v>
      </c>
    </row>
    <row r="4305" spans="1:17" ht="15.75" x14ac:dyDescent="0.25">
      <c r="A4305" s="3" t="str">
        <f>HYPERLINK("https://shop.sonapharmacy.com/products/liver-cleanse-herbal-tea", "https://shop.sonapharmacy.com/products/liver-cleanse-herbal-tea")</f>
        <v>https://shop.sonapharmacy.com/products/liver-cleanse-herbal-tea</v>
      </c>
      <c r="B4305" s="3" t="str">
        <f>HYPERLINK("https://shop.sonapharmacy.com/products/liver-cleanse-herbal-tea", "https://shop.sonapharmacy.com/products/liver-cleanse-herbal-tea")</f>
        <v>https://shop.sonapharmacy.com/products/liver-cleanse-herbal-tea</v>
      </c>
      <c r="C4305" t="s">
        <v>9125</v>
      </c>
      <c r="D4305" t="s">
        <v>12204</v>
      </c>
      <c r="E4305" s="3" t="str">
        <f>HYPERLINK("https://www.amazon.com/Gaia-Herbs-Cleanse-Detox-Herbal/dp/B01FGGK0TI/ref=sr_1_1?keywords=Gaia%C2%AE+Herbs+Liver+Cleanse+Herbal+Tea+16ct.&amp;qid=1695260307&amp;sr=8-1", "https://www.amazon.com/Gaia-Herbs-Cleanse-Detox-Herbal/dp/B01FGGK0TI/ref=sr_1_1?keywords=Gaia%C2%AE+Herbs+Liver+Cleanse+Herbal+Tea+16ct.&amp;qid=1695260307&amp;sr=8-1")</f>
        <v>https://www.amazon.com/Gaia-Herbs-Cleanse-Detox-Herbal/dp/B01FGGK0TI/ref=sr_1_1?keywords=Gaia%C2%AE+Herbs+Liver+Cleanse+Herbal+Tea+16ct.&amp;qid=1695260307&amp;sr=8-1</v>
      </c>
      <c r="F4305" t="s">
        <v>12205</v>
      </c>
      <c r="G4305" t="e">
        <f ca="1">IMAGE("https://shop.sonapharmacy.com/cdn/shop/products/LiverCleansetea.png?v=1594736857")</f>
        <v>#NAME?</v>
      </c>
      <c r="H4305" t="e">
        <f ca="1">IMAGE("https://m.media-amazon.com/images/I/91CWaZuvmTL._AC_UL320_.jpg")</f>
        <v>#NAME?</v>
      </c>
      <c r="I4305" t="s">
        <v>8963</v>
      </c>
      <c r="J4305">
        <v>9.52</v>
      </c>
      <c r="K4305" s="2" t="s">
        <v>12206</v>
      </c>
      <c r="L4305">
        <v>4.4000000000000004</v>
      </c>
      <c r="M4305">
        <v>2902</v>
      </c>
      <c r="O4305" t="s">
        <v>26</v>
      </c>
      <c r="P4305" t="s">
        <v>39</v>
      </c>
      <c r="Q4305" t="s">
        <v>9126</v>
      </c>
    </row>
    <row r="4306" spans="1:17" ht="15.75" x14ac:dyDescent="0.25">
      <c r="A4306" s="3" t="str">
        <f>HYPERLINK("https://shop.sonapharmacy.com/products/gaia-black-seed-oil", "https://shop.sonapharmacy.com/products/gaia-black-seed-oil")</f>
        <v>https://shop.sonapharmacy.com/products/gaia-black-seed-oil</v>
      </c>
      <c r="B4306" s="3" t="str">
        <f>HYPERLINK("https://shop.sonapharmacy.com/products/gaia-black-seed-oil", "https://shop.sonapharmacy.com/products/gaia-black-seed-oil")</f>
        <v>https://shop.sonapharmacy.com/products/gaia-black-seed-oil</v>
      </c>
      <c r="C4306" t="s">
        <v>12207</v>
      </c>
      <c r="D4306" t="s">
        <v>12208</v>
      </c>
      <c r="E4306" s="3" t="str">
        <f>HYPERLINK("https://www.amazon.com/Amazing-Herbs-Premium-Black-1250mg/dp/B01N1LVFKK/ref=sr_1_7?keywords=Gaia%C2%AE+Herbs+Black+Seed+Oil+Capsules+60ct.&amp;qid=1695260261&amp;sr=8-7", "https://www.amazon.com/Amazing-Herbs-Premium-Black-1250mg/dp/B01N1LVFKK/ref=sr_1_7?keywords=Gaia%C2%AE+Herbs+Black+Seed+Oil+Capsules+60ct.&amp;qid=1695260261&amp;sr=8-7")</f>
        <v>https://www.amazon.com/Amazing-Herbs-Premium-Black-1250mg/dp/B01N1LVFKK/ref=sr_1_7?keywords=Gaia%C2%AE+Herbs+Black+Seed+Oil+Capsules+60ct.&amp;qid=1695260261&amp;sr=8-7</v>
      </c>
      <c r="F4306" t="s">
        <v>12209</v>
      </c>
      <c r="G4306" t="e">
        <f ca="1">IMAGE("https://shop.sonapharmacy.com/cdn/shop/products/Gaia-Herbs-BlackSeedOilFront.png?v=1606235568")</f>
        <v>#NAME?</v>
      </c>
      <c r="H4306" t="e">
        <f ca="1">IMAGE("https://m.media-amazon.com/images/I/71BCsd+IimL._AC_UL320_.jpg")</f>
        <v>#NAME?</v>
      </c>
      <c r="I4306" t="s">
        <v>3404</v>
      </c>
      <c r="J4306">
        <v>47.6</v>
      </c>
      <c r="K4306" s="2" t="s">
        <v>12210</v>
      </c>
      <c r="L4306">
        <v>4.7</v>
      </c>
      <c r="M4306">
        <v>1843</v>
      </c>
      <c r="O4306" t="s">
        <v>26</v>
      </c>
      <c r="P4306" t="s">
        <v>39</v>
      </c>
      <c r="Q4306" t="s">
        <v>12211</v>
      </c>
    </row>
    <row r="4307" spans="1:17" ht="15.75" x14ac:dyDescent="0.25">
      <c r="A4307" s="3" t="str">
        <f>HYPERLINK("https://shop.sonapharmacy.com/products/band-aid%C2%AE-tru-stay-plastic-strip-60ct", "https://shop.sonapharmacy.com/products/band-aid%C2%AE-tru-stay-plastic-strip-60ct")</f>
        <v>https://shop.sonapharmacy.com/products/band-aid%C2%AE-tru-stay-plastic-strip-60ct</v>
      </c>
      <c r="B4307" s="3" t="str">
        <f>HYPERLINK("https://shop.sonapharmacy.com/products/band-aid%c2%ae-tru-stay-plastic-strip-60ct", "https://shop.sonapharmacy.com/products/band-aid%c2%ae-tru-stay-plastic-strip-60ct")</f>
        <v>https://shop.sonapharmacy.com/products/band-aid%c2%ae-tru-stay-plastic-strip-60ct</v>
      </c>
      <c r="C4307" t="s">
        <v>10168</v>
      </c>
      <c r="D4307" t="s">
        <v>12212</v>
      </c>
      <c r="E4307" s="3" t="str">
        <f>HYPERLINK("https://www.amazon.com/Band-Aid-Tru-Stay-Plastic-Adhesive-Bandages/dp/B004N10SEK/ref=sr_1_2?keywords=BAND-AID%C2%AE+Tru-Stay+Plastic+Strip+60ct&amp;qid=1695260076&amp;sr=8-2", "https://www.amazon.com/Band-Aid-Tru-Stay-Plastic-Adhesive-Bandages/dp/B004N10SEK/ref=sr_1_2?keywords=BAND-AID%C2%AE+Tru-Stay+Plastic+Strip+60ct&amp;qid=1695260076&amp;sr=8-2")</f>
        <v>https://www.amazon.com/Band-Aid-Tru-Stay-Plastic-Adhesive-Bandages/dp/B004N10SEK/ref=sr_1_2?keywords=BAND-AID%C2%AE+Tru-Stay+Plastic+Strip+60ct&amp;qid=1695260076&amp;sr=8-2</v>
      </c>
      <c r="F4307" t="s">
        <v>12213</v>
      </c>
      <c r="G4307" t="e">
        <f ca="1">IMAGE("https://shop.sonapharmacy.com/cdn/shop/products/bab_381370056355_100023188_band_aid_band_aid_tru_stay_plastic_aos_60ct_007.jpg?v=1607810924")</f>
        <v>#NAME?</v>
      </c>
      <c r="H4307" t="e">
        <f ca="1">IMAGE("https://m.media-amazon.com/images/I/61998BZPrTL._AC_UL320_.jpg")</f>
        <v>#NAME?</v>
      </c>
      <c r="I4307" t="s">
        <v>8992</v>
      </c>
      <c r="J4307">
        <v>6.55</v>
      </c>
      <c r="K4307" s="2" t="s">
        <v>12214</v>
      </c>
      <c r="L4307">
        <v>4.5</v>
      </c>
      <c r="M4307">
        <v>60</v>
      </c>
      <c r="O4307" t="s">
        <v>26</v>
      </c>
      <c r="P4307" t="s">
        <v>39</v>
      </c>
      <c r="Q4307" t="s">
        <v>10172</v>
      </c>
    </row>
    <row r="4308" spans="1:17" ht="15.75" x14ac:dyDescent="0.25">
      <c r="A4308" s="3" t="str">
        <f>HYPERLINK("https://shop.sonapharmacy.com/products/phisoderm-anti-blemish-gel-cleanser-6oz", "https://shop.sonapharmacy.com/products/phisoderm-anti-blemish-gel-cleanser-6oz")</f>
        <v>https://shop.sonapharmacy.com/products/phisoderm-anti-blemish-gel-cleanser-6oz</v>
      </c>
      <c r="B4308" s="3" t="str">
        <f>HYPERLINK("https://shop.sonapharmacy.com/products/phisoderm-anti-blemish-gel-cleanser-6oz", "https://shop.sonapharmacy.com/products/phisoderm-anti-blemish-gel-cleanser-6oz")</f>
        <v>https://shop.sonapharmacy.com/products/phisoderm-anti-blemish-gel-cleanser-6oz</v>
      </c>
      <c r="C4308" t="s">
        <v>8099</v>
      </c>
      <c r="D4308" t="s">
        <v>11775</v>
      </c>
      <c r="E4308" s="3" t="str">
        <f>HYPERLINK("https://www.amazon.com/Phisoderm-MENTHOLATUM006387-Anti-Blemish-Gel-Cleanser/dp/B000NT2EE8/ref=sr_1_7?keywords=Phisoderm+Anti-Blemish+Gel+Cleanser+6oz.&amp;qid=1695260646&amp;sr=8-7", "https://www.amazon.com/Phisoderm-MENTHOLATUM006387-Anti-Blemish-Gel-Cleanser/dp/B000NT2EE8/ref=sr_1_7?keywords=Phisoderm+Anti-Blemish+Gel+Cleanser+6oz.&amp;qid=1695260646&amp;sr=8-7")</f>
        <v>https://www.amazon.com/Phisoderm-MENTHOLATUM006387-Anti-Blemish-Gel-Cleanser/dp/B000NT2EE8/ref=sr_1_7?keywords=Phisoderm+Anti-Blemish+Gel+Cleanser+6oz.&amp;qid=1695260646&amp;sr=8-7</v>
      </c>
      <c r="F4308" t="s">
        <v>12215</v>
      </c>
      <c r="G4308" t="e">
        <f ca="1">IMAGE("https://shop.sonapharmacy.com/cdn/shop/products/72de085f-0d9e-4dcc-a7c8-97413c8c71dd_1.8c57de847d24ae111148749ef4a3c57b.jpg?v=1608307791")</f>
        <v>#NAME?</v>
      </c>
      <c r="H4308" t="e">
        <f ca="1">IMAGE("https://m.media-amazon.com/images/I/81O7ehQDGZL._AC_UL320_.jpg")</f>
        <v>#NAME?</v>
      </c>
      <c r="I4308" t="s">
        <v>8102</v>
      </c>
      <c r="J4308">
        <v>7.91</v>
      </c>
      <c r="K4308" s="2" t="s">
        <v>12216</v>
      </c>
      <c r="L4308">
        <v>4.3</v>
      </c>
      <c r="M4308">
        <v>355</v>
      </c>
      <c r="O4308" t="s">
        <v>26</v>
      </c>
      <c r="P4308" t="s">
        <v>39</v>
      </c>
      <c r="Q4308" t="s">
        <v>8104</v>
      </c>
    </row>
    <row r="4309" spans="1:17" ht="15.75" x14ac:dyDescent="0.25">
      <c r="A4309" s="3" t="str">
        <f>HYPERLINK("https://shop.sonapharmacy.com/products/resinol-medicated-ointment-3-3oz", "https://shop.sonapharmacy.com/products/resinol-medicated-ointment-3-3oz")</f>
        <v>https://shop.sonapharmacy.com/products/resinol-medicated-ointment-3-3oz</v>
      </c>
      <c r="B4309" s="3" t="str">
        <f>HYPERLINK("https://shop.sonapharmacy.com/products/resinol-medicated-ointment-3-3oz", "https://shop.sonapharmacy.com/products/resinol-medicated-ointment-3-3oz")</f>
        <v>https://shop.sonapharmacy.com/products/resinol-medicated-ointment-3-3oz</v>
      </c>
      <c r="C4309" t="s">
        <v>8612</v>
      </c>
      <c r="D4309" t="s">
        <v>12217</v>
      </c>
      <c r="E4309" s="3" t="str">
        <f>HYPERLINK("https://www.amazon.com/Resinol-Medicated-Ointment-3-30-oz/dp/B01IF565ZK/ref=sr_1_3?keywords=Resinol+Medicated+Ointment+3.3oz&amp;qid=1695260673&amp;sr=8-3", "https://www.amazon.com/Resinol-Medicated-Ointment-3-30-oz/dp/B01IF565ZK/ref=sr_1_3?keywords=Resinol+Medicated+Ointment+3.3oz&amp;qid=1695260673&amp;sr=8-3")</f>
        <v>https://www.amazon.com/Resinol-Medicated-Ointment-3-30-oz/dp/B01IF565ZK/ref=sr_1_3?keywords=Resinol+Medicated+Ointment+3.3oz&amp;qid=1695260673&amp;sr=8-3</v>
      </c>
      <c r="F4309" t="s">
        <v>12218</v>
      </c>
      <c r="G4309" t="e">
        <f ca="1">IMAGE("https://shop.sonapharmacy.com/cdn/shop/products/61SYOFBFkKL._AC_SL1237.jpg?v=1607970374")</f>
        <v>#NAME?</v>
      </c>
      <c r="H4309" t="e">
        <f ca="1">IMAGE("https://m.media-amazon.com/images/I/61SYOFBFkKL._AC_UL320_.jpg")</f>
        <v>#NAME?</v>
      </c>
      <c r="I4309" t="s">
        <v>8615</v>
      </c>
      <c r="J4309">
        <v>20.420000000000002</v>
      </c>
      <c r="K4309" s="2" t="s">
        <v>12219</v>
      </c>
      <c r="L4309">
        <v>4.8</v>
      </c>
      <c r="M4309">
        <v>154</v>
      </c>
      <c r="O4309" t="s">
        <v>136</v>
      </c>
      <c r="P4309" t="s">
        <v>39</v>
      </c>
      <c r="Q4309" t="s">
        <v>8617</v>
      </c>
    </row>
    <row r="4310" spans="1:17" ht="15.75" x14ac:dyDescent="0.25">
      <c r="A4310" s="3" t="str">
        <f>HYPERLINK("https://shop.sonapharmacy.com/products/gaia-black-seed-oil", "https://shop.sonapharmacy.com/products/gaia-black-seed-oil")</f>
        <v>https://shop.sonapharmacy.com/products/gaia-black-seed-oil</v>
      </c>
      <c r="B4310" s="3" t="str">
        <f>HYPERLINK("https://shop.sonapharmacy.com/products/gaia-black-seed-oil", "https://shop.sonapharmacy.com/products/gaia-black-seed-oil")</f>
        <v>https://shop.sonapharmacy.com/products/gaia-black-seed-oil</v>
      </c>
      <c r="C4310" t="s">
        <v>12207</v>
      </c>
      <c r="D4310" t="s">
        <v>12208</v>
      </c>
      <c r="E4310" s="3" t="str">
        <f>HYPERLINK("https://www.amazon.com/Amazing-Herbs-Premium-Black-1250mg/dp/B072LQHX25/ref=sr_1_3?keywords=Gaia%C2%AE+Herbs+Black+Seed+Oil+Capsules+60ct.&amp;qid=1695260261&amp;sr=8-3", "https://www.amazon.com/Amazing-Herbs-Premium-Black-1250mg/dp/B072LQHX25/ref=sr_1_3?keywords=Gaia%C2%AE+Herbs+Black+Seed+Oil+Capsules+60ct.&amp;qid=1695260261&amp;sr=8-3")</f>
        <v>https://www.amazon.com/Amazing-Herbs-Premium-Black-1250mg/dp/B072LQHX25/ref=sr_1_3?keywords=Gaia%C2%AE+Herbs+Black+Seed+Oil+Capsules+60ct.&amp;qid=1695260261&amp;sr=8-3</v>
      </c>
      <c r="F4310" t="s">
        <v>12220</v>
      </c>
      <c r="G4310" t="e">
        <f ca="1">IMAGE("https://shop.sonapharmacy.com/cdn/shop/products/Gaia-Herbs-BlackSeedOilFront.png?v=1606235568")</f>
        <v>#NAME?</v>
      </c>
      <c r="H4310" t="e">
        <f ca="1">IMAGE("https://m.media-amazon.com/images/I/71BCsd+IimL._AC_UL320_.jpg")</f>
        <v>#NAME?</v>
      </c>
      <c r="I4310" t="s">
        <v>3404</v>
      </c>
      <c r="J4310">
        <v>47.5</v>
      </c>
      <c r="K4310" s="2" t="s">
        <v>12221</v>
      </c>
      <c r="L4310">
        <v>4.7</v>
      </c>
      <c r="M4310">
        <v>2628</v>
      </c>
      <c r="O4310" t="s">
        <v>26</v>
      </c>
      <c r="P4310" t="s">
        <v>39</v>
      </c>
      <c r="Q4310" t="s">
        <v>12211</v>
      </c>
    </row>
    <row r="4311" spans="1:17" ht="15.75" x14ac:dyDescent="0.25">
      <c r="A4311" s="3" t="str">
        <f>HYPERLINK("https://shop.sonapharmacy.com/products/bayer-chewable-81-mg-low-dose-aspirin", "https://shop.sonapharmacy.com/products/bayer-chewable-81-mg-low-dose-aspirin")</f>
        <v>https://shop.sonapharmacy.com/products/bayer-chewable-81-mg-low-dose-aspirin</v>
      </c>
      <c r="B4311" s="3" t="str">
        <f>HYPERLINK("https://shop.sonapharmacy.com/products/bayer-chewable-81-mg-low-dose-aspirin", "https://shop.sonapharmacy.com/products/bayer-chewable-81-mg-low-dose-aspirin")</f>
        <v>https://shop.sonapharmacy.com/products/bayer-chewable-81-mg-low-dose-aspirin</v>
      </c>
      <c r="C4311" t="s">
        <v>8629</v>
      </c>
      <c r="D4311" t="s">
        <v>12222</v>
      </c>
      <c r="E4311" s="3" t="str">
        <f>HYPERLINK("https://www.amazon.com/Bayer-Childrens-Aspirin-Chewable-Orange/dp/B00E4MRJBI/ref=sr_1_4?keywords=Bayer%C2%AE+Chewable+81+mg+Low+Dose+Aspirin&amp;qid=1695260078&amp;sr=8-4", "https://www.amazon.com/Bayer-Childrens-Aspirin-Chewable-Orange/dp/B00E4MRJBI/ref=sr_1_4?keywords=Bayer%C2%AE+Chewable+81+mg+Low+Dose+Aspirin&amp;qid=1695260078&amp;sr=8-4")</f>
        <v>https://www.amazon.com/Bayer-Childrens-Aspirin-Chewable-Orange/dp/B00E4MRJBI/ref=sr_1_4?keywords=Bayer%C2%AE+Chewable+81+mg+Low+Dose+Aspirin&amp;qid=1695260078&amp;sr=8-4</v>
      </c>
      <c r="F4311" t="s">
        <v>12223</v>
      </c>
      <c r="G4311" t="e">
        <f ca="1">IMAGE("https://shop.sonapharmacy.com/cdn/shop/products/Untitled-22.jpg?v=1592598310")</f>
        <v>#NAME?</v>
      </c>
      <c r="H4311" t="e">
        <f ca="1">IMAGE("https://m.media-amazon.com/images/I/81UHxKnCQEL._AC_UL320_.jpg")</f>
        <v>#NAME?</v>
      </c>
      <c r="I4311" t="s">
        <v>8632</v>
      </c>
      <c r="J4311">
        <v>5.99</v>
      </c>
      <c r="K4311" s="2" t="s">
        <v>12224</v>
      </c>
      <c r="L4311">
        <v>4.7</v>
      </c>
      <c r="M4311">
        <v>296</v>
      </c>
      <c r="O4311" t="s">
        <v>26</v>
      </c>
      <c r="P4311" t="s">
        <v>39</v>
      </c>
      <c r="Q4311" t="s">
        <v>8634</v>
      </c>
    </row>
    <row r="4312" spans="1:17" ht="15.75" x14ac:dyDescent="0.25">
      <c r="A4312" s="3" t="str">
        <f>HYPERLINK("https://shop.sonapharmacy.com/products/apex%C2%AE-flex-tip-digital-thermometer", "https://shop.sonapharmacy.com/products/apex%C2%AE-flex-tip-digital-thermometer")</f>
        <v>https://shop.sonapharmacy.com/products/apex%C2%AE-flex-tip-digital-thermometer</v>
      </c>
      <c r="B4312" s="3" t="str">
        <f>HYPERLINK("https://shop.sonapharmacy.com/products/apex%c2%ae-flex-tip-digital-thermometer", "https://shop.sonapharmacy.com/products/apex%c2%ae-flex-tip-digital-thermometer")</f>
        <v>https://shop.sonapharmacy.com/products/apex%c2%ae-flex-tip-digital-thermometer</v>
      </c>
      <c r="C4312" t="s">
        <v>12225</v>
      </c>
      <c r="D4312" t="s">
        <v>12226</v>
      </c>
      <c r="E4312" s="3" t="str">
        <f>HYPERLINK("https://www.amazon.com/Veridian-08-362-8-second-Digital-Thermometer/dp/B003SLPQM0/ref=sr_1_4?keywords=Apex+Flex-Tip+Digital+Thermometer&amp;qid=1695260025&amp;sr=8-4", "https://www.amazon.com/Veridian-08-362-8-second-Digital-Thermometer/dp/B003SLPQM0/ref=sr_1_4?keywords=Apex+Flex-Tip+Digital+Thermometer&amp;qid=1695260025&amp;sr=8-4")</f>
        <v>https://www.amazon.com/Veridian-08-362-8-second-Digital-Thermometer/dp/B003SLPQM0/ref=sr_1_4?keywords=Apex+Flex-Tip+Digital+Thermometer&amp;qid=1695260025&amp;sr=8-4</v>
      </c>
      <c r="F4312" t="s">
        <v>12227</v>
      </c>
      <c r="G4312" t="e">
        <f ca="1">IMAGE("https://shop.sonapharmacy.com/cdn/shop/products/0_8c214e25-c6ab-4a6b-824e-fa3f540999f6.jpg?v=1610853612")</f>
        <v>#NAME?</v>
      </c>
      <c r="H4312" t="e">
        <f ca="1">IMAGE("https://m.media-amazon.com/images/I/81b2XNlz7OL._AC_UL320_.jpg")</f>
        <v>#NAME?</v>
      </c>
      <c r="I4312" t="s">
        <v>12228</v>
      </c>
      <c r="J4312">
        <v>14.38</v>
      </c>
      <c r="K4312" s="2" t="s">
        <v>12229</v>
      </c>
      <c r="L4312">
        <v>3.6</v>
      </c>
      <c r="M4312">
        <v>46</v>
      </c>
      <c r="O4312" t="s">
        <v>26</v>
      </c>
      <c r="P4312" t="s">
        <v>39</v>
      </c>
      <c r="Q4312" t="s">
        <v>12230</v>
      </c>
    </row>
    <row r="4313" spans="1:17" ht="15.75" x14ac:dyDescent="0.25">
      <c r="A4313" s="3" t="str">
        <f>HYPERLINK("https://shop.sonapharmacy.com/products/replesta-nx-once-weekly-vitamin-d-supplement", "https://shop.sonapharmacy.com/products/replesta-nx-once-weekly-vitamin-d-supplement")</f>
        <v>https://shop.sonapharmacy.com/products/replesta-nx-once-weekly-vitamin-d-supplement</v>
      </c>
      <c r="B4313" s="3" t="str">
        <f>HYPERLINK("https://shop.sonapharmacy.com/products/replesta-nx-once-weekly-vitamin-d-supplement", "https://shop.sonapharmacy.com/products/replesta-nx-once-weekly-vitamin-d-supplement")</f>
        <v>https://shop.sonapharmacy.com/products/replesta-nx-once-weekly-vitamin-d-supplement</v>
      </c>
      <c r="C4313" t="s">
        <v>12231</v>
      </c>
      <c r="D4313" t="s">
        <v>12232</v>
      </c>
      <c r="E4313" s="3" t="str">
        <f>HYPERLINK("https://www.amazon.com/Replesta-Chewable-Wafers-Natural-Orange/dp/B00J2CN5BI/ref=sr_1_3?keywords=Replesta+NX+Once-Weekly+Vitamin+D+Supplement&amp;qid=1695260681&amp;sr=8-3", "https://www.amazon.com/Replesta-Chewable-Wafers-Natural-Orange/dp/B00J2CN5BI/ref=sr_1_3?keywords=Replesta+NX+Once-Weekly+Vitamin+D+Supplement&amp;qid=1695260681&amp;sr=8-3")</f>
        <v>https://www.amazon.com/Replesta-Chewable-Wafers-Natural-Orange/dp/B00J2CN5BI/ref=sr_1_3?keywords=Replesta+NX+Once-Weekly+Vitamin+D+Supplement&amp;qid=1695260681&amp;sr=8-3</v>
      </c>
      <c r="F4313" t="s">
        <v>12233</v>
      </c>
      <c r="G4313" t="e">
        <f ca="1">IMAGE("https://shop.sonapharmacy.com/cdn/shop/products/resize_2.png?v=1596639333")</f>
        <v>#NAME?</v>
      </c>
      <c r="H4313" t="e">
        <f ca="1">IMAGE("https://m.media-amazon.com/images/I/81WN3fR7-8L._AC_UL320_.jpg")</f>
        <v>#NAME?</v>
      </c>
      <c r="I4313" t="s">
        <v>12234</v>
      </c>
      <c r="J4313">
        <v>31.95</v>
      </c>
      <c r="K4313" s="2" t="s">
        <v>12235</v>
      </c>
      <c r="L4313">
        <v>4.7</v>
      </c>
      <c r="M4313">
        <v>104</v>
      </c>
      <c r="O4313" t="s">
        <v>26</v>
      </c>
      <c r="P4313" t="s">
        <v>39</v>
      </c>
      <c r="Q4313" t="s">
        <v>12236</v>
      </c>
    </row>
    <row r="4314" spans="1:17" ht="15.75" x14ac:dyDescent="0.25">
      <c r="A4314" s="3" t="str">
        <f>HYPERLINK("https://shop.sonapharmacy.com/products/azo-test-strips%C2%AE-urinary-tract-infection-test-3ct", "https://shop.sonapharmacy.com/products/azo-test-strips%C2%AE-urinary-tract-infection-test-3ct")</f>
        <v>https://shop.sonapharmacy.com/products/azo-test-strips%C2%AE-urinary-tract-infection-test-3ct</v>
      </c>
      <c r="B4314" s="3" t="str">
        <f>HYPERLINK("https://shop.sonapharmacy.com/products/azo-test-strips%c2%ae-urinary-tract-infection-test-3ct", "https://shop.sonapharmacy.com/products/azo-test-strips%c2%ae-urinary-tract-infection-test-3ct")</f>
        <v>https://shop.sonapharmacy.com/products/azo-test-strips%c2%ae-urinary-tract-infection-test-3ct</v>
      </c>
      <c r="C4314" t="s">
        <v>12237</v>
      </c>
      <c r="D4314" t="s">
        <v>12238</v>
      </c>
      <c r="E4314" s="3" t="str">
        <f>HYPERLINK("https://www.amazon.com/AZO-Urinary-Infection-3-Count-Packaging/dp/B001G7R2PW/ref=sr_1_7?keywords=AZO+Test+Strips%C2%AE+Urinary+Tract+Infection+Test+3ct.&amp;qid=1695260045&amp;sr=8-7", "https://www.amazon.com/AZO-Urinary-Infection-3-Count-Packaging/dp/B001G7R2PW/ref=sr_1_7?keywords=AZO+Test+Strips%C2%AE+Urinary+Tract+Infection+Test+3ct.&amp;qid=1695260045&amp;sr=8-7")</f>
        <v>https://www.amazon.com/AZO-Urinary-Infection-3-Count-Packaging/dp/B001G7R2PW/ref=sr_1_7?keywords=AZO+Test+Strips%C2%AE+Urinary+Tract+Infection+Test+3ct.&amp;qid=1695260045&amp;sr=8-7</v>
      </c>
      <c r="F4314" t="s">
        <v>12239</v>
      </c>
      <c r="G4314" t="e">
        <f ca="1">IMAGE("https://shop.sonapharmacy.com/cdn/shop/products/AZO_Test_strips_med.png?v=1609168405")</f>
        <v>#NAME?</v>
      </c>
      <c r="H4314" t="e">
        <f ca="1">IMAGE("https://m.media-amazon.com/images/I/71E5XQ-IRGL._AC_UL320_.jpg")</f>
        <v>#NAME?</v>
      </c>
      <c r="I4314" t="s">
        <v>12240</v>
      </c>
      <c r="J4314">
        <v>23.94</v>
      </c>
      <c r="K4314" s="2" t="s">
        <v>12241</v>
      </c>
      <c r="L4314">
        <v>4.5</v>
      </c>
      <c r="M4314">
        <v>110</v>
      </c>
      <c r="O4314" t="s">
        <v>26</v>
      </c>
      <c r="P4314" t="s">
        <v>39</v>
      </c>
      <c r="Q4314" t="s">
        <v>12242</v>
      </c>
    </row>
    <row r="4315" spans="1:17" ht="15.75" x14ac:dyDescent="0.25">
      <c r="A4315" s="3" t="str">
        <f>HYPERLINK("https://shop.sonapharmacy.com/products/dermoplast-pain-burn-itch-relief-spray-2-75oz", "https://shop.sonapharmacy.com/products/dermoplast-pain-burn-itch-relief-spray-2-75oz")</f>
        <v>https://shop.sonapharmacy.com/products/dermoplast-pain-burn-itch-relief-spray-2-75oz</v>
      </c>
      <c r="B4315" s="3" t="str">
        <f>HYPERLINK("https://shop.sonapharmacy.com/products/dermoplast-pain-burn-itch-relief-spray-2-75oz", "https://shop.sonapharmacy.com/products/dermoplast-pain-burn-itch-relief-spray-2-75oz")</f>
        <v>https://shop.sonapharmacy.com/products/dermoplast-pain-burn-itch-relief-spray-2-75oz</v>
      </c>
      <c r="C4315" t="s">
        <v>12243</v>
      </c>
      <c r="D4315" t="s">
        <v>12244</v>
      </c>
      <c r="E4315" s="3" t="str">
        <f>HYPERLINK("https://www.amazon.com/Bundle-Dermoplast-Relief-Packaging-Sting-Free/dp/B0CDDNJ4VC/ref=sr_1_5?keywords=Dermoplast%C2%AE+Pain%2C+Burn+%26+Itch+Relief+Spray+2.75oz&amp;qid=1695260186&amp;sr=8-5", "https://www.amazon.com/Bundle-Dermoplast-Relief-Packaging-Sting-Free/dp/B0CDDNJ4VC/ref=sr_1_5?keywords=Dermoplast%C2%AE+Pain%2C+Burn+%26+Itch+Relief+Spray+2.75oz&amp;qid=1695260186&amp;sr=8-5")</f>
        <v>https://www.amazon.com/Bundle-Dermoplast-Relief-Packaging-Sting-Free/dp/B0CDDNJ4VC/ref=sr_1_5?keywords=Dermoplast%C2%AE+Pain%2C+Burn+%26+Itch+Relief+Spray+2.75oz&amp;qid=1695260186&amp;sr=8-5</v>
      </c>
      <c r="F4315" t="s">
        <v>12245</v>
      </c>
      <c r="G4315" t="e">
        <f ca="1">IMAGE("https://shop.sonapharmacy.com/cdn/shop/products/61YWWMq2nHL._AC_SL1200.jpg?v=1608137311")</f>
        <v>#NAME?</v>
      </c>
      <c r="H4315" t="e">
        <f ca="1">IMAGE("https://m.media-amazon.com/images/I/51+1kBTJSnL._AC_UL320_.jpg")</f>
        <v>#NAME?</v>
      </c>
      <c r="I4315" t="s">
        <v>12246</v>
      </c>
      <c r="J4315">
        <v>20.93</v>
      </c>
      <c r="K4315" s="2" t="s">
        <v>12247</v>
      </c>
      <c r="L4315">
        <v>4.7</v>
      </c>
      <c r="M4315">
        <v>327</v>
      </c>
      <c r="O4315" t="s">
        <v>26</v>
      </c>
      <c r="P4315" t="s">
        <v>39</v>
      </c>
      <c r="Q4315" t="s">
        <v>12248</v>
      </c>
    </row>
    <row r="4316" spans="1:17" ht="15.75" x14ac:dyDescent="0.25">
      <c r="A4316" s="3" t="str">
        <f>HYPERLINK("https://shop.sonapharmacy.com/products/good-sense-tussin-dm-cough-and-chest-congestion-liquid", "https://shop.sonapharmacy.com/products/good-sense-tussin-dm-cough-and-chest-congestion-liquid")</f>
        <v>https://shop.sonapharmacy.com/products/good-sense-tussin-dm-cough-and-chest-congestion-liquid</v>
      </c>
      <c r="B4316" s="3" t="str">
        <f>HYPERLINK("https://shop.sonapharmacy.com/products/good-sense-tussin-dm-cough-and-chest-congestion-liquid", "https://shop.sonapharmacy.com/products/good-sense-tussin-dm-cough-and-chest-congestion-liquid")</f>
        <v>https://shop.sonapharmacy.com/products/good-sense-tussin-dm-cough-and-chest-congestion-liquid</v>
      </c>
      <c r="C4316" t="s">
        <v>12249</v>
      </c>
      <c r="D4316" t="s">
        <v>12250</v>
      </c>
      <c r="E4316" s="3" t="str">
        <f>HYPERLINK("https://www.amazon.com/Robitussin-Cough-Congestion-DM-Ounce/dp/B01J4UQ2M6/ref=sr_1_2?keywords=GoodSense%C2%AE+Tussin+DM+Cough+and+Chest+Congestion+Liquid+8fl.+oz.&amp;qid=1695260444&amp;sr=8-2", "https://www.amazon.com/Robitussin-Cough-Congestion-DM-Ounce/dp/B01J4UQ2M6/ref=sr_1_2?keywords=GoodSense%C2%AE+Tussin+DM+Cough+and+Chest+Congestion+Liquid+8fl.+oz.&amp;qid=1695260444&amp;sr=8-2")</f>
        <v>https://www.amazon.com/Robitussin-Cough-Congestion-DM-Ounce/dp/B01J4UQ2M6/ref=sr_1_2?keywords=GoodSense%C2%AE+Tussin+DM+Cough+and+Chest+Congestion+Liquid+8fl.+oz.&amp;qid=1695260444&amp;sr=8-2</v>
      </c>
      <c r="F4316" t="s">
        <v>12251</v>
      </c>
      <c r="G4316" t="e">
        <f ca="1">IMAGE("https://shop.sonapharmacy.com/cdn/shop/products/61gCiyqp_YL._AC_SL1000.jpg?v=1609354518")</f>
        <v>#NAME?</v>
      </c>
      <c r="H4316" t="e">
        <f ca="1">IMAGE("https://m.media-amazon.com/images/I/71GBdOrP-nL._AC_UL320_.jpg")</f>
        <v>#NAME?</v>
      </c>
      <c r="I4316" t="s">
        <v>8760</v>
      </c>
      <c r="J4316">
        <v>9.14</v>
      </c>
      <c r="K4316" s="2" t="s">
        <v>12252</v>
      </c>
      <c r="L4316">
        <v>4.5999999999999996</v>
      </c>
      <c r="M4316">
        <v>975</v>
      </c>
      <c r="O4316" t="s">
        <v>26</v>
      </c>
      <c r="P4316" t="s">
        <v>39</v>
      </c>
      <c r="Q4316" t="s">
        <v>12253</v>
      </c>
    </row>
    <row r="4317" spans="1:17" ht="15.75" x14ac:dyDescent="0.25">
      <c r="A4317" s="3" t="str">
        <f>HYPERLINK("https://shop.sonapharmacy.com/products/major-senna-tablets", "https://shop.sonapharmacy.com/products/major-senna-tablets")</f>
        <v>https://shop.sonapharmacy.com/products/major-senna-tablets</v>
      </c>
      <c r="B4317" s="3" t="str">
        <f>HYPERLINK("https://shop.sonapharmacy.com/products/major-senna-tablets", "https://shop.sonapharmacy.com/products/major-senna-tablets")</f>
        <v>https://shop.sonapharmacy.com/products/major-senna-tablets</v>
      </c>
      <c r="C4317" t="s">
        <v>10658</v>
      </c>
      <c r="D4317" t="s">
        <v>12254</v>
      </c>
      <c r="E4317" s="3" t="str">
        <f>HYPERLINK("https://www.amazon.com/Major-Senna-Lax-8-6-Sennosides-Tablets/dp/B01F9FPZQO/ref=sr_1_5?keywords=Major+Senna+Tablets&amp;qid=1695260458&amp;sr=8-5", "https://www.amazon.com/Major-Senna-Lax-8-6-Sennosides-Tablets/dp/B01F9FPZQO/ref=sr_1_5?keywords=Major+Senna+Tablets&amp;qid=1695260458&amp;sr=8-5")</f>
        <v>https://www.amazon.com/Major-Senna-Lax-8-6-Sennosides-Tablets/dp/B01F9FPZQO/ref=sr_1_5?keywords=Major+Senna+Tablets&amp;qid=1695260458&amp;sr=8-5</v>
      </c>
      <c r="F4317" t="s">
        <v>12255</v>
      </c>
      <c r="G4317" t="e">
        <f ca="1">IMAGE("https://shop.sonapharmacy.com/cdn/shop/products/MajorSennaFront.png?v=1606923439")</f>
        <v>#NAME?</v>
      </c>
      <c r="H4317" t="e">
        <f ca="1">IMAGE("https://m.media-amazon.com/images/I/61rIW25FsXL._AC_UL320_.jpg")</f>
        <v>#NAME?</v>
      </c>
      <c r="I4317" t="s">
        <v>10661</v>
      </c>
      <c r="J4317">
        <v>9.27</v>
      </c>
      <c r="K4317" s="2" t="s">
        <v>12256</v>
      </c>
      <c r="L4317">
        <v>4.3</v>
      </c>
      <c r="M4317">
        <v>17</v>
      </c>
      <c r="O4317" t="s">
        <v>26</v>
      </c>
      <c r="P4317" t="s">
        <v>39</v>
      </c>
      <c r="Q4317" t="s">
        <v>10663</v>
      </c>
    </row>
    <row r="4318" spans="1:17" ht="15.75" x14ac:dyDescent="0.25">
      <c r="A4318" s="3" t="str">
        <f>HYPERLINK("https://shop.sonapharmacy.com/products/carex%E2%84%A2-aluminum-adult-crutches", "https://shop.sonapharmacy.com/products/carex%E2%84%A2-aluminum-adult-crutches")</f>
        <v>https://shop.sonapharmacy.com/products/carex%E2%84%A2-aluminum-adult-crutches</v>
      </c>
      <c r="B4318" s="3" t="str">
        <f>HYPERLINK("https://shop.sonapharmacy.com/products/carex%e2%84%a2-aluminum-adult-crutches", "https://shop.sonapharmacy.com/products/carex%e2%84%a2-aluminum-adult-crutches")</f>
        <v>https://shop.sonapharmacy.com/products/carex%e2%84%a2-aluminum-adult-crutches</v>
      </c>
      <c r="C4318" t="s">
        <v>11801</v>
      </c>
      <c r="D4318" t="s">
        <v>12257</v>
      </c>
      <c r="E4318" s="3" t="str">
        <f>HYPERLINK("https://www.amazon.com/Pepe-Crutches-Foldable-Aluminum-Adjustable/dp/B09X5MVFK9/ref=sr_1_10?keywords=Carex%E2%84%A2+Aluminum+Adult+Crutches&amp;qid=1695260112&amp;sr=8-10", "https://www.amazon.com/Pepe-Crutches-Foldable-Aluminum-Adjustable/dp/B09X5MVFK9/ref=sr_1_10?keywords=Carex%E2%84%A2+Aluminum+Adult+Crutches&amp;qid=1695260112&amp;sr=8-10")</f>
        <v>https://www.amazon.com/Pepe-Crutches-Foldable-Aluminum-Adjustable/dp/B09X5MVFK9/ref=sr_1_10?keywords=Carex%E2%84%A2+Aluminum+Adult+Crutches&amp;qid=1695260112&amp;sr=8-10</v>
      </c>
      <c r="F4318" t="s">
        <v>12258</v>
      </c>
      <c r="G4318" t="e">
        <f ca="1">IMAGE("https://shop.sonapharmacy.com/cdn/shop/products/CarexAluminumCrutchesYouth_AdultandTall_1_720x_17f8688a-06ff-4271-84a2-9e898ae6a65a.png?v=1609953352")</f>
        <v>#NAME?</v>
      </c>
      <c r="H4318" t="e">
        <f ca="1">IMAGE("https://m.media-amazon.com/images/I/61tpUUU20HL._AC_UL320_.jpg")</f>
        <v>#NAME?</v>
      </c>
      <c r="I4318" t="s">
        <v>11804</v>
      </c>
      <c r="J4318">
        <v>69.989999999999995</v>
      </c>
      <c r="K4318" s="2" t="s">
        <v>12259</v>
      </c>
      <c r="L4318">
        <v>4.5</v>
      </c>
      <c r="M4318">
        <v>490</v>
      </c>
      <c r="O4318" t="s">
        <v>26</v>
      </c>
      <c r="P4318" t="s">
        <v>39</v>
      </c>
      <c r="Q4318" t="s">
        <v>11805</v>
      </c>
    </row>
    <row r="4319" spans="1:17" ht="15.75" x14ac:dyDescent="0.25">
      <c r="A4319" s="3" t="str">
        <f>HYPERLINK("https://shop.sonapharmacy.com/products/apex%C2%AE-weekly-twice-a-day-pill-organizer", "https://shop.sonapharmacy.com/products/apex%C2%AE-weekly-twice-a-day-pill-organizer")</f>
        <v>https://shop.sonapharmacy.com/products/apex%C2%AE-weekly-twice-a-day-pill-organizer</v>
      </c>
      <c r="B4319" s="3" t="str">
        <f>HYPERLINK("https://shop.sonapharmacy.com/products/apex%c2%ae-weekly-twice-a-day-pill-organizer", "https://shop.sonapharmacy.com/products/apex%c2%ae-weekly-twice-a-day-pill-organizer")</f>
        <v>https://shop.sonapharmacy.com/products/apex%c2%ae-weekly-twice-a-day-pill-organizer</v>
      </c>
      <c r="C4319" t="s">
        <v>9754</v>
      </c>
      <c r="D4319" t="s">
        <v>9197</v>
      </c>
      <c r="E4319" s="3" t="str">
        <f>HYPERLINK("https://www.amazon.com/Apex-7-Day-AM-Pill-Tray/dp/B00W5QU8MM/ref=sr_1_8?keywords=Apex+Weekly+Twice-A-Day+Pill+Organizer&amp;qid=1695260022&amp;sr=8-8", "https://www.amazon.com/Apex-7-Day-AM-Pill-Tray/dp/B00W5QU8MM/ref=sr_1_8?keywords=Apex+Weekly+Twice-A-Day+Pill+Organizer&amp;qid=1695260022&amp;sr=8-8")</f>
        <v>https://www.amazon.com/Apex-7-Day-AM-Pill-Tray/dp/B00W5QU8MM/ref=sr_1_8?keywords=Apex+Weekly+Twice-A-Day+Pill+Organizer&amp;qid=1695260022&amp;sr=8-8</v>
      </c>
      <c r="F4319" t="s">
        <v>9198</v>
      </c>
      <c r="G4319" t="e">
        <f ca="1">IMAGE("https://shop.sonapharmacy.com/cdn/shop/products/81bW58qDenL._AC_SL1500.jpg?v=1609957632")</f>
        <v>#NAME?</v>
      </c>
      <c r="H4319" t="e">
        <f ca="1">IMAGE("https://m.media-amazon.com/images/I/61e7vAO5t2L._AC_UL320_.jpg")</f>
        <v>#NAME?</v>
      </c>
      <c r="I4319" t="s">
        <v>8983</v>
      </c>
      <c r="J4319">
        <v>8.73</v>
      </c>
      <c r="K4319" s="2" t="s">
        <v>12260</v>
      </c>
      <c r="L4319">
        <v>4.4000000000000004</v>
      </c>
      <c r="M4319">
        <v>13</v>
      </c>
      <c r="O4319" t="s">
        <v>26</v>
      </c>
      <c r="P4319" t="s">
        <v>39</v>
      </c>
      <c r="Q4319" t="s">
        <v>9758</v>
      </c>
    </row>
    <row r="4320" spans="1:17" ht="15.75" x14ac:dyDescent="0.25">
      <c r="A4320" s="3" t="str">
        <f>HYPERLINK("https://shop.sonapharmacy.com/products/major-cough-dm-12-hour-cough-relief-cough-suppressant-liquid", "https://shop.sonapharmacy.com/products/major-cough-dm-12-hour-cough-relief-cough-suppressant-liquid")</f>
        <v>https://shop.sonapharmacy.com/products/major-cough-dm-12-hour-cough-relief-cough-suppressant-liquid</v>
      </c>
      <c r="B4320" s="3" t="str">
        <f>HYPERLINK("https://shop.sonapharmacy.com/products/major-cough-dm-12-hour-cough-relief-cough-suppressant-liquid", "https://shop.sonapharmacy.com/products/major-cough-dm-12-hour-cough-relief-cough-suppressant-liquid")</f>
        <v>https://shop.sonapharmacy.com/products/major-cough-dm-12-hour-cough-relief-cough-suppressant-liquid</v>
      </c>
      <c r="C4320" t="s">
        <v>11630</v>
      </c>
      <c r="D4320" t="s">
        <v>12261</v>
      </c>
      <c r="E4320" s="3" t="str">
        <f>HYPERLINK("https://www.amazon.com/Dextromethorphan-Non-Drowsy-Long-Lasting-Suppressant-Robitussin/dp/B09RLDJX87/ref=sr_1_10?keywords=Major%C2%AE+Cough+DM+12+Hour+Cough+Relief+Cough+Suppressant+Liquid&amp;qid=1695260458&amp;sr=8-10", "https://www.amazon.com/Dextromethorphan-Non-Drowsy-Long-Lasting-Suppressant-Robitussin/dp/B09RLDJX87/ref=sr_1_10?keywords=Major%C2%AE+Cough+DM+12+Hour+Cough+Relief+Cough+Suppressant+Liquid&amp;qid=1695260458&amp;sr=8-10")</f>
        <v>https://www.amazon.com/Dextromethorphan-Non-Drowsy-Long-Lasting-Suppressant-Robitussin/dp/B09RLDJX87/ref=sr_1_10?keywords=Major%C2%AE+Cough+DM+12+Hour+Cough+Relief+Cough+Suppressant+Liquid&amp;qid=1695260458&amp;sr=8-10</v>
      </c>
      <c r="F4320" t="s">
        <v>12262</v>
      </c>
      <c r="G4320" t="e">
        <f ca="1">IMAGE("https://shop.sonapharmacy.com/cdn/shop/products/MajorCoughDM12HourCoughReliefCoughSuppressantLiquid.jpg?v=1595356959")</f>
        <v>#NAME?</v>
      </c>
      <c r="H4320" t="e">
        <f ca="1">IMAGE("https://m.media-amazon.com/images/I/61-hHUr04xL._AC_UL320_.jpg")</f>
        <v>#NAME?</v>
      </c>
      <c r="I4320" t="s">
        <v>11633</v>
      </c>
      <c r="J4320">
        <v>19.95</v>
      </c>
      <c r="K4320" s="2" t="s">
        <v>12263</v>
      </c>
      <c r="L4320">
        <v>4.4000000000000004</v>
      </c>
      <c r="M4320">
        <v>284</v>
      </c>
      <c r="O4320" t="s">
        <v>136</v>
      </c>
      <c r="P4320" t="s">
        <v>39</v>
      </c>
      <c r="Q4320" t="s">
        <v>11635</v>
      </c>
    </row>
    <row r="4321" spans="1:17" ht="15.75" x14ac:dyDescent="0.25">
      <c r="A4321" s="3" t="str">
        <f>HYPERLINK("https://shop.sonapharmacy.com/products/sunbum%C2%AE-original-spf-30-sunscreen-lotion", "https://shop.sonapharmacy.com/products/sunbum%C2%AE-original-spf-30-sunscreen-lotion")</f>
        <v>https://shop.sonapharmacy.com/products/sunbum%C2%AE-original-spf-30-sunscreen-lotion</v>
      </c>
      <c r="B4321" s="3" t="str">
        <f>HYPERLINK("https://shop.sonapharmacy.com/products/sunbum%c2%ae-original-spf-30-sunscreen-lotion", "https://shop.sonapharmacy.com/products/sunbum%c2%ae-original-spf-30-sunscreen-lotion")</f>
        <v>https://shop.sonapharmacy.com/products/sunbum%c2%ae-original-spf-30-sunscreen-lotion</v>
      </c>
      <c r="C4321" t="s">
        <v>10325</v>
      </c>
      <c r="D4321" t="s">
        <v>12264</v>
      </c>
      <c r="E4321" s="3" t="str">
        <f>HYPERLINK("https://www.amazon.com/Sun-Bum-octinoxate-Oxybenzone-Protection/dp/B08KR8ZZ97/ref=sr_1_10?keywords=Sun+Bum%C2%AE+Original+SPF+30+Sunscreen+Lotion&amp;qid=1695260773&amp;rdc=1&amp;sr=8-10", "https://www.amazon.com/Sun-Bum-octinoxate-Oxybenzone-Protection/dp/B08KR8ZZ97/ref=sr_1_10?keywords=Sun+Bum%C2%AE+Original+SPF+30+Sunscreen+Lotion&amp;qid=1695260773&amp;rdc=1&amp;sr=8-10")</f>
        <v>https://www.amazon.com/Sun-Bum-octinoxate-Oxybenzone-Protection/dp/B08KR8ZZ97/ref=sr_1_10?keywords=Sun+Bum%C2%AE+Original+SPF+30+Sunscreen+Lotion&amp;qid=1695260773&amp;rdc=1&amp;sr=8-10</v>
      </c>
      <c r="F4321" t="s">
        <v>12265</v>
      </c>
      <c r="G4321" t="e">
        <f ca="1">IMAGE("https://shop.sonapharmacy.com/cdn/shop/products/7112Mn16XDL._SL1500.jpg?v=1611869378")</f>
        <v>#NAME?</v>
      </c>
      <c r="H4321" t="e">
        <f ca="1">IMAGE("https://m.media-amazon.com/images/I/61WIeZMMzwL._AC_UL320_.jpg")</f>
        <v>#NAME?</v>
      </c>
      <c r="I4321" t="s">
        <v>4873</v>
      </c>
      <c r="J4321">
        <v>15.56</v>
      </c>
      <c r="K4321" s="2" t="s">
        <v>12266</v>
      </c>
      <c r="L4321">
        <v>4.5</v>
      </c>
      <c r="M4321">
        <v>3393</v>
      </c>
      <c r="O4321" t="s">
        <v>26</v>
      </c>
      <c r="P4321" t="s">
        <v>39</v>
      </c>
      <c r="Q4321" t="s">
        <v>10329</v>
      </c>
    </row>
    <row r="4322" spans="1:17" ht="15.75" x14ac:dyDescent="0.25">
      <c r="A4322" s="3" t="str">
        <f>HYPERLINK("https://shop.sonapharmacy.com/products/band-aid-flexible-fabric-100ct-all-one-size", "https://shop.sonapharmacy.com/products/band-aid-flexible-fabric-100ct-all-one-size")</f>
        <v>https://shop.sonapharmacy.com/products/band-aid-flexible-fabric-100ct-all-one-size</v>
      </c>
      <c r="B4322" s="3" t="str">
        <f>HYPERLINK("https://shop.sonapharmacy.com/products/band-aid-flexible-fabric-100ct-all-one-size", "https://shop.sonapharmacy.com/products/band-aid-flexible-fabric-100ct-all-one-size")</f>
        <v>https://shop.sonapharmacy.com/products/band-aid-flexible-fabric-100ct-all-one-size</v>
      </c>
      <c r="C4322" t="s">
        <v>8911</v>
      </c>
      <c r="D4322" t="s">
        <v>12267</v>
      </c>
      <c r="E4322" s="3" t="str">
        <f>HYPERLINK("https://www.amazon.com/Band-Aid-Flexible-Fabric-Adhesive-Bandages/dp/B00006IDL6/ref=sr_1_4?keywords=BAND-AID%C2%AE+Flexible+Fabric+All+One+Size&amp;qid=1695260052&amp;sr=8-4", "https://www.amazon.com/Band-Aid-Flexible-Fabric-Adhesive-Bandages/dp/B00006IDL6/ref=sr_1_4?keywords=BAND-AID%C2%AE+Flexible+Fabric+All+One+Size&amp;qid=1695260052&amp;sr=8-4")</f>
        <v>https://www.amazon.com/Band-Aid-Flexible-Fabric-Adhesive-Bandages/dp/B00006IDL6/ref=sr_1_4?keywords=BAND-AID%C2%AE+Flexible+Fabric+All+One+Size&amp;qid=1695260052&amp;sr=8-4</v>
      </c>
      <c r="F4322" t="s">
        <v>12268</v>
      </c>
      <c r="G4322" t="e">
        <f ca="1">IMAGE("https://shop.sonapharmacy.com/cdn/shop/products/bab_381370044314_band_aid_band_aid_flexible_fabric_aos_30ct_007.jpg?v=1614702050")</f>
        <v>#NAME?</v>
      </c>
      <c r="H4322" t="e">
        <f ca="1">IMAGE("https://m.media-amazon.com/images/I/91nHT-VLyPL._AC_UL320_.jpg")</f>
        <v>#NAME?</v>
      </c>
      <c r="I4322" t="s">
        <v>8834</v>
      </c>
      <c r="J4322">
        <v>8.1199999999999992</v>
      </c>
      <c r="K4322" s="2" t="s">
        <v>12269</v>
      </c>
      <c r="L4322">
        <v>4.8</v>
      </c>
      <c r="M4322">
        <v>102400</v>
      </c>
      <c r="O4322" t="s">
        <v>26</v>
      </c>
      <c r="P4322" t="s">
        <v>39</v>
      </c>
      <c r="Q4322" t="s">
        <v>8915</v>
      </c>
    </row>
    <row r="4323" spans="1:17" ht="15.75" x14ac:dyDescent="0.25">
      <c r="A4323" s="3" t="str">
        <f>HYPERLINK("https://shop.sonapharmacy.com/products/duracell%C2%AE-aa-coppertop-alkaline-batteries", "https://shop.sonapharmacy.com/products/duracell%C2%AE-aa-coppertop-alkaline-batteries")</f>
        <v>https://shop.sonapharmacy.com/products/duracell%C2%AE-aa-coppertop-alkaline-batteries</v>
      </c>
      <c r="B4323" s="3" t="str">
        <f>HYPERLINK("https://shop.sonapharmacy.com/products/duracell%c2%ae-aa-coppertop-alkaline-batteries", "https://shop.sonapharmacy.com/products/duracell%c2%ae-aa-coppertop-alkaline-batteries")</f>
        <v>https://shop.sonapharmacy.com/products/duracell%c2%ae-aa-coppertop-alkaline-batteries</v>
      </c>
      <c r="C4323" t="s">
        <v>9023</v>
      </c>
      <c r="D4323" t="s">
        <v>12270</v>
      </c>
      <c r="E4323" s="3" t="str">
        <f>HYPERLINK("https://www.amazon.com/Coppertop-Batteries-Ingredients-Long-lasting-Household/dp/B003SIOZB6/ref=sr_1_4?keywords=Duracell%C2%AE+AA+CopperTop+Alkaline+Batteries&amp;qid=1695260202&amp;sr=8-4", "https://www.amazon.com/Coppertop-Batteries-Ingredients-Long-lasting-Household/dp/B003SIOZB6/ref=sr_1_4?keywords=Duracell%C2%AE+AA+CopperTop+Alkaline+Batteries&amp;qid=1695260202&amp;sr=8-4")</f>
        <v>https://www.amazon.com/Coppertop-Batteries-Ingredients-Long-lasting-Household/dp/B003SIOZB6/ref=sr_1_4?keywords=Duracell%C2%AE+AA+CopperTop+Alkaline+Batteries&amp;qid=1695260202&amp;sr=8-4</v>
      </c>
      <c r="F4323" t="s">
        <v>12271</v>
      </c>
      <c r="G4323" t="e">
        <f ca="1">IMAGE("https://shop.sonapharmacy.com/cdn/shop/products/b3e62c3a-da6e-4a57-a7e4-c37556c20cce_1.d37a55fc5e4e20c625490346499e718f.png?v=1610335054")</f>
        <v>#NAME?</v>
      </c>
      <c r="H4323" t="e">
        <f ca="1">IMAGE("https://m.media-amazon.com/images/I/71JyoBysvsL._AC_UL320_.jpg")</f>
        <v>#NAME?</v>
      </c>
      <c r="I4323" t="s">
        <v>8169</v>
      </c>
      <c r="J4323">
        <v>11.84</v>
      </c>
      <c r="K4323" s="2" t="s">
        <v>12272</v>
      </c>
      <c r="L4323">
        <v>4.8</v>
      </c>
      <c r="M4323">
        <v>108441</v>
      </c>
      <c r="O4323" t="s">
        <v>26</v>
      </c>
      <c r="P4323" t="s">
        <v>39</v>
      </c>
      <c r="Q4323" t="s">
        <v>9027</v>
      </c>
    </row>
    <row r="4324" spans="1:17" ht="15.75" x14ac:dyDescent="0.25">
      <c r="A4324" s="3" t="str">
        <f>HYPERLINK("https://shop.sonapharmacy.com/products/mueller%C2%AE-carpal-tunnel-wrist-stabilizer", "https://shop.sonapharmacy.com/products/mueller%C2%AE-carpal-tunnel-wrist-stabilizer")</f>
        <v>https://shop.sonapharmacy.com/products/mueller%C2%AE-carpal-tunnel-wrist-stabilizer</v>
      </c>
      <c r="B4324" s="3" t="str">
        <f>HYPERLINK("https://shop.sonapharmacy.com/products/mueller%c2%ae-carpal-tunnel-wrist-stabilizer", "https://shop.sonapharmacy.com/products/mueller%c2%ae-carpal-tunnel-wrist-stabilizer")</f>
        <v>https://shop.sonapharmacy.com/products/mueller%c2%ae-carpal-tunnel-wrist-stabilizer</v>
      </c>
      <c r="C4324" t="s">
        <v>12273</v>
      </c>
      <c r="D4324" t="s">
        <v>12274</v>
      </c>
      <c r="E4324" s="3" t="str">
        <f>HYPERLINK("https://www.amazon.com/Mueller-Carpal-Tunnel-Stabilizer-Medium/dp/B00E4MJEQQ/ref=sr_1_4?keywords=Mueller%C2%AE+Carpal+Tunnel+Wrist+Stabilizer&amp;qid=1695260516&amp;sr=8-4", "https://www.amazon.com/Mueller-Carpal-Tunnel-Stabilizer-Medium/dp/B00E4MJEQQ/ref=sr_1_4?keywords=Mueller%C2%AE+Carpal+Tunnel+Wrist+Stabilizer&amp;qid=1695260516&amp;sr=8-4")</f>
        <v>https://www.amazon.com/Mueller-Carpal-Tunnel-Stabilizer-Medium/dp/B00E4MJEQQ/ref=sr_1_4?keywords=Mueller%C2%AE+Carpal+Tunnel+Wrist+Stabilizer&amp;qid=1695260516&amp;sr=8-4</v>
      </c>
      <c r="F4324" t="s">
        <v>12275</v>
      </c>
      <c r="G4324" t="e">
        <f ca="1">IMAGE("https://shop.sonapharmacy.com/cdn/shop/products/1136649.jpg?v=1609857294")</f>
        <v>#NAME?</v>
      </c>
      <c r="H4324" t="e">
        <f ca="1">IMAGE("https://m.media-amazon.com/images/I/2186F7vz88L._AC_UL320_.jpg")</f>
        <v>#NAME?</v>
      </c>
      <c r="I4324" t="s">
        <v>12276</v>
      </c>
      <c r="J4324">
        <v>33.94</v>
      </c>
      <c r="K4324" s="2" t="s">
        <v>12277</v>
      </c>
      <c r="L4324">
        <v>4.8</v>
      </c>
      <c r="M4324">
        <v>19</v>
      </c>
      <c r="O4324" t="s">
        <v>26</v>
      </c>
      <c r="P4324" t="s">
        <v>39</v>
      </c>
      <c r="Q4324" t="s">
        <v>12278</v>
      </c>
    </row>
    <row r="4325" spans="1:17" ht="15.75" x14ac:dyDescent="0.25">
      <c r="A4325" s="3" t="str">
        <f>HYPERLINK("https://shop.sonapharmacy.com/products/bacitracin-antibiotic-ointment-1oz", "https://shop.sonapharmacy.com/products/bacitracin-antibiotic-ointment-1oz")</f>
        <v>https://shop.sonapharmacy.com/products/bacitracin-antibiotic-ointment-1oz</v>
      </c>
      <c r="B4325" s="3" t="str">
        <f>HYPERLINK("https://shop.sonapharmacy.com/products/bacitracin-antibiotic-ointment-1oz", "https://shop.sonapharmacy.com/products/bacitracin-antibiotic-ointment-1oz")</f>
        <v>https://shop.sonapharmacy.com/products/bacitracin-antibiotic-ointment-1oz</v>
      </c>
      <c r="C4325" t="s">
        <v>11567</v>
      </c>
      <c r="D4325" t="s">
        <v>12279</v>
      </c>
      <c r="E4325" s="3" t="str">
        <f>HYPERLINK("https://www.amazon.com/Globe-Bacitracin-Antibiotic-Essential-Infection/dp/B09R86LN6P/ref=sr_1_8?keywords=Bacitracin%C2%AE+Antibiotic+Ointment+1oz.&amp;qid=1695260086&amp;sr=8-8", "https://www.amazon.com/Globe-Bacitracin-Antibiotic-Essential-Infection/dp/B09R86LN6P/ref=sr_1_8?keywords=Bacitracin%C2%AE+Antibiotic+Ointment+1oz.&amp;qid=1695260086&amp;sr=8-8")</f>
        <v>https://www.amazon.com/Globe-Bacitracin-Antibiotic-Essential-Infection/dp/B09R86LN6P/ref=sr_1_8?keywords=Bacitracin%C2%AE+Antibiotic+Ointment+1oz.&amp;qid=1695260086&amp;sr=8-8</v>
      </c>
      <c r="F4325" t="s">
        <v>12280</v>
      </c>
      <c r="G4325" t="e">
        <f ca="1">IMAGE("https://shop.sonapharmacy.com/cdn/shop/products/BACITR1OC_Bacitracin-1-oz-Tube-Box.jpg?v=1611254932")</f>
        <v>#NAME?</v>
      </c>
      <c r="H4325" t="e">
        <f ca="1">IMAGE("https://m.media-amazon.com/images/I/71+1iT-JOhL._AC_UY218_.jpg")</f>
        <v>#NAME?</v>
      </c>
      <c r="I4325" t="s">
        <v>8828</v>
      </c>
      <c r="J4325">
        <v>6.49</v>
      </c>
      <c r="K4325" s="2" t="s">
        <v>12281</v>
      </c>
      <c r="L4325">
        <v>4.5</v>
      </c>
      <c r="M4325">
        <v>110</v>
      </c>
      <c r="O4325" t="s">
        <v>26</v>
      </c>
      <c r="P4325" t="s">
        <v>39</v>
      </c>
      <c r="Q4325" t="s">
        <v>11571</v>
      </c>
    </row>
    <row r="4326" spans="1:17" ht="15.75" x14ac:dyDescent="0.25">
      <c r="A4326"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4326"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4326" t="s">
        <v>8597</v>
      </c>
      <c r="D4326" t="s">
        <v>12282</v>
      </c>
      <c r="E4326" s="3" t="str">
        <f>HYPERLINK("https://www.amazon.com/Advance-Peroxide-Toothpaste-Extreme-Whitening/dp/B004ZLMU8U/ref=sr_1_10?keywords=Arm+%26+Hammer+Advance+White%E2%84%A2+Extreme+Whitening+Toothpaste+6oz.&amp;qid=1695260040&amp;sr=8-10", "https://www.amazon.com/Advance-Peroxide-Toothpaste-Extreme-Whitening/dp/B004ZLMU8U/ref=sr_1_10?keywords=Arm+%26+Hammer+Advance+White%E2%84%A2+Extreme+Whitening+Toothpaste+6oz.&amp;qid=1695260040&amp;sr=8-10")</f>
        <v>https://www.amazon.com/Advance-Peroxide-Toothpaste-Extreme-Whitening/dp/B004ZLMU8U/ref=sr_1_10?keywords=Arm+%26+Hammer+Advance+White%E2%84%A2+Extreme+Whitening+Toothpaste+6oz.&amp;qid=1695260040&amp;sr=8-10</v>
      </c>
      <c r="F4326" t="s">
        <v>12283</v>
      </c>
      <c r="G4326" t="e">
        <f ca="1">IMAGE("https://shop.sonapharmacy.com/cdn/shop/products/39e8f462-49a9-4142-bb95-6876f7f6bade.baebaa1c7268bbcf245f186bddbf5223_1.jpg?v=1611254657")</f>
        <v>#NAME?</v>
      </c>
      <c r="H4326" t="e">
        <f ca="1">IMAGE("https://m.media-amazon.com/images/I/61wcRM2hTvL._AC_UL320_.jpg")</f>
        <v>#NAME?</v>
      </c>
      <c r="I4326" t="s">
        <v>8600</v>
      </c>
      <c r="J4326">
        <v>8.4</v>
      </c>
      <c r="K4326" s="2" t="s">
        <v>12284</v>
      </c>
      <c r="L4326">
        <v>4.4000000000000004</v>
      </c>
      <c r="M4326">
        <v>268</v>
      </c>
      <c r="O4326" t="s">
        <v>26</v>
      </c>
      <c r="P4326" t="s">
        <v>39</v>
      </c>
      <c r="Q4326" t="s">
        <v>8602</v>
      </c>
    </row>
    <row r="4327" spans="1:17" ht="15.75" x14ac:dyDescent="0.25">
      <c r="A4327" s="3" t="str">
        <f>HYPERLINK("https://shop.sonapharmacy.com/products/omron-3-series%C2%AE-upper-arm-blood-pressure-monitor", "https://shop.sonapharmacy.com/products/omron-3-series%C2%AE-upper-arm-blood-pressure-monitor")</f>
        <v>https://shop.sonapharmacy.com/products/omron-3-series%C2%AE-upper-arm-blood-pressure-monitor</v>
      </c>
      <c r="B4327" s="3" t="str">
        <f>HYPERLINK("https://shop.sonapharmacy.com/products/omron-3-series%c2%ae-upper-arm-blood-pressure-monitor", "https://shop.sonapharmacy.com/products/omron-3-series%c2%ae-upper-arm-blood-pressure-monitor")</f>
        <v>https://shop.sonapharmacy.com/products/omron-3-series%c2%ae-upper-arm-blood-pressure-monitor</v>
      </c>
      <c r="C4327" t="s">
        <v>11744</v>
      </c>
      <c r="D4327" t="s">
        <v>12285</v>
      </c>
      <c r="E4327" s="3" t="str">
        <f>HYPERLINK("https://www.amazon.com/Platinum-Pressure-Bluetooth-Storesup-Readings/dp/B07RX8WQ4K/ref=sr_1_7?keywords=Omron+3+Series%C2%AE+Upper+Arm+Blood+Pressure+Monitor&amp;qid=1695260613&amp;sr=8-7", "https://www.amazon.com/Platinum-Pressure-Bluetooth-Storesup-Readings/dp/B07RX8WQ4K/ref=sr_1_7?keywords=Omron+3+Series%C2%AE+Upper+Arm+Blood+Pressure+Monitor&amp;qid=1695260613&amp;sr=8-7")</f>
        <v>https://www.amazon.com/Platinum-Pressure-Bluetooth-Storesup-Readings/dp/B07RX8WQ4K/ref=sr_1_7?keywords=Omron+3+Series%C2%AE+Upper+Arm+Blood+Pressure+Monitor&amp;qid=1695260613&amp;sr=8-7</v>
      </c>
      <c r="F4327" t="s">
        <v>12286</v>
      </c>
      <c r="G4327" t="e">
        <f ca="1">IMAGE("https://shop.sonapharmacy.com/cdn/shop/products/Omron3Series_UpperArmBloodPressureMonitor.png?v=1594217120")</f>
        <v>#NAME?</v>
      </c>
      <c r="H4327" t="e">
        <f ca="1">IMAGE("https://m.media-amazon.com/images/I/51D0HXQODaL._AC_UL320_.jpg")</f>
        <v>#NAME?</v>
      </c>
      <c r="I4327" t="s">
        <v>11747</v>
      </c>
      <c r="J4327">
        <v>84</v>
      </c>
      <c r="K4327" s="2" t="s">
        <v>12287</v>
      </c>
      <c r="L4327">
        <v>4.5</v>
      </c>
      <c r="M4327">
        <v>20798</v>
      </c>
      <c r="O4327" t="s">
        <v>26</v>
      </c>
      <c r="P4327" t="s">
        <v>39</v>
      </c>
      <c r="Q4327" t="s">
        <v>11749</v>
      </c>
    </row>
    <row r="4328" spans="1:17" ht="15.75" x14ac:dyDescent="0.25">
      <c r="A4328" s="3" t="str">
        <f>HYPERLINK("https://shop.sonapharmacy.com/products/boiron-oscillococcinum-homeopathic-medicine", "https://shop.sonapharmacy.com/products/boiron-oscillococcinum-homeopathic-medicine")</f>
        <v>https://shop.sonapharmacy.com/products/boiron-oscillococcinum-homeopathic-medicine</v>
      </c>
      <c r="B4328" s="3" t="str">
        <f>HYPERLINK("https://shop.sonapharmacy.com/products/boiron-oscillococcinum-homeopathic-medicine", "https://shop.sonapharmacy.com/products/boiron-oscillococcinum-homeopathic-medicine")</f>
        <v>https://shop.sonapharmacy.com/products/boiron-oscillococcinum-homeopathic-medicine</v>
      </c>
      <c r="C4328" t="s">
        <v>9293</v>
      </c>
      <c r="D4328" t="s">
        <v>12288</v>
      </c>
      <c r="E4328" s="3" t="str">
        <f>HYPERLINK("https://www.amazon.com/Boiron-Oscillococcinum-Homeopathic-Medicine-Flu-like/dp/B001GCU092/ref=sr_1_4?keywords=Boiron%C2%AE+Oscillococcinum+Homeopathic+Medicine&amp;qid=1695260104&amp;sr=8-4", "https://www.amazon.com/Boiron-Oscillococcinum-Homeopathic-Medicine-Flu-like/dp/B001GCU092/ref=sr_1_4?keywords=Boiron%C2%AE+Oscillococcinum+Homeopathic+Medicine&amp;qid=1695260104&amp;sr=8-4")</f>
        <v>https://www.amazon.com/Boiron-Oscillococcinum-Homeopathic-Medicine-Flu-like/dp/B001GCU092/ref=sr_1_4?keywords=Boiron%C2%AE+Oscillococcinum+Homeopathic+Medicine&amp;qid=1695260104&amp;sr=8-4</v>
      </c>
      <c r="F4328" t="s">
        <v>12289</v>
      </c>
      <c r="G4328" t="e">
        <f ca="1">IMAGE("https://shop.sonapharmacy.com/cdn/shop/products/Untitled-80.jpg?v=1592926556")</f>
        <v>#NAME?</v>
      </c>
      <c r="H4328" t="e">
        <f ca="1">IMAGE("https://m.media-amazon.com/images/I/91mm5hcgD7L._AC_UL320_.jpg")</f>
        <v>#NAME?</v>
      </c>
      <c r="I4328" t="s">
        <v>9296</v>
      </c>
      <c r="J4328">
        <v>22.99</v>
      </c>
      <c r="K4328" s="2" t="s">
        <v>12290</v>
      </c>
      <c r="L4328">
        <v>4.7</v>
      </c>
      <c r="M4328">
        <v>436</v>
      </c>
      <c r="O4328" t="s">
        <v>26</v>
      </c>
      <c r="P4328" t="s">
        <v>39</v>
      </c>
      <c r="Q4328" t="s">
        <v>9298</v>
      </c>
    </row>
    <row r="4329" spans="1:17" ht="15.75" x14ac:dyDescent="0.25">
      <c r="A4329" s="3" t="str">
        <f>HYPERLINK("https://shop.sonapharmacy.com/products/dulcolax%C2%AE-overnight-relief-laxative-5mg-tablets-25ct", "https://shop.sonapharmacy.com/products/dulcolax%C2%AE-overnight-relief-laxative-5mg-tablets-25ct")</f>
        <v>https://shop.sonapharmacy.com/products/dulcolax%C2%AE-overnight-relief-laxative-5mg-tablets-25ct</v>
      </c>
      <c r="B4329" s="3" t="str">
        <f>HYPERLINK("https://shop.sonapharmacy.com/products/dulcolax%c2%ae-overnight-relief-laxative-5mg-tablets-25ct", "https://shop.sonapharmacy.com/products/dulcolax%c2%ae-overnight-relief-laxative-5mg-tablets-25ct")</f>
        <v>https://shop.sonapharmacy.com/products/dulcolax%c2%ae-overnight-relief-laxative-5mg-tablets-25ct</v>
      </c>
      <c r="C4329" t="s">
        <v>12291</v>
      </c>
      <c r="D4329" t="s">
        <v>12292</v>
      </c>
      <c r="E4329" s="3" t="str">
        <f>HYPERLINK("https://www.amazon.com/Dulcolax-Overnight-Constipation-Irregular-Stimulates/dp/B000063XTO/ref=sr_1_3?keywords=Dulcolax%C2%AE+Overnight+Relief+Laxative+5mg+Tablets+25ct.&amp;qid=1695260228&amp;sr=8-3", "https://www.amazon.com/Dulcolax-Overnight-Constipation-Irregular-Stimulates/dp/B000063XTO/ref=sr_1_3?keywords=Dulcolax%C2%AE+Overnight+Relief+Laxative+5mg+Tablets+25ct.&amp;qid=1695260228&amp;sr=8-3")</f>
        <v>https://www.amazon.com/Dulcolax-Overnight-Constipation-Irregular-Stimulates/dp/B000063XTO/ref=sr_1_3?keywords=Dulcolax%C2%AE+Overnight+Relief+Laxative+5mg+Tablets+25ct.&amp;qid=1695260228&amp;sr=8-3</v>
      </c>
      <c r="F4329" t="s">
        <v>12293</v>
      </c>
      <c r="G4329" t="e">
        <f ca="1">IMAGE("https://shop.sonapharmacy.com/cdn/shop/products/812NMATdOyL._AC_SL1500.jpg?v=1620664720")</f>
        <v>#NAME?</v>
      </c>
      <c r="H4329" t="e">
        <f ca="1">IMAGE("https://m.media-amazon.com/images/I/71KfjOwnKiL._AC_UL320_.jpg")</f>
        <v>#NAME?</v>
      </c>
      <c r="I4329" t="s">
        <v>12294</v>
      </c>
      <c r="J4329">
        <v>17.57</v>
      </c>
      <c r="K4329" s="2" t="s">
        <v>12295</v>
      </c>
      <c r="L4329">
        <v>4.5999999999999996</v>
      </c>
      <c r="M4329">
        <v>13574</v>
      </c>
      <c r="O4329" t="s">
        <v>26</v>
      </c>
      <c r="P4329" t="s">
        <v>39</v>
      </c>
      <c r="Q4329" t="s">
        <v>12296</v>
      </c>
    </row>
    <row r="4330" spans="1:17" ht="15.75" x14ac:dyDescent="0.25">
      <c r="A4330" s="3" t="str">
        <f>HYPERLINK("https://shop.sonapharmacy.com/products/goodsense%C2%AE-anti-diarrheal-caplets", "https://shop.sonapharmacy.com/products/goodsense%C2%AE-anti-diarrheal-caplets")</f>
        <v>https://shop.sonapharmacy.com/products/goodsense%C2%AE-anti-diarrheal-caplets</v>
      </c>
      <c r="B4330" s="3" t="str">
        <f>HYPERLINK("https://shop.sonapharmacy.com/products/goodsense%c2%ae-anti-diarrheal-caplets", "https://shop.sonapharmacy.com/products/goodsense%c2%ae-anti-diarrheal-caplets")</f>
        <v>https://shop.sonapharmacy.com/products/goodsense%c2%ae-anti-diarrheal-caplets</v>
      </c>
      <c r="C4330" t="s">
        <v>12297</v>
      </c>
      <c r="D4330" t="s">
        <v>12298</v>
      </c>
      <c r="E4330" s="3" t="str">
        <f>HYPERLINK("https://www.amazon.com/Anti-Diarrheal-Loperamide-HCl-2mg-Caplets/dp/B002AEFYA0/ref=sr_1_3?keywords=GoodSense%C2%AE+Anti-Diarrheal+Caplets&amp;qid=1695260300&amp;sr=8-3", "https://www.amazon.com/Anti-Diarrheal-Loperamide-HCl-2mg-Caplets/dp/B002AEFYA0/ref=sr_1_3?keywords=GoodSense%C2%AE+Anti-Diarrheal+Caplets&amp;qid=1695260300&amp;sr=8-3")</f>
        <v>https://www.amazon.com/Anti-Diarrheal-Loperamide-HCl-2mg-Caplets/dp/B002AEFYA0/ref=sr_1_3?keywords=GoodSense%C2%AE+Anti-Diarrheal+Caplets&amp;qid=1695260300&amp;sr=8-3</v>
      </c>
      <c r="F4330" t="s">
        <v>12299</v>
      </c>
      <c r="G4330" t="e">
        <f ca="1">IMAGE("https://shop.sonapharmacy.com/cdn/shop/products/81pEjmuRAkL._AC_SL1500.jpg?v=1610680466")</f>
        <v>#NAME?</v>
      </c>
      <c r="H4330" t="e">
        <f ca="1">IMAGE("https://m.media-amazon.com/images/I/71+oS1BBzNL._AC_UL320_.jpg")</f>
        <v>#NAME?</v>
      </c>
      <c r="I4330" t="s">
        <v>12300</v>
      </c>
      <c r="J4330">
        <v>5.49</v>
      </c>
      <c r="K4330" s="2" t="s">
        <v>12301</v>
      </c>
      <c r="L4330">
        <v>4.7</v>
      </c>
      <c r="M4330">
        <v>2432</v>
      </c>
      <c r="O4330" t="s">
        <v>26</v>
      </c>
      <c r="P4330" t="s">
        <v>39</v>
      </c>
      <c r="Q4330" t="s">
        <v>12302</v>
      </c>
    </row>
    <row r="4331" spans="1:17" ht="15.75" x14ac:dyDescent="0.25">
      <c r="A4331" s="3" t="str">
        <f>HYPERLINK("https://shop.sonapharmacy.com/products/goodsense%C2%AE-twin-blade-plus-with-lubricating-strip-disposable-razors-5ct", "https://shop.sonapharmacy.com/products/goodsense%C2%AE-twin-blade-plus-with-lubricating-strip-disposable-razors-5ct")</f>
        <v>https://shop.sonapharmacy.com/products/goodsense%C2%AE-twin-blade-plus-with-lubricating-strip-disposable-razors-5ct</v>
      </c>
      <c r="B4331" s="3" t="str">
        <f>HYPERLINK("https://shop.sonapharmacy.com/products/goodsense%c2%ae-twin-blade-plus-with-lubricating-strip-disposable-razors-5ct", "https://shop.sonapharmacy.com/products/goodsense%c2%ae-twin-blade-plus-with-lubricating-strip-disposable-razors-5ct")</f>
        <v>https://shop.sonapharmacy.com/products/goodsense%c2%ae-twin-blade-plus-with-lubricating-strip-disposable-razors-5ct</v>
      </c>
      <c r="C4331" t="s">
        <v>11216</v>
      </c>
      <c r="D4331" t="s">
        <v>12303</v>
      </c>
      <c r="E4331" s="3" t="str">
        <f>HYPERLINK("https://www.amazon.com/Personna-0320879-Disposable-Razors-Lubricating/dp/B00142E8VK/ref=sr_1_3?keywords=GoodSense%C2%AE+Twin+Blade+Plus+with+Lubricating+Strip+Disposable+Razors+5ct.&amp;qid=1695260395&amp;sr=8-3", "https://www.amazon.com/Personna-0320879-Disposable-Razors-Lubricating/dp/B00142E8VK/ref=sr_1_3?keywords=GoodSense%C2%AE+Twin+Blade+Plus+with+Lubricating+Strip+Disposable+Razors+5ct.&amp;qid=1695260395&amp;sr=8-3")</f>
        <v>https://www.amazon.com/Personna-0320879-Disposable-Razors-Lubricating/dp/B00142E8VK/ref=sr_1_3?keywords=GoodSense%C2%AE+Twin+Blade+Plus+with+Lubricating+Strip+Disposable+Razors+5ct.&amp;qid=1695260395&amp;sr=8-3</v>
      </c>
      <c r="F4331" t="s">
        <v>12304</v>
      </c>
      <c r="G4331" t="e">
        <f ca="1">IMAGE("https://shop.sonapharmacy.com/cdn/shop/products/354738.jpg?v=1610904582")</f>
        <v>#NAME?</v>
      </c>
      <c r="H4331" t="e">
        <f ca="1">IMAGE("https://m.media-amazon.com/images/I/81Jw5y1BP4L._AC_UL320_.jpg")</f>
        <v>#NAME?</v>
      </c>
      <c r="I4331" t="s">
        <v>11219</v>
      </c>
      <c r="J4331">
        <v>7.23</v>
      </c>
      <c r="K4331" s="2" t="s">
        <v>12305</v>
      </c>
      <c r="L4331">
        <v>4.7</v>
      </c>
      <c r="M4331">
        <v>7</v>
      </c>
      <c r="O4331" t="s">
        <v>26</v>
      </c>
      <c r="P4331" t="s">
        <v>39</v>
      </c>
      <c r="Q4331" t="s">
        <v>11221</v>
      </c>
    </row>
    <row r="4332" spans="1:17" ht="15.75" x14ac:dyDescent="0.25">
      <c r="A4332" s="3" t="str">
        <f>HYPERLINK("https://shop.sonapharmacy.com/products/secura%C2%AE-protective-ointment-5-6oz", "https://shop.sonapharmacy.com/products/secura%C2%AE-protective-ointment-5-6oz")</f>
        <v>https://shop.sonapharmacy.com/products/secura%C2%AE-protective-ointment-5-6oz</v>
      </c>
      <c r="B4332" s="3" t="str">
        <f>HYPERLINK("https://shop.sonapharmacy.com/products/secura%c2%ae-protective-ointment-5-6oz", "https://shop.sonapharmacy.com/products/secura%c2%ae-protective-ointment-5-6oz")</f>
        <v>https://shop.sonapharmacy.com/products/secura%c2%ae-protective-ointment-5-6oz</v>
      </c>
      <c r="C4332" t="s">
        <v>9075</v>
      </c>
      <c r="D4332" t="s">
        <v>12306</v>
      </c>
      <c r="E4332" s="3" t="str">
        <f>HYPERLINK("https://www.amazon.com/Smith-Nephew-Protective-Ointment-Protectant/dp/B00G04Z17C/ref=sr_1_1?keywords=Secura%C2%AE+Protective+Ointment+5.6oz.&amp;qid=1695260728&amp;sr=8-1", "https://www.amazon.com/Smith-Nephew-Protective-Ointment-Protectant/dp/B00G04Z17C/ref=sr_1_1?keywords=Secura%C2%AE+Protective+Ointment+5.6oz.&amp;qid=1695260728&amp;sr=8-1")</f>
        <v>https://www.amazon.com/Smith-Nephew-Protective-Ointment-Protectant/dp/B00G04Z17C/ref=sr_1_1?keywords=Secura%C2%AE+Protective+Ointment+5.6oz.&amp;qid=1695260728&amp;sr=8-1</v>
      </c>
      <c r="F4332" t="s">
        <v>12307</v>
      </c>
      <c r="G4332" t="e">
        <f ca="1">IMAGE("https://shop.sonapharmacy.com/cdn/shop/products/51jcEfX-T7L._AC_SL1170.jpg?v=1610327335")</f>
        <v>#NAME?</v>
      </c>
      <c r="H4332" t="e">
        <f ca="1">IMAGE("https://m.media-amazon.com/images/I/81nNBn+3eLL._AC_UL320_.jpg")</f>
        <v>#NAME?</v>
      </c>
      <c r="I4332" t="s">
        <v>9078</v>
      </c>
      <c r="J4332">
        <v>15.45</v>
      </c>
      <c r="K4332" s="2" t="s">
        <v>12308</v>
      </c>
      <c r="L4332">
        <v>4.8</v>
      </c>
      <c r="M4332">
        <v>1326</v>
      </c>
      <c r="O4332" t="s">
        <v>26</v>
      </c>
      <c r="P4332" t="s">
        <v>39</v>
      </c>
      <c r="Q4332" t="s">
        <v>9080</v>
      </c>
    </row>
    <row r="4333" spans="1:17" ht="15.75" x14ac:dyDescent="0.25">
      <c r="A4333" s="3" t="str">
        <f>HYPERLINK("https://shop.sonapharmacy.com/products/fruit-of-the-earth-aloe-vera-100-gel-6oz", "https://shop.sonapharmacy.com/products/fruit-of-the-earth-aloe-vera-100-gel-6oz")</f>
        <v>https://shop.sonapharmacy.com/products/fruit-of-the-earth-aloe-vera-100-gel-6oz</v>
      </c>
      <c r="B4333" s="3" t="str">
        <f>HYPERLINK("https://shop.sonapharmacy.com/products/fruit-of-the-earth-aloe-vera-100-gel-6oz", "https://shop.sonapharmacy.com/products/fruit-of-the-earth-aloe-vera-100-gel-6oz")</f>
        <v>https://shop.sonapharmacy.com/products/fruit-of-the-earth-aloe-vera-100-gel-6oz</v>
      </c>
      <c r="C4333" t="s">
        <v>8763</v>
      </c>
      <c r="D4333" t="s">
        <v>12309</v>
      </c>
      <c r="E4333" s="3" t="str">
        <f>HYPERLINK("https://www.amazon.com/Fruit-Earth-Aloe-Vera-100/dp/B000052YM0/ref=sr_1_2?keywords=Fruit+Of+The+Earth+Aloe+Vera+100%25+Gel+6oz.&amp;qid=1695260255&amp;sr=8-2", "https://www.amazon.com/Fruit-Earth-Aloe-Vera-100/dp/B000052YM0/ref=sr_1_2?keywords=Fruit+Of+The+Earth+Aloe+Vera+100%25+Gel+6oz.&amp;qid=1695260255&amp;sr=8-2")</f>
        <v>https://www.amazon.com/Fruit-Earth-Aloe-Vera-100/dp/B000052YM0/ref=sr_1_2?keywords=Fruit+Of+The+Earth+Aloe+Vera+100%25+Gel+6oz.&amp;qid=1695260255&amp;sr=8-2</v>
      </c>
      <c r="F4333" t="s">
        <v>12310</v>
      </c>
      <c r="G4333" t="e">
        <f ca="1">IMAGE("https://shop.sonapharmacy.com/cdn/shop/products/aloevera.jpg?v=1607965506")</f>
        <v>#NAME?</v>
      </c>
      <c r="H4333" t="e">
        <f ca="1">IMAGE("https://m.media-amazon.com/images/I/61QSJCr56sL._AC_UL320_.jpg")</f>
        <v>#NAME?</v>
      </c>
      <c r="I4333" t="s">
        <v>8766</v>
      </c>
      <c r="J4333">
        <v>7.33</v>
      </c>
      <c r="K4333" s="2" t="s">
        <v>12311</v>
      </c>
      <c r="L4333">
        <v>4.5999999999999996</v>
      </c>
      <c r="M4333">
        <v>2367</v>
      </c>
      <c r="O4333" t="s">
        <v>26</v>
      </c>
      <c r="P4333" t="s">
        <v>39</v>
      </c>
      <c r="Q4333" t="s">
        <v>8768</v>
      </c>
    </row>
    <row r="4334" spans="1:17" ht="15.75" x14ac:dyDescent="0.25">
      <c r="A4334" s="3" t="str">
        <f>HYPERLINK("https://shop.sonapharmacy.com/products/aspercreme-pain-relieving-creme", "https://shop.sonapharmacy.com/products/aspercreme-pain-relieving-creme")</f>
        <v>https://shop.sonapharmacy.com/products/aspercreme-pain-relieving-creme</v>
      </c>
      <c r="B4334" s="3" t="str">
        <f>HYPERLINK("https://shop.sonapharmacy.com/products/aspercreme-pain-relieving-creme", "https://shop.sonapharmacy.com/products/aspercreme-pain-relieving-creme")</f>
        <v>https://shop.sonapharmacy.com/products/aspercreme-pain-relieving-creme</v>
      </c>
      <c r="C4334" t="s">
        <v>8372</v>
      </c>
      <c r="D4334" t="s">
        <v>12312</v>
      </c>
      <c r="E4334" s="3" t="str">
        <f>HYPERLINK("https://www.amazon.com/Aspercreme-Lidocaine-Diabetic-Creme-Ounce/dp/B07GHBH1CC/ref=sr_1_5?keywords=Aspercreme+Pain+Relieving+Creme&amp;qid=1695260061&amp;sr=8-5", "https://www.amazon.com/Aspercreme-Lidocaine-Diabetic-Creme-Ounce/dp/B07GHBH1CC/ref=sr_1_5?keywords=Aspercreme+Pain+Relieving+Creme&amp;qid=1695260061&amp;sr=8-5")</f>
        <v>https://www.amazon.com/Aspercreme-Lidocaine-Diabetic-Creme-Ounce/dp/B07GHBH1CC/ref=sr_1_5?keywords=Aspercreme+Pain+Relieving+Creme&amp;qid=1695260061&amp;sr=8-5</v>
      </c>
      <c r="F4334" t="s">
        <v>12313</v>
      </c>
      <c r="G4334" t="e">
        <f ca="1">IMAGE("https://shop.sonapharmacy.com/cdn/shop/products/71L3ZWcemAL._AC_SL1280.jpg?v=1611192722")</f>
        <v>#NAME?</v>
      </c>
      <c r="H4334" t="e">
        <f ca="1">IMAGE("https://m.media-amazon.com/images/I/61Nx1ATbsfL._AC_UL320_.jpg")</f>
        <v>#NAME?</v>
      </c>
      <c r="I4334" t="s">
        <v>8341</v>
      </c>
      <c r="J4334">
        <v>12.99</v>
      </c>
      <c r="K4334" s="2" t="s">
        <v>12314</v>
      </c>
      <c r="L4334">
        <v>4.5</v>
      </c>
      <c r="M4334">
        <v>773</v>
      </c>
      <c r="O4334" t="s">
        <v>26</v>
      </c>
      <c r="P4334" t="s">
        <v>39</v>
      </c>
      <c r="Q4334" t="s">
        <v>8376</v>
      </c>
    </row>
    <row r="4335" spans="1:17" ht="15.75" x14ac:dyDescent="0.25">
      <c r="A4335" s="3" t="str">
        <f>HYPERLINK("https://shop.sonapharmacy.com/products/fixodent-complete-original-denture-adhesive-cream-2-4-oz", "https://shop.sonapharmacy.com/products/fixodent-complete-original-denture-adhesive-cream-2-4-oz")</f>
        <v>https://shop.sonapharmacy.com/products/fixodent-complete-original-denture-adhesive-cream-2-4-oz</v>
      </c>
      <c r="B4335" s="3" t="str">
        <f>HYPERLINK("https://shop.sonapharmacy.com/products/fixodent-complete-original-denture-adhesive-cream-2-4-oz", "https://shop.sonapharmacy.com/products/fixodent-complete-original-denture-adhesive-cream-2-4-oz")</f>
        <v>https://shop.sonapharmacy.com/products/fixodent-complete-original-denture-adhesive-cream-2-4-oz</v>
      </c>
      <c r="C4335" t="s">
        <v>9974</v>
      </c>
      <c r="D4335" t="s">
        <v>12315</v>
      </c>
      <c r="E4335" s="3" t="str">
        <f>HYPERLINK("https://www.amazon.com/Fixodent-Complete-Original-Denture-Adhesive/dp/B0088PSX3K/ref=sr_1_2?keywords=Fixodent%C2%AE+Complete+Original+Denture+Adhesive+Cream+2.4+oz&amp;qid=1695260243&amp;sr=8-2", "https://www.amazon.com/Fixodent-Complete-Original-Denture-Adhesive/dp/B0088PSX3K/ref=sr_1_2?keywords=Fixodent%C2%AE+Complete+Original+Denture+Adhesive+Cream+2.4+oz&amp;qid=1695260243&amp;sr=8-2")</f>
        <v>https://www.amazon.com/Fixodent-Complete-Original-Denture-Adhesive/dp/B0088PSX3K/ref=sr_1_2?keywords=Fixodent%C2%AE+Complete+Original+Denture+Adhesive+Cream+2.4+oz&amp;qid=1695260243&amp;sr=8-2</v>
      </c>
      <c r="F4335" t="s">
        <v>12316</v>
      </c>
      <c r="G4335" t="e">
        <f ca="1">IMAGE("https://shop.sonapharmacy.com/cdn/shop/products/00719501_2.jpg?v=1609350426")</f>
        <v>#NAME?</v>
      </c>
      <c r="H4335" t="e">
        <f ca="1">IMAGE("https://m.media-amazon.com/images/I/61gRIFOaeiL._AC_UL320_.jpg")</f>
        <v>#NAME?</v>
      </c>
      <c r="I4335" t="s">
        <v>8606</v>
      </c>
      <c r="J4335">
        <v>9.9700000000000006</v>
      </c>
      <c r="K4335" s="2" t="s">
        <v>12317</v>
      </c>
      <c r="L4335">
        <v>4.7</v>
      </c>
      <c r="M4335">
        <v>5862</v>
      </c>
      <c r="O4335" t="s">
        <v>26</v>
      </c>
      <c r="P4335" t="s">
        <v>39</v>
      </c>
      <c r="Q4335" t="s">
        <v>9978</v>
      </c>
    </row>
    <row r="4336" spans="1:17" ht="15.75" x14ac:dyDescent="0.25">
      <c r="A4336" s="3" t="str">
        <f>HYPERLINK("https://shop.sonapharmacy.com/products/dramamine%C2%AE-motion-sickness-relief-orange-flavor-chewable-tablets-8ct", "https://shop.sonapharmacy.com/products/dramamine%C2%AE-motion-sickness-relief-orange-flavor-chewable-tablets-8ct")</f>
        <v>https://shop.sonapharmacy.com/products/dramamine%C2%AE-motion-sickness-relief-orange-flavor-chewable-tablets-8ct</v>
      </c>
      <c r="B4336" s="3" t="str">
        <f>HYPERLINK("https://shop.sonapharmacy.com/products/dramamine%c2%ae-motion-sickness-relief-orange-flavor-chewable-tablets-8ct", "https://shop.sonapharmacy.com/products/dramamine%c2%ae-motion-sickness-relief-orange-flavor-chewable-tablets-8ct")</f>
        <v>https://shop.sonapharmacy.com/products/dramamine%c2%ae-motion-sickness-relief-orange-flavor-chewable-tablets-8ct</v>
      </c>
      <c r="C4336" t="s">
        <v>12087</v>
      </c>
      <c r="D4336" t="s">
        <v>12318</v>
      </c>
      <c r="E4336" s="3" t="str">
        <f>HYPERLINK("https://www.amazon.com/Dramamine-Sickness-Tablets-Chewable-Flavored/dp/B079W3F89Y/ref=sr_1_4?keywords=Dramamine%C2%AE+Motion+Sickness+Relief+Orange+Flavor+Chewable+Tablets+8ct.&amp;qid=1695260201&amp;sr=8-4", "https://www.amazon.com/Dramamine-Sickness-Tablets-Chewable-Flavored/dp/B079W3F89Y/ref=sr_1_4?keywords=Dramamine%C2%AE+Motion+Sickness+Relief+Orange+Flavor+Chewable+Tablets+8ct.&amp;qid=1695260201&amp;sr=8-4")</f>
        <v>https://www.amazon.com/Dramamine-Sickness-Tablets-Chewable-Flavored/dp/B079W3F89Y/ref=sr_1_4?keywords=Dramamine%C2%AE+Motion+Sickness+Relief+Orange+Flavor+Chewable+Tablets+8ct.&amp;qid=1695260201&amp;sr=8-4</v>
      </c>
      <c r="F4336" t="s">
        <v>12319</v>
      </c>
      <c r="G4336" t="e">
        <f ca="1">IMAGE("https://shop.sonapharmacy.com/cdn/shop/products/71ZPZn4VCHL._AC_SL1500.jpg?v=1610849677")</f>
        <v>#NAME?</v>
      </c>
      <c r="H4336" t="e">
        <f ca="1">IMAGE("https://m.media-amazon.com/images/I/71CLaPiF0+L._AC_UL320_.jpg")</f>
        <v>#NAME?</v>
      </c>
      <c r="I4336" t="s">
        <v>8070</v>
      </c>
      <c r="J4336">
        <v>11.02</v>
      </c>
      <c r="K4336" s="2" t="s">
        <v>12320</v>
      </c>
      <c r="L4336">
        <v>4.9000000000000004</v>
      </c>
      <c r="M4336">
        <v>50</v>
      </c>
      <c r="O4336" t="s">
        <v>26</v>
      </c>
      <c r="P4336" t="s">
        <v>39</v>
      </c>
      <c r="Q4336" t="s">
        <v>12091</v>
      </c>
    </row>
    <row r="4337" spans="1:17" ht="15.75" x14ac:dyDescent="0.25">
      <c r="A4337" s="3" t="str">
        <f>HYPERLINK("https://shop.sonapharmacy.com/products/goodsense%C2%AE-psyllium-orange-flavor-fiber-powder-30-4oz", "https://shop.sonapharmacy.com/products/goodsense%C2%AE-psyllium-orange-flavor-fiber-powder-30-4oz")</f>
        <v>https://shop.sonapharmacy.com/products/goodsense%C2%AE-psyllium-orange-flavor-fiber-powder-30-4oz</v>
      </c>
      <c r="B4337" s="3" t="str">
        <f>HYPERLINK("https://shop.sonapharmacy.com/products/goodsense%c2%ae-psyllium-orange-flavor-fiber-powder-30-4oz", "https://shop.sonapharmacy.com/products/goodsense%c2%ae-psyllium-orange-flavor-fiber-powder-30-4oz")</f>
        <v>https://shop.sonapharmacy.com/products/goodsense%c2%ae-psyllium-orange-flavor-fiber-powder-30-4oz</v>
      </c>
      <c r="C4337" t="s">
        <v>12321</v>
      </c>
      <c r="D4337" t="s">
        <v>12322</v>
      </c>
      <c r="E4337" s="3" t="str">
        <f>HYPERLINK("https://www.amazon.com/Naturlax-Orange-Flavored-Psyllium-Supplement/dp/B07H8QS2DN/ref=sr_1_3?keywords=GoodSense%C2%AE+Psyllium+Orange+Flavor+Fiber+Powder+30.4oz&amp;qid=1695260409&amp;sr=8-3", "https://www.amazon.com/Naturlax-Orange-Flavored-Psyllium-Supplement/dp/B07H8QS2DN/ref=sr_1_3?keywords=GoodSense%C2%AE+Psyllium+Orange+Flavor+Fiber+Powder+30.4oz&amp;qid=1695260409&amp;sr=8-3")</f>
        <v>https://www.amazon.com/Naturlax-Orange-Flavored-Psyllium-Supplement/dp/B07H8QS2DN/ref=sr_1_3?keywords=GoodSense%C2%AE+Psyllium+Orange+Flavor+Fiber+Powder+30.4oz&amp;qid=1695260409&amp;sr=8-3</v>
      </c>
      <c r="F4337" t="s">
        <v>12323</v>
      </c>
      <c r="G4337" t="e">
        <f ca="1">IMAGE("https://shop.sonapharmacy.com/cdn/shop/products/large_359feab3-5284-4b6f-9fbd-bdd35234ee7e.jpg?v=1610983210")</f>
        <v>#NAME?</v>
      </c>
      <c r="H4337" t="e">
        <f ca="1">IMAGE("https://m.media-amazon.com/images/I/61gpHsd1U+L._AC_UL320_.jpg")</f>
        <v>#NAME?</v>
      </c>
      <c r="I4337" t="s">
        <v>12324</v>
      </c>
      <c r="J4337">
        <v>22.6</v>
      </c>
      <c r="K4337" s="2" t="s">
        <v>5402</v>
      </c>
      <c r="L4337">
        <v>3.8</v>
      </c>
      <c r="M4337">
        <v>459</v>
      </c>
      <c r="O4337" t="s">
        <v>136</v>
      </c>
      <c r="P4337" t="s">
        <v>39</v>
      </c>
      <c r="Q4337" t="s">
        <v>12325</v>
      </c>
    </row>
    <row r="4338" spans="1:17" ht="15.75" x14ac:dyDescent="0.25">
      <c r="A4338" s="3" t="str">
        <f>HYPERLINK("https://shop.sonapharmacy.com/products/foille-medicated-first-aid-ointment-1oz", "https://shop.sonapharmacy.com/products/foille-medicated-first-aid-ointment-1oz")</f>
        <v>https://shop.sonapharmacy.com/products/foille-medicated-first-aid-ointment-1oz</v>
      </c>
      <c r="B4338" s="3" t="str">
        <f>HYPERLINK("https://shop.sonapharmacy.com/products/foille-medicated-first-aid-ointment-1oz", "https://shop.sonapharmacy.com/products/foille-medicated-first-aid-ointment-1oz")</f>
        <v>https://shop.sonapharmacy.com/products/foille-medicated-first-aid-ointment-1oz</v>
      </c>
      <c r="C4338" t="s">
        <v>8677</v>
      </c>
      <c r="D4338" t="s">
        <v>12326</v>
      </c>
      <c r="E4338" s="3" t="str">
        <f>HYPERLINK("https://www.amazon.com/Foille-Medicated-First-Aid-Ointment-Ounce/dp/B000NLQ6MC/ref=sr_1_1?keywords=Foille+Medicated+First+Aid+Ointment+1oz.&amp;qid=1695260242&amp;sr=8-1", "https://www.amazon.com/Foille-Medicated-First-Aid-Ointment-Ounce/dp/B000NLQ6MC/ref=sr_1_1?keywords=Foille+Medicated+First+Aid+Ointment+1oz.&amp;qid=1695260242&amp;sr=8-1")</f>
        <v>https://www.amazon.com/Foille-Medicated-First-Aid-Ointment-Ounce/dp/B000NLQ6MC/ref=sr_1_1?keywords=Foille+Medicated+First+Aid+Ointment+1oz.&amp;qid=1695260242&amp;sr=8-1</v>
      </c>
      <c r="F4338" t="s">
        <v>12327</v>
      </c>
      <c r="G4338" t="e">
        <f ca="1">IMAGE("https://shop.sonapharmacy.com/cdn/shop/products/51q-pUYDQIL._AC_SL1500.jpg?v=1609351378")</f>
        <v>#NAME?</v>
      </c>
      <c r="H4338" t="e">
        <f ca="1">IMAGE("https://m.media-amazon.com/images/I/61kSrWAdw6L._AC_UL320_.jpg")</f>
        <v>#NAME?</v>
      </c>
      <c r="I4338" t="s">
        <v>8680</v>
      </c>
      <c r="J4338">
        <v>6.84</v>
      </c>
      <c r="K4338" s="2" t="s">
        <v>12328</v>
      </c>
      <c r="L4338">
        <v>4.8</v>
      </c>
      <c r="M4338">
        <v>1586</v>
      </c>
      <c r="O4338" t="s">
        <v>26</v>
      </c>
      <c r="P4338" t="s">
        <v>39</v>
      </c>
      <c r="Q4338" t="s">
        <v>8682</v>
      </c>
    </row>
    <row r="4339" spans="1:17" ht="15.75" x14ac:dyDescent="0.25">
      <c r="A4339" s="3" t="str">
        <f>HYPERLINK("https://shop.sonapharmacy.com/products/oral-b%C2%AE-deep-clean-toothbrush", "https://shop.sonapharmacy.com/products/oral-b%C2%AE-deep-clean-toothbrush")</f>
        <v>https://shop.sonapharmacy.com/products/oral-b%C2%AE-deep-clean-toothbrush</v>
      </c>
      <c r="B4339" s="3" t="str">
        <f>HYPERLINK("https://shop.sonapharmacy.com/products/oral-b%c2%ae-deep-clean-toothbrush", "https://shop.sonapharmacy.com/products/oral-b%c2%ae-deep-clean-toothbrush")</f>
        <v>https://shop.sonapharmacy.com/products/oral-b%c2%ae-deep-clean-toothbrush</v>
      </c>
      <c r="C4339" t="s">
        <v>9367</v>
      </c>
      <c r="D4339" t="s">
        <v>12329</v>
      </c>
      <c r="E4339" s="3" t="str">
        <f>HYPERLINK("https://www.amazon.com/Oral-B-Complete-Electric-Toothbrush-Replacement/dp/B003UBTYKI/ref=sr_1_10?keywords=Oral+B%C2%AE+Complete+Deep+Clean+Toothbrush+%5BMedium%5D&amp;qid=1695260620&amp;sr=8-10", "https://www.amazon.com/Oral-B-Complete-Electric-Toothbrush-Replacement/dp/B003UBTYKI/ref=sr_1_10?keywords=Oral+B%C2%AE+Complete+Deep+Clean+Toothbrush+%5BMedium%5D&amp;qid=1695260620&amp;sr=8-10")</f>
        <v>https://www.amazon.com/Oral-B-Complete-Electric-Toothbrush-Replacement/dp/B003UBTYKI/ref=sr_1_10?keywords=Oral+B%C2%AE+Complete+Deep+Clean+Toothbrush+%5BMedium%5D&amp;qid=1695260620&amp;sr=8-10</v>
      </c>
      <c r="F4339" t="s">
        <v>12330</v>
      </c>
      <c r="G4339" t="e">
        <f ca="1">IMAGE("https://shop.sonapharmacy.com/cdn/shop/files/Sona-Shop-banner2_0c7162f3-c367-451d-8193-c2967a0e8d8e.jpg?v=1614290083")</f>
        <v>#NAME?</v>
      </c>
      <c r="H4339" t="e">
        <f ca="1">IMAGE("https://m.media-amazon.com/images/I/710h4Xo07VL._AC_UL320_.jpg")</f>
        <v>#NAME?</v>
      </c>
      <c r="I4339" t="s">
        <v>9370</v>
      </c>
      <c r="J4339">
        <v>6.23</v>
      </c>
      <c r="K4339" s="2" t="s">
        <v>12331</v>
      </c>
      <c r="L4339">
        <v>4.8</v>
      </c>
      <c r="M4339">
        <v>10822</v>
      </c>
      <c r="O4339" t="s">
        <v>26</v>
      </c>
      <c r="P4339" t="s">
        <v>39</v>
      </c>
      <c r="Q4339" t="s">
        <v>9372</v>
      </c>
    </row>
    <row r="4340" spans="1:17" ht="15.75" x14ac:dyDescent="0.25">
      <c r="A4340" s="3" t="str">
        <f>HYPERLINK("https://shop.sonapharmacy.com/products/poise%C2%AE-pads-moderate-absorbency-regular-length-66ct", "https://shop.sonapharmacy.com/products/poise%C2%AE-pads-moderate-absorbency-regular-length-66ct")</f>
        <v>https://shop.sonapharmacy.com/products/poise%C2%AE-pads-moderate-absorbency-regular-length-66ct</v>
      </c>
      <c r="B4340" s="3" t="str">
        <f>HYPERLINK("https://shop.sonapharmacy.com/products/poise%c2%ae-pads-moderate-absorbency-regular-length-66ct", "https://shop.sonapharmacy.com/products/poise%c2%ae-pads-moderate-absorbency-regular-length-66ct")</f>
        <v>https://shop.sonapharmacy.com/products/poise%c2%ae-pads-moderate-absorbency-regular-length-66ct</v>
      </c>
      <c r="C4340" t="s">
        <v>12332</v>
      </c>
      <c r="D4340" t="s">
        <v>12333</v>
      </c>
      <c r="E4340" s="3" t="str">
        <f>HYPERLINK("https://www.amazon.com/Poise-Incontinence-Moderate-Absorbency-Regular/dp/B010OW806O/ref=sr_1_2?keywords=Poise%C2%AE+Pads+Moderate+Absorbency+Regular+Length+66ct.&amp;qid=1695260640&amp;sr=8-2", "https://www.amazon.com/Poise-Incontinence-Moderate-Absorbency-Regular/dp/B010OW806O/ref=sr_1_2?keywords=Poise%C2%AE+Pads+Moderate+Absorbency+Regular+Length+66ct.&amp;qid=1695260640&amp;sr=8-2")</f>
        <v>https://www.amazon.com/Poise-Incontinence-Moderate-Absorbency-Regular/dp/B010OW806O/ref=sr_1_2?keywords=Poise%C2%AE+Pads+Moderate+Absorbency+Regular+Length+66ct.&amp;qid=1695260640&amp;sr=8-2</v>
      </c>
      <c r="F4340" t="s">
        <v>12334</v>
      </c>
      <c r="G4340" t="e">
        <f ca="1">IMAGE("https://shop.sonapharmacy.com/cdn/shop/products/71C22tI0qsL._AC_SL1244.jpg?v=1611072543")</f>
        <v>#NAME?</v>
      </c>
      <c r="H4340" t="e">
        <f ca="1">IMAGE("https://m.media-amazon.com/images/I/81pNezvRGUL._AC_UL320_.jpg")</f>
        <v>#NAME?</v>
      </c>
      <c r="I4340" t="s">
        <v>9290</v>
      </c>
      <c r="J4340">
        <v>25.87</v>
      </c>
      <c r="K4340" s="2" t="s">
        <v>12335</v>
      </c>
      <c r="L4340">
        <v>4.5999999999999996</v>
      </c>
      <c r="M4340">
        <v>13184</v>
      </c>
      <c r="O4340" t="s">
        <v>26</v>
      </c>
      <c r="P4340" t="s">
        <v>39</v>
      </c>
      <c r="Q4340" t="s">
        <v>12336</v>
      </c>
    </row>
    <row r="4341" spans="1:17" ht="15.75" x14ac:dyDescent="0.25">
      <c r="A4341" s="3" t="str">
        <f>HYPERLINK("https://shop.sonapharmacy.com/products/johnsons%C2%AE-aloe-vitamin-e-powder", "https://shop.sonapharmacy.com/products/johnsons%C2%AE-aloe-vitamin-e-powder")</f>
        <v>https://shop.sonapharmacy.com/products/johnsons%C2%AE-aloe-vitamin-e-powder</v>
      </c>
      <c r="B4341" s="3" t="str">
        <f>HYPERLINK("https://shop.sonapharmacy.com/products/johnsons%c2%ae-aloe-vitamin-e-powder", "https://shop.sonapharmacy.com/products/johnsons%c2%ae-aloe-vitamin-e-powder")</f>
        <v>https://shop.sonapharmacy.com/products/johnsons%c2%ae-aloe-vitamin-e-powder</v>
      </c>
      <c r="C4341" t="s">
        <v>8082</v>
      </c>
      <c r="D4341" t="s">
        <v>12337</v>
      </c>
      <c r="E4341" s="3" t="str">
        <f>HYPERLINK("https://www.amazon.com/Johnsons-Baby-Powder-Cornstarch-Vitamin/dp/B0009STDJW/ref=sr_1_1?keywords=Johnson%27s%C2%AE+Aloe+%26+Vitamin+E+Powder&amp;qid=1695260488&amp;sr=8-1", "https://www.amazon.com/Johnsons-Baby-Powder-Cornstarch-Vitamin/dp/B0009STDJW/ref=sr_1_1?keywords=Johnson%27s%C2%AE+Aloe+%26+Vitamin+E+Powder&amp;qid=1695260488&amp;sr=8-1")</f>
        <v>https://www.amazon.com/Johnsons-Baby-Powder-Cornstarch-Vitamin/dp/B0009STDJW/ref=sr_1_1?keywords=Johnson%27s%C2%AE+Aloe+%26+Vitamin+E+Powder&amp;qid=1695260488&amp;sr=8-1</v>
      </c>
      <c r="F4341" t="s">
        <v>12338</v>
      </c>
      <c r="G4341" t="e">
        <f ca="1">IMAGE("https://shop.sonapharmacy.com/cdn/shop/products/41ZWPhAz-CL._AC_SL1000.jpg?v=1609256209")</f>
        <v>#NAME?</v>
      </c>
      <c r="H4341" t="e">
        <f ca="1">IMAGE("https://m.media-amazon.com/images/I/71a0jz0VF+L._AC_UL320_.jpg")</f>
        <v>#NAME?</v>
      </c>
      <c r="I4341" t="s">
        <v>8034</v>
      </c>
      <c r="J4341">
        <v>4.7</v>
      </c>
      <c r="K4341" s="2" t="s">
        <v>6016</v>
      </c>
      <c r="L4341">
        <v>4.7</v>
      </c>
      <c r="M4341">
        <v>18721</v>
      </c>
      <c r="O4341" t="s">
        <v>26</v>
      </c>
      <c r="P4341" t="s">
        <v>39</v>
      </c>
      <c r="Q4341" t="s">
        <v>8086</v>
      </c>
    </row>
    <row r="4342" spans="1:17" ht="15.75" x14ac:dyDescent="0.25">
      <c r="A4342" s="3" t="str">
        <f>HYPERLINK("https://shop.sonapharmacy.com/products/johnsons%C2%AE-aloe-vitamin-e-powder", "https://shop.sonapharmacy.com/products/johnsons%C2%AE-aloe-vitamin-e-powder")</f>
        <v>https://shop.sonapharmacy.com/products/johnsons%C2%AE-aloe-vitamin-e-powder</v>
      </c>
      <c r="B4342" s="3" t="str">
        <f>HYPERLINK("https://shop.sonapharmacy.com/products/johnsons%c2%ae-aloe-vitamin-e-powder", "https://shop.sonapharmacy.com/products/johnsons%c2%ae-aloe-vitamin-e-powder")</f>
        <v>https://shop.sonapharmacy.com/products/johnsons%c2%ae-aloe-vitamin-e-powder</v>
      </c>
      <c r="C4342" t="s">
        <v>8082</v>
      </c>
      <c r="D4342" t="s">
        <v>12339</v>
      </c>
      <c r="E4342" s="3" t="str">
        <f>HYPERLINK("https://www.amazon.com/Johnsons-Baby-Naturally-Cornstarch-Hypoallergenic/dp/B01EMZ90SQ/ref=sr_1_9?keywords=Johnson%27s%C2%AE+Aloe+%26+Vitamin+E+Powder&amp;qid=1695260488&amp;sr=8-9", "https://www.amazon.com/Johnsons-Baby-Naturally-Cornstarch-Hypoallergenic/dp/B01EMZ90SQ/ref=sr_1_9?keywords=Johnson%27s%C2%AE+Aloe+%26+Vitamin+E+Powder&amp;qid=1695260488&amp;sr=8-9")</f>
        <v>https://www.amazon.com/Johnsons-Baby-Naturally-Cornstarch-Hypoallergenic/dp/B01EMZ90SQ/ref=sr_1_9?keywords=Johnson%27s%C2%AE+Aloe+%26+Vitamin+E+Powder&amp;qid=1695260488&amp;sr=8-9</v>
      </c>
      <c r="F4342" t="s">
        <v>12340</v>
      </c>
      <c r="G4342" t="e">
        <f ca="1">IMAGE("https://shop.sonapharmacy.com/cdn/shop/products/41ZWPhAz-CL._AC_SL1000.jpg?v=1609256209")</f>
        <v>#NAME?</v>
      </c>
      <c r="H4342" t="e">
        <f ca="1">IMAGE("https://m.media-amazon.com/images/I/71Xt0d7-1PL._AC_UL320_.jpg")</f>
        <v>#NAME?</v>
      </c>
      <c r="I4342" t="s">
        <v>8034</v>
      </c>
      <c r="J4342">
        <v>4.7</v>
      </c>
      <c r="K4342" s="2" t="s">
        <v>6016</v>
      </c>
      <c r="L4342">
        <v>4.5999999999999996</v>
      </c>
      <c r="M4342">
        <v>1438</v>
      </c>
      <c r="O4342" t="s">
        <v>26</v>
      </c>
      <c r="P4342" t="s">
        <v>39</v>
      </c>
      <c r="Q4342" t="s">
        <v>8086</v>
      </c>
    </row>
    <row r="4343" spans="1:17" ht="15.75" x14ac:dyDescent="0.25">
      <c r="A4343" s="3" t="str">
        <f>HYPERLINK("https://shop.sonapharmacy.com/products/battle-creek-ice-it-%C2%AE-maxcomfort%E2%84%A2-system", "https://shop.sonapharmacy.com/products/battle-creek-ice-it-%C2%AE-maxcomfort%E2%84%A2-system")</f>
        <v>https://shop.sonapharmacy.com/products/battle-creek-ice-it-%C2%AE-maxcomfort%E2%84%A2-system</v>
      </c>
      <c r="B4343" s="3" t="str">
        <f>HYPERLINK("https://shop.sonapharmacy.com/products/battle-creek-ice-it-%c2%ae-maxcomfort%e2%84%a2-system", "https://shop.sonapharmacy.com/products/battle-creek-ice-it-%c2%ae-maxcomfort%e2%84%a2-system")</f>
        <v>https://shop.sonapharmacy.com/products/battle-creek-ice-it-%c2%ae-maxcomfort%e2%84%a2-system</v>
      </c>
      <c r="C4343" t="s">
        <v>12341</v>
      </c>
      <c r="D4343" t="s">
        <v>12342</v>
      </c>
      <c r="E4343" s="3" t="str">
        <f>HYPERLINK("https://www.amazon.com/Battle-Ice-ColdCOMFORTTM-Extra-Large-System/dp/B003JO9AK0/ref=sr_1_8?keywords=Battle+Creek+Ice+It%21%C2%AE+MaxComfort%E2%84%A2+System&amp;qid=1695260067&amp;sr=8-8", "https://www.amazon.com/Battle-Ice-ColdCOMFORTTM-Extra-Large-System/dp/B003JO9AK0/ref=sr_1_8?keywords=Battle+Creek+Ice+It%21%C2%AE+MaxComfort%E2%84%A2+System&amp;qid=1695260067&amp;sr=8-8")</f>
        <v>https://www.amazon.com/Battle-Ice-ColdCOMFORTTM-Extra-Large-System/dp/B003JO9AK0/ref=sr_1_8?keywords=Battle+Creek+Ice+It%21%C2%AE+MaxComfort%E2%84%A2+System&amp;qid=1695260067&amp;sr=8-8</v>
      </c>
      <c r="F4343" t="s">
        <v>12343</v>
      </c>
      <c r="G4343" t="e">
        <f ca="1">IMAGE("https://shop.sonapharmacy.com/cdn/shop/products/291896.jpg?v=1609940503")</f>
        <v>#NAME?</v>
      </c>
      <c r="H4343" t="e">
        <f ca="1">IMAGE("https://m.media-amazon.com/images/I/71W7ZIgGtbL._AC_UY218_.jpg")</f>
        <v>#NAME?</v>
      </c>
      <c r="I4343" t="s">
        <v>12344</v>
      </c>
      <c r="J4343">
        <v>38.729999999999997</v>
      </c>
      <c r="K4343" s="2" t="s">
        <v>12345</v>
      </c>
      <c r="L4343">
        <v>4.3</v>
      </c>
      <c r="M4343">
        <v>36</v>
      </c>
      <c r="O4343" t="s">
        <v>26</v>
      </c>
      <c r="P4343" t="s">
        <v>39</v>
      </c>
      <c r="Q4343" t="s">
        <v>12346</v>
      </c>
    </row>
    <row r="4344" spans="1:17" ht="15.75" x14ac:dyDescent="0.25">
      <c r="A4344" s="3" t="str">
        <f>HYPERLINK("https://shop.sonapharmacy.com/products/band-aid-water-block-tape", "https://shop.sonapharmacy.com/products/band-aid-water-block-tape")</f>
        <v>https://shop.sonapharmacy.com/products/band-aid-water-block-tape</v>
      </c>
      <c r="B4344" s="3" t="str">
        <f>HYPERLINK("https://shop.sonapharmacy.com/products/band-aid-water-block-tape", "https://shop.sonapharmacy.com/products/band-aid-water-block-tape")</f>
        <v>https://shop.sonapharmacy.com/products/band-aid-water-block-tape</v>
      </c>
      <c r="C4344" t="s">
        <v>12347</v>
      </c>
      <c r="D4344" t="s">
        <v>12348</v>
      </c>
      <c r="E4344" s="3" t="str">
        <f>HYPERLINK("https://www.amazon.com/Bandaid-First-Aid-Waterproof-Tape/dp/B00MYH4NB4/ref=sr_1_2?keywords=BAND-AID%C2%AE+Water+Block+Tape&amp;qid=1695260057&amp;sr=8-2", "https://www.amazon.com/Bandaid-First-Aid-Waterproof-Tape/dp/B00MYH4NB4/ref=sr_1_2?keywords=BAND-AID%C2%AE+Water+Block+Tape&amp;qid=1695260057&amp;sr=8-2")</f>
        <v>https://www.amazon.com/Bandaid-First-Aid-Waterproof-Tape/dp/B00MYH4NB4/ref=sr_1_2?keywords=BAND-AID%C2%AE+Water+Block+Tape&amp;qid=1695260057&amp;sr=8-2</v>
      </c>
      <c r="F4344" t="s">
        <v>12349</v>
      </c>
      <c r="G4344" t="e">
        <f ca="1">IMAGE("https://shop.sonapharmacy.com/cdn/shop/products/band_aid_us_pho_pac_18_1_2677409.jpg?v=1607695885")</f>
        <v>#NAME?</v>
      </c>
      <c r="H4344" t="e">
        <f ca="1">IMAGE("https://m.media-amazon.com/images/I/71ckPy3QtlL._AC_UL320_.jpg")</f>
        <v>#NAME?</v>
      </c>
      <c r="I4344" t="s">
        <v>9241</v>
      </c>
      <c r="J4344">
        <v>9</v>
      </c>
      <c r="K4344" s="2" t="s">
        <v>12350</v>
      </c>
      <c r="L4344">
        <v>4.5</v>
      </c>
      <c r="M4344">
        <v>222</v>
      </c>
      <c r="O4344" t="s">
        <v>136</v>
      </c>
      <c r="P4344" t="s">
        <v>39</v>
      </c>
      <c r="Q4344" t="s">
        <v>12351</v>
      </c>
    </row>
    <row r="4345" spans="1:17" ht="15.75" x14ac:dyDescent="0.25">
      <c r="A4345" s="3" t="str">
        <f>HYPERLINK("https://shop.sonapharmacy.com/products/goodsense%C2%AE-multi-purpose-solution-for-contact-lenses-12fl-oz", "https://shop.sonapharmacy.com/products/goodsense%C2%AE-multi-purpose-solution-for-contact-lenses-12fl-oz")</f>
        <v>https://shop.sonapharmacy.com/products/goodsense%C2%AE-multi-purpose-solution-for-contact-lenses-12fl-oz</v>
      </c>
      <c r="B4345" s="3" t="str">
        <f>HYPERLINK("https://shop.sonapharmacy.com/products/goodsense%c2%ae-multi-purpose-solution-for-contact-lenses-12fl-oz", "https://shop.sonapharmacy.com/products/goodsense%c2%ae-multi-purpose-solution-for-contact-lenses-12fl-oz")</f>
        <v>https://shop.sonapharmacy.com/products/goodsense%c2%ae-multi-purpose-solution-for-contact-lenses-12fl-oz</v>
      </c>
      <c r="C4345" t="s">
        <v>11146</v>
      </c>
      <c r="D4345" t="s">
        <v>12352</v>
      </c>
      <c r="E4345" s="3" t="str">
        <f>HYPERLINK("https://www.amazon.com/Biotrue-Multi-Purpose-Contact-Lens-Solution/dp/B00DYW0CDG/ref=sr_1_5?keywords=GoodSense%C2%AE+Multi-Purpose+Solution+For+Contact+Lenses+12fl.+oz.&amp;qid=1695260355&amp;sr=8-5", "https://www.amazon.com/Biotrue-Multi-Purpose-Contact-Lens-Solution/dp/B00DYW0CDG/ref=sr_1_5?keywords=GoodSense%C2%AE+Multi-Purpose+Solution+For+Contact+Lenses+12fl.+oz.&amp;qid=1695260355&amp;sr=8-5")</f>
        <v>https://www.amazon.com/Biotrue-Multi-Purpose-Contact-Lens-Solution/dp/B00DYW0CDG/ref=sr_1_5?keywords=GoodSense%C2%AE+Multi-Purpose+Solution+For+Contact+Lenses+12fl.+oz.&amp;qid=1695260355&amp;sr=8-5</v>
      </c>
      <c r="F4345" t="s">
        <v>12353</v>
      </c>
      <c r="G4345" t="e">
        <f ca="1">IMAGE("https://shop.sonapharmacy.com/cdn/shop/products/gddkc00020.jpg?v=1608829572")</f>
        <v>#NAME?</v>
      </c>
      <c r="H4345" t="e">
        <f ca="1">IMAGE("https://m.media-amazon.com/images/I/81Kw5jXbqXS._AC_UL320_.jpg")</f>
        <v>#NAME?</v>
      </c>
      <c r="I4345" t="s">
        <v>8863</v>
      </c>
      <c r="J4345">
        <v>13.16</v>
      </c>
      <c r="K4345" s="2" t="s">
        <v>12354</v>
      </c>
      <c r="L4345">
        <v>4.7</v>
      </c>
      <c r="M4345">
        <v>17288</v>
      </c>
      <c r="O4345" t="s">
        <v>136</v>
      </c>
      <c r="P4345" t="s">
        <v>39</v>
      </c>
      <c r="Q4345" t="s">
        <v>11150</v>
      </c>
    </row>
    <row r="4346" spans="1:17" ht="15.75" x14ac:dyDescent="0.25">
      <c r="A4346" s="3" t="str">
        <f>HYPERLINK("https://shop.sonapharmacy.com/products/good-sense-non-drowsy-day-time-cold-flu-softgels", "https://shop.sonapharmacy.com/products/good-sense-non-drowsy-day-time-cold-flu-softgels")</f>
        <v>https://shop.sonapharmacy.com/products/good-sense-non-drowsy-day-time-cold-flu-softgels</v>
      </c>
      <c r="B4346" s="3" t="str">
        <f>HYPERLINK("https://shop.sonapharmacy.com/products/good-sense-non-drowsy-day-time-cold-flu-softgels", "https://shop.sonapharmacy.com/products/good-sense-non-drowsy-day-time-cold-flu-softgels")</f>
        <v>https://shop.sonapharmacy.com/products/good-sense-non-drowsy-day-time-cold-flu-softgels</v>
      </c>
      <c r="C4346" t="s">
        <v>12355</v>
      </c>
      <c r="D4346" t="s">
        <v>12356</v>
      </c>
      <c r="E4346" s="3" t="str">
        <f>HYPERLINK("https://www.amazon.com/Vicks-DayQuil-Multi-Symptom-Relief-LiquiCaps/dp/B005ZQP478/ref=sr_1_6?keywords=GoodSense%C2%AE+Non-Drowsy+Day+Time+Cold+%26+Flu+Softgels+2&amp;qid=1695260414&amp;sr=8-6", "https://www.amazon.com/Vicks-DayQuil-Multi-Symptom-Relief-LiquiCaps/dp/B005ZQP478/ref=sr_1_6?keywords=GoodSense%C2%AE+Non-Drowsy+Day+Time+Cold+%26+Flu+Softgels+2&amp;qid=1695260414&amp;sr=8-6")</f>
        <v>https://www.amazon.com/Vicks-DayQuil-Multi-Symptom-Relief-LiquiCaps/dp/B005ZQP478/ref=sr_1_6?keywords=GoodSense%C2%AE+Non-Drowsy+Day+Time+Cold+%26+Flu+Softgels+2&amp;qid=1695260414&amp;sr=8-6</v>
      </c>
      <c r="F4346" t="s">
        <v>12357</v>
      </c>
      <c r="G4346" t="e">
        <f ca="1">IMAGE("https://shop.sonapharmacy.com/cdn/shop/products/61O4igp2AJL._AC_SL1000.jpg?v=1610132043")</f>
        <v>#NAME?</v>
      </c>
      <c r="H4346" t="e">
        <f ca="1">IMAGE("https://m.media-amazon.com/images/I/81sWkc8ikwL._AC_UL320_.jpg")</f>
        <v>#NAME?</v>
      </c>
      <c r="I4346" t="s">
        <v>12358</v>
      </c>
      <c r="J4346">
        <v>11.49</v>
      </c>
      <c r="K4346" s="2" t="s">
        <v>12359</v>
      </c>
      <c r="L4346">
        <v>4.8</v>
      </c>
      <c r="M4346">
        <v>2940</v>
      </c>
      <c r="O4346" t="s">
        <v>26</v>
      </c>
      <c r="P4346" t="s">
        <v>39</v>
      </c>
      <c r="Q4346" t="s">
        <v>12360</v>
      </c>
    </row>
    <row r="4347" spans="1:17" ht="15.75" x14ac:dyDescent="0.25">
      <c r="A4347" s="3" t="str">
        <f>HYPERLINK("https://shop.sonapharmacy.com/products/biofreeze-topical-pain-relief-roll-on", "https://shop.sonapharmacy.com/products/biofreeze-topical-pain-relief-roll-on")</f>
        <v>https://shop.sonapharmacy.com/products/biofreeze-topical-pain-relief-roll-on</v>
      </c>
      <c r="B4347" s="3" t="str">
        <f>HYPERLINK("https://shop.sonapharmacy.com/products/biofreeze-topical-pain-relief-roll-on", "https://shop.sonapharmacy.com/products/biofreeze-topical-pain-relief-roll-on")</f>
        <v>https://shop.sonapharmacy.com/products/biofreeze-topical-pain-relief-roll-on</v>
      </c>
      <c r="C4347" t="s">
        <v>10680</v>
      </c>
      <c r="D4347" t="s">
        <v>12361</v>
      </c>
      <c r="E4347" s="3" t="str">
        <f>HYPERLINK("https://www.amazon.com/Biofreeze-Professional-Roll-Relief-Bottle/dp/B074H8XLP8/ref=sr_1_5?keywords=Biofreeze%C2%AE+Topical+Pain+Relief+Roll-On&amp;qid=1695260097&amp;sr=8-5", "https://www.amazon.com/Biofreeze-Professional-Roll-Relief-Bottle/dp/B074H8XLP8/ref=sr_1_5?keywords=Biofreeze%C2%AE+Topical+Pain+Relief+Roll-On&amp;qid=1695260097&amp;sr=8-5")</f>
        <v>https://www.amazon.com/Biofreeze-Professional-Roll-Relief-Bottle/dp/B074H8XLP8/ref=sr_1_5?keywords=Biofreeze%C2%AE+Topical+Pain+Relief+Roll-On&amp;qid=1695260097&amp;sr=8-5</v>
      </c>
      <c r="F4347" t="s">
        <v>12362</v>
      </c>
      <c r="G4347" t="e">
        <f ca="1">IMAGE("https://shop.sonapharmacy.com/cdn/shop/products/61drbtKQFuL._SL1500.jpg?v=1609344589")</f>
        <v>#NAME?</v>
      </c>
      <c r="H4347" t="e">
        <f ca="1">IMAGE("https://m.media-amazon.com/images/I/71-5ml2JK5L._AC_UL320_.jpg")</f>
        <v>#NAME?</v>
      </c>
      <c r="I4347" t="s">
        <v>3419</v>
      </c>
      <c r="J4347">
        <v>22.65</v>
      </c>
      <c r="K4347" s="2" t="s">
        <v>12363</v>
      </c>
      <c r="L4347">
        <v>4.8</v>
      </c>
      <c r="M4347">
        <v>6413</v>
      </c>
      <c r="O4347" t="s">
        <v>26</v>
      </c>
      <c r="P4347" t="s">
        <v>39</v>
      </c>
      <c r="Q4347" t="s">
        <v>10684</v>
      </c>
    </row>
    <row r="4348" spans="1:17" ht="15.75" x14ac:dyDescent="0.25">
      <c r="A4348" s="3" t="str">
        <f>HYPERLINK("https://shop.sonapharmacy.com/products/biofreeze-topical-pain-relief-gel", "https://shop.sonapharmacy.com/products/biofreeze-topical-pain-relief-gel")</f>
        <v>https://shop.sonapharmacy.com/products/biofreeze-topical-pain-relief-gel</v>
      </c>
      <c r="B4348" s="3" t="str">
        <f>HYPERLINK("https://shop.sonapharmacy.com/products/biofreeze-topical-pain-relief-gel", "https://shop.sonapharmacy.com/products/biofreeze-topical-pain-relief-gel")</f>
        <v>https://shop.sonapharmacy.com/products/biofreeze-topical-pain-relief-gel</v>
      </c>
      <c r="C4348" t="s">
        <v>11845</v>
      </c>
      <c r="D4348" t="s">
        <v>12361</v>
      </c>
      <c r="E4348" s="3" t="str">
        <f>HYPERLINK("https://www.amazon.com/Biofreeze-Professional-Roll-Relief-Bottle/dp/B074H8XLP8/ref=sr_1_9?keywords=Biofreeze%C2%AE+Topical+Pain+Relief+Gel&amp;qid=1695260090&amp;sr=8-9", "https://www.amazon.com/Biofreeze-Professional-Roll-Relief-Bottle/dp/B074H8XLP8/ref=sr_1_9?keywords=Biofreeze%C2%AE+Topical+Pain+Relief+Gel&amp;qid=1695260090&amp;sr=8-9")</f>
        <v>https://www.amazon.com/Biofreeze-Professional-Roll-Relief-Bottle/dp/B074H8XLP8/ref=sr_1_9?keywords=Biofreeze%C2%AE+Topical+Pain+Relief+Gel&amp;qid=1695260090&amp;sr=8-9</v>
      </c>
      <c r="F4348" t="s">
        <v>12362</v>
      </c>
      <c r="G4348" t="e">
        <f ca="1">IMAGE("https://shop.sonapharmacy.com/cdn/shop/products/BiofreezeGel.png?v=1606962058")</f>
        <v>#NAME?</v>
      </c>
      <c r="H4348" t="e">
        <f ca="1">IMAGE("https://m.media-amazon.com/images/I/71-5ml2JK5L._AC_UL320_.jpg")</f>
        <v>#NAME?</v>
      </c>
      <c r="I4348" t="s">
        <v>3419</v>
      </c>
      <c r="J4348">
        <v>22.65</v>
      </c>
      <c r="K4348" s="2" t="s">
        <v>12363</v>
      </c>
      <c r="L4348">
        <v>4.8</v>
      </c>
      <c r="M4348">
        <v>6413</v>
      </c>
      <c r="O4348" t="s">
        <v>26</v>
      </c>
      <c r="P4348" t="s">
        <v>39</v>
      </c>
      <c r="Q4348" t="s">
        <v>11849</v>
      </c>
    </row>
    <row r="4349" spans="1:17" ht="15.75" x14ac:dyDescent="0.25">
      <c r="A4349" s="3" t="str">
        <f>HYPERLINK("https://shop.sonapharmacy.com/products/cara%C2%AE-standard-size-dry-heating-pad", "https://shop.sonapharmacy.com/products/cara%C2%AE-standard-size-dry-heating-pad")</f>
        <v>https://shop.sonapharmacy.com/products/cara%C2%AE-standard-size-dry-heating-pad</v>
      </c>
      <c r="B4349" s="3" t="str">
        <f>HYPERLINK("https://shop.sonapharmacy.com/products/cara%c2%ae-standard-size-dry-heating-pad", "https://shop.sonapharmacy.com/products/cara%c2%ae-standard-size-dry-heating-pad")</f>
        <v>https://shop.sonapharmacy.com/products/cara%c2%ae-standard-size-dry-heating-pad</v>
      </c>
      <c r="C4349" t="s">
        <v>12364</v>
      </c>
      <c r="D4349" t="s">
        <v>12365</v>
      </c>
      <c r="E4349" s="3" t="str">
        <f>HYPERLINK("https://www.amazon.com/Conair-Comfort-Standard-Heating-Relief/dp/B08M15H6VH/ref=sr_1_5?keywords=Cara%C2%AE+Standard+Size+Dry+Heating+Pad&amp;qid=1695260115&amp;sr=8-5", "https://www.amazon.com/Conair-Comfort-Standard-Heating-Relief/dp/B08M15H6VH/ref=sr_1_5?keywords=Cara%C2%AE+Standard+Size+Dry+Heating+Pad&amp;qid=1695260115&amp;sr=8-5")</f>
        <v>https://www.amazon.com/Conair-Comfort-Standard-Heating-Relief/dp/B08M15H6VH/ref=sr_1_5?keywords=Cara%C2%AE+Standard+Size+Dry+Heating+Pad&amp;qid=1695260115&amp;sr=8-5</v>
      </c>
      <c r="F4349" t="s">
        <v>12366</v>
      </c>
      <c r="G4349" t="e">
        <f ca="1">IMAGE("https://shop.sonapharmacy.com/cdn/shop/products/c4eb5a3f-b571-468a-8c7d-4beefc4b02e9_1.1655df5cc7501f8c8dfe64253ebf662a.jpg?v=1611154300")</f>
        <v>#NAME?</v>
      </c>
      <c r="H4349" t="e">
        <f ca="1">IMAGE("https://m.media-amazon.com/images/I/81rnGH3dcOL._AC_UL320_.jpg")</f>
        <v>#NAME?</v>
      </c>
      <c r="I4349" t="s">
        <v>12367</v>
      </c>
      <c r="J4349">
        <v>26.72</v>
      </c>
      <c r="K4349" s="2" t="s">
        <v>12368</v>
      </c>
      <c r="L4349">
        <v>3.6</v>
      </c>
      <c r="M4349">
        <v>17</v>
      </c>
      <c r="O4349" t="s">
        <v>26</v>
      </c>
      <c r="P4349" t="s">
        <v>39</v>
      </c>
      <c r="Q4349" t="s">
        <v>12369</v>
      </c>
    </row>
    <row r="4350" spans="1:17" ht="15.75" x14ac:dyDescent="0.25">
      <c r="A4350" s="3" t="str">
        <f>HYPERLINK("https://shop.sonapharmacy.com/products/good-sense-children", "https://shop.sonapharmacy.com/products/good-sense-children")</f>
        <v>https://shop.sonapharmacy.com/products/good-sense-children</v>
      </c>
      <c r="B4350" s="3" t="str">
        <f>HYPERLINK("https://shop.sonapharmacy.com/products/good-sense-children", "https://shop.sonapharmacy.com/products/good-sense-children")</f>
        <v>https://shop.sonapharmacy.com/products/good-sense-children</v>
      </c>
      <c r="C4350" t="s">
        <v>11990</v>
      </c>
      <c r="D4350" t="s">
        <v>12370</v>
      </c>
      <c r="E4350" s="3" t="str">
        <f>HYPERLINK("https://www.amazon.com/Goodsense-Childrens-Ibuprofen-Suspension-Flavor/dp/B07GSGP7SC/ref=sr_1_2?keywords=GoodSense%C2%AE+Children%27s+Oral+Suspension+Ibuprofen&amp;qid=1695260307&amp;sr=8-2", "https://www.amazon.com/Goodsense-Childrens-Ibuprofen-Suspension-Flavor/dp/B07GSGP7SC/ref=sr_1_2?keywords=GoodSense%C2%AE+Children%27s+Oral+Suspension+Ibuprofen&amp;qid=1695260307&amp;sr=8-2")</f>
        <v>https://www.amazon.com/Goodsense-Childrens-Ibuprofen-Suspension-Flavor/dp/B07GSGP7SC/ref=sr_1_2?keywords=GoodSense%C2%AE+Children%27s+Oral+Suspension+Ibuprofen&amp;qid=1695260307&amp;sr=8-2</v>
      </c>
      <c r="F4350" t="s">
        <v>12371</v>
      </c>
      <c r="G4350" t="e">
        <f ca="1">IMAGE("https://shop.sonapharmacy.com/cdn/shop/products/51j0L_70nIL._AC_SL1000.jpg?v=1610030885")</f>
        <v>#NAME?</v>
      </c>
      <c r="H4350" t="e">
        <f ca="1">IMAGE("https://m.media-amazon.com/images/I/71n66DLWpiL._AC_UL320_.jpg")</f>
        <v>#NAME?</v>
      </c>
      <c r="I4350" t="s">
        <v>5109</v>
      </c>
      <c r="J4350">
        <v>9.49</v>
      </c>
      <c r="K4350" s="2" t="s">
        <v>12372</v>
      </c>
      <c r="L4350">
        <v>4.8</v>
      </c>
      <c r="M4350">
        <v>209</v>
      </c>
      <c r="O4350" t="s">
        <v>136</v>
      </c>
      <c r="P4350" t="s">
        <v>39</v>
      </c>
      <c r="Q4350" t="s">
        <v>11994</v>
      </c>
    </row>
    <row r="4351" spans="1:17" ht="15.75" x14ac:dyDescent="0.25">
      <c r="A4351" s="3" t="str">
        <f>HYPERLINK("https://shop.sonapharmacy.com/products/afrin%C2%AE-original", "https://shop.sonapharmacy.com/products/afrin%C2%AE-original")</f>
        <v>https://shop.sonapharmacy.com/products/afrin%C2%AE-original</v>
      </c>
      <c r="B4351" s="3" t="str">
        <f>HYPERLINK("https://shop.sonapharmacy.com/products/afrin%c2%ae-original", "https://shop.sonapharmacy.com/products/afrin%c2%ae-original")</f>
        <v>https://shop.sonapharmacy.com/products/afrin%c2%ae-original</v>
      </c>
      <c r="C4351" t="s">
        <v>8143</v>
      </c>
      <c r="D4351" t="s">
        <v>12373</v>
      </c>
      <c r="E4351" s="3" t="str">
        <f>HYPERLINK("https://www.amazon.com/Afrin-Hour-Pump-Original-Ounce/dp/B019DL5KAG/ref=sr_1_5?keywords=Afrin+Original+Nasal+Spray&amp;qid=1695260003&amp;sr=8-5", "https://www.amazon.com/Afrin-Hour-Pump-Original-Ounce/dp/B019DL5KAG/ref=sr_1_5?keywords=Afrin+Original+Nasal+Spray&amp;qid=1695260003&amp;sr=8-5")</f>
        <v>https://www.amazon.com/Afrin-Hour-Pump-Original-Ounce/dp/B019DL5KAG/ref=sr_1_5?keywords=Afrin+Original+Nasal+Spray&amp;qid=1695260003&amp;sr=8-5</v>
      </c>
      <c r="F4351" t="s">
        <v>12374</v>
      </c>
      <c r="G4351" t="e">
        <f ca="1">IMAGE("https://shop.sonapharmacy.com/cdn/shop/products/81lfsEyuTvL._AC_SL1500.jpg?v=1611182746")</f>
        <v>#NAME?</v>
      </c>
      <c r="H4351" t="e">
        <f ca="1">IMAGE("https://m.media-amazon.com/images/I/81lfsEyuTvL._AC_UL320_.jpg")</f>
        <v>#NAME?</v>
      </c>
      <c r="I4351" t="s">
        <v>4275</v>
      </c>
      <c r="J4351">
        <v>18.989999999999998</v>
      </c>
      <c r="K4351" s="2" t="s">
        <v>12375</v>
      </c>
      <c r="L4351">
        <v>4.5999999999999996</v>
      </c>
      <c r="M4351">
        <v>4420</v>
      </c>
      <c r="O4351" t="s">
        <v>26</v>
      </c>
      <c r="P4351" t="s">
        <v>39</v>
      </c>
      <c r="Q4351" t="s">
        <v>8147</v>
      </c>
    </row>
    <row r="4352" spans="1:17" ht="15.75" x14ac:dyDescent="0.25">
      <c r="A4352" s="3" t="str">
        <f>HYPERLINK("https://shop.sonapharmacy.com/products/flonase-allergy-relief-spray", "https://shop.sonapharmacy.com/products/flonase-allergy-relief-spray")</f>
        <v>https://shop.sonapharmacy.com/products/flonase-allergy-relief-spray</v>
      </c>
      <c r="B4352" s="3" t="str">
        <f>HYPERLINK("https://shop.sonapharmacy.com/products/flonase-allergy-relief-spray", "https://shop.sonapharmacy.com/products/flonase-allergy-relief-spray")</f>
        <v>https://shop.sonapharmacy.com/products/flonase-allergy-relief-spray</v>
      </c>
      <c r="C4352" t="s">
        <v>12108</v>
      </c>
      <c r="D4352" t="s">
        <v>12376</v>
      </c>
      <c r="E4352" s="3"/>
      <c r="F4352" t="s">
        <v>12377</v>
      </c>
      <c r="G4352" t="e">
        <f ca="1">IMAGE("https://shop.sonapharmacy.com/cdn/shop/products/81W9dcRd7bL._AC_SL1500.jpg?v=1611864793")</f>
        <v>#NAME?</v>
      </c>
      <c r="H4352" t="e">
        <f ca="1">IMAGE("https://m.media-amazon.com/images/I/81hBGJwpsNL._AC_UL320_.jpg")</f>
        <v>#NAME?</v>
      </c>
      <c r="I4352" t="s">
        <v>11894</v>
      </c>
      <c r="J4352">
        <v>29.3</v>
      </c>
      <c r="K4352" s="2" t="s">
        <v>12378</v>
      </c>
      <c r="L4352">
        <v>4.3</v>
      </c>
      <c r="M4352">
        <v>1188</v>
      </c>
      <c r="O4352" t="s">
        <v>26</v>
      </c>
      <c r="P4352" t="s">
        <v>39</v>
      </c>
      <c r="Q4352" t="s">
        <v>12111</v>
      </c>
    </row>
    <row r="4353" spans="1:17" ht="15.75" x14ac:dyDescent="0.25">
      <c r="A4353" s="3" t="str">
        <f>HYPERLINK("https://shop.sonapharmacy.com/products/cara%C2%AE-standard-size-moist-dry-heating-pad", "https://shop.sonapharmacy.com/products/cara%C2%AE-standard-size-moist-dry-heating-pad")</f>
        <v>https://shop.sonapharmacy.com/products/cara%C2%AE-standard-size-moist-dry-heating-pad</v>
      </c>
      <c r="B4353" s="3" t="str">
        <f>HYPERLINK("https://shop.sonapharmacy.com/products/cara%c2%ae-standard-size-moist-dry-heating-pad", "https://shop.sonapharmacy.com/products/cara%c2%ae-standard-size-moist-dry-heating-pad")</f>
        <v>https://shop.sonapharmacy.com/products/cara%c2%ae-standard-size-moist-dry-heating-pad</v>
      </c>
      <c r="C4353" t="s">
        <v>8751</v>
      </c>
      <c r="D4353" t="s">
        <v>12379</v>
      </c>
      <c r="E4353" s="3" t="str">
        <f>HYPERLINK("https://www.amazon.com/Mastex-600-Standard-Moist-Heating-Volts/dp/B00427UEFS/ref=sr_1_7?keywords=Cara%C2%AE+Standard+Size+Moist%2FDry+Heating+Pad&amp;qid=1695260154&amp;sr=8-7", "https://www.amazon.com/Mastex-600-Standard-Moist-Heating-Volts/dp/B00427UEFS/ref=sr_1_7?keywords=Cara%C2%AE+Standard+Size+Moist%2FDry+Heating+Pad&amp;qid=1695260154&amp;sr=8-7")</f>
        <v>https://www.amazon.com/Mastex-600-Standard-Moist-Heating-Volts/dp/B00427UEFS/ref=sr_1_7?keywords=Cara%C2%AE+Standard+Size+Moist%2FDry+Heating+Pad&amp;qid=1695260154&amp;sr=8-7</v>
      </c>
      <c r="F4353" t="s">
        <v>12380</v>
      </c>
      <c r="G4353" t="e">
        <f ca="1">IMAGE("https://shop.sonapharmacy.com/cdn/shop/products/da718653-98e8-4d98-a1bc-4562155c6543_1.6a398de2ed3c5b4be415e9ebd72152f4.jpg?v=1611153880")</f>
        <v>#NAME?</v>
      </c>
      <c r="H4353" t="e">
        <f ca="1">IMAGE("https://m.media-amazon.com/images/I/61CudubDJxL._AC_UL320_.jpg")</f>
        <v>#NAME?</v>
      </c>
      <c r="I4353" t="s">
        <v>8754</v>
      </c>
      <c r="J4353">
        <v>34.85</v>
      </c>
      <c r="K4353" s="2" t="s">
        <v>12381</v>
      </c>
      <c r="L4353">
        <v>3.2</v>
      </c>
      <c r="M4353">
        <v>14</v>
      </c>
      <c r="O4353" t="s">
        <v>26</v>
      </c>
      <c r="P4353" t="s">
        <v>39</v>
      </c>
      <c r="Q4353" t="s">
        <v>8756</v>
      </c>
    </row>
    <row r="4354" spans="1:17" ht="15.75" x14ac:dyDescent="0.25">
      <c r="A4354" s="3" t="str">
        <f>HYPERLINK("https://shop.sonapharmacy.com/products/gaia%C2%AE-herbs-professional-solutions-ashwagandha-liquid-phyto-caps-60ct", "https://shop.sonapharmacy.com/products/gaia%C2%AE-herbs-professional-solutions-ashwagandha-liquid-phyto-caps-60ct")</f>
        <v>https://shop.sonapharmacy.com/products/gaia%C2%AE-herbs-professional-solutions-ashwagandha-liquid-phyto-caps-60ct</v>
      </c>
      <c r="B4354" s="3" t="str">
        <f>HYPERLINK("https://shop.sonapharmacy.com/products/gaia%c2%ae-herbs-professional-solutions-ashwagandha-liquid-phyto-caps-60ct", "https://shop.sonapharmacy.com/products/gaia%c2%ae-herbs-professional-solutions-ashwagandha-liquid-phyto-caps-60ct")</f>
        <v>https://shop.sonapharmacy.com/products/gaia%c2%ae-herbs-professional-solutions-ashwagandha-liquid-phyto-caps-60ct</v>
      </c>
      <c r="C4354" t="s">
        <v>12382</v>
      </c>
      <c r="D4354" t="s">
        <v>12383</v>
      </c>
      <c r="E4354" s="3" t="str">
        <f>HYPERLINK("https://www.amazon.com/Gaia-Herbs-Ashwagandha-Liquid-Capsules/dp/B06XSTTX7C/ref=sr_1_5?keywords=Gaia%C2%AE+Herbs+Ashwagandha+Liquid+Phyto-Caps+60ct.&amp;qid=1695260287&amp;sr=8-5", "https://www.amazon.com/Gaia-Herbs-Ashwagandha-Liquid-Capsules/dp/B06XSTTX7C/ref=sr_1_5?keywords=Gaia%C2%AE+Herbs+Ashwagandha+Liquid+Phyto-Caps+60ct.&amp;qid=1695260287&amp;sr=8-5")</f>
        <v>https://www.amazon.com/Gaia-Herbs-Ashwagandha-Liquid-Capsules/dp/B06XSTTX7C/ref=sr_1_5?keywords=Gaia%C2%AE+Herbs+Ashwagandha+Liquid+Phyto-Caps+60ct.&amp;qid=1695260287&amp;sr=8-5</v>
      </c>
      <c r="F4354" t="s">
        <v>12384</v>
      </c>
      <c r="G4354" t="e">
        <f ca="1">IMAGE("https://shop.sonapharmacy.com/cdn/shop/products/Gaia_Herbs_Professional_Solutions_Ashwagandha_Full_2000x_b2250b75-b98f-4e07-beec-e55b42c97520.jpg?v=1610558704")</f>
        <v>#NAME?</v>
      </c>
      <c r="H4354" t="e">
        <f ca="1">IMAGE("https://m.media-amazon.com/images/I/71fLoWQAnqL._AC_UL320_.jpg")</f>
        <v>#NAME?</v>
      </c>
      <c r="I4354" t="s">
        <v>3367</v>
      </c>
      <c r="J4354">
        <v>37.51</v>
      </c>
      <c r="K4354" s="2" t="s">
        <v>4869</v>
      </c>
      <c r="L4354">
        <v>4.5999999999999996</v>
      </c>
      <c r="M4354">
        <v>4528</v>
      </c>
      <c r="O4354" t="s">
        <v>26</v>
      </c>
      <c r="P4354" t="s">
        <v>39</v>
      </c>
      <c r="Q4354" t="s">
        <v>12385</v>
      </c>
    </row>
    <row r="4355" spans="1:17" ht="15.75" x14ac:dyDescent="0.25">
      <c r="A4355" s="3" t="str">
        <f>HYPERLINK("https://shop.sonapharmacy.com/products/mueller-kinesiology-tape%C2%AE-i-strips-pre-cut-tape-roll", "https://shop.sonapharmacy.com/products/mueller-kinesiology-tape%C2%AE-i-strips-pre-cut-tape-roll")</f>
        <v>https://shop.sonapharmacy.com/products/mueller-kinesiology-tape%C2%AE-i-strips-pre-cut-tape-roll</v>
      </c>
      <c r="B4355" s="3" t="str">
        <f>HYPERLINK("https://shop.sonapharmacy.com/products/mueller-kinesiology-tape%c2%ae-i-strips-pre-cut-tape-roll", "https://shop.sonapharmacy.com/products/mueller-kinesiology-tape%c2%ae-i-strips-pre-cut-tape-roll")</f>
        <v>https://shop.sonapharmacy.com/products/mueller-kinesiology-tape%c2%ae-i-strips-pre-cut-tape-roll</v>
      </c>
      <c r="C4355" t="s">
        <v>11477</v>
      </c>
      <c r="D4355" t="s">
        <v>12386</v>
      </c>
      <c r="E4355" s="3" t="str">
        <f>HYPERLINK("https://www.amazon.com/Mueller-Sports-Medicine-Kinesiology-Pre-Cut/dp/B00JPE2SYS/ref=sr_1_5?keywords=Mueller+Kinesiology+Tape%C2%AE+I-Strips+Pre-Cut+Tape+Roll&amp;qid=1695260503&amp;sr=8-5", "https://www.amazon.com/Mueller-Sports-Medicine-Kinesiology-Pre-Cut/dp/B00JPE2SYS/ref=sr_1_5?keywords=Mueller+Kinesiology+Tape%C2%AE+I-Strips+Pre-Cut+Tape+Roll&amp;qid=1695260503&amp;sr=8-5")</f>
        <v>https://www.amazon.com/Mueller-Sports-Medicine-Kinesiology-Pre-Cut/dp/B00JPE2SYS/ref=sr_1_5?keywords=Mueller+Kinesiology+Tape%C2%AE+I-Strips+Pre-Cut+Tape+Roll&amp;qid=1695260503&amp;sr=8-5</v>
      </c>
      <c r="F4355" t="s">
        <v>12387</v>
      </c>
      <c r="G4355" t="e">
        <f ca="1">IMAGE("https://shop.sonapharmacy.com/cdn/shop/products/black_fd3353bd-3884-4f87-90b8-1327b7073970.jpg?v=1609944494")</f>
        <v>#NAME?</v>
      </c>
      <c r="H4355" t="e">
        <f ca="1">IMAGE("https://m.media-amazon.com/images/I/81iqUXtc8LL._AC_UL320_.jpg")</f>
        <v>#NAME?</v>
      </c>
      <c r="I4355" t="s">
        <v>8096</v>
      </c>
      <c r="J4355">
        <v>13.64</v>
      </c>
      <c r="K4355" s="2" t="s">
        <v>3393</v>
      </c>
      <c r="L4355">
        <v>4.5</v>
      </c>
      <c r="M4355">
        <v>761</v>
      </c>
      <c r="O4355" t="s">
        <v>26</v>
      </c>
      <c r="P4355" t="s">
        <v>39</v>
      </c>
      <c r="Q4355" t="s">
        <v>11481</v>
      </c>
    </row>
    <row r="4356" spans="1:17" ht="15.75" x14ac:dyDescent="0.25">
      <c r="A4356" s="3" t="str">
        <f>HYPERLINK("https://shop.sonapharmacy.com/products/sona-buffered-c-capsules", "https://shop.sonapharmacy.com/products/sona-buffered-c-capsules")</f>
        <v>https://shop.sonapharmacy.com/products/sona-buffered-c-capsules</v>
      </c>
      <c r="B4356" s="3" t="str">
        <f>HYPERLINK("https://shop.sonapharmacy.com/products/sona-buffered-c-capsules", "https://shop.sonapharmacy.com/products/sona-buffered-c-capsules")</f>
        <v>https://shop.sonapharmacy.com/products/sona-buffered-c-capsules</v>
      </c>
      <c r="C4356" t="s">
        <v>11624</v>
      </c>
      <c r="D4356" t="s">
        <v>12388</v>
      </c>
      <c r="E4356" s="3" t="str">
        <f>HYPERLINK("https://www.amazon.com/BlueBonnet-Buffered-Vitamin-Vegetable-Capsules/dp/B001FXMDBK/ref=sr_1_4?keywords=Sona+Buffered+C+Capsules&amp;qid=1695260718&amp;sr=8-4", "https://www.amazon.com/BlueBonnet-Buffered-Vitamin-Vegetable-Capsules/dp/B001FXMDBK/ref=sr_1_4?keywords=Sona+Buffered+C+Capsules&amp;qid=1695260718&amp;sr=8-4")</f>
        <v>https://www.amazon.com/BlueBonnet-Buffered-Vitamin-Vegetable-Capsules/dp/B001FXMDBK/ref=sr_1_4?keywords=Sona+Buffered+C+Capsules&amp;qid=1695260718&amp;sr=8-4</v>
      </c>
      <c r="F4356" t="s">
        <v>12389</v>
      </c>
      <c r="G4356" t="e">
        <f ca="1">IMAGE("https://shop.sonapharmacy.com/cdn/shop/files/BufferedC_SonaShop.jpg?v=1692370201")</f>
        <v>#NAME?</v>
      </c>
      <c r="H4356" t="e">
        <f ca="1">IMAGE("https://m.media-amazon.com/images/I/61dlUw-BsGL._AC_UL320_.jpg")</f>
        <v>#NAME?</v>
      </c>
      <c r="I4356" t="s">
        <v>11627</v>
      </c>
      <c r="J4356">
        <v>29.56</v>
      </c>
      <c r="K4356" s="2" t="s">
        <v>3399</v>
      </c>
      <c r="L4356">
        <v>4.5</v>
      </c>
      <c r="M4356">
        <v>63</v>
      </c>
      <c r="O4356" t="s">
        <v>26</v>
      </c>
      <c r="P4356" t="s">
        <v>39</v>
      </c>
      <c r="Q4356" t="s">
        <v>11629</v>
      </c>
    </row>
    <row r="4357" spans="1:17" ht="15.75" x14ac:dyDescent="0.25">
      <c r="A4357" s="3" t="str">
        <f>HYPERLINK("https://shop.sonapharmacy.com/products/d3-50-100-vegcaps", "https://shop.sonapharmacy.com/products/d3-50-100-vegcaps")</f>
        <v>https://shop.sonapharmacy.com/products/d3-50-100-vegcaps</v>
      </c>
      <c r="B4357" s="3" t="str">
        <f>HYPERLINK("https://shop.sonapharmacy.com/products/d3-50-100-vegcaps", "https://shop.sonapharmacy.com/products/d3-50-100-vegcaps")</f>
        <v>https://shop.sonapharmacy.com/products/d3-50-100-vegcaps</v>
      </c>
      <c r="C4357" t="s">
        <v>12390</v>
      </c>
      <c r="D4357" t="s">
        <v>12391</v>
      </c>
      <c r="E4357" s="3" t="str">
        <f>HYPERLINK("https://www.amazon.com/D3-50-50-000iu-Bio-Tech-Pharmacal/dp/B00PH50WOC/ref=sr_1_6?keywords=Bio-Tech%C2%AE+D3-50+Capsules&amp;qid=1695260103&amp;sr=8-6", "https://www.amazon.com/D3-50-50-000iu-Bio-Tech-Pharmacal/dp/B00PH50WOC/ref=sr_1_6?keywords=Bio-Tech%C2%AE+D3-50+Capsules&amp;qid=1695260103&amp;sr=8-6")</f>
        <v>https://www.amazon.com/D3-50-50-000iu-Bio-Tech-Pharmacal/dp/B00PH50WOC/ref=sr_1_6?keywords=Bio-Tech%C2%AE+D3-50+Capsules&amp;qid=1695260103&amp;sr=8-6</v>
      </c>
      <c r="F4357" t="s">
        <v>12392</v>
      </c>
      <c r="G4357" t="e">
        <f ca="1">IMAGE("https://shop.sonapharmacy.com/cdn/shop/products/s-l640_1.jpg?v=1609344718")</f>
        <v>#NAME?</v>
      </c>
      <c r="H4357" t="e">
        <f ca="1">IMAGE("https://m.media-amazon.com/images/I/51elOJAVMeL._AC_UL320_.jpg")</f>
        <v>#NAME?</v>
      </c>
      <c r="I4357" t="s">
        <v>12393</v>
      </c>
      <c r="J4357">
        <v>45.95</v>
      </c>
      <c r="K4357" s="2" t="s">
        <v>12394</v>
      </c>
      <c r="L4357">
        <v>4.5999999999999996</v>
      </c>
      <c r="M4357">
        <v>55</v>
      </c>
      <c r="O4357" t="s">
        <v>26</v>
      </c>
      <c r="P4357" t="s">
        <v>39</v>
      </c>
      <c r="Q4357" t="s">
        <v>12395</v>
      </c>
    </row>
    <row r="4358" spans="1:17" ht="15.75" x14ac:dyDescent="0.25">
      <c r="A4358" s="3" t="str">
        <f>HYPERLINK("https://shop.sonapharmacy.com/products/preservision-areds-formula-soft-gels", "https://shop.sonapharmacy.com/products/preservision-areds-formula-soft-gels")</f>
        <v>https://shop.sonapharmacy.com/products/preservision-areds-formula-soft-gels</v>
      </c>
      <c r="B4358" s="3" t="str">
        <f>HYPERLINK("https://shop.sonapharmacy.com/products/preservision-areds-formula-soft-gels", "https://shop.sonapharmacy.com/products/preservision-areds-formula-soft-gels")</f>
        <v>https://shop.sonapharmacy.com/products/preservision-areds-formula-soft-gels</v>
      </c>
      <c r="C4358" t="s">
        <v>8013</v>
      </c>
      <c r="D4358" t="s">
        <v>12396</v>
      </c>
      <c r="E4358" s="3" t="str">
        <f>HYPERLINK("https://www.amazon.com/PreserVision-Vitamins-Zeaxanthin-Vitamin-Softgels/dp/B0BW1KC93N/ref=sr_1_9?keywords=PreserVision+AREDS+Formula+Soft+Gels&amp;qid=1695260640&amp;sr=8-9", "https://www.amazon.com/PreserVision-Vitamins-Zeaxanthin-Vitamin-Softgels/dp/B0BW1KC93N/ref=sr_1_9?keywords=PreserVision+AREDS+Formula+Soft+Gels&amp;qid=1695260640&amp;sr=8-9")</f>
        <v>https://www.amazon.com/PreserVision-Vitamins-Zeaxanthin-Vitamin-Softgels/dp/B0BW1KC93N/ref=sr_1_9?keywords=PreserVision+AREDS+Formula+Soft+Gels&amp;qid=1695260640&amp;sr=8-9</v>
      </c>
      <c r="F4358" t="s">
        <v>12397</v>
      </c>
      <c r="G4358" t="e">
        <f ca="1">IMAGE("https://shop.sonapharmacy.com/cdn/shop/products/PreserVisionAREDSFormulaSoftGels3.jpg?v=1594926297")</f>
        <v>#NAME?</v>
      </c>
      <c r="H4358" t="e">
        <f ca="1">IMAGE("https://m.media-amazon.com/images/I/81r5LyROG2L._AC_UL320_.jpg")</f>
        <v>#NAME?</v>
      </c>
      <c r="I4358" t="s">
        <v>8016</v>
      </c>
      <c r="J4358">
        <v>29.49</v>
      </c>
      <c r="K4358" s="2" t="s">
        <v>12398</v>
      </c>
      <c r="L4358">
        <v>4.8</v>
      </c>
      <c r="M4358">
        <v>111</v>
      </c>
      <c r="O4358" t="s">
        <v>26</v>
      </c>
      <c r="P4358" t="s">
        <v>39</v>
      </c>
      <c r="Q4358" t="s">
        <v>8018</v>
      </c>
    </row>
    <row r="4359" spans="1:17" ht="15.75" x14ac:dyDescent="0.25">
      <c r="A4359" s="3" t="str">
        <f>HYPERLINK("https://shop.sonapharmacy.com/products/blue-star-anti-itch-medicated-ointment-2oz", "https://shop.sonapharmacy.com/products/blue-star-anti-itch-medicated-ointment-2oz")</f>
        <v>https://shop.sonapharmacy.com/products/blue-star-anti-itch-medicated-ointment-2oz</v>
      </c>
      <c r="B4359" s="3" t="str">
        <f>HYPERLINK("https://shop.sonapharmacy.com/products/blue-star-anti-itch-medicated-ointment-2oz", "https://shop.sonapharmacy.com/products/blue-star-anti-itch-medicated-ointment-2oz")</f>
        <v>https://shop.sonapharmacy.com/products/blue-star-anti-itch-medicated-ointment-2oz</v>
      </c>
      <c r="C4359" t="s">
        <v>10017</v>
      </c>
      <c r="D4359" t="s">
        <v>12399</v>
      </c>
      <c r="E4359" s="3" t="str">
        <f>HYPERLINK("https://www.amazon.com/Blue-Star-Anti-Itch-Medicated-Ointment/dp/B002GU6M54/ref=sr_1_1?keywords=Blue+Star%C2%AE+Anti-Itch+Medicated+Ointment+2oz.&amp;qid=1695260101&amp;sr=8-1", "https://www.amazon.com/Blue-Star-Anti-Itch-Medicated-Ointment/dp/B002GU6M54/ref=sr_1_1?keywords=Blue+Star%C2%AE+Anti-Itch+Medicated+Ointment+2oz.&amp;qid=1695260101&amp;sr=8-1")</f>
        <v>https://www.amazon.com/Blue-Star-Anti-Itch-Medicated-Ointment/dp/B002GU6M54/ref=sr_1_1?keywords=Blue+Star%C2%AE+Anti-Itch+Medicated+Ointment+2oz.&amp;qid=1695260101&amp;sr=8-1</v>
      </c>
      <c r="F4359" t="s">
        <v>12400</v>
      </c>
      <c r="G4359" t="e">
        <f ca="1">IMAGE("https://shop.sonapharmacy.com/cdn/shop/products/apivrbugg__33256.1592338106.jpg?v=1607974281")</f>
        <v>#NAME?</v>
      </c>
      <c r="H4359" t="e">
        <f ca="1">IMAGE("https://m.media-amazon.com/images/I/81fNXLyQWIL._AC_UL320_.jpg")</f>
        <v>#NAME?</v>
      </c>
      <c r="I4359" t="s">
        <v>4873</v>
      </c>
      <c r="J4359">
        <v>14.96</v>
      </c>
      <c r="K4359" s="2" t="s">
        <v>12401</v>
      </c>
      <c r="L4359">
        <v>4.5999999999999996</v>
      </c>
      <c r="M4359">
        <v>140</v>
      </c>
      <c r="O4359" t="s">
        <v>26</v>
      </c>
      <c r="P4359" t="s">
        <v>39</v>
      </c>
      <c r="Q4359" t="s">
        <v>10021</v>
      </c>
    </row>
    <row r="4360" spans="1:17" ht="15.75" x14ac:dyDescent="0.25">
      <c r="A4360" s="3" t="str">
        <f>HYPERLINK("https://shop.sonapharmacy.com/products/dentemp%C2%AE-loose-cap-lost-filling-repair", "https://shop.sonapharmacy.com/products/dentemp%C2%AE-loose-cap-lost-filling-repair")</f>
        <v>https://shop.sonapharmacy.com/products/dentemp%C2%AE-loose-cap-lost-filling-repair</v>
      </c>
      <c r="B4360" s="3" t="str">
        <f>HYPERLINK("https://shop.sonapharmacy.com/products/dentemp%c2%ae-loose-cap-lost-filling-repair", "https://shop.sonapharmacy.com/products/dentemp%c2%ae-loose-cap-lost-filling-repair")</f>
        <v>https://shop.sonapharmacy.com/products/dentemp%c2%ae-loose-cap-lost-filling-repair</v>
      </c>
      <c r="C4360" t="s">
        <v>9593</v>
      </c>
      <c r="D4360" t="s">
        <v>12402</v>
      </c>
      <c r="E4360" s="3" t="str">
        <f>HYPERLINK("https://www.amazon.com/Dentemp-Maximum-Strength-Fillings-Caps-1/dp/B00SYD852K/ref=sr_1_4?keywords=Dentemp%C2%AE+Loose+Cap+%26+Lost+Filling+Repair&amp;qid=1695260175&amp;sr=8-4", "https://www.amazon.com/Dentemp-Maximum-Strength-Fillings-Caps-1/dp/B00SYD852K/ref=sr_1_4?keywords=Dentemp%C2%AE+Loose+Cap+%26+Lost+Filling+Repair&amp;qid=1695260175&amp;sr=8-4")</f>
        <v>https://www.amazon.com/Dentemp-Maximum-Strength-Fillings-Caps-1/dp/B00SYD852K/ref=sr_1_4?keywords=Dentemp%C2%AE+Loose+Cap+%26+Lost+Filling+Repair&amp;qid=1695260175&amp;sr=8-4</v>
      </c>
      <c r="F4360" t="s">
        <v>12403</v>
      </c>
      <c r="G4360" t="e">
        <f ca="1">IMAGE("https://shop.sonapharmacy.com/cdn/shop/products/dentemp-loose-cap-lost-filling.jpg?v=1608570207")</f>
        <v>#NAME?</v>
      </c>
      <c r="H4360" t="e">
        <f ca="1">IMAGE("https://m.media-amazon.com/images/I/71koCdCzIdL._AC_UL320_.jpg")</f>
        <v>#NAME?</v>
      </c>
      <c r="I4360" t="s">
        <v>9241</v>
      </c>
      <c r="J4360">
        <v>8.8800000000000008</v>
      </c>
      <c r="K4360" s="2" t="s">
        <v>12401</v>
      </c>
      <c r="L4360">
        <v>3.6</v>
      </c>
      <c r="M4360">
        <v>35</v>
      </c>
      <c r="O4360" t="s">
        <v>26</v>
      </c>
      <c r="P4360" t="s">
        <v>39</v>
      </c>
      <c r="Q4360" t="s">
        <v>9597</v>
      </c>
    </row>
    <row r="4361" spans="1:17" ht="15.75" x14ac:dyDescent="0.25">
      <c r="A4361" s="3" t="str">
        <f>HYPERLINK("https://shop.sonapharmacy.com/products/reeses-pinworm-medicine-1fl-oz", "https://shop.sonapharmacy.com/products/reeses-pinworm-medicine-1fl-oz")</f>
        <v>https://shop.sonapharmacy.com/products/reeses-pinworm-medicine-1fl-oz</v>
      </c>
      <c r="B4361" s="3" t="str">
        <f>HYPERLINK("https://shop.sonapharmacy.com/products/reeses-pinworm-medicine-1fl-oz", "https://shop.sonapharmacy.com/products/reeses-pinworm-medicine-1fl-oz")</f>
        <v>https://shop.sonapharmacy.com/products/reeses-pinworm-medicine-1fl-oz</v>
      </c>
      <c r="C4361" t="s">
        <v>10743</v>
      </c>
      <c r="D4361" t="s">
        <v>12404</v>
      </c>
      <c r="E4361" s="3" t="str">
        <f>HYPERLINK("https://www.amazon.com/REESES-PINWORM-Medicine-Prescription-Strength/dp/B08HHT66SV/ref=sr_1_fkmr0_1?keywords=Reese%27s+Pinworm+Medicine+1fl.+oz.&amp;qid=1695260663&amp;sr=8-1-fkmr0", "https://www.amazon.com/REESES-PINWORM-Medicine-Prescription-Strength/dp/B08HHT66SV/ref=sr_1_fkmr0_1?keywords=Reese%27s+Pinworm+Medicine+1fl.+oz.&amp;qid=1695260663&amp;sr=8-1-fkmr0")</f>
        <v>https://www.amazon.com/REESES-PINWORM-Medicine-Prescription-Strength/dp/B08HHT66SV/ref=sr_1_fkmr0_1?keywords=Reese%27s+Pinworm+Medicine+1fl.+oz.&amp;qid=1695260663&amp;sr=8-1-fkmr0</v>
      </c>
      <c r="F4361" t="s">
        <v>12405</v>
      </c>
      <c r="G4361" t="e">
        <f ca="1">IMAGE("https://shop.sonapharmacy.com/cdn/shop/products/4c78d44b-f270-4571-8007-84e37f0276dd_1.ef3549c5f8aa132e37d70721ee057514_1.jpg?v=1608144191")</f>
        <v>#NAME?</v>
      </c>
      <c r="H4361" t="e">
        <f ca="1">IMAGE("https://m.media-amazon.com/images/I/41e585VaYvL._AC_UL320_.jpg")</f>
        <v>#NAME?</v>
      </c>
      <c r="I4361" t="s">
        <v>9258</v>
      </c>
      <c r="J4361">
        <v>17.95</v>
      </c>
      <c r="K4361" s="2" t="s">
        <v>12406</v>
      </c>
      <c r="L4361">
        <v>4.4000000000000004</v>
      </c>
      <c r="M4361">
        <v>1061</v>
      </c>
      <c r="O4361" t="s">
        <v>26</v>
      </c>
      <c r="P4361" t="s">
        <v>39</v>
      </c>
      <c r="Q4361" t="s">
        <v>10747</v>
      </c>
    </row>
    <row r="4362" spans="1:17" ht="15.75" x14ac:dyDescent="0.25">
      <c r="A4362" s="3" t="str">
        <f>HYPERLINK("https://shop.sonapharmacy.com/products/band-aid-cushion-care-gauze-pads", "https://shop.sonapharmacy.com/products/band-aid-cushion-care-gauze-pads")</f>
        <v>https://shop.sonapharmacy.com/products/band-aid-cushion-care-gauze-pads</v>
      </c>
      <c r="B4362" s="3" t="str">
        <f>HYPERLINK("https://shop.sonapharmacy.com/products/band-aid-cushion-care-gauze-pads", "https://shop.sonapharmacy.com/products/band-aid-cushion-care-gauze-pads")</f>
        <v>https://shop.sonapharmacy.com/products/band-aid-cushion-care-gauze-pads</v>
      </c>
      <c r="C4362" t="s">
        <v>9012</v>
      </c>
      <c r="D4362" t="s">
        <v>9013</v>
      </c>
      <c r="E4362" s="3" t="str">
        <f>HYPERLINK("https://www.amazon.com/BAND-AID-First-Aid-Gauze-Pads/dp/B07D9NX913/ref=sr_1_3?keywords=BAND-AID%C2%AE+Cushion-Care+Gauze+Pads&amp;qid=1695260110&amp;sr=8-3", "https://www.amazon.com/BAND-AID-First-Aid-Gauze-Pads/dp/B07D9NX913/ref=sr_1_3?keywords=BAND-AID%C2%AE+Cushion-Care+Gauze+Pads&amp;qid=1695260110&amp;sr=8-3")</f>
        <v>https://www.amazon.com/BAND-AID-First-Aid-Gauze-Pads/dp/B07D9NX913/ref=sr_1_3?keywords=BAND-AID%C2%AE+Cushion-Care+Gauze+Pads&amp;qid=1695260110&amp;sr=8-3</v>
      </c>
      <c r="F4362" t="s">
        <v>12407</v>
      </c>
      <c r="G4362" t="e">
        <f ca="1">IMAGE("https://shop.sonapharmacy.com/cdn/shop/products/band_aid_us_pho_pac_18_1_2727067.jpg?v=1607288415")</f>
        <v>#NAME?</v>
      </c>
      <c r="H4362" t="e">
        <f ca="1">IMAGE("https://m.media-amazon.com/images/I/61jo8guqBXL._AC_UY218_.jpg")</f>
        <v>#NAME?</v>
      </c>
      <c r="I4362" t="s">
        <v>9015</v>
      </c>
      <c r="J4362">
        <v>7.31</v>
      </c>
      <c r="K4362" s="2" t="s">
        <v>12408</v>
      </c>
      <c r="L4362">
        <v>5</v>
      </c>
      <c r="M4362">
        <v>7</v>
      </c>
      <c r="O4362" t="s">
        <v>26</v>
      </c>
      <c r="P4362" t="s">
        <v>39</v>
      </c>
      <c r="Q4362" t="s">
        <v>9017</v>
      </c>
    </row>
    <row r="4363" spans="1:17" ht="15.75" x14ac:dyDescent="0.25">
      <c r="A4363" s="3" t="str">
        <f>HYPERLINK("https://shop.sonapharmacy.com/products/schiff-megared-superior-omega-3-krill-oil", "https://shop.sonapharmacy.com/products/schiff-megared-superior-omega-3-krill-oil")</f>
        <v>https://shop.sonapharmacy.com/products/schiff-megared-superior-omega-3-krill-oil</v>
      </c>
      <c r="B4363" s="3" t="str">
        <f>HYPERLINK("https://shop.sonapharmacy.com/products/schiff-megared-superior-omega-3-krill-oil", "https://shop.sonapharmacy.com/products/schiff-megared-superior-omega-3-krill-oil")</f>
        <v>https://shop.sonapharmacy.com/products/schiff-megared-superior-omega-3-krill-oil</v>
      </c>
      <c r="C4363" t="s">
        <v>12128</v>
      </c>
      <c r="D4363" t="s">
        <v>12409</v>
      </c>
      <c r="E4363" s="3" t="str">
        <f>HYPERLINK("https://www.amazon.com/Supplement-Advanced-Softgels-Phospholipids-Supports/dp/B01IRQHEUW/ref=sr_1_9?keywords=Schiff+MegaRed+Superior+Omega-3+Krill+Oil&amp;qid=1695260726&amp;sr=8-9", "https://www.amazon.com/Supplement-Advanced-Softgels-Phospholipids-Supports/dp/B01IRQHEUW/ref=sr_1_9?keywords=Schiff+MegaRed+Superior+Omega-3+Krill+Oil&amp;qid=1695260726&amp;sr=8-9")</f>
        <v>https://www.amazon.com/Supplement-Advanced-Softgels-Phospholipids-Supports/dp/B01IRQHEUW/ref=sr_1_9?keywords=Schiff+MegaRed+Superior+Omega-3+Krill+Oil&amp;qid=1695260726&amp;sr=8-9</v>
      </c>
      <c r="F4363" t="s">
        <v>12410</v>
      </c>
      <c r="G4363" t="e">
        <f ca="1">IMAGE("https://shop.sonapharmacy.com/cdn/shop/products/SchiffMegaRedSuperiorOmega-3KrillOil.jpg?v=1594994428")</f>
        <v>#NAME?</v>
      </c>
      <c r="H4363" t="e">
        <f ca="1">IMAGE("https://m.media-amazon.com/images/I/71t+lfJX7sL._AC_UL320_.jpg")</f>
        <v>#NAME?</v>
      </c>
      <c r="I4363" t="s">
        <v>12131</v>
      </c>
      <c r="J4363">
        <v>52.45</v>
      </c>
      <c r="K4363" s="2" t="s">
        <v>12411</v>
      </c>
      <c r="L4363">
        <v>4.7</v>
      </c>
      <c r="M4363">
        <v>10292</v>
      </c>
      <c r="O4363" t="s">
        <v>26</v>
      </c>
      <c r="P4363" t="s">
        <v>39</v>
      </c>
      <c r="Q4363" t="s">
        <v>12133</v>
      </c>
    </row>
    <row r="4364" spans="1:17" ht="15.75" x14ac:dyDescent="0.25">
      <c r="A4364" s="3" t="str">
        <f>HYPERLINK("https://shop.sonapharmacy.com/products/duracell%C2%AE-384-392-silver-oxide-button-battery", "https://shop.sonapharmacy.com/products/duracell%C2%AE-384-392-silver-oxide-button-battery")</f>
        <v>https://shop.sonapharmacy.com/products/duracell%C2%AE-384-392-silver-oxide-button-battery</v>
      </c>
      <c r="B4364" s="3" t="str">
        <f>HYPERLINK("https://shop.sonapharmacy.com/products/duracell%c2%ae-384-392-silver-oxide-button-battery", "https://shop.sonapharmacy.com/products/duracell%c2%ae-384-392-silver-oxide-button-battery")</f>
        <v>https://shop.sonapharmacy.com/products/duracell%c2%ae-384-392-silver-oxide-button-battery</v>
      </c>
      <c r="C4364" t="s">
        <v>12412</v>
      </c>
      <c r="D4364" t="s">
        <v>12413</v>
      </c>
      <c r="E4364" s="3" t="str">
        <f>HYPERLINK("https://www.amazon.com/Energizer-SR41SW-SR41W-Silver-Battery/dp/B00I9KYJYQ/ref=sr_1_6?keywords=Duracell%C2%AE+384%2F392+Silver+Oxide+Button+Battery&amp;qid=1695260213&amp;sr=8-6", "https://www.amazon.com/Energizer-SR41SW-SR41W-Silver-Battery/dp/B00I9KYJYQ/ref=sr_1_6?keywords=Duracell%C2%AE+384%2F392+Silver+Oxide+Button+Battery&amp;qid=1695260213&amp;sr=8-6")</f>
        <v>https://www.amazon.com/Energizer-SR41SW-SR41W-Silver-Battery/dp/B00I9KYJYQ/ref=sr_1_6?keywords=Duracell%C2%AE+384%2F392+Silver+Oxide+Button+Battery&amp;qid=1695260213&amp;sr=8-6</v>
      </c>
      <c r="F4364" t="s">
        <v>12414</v>
      </c>
      <c r="G4364" t="e">
        <f ca="1">IMAGE("https://shop.sonapharmacy.com/cdn/shop/products/0b52d5e3-c879-4b57-80be-c3c0fed3d0de_1.7f064c989c6a1bbc7370a5e30f008f85.jpg?v=1610330993")</f>
        <v>#NAME?</v>
      </c>
      <c r="H4364" t="e">
        <f ca="1">IMAGE("https://m.media-amazon.com/images/I/61EKJYSu5BL._AC_UL320_.jpg")</f>
        <v>#NAME?</v>
      </c>
      <c r="I4364" t="s">
        <v>11219</v>
      </c>
      <c r="J4364">
        <v>6.99</v>
      </c>
      <c r="K4364" s="2" t="s">
        <v>12415</v>
      </c>
      <c r="L4364">
        <v>4.7</v>
      </c>
      <c r="M4364">
        <v>236</v>
      </c>
      <c r="O4364" t="s">
        <v>26</v>
      </c>
      <c r="P4364" t="s">
        <v>39</v>
      </c>
      <c r="Q4364" t="s">
        <v>12416</v>
      </c>
    </row>
    <row r="4365" spans="1:17" ht="15.75" x14ac:dyDescent="0.25">
      <c r="A4365" s="3" t="str">
        <f>HYPERLINK("https://shop.sonapharmacy.com/products/eos%C2%AE-strawberry-sorbet-lip-balm", "https://shop.sonapharmacy.com/products/eos%C2%AE-strawberry-sorbet-lip-balm")</f>
        <v>https://shop.sonapharmacy.com/products/eos%C2%AE-strawberry-sorbet-lip-balm</v>
      </c>
      <c r="B4365" s="3" t="str">
        <f>HYPERLINK("https://shop.sonapharmacy.com/products/eos%c2%ae-strawberry-sorbet-lip-balm", "https://shop.sonapharmacy.com/products/eos%c2%ae-strawberry-sorbet-lip-balm")</f>
        <v>https://shop.sonapharmacy.com/products/eos%c2%ae-strawberry-sorbet-lip-balm</v>
      </c>
      <c r="C4365" t="s">
        <v>8408</v>
      </c>
      <c r="D4365" t="s">
        <v>12417</v>
      </c>
      <c r="E4365" s="3" t="str">
        <f>HYPERLINK("https://www.amazon.com/eos-Organic-Stick-Lip-Balm/dp/B01MF63BCU/ref=sr_1_2?keywords=EOS%C2%AE+Strawberry+Sorbet+Lip+Balm&amp;qid=1695260249&amp;rdc=1&amp;sr=8-2", "https://www.amazon.com/eos-Organic-Stick-Lip-Balm/dp/B01MF63BCU/ref=sr_1_2?keywords=EOS%C2%AE+Strawberry+Sorbet+Lip+Balm&amp;qid=1695260249&amp;rdc=1&amp;sr=8-2")</f>
        <v>https://www.amazon.com/eos-Organic-Stick-Lip-Balm/dp/B01MF63BCU/ref=sr_1_2?keywords=EOS%C2%AE+Strawberry+Sorbet+Lip+Balm&amp;qid=1695260249&amp;rdc=1&amp;sr=8-2</v>
      </c>
      <c r="F4365" t="s">
        <v>12418</v>
      </c>
      <c r="G4365" t="e">
        <f ca="1">IMAGE("https://shop.sonapharmacy.com/cdn/shop/products/892992002847-1a_VB__70684.1610588860.jpg?v=1610642796")</f>
        <v>#NAME?</v>
      </c>
      <c r="H4365" t="e">
        <f ca="1">IMAGE("https://m.media-amazon.com/images/I/71bqGfZiUxL._AC_UL320_.jpg")</f>
        <v>#NAME?</v>
      </c>
      <c r="I4365" t="s">
        <v>8411</v>
      </c>
      <c r="J4365">
        <v>5.94</v>
      </c>
      <c r="K4365" s="2" t="s">
        <v>12419</v>
      </c>
      <c r="L4365">
        <v>4.7</v>
      </c>
      <c r="M4365">
        <v>5625</v>
      </c>
      <c r="O4365" t="s">
        <v>26</v>
      </c>
      <c r="P4365" t="s">
        <v>39</v>
      </c>
      <c r="Q4365" t="s">
        <v>8413</v>
      </c>
    </row>
    <row r="4366" spans="1:17" ht="15.75" x14ac:dyDescent="0.25">
      <c r="A4366" s="3" t="str">
        <f>HYPERLINK("https://shop.sonapharmacy.com/products/eos%C2%AE-coconut-milk-shea-lip-balm", "https://shop.sonapharmacy.com/products/eos%C2%AE-coconut-milk-shea-lip-balm")</f>
        <v>https://shop.sonapharmacy.com/products/eos%C2%AE-coconut-milk-shea-lip-balm</v>
      </c>
      <c r="B4366" s="3" t="str">
        <f>HYPERLINK("https://shop.sonapharmacy.com/products/eos%c2%ae-coconut-milk-shea-lip-balm", "https://shop.sonapharmacy.com/products/eos%c2%ae-coconut-milk-shea-lip-balm")</f>
        <v>https://shop.sonapharmacy.com/products/eos%c2%ae-coconut-milk-shea-lip-balm</v>
      </c>
      <c r="C4366" t="s">
        <v>11730</v>
      </c>
      <c r="D4366" t="s">
        <v>12420</v>
      </c>
      <c r="E4366" s="3" t="str">
        <f>HYPERLINK("https://www.amazon.com/Super-Soft-stick-Sphere-sustainably-sourced/dp/B07WBZN9J4/ref=sr_1_3?keywords=EOS%C2%AE+Coconut+Milk+Shea+Lip+Balm&amp;qid=1695260226&amp;sr=8-3", "https://www.amazon.com/Super-Soft-stick-Sphere-sustainably-sourced/dp/B07WBZN9J4/ref=sr_1_3?keywords=EOS%C2%AE+Coconut+Milk+Shea+Lip+Balm&amp;qid=1695260226&amp;sr=8-3")</f>
        <v>https://www.amazon.com/Super-Soft-stick-Sphere-sustainably-sourced/dp/B07WBZN9J4/ref=sr_1_3?keywords=EOS%C2%AE+Coconut+Milk+Shea+Lip+Balm&amp;qid=1695260226&amp;sr=8-3</v>
      </c>
      <c r="F4366" t="s">
        <v>12421</v>
      </c>
      <c r="G4366" t="e">
        <f ca="1">IMAGE("https://shop.sonapharmacy.com/cdn/shop/products/81eGEYCcDWL._SL1500.jpg?v=1610644753")</f>
        <v>#NAME?</v>
      </c>
      <c r="H4366" t="e">
        <f ca="1">IMAGE("https://m.media-amazon.com/images/I/51fnTYQjdBL._AC_UL320_.jpg")</f>
        <v>#NAME?</v>
      </c>
      <c r="I4366" t="s">
        <v>8411</v>
      </c>
      <c r="J4366">
        <v>5.94</v>
      </c>
      <c r="K4366" s="2" t="s">
        <v>12419</v>
      </c>
      <c r="L4366">
        <v>3.9</v>
      </c>
      <c r="M4366">
        <v>63</v>
      </c>
      <c r="O4366" t="s">
        <v>26</v>
      </c>
      <c r="P4366" t="s">
        <v>39</v>
      </c>
      <c r="Q4366" t="s">
        <v>11734</v>
      </c>
    </row>
    <row r="4367" spans="1:17" ht="15.75" x14ac:dyDescent="0.25">
      <c r="A4367" s="3" t="str">
        <f>HYPERLINK("https://shop.sonapharmacy.com/products/colace-2-in-1-stool-softener-stimulant-laxative", "https://shop.sonapharmacy.com/products/colace-2-in-1-stool-softener-stimulant-laxative")</f>
        <v>https://shop.sonapharmacy.com/products/colace-2-in-1-stool-softener-stimulant-laxative</v>
      </c>
      <c r="B4367" s="3" t="str">
        <f>HYPERLINK("https://shop.sonapharmacy.com/products/colace-2-in-1-stool-softener-stimulant-laxative", "https://shop.sonapharmacy.com/products/colace-2-in-1-stool-softener-stimulant-laxative")</f>
        <v>https://shop.sonapharmacy.com/products/colace-2-in-1-stool-softener-stimulant-laxative</v>
      </c>
      <c r="C4367" t="s">
        <v>8457</v>
      </c>
      <c r="D4367" t="s">
        <v>12422</v>
      </c>
      <c r="E4367" s="3" t="str">
        <f>HYPERLINK("https://www.amazon.com/Peri-Colace-Softener-Stimulant-Laxative-60-Count/dp/B000IMPJ8S/ref=sr_1_1?keywords=Colace%C2%AE+2-IN-1+Stool+Softener+%2B+Stimulant+Laxative&amp;qid=1695260155&amp;sr=8-1", "https://www.amazon.com/Peri-Colace-Softener-Stimulant-Laxative-60-Count/dp/B000IMPJ8S/ref=sr_1_1?keywords=Colace%C2%AE+2-IN-1+Stool+Softener+%2B+Stimulant+Laxative&amp;qid=1695260155&amp;sr=8-1")</f>
        <v>https://www.amazon.com/Peri-Colace-Softener-Stimulant-Laxative-60-Count/dp/B000IMPJ8S/ref=sr_1_1?keywords=Colace%C2%AE+2-IN-1+Stool+Softener+%2B+Stimulant+Laxative&amp;qid=1695260155&amp;sr=8-1</v>
      </c>
      <c r="F4367" t="s">
        <v>12423</v>
      </c>
      <c r="G4367" t="e">
        <f ca="1">IMAGE("https://shop.sonapharmacy.com/cdn/shop/products/Colace2-IN-1Front.png?v=1606927041")</f>
        <v>#NAME?</v>
      </c>
      <c r="H4367" t="e">
        <f ca="1">IMAGE("https://m.media-amazon.com/images/I/71woqabTptL._AC_UL320_.jpg")</f>
        <v>#NAME?</v>
      </c>
      <c r="I4367" t="s">
        <v>8460</v>
      </c>
      <c r="J4367">
        <v>23.65</v>
      </c>
      <c r="K4367" s="2" t="s">
        <v>12424</v>
      </c>
      <c r="L4367">
        <v>4.5</v>
      </c>
      <c r="M4367">
        <v>6546</v>
      </c>
      <c r="O4367" t="s">
        <v>26</v>
      </c>
      <c r="P4367" t="s">
        <v>39</v>
      </c>
      <c r="Q4367" t="s">
        <v>8462</v>
      </c>
    </row>
    <row r="4368" spans="1:17" ht="15.75" x14ac:dyDescent="0.25">
      <c r="A4368" s="3" t="str">
        <f>HYPERLINK("https://shop.sonapharmacy.com/products/st-ives-fresh-skin-apricot-scrub-6oz", "https://shop.sonapharmacy.com/products/st-ives-fresh-skin-apricot-scrub-6oz")</f>
        <v>https://shop.sonapharmacy.com/products/st-ives-fresh-skin-apricot-scrub-6oz</v>
      </c>
      <c r="B4368" s="3" t="str">
        <f>HYPERLINK("https://shop.sonapharmacy.com/products/st-ives-fresh-skin-apricot-scrub-6oz", "https://shop.sonapharmacy.com/products/st-ives-fresh-skin-apricot-scrub-6oz")</f>
        <v>https://shop.sonapharmacy.com/products/st-ives-fresh-skin-apricot-scrub-6oz</v>
      </c>
      <c r="C4368" t="s">
        <v>9551</v>
      </c>
      <c r="D4368" t="s">
        <v>12425</v>
      </c>
      <c r="E4368" s="3" t="str">
        <f>HYPERLINK("https://www.amazon.com/St-Ives-Fresh-Invigorating-Apricot/dp/B00TUPLLP4/ref=sr_1_1?keywords=St.+Ives+Fresh+Skin+Apricot+Scrub+6oz.&amp;qid=1695260744&amp;sr=8-1", "https://www.amazon.com/St-Ives-Fresh-Invigorating-Apricot/dp/B00TUPLLP4/ref=sr_1_1?keywords=St.+Ives+Fresh+Skin+Apricot+Scrub+6oz.&amp;qid=1695260744&amp;sr=8-1")</f>
        <v>https://www.amazon.com/St-Ives-Fresh-Invigorating-Apricot/dp/B00TUPLLP4/ref=sr_1_1?keywords=St.+Ives+Fresh+Skin+Apricot+Scrub+6oz.&amp;qid=1695260744&amp;sr=8-1</v>
      </c>
      <c r="F4368" t="s">
        <v>12426</v>
      </c>
      <c r="G4368" t="e">
        <f ca="1">IMAGE("https://shop.sonapharmacy.com/cdn/shop/products/59bd3b0e-e01d-4a06-ba27-2c08a5545d31_1.0bddf51f07920f2d43488f010f8e3f4c.jpg?v=1608306040")</f>
        <v>#NAME?</v>
      </c>
      <c r="H4368" t="e">
        <f ca="1">IMAGE("https://m.media-amazon.com/images/I/51Dn1tIfX-L._AC_UL320_.jpg")</f>
        <v>#NAME?</v>
      </c>
      <c r="I4368" t="s">
        <v>9554</v>
      </c>
      <c r="J4368">
        <v>9.94</v>
      </c>
      <c r="K4368" s="2" t="s">
        <v>12427</v>
      </c>
      <c r="L4368">
        <v>4.7</v>
      </c>
      <c r="M4368">
        <v>1502</v>
      </c>
      <c r="O4368" t="s">
        <v>26</v>
      </c>
      <c r="P4368" t="s">
        <v>39</v>
      </c>
      <c r="Q4368" t="s">
        <v>9556</v>
      </c>
    </row>
    <row r="4369" spans="1:17" ht="15.75" x14ac:dyDescent="0.25">
      <c r="A4369" s="3" t="str">
        <f>HYPERLINK("https://shop.sonapharmacy.com/products/curad-compact-first-aid-kit", "https://shop.sonapharmacy.com/products/curad-compact-first-aid-kit")</f>
        <v>https://shop.sonapharmacy.com/products/curad-compact-first-aid-kit</v>
      </c>
      <c r="B4369" s="3" t="str">
        <f>HYPERLINK("https://shop.sonapharmacy.com/products/curad-compact-first-aid-kit", "https://shop.sonapharmacy.com/products/curad-compact-first-aid-kit")</f>
        <v>https://shop.sonapharmacy.com/products/curad-compact-first-aid-kit</v>
      </c>
      <c r="C4369" t="s">
        <v>8554</v>
      </c>
      <c r="D4369" t="s">
        <v>12428</v>
      </c>
      <c r="E4369" s="3" t="str">
        <f>HYPERLINK("https://www.amazon.com/Curad-Flex-Fabric-Antibiotic-Towelettes-Acetaminophen/dp/B0BLWL28PT/ref=sr_1_2?keywords=Curad%C2%AE+Compact+First+Aid+Kit&amp;qid=1695260179&amp;sr=8-2", "https://www.amazon.com/Curad-Flex-Fabric-Antibiotic-Towelettes-Acetaminophen/dp/B0BLWL28PT/ref=sr_1_2?keywords=Curad%C2%AE+Compact+First+Aid+Kit&amp;qid=1695260179&amp;sr=8-2")</f>
        <v>https://www.amazon.com/Curad-Flex-Fabric-Antibiotic-Towelettes-Acetaminophen/dp/B0BLWL28PT/ref=sr_1_2?keywords=Curad%C2%AE+Compact+First+Aid+Kit&amp;qid=1695260179&amp;sr=8-2</v>
      </c>
      <c r="F4369" t="s">
        <v>12429</v>
      </c>
      <c r="G4369" t="e">
        <f ca="1">IMAGE("https://shop.sonapharmacy.com/cdn/shop/products/SKU_CURFAK200RB_BOX_RIGHT_RGB_500x550_575adfc4-7192-4115-907f-353af88557b0.png?v=1607719376")</f>
        <v>#NAME?</v>
      </c>
      <c r="H4369" t="e">
        <f ca="1">IMAGE("https://m.media-amazon.com/images/I/71DjfLvBg6L._AC_UL320_.jpg")</f>
        <v>#NAME?</v>
      </c>
      <c r="I4369" t="s">
        <v>8557</v>
      </c>
      <c r="J4369">
        <v>9.99</v>
      </c>
      <c r="K4369" s="2" t="s">
        <v>12430</v>
      </c>
      <c r="L4369">
        <v>4.7</v>
      </c>
      <c r="M4369">
        <v>27</v>
      </c>
      <c r="O4369" t="s">
        <v>26</v>
      </c>
      <c r="P4369" t="s">
        <v>39</v>
      </c>
      <c r="Q4369" t="s">
        <v>8559</v>
      </c>
    </row>
    <row r="4370" spans="1:17" ht="15.75" x14ac:dyDescent="0.25">
      <c r="A4370" s="3" t="str">
        <f>HYPERLINK("https://shop.sonapharmacy.com/products/lemon-eucalyptus-essential-oil-5-oz", "https://shop.sonapharmacy.com/products/lemon-eucalyptus-essential-oil-5-oz")</f>
        <v>https://shop.sonapharmacy.com/products/lemon-eucalyptus-essential-oil-5-oz</v>
      </c>
      <c r="B4370" s="3" t="str">
        <f>HYPERLINK("https://shop.sonapharmacy.com/products/lemon-eucalyptus-essential-oil-5-oz", "https://shop.sonapharmacy.com/products/lemon-eucalyptus-essential-oil-5-oz")</f>
        <v>https://shop.sonapharmacy.com/products/lemon-eucalyptus-essential-oil-5-oz</v>
      </c>
      <c r="C4370" t="s">
        <v>8414</v>
      </c>
      <c r="D4370" t="s">
        <v>12431</v>
      </c>
      <c r="E4370" s="3" t="str">
        <f>HYPERLINK("https://www.amazon.com/Aura-Cacia-Essential-Lemon-Organic-25/dp/B0012J1YMQ/ref=sr_1_6?keywords=Aura+Cacia+Lemon+Eucalyptus+Essential+Oil+0.5+oz.&amp;qid=1695260029&amp;sr=8-6", "https://www.amazon.com/Aura-Cacia-Essential-Lemon-Organic-25/dp/B0012J1YMQ/ref=sr_1_6?keywords=Aura+Cacia+Lemon+Eucalyptus+Essential+Oil+0.5+oz.&amp;qid=1695260029&amp;sr=8-6")</f>
        <v>https://www.amazon.com/Aura-Cacia-Essential-Lemon-Organic-25/dp/B0012J1YMQ/ref=sr_1_6?keywords=Aura+Cacia+Lemon+Eucalyptus+Essential+Oil+0.5+oz.&amp;qid=1695260029&amp;sr=8-6</v>
      </c>
      <c r="F4370" t="s">
        <v>12432</v>
      </c>
      <c r="G4370" t="e">
        <f ca="1">IMAGE("https://shop.sonapharmacy.com/cdn/shop/products/1_aura-cacia-lemon-eucalyptus-191285-front.jpg?v=1609358391")</f>
        <v>#NAME?</v>
      </c>
      <c r="H4370" t="e">
        <f ca="1">IMAGE("https://m.media-amazon.com/images/I/61t51r-lT+L._AC_UL320_.jpg")</f>
        <v>#NAME?</v>
      </c>
      <c r="I4370" t="s">
        <v>8417</v>
      </c>
      <c r="J4370">
        <v>8.33</v>
      </c>
      <c r="K4370" s="2" t="s">
        <v>12433</v>
      </c>
      <c r="L4370">
        <v>4.5</v>
      </c>
      <c r="M4370">
        <v>42</v>
      </c>
      <c r="O4370" t="s">
        <v>26</v>
      </c>
      <c r="P4370" t="s">
        <v>39</v>
      </c>
      <c r="Q4370" t="s">
        <v>8419</v>
      </c>
    </row>
    <row r="4371" spans="1:17" ht="15.75" x14ac:dyDescent="0.25">
      <c r="A4371" s="3" t="str">
        <f>HYPERLINK("https://shop.sonapharmacy.com/products/goodsense%C2%AE-flexible-fabric-bandages", "https://shop.sonapharmacy.com/products/goodsense%C2%AE-flexible-fabric-bandages")</f>
        <v>https://shop.sonapharmacy.com/products/goodsense%C2%AE-flexible-fabric-bandages</v>
      </c>
      <c r="B4371" s="3" t="str">
        <f>HYPERLINK("https://shop.sonapharmacy.com/products/goodsense%c2%ae-flexible-fabric-bandages", "https://shop.sonapharmacy.com/products/goodsense%c2%ae-flexible-fabric-bandages")</f>
        <v>https://shop.sonapharmacy.com/products/goodsense%c2%ae-flexible-fabric-bandages</v>
      </c>
      <c r="C4371" t="s">
        <v>9244</v>
      </c>
      <c r="D4371" t="s">
        <v>12434</v>
      </c>
      <c r="E4371" s="3" t="str">
        <f>HYPERLINK("https://www.amazon.com/Care-Science-Adhesive-Bandages-Antibacterial/dp/B07LGF8RHP/ref=sr_1_9?keywords=GoodSense%C2%AE+Flexible+Fabric+Bandages&amp;qid=1695260315&amp;sr=8-9", "https://www.amazon.com/Care-Science-Adhesive-Bandages-Antibacterial/dp/B07LGF8RHP/ref=sr_1_9?keywords=GoodSense%C2%AE+Flexible+Fabric+Bandages&amp;qid=1695260315&amp;sr=8-9")</f>
        <v>https://www.amazon.com/Care-Science-Adhesive-Bandages-Antibacterial/dp/B07LGF8RHP/ref=sr_1_9?keywords=GoodSense%C2%AE+Flexible+Fabric+Bandages&amp;qid=1695260315&amp;sr=8-9</v>
      </c>
      <c r="F4371" t="s">
        <v>12435</v>
      </c>
      <c r="G4371" t="e">
        <f ca="1">IMAGE("https://shop.sonapharmacy.com/cdn/shop/products/146894.jpg?v=1607809318")</f>
        <v>#NAME?</v>
      </c>
      <c r="H4371" t="e">
        <f ca="1">IMAGE("https://m.media-amazon.com/images/I/913mBbNU8SL._AC_UL320_.jpg")</f>
        <v>#NAME?</v>
      </c>
      <c r="I4371" t="s">
        <v>9247</v>
      </c>
      <c r="J4371">
        <v>6.49</v>
      </c>
      <c r="K4371" s="2" t="s">
        <v>12436</v>
      </c>
      <c r="L4371">
        <v>4.5</v>
      </c>
      <c r="M4371">
        <v>8013</v>
      </c>
      <c r="O4371" t="s">
        <v>26</v>
      </c>
      <c r="P4371" t="s">
        <v>39</v>
      </c>
      <c r="Q4371" t="s">
        <v>9249</v>
      </c>
    </row>
    <row r="4372" spans="1:17" ht="15.75" x14ac:dyDescent="0.25">
      <c r="A4372" s="3" t="str">
        <f>HYPERLINK("https://shop.sonapharmacy.com/products/osteo-bi-flex-joint-health-dietary-supplement-tablets", "https://shop.sonapharmacy.com/products/osteo-bi-flex-joint-health-dietary-supplement-tablets")</f>
        <v>https://shop.sonapharmacy.com/products/osteo-bi-flex-joint-health-dietary-supplement-tablets</v>
      </c>
      <c r="B4372" s="3" t="str">
        <f>HYPERLINK("https://shop.sonapharmacy.com/products/osteo-bi-flex-joint-health-dietary-supplement-tablets", "https://shop.sonapharmacy.com/products/osteo-bi-flex-joint-health-dietary-supplement-tablets")</f>
        <v>https://shop.sonapharmacy.com/products/osteo-bi-flex-joint-health-dietary-supplement-tablets</v>
      </c>
      <c r="C4372" t="s">
        <v>12437</v>
      </c>
      <c r="D4372" t="s">
        <v>12438</v>
      </c>
      <c r="E4372" s="3" t="str">
        <f>HYPERLINK("https://www.amazon.com/Osteo-Bi-Flex-Supplements-Glucosamine-Supplement/dp/B06WRP5FYD/ref=sr_1_6?keywords=Osteo+Bi-Flex+One-A-Day+Joint+Health+Supplements+Tablets&amp;qid=1695260624&amp;sr=8-6", "https://www.amazon.com/Osteo-Bi-Flex-Supplements-Glucosamine-Supplement/dp/B06WRP5FYD/ref=sr_1_6?keywords=Osteo+Bi-Flex+One-A-Day+Joint+Health+Supplements+Tablets&amp;qid=1695260624&amp;sr=8-6")</f>
        <v>https://www.amazon.com/Osteo-Bi-Flex-Supplements-Glucosamine-Supplement/dp/B06WRP5FYD/ref=sr_1_6?keywords=Osteo+Bi-Flex+One-A-Day+Joint+Health+Supplements+Tablets&amp;qid=1695260624&amp;sr=8-6</v>
      </c>
      <c r="F4372" t="s">
        <v>12439</v>
      </c>
      <c r="G4372" t="e">
        <f ca="1">IMAGE("https://shop.sonapharmacy.com/cdn/shop/products/osteobiflexoneadyaresized.jpg?v=1592493119")</f>
        <v>#NAME?</v>
      </c>
      <c r="H4372" t="e">
        <f ca="1">IMAGE("https://m.media-amazon.com/images/I/811twmbt0KL._AC_UL320_.jpg")</f>
        <v>#NAME?</v>
      </c>
      <c r="I4372" t="s">
        <v>12440</v>
      </c>
      <c r="J4372">
        <v>32.979999999999997</v>
      </c>
      <c r="K4372" s="2" t="s">
        <v>12441</v>
      </c>
      <c r="L4372">
        <v>4.5</v>
      </c>
      <c r="M4372">
        <v>7612</v>
      </c>
      <c r="O4372" t="s">
        <v>26</v>
      </c>
      <c r="P4372" t="s">
        <v>39</v>
      </c>
      <c r="Q4372" t="s">
        <v>12442</v>
      </c>
    </row>
    <row r="4373" spans="1:17" ht="15.75" x14ac:dyDescent="0.25">
      <c r="A4373" s="3" t="str">
        <f>HYPERLINK("https://shop.sonapharmacy.com/products/hibiclens-antiseptic-antimicrobial-skin-cleanser-8fl-oz", "https://shop.sonapharmacy.com/products/hibiclens-antiseptic-antimicrobial-skin-cleanser-8fl-oz")</f>
        <v>https://shop.sonapharmacy.com/products/hibiclens-antiseptic-antimicrobial-skin-cleanser-8fl-oz</v>
      </c>
      <c r="B4373" s="3" t="str">
        <f>HYPERLINK("https://shop.sonapharmacy.com/products/hibiclens-antiseptic-antimicrobial-skin-cleanser-8fl-oz", "https://shop.sonapharmacy.com/products/hibiclens-antiseptic-antimicrobial-skin-cleanser-8fl-oz")</f>
        <v>https://shop.sonapharmacy.com/products/hibiclens-antiseptic-antimicrobial-skin-cleanser-8fl-oz</v>
      </c>
      <c r="C4373" t="s">
        <v>9707</v>
      </c>
      <c r="D4373" t="s">
        <v>12443</v>
      </c>
      <c r="E4373" s="3" t="str">
        <f>HYPERLINK("https://www.amazon.com/Hibiclens-Antimicrobial-Antiseptic-Cleanser-Cleansing/dp/B00EV1D79A/ref=sr_1_6?keywords=Hibiclens+Antiseptic%2FAntimicrobial+Skin+Cleanser+8fl.+oz.&amp;qid=1695260370&amp;sr=8-6", "https://www.amazon.com/Hibiclens-Antimicrobial-Antiseptic-Cleanser-Cleansing/dp/B00EV1D79A/ref=sr_1_6?keywords=Hibiclens+Antiseptic%2FAntimicrobial+Skin+Cleanser+8fl.+oz.&amp;qid=1695260370&amp;sr=8-6")</f>
        <v>https://www.amazon.com/Hibiclens-Antimicrobial-Antiseptic-Cleanser-Cleansing/dp/B00EV1D79A/ref=sr_1_6?keywords=Hibiclens+Antiseptic%2FAntimicrobial+Skin+Cleanser+8fl.+oz.&amp;qid=1695260370&amp;sr=8-6</v>
      </c>
      <c r="F4373" t="s">
        <v>12444</v>
      </c>
      <c r="G4373" t="e">
        <f ca="1">IMAGE("https://shop.sonapharmacy.com/cdn/shop/products/0009905_hibiclens-skin-cleanser-4-solution-8-ounce-236ml-each.jpg?v=1608143785")</f>
        <v>#NAME?</v>
      </c>
      <c r="H4373" t="e">
        <f ca="1">IMAGE("https://m.media-amazon.com/images/I/71F+CcZ9VgL._AC_UL320_.jpg")</f>
        <v>#NAME?</v>
      </c>
      <c r="I4373" t="s">
        <v>9710</v>
      </c>
      <c r="J4373">
        <v>16.57</v>
      </c>
      <c r="K4373" s="2" t="s">
        <v>12445</v>
      </c>
      <c r="L4373">
        <v>4.7</v>
      </c>
      <c r="M4373">
        <v>23776</v>
      </c>
      <c r="O4373" t="s">
        <v>26</v>
      </c>
      <c r="P4373" t="s">
        <v>39</v>
      </c>
      <c r="Q4373" t="s">
        <v>9712</v>
      </c>
    </row>
    <row r="4374" spans="1:17" ht="15.75" x14ac:dyDescent="0.25">
      <c r="A4374" s="3" t="str">
        <f>HYPERLINK("https://shop.sonapharmacy.com/products/nasalcease%C2%AE-first-aid-5-sterile-packings", "https://shop.sonapharmacy.com/products/nasalcease%C2%AE-first-aid-5-sterile-packings")</f>
        <v>https://shop.sonapharmacy.com/products/nasalcease%C2%AE-first-aid-5-sterile-packings</v>
      </c>
      <c r="B4374" s="3" t="str">
        <f>HYPERLINK("https://shop.sonapharmacy.com/products/nasalcease%c2%ae-first-aid-5-sterile-packings", "https://shop.sonapharmacy.com/products/nasalcease%c2%ae-first-aid-5-sterile-packings")</f>
        <v>https://shop.sonapharmacy.com/products/nasalcease%c2%ae-first-aid-5-sterile-packings</v>
      </c>
      <c r="C4374" t="s">
        <v>9090</v>
      </c>
      <c r="D4374" t="s">
        <v>12446</v>
      </c>
      <c r="E4374" s="3" t="str">
        <f>HYPERLINK("https://www.amazon.com/Bleedcease-First-Nosebleeds-Sterile-Packings/dp/B00GRL8Q5W/ref=sr_1_2?keywords=NasalCEASE%C2%AE+First+Aid+5+Sterile+Packings&amp;qid=1695260532&amp;sr=8-2", "https://www.amazon.com/Bleedcease-First-Nosebleeds-Sterile-Packings/dp/B00GRL8Q5W/ref=sr_1_2?keywords=NasalCEASE%C2%AE+First+Aid+5+Sterile+Packings&amp;qid=1695260532&amp;sr=8-2")</f>
        <v>https://www.amazon.com/Bleedcease-First-Nosebleeds-Sterile-Packings/dp/B00GRL8Q5W/ref=sr_1_2?keywords=NasalCEASE%C2%AE+First+Aid+5+Sterile+Packings&amp;qid=1695260532&amp;sr=8-2</v>
      </c>
      <c r="F4374" t="s">
        <v>12447</v>
      </c>
      <c r="G4374" t="e">
        <f ca="1">IMAGE("https://shop.sonapharmacy.com/cdn/shop/products/51kfqWGoI5L._AC.jpg?v=1607974776")</f>
        <v>#NAME?</v>
      </c>
      <c r="H4374" t="e">
        <f ca="1">IMAGE("https://m.media-amazon.com/images/I/81QWa2qCH4L._AC_UL320_.jpg")</f>
        <v>#NAME?</v>
      </c>
      <c r="I4374" t="s">
        <v>9093</v>
      </c>
      <c r="J4374">
        <v>20.78</v>
      </c>
      <c r="K4374" s="2" t="s">
        <v>12448</v>
      </c>
      <c r="L4374">
        <v>4.5999999999999996</v>
      </c>
      <c r="M4374">
        <v>2593</v>
      </c>
      <c r="O4374" t="s">
        <v>26</v>
      </c>
      <c r="P4374" t="s">
        <v>39</v>
      </c>
      <c r="Q4374" t="s">
        <v>9095</v>
      </c>
    </row>
    <row r="4375" spans="1:17" ht="15.75" x14ac:dyDescent="0.25">
      <c r="A4375" s="3" t="str">
        <f>HYPERLINK("https://shop.sonapharmacy.com/products/nivea%C2%AE-men-soothing-post-shave-balm-for-sensitive-skin-3-3fl-oz", "https://shop.sonapharmacy.com/products/nivea%C2%AE-men-soothing-post-shave-balm-for-sensitive-skin-3-3fl-oz")</f>
        <v>https://shop.sonapharmacy.com/products/nivea%C2%AE-men-soothing-post-shave-balm-for-sensitive-skin-3-3fl-oz</v>
      </c>
      <c r="B4375" s="3" t="str">
        <f>HYPERLINK("https://shop.sonapharmacy.com/products/nivea%c2%ae-men-soothing-post-shave-balm-for-sensitive-skin-3-3fl-oz", "https://shop.sonapharmacy.com/products/nivea%c2%ae-men-soothing-post-shave-balm-for-sensitive-skin-3-3fl-oz")</f>
        <v>https://shop.sonapharmacy.com/products/nivea%c2%ae-men-soothing-post-shave-balm-for-sensitive-skin-3-3fl-oz</v>
      </c>
      <c r="C4375" t="s">
        <v>12449</v>
      </c>
      <c r="D4375" t="s">
        <v>12450</v>
      </c>
      <c r="E4375" s="3" t="str">
        <f>HYPERLINK("https://www.amazon.com/Pacific-Shaving-Company-Caffeinated-Aftershave/dp/B0BSK94T3C/ref=sr_1_9?keywords=Nivea%C2%AE+Men+Soothing+Post+Shave+Balm+for+Sensitive+Skin+3.3fl.+oz.&amp;qid=1695260584&amp;sr=8-9", "https://www.amazon.com/Pacific-Shaving-Company-Caffeinated-Aftershave/dp/B0BSK94T3C/ref=sr_1_9?keywords=Nivea%C2%AE+Men+Soothing+Post+Shave+Balm+for+Sensitive+Skin+3.3fl.+oz.&amp;qid=1695260584&amp;sr=8-9")</f>
        <v>https://www.amazon.com/Pacific-Shaving-Company-Caffeinated-Aftershave/dp/B0BSK94T3C/ref=sr_1_9?keywords=Nivea%C2%AE+Men+Soothing+Post+Shave+Balm+for+Sensitive+Skin+3.3fl.+oz.&amp;qid=1695260584&amp;sr=8-9</v>
      </c>
      <c r="F4375" t="s">
        <v>12451</v>
      </c>
      <c r="G4375" t="e">
        <f ca="1">IMAGE("https://shop.sonapharmacy.com/cdn/shop/products/61RSw2omTwL._AC_SL1180.jpg?v=1610308130")</f>
        <v>#NAME?</v>
      </c>
      <c r="H4375" t="e">
        <f ca="1">IMAGE("https://m.media-amazon.com/images/I/511OLcWXaDL._AC_UL320_.jpg")</f>
        <v>#NAME?</v>
      </c>
      <c r="I4375" t="s">
        <v>8698</v>
      </c>
      <c r="J4375">
        <v>12.99</v>
      </c>
      <c r="K4375" s="2" t="s">
        <v>12452</v>
      </c>
      <c r="L4375">
        <v>4.7</v>
      </c>
      <c r="M4375">
        <v>3984</v>
      </c>
      <c r="O4375" t="s">
        <v>26</v>
      </c>
      <c r="P4375" t="s">
        <v>39</v>
      </c>
      <c r="Q4375" t="s">
        <v>12453</v>
      </c>
    </row>
    <row r="4376" spans="1:17" ht="15.75" x14ac:dyDescent="0.25">
      <c r="A4376" s="3" t="str">
        <f>HYPERLINK("https://shop.sonapharmacy.com/products/gelusil%C2%AE-antacid-anti-gas-cool-mint-chewable-tablets-100ct", "https://shop.sonapharmacy.com/products/gelusil%C2%AE-antacid-anti-gas-cool-mint-chewable-tablets-100ct")</f>
        <v>https://shop.sonapharmacy.com/products/gelusil%C2%AE-antacid-anti-gas-cool-mint-chewable-tablets-100ct</v>
      </c>
      <c r="B4376" s="3" t="str">
        <f>HYPERLINK("https://shop.sonapharmacy.com/products/gelusil%c2%ae-antacid-anti-gas-cool-mint-chewable-tablets-100ct", "https://shop.sonapharmacy.com/products/gelusil%c2%ae-antacid-anti-gas-cool-mint-chewable-tablets-100ct")</f>
        <v>https://shop.sonapharmacy.com/products/gelusil%c2%ae-antacid-anti-gas-cool-mint-chewable-tablets-100ct</v>
      </c>
      <c r="C4376" t="s">
        <v>11667</v>
      </c>
      <c r="D4376" t="s">
        <v>12454</v>
      </c>
      <c r="E4376" s="3" t="str">
        <f>HYPERLINK("https://www.amazon.com/Gelusil-Antacid-Tablets-Heartburn-Bloating/dp/B08VQLG919/ref=sr_1_9?keywords=Gelusil%C2%AE+Antacid+%26+Anti-Gas+Cool+Mint+Chewable+Tablets+100ct.&amp;qid=1695260295&amp;sr=8-9", "https://www.amazon.com/Gelusil-Antacid-Tablets-Heartburn-Bloating/dp/B08VQLG919/ref=sr_1_9?keywords=Gelusil%C2%AE+Antacid+%26+Anti-Gas+Cool+Mint+Chewable+Tablets+100ct.&amp;qid=1695260295&amp;sr=8-9")</f>
        <v>https://www.amazon.com/Gelusil-Antacid-Tablets-Heartburn-Bloating/dp/B08VQLG919/ref=sr_1_9?keywords=Gelusil%C2%AE+Antacid+%26+Anti-Gas+Cool+Mint+Chewable+Tablets+100ct.&amp;qid=1695260295&amp;sr=8-9</v>
      </c>
      <c r="F4376" t="s">
        <v>12455</v>
      </c>
      <c r="G4376" t="e">
        <f ca="1">IMAGE("https://shop.sonapharmacy.com/cdn/shop/products/51_tdpqBLL._AC.jpg?v=1610987695")</f>
        <v>#NAME?</v>
      </c>
      <c r="H4376" t="e">
        <f ca="1">IMAGE("https://m.media-amazon.com/images/I/81fM8YD5hFL._AC_UL320_.jpg")</f>
        <v>#NAME?</v>
      </c>
      <c r="I4376" t="s">
        <v>11610</v>
      </c>
      <c r="J4376">
        <v>15.99</v>
      </c>
      <c r="K4376" s="2" t="s">
        <v>12456</v>
      </c>
      <c r="L4376">
        <v>4.7</v>
      </c>
      <c r="M4376">
        <v>172</v>
      </c>
      <c r="O4376" t="s">
        <v>26</v>
      </c>
      <c r="P4376" t="s">
        <v>39</v>
      </c>
      <c r="Q4376" t="s">
        <v>11671</v>
      </c>
    </row>
    <row r="4377" spans="1:17" ht="15.75" x14ac:dyDescent="0.25">
      <c r="A4377" s="3" t="str">
        <f>HYPERLINK("https://shop.sonapharmacy.com/products/prilosec-otc%C2%AE-delayed-release-acid-reducer-tablets", "https://shop.sonapharmacy.com/products/prilosec-otc%C2%AE-delayed-release-acid-reducer-tablets")</f>
        <v>https://shop.sonapharmacy.com/products/prilosec-otc%C2%AE-delayed-release-acid-reducer-tablets</v>
      </c>
      <c r="B4377" s="3" t="str">
        <f>HYPERLINK("https://shop.sonapharmacy.com/products/prilosec-otc%c2%ae-delayed-release-acid-reducer-tablets", "https://shop.sonapharmacy.com/products/prilosec-otc%c2%ae-delayed-release-acid-reducer-tablets")</f>
        <v>https://shop.sonapharmacy.com/products/prilosec-otc%c2%ae-delayed-release-acid-reducer-tablets</v>
      </c>
      <c r="C4377" t="s">
        <v>9744</v>
      </c>
      <c r="D4377" t="s">
        <v>12457</v>
      </c>
      <c r="E4377" s="3" t="str">
        <f>HYPERLINK("https://www.amazon.com/Basic-Care-Omeprazole-Delayed-Release/dp/B074F1RWV9/ref=sr_1_9?keywords=Prilosec+OTC%C2%AE+Delayed+Release+Acid+Reducer+Tablets&amp;qid=1695260683&amp;sr=8-9", "https://www.amazon.com/Basic-Care-Omeprazole-Delayed-Release/dp/B074F1RWV9/ref=sr_1_9?keywords=Prilosec+OTC%C2%AE+Delayed+Release+Acid+Reducer+Tablets&amp;qid=1695260683&amp;sr=8-9")</f>
        <v>https://www.amazon.com/Basic-Care-Omeprazole-Delayed-Release/dp/B074F1RWV9/ref=sr_1_9?keywords=Prilosec+OTC%C2%AE+Delayed+Release+Acid+Reducer+Tablets&amp;qid=1695260683&amp;sr=8-9</v>
      </c>
      <c r="F4377" t="s">
        <v>12458</v>
      </c>
      <c r="G4377" t="e">
        <f ca="1">IMAGE("https://shop.sonapharmacy.com/cdn/shop/products/81ogWiPVy2L._AC_SL1500.jpg?v=1611026906")</f>
        <v>#NAME?</v>
      </c>
      <c r="H4377" t="e">
        <f ca="1">IMAGE("https://m.media-amazon.com/images/I/61bV5+iPeGL._AC_UL320_.jpg")</f>
        <v>#NAME?</v>
      </c>
      <c r="I4377" t="s">
        <v>9258</v>
      </c>
      <c r="J4377">
        <v>17.57</v>
      </c>
      <c r="K4377" s="2" t="s">
        <v>12459</v>
      </c>
      <c r="L4377">
        <v>4.8</v>
      </c>
      <c r="M4377">
        <v>45062</v>
      </c>
      <c r="O4377" t="s">
        <v>26</v>
      </c>
      <c r="P4377" t="s">
        <v>39</v>
      </c>
      <c r="Q4377" t="s">
        <v>9748</v>
      </c>
    </row>
    <row r="4378" spans="1:17" ht="15.75" x14ac:dyDescent="0.25">
      <c r="A4378" s="3" t="str">
        <f>HYPERLINK("https://shop.sonapharmacy.com/products/hibiclens-antiseptic-antimicrobial-skin-cleanser-8fl-oz", "https://shop.sonapharmacy.com/products/hibiclens-antiseptic-antimicrobial-skin-cleanser-8fl-oz")</f>
        <v>https://shop.sonapharmacy.com/products/hibiclens-antiseptic-antimicrobial-skin-cleanser-8fl-oz</v>
      </c>
      <c r="B4378" s="3" t="str">
        <f>HYPERLINK("https://shop.sonapharmacy.com/products/hibiclens-antiseptic-antimicrobial-skin-cleanser-8fl-oz", "https://shop.sonapharmacy.com/products/hibiclens-antiseptic-antimicrobial-skin-cleanser-8fl-oz")</f>
        <v>https://shop.sonapharmacy.com/products/hibiclens-antiseptic-antimicrobial-skin-cleanser-8fl-oz</v>
      </c>
      <c r="C4378" t="s">
        <v>9707</v>
      </c>
      <c r="D4378" t="s">
        <v>12460</v>
      </c>
      <c r="E4378" s="3" t="str">
        <f>HYPERLINK("https://www.amazon.com/Hibiclens-Antimicrobial-Antiseptic-Cleanser-Cleansing/dp/B00EV18F5G/ref=sr_1_4?keywords=Hibiclens+Antiseptic%2FAntimicrobial+Skin+Cleanser+8fl.+oz.&amp;qid=1695260370&amp;sr=8-4", "https://www.amazon.com/Hibiclens-Antimicrobial-Antiseptic-Cleanser-Cleansing/dp/B00EV18F5G/ref=sr_1_4?keywords=Hibiclens+Antiseptic%2FAntimicrobial+Skin+Cleanser+8fl.+oz.&amp;qid=1695260370&amp;sr=8-4")</f>
        <v>https://www.amazon.com/Hibiclens-Antimicrobial-Antiseptic-Cleanser-Cleansing/dp/B00EV18F5G/ref=sr_1_4?keywords=Hibiclens+Antiseptic%2FAntimicrobial+Skin+Cleanser+8fl.+oz.&amp;qid=1695260370&amp;sr=8-4</v>
      </c>
      <c r="F4378" t="s">
        <v>12461</v>
      </c>
      <c r="G4378" t="e">
        <f ca="1">IMAGE("https://shop.sonapharmacy.com/cdn/shop/products/0009905_hibiclens-skin-cleanser-4-solution-8-ounce-236ml-each.jpg?v=1608143785")</f>
        <v>#NAME?</v>
      </c>
      <c r="H4378" t="e">
        <f ca="1">IMAGE("https://m.media-amazon.com/images/I/81PjR4CzJvL._AC_UL320_.jpg")</f>
        <v>#NAME?</v>
      </c>
      <c r="I4378" t="s">
        <v>9710</v>
      </c>
      <c r="J4378">
        <v>16.45</v>
      </c>
      <c r="K4378" s="2" t="s">
        <v>12462</v>
      </c>
      <c r="L4378">
        <v>4.8</v>
      </c>
      <c r="M4378">
        <v>4020</v>
      </c>
      <c r="O4378" t="s">
        <v>26</v>
      </c>
      <c r="P4378" t="s">
        <v>39</v>
      </c>
      <c r="Q4378" t="s">
        <v>9712</v>
      </c>
    </row>
    <row r="4379" spans="1:17" ht="15.75" x14ac:dyDescent="0.25">
      <c r="A4379"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4379"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4379" t="s">
        <v>8597</v>
      </c>
      <c r="D4379" t="s">
        <v>12463</v>
      </c>
      <c r="E4379" s="3" t="str">
        <f>HYPERLINK("https://www.amazon.com/Advance-Peroxide-Toothpaste-Extreme-Whitening/dp/B00E4MHZJY/ref=sr_1_8?keywords=Arm+%26+Hammer+Advance+White%E2%84%A2+Extreme+Whitening+Toothpaste+6oz.&amp;qid=1695260040&amp;sr=8-8", "https://www.amazon.com/Advance-Peroxide-Toothpaste-Extreme-Whitening/dp/B00E4MHZJY/ref=sr_1_8?keywords=Arm+%26+Hammer+Advance+White%E2%84%A2+Extreme+Whitening+Toothpaste+6oz.&amp;qid=1695260040&amp;sr=8-8")</f>
        <v>https://www.amazon.com/Advance-Peroxide-Toothpaste-Extreme-Whitening/dp/B00E4MHZJY/ref=sr_1_8?keywords=Arm+%26+Hammer+Advance+White%E2%84%A2+Extreme+Whitening+Toothpaste+6oz.&amp;qid=1695260040&amp;sr=8-8</v>
      </c>
      <c r="F4379" t="s">
        <v>12464</v>
      </c>
      <c r="G4379" t="e">
        <f ca="1">IMAGE("https://shop.sonapharmacy.com/cdn/shop/products/39e8f462-49a9-4142-bb95-6876f7f6bade.baebaa1c7268bbcf245f186bddbf5223_1.jpg?v=1611254657")</f>
        <v>#NAME?</v>
      </c>
      <c r="H4379" t="e">
        <f ca="1">IMAGE("https://m.media-amazon.com/images/I/61Uxr01SxQL._AC_UL320_.jpg")</f>
        <v>#NAME?</v>
      </c>
      <c r="I4379" t="s">
        <v>8600</v>
      </c>
      <c r="J4379">
        <v>7.95</v>
      </c>
      <c r="K4379" s="2" t="s">
        <v>12465</v>
      </c>
      <c r="L4379">
        <v>4.5</v>
      </c>
      <c r="M4379">
        <v>51</v>
      </c>
      <c r="O4379" t="s">
        <v>26</v>
      </c>
      <c r="P4379" t="s">
        <v>39</v>
      </c>
      <c r="Q4379" t="s">
        <v>8602</v>
      </c>
    </row>
    <row r="4380" spans="1:17" ht="15.75" x14ac:dyDescent="0.25">
      <c r="A4380" s="3" t="str">
        <f>HYPERLINK("https://shop.sonapharmacy.com/products/mueller%C2%AE-adjustable-knee-support-one-size-1", "https://shop.sonapharmacy.com/products/mueller%C2%AE-adjustable-knee-support-one-size-1")</f>
        <v>https://shop.sonapharmacy.com/products/mueller%C2%AE-adjustable-knee-support-one-size-1</v>
      </c>
      <c r="B4380" s="3" t="str">
        <f>HYPERLINK("https://shop.sonapharmacy.com/products/mueller%c2%ae-adjustable-knee-support-one-size-1", "https://shop.sonapharmacy.com/products/mueller%c2%ae-adjustable-knee-support-one-size-1")</f>
        <v>https://shop.sonapharmacy.com/products/mueller%c2%ae-adjustable-knee-support-one-size-1</v>
      </c>
      <c r="C4380" t="s">
        <v>11984</v>
      </c>
      <c r="D4380" t="s">
        <v>11985</v>
      </c>
      <c r="E4380" s="3" t="str">
        <f>HYPERLINK("https://www.amazon.com/Mueller-Sport-Care-Adjustable-Support/dp/B00E4MNUNY/ref=sr_1_3?keywords=Mueller%C2%AE+Adjustable+Knee+Support+One+Size&amp;qid=1695260499&amp;sr=8-3", "https://www.amazon.com/Mueller-Sport-Care-Adjustable-Support/dp/B00E4MNUNY/ref=sr_1_3?keywords=Mueller%C2%AE+Adjustable+Knee+Support+One+Size&amp;qid=1695260499&amp;sr=8-3")</f>
        <v>https://www.amazon.com/Mueller-Sport-Care-Adjustable-Support/dp/B00E4MNUNY/ref=sr_1_3?keywords=Mueller%C2%AE+Adjustable+Knee+Support+One+Size&amp;qid=1695260499&amp;sr=8-3</v>
      </c>
      <c r="F4380" t="s">
        <v>11986</v>
      </c>
      <c r="G4380" t="e">
        <f ca="1">IMAGE("https://shop.sonapharmacy.com/cdn/shop/products/711XAm6m0rL._AC_SL1500.jpg?v=1609873741")</f>
        <v>#NAME?</v>
      </c>
      <c r="H4380" t="e">
        <f ca="1">IMAGE("https://m.media-amazon.com/images/I/71T4rxOhUnL._AC_UL320_.jpg")</f>
        <v>#NAME?</v>
      </c>
      <c r="I4380" t="s">
        <v>12466</v>
      </c>
      <c r="J4380">
        <v>23.99</v>
      </c>
      <c r="K4380" s="2" t="s">
        <v>12467</v>
      </c>
      <c r="L4380">
        <v>5</v>
      </c>
      <c r="M4380">
        <v>1</v>
      </c>
      <c r="O4380" t="s">
        <v>136</v>
      </c>
      <c r="P4380" t="s">
        <v>39</v>
      </c>
      <c r="Q4380" t="s">
        <v>12468</v>
      </c>
    </row>
    <row r="4381" spans="1:17" ht="15.75" x14ac:dyDescent="0.25">
      <c r="A4381" s="3" t="str">
        <f>HYPERLINK("https://shop.sonapharmacy.com/products/accu-chek-smart-view-test-strips", "https://shop.sonapharmacy.com/products/accu-chek-smart-view-test-strips")</f>
        <v>https://shop.sonapharmacy.com/products/accu-chek-smart-view-test-strips</v>
      </c>
      <c r="B4381" s="3" t="str">
        <f>HYPERLINK("https://shop.sonapharmacy.com/products/accu-chek-smart-view-test-strips", "https://shop.sonapharmacy.com/products/accu-chek-smart-view-test-strips")</f>
        <v>https://shop.sonapharmacy.com/products/accu-chek-smart-view-test-strips</v>
      </c>
      <c r="C4381" t="s">
        <v>12469</v>
      </c>
      <c r="D4381" t="s">
        <v>8735</v>
      </c>
      <c r="E4381" s="3" t="str">
        <f>HYPERLINK("https://www.amazon.com/Accu-Chek-Smart-Strips-Count/dp/B00CFPDD20/ref=sr_1_3?keywords=Accu-Chek+Smart+View+Test+Strips+50ct.&amp;qid=1695260043&amp;sr=8-3", "https://www.amazon.com/Accu-Chek-Smart-Strips-Count/dp/B00CFPDD20/ref=sr_1_3?keywords=Accu-Chek+Smart+View+Test+Strips+50ct.&amp;qid=1695260043&amp;sr=8-3")</f>
        <v>https://www.amazon.com/Accu-Chek-Smart-Strips-Count/dp/B00CFPDD20/ref=sr_1_3?keywords=Accu-Chek+Smart+View+Test+Strips+50ct.&amp;qid=1695260043&amp;sr=8-3</v>
      </c>
      <c r="F4381" t="s">
        <v>8736</v>
      </c>
      <c r="G4381" t="e">
        <f ca="1">IMAGE("https://shop.sonapharmacy.com/cdn/shop/products/Accu-ChekSmartViewTestStrips50ct..jpg?v=1594223075")</f>
        <v>#NAME?</v>
      </c>
      <c r="H4381" t="e">
        <f ca="1">IMAGE("https://m.media-amazon.com/images/I/71gikKyfUgL._AC_UL320_.jpg")</f>
        <v>#NAME?</v>
      </c>
      <c r="I4381" t="s">
        <v>12470</v>
      </c>
      <c r="J4381">
        <v>154.99</v>
      </c>
      <c r="K4381" s="2" t="s">
        <v>12471</v>
      </c>
      <c r="L4381">
        <v>4.5999999999999996</v>
      </c>
      <c r="M4381">
        <v>225</v>
      </c>
      <c r="O4381" t="s">
        <v>26</v>
      </c>
      <c r="P4381" t="s">
        <v>39</v>
      </c>
      <c r="Q4381" t="s">
        <v>12472</v>
      </c>
    </row>
    <row r="4382" spans="1:17" ht="15.75" x14ac:dyDescent="0.25">
      <c r="A4382" s="3" t="str">
        <f>HYPERLINK("https://shop.sonapharmacy.com/products/metamucil%C2%AE-3-in-1-fiber-capsules-100ct", "https://shop.sonapharmacy.com/products/metamucil%C2%AE-3-in-1-fiber-capsules-100ct")</f>
        <v>https://shop.sonapharmacy.com/products/metamucil%C2%AE-3-in-1-fiber-capsules-100ct</v>
      </c>
      <c r="B4382" s="3" t="str">
        <f>HYPERLINK("https://shop.sonapharmacy.com/products/metamucil%c2%ae-3-in-1-fiber-capsules-100ct", "https://shop.sonapharmacy.com/products/metamucil%c2%ae-3-in-1-fiber-capsules-100ct")</f>
        <v>https://shop.sonapharmacy.com/products/metamucil%c2%ae-3-in-1-fiber-capsules-100ct</v>
      </c>
      <c r="C4382" t="s">
        <v>12473</v>
      </c>
      <c r="D4382" t="s">
        <v>12474</v>
      </c>
      <c r="E4382" s="3" t="str">
        <f>HYPERLINK("https://www.amazon.com/Metamucil-Multi-Health-Psyllium-Supplement-Capsules/dp/B001TH7K0G/ref=sr_1_3?keywords=Metamucil%C2%AE+3-In-1+Fiber+Capsules+100ct.&amp;qid=1695260484&amp;sr=8-3", "https://www.amazon.com/Metamucil-Multi-Health-Psyllium-Supplement-Capsules/dp/B001TH7K0G/ref=sr_1_3?keywords=Metamucil%C2%AE+3-In-1+Fiber+Capsules+100ct.&amp;qid=1695260484&amp;sr=8-3")</f>
        <v>https://www.amazon.com/Metamucil-Multi-Health-Psyllium-Supplement-Capsules/dp/B001TH7K0G/ref=sr_1_3?keywords=Metamucil%C2%AE+3-In-1+Fiber+Capsules+100ct.&amp;qid=1695260484&amp;sr=8-3</v>
      </c>
      <c r="F4382" t="s">
        <v>12475</v>
      </c>
      <c r="G4382" t="e">
        <f ca="1">IMAGE("https://shop.sonapharmacy.com/cdn/shop/products/e4c301a8-1a91-42b1-9916-14dcb83a83c8_1.2b9cc66f0650d69ef4e03e8e4070ad8a.jpg?v=1610989075")</f>
        <v>#NAME?</v>
      </c>
      <c r="H4382" t="e">
        <f ca="1">IMAGE("https://m.media-amazon.com/images/I/71N4KfRYy2L._AC_UL320_.jpg")</f>
        <v>#NAME?</v>
      </c>
      <c r="I4382" t="s">
        <v>12476</v>
      </c>
      <c r="J4382">
        <v>26.89</v>
      </c>
      <c r="K4382" s="2" t="s">
        <v>12477</v>
      </c>
      <c r="L4382">
        <v>4.5999999999999996</v>
      </c>
      <c r="M4382">
        <v>19359</v>
      </c>
      <c r="O4382" t="s">
        <v>26</v>
      </c>
      <c r="P4382" t="s">
        <v>39</v>
      </c>
      <c r="Q4382" t="s">
        <v>12478</v>
      </c>
    </row>
    <row r="4383" spans="1:17" ht="15.75" x14ac:dyDescent="0.25">
      <c r="A4383" s="3" t="str">
        <f>HYPERLINK("https://shop.sonapharmacy.com/products/nova%C2%AE-adjustable-drink-holder", "https://shop.sonapharmacy.com/products/nova%C2%AE-adjustable-drink-holder")</f>
        <v>https://shop.sonapharmacy.com/products/nova%C2%AE-adjustable-drink-holder</v>
      </c>
      <c r="B4383" s="3" t="str">
        <f>HYPERLINK("https://shop.sonapharmacy.com/products/nova%c2%ae-adjustable-drink-holder", "https://shop.sonapharmacy.com/products/nova%c2%ae-adjustable-drink-holder")</f>
        <v>https://shop.sonapharmacy.com/products/nova%c2%ae-adjustable-drink-holder</v>
      </c>
      <c r="C4383" t="s">
        <v>12479</v>
      </c>
      <c r="D4383" t="s">
        <v>12480</v>
      </c>
      <c r="E4383" s="3" t="str">
        <f>HYPERLINK("https://www.amazon.com/Manufacturers-Select-Adjustable-Holder-81405B/dp/B08LHXBW45/ref=sr_1_5?keywords=Nova%C2%AE+Adjustable+Drink+Holder&amp;qid=1695260585&amp;sr=8-5", "https://www.amazon.com/Manufacturers-Select-Adjustable-Holder-81405B/dp/B08LHXBW45/ref=sr_1_5?keywords=Nova%C2%AE+Adjustable+Drink+Holder&amp;qid=1695260585&amp;sr=8-5")</f>
        <v>https://www.amazon.com/Manufacturers-Select-Adjustable-Holder-81405B/dp/B08LHXBW45/ref=sr_1_5?keywords=Nova%C2%AE+Adjustable+Drink+Holder&amp;qid=1695260585&amp;sr=8-5</v>
      </c>
      <c r="F4383" t="s">
        <v>12481</v>
      </c>
      <c r="G4383" t="e">
        <f ca="1">IMAGE("https://shop.sonapharmacy.com/cdn/shop/products/710LaqBowdL._AC_SL1500.jpg?v=1611083025")</f>
        <v>#NAME?</v>
      </c>
      <c r="H4383" t="e">
        <f ca="1">IMAGE("https://m.media-amazon.com/images/I/71kcL5V++CL._AC_UY218_.jpg")</f>
        <v>#NAME?</v>
      </c>
      <c r="I4383" t="s">
        <v>12482</v>
      </c>
      <c r="J4383">
        <v>29.99</v>
      </c>
      <c r="K4383" s="2" t="s">
        <v>12483</v>
      </c>
      <c r="L4383">
        <v>4.2</v>
      </c>
      <c r="M4383">
        <v>38</v>
      </c>
      <c r="O4383" t="s">
        <v>26</v>
      </c>
      <c r="P4383" t="s">
        <v>39</v>
      </c>
      <c r="Q4383" t="s">
        <v>12484</v>
      </c>
    </row>
    <row r="4384" spans="1:17" ht="15.75" x14ac:dyDescent="0.25">
      <c r="A4384" s="3" t="str">
        <f>HYPERLINK("https://shop.sonapharmacy.com/products/hylands-leg-cramps-pm-relief-tablets", "https://shop.sonapharmacy.com/products/hylands-leg-cramps-pm-relief-tablets")</f>
        <v>https://shop.sonapharmacy.com/products/hylands-leg-cramps-pm-relief-tablets</v>
      </c>
      <c r="B4384" s="3" t="str">
        <f>HYPERLINK("https://shop.sonapharmacy.com/products/hylands-leg-cramps-pm-relief-tablets", "https://shop.sonapharmacy.com/products/hylands-leg-cramps-pm-relief-tablets")</f>
        <v>https://shop.sonapharmacy.com/products/hylands-leg-cramps-pm-relief-tablets</v>
      </c>
      <c r="C4384" t="s">
        <v>12485</v>
      </c>
      <c r="D4384" t="s">
        <v>12486</v>
      </c>
      <c r="E4384" s="3" t="str">
        <f>HYPERLINK("https://www.amazon.com/Hylands-Cramps-Nighttime-Relief-Tablets/dp/B00OQQVBLG/ref=sr_1_3?keywords=Hyland%27s%C2%AE+Leg+Cramps+PM+Relief+Tablets&amp;qid=1695260440&amp;sr=8-3", "https://www.amazon.com/Hylands-Cramps-Nighttime-Relief-Tablets/dp/B00OQQVBLG/ref=sr_1_3?keywords=Hyland%27s%C2%AE+Leg+Cramps+PM+Relief+Tablets&amp;qid=1695260440&amp;sr=8-3")</f>
        <v>https://www.amazon.com/Hylands-Cramps-Nighttime-Relief-Tablets/dp/B00OQQVBLG/ref=sr_1_3?keywords=Hyland%27s%C2%AE+Leg+Cramps+PM+Relief+Tablets&amp;qid=1695260440&amp;sr=8-3</v>
      </c>
      <c r="F4384" t="s">
        <v>12487</v>
      </c>
      <c r="G4384" t="e">
        <f ca="1">IMAGE("https://shop.sonapharmacy.com/cdn/shop/products/b6509265-cf63-43a9-b0d2-e756b6bd83db_1.68ec560986ea3a3b8492b3582c8cae6b.jpg?v=1609354862")</f>
        <v>#NAME?</v>
      </c>
      <c r="H4384" t="e">
        <f ca="1">IMAGE("https://m.media-amazon.com/images/I/81li9nbHjEL._AC_UL320_.jpg")</f>
        <v>#NAME?</v>
      </c>
      <c r="I4384" t="s">
        <v>3419</v>
      </c>
      <c r="J4384">
        <v>21.87</v>
      </c>
      <c r="K4384" s="2" t="s">
        <v>12488</v>
      </c>
      <c r="L4384">
        <v>4.7</v>
      </c>
      <c r="M4384">
        <v>1792</v>
      </c>
      <c r="O4384" t="s">
        <v>26</v>
      </c>
      <c r="P4384" t="s">
        <v>39</v>
      </c>
      <c r="Q4384" t="s">
        <v>12489</v>
      </c>
    </row>
    <row r="4385" spans="1:17" ht="15.75" x14ac:dyDescent="0.25">
      <c r="A4385" s="3" t="str">
        <f>HYPERLINK("https://shop.sonapharmacy.com/products/nasacort-allergy-24hr-nasal-spray", "https://shop.sonapharmacy.com/products/nasacort-allergy-24hr-nasal-spray")</f>
        <v>https://shop.sonapharmacy.com/products/nasacort-allergy-24hr-nasal-spray</v>
      </c>
      <c r="B4385" s="3" t="str">
        <f>HYPERLINK("https://shop.sonapharmacy.com/products/nasacort-allergy-24hr-nasal-spray", "https://shop.sonapharmacy.com/products/nasacort-allergy-24hr-nasal-spray")</f>
        <v>https://shop.sonapharmacy.com/products/nasacort-allergy-24hr-nasal-spray</v>
      </c>
      <c r="C4385" t="s">
        <v>10882</v>
      </c>
      <c r="D4385" t="s">
        <v>12490</v>
      </c>
      <c r="E4385" s="3" t="str">
        <f>HYPERLINK("https://www.amazon.com/Nasacort-Allergy-Adults-Non-Drowsy-Alcohol-Free/dp/B012FV7WPW/ref=sr_1_7?keywords=Nasacort+Allergy+24HR+Nasal+Spray&amp;qid=1695260517&amp;sr=8-7", "https://www.amazon.com/Nasacort-Allergy-Adults-Non-Drowsy-Alcohol-Free/dp/B012FV7WPW/ref=sr_1_7?keywords=Nasacort+Allergy+24HR+Nasal+Spray&amp;qid=1695260517&amp;sr=8-7")</f>
        <v>https://www.amazon.com/Nasacort-Allergy-Adults-Non-Drowsy-Alcohol-Free/dp/B012FV7WPW/ref=sr_1_7?keywords=Nasacort+Allergy+24HR+Nasal+Spray&amp;qid=1695260517&amp;sr=8-7</v>
      </c>
      <c r="F4385" t="s">
        <v>12491</v>
      </c>
      <c r="G4385" t="e">
        <f ca="1">IMAGE("https://shop.sonapharmacy.com/cdn/shop/products/NasacortAllergy24HRNasalSpray.png?v=1595517896")</f>
        <v>#NAME?</v>
      </c>
      <c r="H4385" t="e">
        <f ca="1">IMAGE("https://m.media-amazon.com/images/I/81Opilvs2EL._AC_UL320_.jpg")</f>
        <v>#NAME?</v>
      </c>
      <c r="I4385" t="s">
        <v>10885</v>
      </c>
      <c r="J4385">
        <v>23.59</v>
      </c>
      <c r="K4385" s="2" t="s">
        <v>12492</v>
      </c>
      <c r="L4385">
        <v>4.7</v>
      </c>
      <c r="M4385">
        <v>497</v>
      </c>
      <c r="O4385" t="s">
        <v>26</v>
      </c>
      <c r="P4385" t="s">
        <v>39</v>
      </c>
      <c r="Q4385" t="s">
        <v>10886</v>
      </c>
    </row>
    <row r="4386" spans="1:17" ht="15.75" x14ac:dyDescent="0.25">
      <c r="A4386" s="3" t="str">
        <f>HYPERLINK("https://shop.sonapharmacy.com/products/lotrimin%C2%AE-af-jock-itch-antifungal-cream", "https://shop.sonapharmacy.com/products/lotrimin%C2%AE-af-jock-itch-antifungal-cream")</f>
        <v>https://shop.sonapharmacy.com/products/lotrimin%C2%AE-af-jock-itch-antifungal-cream</v>
      </c>
      <c r="B4386" s="3" t="str">
        <f>HYPERLINK("https://shop.sonapharmacy.com/products/lotrimin%c2%ae-af-jock-itch-antifungal-cream", "https://shop.sonapharmacy.com/products/lotrimin%c2%ae-af-jock-itch-antifungal-cream")</f>
        <v>https://shop.sonapharmacy.com/products/lotrimin%c2%ae-af-jock-itch-antifungal-cream</v>
      </c>
      <c r="C4386" t="s">
        <v>11976</v>
      </c>
      <c r="D4386" t="s">
        <v>12493</v>
      </c>
      <c r="E4386" s="3" t="str">
        <f>HYPERLINK("https://www.amazon.com/Lotrimin-Jock-Itch-Antifungal-Cream/dp/B001269GK6/ref=sr_1_4?keywords=Lotrimin%C2%AE+AF+Jock+Itch+Antifungal+Cream&amp;qid=1695260464&amp;sr=8-4", "https://www.amazon.com/Lotrimin-Jock-Itch-Antifungal-Cream/dp/B001269GK6/ref=sr_1_4?keywords=Lotrimin%C2%AE+AF+Jock+Itch+Antifungal+Cream&amp;qid=1695260464&amp;sr=8-4")</f>
        <v>https://www.amazon.com/Lotrimin-Jock-Itch-Antifungal-Cream/dp/B001269GK6/ref=sr_1_4?keywords=Lotrimin%C2%AE+AF+Jock+Itch+Antifungal+Cream&amp;qid=1695260464&amp;sr=8-4</v>
      </c>
      <c r="F4386" t="s">
        <v>12494</v>
      </c>
      <c r="G4386" t="e">
        <f ca="1">IMAGE("https://shop.sonapharmacy.com/cdn/shop/products/lotrimincream.jpg?v=1607963126")</f>
        <v>#NAME?</v>
      </c>
      <c r="H4386" t="e">
        <f ca="1">IMAGE("https://m.media-amazon.com/images/I/81lS2RqK1kL._AC_UL320_.jpg")</f>
        <v>#NAME?</v>
      </c>
      <c r="I4386" t="s">
        <v>3373</v>
      </c>
      <c r="J4386">
        <v>20.38</v>
      </c>
      <c r="K4386" s="2" t="s">
        <v>12495</v>
      </c>
      <c r="L4386">
        <v>4.5</v>
      </c>
      <c r="M4386">
        <v>906</v>
      </c>
      <c r="O4386" t="s">
        <v>26</v>
      </c>
      <c r="P4386" t="s">
        <v>39</v>
      </c>
      <c r="Q4386" t="s">
        <v>11980</v>
      </c>
    </row>
    <row r="4387" spans="1:17" ht="15.75" x14ac:dyDescent="0.25">
      <c r="A4387" s="3" t="str">
        <f>HYPERLINK("https://shop.sonapharmacy.com/products/sunbum%C2%AE-after-sun-cool-down-lotion-3fl-oz", "https://shop.sonapharmacy.com/products/sunbum%C2%AE-after-sun-cool-down-lotion-3fl-oz")</f>
        <v>https://shop.sonapharmacy.com/products/sunbum%C2%AE-after-sun-cool-down-lotion-3fl-oz</v>
      </c>
      <c r="B4387" s="3" t="str">
        <f>HYPERLINK("https://shop.sonapharmacy.com/products/sunbum%c2%ae-after-sun-cool-down-lotion-3fl-oz", "https://shop.sonapharmacy.com/products/sunbum%c2%ae-after-sun-cool-down-lotion-3fl-oz")</f>
        <v>https://shop.sonapharmacy.com/products/sunbum%c2%ae-after-sun-cool-down-lotion-3fl-oz</v>
      </c>
      <c r="C4387" t="s">
        <v>10463</v>
      </c>
      <c r="D4387" t="s">
        <v>12496</v>
      </c>
      <c r="E4387" s="3" t="str">
        <f>HYPERLINK("https://www.amazon.com/Sun-Bum-Hydrating-Lotion-Hypoallergenic/dp/B004YAUZKM/ref=sr_1_1?keywords=Sun+Bum%C2%AE+After+Sun+Cool+Down+Lotion&amp;qid=1695260733&amp;rdc=1&amp;sr=8-1", "https://www.amazon.com/Sun-Bum-Hydrating-Lotion-Hypoallergenic/dp/B004YAUZKM/ref=sr_1_1?keywords=Sun+Bum%C2%AE+After+Sun+Cool+Down+Lotion&amp;qid=1695260733&amp;rdc=1&amp;sr=8-1")</f>
        <v>https://www.amazon.com/Sun-Bum-Hydrating-Lotion-Hypoallergenic/dp/B004YAUZKM/ref=sr_1_1?keywords=Sun+Bum%C2%AE+After+Sun+Cool+Down+Lotion&amp;qid=1695260733&amp;rdc=1&amp;sr=8-1</v>
      </c>
      <c r="F4387" t="s">
        <v>12497</v>
      </c>
      <c r="G4387" t="e">
        <f ca="1">IMAGE("https://shop.sonapharmacy.com/cdn/shop/products/a5a83c38-73f5-476c-9809-d631e9fa1de9_1.becde44019f64609642f026cbe40180a.jpg?v=1611159956")</f>
        <v>#NAME?</v>
      </c>
      <c r="H4387" t="e">
        <f ca="1">IMAGE("https://m.media-amazon.com/images/I/61Wf6M5u9YL._AC_UL320_.jpg")</f>
        <v>#NAME?</v>
      </c>
      <c r="I4387" t="s">
        <v>3392</v>
      </c>
      <c r="J4387">
        <v>11.6</v>
      </c>
      <c r="K4387" s="2" t="s">
        <v>12498</v>
      </c>
      <c r="L4387">
        <v>4.7</v>
      </c>
      <c r="M4387">
        <v>7773</v>
      </c>
      <c r="O4387" t="s">
        <v>26</v>
      </c>
      <c r="P4387" t="s">
        <v>39</v>
      </c>
      <c r="Q4387" t="s">
        <v>10467</v>
      </c>
    </row>
    <row r="4388" spans="1:17" ht="15.75" x14ac:dyDescent="0.25">
      <c r="A4388" s="3" t="str">
        <f>HYPERLINK("https://shop.sonapharmacy.com/products/schiff-move-free-joint-health-advanced-plus-msm-tablets", "https://shop.sonapharmacy.com/products/schiff-move-free-joint-health-advanced-plus-msm-tablets")</f>
        <v>https://shop.sonapharmacy.com/products/schiff-move-free-joint-health-advanced-plus-msm-tablets</v>
      </c>
      <c r="B4388" s="3" t="str">
        <f>HYPERLINK("https://shop.sonapharmacy.com/products/schiff-move-free-joint-health-advanced-plus-msm-tablets", "https://shop.sonapharmacy.com/products/schiff-move-free-joint-health-advanced-plus-msm-tablets")</f>
        <v>https://shop.sonapharmacy.com/products/schiff-move-free-joint-health-advanced-plus-msm-tablets</v>
      </c>
      <c r="C4388" t="s">
        <v>8905</v>
      </c>
      <c r="D4388" t="s">
        <v>12499</v>
      </c>
      <c r="E4388" s="3" t="str">
        <f>HYPERLINK("https://www.amazon.com/Move-Free-Advanced-Vitamin-tablets/dp/B00VOF5UPU/ref=sr_1_4?keywords=Schiff+Move+Free+joint+Health+Advanced+Plus+MSM+Tablets&amp;qid=1695260725&amp;sr=8-4", "https://www.amazon.com/Move-Free-Advanced-Vitamin-tablets/dp/B00VOF5UPU/ref=sr_1_4?keywords=Schiff+Move+Free+joint+Health+Advanced+Plus+MSM+Tablets&amp;qid=1695260725&amp;sr=8-4")</f>
        <v>https://www.amazon.com/Move-Free-Advanced-Vitamin-tablets/dp/B00VOF5UPU/ref=sr_1_4?keywords=Schiff+Move+Free+joint+Health+Advanced+Plus+MSM+Tablets&amp;qid=1695260725&amp;sr=8-4</v>
      </c>
      <c r="F4388" t="s">
        <v>12500</v>
      </c>
      <c r="G4388" t="e">
        <f ca="1">IMAGE("https://shop.sonapharmacy.com/cdn/shop/products/movefreehealthresized.jpg?v=1592492207")</f>
        <v>#NAME?</v>
      </c>
      <c r="H4388" t="e">
        <f ca="1">IMAGE("https://m.media-amazon.com/images/I/81dF28R1HkS._AC_UL320_.jpg")</f>
        <v>#NAME?</v>
      </c>
      <c r="I4388" t="s">
        <v>8908</v>
      </c>
      <c r="J4388">
        <v>44.99</v>
      </c>
      <c r="K4388" s="2" t="s">
        <v>12498</v>
      </c>
      <c r="L4388">
        <v>4.5999999999999996</v>
      </c>
      <c r="M4388">
        <v>172</v>
      </c>
      <c r="O4388" t="s">
        <v>26</v>
      </c>
      <c r="P4388" t="s">
        <v>39</v>
      </c>
      <c r="Q4388" t="s">
        <v>8910</v>
      </c>
    </row>
    <row r="4389" spans="1:17" ht="15.75" x14ac:dyDescent="0.25">
      <c r="A4389" s="3" t="str">
        <f>HYPERLINK("https://shop.sonapharmacy.com/products/curad-compact-first-aid-kit", "https://shop.sonapharmacy.com/products/curad-compact-first-aid-kit")</f>
        <v>https://shop.sonapharmacy.com/products/curad-compact-first-aid-kit</v>
      </c>
      <c r="B4389" s="3" t="str">
        <f>HYPERLINK("https://shop.sonapharmacy.com/products/curad-compact-first-aid-kit", "https://shop.sonapharmacy.com/products/curad-compact-first-aid-kit")</f>
        <v>https://shop.sonapharmacy.com/products/curad-compact-first-aid-kit</v>
      </c>
      <c r="C4389" t="s">
        <v>8554</v>
      </c>
      <c r="D4389" t="s">
        <v>12501</v>
      </c>
      <c r="E4389" s="3" t="str">
        <f>HYPERLINK("https://www.amazon.com/Curad-Compact-First-Green-Items/dp/B003XYDT58/ref=sr_1_1?keywords=Curad%C2%AE+Compact+First+Aid+Kit&amp;qid=1695260179&amp;sr=8-1", "https://www.amazon.com/Curad-Compact-First-Green-Items/dp/B003XYDT58/ref=sr_1_1?keywords=Curad%C2%AE+Compact+First+Aid+Kit&amp;qid=1695260179&amp;sr=8-1")</f>
        <v>https://www.amazon.com/Curad-Compact-First-Green-Items/dp/B003XYDT58/ref=sr_1_1?keywords=Curad%C2%AE+Compact+First+Aid+Kit&amp;qid=1695260179&amp;sr=8-1</v>
      </c>
      <c r="F4389" t="s">
        <v>12502</v>
      </c>
      <c r="G4389" t="e">
        <f ca="1">IMAGE("https://shop.sonapharmacy.com/cdn/shop/products/SKU_CURFAK200RB_BOX_RIGHT_RGB_500x550_575adfc4-7192-4115-907f-353af88557b0.png?v=1607719376")</f>
        <v>#NAME?</v>
      </c>
      <c r="H4389" t="e">
        <f ca="1">IMAGE("https://m.media-amazon.com/images/I/516RSkQ2lTL._AC_UL320_.jpg")</f>
        <v>#NAME?</v>
      </c>
      <c r="I4389" t="s">
        <v>8557</v>
      </c>
      <c r="J4389">
        <v>9.75</v>
      </c>
      <c r="K4389" s="2" t="s">
        <v>12503</v>
      </c>
      <c r="L4389">
        <v>4.3</v>
      </c>
      <c r="M4389">
        <v>59</v>
      </c>
      <c r="O4389" t="s">
        <v>26</v>
      </c>
      <c r="P4389" t="s">
        <v>39</v>
      </c>
      <c r="Q4389" t="s">
        <v>8559</v>
      </c>
    </row>
    <row r="4390" spans="1:17" ht="15.75" x14ac:dyDescent="0.25">
      <c r="A4390" s="3" t="str">
        <f>HYPERLINK("https://shop.sonapharmacy.com/products/sona-methyl-b-complex", "https://shop.sonapharmacy.com/products/sona-methyl-b-complex")</f>
        <v>https://shop.sonapharmacy.com/products/sona-methyl-b-complex</v>
      </c>
      <c r="B4390" s="3" t="str">
        <f>HYPERLINK("https://shop.sonapharmacy.com/products/sona-methyl-b-complex", "https://shop.sonapharmacy.com/products/sona-methyl-b-complex")</f>
        <v>https://shop.sonapharmacy.com/products/sona-methyl-b-complex</v>
      </c>
      <c r="C4390" t="s">
        <v>10084</v>
      </c>
      <c r="D4390" t="s">
        <v>12504</v>
      </c>
      <c r="E4390" s="3" t="str">
        <f>HYPERLINK("https://www.amazon.com/Quicksilver-Scientific-Liposomal-Methyl-B-Complex/dp/B01INRQY1U/ref=sr_1_4?keywords=Sona+Methyl+B+Complex&amp;qid=1695260722&amp;sr=8-4", "https://www.amazon.com/Quicksilver-Scientific-Liposomal-Methyl-B-Complex/dp/B01INRQY1U/ref=sr_1_4?keywords=Sona+Methyl+B+Complex&amp;qid=1695260722&amp;sr=8-4")</f>
        <v>https://www.amazon.com/Quicksilver-Scientific-Liposomal-Methyl-B-Complex/dp/B01INRQY1U/ref=sr_1_4?keywords=Sona+Methyl+B+Complex&amp;qid=1695260722&amp;sr=8-4</v>
      </c>
      <c r="F4390" t="s">
        <v>12505</v>
      </c>
      <c r="G4390" t="e">
        <f ca="1">IMAGE("https://shop.sonapharmacy.com/cdn/shop/files/MethylBComplex_SonaShop.jpg?v=1692302519")</f>
        <v>#NAME?</v>
      </c>
      <c r="H4390" t="e">
        <f ca="1">IMAGE("https://m.media-amazon.com/images/I/41Pr6h-XXcL._AC_UL320_.jpg")</f>
        <v>#NAME?</v>
      </c>
      <c r="I4390" t="s">
        <v>10087</v>
      </c>
      <c r="J4390">
        <v>46.05</v>
      </c>
      <c r="K4390" s="2" t="s">
        <v>12506</v>
      </c>
      <c r="L4390">
        <v>4.4000000000000004</v>
      </c>
      <c r="M4390">
        <v>542</v>
      </c>
      <c r="O4390" t="s">
        <v>26</v>
      </c>
      <c r="P4390" t="s">
        <v>39</v>
      </c>
      <c r="Q4390" t="s">
        <v>10089</v>
      </c>
    </row>
    <row r="4391" spans="1:17" ht="15.75" x14ac:dyDescent="0.25">
      <c r="A4391" s="3" t="str">
        <f>HYPERLINK("https://shop.sonapharmacy.com/products/goodsense%C2%AE-loratadine-allergy-tablets", "https://shop.sonapharmacy.com/products/goodsense%C2%AE-loratadine-allergy-tablets")</f>
        <v>https://shop.sonapharmacy.com/products/goodsense%C2%AE-loratadine-allergy-tablets</v>
      </c>
      <c r="B4391" s="3" t="str">
        <f>HYPERLINK("https://shop.sonapharmacy.com/products/goodsense%c2%ae-loratadine-allergy-tablets", "https://shop.sonapharmacy.com/products/goodsense%c2%ae-loratadine-allergy-tablets")</f>
        <v>https://shop.sonapharmacy.com/products/goodsense%c2%ae-loratadine-allergy-tablets</v>
      </c>
      <c r="C4391" t="s">
        <v>9855</v>
      </c>
      <c r="D4391" t="s">
        <v>12507</v>
      </c>
      <c r="E4391" s="3" t="str">
        <f>HYPERLINK("https://www.amazon.com/GoodSense-Allergy-Relief-Loratadine-Tablets/dp/B00HE66ZUC/ref=sr_1_1?keywords=GoodSense%C2%AE+Loratadine+Allergy+Tablets&amp;qid=1695260354&amp;sr=8-1", "https://www.amazon.com/GoodSense-Allergy-Relief-Loratadine-Tablets/dp/B00HE66ZUC/ref=sr_1_1?keywords=GoodSense%C2%AE+Loratadine+Allergy+Tablets&amp;qid=1695260354&amp;sr=8-1")</f>
        <v>https://www.amazon.com/GoodSense-Allergy-Relief-Loratadine-Tablets/dp/B00HE66ZUC/ref=sr_1_1?keywords=GoodSense%C2%AE+Loratadine+Allergy+Tablets&amp;qid=1695260354&amp;sr=8-1</v>
      </c>
      <c r="F4391" t="s">
        <v>12508</v>
      </c>
      <c r="G4391" t="e">
        <f ca="1">IMAGE("https://shop.sonapharmacy.com/cdn/shop/products/Untitled-168.jpg?v=1593196295")</f>
        <v>#NAME?</v>
      </c>
      <c r="H4391" t="e">
        <f ca="1">IMAGE("https://m.media-amazon.com/images/I/61I8Jay1xOL._AC_UL320_.jpg")</f>
        <v>#NAME?</v>
      </c>
      <c r="I4391" t="s">
        <v>8361</v>
      </c>
      <c r="J4391">
        <v>12.99</v>
      </c>
      <c r="K4391" s="2" t="s">
        <v>12509</v>
      </c>
      <c r="L4391">
        <v>4.7</v>
      </c>
      <c r="M4391">
        <v>37544</v>
      </c>
      <c r="O4391" t="s">
        <v>26</v>
      </c>
      <c r="P4391" t="s">
        <v>39</v>
      </c>
      <c r="Q4391" t="s">
        <v>9859</v>
      </c>
    </row>
    <row r="4392" spans="1:17" ht="15.75" x14ac:dyDescent="0.25">
      <c r="A4392" s="3" t="str">
        <f>HYPERLINK("https://shop.sonapharmacy.com/products/apex%C2%AE-flex-tip-digital-thermometer", "https://shop.sonapharmacy.com/products/apex%C2%AE-flex-tip-digital-thermometer")</f>
        <v>https://shop.sonapharmacy.com/products/apex%C2%AE-flex-tip-digital-thermometer</v>
      </c>
      <c r="B4392" s="3" t="str">
        <f>HYPERLINK("https://shop.sonapharmacy.com/products/apex%c2%ae-flex-tip-digital-thermometer", "https://shop.sonapharmacy.com/products/apex%c2%ae-flex-tip-digital-thermometer")</f>
        <v>https://shop.sonapharmacy.com/products/apex%c2%ae-flex-tip-digital-thermometer</v>
      </c>
      <c r="C4392" t="s">
        <v>12225</v>
      </c>
      <c r="D4392" t="s">
        <v>12510</v>
      </c>
      <c r="E4392" s="3" t="str">
        <f>HYPERLINK("https://www.amazon.com/ADC-Digital-Thermometer-Backlight-418N/dp/B079V7C135/ref=sr_1_9?keywords=Apex+Flex-Tip+Digital+Thermometer&amp;qid=1695260025&amp;sr=8-9", "https://www.amazon.com/ADC-Digital-Thermometer-Backlight-418N/dp/B079V7C135/ref=sr_1_9?keywords=Apex+Flex-Tip+Digital+Thermometer&amp;qid=1695260025&amp;sr=8-9")</f>
        <v>https://www.amazon.com/ADC-Digital-Thermometer-Backlight-418N/dp/B079V7C135/ref=sr_1_9?keywords=Apex+Flex-Tip+Digital+Thermometer&amp;qid=1695260025&amp;sr=8-9</v>
      </c>
      <c r="F4392" t="s">
        <v>12511</v>
      </c>
      <c r="G4392" t="e">
        <f ca="1">IMAGE("https://shop.sonapharmacy.com/cdn/shop/products/0_8c214e25-c6ab-4a6b-824e-fa3f540999f6.jpg?v=1610853612")</f>
        <v>#NAME?</v>
      </c>
      <c r="H4392" t="e">
        <f ca="1">IMAGE("https://m.media-amazon.com/images/I/41N2zaSuAiL._AC_UL320_.jpg")</f>
        <v>#NAME?</v>
      </c>
      <c r="I4392" t="s">
        <v>12228</v>
      </c>
      <c r="J4392">
        <v>13.19</v>
      </c>
      <c r="K4392" s="2" t="s">
        <v>12512</v>
      </c>
      <c r="L4392">
        <v>4.5999999999999996</v>
      </c>
      <c r="M4392">
        <v>166</v>
      </c>
      <c r="O4392" t="s">
        <v>26</v>
      </c>
      <c r="P4392" t="s">
        <v>39</v>
      </c>
      <c r="Q4392" t="s">
        <v>12230</v>
      </c>
    </row>
    <row r="4393" spans="1:17" ht="15.75" x14ac:dyDescent="0.25">
      <c r="A4393" s="3" t="str">
        <f t="shared" ref="A4393:B4395" si="43">HYPERLINK("https://shop.sonapharmacy.com/products/prevagen-chewables-dietary-supplement-mixed-berry", "https://shop.sonapharmacy.com/products/prevagen-chewables-dietary-supplement-mixed-berry")</f>
        <v>https://shop.sonapharmacy.com/products/prevagen-chewables-dietary-supplement-mixed-berry</v>
      </c>
      <c r="B4393" s="3" t="str">
        <f t="shared" si="43"/>
        <v>https://shop.sonapharmacy.com/products/prevagen-chewables-dietary-supplement-mixed-berry</v>
      </c>
      <c r="C4393" t="s">
        <v>9410</v>
      </c>
      <c r="D4393" t="s">
        <v>12513</v>
      </c>
      <c r="E4393" s="3" t="str">
        <f>HYPERLINK("https://www.amazon.com/Prevagen-Improves-Memory-Apoaequorin-Supplement/dp/B01EZ64QJU/ref=sr_1_7?keywords=Prevagen+Chewables+Dietary+Supplement-+Mixed+Berry&amp;qid=1695260645&amp;sr=8-7", "https://www.amazon.com/Prevagen-Improves-Memory-Apoaequorin-Supplement/dp/B01EZ64QJU/ref=sr_1_7?keywords=Prevagen+Chewables+Dietary+Supplement-+Mixed+Berry&amp;qid=1695260645&amp;sr=8-7")</f>
        <v>https://www.amazon.com/Prevagen-Improves-Memory-Apoaequorin-Supplement/dp/B01EZ64QJU/ref=sr_1_7?keywords=Prevagen+Chewables+Dietary+Supplement-+Mixed+Berry&amp;qid=1695260645&amp;sr=8-7</v>
      </c>
      <c r="F4393" t="s">
        <v>12514</v>
      </c>
      <c r="G4393" t="e">
        <f ca="1">IMAGE("https://shop.sonapharmacy.com/cdn/shop/products/PrevagenChewablesDietarySupplement-MixedBerry.jpg?v=1594304231")</f>
        <v>#NAME?</v>
      </c>
      <c r="H4393" t="e">
        <f ca="1">IMAGE("https://m.media-amazon.com/images/I/71VyDap02iL._AC_UL320_.jpg")</f>
        <v>#NAME?</v>
      </c>
      <c r="I4393" t="s">
        <v>3535</v>
      </c>
      <c r="J4393">
        <v>51.95</v>
      </c>
      <c r="K4393" s="2" t="s">
        <v>12515</v>
      </c>
      <c r="L4393">
        <v>4.4000000000000004</v>
      </c>
      <c r="M4393">
        <v>1530</v>
      </c>
      <c r="O4393" t="s">
        <v>39</v>
      </c>
      <c r="P4393" t="s">
        <v>39</v>
      </c>
      <c r="Q4393" t="s">
        <v>9414</v>
      </c>
    </row>
    <row r="4394" spans="1:17" ht="15.75" x14ac:dyDescent="0.25">
      <c r="A4394" s="3" t="str">
        <f t="shared" si="43"/>
        <v>https://shop.sonapharmacy.com/products/prevagen-chewables-dietary-supplement-mixed-berry</v>
      </c>
      <c r="B4394" s="3" t="str">
        <f t="shared" si="43"/>
        <v>https://shop.sonapharmacy.com/products/prevagen-chewables-dietary-supplement-mixed-berry</v>
      </c>
      <c r="C4394" t="s">
        <v>9410</v>
      </c>
      <c r="D4394" t="s">
        <v>12516</v>
      </c>
      <c r="E4394" s="3" t="str">
        <f>HYPERLINK("https://www.amazon.com/Prevagen-Improves-Memory-Apoaequorin-Attractive/dp/B0BN6Z1PKN/ref=sr_1_9?keywords=Prevagen+Chewables+Dietary+Supplement-+Mixed+Berry&amp;qid=1695260645&amp;sr=8-9", "https://www.amazon.com/Prevagen-Improves-Memory-Apoaequorin-Attractive/dp/B0BN6Z1PKN/ref=sr_1_9?keywords=Prevagen+Chewables+Dietary+Supplement-+Mixed+Berry&amp;qid=1695260645&amp;sr=8-9")</f>
        <v>https://www.amazon.com/Prevagen-Improves-Memory-Apoaequorin-Attractive/dp/B0BN6Z1PKN/ref=sr_1_9?keywords=Prevagen+Chewables+Dietary+Supplement-+Mixed+Berry&amp;qid=1695260645&amp;sr=8-9</v>
      </c>
      <c r="F4394" t="s">
        <v>12517</v>
      </c>
      <c r="G4394" t="e">
        <f ca="1">IMAGE("https://shop.sonapharmacy.com/cdn/shop/products/PrevagenChewablesDietarySupplement-MixedBerry.jpg?v=1594304231")</f>
        <v>#NAME?</v>
      </c>
      <c r="H4394" t="e">
        <f ca="1">IMAGE("https://m.media-amazon.com/images/I/61vTs6wTZ-L._AC_UL320_.jpg")</f>
        <v>#NAME?</v>
      </c>
      <c r="I4394" t="s">
        <v>3535</v>
      </c>
      <c r="J4394">
        <v>51.95</v>
      </c>
      <c r="K4394" s="2" t="s">
        <v>12515</v>
      </c>
      <c r="L4394">
        <v>4.4000000000000004</v>
      </c>
      <c r="M4394">
        <v>157</v>
      </c>
      <c r="O4394" t="s">
        <v>39</v>
      </c>
      <c r="P4394" t="s">
        <v>39</v>
      </c>
      <c r="Q4394" t="s">
        <v>9414</v>
      </c>
    </row>
    <row r="4395" spans="1:17" ht="15.75" x14ac:dyDescent="0.25">
      <c r="A4395" s="3" t="str">
        <f t="shared" si="43"/>
        <v>https://shop.sonapharmacy.com/products/prevagen-chewables-dietary-supplement-mixed-berry</v>
      </c>
      <c r="B4395" s="3" t="str">
        <f t="shared" si="43"/>
        <v>https://shop.sonapharmacy.com/products/prevagen-chewables-dietary-supplement-mixed-berry</v>
      </c>
      <c r="C4395" t="s">
        <v>9410</v>
      </c>
      <c r="D4395" t="s">
        <v>12513</v>
      </c>
      <c r="E4395" s="3" t="str">
        <f>HYPERLINK("https://www.amazon.com/Prevagen-Extra-Strength-Chewables-Tablets/dp/B01M6CEO2G/ref=sr_1_1?keywords=Prevagen+Chewables+Dietary+Supplement-+Mixed+Berry&amp;qid=1695260645&amp;sr=8-1", "https://www.amazon.com/Prevagen-Extra-Strength-Chewables-Tablets/dp/B01M6CEO2G/ref=sr_1_1?keywords=Prevagen+Chewables+Dietary+Supplement-+Mixed+Berry&amp;qid=1695260645&amp;sr=8-1")</f>
        <v>https://www.amazon.com/Prevagen-Extra-Strength-Chewables-Tablets/dp/B01M6CEO2G/ref=sr_1_1?keywords=Prevagen+Chewables+Dietary+Supplement-+Mixed+Berry&amp;qid=1695260645&amp;sr=8-1</v>
      </c>
      <c r="F4395" t="s">
        <v>12518</v>
      </c>
      <c r="G4395" t="e">
        <f ca="1">IMAGE("https://shop.sonapharmacy.com/cdn/shop/products/PrevagenChewablesDietarySupplement-MixedBerry.jpg?v=1594304231")</f>
        <v>#NAME?</v>
      </c>
      <c r="H4395" t="e">
        <f ca="1">IMAGE("https://m.media-amazon.com/images/I/71VyDap02iL._AC_UL320_.jpg")</f>
        <v>#NAME?</v>
      </c>
      <c r="I4395" t="s">
        <v>3535</v>
      </c>
      <c r="J4395">
        <v>51.95</v>
      </c>
      <c r="K4395" s="2" t="s">
        <v>12515</v>
      </c>
      <c r="L4395">
        <v>4.3</v>
      </c>
      <c r="M4395">
        <v>4591</v>
      </c>
      <c r="O4395" t="s">
        <v>39</v>
      </c>
      <c r="P4395" t="s">
        <v>39</v>
      </c>
      <c r="Q4395" t="s">
        <v>9414</v>
      </c>
    </row>
    <row r="4396" spans="1:17" ht="15.75" x14ac:dyDescent="0.25">
      <c r="A4396" s="3" t="str">
        <f>HYPERLINK("https://shop.sonapharmacy.com/products/sunbum%C2%AE-after-sun-cool-down-lotion-3fl-oz", "https://shop.sonapharmacy.com/products/sunbum%C2%AE-after-sun-cool-down-lotion-3fl-oz")</f>
        <v>https://shop.sonapharmacy.com/products/sunbum%C2%AE-after-sun-cool-down-lotion-3fl-oz</v>
      </c>
      <c r="B4396" s="3" t="str">
        <f>HYPERLINK("https://shop.sonapharmacy.com/products/sunbum%c2%ae-after-sun-cool-down-lotion-3fl-oz", "https://shop.sonapharmacy.com/products/sunbum%c2%ae-after-sun-cool-down-lotion-3fl-oz")</f>
        <v>https://shop.sonapharmacy.com/products/sunbum%c2%ae-after-sun-cool-down-lotion-3fl-oz</v>
      </c>
      <c r="C4396" t="s">
        <v>10463</v>
      </c>
      <c r="D4396" t="s">
        <v>12519</v>
      </c>
      <c r="E4396" s="3" t="str">
        <f>HYPERLINK("https://www.amazon.com/Sun-Bum-Hydrating-Gel-Hypoallergenic/dp/B004YAUZQG/ref=sr_1_4?keywords=Sun+Bum%C2%AE+After+Sun+Cool+Down+Lotion&amp;qid=1695260733&amp;rdc=1&amp;sr=8-4", "https://www.amazon.com/Sun-Bum-Hydrating-Gel-Hypoallergenic/dp/B004YAUZQG/ref=sr_1_4?keywords=Sun+Bum%C2%AE+After+Sun+Cool+Down+Lotion&amp;qid=1695260733&amp;rdc=1&amp;sr=8-4")</f>
        <v>https://www.amazon.com/Sun-Bum-Hydrating-Gel-Hypoallergenic/dp/B004YAUZQG/ref=sr_1_4?keywords=Sun+Bum%C2%AE+After+Sun+Cool+Down+Lotion&amp;qid=1695260733&amp;rdc=1&amp;sr=8-4</v>
      </c>
      <c r="F4396" t="s">
        <v>12520</v>
      </c>
      <c r="G4396" t="e">
        <f ca="1">IMAGE("https://shop.sonapharmacy.com/cdn/shop/products/a5a83c38-73f5-476c-9809-d631e9fa1de9_1.becde44019f64609642f026cbe40180a.jpg?v=1611159956")</f>
        <v>#NAME?</v>
      </c>
      <c r="H4396" t="e">
        <f ca="1">IMAGE("https://m.media-amazon.com/images/I/61hNgVDVbEL._AC_UL320_.jpg")</f>
        <v>#NAME?</v>
      </c>
      <c r="I4396" t="s">
        <v>3392</v>
      </c>
      <c r="J4396">
        <v>11.49</v>
      </c>
      <c r="K4396" s="2" t="s">
        <v>12521</v>
      </c>
      <c r="L4396">
        <v>4.7</v>
      </c>
      <c r="M4396">
        <v>7583</v>
      </c>
      <c r="O4396" t="s">
        <v>26</v>
      </c>
      <c r="P4396" t="s">
        <v>39</v>
      </c>
      <c r="Q4396" t="s">
        <v>10467</v>
      </c>
    </row>
    <row r="4397" spans="1:17" ht="15.75" x14ac:dyDescent="0.25">
      <c r="A4397" s="3" t="str">
        <f>HYPERLINK("https://shop.sonapharmacy.com/products/sunbum%C2%AE-original-spf-50-sunscreen-spray-6oz", "https://shop.sonapharmacy.com/products/sunbum%C2%AE-original-spf-50-sunscreen-spray-6oz")</f>
        <v>https://shop.sonapharmacy.com/products/sunbum%C2%AE-original-spf-50-sunscreen-spray-6oz</v>
      </c>
      <c r="B4397" s="3" t="str">
        <f>HYPERLINK("https://shop.sonapharmacy.com/products/sunbum%c2%ae-original-spf-50-sunscreen-spray-6oz", "https://shop.sonapharmacy.com/products/sunbum%c2%ae-original-spf-50-sunscreen-spray-6oz")</f>
        <v>https://shop.sonapharmacy.com/products/sunbum%c2%ae-original-spf-50-sunscreen-spray-6oz</v>
      </c>
      <c r="C4397" t="s">
        <v>11222</v>
      </c>
      <c r="D4397" t="s">
        <v>12522</v>
      </c>
      <c r="E4397" s="3" t="str">
        <f>HYPERLINK("https://www.amazon.com/AVERT-Octinoxate-Oxybenzone-Lightweight-Non-sticky/dp/B0BCHGP9PC/ref=sr_1_9?keywords=Sun+Bum%C2%AE+Original+SPF+50+Sunscreen+Spray+6oz.&amp;qid=1695260740&amp;sr=8-9", "https://www.amazon.com/AVERT-Octinoxate-Oxybenzone-Lightweight-Non-sticky/dp/B0BCHGP9PC/ref=sr_1_9?keywords=Sun+Bum%C2%AE+Original+SPF+50+Sunscreen+Spray+6oz.&amp;qid=1695260740&amp;sr=8-9")</f>
        <v>https://www.amazon.com/AVERT-Octinoxate-Oxybenzone-Lightweight-Non-sticky/dp/B0BCHGP9PC/ref=sr_1_9?keywords=Sun+Bum%C2%AE+Original+SPF+50+Sunscreen+Spray+6oz.&amp;qid=1695260740&amp;sr=8-9</v>
      </c>
      <c r="F4397" t="s">
        <v>12523</v>
      </c>
      <c r="G4397" t="e">
        <f ca="1">IMAGE("https://shop.sonapharmacy.com/cdn/shop/products/71a9elrSXbL._AC_SL1500.jpg?v=1611869711")</f>
        <v>#NAME?</v>
      </c>
      <c r="H4397" t="e">
        <f ca="1">IMAGE("https://m.media-amazon.com/images/I/51kOzfVML5L._AC_UL320_.jpg")</f>
        <v>#NAME?</v>
      </c>
      <c r="I4397" t="s">
        <v>3394</v>
      </c>
      <c r="J4397">
        <v>22.99</v>
      </c>
      <c r="K4397" s="2" t="s">
        <v>12524</v>
      </c>
      <c r="L4397">
        <v>4.4000000000000004</v>
      </c>
      <c r="M4397">
        <v>73</v>
      </c>
      <c r="O4397" t="s">
        <v>26</v>
      </c>
      <c r="P4397" t="s">
        <v>39</v>
      </c>
      <c r="Q4397" t="s">
        <v>11226</v>
      </c>
    </row>
    <row r="4398" spans="1:17" ht="15.75" x14ac:dyDescent="0.25">
      <c r="A4398" s="3" t="str">
        <f>HYPERLINK("https://shop.sonapharmacy.com/products/attends%C2%AE-underwear-extra-absorbency-youth-small-20ct", "https://shop.sonapharmacy.com/products/attends%C2%AE-underwear-extra-absorbency-youth-small-20ct")</f>
        <v>https://shop.sonapharmacy.com/products/attends%C2%AE-underwear-extra-absorbency-youth-small-20ct</v>
      </c>
      <c r="B4398" s="3" t="str">
        <f>HYPERLINK("https://shop.sonapharmacy.com/products/attends%c2%ae-underwear-extra-absorbency-youth-small-20ct", "https://shop.sonapharmacy.com/products/attends%c2%ae-underwear-extra-absorbency-youth-small-20ct")</f>
        <v>https://shop.sonapharmacy.com/products/attends%c2%ae-underwear-extra-absorbency-youth-small-20ct</v>
      </c>
      <c r="C4398" t="s">
        <v>9255</v>
      </c>
      <c r="D4398" t="s">
        <v>12525</v>
      </c>
      <c r="E4398" s="3" t="str">
        <f>HYPERLINK("https://www.amazon.com/48APP0710PK-Absorbency-Pull-Protective-Underwear/dp/B014I0UA3E/ref=sr_1_4?keywords=Attends+Underwear+Extra+Absorbency+Youth%2FSmall+20ct.&amp;qid=1695260028&amp;sr=8-4", "https://www.amazon.com/48APP0710PK-Absorbency-Pull-Protective-Underwear/dp/B014I0UA3E/ref=sr_1_4?keywords=Attends+Underwear+Extra+Absorbency+Youth%2FSmall+20ct.&amp;qid=1695260028&amp;sr=8-4")</f>
        <v>https://www.amazon.com/48APP0710PK-Absorbency-Pull-Protective-Underwear/dp/B014I0UA3E/ref=sr_1_4?keywords=Attends+Underwear+Extra+Absorbency+Youth%2FSmall+20ct.&amp;qid=1695260028&amp;sr=8-4</v>
      </c>
      <c r="F4398" t="s">
        <v>12526</v>
      </c>
      <c r="G4398" t="e">
        <f ca="1">IMAGE("https://shop.sonapharmacy.com/cdn/shop/products/615UQMYktPL._AC_SL1000.jpg?v=1611077191")</f>
        <v>#NAME?</v>
      </c>
      <c r="H4398" t="e">
        <f ca="1">IMAGE("https://m.media-amazon.com/images/I/51+5JAUqMTL._AC_UL320_.jpg")</f>
        <v>#NAME?</v>
      </c>
      <c r="I4398" t="s">
        <v>9258</v>
      </c>
      <c r="J4398">
        <v>17.23</v>
      </c>
      <c r="K4398" s="2" t="s">
        <v>12527</v>
      </c>
      <c r="L4398">
        <v>5</v>
      </c>
      <c r="M4398">
        <v>1</v>
      </c>
      <c r="O4398" t="s">
        <v>26</v>
      </c>
      <c r="P4398" t="s">
        <v>39</v>
      </c>
      <c r="Q4398" t="s">
        <v>9259</v>
      </c>
    </row>
    <row r="4399" spans="1:17" ht="15.75" x14ac:dyDescent="0.25">
      <c r="A4399" s="3" t="str">
        <f>HYPERLINK("https://shop.sonapharmacy.com/products/refresh%C2%AE-plus%C2%AE-preservative-free-lubricant-eye-drops", "https://shop.sonapharmacy.com/products/refresh%C2%AE-plus%C2%AE-preservative-free-lubricant-eye-drops")</f>
        <v>https://shop.sonapharmacy.com/products/refresh%C2%AE-plus%C2%AE-preservative-free-lubricant-eye-drops</v>
      </c>
      <c r="B4399" s="3" t="str">
        <f>HYPERLINK("https://shop.sonapharmacy.com/products/refresh%c2%ae-plus%c2%ae-preservative-free-lubricant-eye-drops", "https://shop.sonapharmacy.com/products/refresh%c2%ae-plus%c2%ae-preservative-free-lubricant-eye-drops")</f>
        <v>https://shop.sonapharmacy.com/products/refresh%c2%ae-plus%c2%ae-preservative-free-lubricant-eye-drops</v>
      </c>
      <c r="C4399" t="s">
        <v>12528</v>
      </c>
      <c r="D4399" t="s">
        <v>12529</v>
      </c>
      <c r="E4399" s="3" t="str">
        <f>HYPERLINK("https://www.amazon.com/Refresh-Classic-Lubricant-Single-Use-Containers/dp/B000R2VCIA/ref=sr_1_4?keywords=Refresh%C2%AE+Plus%C2%AE+Preservative+Free+Lubricant+Eye+Drops&amp;qid=1695260668&amp;sr=8-4", "https://www.amazon.com/Refresh-Classic-Lubricant-Single-Use-Containers/dp/B000R2VCIA/ref=sr_1_4?keywords=Refresh%C2%AE+Plus%C2%AE+Preservative+Free+Lubricant+Eye+Drops&amp;qid=1695260668&amp;sr=8-4")</f>
        <v>https://www.amazon.com/Refresh-Classic-Lubricant-Single-Use-Containers/dp/B000R2VCIA/ref=sr_1_4?keywords=Refresh%C2%AE+Plus%C2%AE+Preservative+Free+Lubricant+Eye+Drops&amp;qid=1695260668&amp;sr=8-4</v>
      </c>
      <c r="F4399" t="s">
        <v>12530</v>
      </c>
      <c r="G4399" t="e">
        <f ca="1">IMAGE("https://shop.sonapharmacy.com/cdn/shop/products/refresh-plus-hero-packaging.png?v=1608823477")</f>
        <v>#NAME?</v>
      </c>
      <c r="H4399" t="e">
        <f ca="1">IMAGE("https://m.media-amazon.com/images/I/61AgOC8eTnL._AC_UL320_.jpg")</f>
        <v>#NAME?</v>
      </c>
      <c r="I4399" t="s">
        <v>10608</v>
      </c>
      <c r="J4399">
        <v>19.489999999999998</v>
      </c>
      <c r="K4399" s="2" t="s">
        <v>12531</v>
      </c>
      <c r="L4399">
        <v>4.7</v>
      </c>
      <c r="M4399">
        <v>906</v>
      </c>
      <c r="O4399" t="s">
        <v>26</v>
      </c>
      <c r="P4399" t="s">
        <v>39</v>
      </c>
      <c r="Q4399" t="s">
        <v>12532</v>
      </c>
    </row>
    <row r="4400" spans="1:17" ht="15.75" x14ac:dyDescent="0.25">
      <c r="A4400" s="3" t="str">
        <f>HYPERLINK("https://shop.sonapharmacy.com/products/omron-3-series%C2%AE-upper-arm-blood-pressure-monitor", "https://shop.sonapharmacy.com/products/omron-3-series%C2%AE-upper-arm-blood-pressure-monitor")</f>
        <v>https://shop.sonapharmacy.com/products/omron-3-series%C2%AE-upper-arm-blood-pressure-monitor</v>
      </c>
      <c r="B4400" s="3" t="str">
        <f>HYPERLINK("https://shop.sonapharmacy.com/products/omron-3-series%c2%ae-upper-arm-blood-pressure-monitor", "https://shop.sonapharmacy.com/products/omron-3-series%c2%ae-upper-arm-blood-pressure-monitor")</f>
        <v>https://shop.sonapharmacy.com/products/omron-3-series%c2%ae-upper-arm-blood-pressure-monitor</v>
      </c>
      <c r="C4400" t="s">
        <v>11744</v>
      </c>
      <c r="D4400" t="s">
        <v>12533</v>
      </c>
      <c r="E4400" s="3" t="str">
        <f>HYPERLINK("https://www.amazon.com/Pressure-Monitor-Bluetooth-Storesup-Readings/dp/B07RX8WYYJ/ref=sr_1_9?keywords=Omron+3+Series%C2%AE+Upper+Arm+Blood+Pressure+Monitor&amp;qid=1695260613&amp;sr=8-9", "https://www.amazon.com/Pressure-Monitor-Bluetooth-Storesup-Readings/dp/B07RX8WYYJ/ref=sr_1_9?keywords=Omron+3+Series%C2%AE+Upper+Arm+Blood+Pressure+Monitor&amp;qid=1695260613&amp;sr=8-9")</f>
        <v>https://www.amazon.com/Pressure-Monitor-Bluetooth-Storesup-Readings/dp/B07RX8WYYJ/ref=sr_1_9?keywords=Omron+3+Series%C2%AE+Upper+Arm+Blood+Pressure+Monitor&amp;qid=1695260613&amp;sr=8-9</v>
      </c>
      <c r="F4400" t="s">
        <v>12534</v>
      </c>
      <c r="G4400" t="e">
        <f ca="1">IMAGE("https://shop.sonapharmacy.com/cdn/shop/products/Omron3Series_UpperArmBloodPressureMonitor.png?v=1594217120")</f>
        <v>#NAME?</v>
      </c>
      <c r="H4400" t="e">
        <f ca="1">IMAGE("https://m.media-amazon.com/images/I/51baBr4n85S._AC_UL320_.jpg")</f>
        <v>#NAME?</v>
      </c>
      <c r="I4400" t="s">
        <v>11747</v>
      </c>
      <c r="J4400">
        <v>78</v>
      </c>
      <c r="K4400" s="2" t="s">
        <v>12531</v>
      </c>
      <c r="L4400">
        <v>4.5</v>
      </c>
      <c r="M4400">
        <v>4105</v>
      </c>
      <c r="O4400" t="s">
        <v>26</v>
      </c>
      <c r="P4400" t="s">
        <v>39</v>
      </c>
      <c r="Q4400" t="s">
        <v>11749</v>
      </c>
    </row>
    <row r="4401" spans="1:17" ht="15.75" x14ac:dyDescent="0.25">
      <c r="A4401" s="3" t="str">
        <f>HYPERLINK("https://shop.sonapharmacy.com/products/ricola-lemon-mint-cough-drops", "https://shop.sonapharmacy.com/products/ricola-lemon-mint-cough-drops")</f>
        <v>https://shop.sonapharmacy.com/products/ricola-lemon-mint-cough-drops</v>
      </c>
      <c r="B4401" s="3" t="str">
        <f>HYPERLINK("https://shop.sonapharmacy.com/products/ricola-lemon-mint-cough-drops", "https://shop.sonapharmacy.com/products/ricola-lemon-mint-cough-drops")</f>
        <v>https://shop.sonapharmacy.com/products/ricola-lemon-mint-cough-drops</v>
      </c>
      <c r="C4401" t="s">
        <v>8276</v>
      </c>
      <c r="D4401" t="s">
        <v>12535</v>
      </c>
      <c r="E4401" s="3" t="str">
        <f>HYPERLINK("https://www.amazon.com/Cough-Drops-Lemon-Ricola-Lozenge/dp/B001P6RIAS/ref=sr_1_10?keywords=Ricola+Lemon+Mint+Cough+Drops&amp;qid=1695260692&amp;sr=8-10", "https://www.amazon.com/Cough-Drops-Lemon-Ricola-Lozenge/dp/B001P6RIAS/ref=sr_1_10?keywords=Ricola+Lemon+Mint+Cough+Drops&amp;qid=1695260692&amp;sr=8-10")</f>
        <v>https://www.amazon.com/Cough-Drops-Lemon-Ricola-Lozenge/dp/B001P6RIAS/ref=sr_1_10?keywords=Ricola+Lemon+Mint+Cough+Drops&amp;qid=1695260692&amp;sr=8-10</v>
      </c>
      <c r="F4401" t="s">
        <v>12536</v>
      </c>
      <c r="G4401" t="e">
        <f ca="1">IMAGE("https://shop.sonapharmacy.com/cdn/shop/products/lemonmint_bag_24.png?v=1608220217")</f>
        <v>#NAME?</v>
      </c>
      <c r="H4401" t="e">
        <f ca="1">IMAGE("https://m.media-amazon.com/images/I/71teLIadPhL._AC_UL320_.jpg")</f>
        <v>#NAME?</v>
      </c>
      <c r="I4401" t="s">
        <v>8279</v>
      </c>
      <c r="J4401">
        <v>5.49</v>
      </c>
      <c r="K4401" s="2" t="s">
        <v>12537</v>
      </c>
      <c r="L4401">
        <v>4.5999999999999996</v>
      </c>
      <c r="M4401">
        <v>18</v>
      </c>
      <c r="O4401" t="s">
        <v>26</v>
      </c>
      <c r="P4401" t="s">
        <v>39</v>
      </c>
      <c r="Q4401" t="s">
        <v>8281</v>
      </c>
    </row>
    <row r="4402" spans="1:17" ht="15.75" x14ac:dyDescent="0.25">
      <c r="A4402"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B4402"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C4402" t="s">
        <v>9351</v>
      </c>
      <c r="D4402" t="s">
        <v>12538</v>
      </c>
      <c r="E4402" s="3" t="str">
        <f>HYPERLINK("https://www.amazon.com/Always-Discreet-Boutique-Incontinence-Underwear/dp/B07FGL6VM2/ref=sr_1_3?keywords=Always+Discreet+Maximum+Absorbency+XL+Underwear+for+Women+15ct.&amp;qid=1695260003&amp;sr=8-3", "https://www.amazon.com/Always-Discreet-Boutique-Incontinence-Underwear/dp/B07FGL6VM2/ref=sr_1_3?keywords=Always+Discreet+Maximum+Absorbency+XL+Underwear+for+Women+15ct.&amp;qid=1695260003&amp;sr=8-3")</f>
        <v>https://www.amazon.com/Always-Discreet-Boutique-Incontinence-Underwear/dp/B07FGL6VM2/ref=sr_1_3?keywords=Always+Discreet+Maximum+Absorbency+XL+Underwear+for+Women+15ct.&amp;qid=1695260003&amp;sr=8-3</v>
      </c>
      <c r="F4402" t="s">
        <v>12539</v>
      </c>
      <c r="G4402" t="e">
        <f ca="1">IMAGE("https://shop.sonapharmacy.com/cdn/shop/products/338639f2-0083-468e-b2eb-218450a0aa4f_1.a078bb5a3baa7563816301e343b7d24b.jpg?v=1611074803")</f>
        <v>#NAME?</v>
      </c>
      <c r="H4402" t="e">
        <f ca="1">IMAGE("https://m.media-amazon.com/images/I/71Aun1dRU+L._AC_UL320_.jpg")</f>
        <v>#NAME?</v>
      </c>
      <c r="I4402" t="s">
        <v>3419</v>
      </c>
      <c r="J4402">
        <v>21.47</v>
      </c>
      <c r="K4402" s="2" t="s">
        <v>12540</v>
      </c>
      <c r="L4402">
        <v>4.5</v>
      </c>
      <c r="M4402">
        <v>512</v>
      </c>
      <c r="O4402" t="s">
        <v>26</v>
      </c>
      <c r="P4402" t="s">
        <v>39</v>
      </c>
      <c r="Q4402" t="s">
        <v>9355</v>
      </c>
    </row>
    <row r="4403" spans="1:17" ht="15.75" x14ac:dyDescent="0.25">
      <c r="A4403" s="3" t="str">
        <f>HYPERLINK("https://shop.sonapharmacy.com/products/quantum-health-elderberry-immune-defense-capsules", "https://shop.sonapharmacy.com/products/quantum-health-elderberry-immune-defense-capsules")</f>
        <v>https://shop.sonapharmacy.com/products/quantum-health-elderberry-immune-defense-capsules</v>
      </c>
      <c r="B4403" s="3" t="str">
        <f>HYPERLINK("https://shop.sonapharmacy.com/products/quantum-health-elderberry-immune-defense-capsules", "https://shop.sonapharmacy.com/products/quantum-health-elderberry-immune-defense-capsules")</f>
        <v>https://shop.sonapharmacy.com/products/quantum-health-elderberry-immune-defense-capsules</v>
      </c>
      <c r="C4403" t="s">
        <v>12541</v>
      </c>
      <c r="D4403" t="s">
        <v>12542</v>
      </c>
      <c r="E4403" s="3" t="str">
        <f>HYPERLINK("https://www.amazon.com/Quantum-Elderberry-Immune-Defense-Extract/dp/B00M8RPGKM/ref=sr_1_1?keywords=Quantum+Health%C2%AE+Elderberry+Immune+Defense+Capsules+60ct.&amp;qid=1695260674&amp;sr=8-1", "https://www.amazon.com/Quantum-Elderberry-Immune-Defense-Extract/dp/B00M8RPGKM/ref=sr_1_1?keywords=Quantum+Health%C2%AE+Elderberry+Immune+Defense+Capsules+60ct.&amp;qid=1695260674&amp;sr=8-1")</f>
        <v>https://www.amazon.com/Quantum-Elderberry-Immune-Defense-Extract/dp/B00M8RPGKM/ref=sr_1_1?keywords=Quantum+Health%C2%AE+Elderberry+Immune+Defense+Capsules+60ct.&amp;qid=1695260674&amp;sr=8-1</v>
      </c>
      <c r="F4403" t="s">
        <v>12543</v>
      </c>
      <c r="G4403" t="e">
        <f ca="1">IMAGE("https://shop.sonapharmacy.com/cdn/shop/products/Untitled-90.jpg?v=1592927808")</f>
        <v>#NAME?</v>
      </c>
      <c r="H4403" t="e">
        <f ca="1">IMAGE("https://m.media-amazon.com/images/I/71pZNxfC2bL._AC_UL320_.jpg")</f>
        <v>#NAME?</v>
      </c>
      <c r="I4403" t="s">
        <v>11610</v>
      </c>
      <c r="J4403">
        <v>15.58</v>
      </c>
      <c r="K4403" s="2" t="s">
        <v>12544</v>
      </c>
      <c r="L4403">
        <v>4.7</v>
      </c>
      <c r="M4403">
        <v>121</v>
      </c>
      <c r="O4403" t="s">
        <v>26</v>
      </c>
      <c r="P4403" t="s">
        <v>39</v>
      </c>
      <c r="Q4403" t="s">
        <v>12545</v>
      </c>
    </row>
    <row r="4404" spans="1:17" ht="15.75" x14ac:dyDescent="0.25">
      <c r="A4404" s="3" t="str">
        <f>HYPERLINK("https://shop.sonapharmacy.com/products/areds-lutein-formula-soft-gels", "https://shop.sonapharmacy.com/products/areds-lutein-formula-soft-gels")</f>
        <v>https://shop.sonapharmacy.com/products/areds-lutein-formula-soft-gels</v>
      </c>
      <c r="B4404" s="3" t="str">
        <f>HYPERLINK("https://shop.sonapharmacy.com/products/areds-lutein-formula-soft-gels", "https://shop.sonapharmacy.com/products/areds-lutein-formula-soft-gels")</f>
        <v>https://shop.sonapharmacy.com/products/areds-lutein-formula-soft-gels</v>
      </c>
      <c r="C4404" t="s">
        <v>11520</v>
      </c>
      <c r="D4404" t="s">
        <v>12396</v>
      </c>
      <c r="E4404" s="3" t="str">
        <f>HYPERLINK("https://www.amazon.com/PreserVision-Vitamins-Zeaxanthin-Vitamin-Softgels/dp/B0BW1KC93N/ref=sr_1_6?keywords=PreserVision+AREDS+Lutein+Formula+Soft+Gels&amp;qid=1695260648&amp;sr=8-6", "https://www.amazon.com/PreserVision-Vitamins-Zeaxanthin-Vitamin-Softgels/dp/B0BW1KC93N/ref=sr_1_6?keywords=PreserVision+AREDS+Lutein+Formula+Soft+Gels&amp;qid=1695260648&amp;sr=8-6")</f>
        <v>https://www.amazon.com/PreserVision-Vitamins-Zeaxanthin-Vitamin-Softgels/dp/B0BW1KC93N/ref=sr_1_6?keywords=PreserVision+AREDS+Lutein+Formula+Soft+Gels&amp;qid=1695260648&amp;sr=8-6</v>
      </c>
      <c r="F4404" t="s">
        <v>12397</v>
      </c>
      <c r="G4404" t="e">
        <f ca="1">IMAGE("https://shop.sonapharmacy.com/cdn/shop/products/PreserVisionAREDSLuteinFormulaSoftGels.jpg?v=1594831159")</f>
        <v>#NAME?</v>
      </c>
      <c r="H4404" t="e">
        <f ca="1">IMAGE("https://m.media-amazon.com/images/I/81r5LyROG2L._AC_UL320_.jpg")</f>
        <v>#NAME?</v>
      </c>
      <c r="I4404" t="s">
        <v>11521</v>
      </c>
      <c r="J4404">
        <v>29.49</v>
      </c>
      <c r="K4404" s="2" t="s">
        <v>12546</v>
      </c>
      <c r="L4404">
        <v>4.8</v>
      </c>
      <c r="M4404">
        <v>111</v>
      </c>
      <c r="O4404" t="s">
        <v>26</v>
      </c>
      <c r="P4404" t="s">
        <v>39</v>
      </c>
      <c r="Q4404" t="s">
        <v>11523</v>
      </c>
    </row>
    <row r="4405" spans="1:17" ht="15.75" x14ac:dyDescent="0.25">
      <c r="A4405" s="3" t="str">
        <f>HYPERLINK("https://shop.sonapharmacy.com/products/apex%C2%AE-weekly-twice-a-day-pill-organizer", "https://shop.sonapharmacy.com/products/apex%C2%AE-weekly-twice-a-day-pill-organizer")</f>
        <v>https://shop.sonapharmacy.com/products/apex%C2%AE-weekly-twice-a-day-pill-organizer</v>
      </c>
      <c r="B4405" s="3" t="str">
        <f>HYPERLINK("https://shop.sonapharmacy.com/products/apex%c2%ae-weekly-twice-a-day-pill-organizer", "https://shop.sonapharmacy.com/products/apex%c2%ae-weekly-twice-a-day-pill-organizer")</f>
        <v>https://shop.sonapharmacy.com/products/apex%c2%ae-weekly-twice-a-day-pill-organizer</v>
      </c>
      <c r="C4405" t="s">
        <v>9754</v>
      </c>
      <c r="D4405" t="s">
        <v>9384</v>
      </c>
      <c r="E4405" s="3" t="str">
        <f>HYPERLINK("https://www.amazon.com/Apex-Mediplanner-Color-Coded-See-Through-Medication/dp/B000LR9ZNK/ref=sr_1_6?keywords=Apex+Weekly+Twice-A-Day+Pill+Organizer&amp;qid=1695260022&amp;sr=8-6", "https://www.amazon.com/Apex-Mediplanner-Color-Coded-See-Through-Medication/dp/B000LR9ZNK/ref=sr_1_6?keywords=Apex+Weekly+Twice-A-Day+Pill+Organizer&amp;qid=1695260022&amp;sr=8-6")</f>
        <v>https://www.amazon.com/Apex-Mediplanner-Color-Coded-See-Through-Medication/dp/B000LR9ZNK/ref=sr_1_6?keywords=Apex+Weekly+Twice-A-Day+Pill+Organizer&amp;qid=1695260022&amp;sr=8-6</v>
      </c>
      <c r="F4405" t="s">
        <v>9385</v>
      </c>
      <c r="G4405" t="e">
        <f ca="1">IMAGE("https://shop.sonapharmacy.com/cdn/shop/products/81bW58qDenL._AC_SL1500.jpg?v=1609957632")</f>
        <v>#NAME?</v>
      </c>
      <c r="H4405" t="e">
        <f ca="1">IMAGE("https://m.media-amazon.com/images/I/61d8ACzFhHL._AC_UL320_.jpg")</f>
        <v>#NAME?</v>
      </c>
      <c r="I4405" t="s">
        <v>8983</v>
      </c>
      <c r="J4405">
        <v>7.99</v>
      </c>
      <c r="K4405" s="2" t="s">
        <v>3632</v>
      </c>
      <c r="L4405">
        <v>4.4000000000000004</v>
      </c>
      <c r="M4405">
        <v>6425</v>
      </c>
      <c r="O4405" t="s">
        <v>26</v>
      </c>
      <c r="P4405" t="s">
        <v>39</v>
      </c>
      <c r="Q4405" t="s">
        <v>9758</v>
      </c>
    </row>
    <row r="4406" spans="1:17" ht="15.75" x14ac:dyDescent="0.25">
      <c r="A4406" s="3" t="str">
        <f>HYPERLINK("https://shop.sonapharmacy.com/products/mueller-kinesiology-tape%C2%AE-i-strips-pre-cut-tape-roll", "https://shop.sonapharmacy.com/products/mueller-kinesiology-tape%C2%AE-i-strips-pre-cut-tape-roll")</f>
        <v>https://shop.sonapharmacy.com/products/mueller-kinesiology-tape%C2%AE-i-strips-pre-cut-tape-roll</v>
      </c>
      <c r="B4406" s="3" t="str">
        <f>HYPERLINK("https://shop.sonapharmacy.com/products/mueller-kinesiology-tape%c2%ae-i-strips-pre-cut-tape-roll", "https://shop.sonapharmacy.com/products/mueller-kinesiology-tape%c2%ae-i-strips-pre-cut-tape-roll")</f>
        <v>https://shop.sonapharmacy.com/products/mueller-kinesiology-tape%c2%ae-i-strips-pre-cut-tape-roll</v>
      </c>
      <c r="C4406" t="s">
        <v>11477</v>
      </c>
      <c r="D4406" t="s">
        <v>12547</v>
      </c>
      <c r="E4406" s="3" t="str">
        <f>HYPERLINK("https://www.amazon.com/Kinesiology-Rolls-Athletic-Joints-Physical-Fasciitis-Resistant-60/dp/B0899Q3QSP/ref=sr_1_6?keywords=Mueller+Kinesiology+Tape%C2%AE+I-Strips+Pre-Cut+Tape+Roll&amp;qid=1695260503&amp;sr=8-6", "https://www.amazon.com/Kinesiology-Rolls-Athletic-Joints-Physical-Fasciitis-Resistant-60/dp/B0899Q3QSP/ref=sr_1_6?keywords=Mueller+Kinesiology+Tape%C2%AE+I-Strips+Pre-Cut+Tape+Roll&amp;qid=1695260503&amp;sr=8-6")</f>
        <v>https://www.amazon.com/Kinesiology-Rolls-Athletic-Joints-Physical-Fasciitis-Resistant-60/dp/B0899Q3QSP/ref=sr_1_6?keywords=Mueller+Kinesiology+Tape%C2%AE+I-Strips+Pre-Cut+Tape+Roll&amp;qid=1695260503&amp;sr=8-6</v>
      </c>
      <c r="F4406" t="s">
        <v>12548</v>
      </c>
      <c r="G4406" t="e">
        <f ca="1">IMAGE("https://shop.sonapharmacy.com/cdn/shop/products/black_fd3353bd-3884-4f87-90b8-1327b7073970.jpg?v=1609944494")</f>
        <v>#NAME?</v>
      </c>
      <c r="H4406" t="e">
        <f ca="1">IMAGE("https://m.media-amazon.com/images/I/71najbdPMYL._AC_UL320_.jpg")</f>
        <v>#NAME?</v>
      </c>
      <c r="I4406" t="s">
        <v>8096</v>
      </c>
      <c r="J4406">
        <v>12.99</v>
      </c>
      <c r="K4406" s="2" t="s">
        <v>12549</v>
      </c>
      <c r="L4406">
        <v>4.5</v>
      </c>
      <c r="M4406">
        <v>586</v>
      </c>
      <c r="O4406" t="s">
        <v>26</v>
      </c>
      <c r="P4406" t="s">
        <v>39</v>
      </c>
      <c r="Q4406" t="s">
        <v>11481</v>
      </c>
    </row>
    <row r="4407" spans="1:17" ht="15.75" x14ac:dyDescent="0.25">
      <c r="A4407" s="3" t="str">
        <f>HYPERLINK("https://shop.sonapharmacy.com/products/emetrol%C2%AE-for-nausea-upset-stomach-cherry-liquid-4fl-oz", "https://shop.sonapharmacy.com/products/emetrol%C2%AE-for-nausea-upset-stomach-cherry-liquid-4fl-oz")</f>
        <v>https://shop.sonapharmacy.com/products/emetrol%C2%AE-for-nausea-upset-stomach-cherry-liquid-4fl-oz</v>
      </c>
      <c r="B4407" s="3" t="str">
        <f>HYPERLINK("https://shop.sonapharmacy.com/products/emetrol%c2%ae-for-nausea-upset-stomach-cherry-liquid-4fl-oz", "https://shop.sonapharmacy.com/products/emetrol%c2%ae-for-nausea-upset-stomach-cherry-liquid-4fl-oz")</f>
        <v>https://shop.sonapharmacy.com/products/emetrol%c2%ae-for-nausea-upset-stomach-cherry-liquid-4fl-oz</v>
      </c>
      <c r="C4407" t="s">
        <v>12550</v>
      </c>
      <c r="D4407" t="s">
        <v>12551</v>
      </c>
      <c r="E4407" s="3" t="str">
        <f>HYPERLINK("https://www.amazon.com/Emetrol-Childrens-Non-Drowsy-Nausea-Relief/dp/B0C1TB2CXM/ref=sr_1_2?keywords=Emetrol%C2%AE+For+Nausea+%26+Upset+Stomach+Cherry+Liquid+4fl.+oz.&amp;qid=1695260273&amp;sr=8-2", "https://www.amazon.com/Emetrol-Childrens-Non-Drowsy-Nausea-Relief/dp/B0C1TB2CXM/ref=sr_1_2?keywords=Emetrol%C2%AE+For+Nausea+%26+Upset+Stomach+Cherry+Liquid+4fl.+oz.&amp;qid=1695260273&amp;sr=8-2")</f>
        <v>https://www.amazon.com/Emetrol-Childrens-Non-Drowsy-Nausea-Relief/dp/B0C1TB2CXM/ref=sr_1_2?keywords=Emetrol%C2%AE+For+Nausea+%26+Upset+Stomach+Cherry+Liquid+4fl.+oz.&amp;qid=1695260273&amp;sr=8-2</v>
      </c>
      <c r="F4407" t="s">
        <v>12552</v>
      </c>
      <c r="G4407" t="e">
        <f ca="1">IMAGE("https://shop.sonapharmacy.com/cdn/shop/products/71yQ1gXJq4L._AC_SL1500.jpg?v=1610905235")</f>
        <v>#NAME?</v>
      </c>
      <c r="H4407" t="e">
        <f ca="1">IMAGE("https://m.media-amazon.com/images/I/81TrGWTPh7L._AC_UL320_.jpg")</f>
        <v>#NAME?</v>
      </c>
      <c r="I4407" t="s">
        <v>8189</v>
      </c>
      <c r="J4407">
        <v>14.98</v>
      </c>
      <c r="K4407" s="2" t="s">
        <v>12553</v>
      </c>
      <c r="L4407">
        <v>4.8</v>
      </c>
      <c r="M4407">
        <v>8</v>
      </c>
      <c r="O4407" t="s">
        <v>26</v>
      </c>
      <c r="P4407" t="s">
        <v>39</v>
      </c>
      <c r="Q4407" t="s">
        <v>12554</v>
      </c>
    </row>
    <row r="4408" spans="1:17" ht="15.75" x14ac:dyDescent="0.25">
      <c r="A4408" s="3" t="str">
        <f>HYPERLINK("https://shop.sonapharmacy.com/products/sona-methyl-b-complex", "https://shop.sonapharmacy.com/products/sona-methyl-b-complex")</f>
        <v>https://shop.sonapharmacy.com/products/sona-methyl-b-complex</v>
      </c>
      <c r="B4408" s="3" t="str">
        <f>HYPERLINK("https://shop.sonapharmacy.com/products/sona-methyl-b-complex", "https://shop.sonapharmacy.com/products/sona-methyl-b-complex")</f>
        <v>https://shop.sonapharmacy.com/products/sona-methyl-b-complex</v>
      </c>
      <c r="C4408" t="s">
        <v>10084</v>
      </c>
      <c r="D4408" t="s">
        <v>12555</v>
      </c>
      <c r="E4408" s="3" t="str">
        <f>HYPERLINK("https://www.amazon.com/Methyl-Complete-Methylation-Methylcobalamin-Pharmaceutical/dp/B00Y3QD8AG/ref=sr_1_3?keywords=Sona+Methyl+B+Complex&amp;qid=1695260722&amp;sr=8-3", "https://www.amazon.com/Methyl-Complete-Methylation-Methylcobalamin-Pharmaceutical/dp/B00Y3QD8AG/ref=sr_1_3?keywords=Sona+Methyl+B+Complex&amp;qid=1695260722&amp;sr=8-3")</f>
        <v>https://www.amazon.com/Methyl-Complete-Methylation-Methylcobalamin-Pharmaceutical/dp/B00Y3QD8AG/ref=sr_1_3?keywords=Sona+Methyl+B+Complex&amp;qid=1695260722&amp;sr=8-3</v>
      </c>
      <c r="F4408" t="s">
        <v>12556</v>
      </c>
      <c r="G4408" t="e">
        <f ca="1">IMAGE("https://shop.sonapharmacy.com/cdn/shop/files/MethylBComplex_SonaShop.jpg?v=1692302519")</f>
        <v>#NAME?</v>
      </c>
      <c r="H4408" t="e">
        <f ca="1">IMAGE("https://m.media-amazon.com/images/I/61pu2IF8J6L._AC_UL320_.jpg")</f>
        <v>#NAME?</v>
      </c>
      <c r="I4408" t="s">
        <v>10087</v>
      </c>
      <c r="J4408">
        <v>45.47</v>
      </c>
      <c r="K4408" s="2" t="s">
        <v>12557</v>
      </c>
      <c r="L4408">
        <v>4.5999999999999996</v>
      </c>
      <c r="M4408">
        <v>1590</v>
      </c>
      <c r="O4408" t="s">
        <v>26</v>
      </c>
      <c r="P4408" t="s">
        <v>39</v>
      </c>
      <c r="Q4408" t="s">
        <v>10089</v>
      </c>
    </row>
    <row r="4409" spans="1:17" ht="15.75" x14ac:dyDescent="0.25">
      <c r="A4409" s="3" t="str">
        <f>HYPERLINK("https://shop.sonapharmacy.com/products/bayer-back-body-extra-strength-500-mg-fast-relief-caplets", "https://shop.sonapharmacy.com/products/bayer-back-body-extra-strength-500-mg-fast-relief-caplets")</f>
        <v>https://shop.sonapharmacy.com/products/bayer-back-body-extra-strength-500-mg-fast-relief-caplets</v>
      </c>
      <c r="B4409" s="3" t="str">
        <f>HYPERLINK("https://shop.sonapharmacy.com/products/bayer-back-body-extra-strength-500-mg-fast-relief-caplets", "https://shop.sonapharmacy.com/products/bayer-back-body-extra-strength-500-mg-fast-relief-caplets")</f>
        <v>https://shop.sonapharmacy.com/products/bayer-back-body-extra-strength-500-mg-fast-relief-caplets</v>
      </c>
      <c r="C4409" t="s">
        <v>11315</v>
      </c>
      <c r="D4409" t="s">
        <v>12558</v>
      </c>
      <c r="E4409" s="3" t="str">
        <f>HYPERLINK("https://www.amazon.com/Bayer-Aspirin-Coated-Tablets-count/dp/B00L45KPG4/ref=sr_1_1?keywords=Bayer%C2%AE+Back+%26+Body+Extra+Strength+500+mg+Fast+Relief+Caplets&amp;qid=1695260096&amp;rdc=1&amp;sr=8-1", "https://www.amazon.com/Bayer-Aspirin-Coated-Tablets-count/dp/B00L45KPG4/ref=sr_1_1?keywords=Bayer%C2%AE+Back+%26+Body+Extra+Strength+500+mg+Fast+Relief+Caplets&amp;qid=1695260096&amp;rdc=1&amp;sr=8-1")</f>
        <v>https://www.amazon.com/Bayer-Aspirin-Coated-Tablets-count/dp/B00L45KPG4/ref=sr_1_1?keywords=Bayer%C2%AE+Back+%26+Body+Extra+Strength+500+mg+Fast+Relief+Caplets&amp;qid=1695260096&amp;rdc=1&amp;sr=8-1</v>
      </c>
      <c r="F4409" t="s">
        <v>12559</v>
      </c>
      <c r="G4409" t="e">
        <f ca="1">IMAGE("https://shop.sonapharmacy.com/cdn/shop/products/Untitled-33.jpg?v=1592846330")</f>
        <v>#NAME?</v>
      </c>
      <c r="H4409" t="e">
        <f ca="1">IMAGE("https://m.media-amazon.com/images/I/71UzxLr391L._AC_UL320_.jpg")</f>
        <v>#NAME?</v>
      </c>
      <c r="I4409" t="s">
        <v>11318</v>
      </c>
      <c r="J4409">
        <v>17.02</v>
      </c>
      <c r="K4409" s="2" t="s">
        <v>12560</v>
      </c>
      <c r="L4409">
        <v>4.8</v>
      </c>
      <c r="M4409">
        <v>9813</v>
      </c>
      <c r="O4409" t="s">
        <v>136</v>
      </c>
      <c r="P4409" t="s">
        <v>39</v>
      </c>
      <c r="Q4409" t="s">
        <v>11320</v>
      </c>
    </row>
    <row r="4410" spans="1:17" ht="15.75" x14ac:dyDescent="0.25">
      <c r="A4410" s="3" t="str">
        <f>HYPERLINK("https://shop.sonapharmacy.com/products/sundown-vitamin-e-oil-2-5fl", "https://shop.sonapharmacy.com/products/sundown-vitamin-e-oil-2-5fl")</f>
        <v>https://shop.sonapharmacy.com/products/sundown-vitamin-e-oil-2-5fl</v>
      </c>
      <c r="B4410" s="3" t="str">
        <f>HYPERLINK("https://shop.sonapharmacy.com/products/sundown-vitamin-e-oil-2-5fl", "https://shop.sonapharmacy.com/products/sundown-vitamin-e-oil-2-5fl")</f>
        <v>https://shop.sonapharmacy.com/products/sundown-vitamin-e-oil-2-5fl</v>
      </c>
      <c r="C4410" t="s">
        <v>8883</v>
      </c>
      <c r="D4410" t="s">
        <v>12561</v>
      </c>
      <c r="E4410" s="3" t="str">
        <f>HYPERLINK("https://www.amazon.com/Sundown-Naturals-Vitamin-Oil-70000/dp/B0842HPLSR/ref=sr_1_4?keywords=Sundown+Vitamin+E+Oil+2.5fl&amp;qid=1695260741&amp;sr=8-4", "https://www.amazon.com/Sundown-Naturals-Vitamin-Oil-70000/dp/B0842HPLSR/ref=sr_1_4?keywords=Sundown+Vitamin+E+Oil+2.5fl&amp;qid=1695260741&amp;sr=8-4")</f>
        <v>https://www.amazon.com/Sundown-Naturals-Vitamin-Oil-70000/dp/B0842HPLSR/ref=sr_1_4?keywords=Sundown+Vitamin+E+Oil+2.5fl&amp;qid=1695260741&amp;sr=8-4</v>
      </c>
      <c r="F4410" t="s">
        <v>12562</v>
      </c>
      <c r="G4410" t="e">
        <f ca="1">IMAGE("https://shop.sonapharmacy.com/cdn/shop/products/b5528557-4aee-4dfe-a2a2-302b5998af18_1.8e7a790b89db2b249d70e2d54929257f.jpg?v=1608242073")</f>
        <v>#NAME?</v>
      </c>
      <c r="H4410" t="e">
        <f ca="1">IMAGE("https://m.media-amazon.com/images/I/512qXtHifaL._AC_UL320_.jpg")</f>
        <v>#NAME?</v>
      </c>
      <c r="I4410" t="s">
        <v>8886</v>
      </c>
      <c r="J4410">
        <v>12.67</v>
      </c>
      <c r="K4410" s="2" t="s">
        <v>12563</v>
      </c>
      <c r="L4410">
        <v>4.8</v>
      </c>
      <c r="M4410">
        <v>7</v>
      </c>
      <c r="O4410" t="s">
        <v>26</v>
      </c>
      <c r="P4410" t="s">
        <v>39</v>
      </c>
      <c r="Q4410" t="s">
        <v>8888</v>
      </c>
    </row>
    <row r="4411" spans="1:17" ht="15.75" x14ac:dyDescent="0.25">
      <c r="A4411" s="3" t="str">
        <f>HYPERLINK("https://shop.sonapharmacy.com/products/coppertone%C2%AE-kids-sunscreen-spf-50-spray-6fl-oz", "https://shop.sonapharmacy.com/products/coppertone%C2%AE-kids-sunscreen-spf-50-spray-6fl-oz")</f>
        <v>https://shop.sonapharmacy.com/products/coppertone%C2%AE-kids-sunscreen-spf-50-spray-6fl-oz</v>
      </c>
      <c r="B4411" s="3" t="str">
        <f>HYPERLINK("https://shop.sonapharmacy.com/products/coppertone%c2%ae-kids-sunscreen-spf-50-spray-6fl-oz", "https://shop.sonapharmacy.com/products/coppertone%c2%ae-kids-sunscreen-spf-50-spray-6fl-oz")</f>
        <v>https://shop.sonapharmacy.com/products/coppertone%c2%ae-kids-sunscreen-spf-50-spray-6fl-oz</v>
      </c>
      <c r="C4411" t="s">
        <v>11083</v>
      </c>
      <c r="D4411" t="s">
        <v>12564</v>
      </c>
      <c r="E4411" s="3" t="str">
        <f>HYPERLINK("https://www.amazon.com/Coppertone-Sunscreen-Continuous-Simple-072140028091/dp/B0886JDYNG/ref=sr_1_9?keywords=Coppertone%C2%AE+Kids+Sunscreen+SPF+50+Spray+6fl.+oz.&amp;qid=1695260156&amp;sr=8-9", "https://www.amazon.com/Coppertone-Sunscreen-Continuous-Simple-072140028091/dp/B0886JDYNG/ref=sr_1_9?keywords=Coppertone%C2%AE+Kids+Sunscreen+SPF+50+Spray+6fl.+oz.&amp;qid=1695260156&amp;sr=8-9")</f>
        <v>https://www.amazon.com/Coppertone-Sunscreen-Continuous-Simple-072140028091/dp/B0886JDYNG/ref=sr_1_9?keywords=Coppertone%C2%AE+Kids+Sunscreen+SPF+50+Spray+6fl.+oz.&amp;qid=1695260156&amp;sr=8-9</v>
      </c>
      <c r="F4411" t="s">
        <v>12565</v>
      </c>
      <c r="G4411" t="e">
        <f ca="1">IMAGE("https://shop.sonapharmacy.com/cdn/shop/products/8029872e-169c-47af-9483-d93f9609f873_1.4d9345ef9baa4a0e3cf8aeab35f6263e.jpg?v=1609272882")</f>
        <v>#NAME?</v>
      </c>
      <c r="H4411" t="e">
        <f ca="1">IMAGE("https://m.media-amazon.com/images/I/51UerTrdtkL._AC_UL320_.jpg")</f>
        <v>#NAME?</v>
      </c>
      <c r="I4411" t="s">
        <v>11086</v>
      </c>
      <c r="J4411">
        <v>14.76</v>
      </c>
      <c r="K4411" s="2" t="s">
        <v>12566</v>
      </c>
      <c r="L4411">
        <v>4.7</v>
      </c>
      <c r="M4411">
        <v>350</v>
      </c>
      <c r="O4411" t="s">
        <v>26</v>
      </c>
      <c r="P4411" t="s">
        <v>39</v>
      </c>
      <c r="Q4411" t="s">
        <v>11088</v>
      </c>
    </row>
    <row r="4412" spans="1:17" ht="15.75" x14ac:dyDescent="0.25">
      <c r="A4412" s="3" t="str">
        <f>HYPERLINK("https://shop.sonapharmacy.com/products/nexcare-flexible-clear-tape-with-dispenser", "https://shop.sonapharmacy.com/products/nexcare-flexible-clear-tape-with-dispenser")</f>
        <v>https://shop.sonapharmacy.com/products/nexcare-flexible-clear-tape-with-dispenser</v>
      </c>
      <c r="B4412" s="3" t="str">
        <f>HYPERLINK("https://shop.sonapharmacy.com/products/nexcare-flexible-clear-tape-with-dispenser", "https://shop.sonapharmacy.com/products/nexcare-flexible-clear-tape-with-dispenser")</f>
        <v>https://shop.sonapharmacy.com/products/nexcare-flexible-clear-tape-with-dispenser</v>
      </c>
      <c r="C4412" t="s">
        <v>8757</v>
      </c>
      <c r="D4412" t="s">
        <v>12567</v>
      </c>
      <c r="E4412" s="3" t="str">
        <f>HYPERLINK("https://www.amazon.com/Nexcare-Bandage-Value-Assorted-40Count/dp/B07QGQBRHJ/ref=sr_1_9?keywords=Nexcare+Flexible+Clear+Tape&amp;qid=1695260581&amp;sr=8-9", "https://www.amazon.com/Nexcare-Bandage-Value-Assorted-40Count/dp/B07QGQBRHJ/ref=sr_1_9?keywords=Nexcare+Flexible+Clear+Tape&amp;qid=1695260581&amp;sr=8-9")</f>
        <v>https://www.amazon.com/Nexcare-Bandage-Value-Assorted-40Count/dp/B07QGQBRHJ/ref=sr_1_9?keywords=Nexcare+Flexible+Clear+Tape&amp;qid=1695260581&amp;sr=8-9</v>
      </c>
      <c r="F4412" t="s">
        <v>12568</v>
      </c>
      <c r="G4412" t="e">
        <f ca="1">IMAGE("https://shop.sonapharmacy.com/cdn/shop/products/3M-Nexcare-Flexible-Clear-First-Aid-Tape-779.jpg?v=1607704429")</f>
        <v>#NAME?</v>
      </c>
      <c r="H4412" t="e">
        <f ca="1">IMAGE("https://m.media-amazon.com/images/I/813d80J2MBL._AC_UL320_.jpg")</f>
        <v>#NAME?</v>
      </c>
      <c r="I4412" t="s">
        <v>8760</v>
      </c>
      <c r="J4412">
        <v>8.2899999999999991</v>
      </c>
      <c r="K4412" s="2" t="s">
        <v>12569</v>
      </c>
      <c r="L4412">
        <v>4.5999999999999996</v>
      </c>
      <c r="M4412">
        <v>7270</v>
      </c>
      <c r="O4412" t="s">
        <v>26</v>
      </c>
      <c r="P4412" t="s">
        <v>39</v>
      </c>
      <c r="Q4412" t="s">
        <v>8762</v>
      </c>
    </row>
    <row r="4413" spans="1:17" ht="15.75" x14ac:dyDescent="0.25">
      <c r="A4413" s="3" t="str">
        <f>HYPERLINK("https://shop.sonapharmacy.com/products/azo-yeast%C2%AE-plus-dual-relief-tablets-60ct", "https://shop.sonapharmacy.com/products/azo-yeast%C2%AE-plus-dual-relief-tablets-60ct")</f>
        <v>https://shop.sonapharmacy.com/products/azo-yeast%C2%AE-plus-dual-relief-tablets-60ct</v>
      </c>
      <c r="B4413" s="3" t="str">
        <f>HYPERLINK("https://shop.sonapharmacy.com/products/azo-yeast%c2%ae-plus-dual-relief-tablets-60ct", "https://shop.sonapharmacy.com/products/azo-yeast%c2%ae-plus-dual-relief-tablets-60ct")</f>
        <v>https://shop.sonapharmacy.com/products/azo-yeast%c2%ae-plus-dual-relief-tablets-60ct</v>
      </c>
      <c r="C4413" t="s">
        <v>12570</v>
      </c>
      <c r="D4413" t="s">
        <v>12571</v>
      </c>
      <c r="E4413" s="3" t="str">
        <f>HYPERLINK("https://www.amazon.com/AZO-Tablets-Infection-Vaginal-Relieves/dp/B0C51MQYQX/ref=sr_1_2?keywords=AZO+Yeast%C2%AE+Plus+Dual+Relief+Tablets+60ct.&amp;qid=1695260039&amp;sr=8-2", "https://www.amazon.com/AZO-Tablets-Infection-Vaginal-Relieves/dp/B0C51MQYQX/ref=sr_1_2?keywords=AZO+Yeast%C2%AE+Plus+Dual+Relief+Tablets+60ct.&amp;qid=1695260039&amp;sr=8-2")</f>
        <v>https://www.amazon.com/AZO-Tablets-Infection-Vaginal-Relieves/dp/B0C51MQYQX/ref=sr_1_2?keywords=AZO+Yeast%C2%AE+Plus+Dual+Relief+Tablets+60ct.&amp;qid=1695260039&amp;sr=8-2</v>
      </c>
      <c r="F4413" t="s">
        <v>12572</v>
      </c>
      <c r="G4413" t="e">
        <f ca="1">IMAGE("https://shop.sonapharmacy.com/cdn/shop/products/AZO_Yeast_Plus_60_med.png?v=1609168191")</f>
        <v>#NAME?</v>
      </c>
      <c r="H4413" t="e">
        <f ca="1">IMAGE("https://m.media-amazon.com/images/I/71cw2qKdKhL._AC_UL320_.jpg")</f>
        <v>#NAME?</v>
      </c>
      <c r="I4413" t="s">
        <v>11946</v>
      </c>
      <c r="J4413">
        <v>14.76</v>
      </c>
      <c r="K4413" s="2" t="s">
        <v>12573</v>
      </c>
      <c r="L4413">
        <v>5</v>
      </c>
      <c r="M4413">
        <v>7</v>
      </c>
      <c r="O4413" t="s">
        <v>26</v>
      </c>
      <c r="P4413" t="s">
        <v>39</v>
      </c>
      <c r="Q4413" t="s">
        <v>12574</v>
      </c>
    </row>
    <row r="4414" spans="1:17" ht="15.75" x14ac:dyDescent="0.25">
      <c r="A4414" s="3" t="str">
        <f>HYPERLINK("https://shop.sonapharmacy.com/products/sona-buffered-c-capsules", "https://shop.sonapharmacy.com/products/sona-buffered-c-capsules")</f>
        <v>https://shop.sonapharmacy.com/products/sona-buffered-c-capsules</v>
      </c>
      <c r="B4414" s="3" t="str">
        <f>HYPERLINK("https://shop.sonapharmacy.com/products/sona-buffered-c-capsules", "https://shop.sonapharmacy.com/products/sona-buffered-c-capsules")</f>
        <v>https://shop.sonapharmacy.com/products/sona-buffered-c-capsules</v>
      </c>
      <c r="C4414" t="s">
        <v>11624</v>
      </c>
      <c r="D4414" t="s">
        <v>11311</v>
      </c>
      <c r="E4414" s="3" t="str">
        <f>HYPERLINK("https://www.amazon.com/SOLARAY-Bioflavonoids-Two-Stage-Absorption-Guarantee/dp/B00013YZ0M/ref=sr_1_3?keywords=Sona+Buffered+C+Capsules&amp;qid=1695260718&amp;sr=8-3", "https://www.amazon.com/SOLARAY-Bioflavonoids-Two-Stage-Absorption-Guarantee/dp/B00013YZ0M/ref=sr_1_3?keywords=Sona+Buffered+C+Capsules&amp;qid=1695260718&amp;sr=8-3")</f>
        <v>https://www.amazon.com/SOLARAY-Bioflavonoids-Two-Stage-Absorption-Guarantee/dp/B00013YZ0M/ref=sr_1_3?keywords=Sona+Buffered+C+Capsules&amp;qid=1695260718&amp;sr=8-3</v>
      </c>
      <c r="F4414" t="s">
        <v>11312</v>
      </c>
      <c r="G4414" t="e">
        <f ca="1">IMAGE("https://shop.sonapharmacy.com/cdn/shop/files/BufferedC_SonaShop.jpg?v=1692370201")</f>
        <v>#NAME?</v>
      </c>
      <c r="H4414" t="e">
        <f ca="1">IMAGE("https://m.media-amazon.com/images/I/61WLL5Tk5FL._AC_UL320_.jpg")</f>
        <v>#NAME?</v>
      </c>
      <c r="I4414" t="s">
        <v>11627</v>
      </c>
      <c r="J4414">
        <v>27.99</v>
      </c>
      <c r="K4414" s="2" t="s">
        <v>12575</v>
      </c>
      <c r="L4414">
        <v>4.8</v>
      </c>
      <c r="M4414">
        <v>2074</v>
      </c>
      <c r="O4414" t="s">
        <v>26</v>
      </c>
      <c r="P4414" t="s">
        <v>39</v>
      </c>
      <c r="Q4414" t="s">
        <v>11629</v>
      </c>
    </row>
    <row r="4415" spans="1:17" ht="15.75" x14ac:dyDescent="0.25">
      <c r="A4415" s="3" t="str">
        <f>HYPERLINK("https://shop.sonapharmacy.com/products/nexcare-tegaderm", "https://shop.sonapharmacy.com/products/nexcare-tegaderm")</f>
        <v>https://shop.sonapharmacy.com/products/nexcare-tegaderm</v>
      </c>
      <c r="B4415" s="3" t="str">
        <f>HYPERLINK("https://shop.sonapharmacy.com/products/nexcare-tegaderm", "https://shop.sonapharmacy.com/products/nexcare-tegaderm")</f>
        <v>https://shop.sonapharmacy.com/products/nexcare-tegaderm</v>
      </c>
      <c r="C4415" t="s">
        <v>11243</v>
      </c>
      <c r="D4415" t="s">
        <v>12576</v>
      </c>
      <c r="E4415" s="3" t="str">
        <f>HYPERLINK("https://www.amazon.com/Nexcare-Tegaderm-Transparent-Dressings-Inches/dp/B01IAIA33W/ref=sr_1_8?keywords=Nexcare+Tegaderm&amp;qid=1695260581&amp;sr=8-8", "https://www.amazon.com/Nexcare-Tegaderm-Transparent-Dressings-Inches/dp/B01IAIA33W/ref=sr_1_8?keywords=Nexcare+Tegaderm&amp;qid=1695260581&amp;sr=8-8")</f>
        <v>https://www.amazon.com/Nexcare-Tegaderm-Transparent-Dressings-Inches/dp/B01IAIA33W/ref=sr_1_8?keywords=Nexcare+Tegaderm&amp;qid=1695260581&amp;sr=8-8</v>
      </c>
      <c r="F4415" t="s">
        <v>12577</v>
      </c>
      <c r="G4415" t="e">
        <f ca="1">IMAGE("https://shop.sonapharmacy.com/cdn/shop/products/us-h1626-tegaderm-waterproof-transparent-dressing.jpg?v=1607203084")</f>
        <v>#NAME?</v>
      </c>
      <c r="H4415" t="e">
        <f ca="1">IMAGE("https://m.media-amazon.com/images/I/71dtn4W916L._AC_UL320_.jpg")</f>
        <v>#NAME?</v>
      </c>
      <c r="I4415" t="s">
        <v>11246</v>
      </c>
      <c r="J4415">
        <v>26.36</v>
      </c>
      <c r="K4415" s="2" t="s">
        <v>12578</v>
      </c>
      <c r="L4415">
        <v>4.5</v>
      </c>
      <c r="M4415">
        <v>252</v>
      </c>
      <c r="O4415" t="s">
        <v>26</v>
      </c>
      <c r="P4415" t="s">
        <v>39</v>
      </c>
      <c r="Q4415" t="s">
        <v>11248</v>
      </c>
    </row>
    <row r="4416" spans="1:17" ht="15.75" x14ac:dyDescent="0.25">
      <c r="A4416" s="3" t="str">
        <f>HYPERLINK("https://shop.sonapharmacy.com/products/band-aid-tough-strips", "https://shop.sonapharmacy.com/products/band-aid-tough-strips")</f>
        <v>https://shop.sonapharmacy.com/products/band-aid-tough-strips</v>
      </c>
      <c r="B4416" s="3" t="str">
        <f>HYPERLINK("https://shop.sonapharmacy.com/products/band-aid-tough-strips", "https://shop.sonapharmacy.com/products/band-aid-tough-strips")</f>
        <v>https://shop.sonapharmacy.com/products/band-aid-tough-strips</v>
      </c>
      <c r="C4416" t="s">
        <v>9687</v>
      </c>
      <c r="D4416" t="s">
        <v>12579</v>
      </c>
      <c r="E4416" s="3" t="str">
        <f>HYPERLINK("https://www.amazon.com/Band-Aid-Strips-Adhesive-Bandage-Scrapes/dp/B00B6A6Y9E/ref=sr_1_4?keywords=BAND-AID%C2%AE+Tough+Strips&amp;qid=1695260064&amp;sr=8-4", "https://www.amazon.com/Band-Aid-Strips-Adhesive-Bandage-Scrapes/dp/B00B6A6Y9E/ref=sr_1_4?keywords=BAND-AID%C2%AE+Tough+Strips&amp;qid=1695260064&amp;sr=8-4")</f>
        <v>https://www.amazon.com/Band-Aid-Strips-Adhesive-Bandage-Scrapes/dp/B00B6A6Y9E/ref=sr_1_4?keywords=BAND-AID%C2%AE+Tough+Strips&amp;qid=1695260064&amp;sr=8-4</v>
      </c>
      <c r="F4416" t="s">
        <v>12580</v>
      </c>
      <c r="G4416" t="e">
        <f ca="1">IMAGE("https://shop.sonapharmacy.com/cdn/shop/products/bab_381370044246_band_aid_band_aid_tough_strip_xl_10ct_007.jpg?v=1607288053")</f>
        <v>#NAME?</v>
      </c>
      <c r="H4416" t="e">
        <f ca="1">IMAGE("https://m.media-amazon.com/images/I/819lZA6eq3L._AC_UL320_.jpg")</f>
        <v>#NAME?</v>
      </c>
      <c r="I4416" t="s">
        <v>8512</v>
      </c>
      <c r="J4416">
        <v>8.1199999999999992</v>
      </c>
      <c r="K4416" s="2" t="s">
        <v>12581</v>
      </c>
      <c r="L4416">
        <v>4.7</v>
      </c>
      <c r="M4416">
        <v>1575</v>
      </c>
      <c r="O4416" t="s">
        <v>26</v>
      </c>
      <c r="P4416" t="s">
        <v>39</v>
      </c>
      <c r="Q4416" t="s">
        <v>9691</v>
      </c>
    </row>
    <row r="4417" spans="1:17" ht="15.75" x14ac:dyDescent="0.25">
      <c r="A4417" s="3" t="str">
        <f>HYPERLINK("https://shop.sonapharmacy.com/products/poise%C2%AE-pads-ultimate-absorbency-regular-length-33ct", "https://shop.sonapharmacy.com/products/poise%C2%AE-pads-ultimate-absorbency-regular-length-33ct")</f>
        <v>https://shop.sonapharmacy.com/products/poise%C2%AE-pads-ultimate-absorbency-regular-length-33ct</v>
      </c>
      <c r="B4417" s="3" t="str">
        <f>HYPERLINK("https://shop.sonapharmacy.com/products/poise%c2%ae-pads-ultimate-absorbency-regular-length-33ct", "https://shop.sonapharmacy.com/products/poise%c2%ae-pads-ultimate-absorbency-regular-length-33ct")</f>
        <v>https://shop.sonapharmacy.com/products/poise%c2%ae-pads-ultimate-absorbency-regular-length-33ct</v>
      </c>
      <c r="C4417" t="s">
        <v>9287</v>
      </c>
      <c r="D4417" t="s">
        <v>12582</v>
      </c>
      <c r="E4417" s="3" t="str">
        <f>HYPERLINK("https://www.amazon.com/Prevail-Ultimate-Absorbency-Incontinence-Bladder/dp/B00EULO204/ref=sr_1_7?keywords=Poise%C2%AE+Pads+Ultimate+Absorbency+Regular+Length+33ct.&amp;qid=1695260641&amp;sr=8-7", "https://www.amazon.com/Prevail-Ultimate-Absorbency-Incontinence-Bladder/dp/B00EULO204/ref=sr_1_7?keywords=Poise%C2%AE+Pads+Ultimate+Absorbency+Regular+Length+33ct.&amp;qid=1695260641&amp;sr=8-7")</f>
        <v>https://www.amazon.com/Prevail-Ultimate-Absorbency-Incontinence-Bladder/dp/B00EULO204/ref=sr_1_7?keywords=Poise%C2%AE+Pads+Ultimate+Absorbency+Regular+Length+33ct.&amp;qid=1695260641&amp;sr=8-7</v>
      </c>
      <c r="F4417" t="s">
        <v>12583</v>
      </c>
      <c r="G4417" t="e">
        <f ca="1">IMAGE("https://shop.sonapharmacy.com/cdn/shop/products/81jKQQoGnuL._AC_SL1500.jpg?v=1611073225")</f>
        <v>#NAME?</v>
      </c>
      <c r="H4417" t="e">
        <f ca="1">IMAGE("https://m.media-amazon.com/images/I/81QzWzomioL._AC_UL320_.jpg")</f>
        <v>#NAME?</v>
      </c>
      <c r="I4417" t="s">
        <v>9290</v>
      </c>
      <c r="J4417">
        <v>23.98</v>
      </c>
      <c r="K4417" s="2" t="s">
        <v>12584</v>
      </c>
      <c r="L4417">
        <v>4.5</v>
      </c>
      <c r="M4417">
        <v>2824</v>
      </c>
      <c r="O4417" t="s">
        <v>26</v>
      </c>
      <c r="P4417" t="s">
        <v>39</v>
      </c>
      <c r="Q4417" t="s">
        <v>9292</v>
      </c>
    </row>
    <row r="4418" spans="1:17" ht="15.75" x14ac:dyDescent="0.25">
      <c r="A4418" s="3" t="str">
        <f>HYPERLINK("https://shop.sonapharmacy.com/products/okeeffes%C2%AE-cooling-relief-lip-repair", "https://shop.sonapharmacy.com/products/okeeffes%C2%AE-cooling-relief-lip-repair")</f>
        <v>https://shop.sonapharmacy.com/products/okeeffes%C2%AE-cooling-relief-lip-repair</v>
      </c>
      <c r="B4418" s="3" t="str">
        <f>HYPERLINK("https://shop.sonapharmacy.com/products/okeeffes%c2%ae-cooling-relief-lip-repair", "https://shop.sonapharmacy.com/products/okeeffes%c2%ae-cooling-relief-lip-repair")</f>
        <v>https://shop.sonapharmacy.com/products/okeeffes%c2%ae-cooling-relief-lip-repair</v>
      </c>
      <c r="C4418" t="s">
        <v>8157</v>
      </c>
      <c r="D4418" t="s">
        <v>12585</v>
      </c>
      <c r="E4418" s="3" t="str">
        <f>HYPERLINK("https://www.amazon.com/OKeeffes-Cooling-Relief-Repair-Cracked/dp/B0BFXLQSWX/ref=sr_1_1?keywords=O%27Keeffe%27s%C2%AE+Cooling+Relief+Lip+Repair&amp;qid=1695260611&amp;sr=8-1", "https://www.amazon.com/OKeeffes-Cooling-Relief-Repair-Cracked/dp/B0BFXLQSWX/ref=sr_1_1?keywords=O%27Keeffe%27s%C2%AE+Cooling+Relief+Lip+Repair&amp;qid=1695260611&amp;sr=8-1")</f>
        <v>https://www.amazon.com/OKeeffes-Cooling-Relief-Repair-Cracked/dp/B0BFXLQSWX/ref=sr_1_1?keywords=O%27Keeffe%27s%C2%AE+Cooling+Relief+Lip+Repair&amp;qid=1695260611&amp;sr=8-1</v>
      </c>
      <c r="F4418" t="s">
        <v>12586</v>
      </c>
      <c r="G4418" t="e">
        <f ca="1">IMAGE("https://shop.sonapharmacy.com/cdn/shop/products/91uQWoqzf5L._AC_SL1500.jpg?v=1608226728")</f>
        <v>#NAME?</v>
      </c>
      <c r="H4418" t="e">
        <f ca="1">IMAGE("https://m.media-amazon.com/images/I/91-fnzguzRL._AC_UL320_.jpg")</f>
        <v>#NAME?</v>
      </c>
      <c r="I4418" t="s">
        <v>8160</v>
      </c>
      <c r="J4418">
        <v>6.47</v>
      </c>
      <c r="K4418" s="2" t="s">
        <v>12587</v>
      </c>
      <c r="L4418">
        <v>4.7</v>
      </c>
      <c r="M4418">
        <v>807</v>
      </c>
      <c r="O4418" t="s">
        <v>26</v>
      </c>
      <c r="P4418" t="s">
        <v>39</v>
      </c>
      <c r="Q4418" t="s">
        <v>8162</v>
      </c>
    </row>
    <row r="4419" spans="1:17" ht="15.75" x14ac:dyDescent="0.25">
      <c r="A4419" s="3" t="str">
        <f>HYPERLINK("https://shop.sonapharmacy.com/products/okeeffes%C2%AE-cooling-relief-lip-repair", "https://shop.sonapharmacy.com/products/okeeffes%C2%AE-cooling-relief-lip-repair")</f>
        <v>https://shop.sonapharmacy.com/products/okeeffes%C2%AE-cooling-relief-lip-repair</v>
      </c>
      <c r="B4419" s="3" t="str">
        <f>HYPERLINK("https://shop.sonapharmacy.com/products/okeeffes%c2%ae-cooling-relief-lip-repair", "https://shop.sonapharmacy.com/products/okeeffes%c2%ae-cooling-relief-lip-repair")</f>
        <v>https://shop.sonapharmacy.com/products/okeeffes%c2%ae-cooling-relief-lip-repair</v>
      </c>
      <c r="C4419" t="s">
        <v>8157</v>
      </c>
      <c r="D4419" t="s">
        <v>12588</v>
      </c>
      <c r="E4419" s="3" t="str">
        <f>HYPERLINK("https://www.amazon.com/OKeeffes-Cooling-Relief-Repair-Cracked/dp/B01MDS34NI/ref=sr_1_2?keywords=O%27Keeffe%27s%C2%AE+Cooling+Relief+Lip+Repair&amp;qid=1695260611&amp;sr=8-2", "https://www.amazon.com/OKeeffes-Cooling-Relief-Repair-Cracked/dp/B01MDS34NI/ref=sr_1_2?keywords=O%27Keeffe%27s%C2%AE+Cooling+Relief+Lip+Repair&amp;qid=1695260611&amp;sr=8-2")</f>
        <v>https://www.amazon.com/OKeeffes-Cooling-Relief-Repair-Cracked/dp/B01MDS34NI/ref=sr_1_2?keywords=O%27Keeffe%27s%C2%AE+Cooling+Relief+Lip+Repair&amp;qid=1695260611&amp;sr=8-2</v>
      </c>
      <c r="F4419" t="s">
        <v>12589</v>
      </c>
      <c r="G4419" t="e">
        <f ca="1">IMAGE("https://shop.sonapharmacy.com/cdn/shop/products/91uQWoqzf5L._AC_SL1500.jpg?v=1608226728")</f>
        <v>#NAME?</v>
      </c>
      <c r="H4419" t="e">
        <f ca="1">IMAGE("https://m.media-amazon.com/images/I/71YssZGD6rL._AC_UL320_.jpg")</f>
        <v>#NAME?</v>
      </c>
      <c r="I4419" t="s">
        <v>8160</v>
      </c>
      <c r="J4419">
        <v>6.47</v>
      </c>
      <c r="K4419" s="2" t="s">
        <v>12587</v>
      </c>
      <c r="L4419">
        <v>4.7</v>
      </c>
      <c r="M4419">
        <v>4314</v>
      </c>
      <c r="O4419" t="s">
        <v>26</v>
      </c>
      <c r="P4419" t="s">
        <v>39</v>
      </c>
      <c r="Q4419" t="s">
        <v>8162</v>
      </c>
    </row>
    <row r="4420" spans="1:17" ht="15.75" x14ac:dyDescent="0.25">
      <c r="A4420" s="3" t="str">
        <f>HYPERLINK("https://shop.sonapharmacy.com/products/sunbum%C2%AE-after-sun-cool-down-lotion-3fl-oz", "https://shop.sonapharmacy.com/products/sunbum%C2%AE-after-sun-cool-down-lotion-3fl-oz")</f>
        <v>https://shop.sonapharmacy.com/products/sunbum%C2%AE-after-sun-cool-down-lotion-3fl-oz</v>
      </c>
      <c r="B4420" s="3" t="str">
        <f>HYPERLINK("https://shop.sonapharmacy.com/products/sunbum%c2%ae-after-sun-cool-down-lotion-3fl-oz", "https://shop.sonapharmacy.com/products/sunbum%c2%ae-after-sun-cool-down-lotion-3fl-oz")</f>
        <v>https://shop.sonapharmacy.com/products/sunbum%c2%ae-after-sun-cool-down-lotion-3fl-oz</v>
      </c>
      <c r="C4420" t="s">
        <v>10463</v>
      </c>
      <c r="D4420" t="s">
        <v>12590</v>
      </c>
      <c r="E4420" s="3" t="str">
        <f>HYPERLINK("https://www.amazon.com/Sun-Bum-Hydrating-Spray-Hypoallergenic/dp/B007MV4B1E/ref=sr_1_2?keywords=Sun+Bum%C2%AE+After+Sun+Cool+Down+Lotion&amp;qid=1695260733&amp;rdc=1&amp;sr=8-2", "https://www.amazon.com/Sun-Bum-Hydrating-Spray-Hypoallergenic/dp/B007MV4B1E/ref=sr_1_2?keywords=Sun+Bum%C2%AE+After+Sun+Cool+Down+Lotion&amp;qid=1695260733&amp;rdc=1&amp;sr=8-2")</f>
        <v>https://www.amazon.com/Sun-Bum-Hydrating-Spray-Hypoallergenic/dp/B007MV4B1E/ref=sr_1_2?keywords=Sun+Bum%C2%AE+After+Sun+Cool+Down+Lotion&amp;qid=1695260733&amp;rdc=1&amp;sr=8-2</v>
      </c>
      <c r="F4420" t="s">
        <v>12591</v>
      </c>
      <c r="G4420" t="e">
        <f ca="1">IMAGE("https://shop.sonapharmacy.com/cdn/shop/products/a5a83c38-73f5-476c-9809-d631e9fa1de9_1.becde44019f64609642f026cbe40180a.jpg?v=1611159956")</f>
        <v>#NAME?</v>
      </c>
      <c r="H4420" t="e">
        <f ca="1">IMAGE("https://m.media-amazon.com/images/I/61lNbmuDW4L._AC_UL320_.jpg")</f>
        <v>#NAME?</v>
      </c>
      <c r="I4420" t="s">
        <v>3392</v>
      </c>
      <c r="J4420">
        <v>11.25</v>
      </c>
      <c r="K4420" s="2" t="s">
        <v>12592</v>
      </c>
      <c r="L4420">
        <v>4.5</v>
      </c>
      <c r="M4420">
        <v>2269</v>
      </c>
      <c r="O4420" t="s">
        <v>26</v>
      </c>
      <c r="P4420" t="s">
        <v>39</v>
      </c>
      <c r="Q4420" t="s">
        <v>10467</v>
      </c>
    </row>
    <row r="4421" spans="1:17" ht="15.75" x14ac:dyDescent="0.25">
      <c r="A4421" s="3" t="str">
        <f>HYPERLINK("https://shop.sonapharmacy.com/products/sunbum%C2%AE-original-spf-50-sunscreen-lotion-3oz", "https://shop.sonapharmacy.com/products/sunbum%C2%AE-original-spf-50-sunscreen-lotion-3oz")</f>
        <v>https://shop.sonapharmacy.com/products/sunbum%C2%AE-original-spf-50-sunscreen-lotion-3oz</v>
      </c>
      <c r="B4421" s="3" t="str">
        <f>HYPERLINK("https://shop.sonapharmacy.com/products/sunbum%c2%ae-original-spf-50-sunscreen-lotion-3oz", "https://shop.sonapharmacy.com/products/sunbum%c2%ae-original-spf-50-sunscreen-lotion-3oz")</f>
        <v>https://shop.sonapharmacy.com/products/sunbum%c2%ae-original-spf-50-sunscreen-lotion-3oz</v>
      </c>
      <c r="C4421" t="s">
        <v>9924</v>
      </c>
      <c r="D4421" t="s">
        <v>12593</v>
      </c>
      <c r="E4421" s="3" t="str">
        <f>HYPERLINK("https://www.amazon.com/Sun-Bum-Dermatologist-Sensitive-Protection/dp/B07B685MFG/ref=sr_1_3?keywords=Sun+Bum%C2%AE+Original+SPF+50+Sunscreen+Lotion&amp;qid=1695260742&amp;rdc=1&amp;sr=8-3", "https://www.amazon.com/Sun-Bum-Dermatologist-Sensitive-Protection/dp/B07B685MFG/ref=sr_1_3?keywords=Sun+Bum%C2%AE+Original+SPF+50+Sunscreen+Lotion&amp;qid=1695260742&amp;rdc=1&amp;sr=8-3")</f>
        <v>https://www.amazon.com/Sun-Bum-Dermatologist-Sensitive-Protection/dp/B07B685MFG/ref=sr_1_3?keywords=Sun+Bum%C2%AE+Original+SPF+50+Sunscreen+Lotion&amp;qid=1695260742&amp;rdc=1&amp;sr=8-3</v>
      </c>
      <c r="F4421" t="s">
        <v>12594</v>
      </c>
      <c r="G4421" t="e">
        <f ca="1">IMAGE("https://shop.sonapharmacy.com/cdn/shop/products/71liju0WraL._SL1500.jpg?v=1611868598")</f>
        <v>#NAME?</v>
      </c>
      <c r="H4421" t="e">
        <f ca="1">IMAGE("https://m.media-amazon.com/images/I/51DmQfcumWL._AC_UL320_.jpg")</f>
        <v>#NAME?</v>
      </c>
      <c r="I4421" t="s">
        <v>4873</v>
      </c>
      <c r="J4421">
        <v>14.03</v>
      </c>
      <c r="K4421" s="2" t="s">
        <v>12595</v>
      </c>
      <c r="L4421">
        <v>4.5999999999999996</v>
      </c>
      <c r="M4421">
        <v>12953</v>
      </c>
      <c r="O4421" t="s">
        <v>26</v>
      </c>
      <c r="P4421" t="s">
        <v>39</v>
      </c>
      <c r="Q4421" t="s">
        <v>9928</v>
      </c>
    </row>
    <row r="4422" spans="1:17" ht="15.75" x14ac:dyDescent="0.25">
      <c r="A4422" s="3" t="str">
        <f>HYPERLINK("https://shop.sonapharmacy.com/products/natures-blend%C2%AE-vitamin-b-1-100mg-tablets-100ct", "https://shop.sonapharmacy.com/products/natures-blend%C2%AE-vitamin-b-1-100mg-tablets-100ct")</f>
        <v>https://shop.sonapharmacy.com/products/natures-blend%C2%AE-vitamin-b-1-100mg-tablets-100ct</v>
      </c>
      <c r="B4422" s="3" t="str">
        <f>HYPERLINK("https://shop.sonapharmacy.com/products/natures-blend%c2%ae-vitamin-b-1-100mg-tablets-100ct", "https://shop.sonapharmacy.com/products/natures-blend%c2%ae-vitamin-b-1-100mg-tablets-100ct")</f>
        <v>https://shop.sonapharmacy.com/products/natures-blend%c2%ae-vitamin-b-1-100mg-tablets-100ct</v>
      </c>
      <c r="C4422" t="s">
        <v>12596</v>
      </c>
      <c r="D4422" t="s">
        <v>12597</v>
      </c>
      <c r="E4422" s="3" t="str">
        <f>HYPERLINK("https://www.amazon.com/Natures-Truth-Vitamin-100mg-Tablets/dp/B06VW1SDDT/ref=sr_1_2?keywords=Nature%27s+Blend%C2%AE+Vitamin+B-1+100mg+Tablets+100ct.&amp;qid=1695260568&amp;sr=8-2", "https://www.amazon.com/Natures-Truth-Vitamin-100mg-Tablets/dp/B06VW1SDDT/ref=sr_1_2?keywords=Nature%27s+Blend%C2%AE+Vitamin+B-1+100mg+Tablets+100ct.&amp;qid=1695260568&amp;sr=8-2")</f>
        <v>https://www.amazon.com/Natures-Truth-Vitamin-100mg-Tablets/dp/B06VW1SDDT/ref=sr_1_2?keywords=Nature%27s+Blend%C2%AE+Vitamin+B-1+100mg+Tablets+100ct.&amp;qid=1695260568&amp;sr=8-2</v>
      </c>
      <c r="F4422" t="s">
        <v>12598</v>
      </c>
      <c r="G4422" t="e">
        <f ca="1">IMAGE("https://shop.sonapharmacy.com/cdn/shop/products/4239dbeb-bac7-4dc8-829b-2f60dd40f951.c8bfa2f96c30b5874b609925211b7eb3_1.jpg?v=1614705218")</f>
        <v>#NAME?</v>
      </c>
      <c r="H4422" t="e">
        <f ca="1">IMAGE("https://m.media-amazon.com/images/I/71XHTs6FhqL._AC_UL320_.jpg")</f>
        <v>#NAME?</v>
      </c>
      <c r="I4422" t="s">
        <v>8606</v>
      </c>
      <c r="J4422">
        <v>9.15</v>
      </c>
      <c r="K4422" s="2" t="s">
        <v>12599</v>
      </c>
      <c r="L4422">
        <v>4.5</v>
      </c>
      <c r="M4422">
        <v>65</v>
      </c>
      <c r="O4422" t="s">
        <v>26</v>
      </c>
      <c r="P4422" t="s">
        <v>39</v>
      </c>
      <c r="Q4422" t="s">
        <v>12600</v>
      </c>
    </row>
    <row r="4423" spans="1:17" ht="15.75" x14ac:dyDescent="0.25">
      <c r="A4423" s="3" t="str">
        <f>HYPERLINK("https://shop.sonapharmacy.com/products/good-sense-pain-relief-caplets", "https://shop.sonapharmacy.com/products/good-sense-pain-relief-caplets")</f>
        <v>https://shop.sonapharmacy.com/products/good-sense-pain-relief-caplets</v>
      </c>
      <c r="B4423" s="3" t="str">
        <f>HYPERLINK("https://shop.sonapharmacy.com/products/good-sense-pain-relief-caplets", "https://shop.sonapharmacy.com/products/good-sense-pain-relief-caplets")</f>
        <v>https://shop.sonapharmacy.com/products/good-sense-pain-relief-caplets</v>
      </c>
      <c r="C4423" t="s">
        <v>10921</v>
      </c>
      <c r="D4423" t="s">
        <v>12601</v>
      </c>
      <c r="E4423" s="3" t="str">
        <f>HYPERLINK("https://www.amazon.com/Sense-Extra-Strength-Relief-Caplets/dp/B01N7V26LU/ref=sr_1_3?keywords=GoodSense%C2%AE+Pain+Relief+Caplets&amp;qid=1695260361&amp;sr=8-3", "https://www.amazon.com/Sense-Extra-Strength-Relief-Caplets/dp/B01N7V26LU/ref=sr_1_3?keywords=GoodSense%C2%AE+Pain+Relief+Caplets&amp;qid=1695260361&amp;sr=8-3")</f>
        <v>https://www.amazon.com/Sense-Extra-Strength-Relief-Caplets/dp/B01N7V26LU/ref=sr_1_3?keywords=GoodSense%C2%AE+Pain+Relief+Caplets&amp;qid=1695260361&amp;sr=8-3</v>
      </c>
      <c r="F4423" t="s">
        <v>12602</v>
      </c>
      <c r="G4423" t="e">
        <f ca="1">IMAGE("https://shop.sonapharmacy.com/cdn/shop/products/Untitled-11.jpg?v=1592592053")</f>
        <v>#NAME?</v>
      </c>
      <c r="H4423" t="e">
        <f ca="1">IMAGE("https://m.media-amazon.com/images/I/71j9g7TVkZL._AC_UL320_.jpg")</f>
        <v>#NAME?</v>
      </c>
      <c r="I4423" t="s">
        <v>9015</v>
      </c>
      <c r="J4423">
        <v>6.85</v>
      </c>
      <c r="K4423" s="2" t="s">
        <v>12603</v>
      </c>
      <c r="L4423">
        <v>4.5999999999999996</v>
      </c>
      <c r="M4423">
        <v>73</v>
      </c>
      <c r="O4423" t="s">
        <v>26</v>
      </c>
      <c r="P4423" t="s">
        <v>39</v>
      </c>
      <c r="Q4423" t="s">
        <v>10925</v>
      </c>
    </row>
    <row r="4424" spans="1:17" ht="15.75" x14ac:dyDescent="0.25">
      <c r="A4424" s="3" t="str">
        <f>HYPERLINK("https://shop.sonapharmacy.com/products/carex%E2%84%A2-offset-aluminum-walking-cane", "https://shop.sonapharmacy.com/products/carex%E2%84%A2-offset-aluminum-walking-cane")</f>
        <v>https://shop.sonapharmacy.com/products/carex%E2%84%A2-offset-aluminum-walking-cane</v>
      </c>
      <c r="B4424" s="3" t="str">
        <f>HYPERLINK("https://shop.sonapharmacy.com/products/carex%e2%84%a2-offset-aluminum-walking-cane", "https://shop.sonapharmacy.com/products/carex%e2%84%a2-offset-aluminum-walking-cane")</f>
        <v>https://shop.sonapharmacy.com/products/carex%e2%84%a2-offset-aluminum-walking-cane</v>
      </c>
      <c r="C4424" t="s">
        <v>12604</v>
      </c>
      <c r="D4424" t="s">
        <v>12605</v>
      </c>
      <c r="E4424" s="3" t="str">
        <f>HYPERLINK("https://www.amazon.com/Carex-Aluminum-Offset-Cushioned-Handle/dp/B001V95II8/ref=sr_1_5?keywords=Carex%E2%84%A2+Offset+Aluminum+Walking+Cane&amp;qid=1695260134&amp;sr=8-5", "https://www.amazon.com/Carex-Aluminum-Offset-Cushioned-Handle/dp/B001V95II8/ref=sr_1_5?keywords=Carex%E2%84%A2+Offset+Aluminum+Walking+Cane&amp;qid=1695260134&amp;sr=8-5")</f>
        <v>https://www.amazon.com/Carex-Aluminum-Offset-Cushioned-Handle/dp/B001V95II8/ref=sr_1_5?keywords=Carex%E2%84%A2+Offset+Aluminum+Walking+Cane&amp;qid=1695260134&amp;sr=8-5</v>
      </c>
      <c r="F4424" t="s">
        <v>12606</v>
      </c>
      <c r="G4424" t="e">
        <f ca="1">IMAGE("https://shop.sonapharmacy.com/cdn/shop/products/61XO0pdJaYL._SL1500_720x_dee62ec9-4983-46c1-9a84-2cdfcc257db7.jpg?v=1609983200")</f>
        <v>#NAME?</v>
      </c>
      <c r="H4424" t="e">
        <f ca="1">IMAGE("https://m.media-amazon.com/images/I/61ayHwGzI6S._AC_UL320_.jpg")</f>
        <v>#NAME?</v>
      </c>
      <c r="I4424" t="s">
        <v>12607</v>
      </c>
      <c r="J4424">
        <v>16.12</v>
      </c>
      <c r="K4424" s="2" t="s">
        <v>12608</v>
      </c>
      <c r="L4424">
        <v>4.2</v>
      </c>
      <c r="M4424">
        <v>16</v>
      </c>
      <c r="O4424" t="s">
        <v>26</v>
      </c>
      <c r="P4424" t="s">
        <v>39</v>
      </c>
      <c r="Q4424" t="s">
        <v>12609</v>
      </c>
    </row>
    <row r="4425" spans="1:17" ht="15.75" x14ac:dyDescent="0.25">
      <c r="A4425" s="3" t="str">
        <f>HYPERLINK("https://shop.sonapharmacy.com/products/black-elderberry-syrup", "https://shop.sonapharmacy.com/products/black-elderberry-syrup")</f>
        <v>https://shop.sonapharmacy.com/products/black-elderberry-syrup</v>
      </c>
      <c r="B4425" s="3" t="str">
        <f>HYPERLINK("https://shop.sonapharmacy.com/products/black-elderberry-syrup", "https://shop.sonapharmacy.com/products/black-elderberry-syrup")</f>
        <v>https://shop.sonapharmacy.com/products/black-elderberry-syrup</v>
      </c>
      <c r="C4425" t="s">
        <v>12610</v>
      </c>
      <c r="D4425" t="s">
        <v>12611</v>
      </c>
      <c r="E4425" s="3" t="str">
        <f>HYPERLINK("https://www.amazon.com/Gaia-Herbs-Black-Elderberry-Syrup/dp/B0036THLPE/ref=sr_1_2?keywords=Gaia%C2%AE+Herbs+Black+Elderberry+Syrup&amp;qid=1695260262&amp;sr=8-2", "https://www.amazon.com/Gaia-Herbs-Black-Elderberry-Syrup/dp/B0036THLPE/ref=sr_1_2?keywords=Gaia%C2%AE+Herbs+Black+Elderberry+Syrup&amp;qid=1695260262&amp;sr=8-2")</f>
        <v>https://www.amazon.com/Gaia-Herbs-Black-Elderberry-Syrup/dp/B0036THLPE/ref=sr_1_2?keywords=Gaia%C2%AE+Herbs+Black+Elderberry+Syrup&amp;qid=1695260262&amp;sr=8-2</v>
      </c>
      <c r="F4425" t="s">
        <v>12612</v>
      </c>
      <c r="G4425" t="e">
        <f ca="1">IMAGE("https://shop.sonapharmacy.com/cdn/shop/products/61rAyFGkWBL._AC_SL1200.jpg?v=1610559041")</f>
        <v>#NAME?</v>
      </c>
      <c r="H4425" t="e">
        <f ca="1">IMAGE("https://m.media-amazon.com/images/I/71nipzU8EhL._AC_UL320_.jpg")</f>
        <v>#NAME?</v>
      </c>
      <c r="I4425" t="s">
        <v>11374</v>
      </c>
      <c r="J4425">
        <v>30.75</v>
      </c>
      <c r="K4425" s="2" t="s">
        <v>12613</v>
      </c>
      <c r="L4425">
        <v>4.7</v>
      </c>
      <c r="M4425">
        <v>2768</v>
      </c>
      <c r="O4425" t="s">
        <v>26</v>
      </c>
      <c r="P4425" t="s">
        <v>39</v>
      </c>
      <c r="Q4425" t="s">
        <v>12614</v>
      </c>
    </row>
    <row r="4426" spans="1:17" ht="15.75" x14ac:dyDescent="0.25">
      <c r="A4426" s="3" t="str">
        <f>HYPERLINK("https://shop.sonapharmacy.com/products/resinol-medicated-ointment-3-3oz", "https://shop.sonapharmacy.com/products/resinol-medicated-ointment-3-3oz")</f>
        <v>https://shop.sonapharmacy.com/products/resinol-medicated-ointment-3-3oz</v>
      </c>
      <c r="B4426" s="3" t="str">
        <f>HYPERLINK("https://shop.sonapharmacy.com/products/resinol-medicated-ointment-3-3oz", "https://shop.sonapharmacy.com/products/resinol-medicated-ointment-3-3oz")</f>
        <v>https://shop.sonapharmacy.com/products/resinol-medicated-ointment-3-3oz</v>
      </c>
      <c r="C4426" t="s">
        <v>8612</v>
      </c>
      <c r="D4426" t="s">
        <v>12615</v>
      </c>
      <c r="E4426" s="3" t="str">
        <f>HYPERLINK("https://www.amazon.com/Resinol-Medicated-Ointment-1-25-Pack/dp/B000WVPI7C/ref=sr_1_10?keywords=Resinol+Medicated+Ointment+3.3oz&amp;qid=1695260673&amp;sr=8-10", "https://www.amazon.com/Resinol-Medicated-Ointment-1-25-Pack/dp/B000WVPI7C/ref=sr_1_10?keywords=Resinol+Medicated+Ointment+3.3oz&amp;qid=1695260673&amp;sr=8-10")</f>
        <v>https://www.amazon.com/Resinol-Medicated-Ointment-1-25-Pack/dp/B000WVPI7C/ref=sr_1_10?keywords=Resinol+Medicated+Ointment+3.3oz&amp;qid=1695260673&amp;sr=8-10</v>
      </c>
      <c r="F4426" t="s">
        <v>12616</v>
      </c>
      <c r="G4426" t="e">
        <f ca="1">IMAGE("https://shop.sonapharmacy.com/cdn/shop/products/61SYOFBFkKL._AC_SL1237.jpg?v=1607970374")</f>
        <v>#NAME?</v>
      </c>
      <c r="H4426" t="e">
        <f ca="1">IMAGE("https://m.media-amazon.com/images/I/61Pj2CN4F1L._AC_UL320_.jpg")</f>
        <v>#NAME?</v>
      </c>
      <c r="I4426" t="s">
        <v>8615</v>
      </c>
      <c r="J4426">
        <v>17.989999999999998</v>
      </c>
      <c r="K4426" s="2" t="s">
        <v>12617</v>
      </c>
      <c r="L4426">
        <v>4.7</v>
      </c>
      <c r="M4426">
        <v>458</v>
      </c>
      <c r="O4426" t="s">
        <v>136</v>
      </c>
      <c r="P4426" t="s">
        <v>39</v>
      </c>
      <c r="Q4426" t="s">
        <v>8617</v>
      </c>
    </row>
    <row r="4427" spans="1:17" ht="15.75" x14ac:dyDescent="0.25">
      <c r="A4427" s="3" t="str">
        <f>HYPERLINK("https://shop.sonapharmacy.com/products/apex%C2%AE-copper-bracelet-wide-link", "https://shop.sonapharmacy.com/products/apex%C2%AE-copper-bracelet-wide-link")</f>
        <v>https://shop.sonapharmacy.com/products/apex%C2%AE-copper-bracelet-wide-link</v>
      </c>
      <c r="B4427" s="3" t="str">
        <f>HYPERLINK("https://shop.sonapharmacy.com/products/apex%c2%ae-copper-bracelet-wide-link", "https://shop.sonapharmacy.com/products/apex%c2%ae-copper-bracelet-wide-link")</f>
        <v>https://shop.sonapharmacy.com/products/apex%c2%ae-copper-bracelet-wide-link</v>
      </c>
      <c r="C4427" t="s">
        <v>10543</v>
      </c>
      <c r="D4427" t="s">
        <v>12618</v>
      </c>
      <c r="E4427" s="3" t="str">
        <f>HYPERLINK("https://www.amazon.com/Copper-Cuban-Bracelet-Relief-Arthritis/dp/B09ZK4DPR3/ref=sr_1_4?keywords=Apex+Copper+Bracelet+Wide+Link&amp;qid=1695260007&amp;sr=8-4", "https://www.amazon.com/Copper-Cuban-Bracelet-Relief-Arthritis/dp/B09ZK4DPR3/ref=sr_1_4?keywords=Apex+Copper+Bracelet+Wide+Link&amp;qid=1695260007&amp;sr=8-4")</f>
        <v>https://www.amazon.com/Copper-Cuban-Bracelet-Relief-Arthritis/dp/B09ZK4DPR3/ref=sr_1_4?keywords=Apex+Copper+Bracelet+Wide+Link&amp;qid=1695260007&amp;sr=8-4</v>
      </c>
      <c r="F4427" t="s">
        <v>12619</v>
      </c>
      <c r="G4427" t="e">
        <f ca="1">IMAGE("https://shop.sonapharmacy.com/cdn/shop/products/71VE0YzNdrL._AC_SL1500.jpg?v=1609958190")</f>
        <v>#NAME?</v>
      </c>
      <c r="H4427" t="e">
        <f ca="1">IMAGE("https://m.media-amazon.com/images/I/51DdeV44P2L._AC_UL320_.jpg")</f>
        <v>#NAME?</v>
      </c>
      <c r="I4427" t="s">
        <v>10546</v>
      </c>
      <c r="J4427">
        <v>22.99</v>
      </c>
      <c r="K4427" s="2" t="s">
        <v>12620</v>
      </c>
      <c r="L4427">
        <v>4</v>
      </c>
      <c r="M4427">
        <v>9</v>
      </c>
      <c r="O4427" t="s">
        <v>136</v>
      </c>
      <c r="P4427" t="s">
        <v>39</v>
      </c>
      <c r="Q4427" t="s">
        <v>10548</v>
      </c>
    </row>
    <row r="4428" spans="1:17" ht="15.75" x14ac:dyDescent="0.25">
      <c r="A4428" s="3" t="str">
        <f>HYPERLINK("https://shop.sonapharmacy.com/products/preservision-areds-formula-tablets", "https://shop.sonapharmacy.com/products/preservision-areds-formula-tablets")</f>
        <v>https://shop.sonapharmacy.com/products/preservision-areds-formula-tablets</v>
      </c>
      <c r="B4428" s="3" t="str">
        <f>HYPERLINK("https://shop.sonapharmacy.com/products/preservision-areds-formula-tablets", "https://shop.sonapharmacy.com/products/preservision-areds-formula-tablets")</f>
        <v>https://shop.sonapharmacy.com/products/preservision-areds-formula-tablets</v>
      </c>
      <c r="C4428" t="s">
        <v>12621</v>
      </c>
      <c r="D4428" t="s">
        <v>12622</v>
      </c>
      <c r="E4428" s="3" t="str">
        <f>HYPERLINK("https://www.amazon.com/PreserVision%C2%AE-Formula-Vitamin-Supplement-Chewables/dp/B0C6R3ZCG6/ref=sr_1_3?keywords=PreserVision+AREDS+Formula+Tablets&amp;qid=1695260654&amp;sr=8-3", "https://www.amazon.com/PreserVision%C2%AE-Formula-Vitamin-Supplement-Chewables/dp/B0C6R3ZCG6/ref=sr_1_3?keywords=PreserVision+AREDS+Formula+Tablets&amp;qid=1695260654&amp;sr=8-3")</f>
        <v>https://www.amazon.com/PreserVision%C2%AE-Formula-Vitamin-Supplement-Chewables/dp/B0C6R3ZCG6/ref=sr_1_3?keywords=PreserVision+AREDS+Formula+Tablets&amp;qid=1695260654&amp;sr=8-3</v>
      </c>
      <c r="F4428" t="s">
        <v>12623</v>
      </c>
      <c r="G4428" t="e">
        <f ca="1">IMAGE("https://shop.sonapharmacy.com/cdn/shop/products/3_362f347b-f283-4cc3-9d21-e49b495799a1.jpg?v=1589905823")</f>
        <v>#NAME?</v>
      </c>
      <c r="H4428" t="e">
        <f ca="1">IMAGE("https://m.media-amazon.com/images/I/81iuDbsPWDL._AC_UL320_.jpg")</f>
        <v>#NAME?</v>
      </c>
      <c r="I4428" t="s">
        <v>12624</v>
      </c>
      <c r="J4428">
        <v>26.58</v>
      </c>
      <c r="K4428" s="2" t="s">
        <v>12625</v>
      </c>
      <c r="L4428">
        <v>4.5999999999999996</v>
      </c>
      <c r="M4428">
        <v>19</v>
      </c>
      <c r="O4428" t="s">
        <v>26</v>
      </c>
      <c r="P4428" t="s">
        <v>39</v>
      </c>
      <c r="Q4428" t="s">
        <v>12626</v>
      </c>
    </row>
    <row r="4429" spans="1:17" ht="15.75" x14ac:dyDescent="0.25">
      <c r="A4429" s="3" t="str">
        <f>HYPERLINK("https://shop.sonapharmacy.com/products/similasan-kids-cold-mucus-relief%E2%84%A2-plus-echinacea", "https://shop.sonapharmacy.com/products/similasan-kids-cold-mucus-relief%E2%84%A2-plus-echinacea")</f>
        <v>https://shop.sonapharmacy.com/products/similasan-kids-cold-mucus-relief%E2%84%A2-plus-echinacea</v>
      </c>
      <c r="B4429" s="3" t="str">
        <f>HYPERLINK("https://shop.sonapharmacy.com/products/similasan-kids-cold-mucus-relief%e2%84%a2-plus-echinacea", "https://shop.sonapharmacy.com/products/similasan-kids-cold-mucus-relief%e2%84%a2-plus-echinacea")</f>
        <v>https://shop.sonapharmacy.com/products/similasan-kids-cold-mucus-relief%e2%84%a2-plus-echinacea</v>
      </c>
      <c r="C4429" t="s">
        <v>8860</v>
      </c>
      <c r="D4429" t="s">
        <v>12627</v>
      </c>
      <c r="E4429" s="3" t="str">
        <f>HYPERLINK("https://www.amazon.com/Similasan-Echinacea-Congestion-Formulated-Ingredients/dp/B002CPPP42/ref=sr_1_2?keywords=Similasan%C2%AE+Kids+Cold+%26+Mucus+Relief%E2%84%A2+Plus+Echinacea&amp;qid=1695260710&amp;sr=8-2", "https://www.amazon.com/Similasan-Echinacea-Congestion-Formulated-Ingredients/dp/B002CPPP42/ref=sr_1_2?keywords=Similasan%C2%AE+Kids+Cold+%26+Mucus+Relief%E2%84%A2+Plus+Echinacea&amp;qid=1695260710&amp;sr=8-2")</f>
        <v>https://www.amazon.com/Similasan-Echinacea-Congestion-Formulated-Ingredients/dp/B002CPPP42/ref=sr_1_2?keywords=Similasan%C2%AE+Kids+Cold+%26+Mucus+Relief%E2%84%A2+Plus+Echinacea&amp;qid=1695260710&amp;sr=8-2</v>
      </c>
      <c r="F4429" t="s">
        <v>12628</v>
      </c>
      <c r="G4429" t="e">
        <f ca="1">IMAGE("https://shop.sonapharmacy.com/cdn/shop/products/Untitled-143.jpg?v=1593020548")</f>
        <v>#NAME?</v>
      </c>
      <c r="H4429" t="e">
        <f ca="1">IMAGE("https://m.media-amazon.com/images/I/61msKn1uXLL._AC_UL320_.jpg")</f>
        <v>#NAME?</v>
      </c>
      <c r="I4429" t="s">
        <v>8863</v>
      </c>
      <c r="J4429">
        <v>12.09</v>
      </c>
      <c r="K4429" s="2" t="s">
        <v>12629</v>
      </c>
      <c r="L4429">
        <v>4.7</v>
      </c>
      <c r="M4429">
        <v>213</v>
      </c>
      <c r="O4429" t="s">
        <v>26</v>
      </c>
      <c r="P4429" t="s">
        <v>39</v>
      </c>
      <c r="Q4429" t="s">
        <v>8865</v>
      </c>
    </row>
    <row r="4430" spans="1:17" ht="15.75" x14ac:dyDescent="0.25">
      <c r="A4430" s="3" t="str">
        <f>HYPERLINK("https://shop.sonapharmacy.com/products/eos%C2%AE-watermelon-frose-lip-balm", "https://shop.sonapharmacy.com/products/eos%C2%AE-watermelon-frose-lip-balm")</f>
        <v>https://shop.sonapharmacy.com/products/eos%C2%AE-watermelon-frose-lip-balm</v>
      </c>
      <c r="B4430" s="3" t="str">
        <f>HYPERLINK("https://shop.sonapharmacy.com/products/eos%c2%ae-watermelon-frose-lip-balm", "https://shop.sonapharmacy.com/products/eos%c2%ae-watermelon-frose-lip-balm")</f>
        <v>https://shop.sonapharmacy.com/products/eos%c2%ae-watermelon-frose-lip-balm</v>
      </c>
      <c r="C4430" t="s">
        <v>9487</v>
      </c>
      <c r="D4430" t="s">
        <v>12630</v>
      </c>
      <c r="E4430" s="3" t="str">
        <f>HYPERLINK("https://www.amazon.com/eos-Natural-Watermelon-Moisture-Products/dp/B0BNP3W2ZW/ref=sr_1_3?keywords=EOS%C2%AE+Watermelon+Fros%C3%A9+Lip+Balm&amp;qid=1695260219&amp;rdc=1&amp;sr=8-3", "https://www.amazon.com/eos-Natural-Watermelon-Moisture-Products/dp/B0BNP3W2ZW/ref=sr_1_3?keywords=EOS%C2%AE+Watermelon+Fros%C3%A9+Lip+Balm&amp;qid=1695260219&amp;rdc=1&amp;sr=8-3")</f>
        <v>https://www.amazon.com/eos-Natural-Watermelon-Moisture-Products/dp/B0BNP3W2ZW/ref=sr_1_3?keywords=EOS%C2%AE+Watermelon+Fros%C3%A9+Lip+Balm&amp;qid=1695260219&amp;rdc=1&amp;sr=8-3</v>
      </c>
      <c r="F4430" t="s">
        <v>12631</v>
      </c>
      <c r="G4430" t="e">
        <f ca="1">IMAGE("https://shop.sonapharmacy.com/cdn/shop/products/61gAMrKDRrL._AC_SL1400.jpg?v=1613747996")</f>
        <v>#NAME?</v>
      </c>
      <c r="H4430" t="e">
        <f ca="1">IMAGE("https://m.media-amazon.com/images/I/71gxeBQl-xL._AC_UL320_.jpg")</f>
        <v>#NAME?</v>
      </c>
      <c r="I4430" t="s">
        <v>9490</v>
      </c>
      <c r="J4430">
        <v>4.99</v>
      </c>
      <c r="K4430" s="2" t="s">
        <v>12632</v>
      </c>
      <c r="L4430">
        <v>4.5</v>
      </c>
      <c r="M4430">
        <v>24</v>
      </c>
      <c r="O4430" t="s">
        <v>26</v>
      </c>
      <c r="P4430" t="s">
        <v>39</v>
      </c>
      <c r="Q4430" t="s">
        <v>9492</v>
      </c>
    </row>
    <row r="4431" spans="1:17" ht="15.75" x14ac:dyDescent="0.25">
      <c r="A4431" s="3" t="str">
        <f>HYPERLINK("https://shop.sonapharmacy.com/products/fergon-high-potency-iron-supplement-tablets", "https://shop.sonapharmacy.com/products/fergon-high-potency-iron-supplement-tablets")</f>
        <v>https://shop.sonapharmacy.com/products/fergon-high-potency-iron-supplement-tablets</v>
      </c>
      <c r="B4431" s="3" t="str">
        <f>HYPERLINK("https://shop.sonapharmacy.com/products/fergon-high-potency-iron-supplement-tablets", "https://shop.sonapharmacy.com/products/fergon-high-potency-iron-supplement-tablets")</f>
        <v>https://shop.sonapharmacy.com/products/fergon-high-potency-iron-supplement-tablets</v>
      </c>
      <c r="C4431" t="s">
        <v>10827</v>
      </c>
      <c r="D4431" t="s">
        <v>12633</v>
      </c>
      <c r="E4431" s="3" t="str">
        <f>HYPERLINK("https://www.amazon.com/Slow-Fe-Release-Supplement-Tablets/dp/B00ZQUDWIG/ref=sr_1_10?keywords=Fergon%C2%AE+High+Potency+Iron+Supplement+Tablets&amp;qid=1695260232&amp;rdc=1&amp;sr=8-10", "https://www.amazon.com/Slow-Fe-Release-Supplement-Tablets/dp/B00ZQUDWIG/ref=sr_1_10?keywords=Fergon%C2%AE+High+Potency+Iron+Supplement+Tablets&amp;qid=1695260232&amp;rdc=1&amp;sr=8-10")</f>
        <v>https://www.amazon.com/Slow-Fe-Release-Supplement-Tablets/dp/B00ZQUDWIG/ref=sr_1_10?keywords=Fergon%C2%AE+High+Potency+Iron+Supplement+Tablets&amp;qid=1695260232&amp;rdc=1&amp;sr=8-10</v>
      </c>
      <c r="F4431" t="s">
        <v>12634</v>
      </c>
      <c r="G4431" t="e">
        <f ca="1">IMAGE("https://shop.sonapharmacy.com/cdn/shop/products/FergonHighPotencyIronSupplementTabletsFergonHighPotencyIronSupplementTablets.jpg?v=1595010428")</f>
        <v>#NAME?</v>
      </c>
      <c r="H4431" t="e">
        <f ca="1">IMAGE("https://m.media-amazon.com/images/I/71BjLnOtgoL._AC_UL320_.jpg")</f>
        <v>#NAME?</v>
      </c>
      <c r="I4431" t="s">
        <v>9258</v>
      </c>
      <c r="J4431">
        <v>16.649999999999999</v>
      </c>
      <c r="K4431" s="2" t="s">
        <v>12635</v>
      </c>
      <c r="L4431">
        <v>4.7</v>
      </c>
      <c r="M4431">
        <v>9252</v>
      </c>
      <c r="O4431" t="s">
        <v>26</v>
      </c>
      <c r="P4431" t="s">
        <v>39</v>
      </c>
      <c r="Q4431" t="s">
        <v>10831</v>
      </c>
    </row>
    <row r="4432" spans="1:17" ht="15.75" x14ac:dyDescent="0.25">
      <c r="A4432" s="3" t="str">
        <f>HYPERLINK("https://shop.sonapharmacy.com/products/vitamin-c-powder", "https://shop.sonapharmacy.com/products/vitamin-c-powder")</f>
        <v>https://shop.sonapharmacy.com/products/vitamin-c-powder</v>
      </c>
      <c r="B4432" s="3" t="str">
        <f>HYPERLINK("https://shop.sonapharmacy.com/products/vitamin-c-powder", "https://shop.sonapharmacy.com/products/vitamin-c-powder")</f>
        <v>https://shop.sonapharmacy.com/products/vitamin-c-powder</v>
      </c>
      <c r="C4432" t="s">
        <v>12636</v>
      </c>
      <c r="D4432" t="s">
        <v>12637</v>
      </c>
      <c r="E4432" s="3" t="str">
        <f>HYPERLINK("https://www.amazon.com/Metabolic-Maintenance-Vitamin-Reduced-Servings/dp/B000NBWNJW/ref=sr_1_2?keywords=Metabolic+Maintenance%C2%AE+Vitamin+C+Powder&amp;qid=1695260461&amp;sr=8-2", "https://www.amazon.com/Metabolic-Maintenance-Vitamin-Reduced-Servings/dp/B000NBWNJW/ref=sr_1_2?keywords=Metabolic+Maintenance%C2%AE+Vitamin+C+Powder&amp;qid=1695260461&amp;sr=8-2")</f>
        <v>https://www.amazon.com/Metabolic-Maintenance-Vitamin-Reduced-Servings/dp/B000NBWNJW/ref=sr_1_2?keywords=Metabolic+Maintenance%C2%AE+Vitamin+C+Powder&amp;qid=1695260461&amp;sr=8-2</v>
      </c>
      <c r="F4432" t="s">
        <v>12638</v>
      </c>
      <c r="G4432" t="e">
        <f ca="1">IMAGE("https://shop.sonapharmacy.com/cdn/shop/products/vitamin-c-powder-1000-mg-MTM_main_1.jpg?v=1609359658")</f>
        <v>#NAME?</v>
      </c>
      <c r="H4432" t="e">
        <f ca="1">IMAGE("https://m.media-amazon.com/images/I/61KypcAFlxL._AC_UL320_.jpg")</f>
        <v>#NAME?</v>
      </c>
      <c r="I4432" t="s">
        <v>12639</v>
      </c>
      <c r="J4432">
        <v>55.5</v>
      </c>
      <c r="K4432" s="2" t="s">
        <v>12640</v>
      </c>
      <c r="L4432">
        <v>4</v>
      </c>
      <c r="M4432">
        <v>56</v>
      </c>
      <c r="O4432" t="s">
        <v>26</v>
      </c>
      <c r="P4432" t="s">
        <v>39</v>
      </c>
      <c r="Q4432" t="s">
        <v>12641</v>
      </c>
    </row>
    <row r="4433" spans="1:17" ht="15.75" x14ac:dyDescent="0.25">
      <c r="A4433" s="3" t="str">
        <f>HYPERLINK("https://shop.sonapharmacy.com/products/refresh-optive%C2%AE-advanced-triple-action-relief-eye-drops", "https://shop.sonapharmacy.com/products/refresh-optive%C2%AE-advanced-triple-action-relief-eye-drops")</f>
        <v>https://shop.sonapharmacy.com/products/refresh-optive%C2%AE-advanced-triple-action-relief-eye-drops</v>
      </c>
      <c r="B4433" s="3" t="str">
        <f>HYPERLINK("https://shop.sonapharmacy.com/products/refresh-optive%c2%ae-advanced-triple-action-relief-eye-drops", "https://shop.sonapharmacy.com/products/refresh-optive%c2%ae-advanced-triple-action-relief-eye-drops")</f>
        <v>https://shop.sonapharmacy.com/products/refresh-optive%c2%ae-advanced-triple-action-relief-eye-drops</v>
      </c>
      <c r="C4433" t="s">
        <v>10731</v>
      </c>
      <c r="D4433" t="s">
        <v>12642</v>
      </c>
      <c r="E4433" s="3"/>
      <c r="F4433" t="s">
        <v>12643</v>
      </c>
      <c r="G4433" t="e">
        <f ca="1">IMAGE("https://shop.sonapharmacy.com/cdn/shop/products/refresh-optive-advanced-presfree-hero-packaging.png?v=1608823825")</f>
        <v>#NAME?</v>
      </c>
      <c r="H4433" t="e">
        <f ca="1">IMAGE("https://m.media-amazon.com/images/I/71OHugouj7L._AC_UL320_.jpg")</f>
        <v>#NAME?</v>
      </c>
      <c r="I4433" t="s">
        <v>4814</v>
      </c>
      <c r="J4433">
        <v>24.95</v>
      </c>
      <c r="K4433" s="2" t="s">
        <v>12644</v>
      </c>
      <c r="L4433">
        <v>4.0999999999999996</v>
      </c>
      <c r="M4433">
        <v>469</v>
      </c>
      <c r="O4433" t="s">
        <v>26</v>
      </c>
      <c r="P4433" t="s">
        <v>39</v>
      </c>
      <c r="Q4433" t="s">
        <v>10735</v>
      </c>
    </row>
    <row r="4434" spans="1:17" ht="15.75" x14ac:dyDescent="0.25">
      <c r="A4434" s="3" t="str">
        <f>HYPERLINK("https://shop.sonapharmacy.com/products/mueller%C2%AE-tennis-elbow-support-one-size", "https://shop.sonapharmacy.com/products/mueller%C2%AE-tennis-elbow-support-one-size")</f>
        <v>https://shop.sonapharmacy.com/products/mueller%C2%AE-tennis-elbow-support-one-size</v>
      </c>
      <c r="B4434" s="3" t="str">
        <f>HYPERLINK("https://shop.sonapharmacy.com/products/mueller%c2%ae-tennis-elbow-support-one-size", "https://shop.sonapharmacy.com/products/mueller%c2%ae-tennis-elbow-support-one-size")</f>
        <v>https://shop.sonapharmacy.com/products/mueller%c2%ae-tennis-elbow-support-one-size</v>
      </c>
      <c r="C4434" t="s">
        <v>10799</v>
      </c>
      <c r="D4434" t="s">
        <v>12645</v>
      </c>
      <c r="E4434" s="3" t="str">
        <f>HYPERLINK("https://www.amazon.com/Mueller-Tennis-Elbow-Support-Black/dp/B0027VOS8U/ref=sr_1_1?keywords=Mueller%C2%AE+Tennis+Elbow+Support+One+Size&amp;qid=1695260546&amp;sr=8-1", "https://www.amazon.com/Mueller-Tennis-Elbow-Support-Black/dp/B0027VOS8U/ref=sr_1_1?keywords=Mueller%C2%AE+Tennis+Elbow+Support+One+Size&amp;qid=1695260546&amp;sr=8-1")</f>
        <v>https://www.amazon.com/Mueller-Tennis-Elbow-Support-Black/dp/B0027VOS8U/ref=sr_1_1?keywords=Mueller%C2%AE+Tennis+Elbow+Support+One+Size&amp;qid=1695260546&amp;sr=8-1</v>
      </c>
      <c r="F4434" t="s">
        <v>12646</v>
      </c>
      <c r="G4434" t="e">
        <f ca="1">IMAGE("https://shop.sonapharmacy.com/cdn/shop/products/e185fb8e-8c56-567a-8c68-978b95b8d194_800x_864b98f0-5feb-4d46-84fd-45e380a93c55.png?v=1609866379")</f>
        <v>#NAME?</v>
      </c>
      <c r="H4434" t="e">
        <f ca="1">IMAGE("https://m.media-amazon.com/images/I/71dQ3hhS2nL._AC_UL320_.jpg")</f>
        <v>#NAME?</v>
      </c>
      <c r="I4434" t="s">
        <v>10802</v>
      </c>
      <c r="J4434">
        <v>15.71</v>
      </c>
      <c r="K4434" s="2" t="s">
        <v>12647</v>
      </c>
      <c r="L4434">
        <v>4.4000000000000004</v>
      </c>
      <c r="M4434">
        <v>748</v>
      </c>
      <c r="O4434" t="s">
        <v>26</v>
      </c>
      <c r="P4434" t="s">
        <v>39</v>
      </c>
      <c r="Q4434" t="s">
        <v>10804</v>
      </c>
    </row>
    <row r="4435" spans="1:17" ht="15.75" x14ac:dyDescent="0.25">
      <c r="A4435" s="3" t="str">
        <f>HYPERLINK("https://shop.sonapharmacy.com/products/eos%C2%AE-watermelon-frose-lip-balm", "https://shop.sonapharmacy.com/products/eos%C2%AE-watermelon-frose-lip-balm")</f>
        <v>https://shop.sonapharmacy.com/products/eos%C2%AE-watermelon-frose-lip-balm</v>
      </c>
      <c r="B4435" s="3" t="str">
        <f>HYPERLINK("https://shop.sonapharmacy.com/products/eos%c2%ae-watermelon-frose-lip-balm", "https://shop.sonapharmacy.com/products/eos%c2%ae-watermelon-frose-lip-balm")</f>
        <v>https://shop.sonapharmacy.com/products/eos%c2%ae-watermelon-frose-lip-balm</v>
      </c>
      <c r="C4435" t="s">
        <v>9487</v>
      </c>
      <c r="D4435" t="s">
        <v>12648</v>
      </c>
      <c r="E4435" s="3" t="str">
        <f>HYPERLINK("https://www.amazon.com/eos-Moisture-Watermelon-Treatment-Sensitive/dp/B0C7SHF5NP/ref=sr_1_2?keywords=EOS%C2%AE+Watermelon+Fros%C3%A9+Lip+Balm&amp;qid=1695260219&amp;sr=8-2", "https://www.amazon.com/eos-Moisture-Watermelon-Treatment-Sensitive/dp/B0C7SHF5NP/ref=sr_1_2?keywords=EOS%C2%AE+Watermelon+Fros%C3%A9+Lip+Balm&amp;qid=1695260219&amp;sr=8-2")</f>
        <v>https://www.amazon.com/eos-Moisture-Watermelon-Treatment-Sensitive/dp/B0C7SHF5NP/ref=sr_1_2?keywords=EOS%C2%AE+Watermelon+Fros%C3%A9+Lip+Balm&amp;qid=1695260219&amp;sr=8-2</v>
      </c>
      <c r="F4435" t="s">
        <v>12649</v>
      </c>
      <c r="G4435" t="e">
        <f ca="1">IMAGE("https://shop.sonapharmacy.com/cdn/shop/products/61gAMrKDRrL._AC_SL1400.jpg?v=1613747996")</f>
        <v>#NAME?</v>
      </c>
      <c r="H4435" t="e">
        <f ca="1">IMAGE("https://m.media-amazon.com/images/I/81M6+IIENHL._AC_UL320_.jpg")</f>
        <v>#NAME?</v>
      </c>
      <c r="I4435" t="s">
        <v>9490</v>
      </c>
      <c r="J4435">
        <v>4.97</v>
      </c>
      <c r="K4435" s="2" t="s">
        <v>12650</v>
      </c>
      <c r="L4435">
        <v>4.7</v>
      </c>
      <c r="M4435">
        <v>135</v>
      </c>
      <c r="O4435" t="s">
        <v>26</v>
      </c>
      <c r="P4435" t="s">
        <v>39</v>
      </c>
      <c r="Q4435" t="s">
        <v>9492</v>
      </c>
    </row>
    <row r="4436" spans="1:17" ht="15.75" x14ac:dyDescent="0.25">
      <c r="A4436" s="3" t="str">
        <f>HYPERLINK("https://shop.sonapharmacy.com/products/mueller%C2%AE-adjustable-knee-support-one-size", "https://shop.sonapharmacy.com/products/mueller%C2%AE-adjustable-knee-support-one-size")</f>
        <v>https://shop.sonapharmacy.com/products/mueller%C2%AE-adjustable-knee-support-one-size</v>
      </c>
      <c r="B4436" s="3" t="str">
        <f>HYPERLINK("https://shop.sonapharmacy.com/products/mueller%c2%ae-adjustable-knee-support-one-size", "https://shop.sonapharmacy.com/products/mueller%c2%ae-adjustable-knee-support-one-size")</f>
        <v>https://shop.sonapharmacy.com/products/mueller%c2%ae-adjustable-knee-support-one-size</v>
      </c>
      <c r="C4436" t="s">
        <v>11984</v>
      </c>
      <c r="D4436" t="s">
        <v>12651</v>
      </c>
      <c r="E4436" s="3" t="str">
        <f>HYPERLINK("https://www.amazon.com/Mueller-Premium-Adjustable-Stabilizer-Black/dp/B08C6RQX4B/ref=sr_1_7?keywords=Mueller%C2%AE+Adjustable+Knee+Support+One+Size&amp;qid=1695260508&amp;sr=8-7", "https://www.amazon.com/Mueller-Premium-Adjustable-Stabilizer-Black/dp/B08C6RQX4B/ref=sr_1_7?keywords=Mueller%C2%AE+Adjustable+Knee+Support+One+Size&amp;qid=1695260508&amp;sr=8-7")</f>
        <v>https://www.amazon.com/Mueller-Premium-Adjustable-Stabilizer-Black/dp/B08C6RQX4B/ref=sr_1_7?keywords=Mueller%C2%AE+Adjustable+Knee+Support+One+Size&amp;qid=1695260508&amp;sr=8-7</v>
      </c>
      <c r="F4436" t="s">
        <v>12652</v>
      </c>
      <c r="G4436" t="e">
        <f ca="1">IMAGE("https://shop.sonapharmacy.com/cdn/shop/products/mueller-fitness-mueller-adjustable-knee-support-with-straps-black_1000x1000_2b28ef4c-e541-48d6-b63b-f578210ad0f6.jpg?v=1609863349")</f>
        <v>#NAME?</v>
      </c>
      <c r="H4436" t="e">
        <f ca="1">IMAGE("https://m.media-amazon.com/images/I/91iRHkje1HL._AC_UL320_.jpg")</f>
        <v>#NAME?</v>
      </c>
      <c r="I4436" t="s">
        <v>11987</v>
      </c>
      <c r="J4436">
        <v>19.57</v>
      </c>
      <c r="K4436" s="2" t="s">
        <v>12653</v>
      </c>
      <c r="L4436">
        <v>4</v>
      </c>
      <c r="M4436">
        <v>9</v>
      </c>
      <c r="O4436" t="s">
        <v>26</v>
      </c>
      <c r="P4436" t="s">
        <v>39</v>
      </c>
      <c r="Q4436" t="s">
        <v>11989</v>
      </c>
    </row>
    <row r="4437" spans="1:17" ht="15.75" x14ac:dyDescent="0.25">
      <c r="A4437" s="3" t="str">
        <f>HYPERLINK("https://shop.sonapharmacy.com/products/poise%C2%AE-pads-moderate-absorbency-regular-length-66ct", "https://shop.sonapharmacy.com/products/poise%C2%AE-pads-moderate-absorbency-regular-length-66ct")</f>
        <v>https://shop.sonapharmacy.com/products/poise%C2%AE-pads-moderate-absorbency-regular-length-66ct</v>
      </c>
      <c r="B4437" s="3" t="str">
        <f>HYPERLINK("https://shop.sonapharmacy.com/products/poise%c2%ae-pads-moderate-absorbency-regular-length-66ct", "https://shop.sonapharmacy.com/products/poise%c2%ae-pads-moderate-absorbency-regular-length-66ct")</f>
        <v>https://shop.sonapharmacy.com/products/poise%c2%ae-pads-moderate-absorbency-regular-length-66ct</v>
      </c>
      <c r="C4437" t="s">
        <v>12332</v>
      </c>
      <c r="D4437" t="s">
        <v>12654</v>
      </c>
      <c r="E4437" s="3" t="str">
        <f>HYPERLINK("https://www.amazon.com/Poise-Incontinence-Moderate-Absorbency-Bladder/dp/B09PFDZZWL/ref=sr_1_9?keywords=Poise%C2%AE+Pads+Moderate+Absorbency+Regular+Length+66ct.&amp;qid=1695260640&amp;rdc=1&amp;sr=8-9", "https://www.amazon.com/Poise-Incontinence-Moderate-Absorbency-Bladder/dp/B09PFDZZWL/ref=sr_1_9?keywords=Poise%C2%AE+Pads+Moderate+Absorbency+Regular+Length+66ct.&amp;qid=1695260640&amp;rdc=1&amp;sr=8-9")</f>
        <v>https://www.amazon.com/Poise-Incontinence-Moderate-Absorbency-Bladder/dp/B09PFDZZWL/ref=sr_1_9?keywords=Poise%C2%AE+Pads+Moderate+Absorbency+Regular+Length+66ct.&amp;qid=1695260640&amp;rdc=1&amp;sr=8-9</v>
      </c>
      <c r="F4437" t="s">
        <v>12655</v>
      </c>
      <c r="G4437" t="e">
        <f ca="1">IMAGE("https://shop.sonapharmacy.com/cdn/shop/products/71C22tI0qsL._AC_SL1244.jpg?v=1611072543")</f>
        <v>#NAME?</v>
      </c>
      <c r="H4437" t="e">
        <f ca="1">IMAGE("https://m.media-amazon.com/images/I/81aSuZqz8EL._AC_UL320_.jpg")</f>
        <v>#NAME?</v>
      </c>
      <c r="I4437" t="s">
        <v>9290</v>
      </c>
      <c r="J4437">
        <v>23.49</v>
      </c>
      <c r="K4437" s="2" t="s">
        <v>12656</v>
      </c>
      <c r="L4437">
        <v>4.5999999999999996</v>
      </c>
      <c r="M4437">
        <v>3019</v>
      </c>
      <c r="O4437" t="s">
        <v>26</v>
      </c>
      <c r="P4437" t="s">
        <v>39</v>
      </c>
      <c r="Q4437" t="s">
        <v>12336</v>
      </c>
    </row>
    <row r="4438" spans="1:17" ht="15.75" x14ac:dyDescent="0.25">
      <c r="A4438" s="3" t="str">
        <f>HYPERLINK("https://shop.sonapharmacy.com/products/band-aid-hurt-free-wrap", "https://shop.sonapharmacy.com/products/band-aid-hurt-free-wrap")</f>
        <v>https://shop.sonapharmacy.com/products/band-aid-hurt-free-wrap</v>
      </c>
      <c r="B4438" s="3" t="str">
        <f>HYPERLINK("https://shop.sonapharmacy.com/products/band-aid-hurt-free-wrap", "https://shop.sonapharmacy.com/products/band-aid-hurt-free-wrap")</f>
        <v>https://shop.sonapharmacy.com/products/band-aid-hurt-free-wrap</v>
      </c>
      <c r="C4438" t="s">
        <v>8067</v>
      </c>
      <c r="D4438" t="s">
        <v>12657</v>
      </c>
      <c r="E4438" s="3" t="str">
        <f>HYPERLINK("https://www.amazon.com/Band-Small-Hurt-Free-Wrap/dp/B00O30TQVM/ref=sr_1_7?keywords=BAND-AID%C2%AE+Hurt-Free+Wrap&amp;qid=1695260060&amp;sr=8-7", "https://www.amazon.com/Band-Small-Hurt-Free-Wrap/dp/B00O30TQVM/ref=sr_1_7?keywords=BAND-AID%C2%AE+Hurt-Free+Wrap&amp;qid=1695260060&amp;sr=8-7")</f>
        <v>https://www.amazon.com/Band-Small-Hurt-Free-Wrap/dp/B00O30TQVM/ref=sr_1_7?keywords=BAND-AID%C2%AE+Hurt-Free+Wrap&amp;qid=1695260060&amp;sr=8-7</v>
      </c>
      <c r="F4438" t="s">
        <v>12658</v>
      </c>
      <c r="G4438" t="e">
        <f ca="1">IMAGE("https://shop.sonapharmacy.com/cdn/shop/products/band_aid_us_pho_pac_18_1_3088478.jpg?v=1607697047")</f>
        <v>#NAME?</v>
      </c>
      <c r="H4438" t="e">
        <f ca="1">IMAGE("https://m.media-amazon.com/images/I/81rt3VgEH2L._AC_UL320_.jpg")</f>
        <v>#NAME?</v>
      </c>
      <c r="I4438" t="s">
        <v>8070</v>
      </c>
      <c r="J4438">
        <v>9.99</v>
      </c>
      <c r="K4438" s="2" t="s">
        <v>12659</v>
      </c>
      <c r="L4438">
        <v>4.4000000000000004</v>
      </c>
      <c r="M4438">
        <v>22</v>
      </c>
      <c r="O4438" t="s">
        <v>26</v>
      </c>
      <c r="P4438" t="s">
        <v>39</v>
      </c>
      <c r="Q4438" t="s">
        <v>8072</v>
      </c>
    </row>
    <row r="4439" spans="1:17" ht="15.75" x14ac:dyDescent="0.25">
      <c r="A4439" s="3" t="str">
        <f>HYPERLINK("https://shop.sonapharmacy.com/products/arrid%E2%84%A2-extra-extra-dry%E2%84%A2-ultra-fresh-aerosol-deodorant-6oz", "https://shop.sonapharmacy.com/products/arrid%E2%84%A2-extra-extra-dry%E2%84%A2-ultra-fresh-aerosol-deodorant-6oz")</f>
        <v>https://shop.sonapharmacy.com/products/arrid%E2%84%A2-extra-extra-dry%E2%84%A2-ultra-fresh-aerosol-deodorant-6oz</v>
      </c>
      <c r="B4439" s="3" t="str">
        <f>HYPERLINK("https://shop.sonapharmacy.com/products/arrid%e2%84%a2-extra-extra-dry%e2%84%a2-ultra-fresh-aerosol-deodorant-6oz", "https://shop.sonapharmacy.com/products/arrid%e2%84%a2-extra-extra-dry%e2%84%a2-ultra-fresh-aerosol-deodorant-6oz")</f>
        <v>https://shop.sonapharmacy.com/products/arrid%e2%84%a2-extra-extra-dry%e2%84%a2-ultra-fresh-aerosol-deodorant-6oz</v>
      </c>
      <c r="C4439" t="s">
        <v>10819</v>
      </c>
      <c r="D4439" t="s">
        <v>12660</v>
      </c>
      <c r="E4439" s="3" t="str">
        <f>HYPERLINK("https://www.amazon.com/Arrid-Ultra-Aerosol-Antiperspirant-Deodorant/dp/B00J7L53KA/ref=sr_1_5?keywords=ARRID+Extra+Extra+Dry+Ultra+Fresh+Aerosol+Deodorant+6oz.&amp;qid=1695260023&amp;sr=8-5", "https://www.amazon.com/Arrid-Ultra-Aerosol-Antiperspirant-Deodorant/dp/B00J7L53KA/ref=sr_1_5?keywords=ARRID+Extra+Extra+Dry+Ultra+Fresh+Aerosol+Deodorant+6oz.&amp;qid=1695260023&amp;sr=8-5")</f>
        <v>https://www.amazon.com/Arrid-Ultra-Aerosol-Antiperspirant-Deodorant/dp/B00J7L53KA/ref=sr_1_5?keywords=ARRID+Extra+Extra+Dry+Ultra+Fresh+Aerosol+Deodorant+6oz.&amp;qid=1695260023&amp;sr=8-5</v>
      </c>
      <c r="F4439" t="s">
        <v>12661</v>
      </c>
      <c r="G4439" t="e">
        <f ca="1">IMAGE("https://shop.sonapharmacy.com/cdn/shop/products/718BtHVNUzL._SL1500.jpg?v=1609098924")</f>
        <v>#NAME?</v>
      </c>
      <c r="H4439" t="e">
        <f ca="1">IMAGE("https://m.media-amazon.com/images/I/71iKgXSdYtL._AC_UL320_.jpg")</f>
        <v>#NAME?</v>
      </c>
      <c r="I4439" t="s">
        <v>10303</v>
      </c>
      <c r="J4439">
        <v>9.3800000000000008</v>
      </c>
      <c r="K4439" s="2" t="s">
        <v>12662</v>
      </c>
      <c r="L4439">
        <v>4.8</v>
      </c>
      <c r="M4439">
        <v>1564</v>
      </c>
      <c r="O4439" t="s">
        <v>26</v>
      </c>
      <c r="P4439" t="s">
        <v>39</v>
      </c>
      <c r="Q4439" t="s">
        <v>10823</v>
      </c>
    </row>
    <row r="4440" spans="1:17" ht="15.75" x14ac:dyDescent="0.25">
      <c r="A4440" s="3" t="str">
        <f>HYPERLINK("https://shop.sonapharmacy.com/products/gelusil%C2%AE-antacid-anti-gas-cool-mint-chewable-tablets-100ct", "https://shop.sonapharmacy.com/products/gelusil%C2%AE-antacid-anti-gas-cool-mint-chewable-tablets-100ct")</f>
        <v>https://shop.sonapharmacy.com/products/gelusil%C2%AE-antacid-anti-gas-cool-mint-chewable-tablets-100ct</v>
      </c>
      <c r="B4440" s="3" t="str">
        <f>HYPERLINK("https://shop.sonapharmacy.com/products/gelusil%c2%ae-antacid-anti-gas-cool-mint-chewable-tablets-100ct", "https://shop.sonapharmacy.com/products/gelusil%c2%ae-antacid-anti-gas-cool-mint-chewable-tablets-100ct")</f>
        <v>https://shop.sonapharmacy.com/products/gelusil%c2%ae-antacid-anti-gas-cool-mint-chewable-tablets-100ct</v>
      </c>
      <c r="C4440" t="s">
        <v>11667</v>
      </c>
      <c r="D4440" t="s">
        <v>12663</v>
      </c>
      <c r="E4440" s="3" t="str">
        <f>HYPERLINK("https://www.amazon.com/Gelusil-Antacid-Tablets-Heartburn-Bloating/dp/B08QQHDXJX/ref=sr_1_3?keywords=Gelusil%C2%AE+Antacid+%26+Anti-Gas+Cool+Mint+Chewable+Tablets+100ct.&amp;qid=1695260295&amp;sr=8-3", "https://www.amazon.com/Gelusil-Antacid-Tablets-Heartburn-Bloating/dp/B08QQHDXJX/ref=sr_1_3?keywords=Gelusil%C2%AE+Antacid+%26+Anti-Gas+Cool+Mint+Chewable+Tablets+100ct.&amp;qid=1695260295&amp;sr=8-3")</f>
        <v>https://www.amazon.com/Gelusil-Antacid-Tablets-Heartburn-Bloating/dp/B08QQHDXJX/ref=sr_1_3?keywords=Gelusil%C2%AE+Antacid+%26+Anti-Gas+Cool+Mint+Chewable+Tablets+100ct.&amp;qid=1695260295&amp;sr=8-3</v>
      </c>
      <c r="F4440" t="s">
        <v>12664</v>
      </c>
      <c r="G4440" t="e">
        <f ca="1">IMAGE("https://shop.sonapharmacy.com/cdn/shop/products/51_tdpqBLL._AC.jpg?v=1610987695")</f>
        <v>#NAME?</v>
      </c>
      <c r="H4440" t="e">
        <f ca="1">IMAGE("https://m.media-amazon.com/images/I/815N-kLjysL._AC_UL320_.jpg")</f>
        <v>#NAME?</v>
      </c>
      <c r="I4440" t="s">
        <v>11610</v>
      </c>
      <c r="J4440">
        <v>15.02</v>
      </c>
      <c r="K4440" s="2" t="s">
        <v>12665</v>
      </c>
      <c r="L4440">
        <v>4.5</v>
      </c>
      <c r="M4440">
        <v>150</v>
      </c>
      <c r="O4440" t="s">
        <v>26</v>
      </c>
      <c r="P4440" t="s">
        <v>39</v>
      </c>
      <c r="Q4440" t="s">
        <v>11671</v>
      </c>
    </row>
    <row r="4441" spans="1:17" ht="15.75" x14ac:dyDescent="0.25">
      <c r="A4441" s="3" t="str">
        <f>HYPERLINK("https://shop.sonapharmacy.com/products/mueller%C2%AE-adjustable-ankle-moderate-support-one-size", "https://shop.sonapharmacy.com/products/mueller%C2%AE-adjustable-ankle-moderate-support-one-size")</f>
        <v>https://shop.sonapharmacy.com/products/mueller%C2%AE-adjustable-ankle-moderate-support-one-size</v>
      </c>
      <c r="B4441" s="3" t="str">
        <f>HYPERLINK("https://shop.sonapharmacy.com/products/mueller%c2%ae-adjustable-ankle-moderate-support-one-size", "https://shop.sonapharmacy.com/products/mueller%c2%ae-adjustable-ankle-moderate-support-one-size")</f>
        <v>https://shop.sonapharmacy.com/products/mueller%c2%ae-adjustable-ankle-moderate-support-one-size</v>
      </c>
      <c r="C4441" t="s">
        <v>11735</v>
      </c>
      <c r="D4441" t="s">
        <v>12666</v>
      </c>
      <c r="E4441" s="3" t="str">
        <f>HYPERLINK("https://www.amazon.com/Mueller-Adjustable-Ankle-Support-Green/dp/B0027VK3G6/ref=sr_1_2?keywords=Mueller%C2%AE+Adjustable+Ankle+Moderate+Support+One+Size&amp;qid=1695260510&amp;sr=8-2", "https://www.amazon.com/Mueller-Adjustable-Ankle-Support-Green/dp/B0027VK3G6/ref=sr_1_2?keywords=Mueller%C2%AE+Adjustable+Ankle+Moderate+Support+One+Size&amp;qid=1695260510&amp;sr=8-2")</f>
        <v>https://www.amazon.com/Mueller-Adjustable-Ankle-Support-Green/dp/B0027VK3G6/ref=sr_1_2?keywords=Mueller%C2%AE+Adjustable+Ankle+Moderate+Support+One+Size&amp;qid=1695260510&amp;sr=8-2</v>
      </c>
      <c r="F4441" t="s">
        <v>12667</v>
      </c>
      <c r="G4441" t="e">
        <f ca="1">IMAGE("https://shop.sonapharmacy.com/cdn/shop/products/41Wb-0af6-L._AC.jpg?v=1609871368")</f>
        <v>#NAME?</v>
      </c>
      <c r="H4441" t="e">
        <f ca="1">IMAGE("https://m.media-amazon.com/images/I/71MKRZzkq8L._AC_UL320_.jpg")</f>
        <v>#NAME?</v>
      </c>
      <c r="I4441" t="s">
        <v>11738</v>
      </c>
      <c r="J4441">
        <v>16.989999999999998</v>
      </c>
      <c r="K4441" s="2" t="s">
        <v>12668</v>
      </c>
      <c r="L4441">
        <v>4</v>
      </c>
      <c r="M4441">
        <v>299</v>
      </c>
      <c r="O4441" t="s">
        <v>26</v>
      </c>
      <c r="P4441" t="s">
        <v>39</v>
      </c>
      <c r="Q4441" t="s">
        <v>11740</v>
      </c>
    </row>
    <row r="4442" spans="1:17" ht="15.75" x14ac:dyDescent="0.25">
      <c r="A4442" s="3" t="str">
        <f>HYPERLINK("https://shop.sonapharmacy.com/products/eos%C2%AE-sweet-mint-lip-balm", "https://shop.sonapharmacy.com/products/eos%C2%AE-sweet-mint-lip-balm")</f>
        <v>https://shop.sonapharmacy.com/products/eos%C2%AE-sweet-mint-lip-balm</v>
      </c>
      <c r="B4442" s="3" t="str">
        <f>HYPERLINK("https://shop.sonapharmacy.com/products/eos%c2%ae-sweet-mint-lip-balm", "https://shop.sonapharmacy.com/products/eos%c2%ae-sweet-mint-lip-balm")</f>
        <v>https://shop.sonapharmacy.com/products/eos%c2%ae-sweet-mint-lip-balm</v>
      </c>
      <c r="C4442" t="s">
        <v>8435</v>
      </c>
      <c r="D4442" t="s">
        <v>12669</v>
      </c>
      <c r="E4442" s="3" t="str">
        <f>HYPERLINK("https://www.amazon.com/eos-Organic-Balm-Sphere-Stick/dp/B07DFW67NT/ref=sr_1_2?keywords=EOS%C2%AE+Sweet+Mint+Lip+Balm&amp;qid=1695260226&amp;rdc=1&amp;sr=8-2", "https://www.amazon.com/eos-Organic-Balm-Sphere-Stick/dp/B07DFW67NT/ref=sr_1_2?keywords=EOS%C2%AE+Sweet+Mint+Lip+Balm&amp;qid=1695260226&amp;rdc=1&amp;sr=8-2")</f>
        <v>https://www.amazon.com/eos-Organic-Balm-Sphere-Stick/dp/B07DFW67NT/ref=sr_1_2?keywords=EOS%C2%AE+Sweet+Mint+Lip+Balm&amp;qid=1695260226&amp;rdc=1&amp;sr=8-2</v>
      </c>
      <c r="F4442" t="s">
        <v>12670</v>
      </c>
      <c r="G4442" t="e">
        <f ca="1">IMAGE("https://shop.sonapharmacy.com/cdn/shop/products/GUEST_b0fdc7d4-45d7-4d76-93a9-fe22762c8990.jpg?v=1610643893")</f>
        <v>#NAME?</v>
      </c>
      <c r="H4442" t="e">
        <f ca="1">IMAGE("https://m.media-amazon.com/images/I/71I05V9NWFL._AC_UL320_.jpg")</f>
        <v>#NAME?</v>
      </c>
      <c r="I4442" t="s">
        <v>8411</v>
      </c>
      <c r="J4442">
        <v>5.49</v>
      </c>
      <c r="K4442" s="2" t="s">
        <v>12671</v>
      </c>
      <c r="L4442">
        <v>4.5999999999999996</v>
      </c>
      <c r="M4442">
        <v>55428</v>
      </c>
      <c r="O4442" t="s">
        <v>26</v>
      </c>
      <c r="P4442" t="s">
        <v>39</v>
      </c>
      <c r="Q4442" t="s">
        <v>8439</v>
      </c>
    </row>
    <row r="4443" spans="1:17" ht="15.75" x14ac:dyDescent="0.25">
      <c r="A4443" s="3" t="str">
        <f>HYPERLINK("https://shop.sonapharmacy.com/products/schiff-move-free-joint-health-advanced-plus-msm-tablets", "https://shop.sonapharmacy.com/products/schiff-move-free-joint-health-advanced-plus-msm-tablets")</f>
        <v>https://shop.sonapharmacy.com/products/schiff-move-free-joint-health-advanced-plus-msm-tablets</v>
      </c>
      <c r="B4443" s="3" t="str">
        <f>HYPERLINK("https://shop.sonapharmacy.com/products/schiff-move-free-joint-health-advanced-plus-msm-tablets", "https://shop.sonapharmacy.com/products/schiff-move-free-joint-health-advanced-plus-msm-tablets")</f>
        <v>https://shop.sonapharmacy.com/products/schiff-move-free-joint-health-advanced-plus-msm-tablets</v>
      </c>
      <c r="C4443" t="s">
        <v>8905</v>
      </c>
      <c r="D4443" t="s">
        <v>12672</v>
      </c>
      <c r="E4443" s="3" t="str">
        <f>HYPERLINK("https://www.amazon.com/Move-Free-Advanced-Plus-tablets/dp/B00J5NVDR2/ref=sr_1_3?keywords=Schiff+Move+Free+joint+Health+Advanced+Plus+MSM+Tablets&amp;qid=1695260725&amp;sr=8-3", "https://www.amazon.com/Move-Free-Advanced-Plus-tablets/dp/B00J5NVDR2/ref=sr_1_3?keywords=Schiff+Move+Free+joint+Health+Advanced+Plus+MSM+Tablets&amp;qid=1695260725&amp;sr=8-3")</f>
        <v>https://www.amazon.com/Move-Free-Advanced-Plus-tablets/dp/B00J5NVDR2/ref=sr_1_3?keywords=Schiff+Move+Free+joint+Health+Advanced+Plus+MSM+Tablets&amp;qid=1695260725&amp;sr=8-3</v>
      </c>
      <c r="F4443" t="s">
        <v>12673</v>
      </c>
      <c r="G4443" t="e">
        <f ca="1">IMAGE("https://shop.sonapharmacy.com/cdn/shop/products/movefreehealthresized.jpg?v=1592492207")</f>
        <v>#NAME?</v>
      </c>
      <c r="H4443" t="e">
        <f ca="1">IMAGE("https://m.media-amazon.com/images/I/819PkNM7FES._AC_UL320_.jpg")</f>
        <v>#NAME?</v>
      </c>
      <c r="I4443" t="s">
        <v>8908</v>
      </c>
      <c r="J4443">
        <v>42.56</v>
      </c>
      <c r="K4443" s="2" t="s">
        <v>12674</v>
      </c>
      <c r="L4443">
        <v>4.5999999999999996</v>
      </c>
      <c r="M4443">
        <v>344</v>
      </c>
      <c r="O4443" t="s">
        <v>26</v>
      </c>
      <c r="P4443" t="s">
        <v>39</v>
      </c>
      <c r="Q4443" t="s">
        <v>8910</v>
      </c>
    </row>
    <row r="4444" spans="1:17" ht="15.75" x14ac:dyDescent="0.25">
      <c r="A4444" s="3" t="str">
        <f>HYPERLINK("https://shop.sonapharmacy.com/products/curad-stainless-steel-bandage-scissors", "https://shop.sonapharmacy.com/products/curad-stainless-steel-bandage-scissors")</f>
        <v>https://shop.sonapharmacy.com/products/curad-stainless-steel-bandage-scissors</v>
      </c>
      <c r="B4444" s="3" t="str">
        <f>HYPERLINK("https://shop.sonapharmacy.com/products/curad-stainless-steel-bandage-scissors", "https://shop.sonapharmacy.com/products/curad-stainless-steel-bandage-scissors")</f>
        <v>https://shop.sonapharmacy.com/products/curad-stainless-steel-bandage-scissors</v>
      </c>
      <c r="C4444" t="s">
        <v>9578</v>
      </c>
      <c r="D4444" t="s">
        <v>12675</v>
      </c>
      <c r="E4444" s="3" t="str">
        <f>HYPERLINK("https://www.amazon.com/Medical-Nursing-Lister-Bandage-Scissors/dp/B00AVQ0J2C/ref=sr_1_6?keywords=Curad%C2%AE+Stainless+Steel+Bandage+Scissors&amp;qid=1695260182&amp;sr=8-6", "https://www.amazon.com/Medical-Nursing-Lister-Bandage-Scissors/dp/B00AVQ0J2C/ref=sr_1_6?keywords=Curad%C2%AE+Stainless+Steel+Bandage+Scissors&amp;qid=1695260182&amp;sr=8-6")</f>
        <v>https://www.amazon.com/Medical-Nursing-Lister-Bandage-Scissors/dp/B00AVQ0J2C/ref=sr_1_6?keywords=Curad%C2%AE+Stainless+Steel+Bandage+Scissors&amp;qid=1695260182&amp;sr=8-6</v>
      </c>
      <c r="F4444" t="s">
        <v>12676</v>
      </c>
      <c r="G4444" t="e">
        <f ca="1">IMAGE("https://shop.sonapharmacy.com/cdn/shop/products/scissors.png?v=1607716795")</f>
        <v>#NAME?</v>
      </c>
      <c r="H4444" t="e">
        <f ca="1">IMAGE("https://m.media-amazon.com/images/I/61CwHWzQApL._AC_UY218_.jpg")</f>
        <v>#NAME?</v>
      </c>
      <c r="I4444" t="s">
        <v>8728</v>
      </c>
      <c r="J4444">
        <v>6.99</v>
      </c>
      <c r="K4444" s="2" t="s">
        <v>12674</v>
      </c>
      <c r="L4444">
        <v>4.5999999999999996</v>
      </c>
      <c r="M4444">
        <v>6518</v>
      </c>
      <c r="O4444" t="s">
        <v>26</v>
      </c>
      <c r="P4444" t="s">
        <v>39</v>
      </c>
      <c r="Q4444" t="s">
        <v>9582</v>
      </c>
    </row>
    <row r="4445" spans="1:17" ht="15.75" x14ac:dyDescent="0.25">
      <c r="A4445" s="3" t="str">
        <f>HYPERLINK("https://shop.sonapharmacy.com/products/curad-stainless-steel-bandage-scissors", "https://shop.sonapharmacy.com/products/curad-stainless-steel-bandage-scissors")</f>
        <v>https://shop.sonapharmacy.com/products/curad-stainless-steel-bandage-scissors</v>
      </c>
      <c r="B4445" s="3" t="str">
        <f>HYPERLINK("https://shop.sonapharmacy.com/products/curad-stainless-steel-bandage-scissors", "https://shop.sonapharmacy.com/products/curad-stainless-steel-bandage-scissors")</f>
        <v>https://shop.sonapharmacy.com/products/curad-stainless-steel-bandage-scissors</v>
      </c>
      <c r="C4445" t="s">
        <v>9578</v>
      </c>
      <c r="D4445" t="s">
        <v>12677</v>
      </c>
      <c r="E4445" s="3" t="str">
        <f>HYPERLINK("https://www.amazon.com/A2ZSCILAB-Premium-Scissors-Fluoride-Stainless/dp/B07PHBX497/ref=sr_1_4?keywords=Curad%C2%AE+Stainless+Steel+Bandage+Scissors&amp;qid=1695260182&amp;sr=8-4", "https://www.amazon.com/A2ZSCILAB-Premium-Scissors-Fluoride-Stainless/dp/B07PHBX497/ref=sr_1_4?keywords=Curad%C2%AE+Stainless+Steel+Bandage+Scissors&amp;qid=1695260182&amp;sr=8-4")</f>
        <v>https://www.amazon.com/A2ZSCILAB-Premium-Scissors-Fluoride-Stainless/dp/B07PHBX497/ref=sr_1_4?keywords=Curad%C2%AE+Stainless+Steel+Bandage+Scissors&amp;qid=1695260182&amp;sr=8-4</v>
      </c>
      <c r="F4445" t="s">
        <v>12678</v>
      </c>
      <c r="G4445" t="e">
        <f ca="1">IMAGE("https://shop.sonapharmacy.com/cdn/shop/products/scissors.png?v=1607716795")</f>
        <v>#NAME?</v>
      </c>
      <c r="H4445" t="e">
        <f ca="1">IMAGE("https://m.media-amazon.com/images/I/71QYY0+UOvL._AC_UY218_.jpg")</f>
        <v>#NAME?</v>
      </c>
      <c r="I4445" t="s">
        <v>8728</v>
      </c>
      <c r="J4445">
        <v>6.99</v>
      </c>
      <c r="K4445" s="2" t="s">
        <v>12674</v>
      </c>
      <c r="L4445">
        <v>4.5999999999999996</v>
      </c>
      <c r="M4445">
        <v>26</v>
      </c>
      <c r="O4445" t="s">
        <v>26</v>
      </c>
      <c r="P4445" t="s">
        <v>39</v>
      </c>
      <c r="Q4445" t="s">
        <v>9582</v>
      </c>
    </row>
    <row r="4446" spans="1:17" ht="15.75" x14ac:dyDescent="0.25">
      <c r="A4446" s="3" t="str">
        <f>HYPERLINK("https://shop.sonapharmacy.com/products/slow-fe%C2%AE-slow-release-iron-supplement-30-tablets", "https://shop.sonapharmacy.com/products/slow-fe%C2%AE-slow-release-iron-supplement-30-tablets")</f>
        <v>https://shop.sonapharmacy.com/products/slow-fe%C2%AE-slow-release-iron-supplement-30-tablets</v>
      </c>
      <c r="B4446" s="3" t="str">
        <f>HYPERLINK("https://shop.sonapharmacy.com/products/slow-fe%c2%ae-slow-release-iron-supplement-30-tablets", "https://shop.sonapharmacy.com/products/slow-fe%c2%ae-slow-release-iron-supplement-30-tablets")</f>
        <v>https://shop.sonapharmacy.com/products/slow-fe%c2%ae-slow-release-iron-supplement-30-tablets</v>
      </c>
      <c r="C4446" t="s">
        <v>9006</v>
      </c>
      <c r="D4446" t="s">
        <v>12633</v>
      </c>
      <c r="E4446" s="3" t="str">
        <f>HYPERLINK("https://www.amazon.com/Slow-Fe-Release-Supplement-Tablets/dp/B00ZQUDWIG/ref=sr_1_3?keywords=Slow+Fe%C2%AE+Slow+Release+Iron+Supplement+30+Tablets&amp;qid=1695260722&amp;rdc=1&amp;sr=8-3", "https://www.amazon.com/Slow-Fe-Release-Supplement-Tablets/dp/B00ZQUDWIG/ref=sr_1_3?keywords=Slow+Fe%C2%AE+Slow+Release+Iron+Supplement+30+Tablets&amp;qid=1695260722&amp;rdc=1&amp;sr=8-3")</f>
        <v>https://www.amazon.com/Slow-Fe-Release-Supplement-Tablets/dp/B00ZQUDWIG/ref=sr_1_3?keywords=Slow+Fe%C2%AE+Slow+Release+Iron+Supplement+30+Tablets&amp;qid=1695260722&amp;rdc=1&amp;sr=8-3</v>
      </c>
      <c r="F4446" t="s">
        <v>12634</v>
      </c>
      <c r="G4446" t="e">
        <f ca="1">IMAGE("https://shop.sonapharmacy.com/cdn/shop/products/large_2369b63c-764b-4743-88e5-a412e342b294.jpg?v=1589921168")</f>
        <v>#NAME?</v>
      </c>
      <c r="H4446" t="e">
        <f ca="1">IMAGE("https://m.media-amazon.com/images/I/71BjLnOtgoL._AC_UL320_.jpg")</f>
        <v>#NAME?</v>
      </c>
      <c r="I4446" t="s">
        <v>9009</v>
      </c>
      <c r="J4446">
        <v>16.649999999999999</v>
      </c>
      <c r="K4446" s="2" t="s">
        <v>12679</v>
      </c>
      <c r="L4446">
        <v>4.7</v>
      </c>
      <c r="M4446">
        <v>9252</v>
      </c>
      <c r="O4446" t="s">
        <v>26</v>
      </c>
      <c r="P4446" t="s">
        <v>39</v>
      </c>
      <c r="Q4446" t="s">
        <v>9011</v>
      </c>
    </row>
    <row r="4447" spans="1:17" ht="15.75" x14ac:dyDescent="0.25">
      <c r="A4447" s="3" t="str">
        <f>HYPERLINK("https://shop.sonapharmacy.com/products/mueller%C2%AE-elastic-wrist-support-with-loop-one-size", "https://shop.sonapharmacy.com/products/mueller%C2%AE-elastic-wrist-support-with-loop-one-size")</f>
        <v>https://shop.sonapharmacy.com/products/mueller%C2%AE-elastic-wrist-support-with-loop-one-size</v>
      </c>
      <c r="B4447" s="3" t="str">
        <f>HYPERLINK("https://shop.sonapharmacy.com/products/mueller%c2%ae-elastic-wrist-support-with-loop-one-size", "https://shop.sonapharmacy.com/products/mueller%c2%ae-elastic-wrist-support-with-loop-one-size")</f>
        <v>https://shop.sonapharmacy.com/products/mueller%c2%ae-elastic-wrist-support-with-loop-one-size</v>
      </c>
      <c r="C4447" t="s">
        <v>12680</v>
      </c>
      <c r="D4447" t="s">
        <v>12681</v>
      </c>
      <c r="E4447" s="3" t="str">
        <f>HYPERLINK("https://www.amazon.com/Mueller-Wrist-Support-withloop-Elastic/dp/B001C0JL02/ref=sr_1_1?keywords=Mueller%C2%AE+Elastic+Wrist+Support+with+Loop+One+Size&amp;qid=1695260523&amp;sr=8-1", "https://www.amazon.com/Mueller-Wrist-Support-withloop-Elastic/dp/B001C0JL02/ref=sr_1_1?keywords=Mueller%C2%AE+Elastic+Wrist+Support+with+Loop+One+Size&amp;qid=1695260523&amp;sr=8-1")</f>
        <v>https://www.amazon.com/Mueller-Wrist-Support-withloop-Elastic/dp/B001C0JL02/ref=sr_1_1?keywords=Mueller%C2%AE+Elastic+Wrist+Support+with+Loop+One+Size&amp;qid=1695260523&amp;sr=8-1</v>
      </c>
      <c r="F4447" t="s">
        <v>12682</v>
      </c>
      <c r="G4447" t="e">
        <f ca="1">IMAGE("https://shop.sonapharmacy.com/cdn/shop/products/080201_3_500x_a6eae4ec-1026-4d8f-80c5-2b58bab65e55.jpg?v=1609859143")</f>
        <v>#NAME?</v>
      </c>
      <c r="H4447" t="e">
        <f ca="1">IMAGE("https://m.media-amazon.com/images/I/61guSlkWizL._AC_UL320_.jpg")</f>
        <v>#NAME?</v>
      </c>
      <c r="I4447" t="s">
        <v>12683</v>
      </c>
      <c r="J4447">
        <v>11.28</v>
      </c>
      <c r="K4447" s="2" t="s">
        <v>12684</v>
      </c>
      <c r="L4447">
        <v>4.2</v>
      </c>
      <c r="M4447">
        <v>625</v>
      </c>
      <c r="O4447" t="s">
        <v>26</v>
      </c>
      <c r="P4447" t="s">
        <v>39</v>
      </c>
      <c r="Q4447" t="s">
        <v>12685</v>
      </c>
    </row>
    <row r="4448" spans="1:17" ht="15.75" x14ac:dyDescent="0.25">
      <c r="A4448" s="3" t="str">
        <f>HYPERLINK("https://shop.sonapharmacy.com/products/lemon-eucalyptus-essential-oil-5-oz", "https://shop.sonapharmacy.com/products/lemon-eucalyptus-essential-oil-5-oz")</f>
        <v>https://shop.sonapharmacy.com/products/lemon-eucalyptus-essential-oil-5-oz</v>
      </c>
      <c r="B4448" s="3" t="str">
        <f>HYPERLINK("https://shop.sonapharmacy.com/products/lemon-eucalyptus-essential-oil-5-oz", "https://shop.sonapharmacy.com/products/lemon-eucalyptus-essential-oil-5-oz")</f>
        <v>https://shop.sonapharmacy.com/products/lemon-eucalyptus-essential-oil-5-oz</v>
      </c>
      <c r="C4448" t="s">
        <v>8414</v>
      </c>
      <c r="D4448" t="s">
        <v>12686</v>
      </c>
      <c r="E4448" s="3" t="str">
        <f>HYPERLINK("https://www.amazon.com/Aura-Cacia-Eucalyptus-Essential-Boxed/dp/B078TWCC3D/ref=sr_1_4?keywords=Aura+Cacia+Lemon+Eucalyptus+Essential+Oil+0.5+oz.&amp;qid=1695260029&amp;sr=8-4", "https://www.amazon.com/Aura-Cacia-Eucalyptus-Essential-Boxed/dp/B078TWCC3D/ref=sr_1_4?keywords=Aura+Cacia+Lemon+Eucalyptus+Essential+Oil+0.5+oz.&amp;qid=1695260029&amp;sr=8-4")</f>
        <v>https://www.amazon.com/Aura-Cacia-Eucalyptus-Essential-Boxed/dp/B078TWCC3D/ref=sr_1_4?keywords=Aura+Cacia+Lemon+Eucalyptus+Essential+Oil+0.5+oz.&amp;qid=1695260029&amp;sr=8-4</v>
      </c>
      <c r="F4448" t="s">
        <v>12687</v>
      </c>
      <c r="G4448" t="e">
        <f ca="1">IMAGE("https://shop.sonapharmacy.com/cdn/shop/products/1_aura-cacia-lemon-eucalyptus-191285-front.jpg?v=1609358391")</f>
        <v>#NAME?</v>
      </c>
      <c r="H4448" t="e">
        <f ca="1">IMAGE("https://m.media-amazon.com/images/I/71jJURM8J3L._AC_UL320_.jpg")</f>
        <v>#NAME?</v>
      </c>
      <c r="I4448" t="s">
        <v>8417</v>
      </c>
      <c r="J4448">
        <v>7.71</v>
      </c>
      <c r="K4448" s="2" t="s">
        <v>12688</v>
      </c>
      <c r="L4448">
        <v>4.5</v>
      </c>
      <c r="M4448">
        <v>265</v>
      </c>
      <c r="O4448" t="s">
        <v>26</v>
      </c>
      <c r="P4448" t="s">
        <v>39</v>
      </c>
      <c r="Q4448" t="s">
        <v>8419</v>
      </c>
    </row>
    <row r="4449" spans="1:17" ht="15.75" x14ac:dyDescent="0.25">
      <c r="A4449" s="3" t="str">
        <f>HYPERLINK("https://shop.sonapharmacy.com/products/band-aid-flexible-fabric-100ct-assorted-sizes", "https://shop.sonapharmacy.com/products/band-aid-flexible-fabric-100ct-assorted-sizes")</f>
        <v>https://shop.sonapharmacy.com/products/band-aid-flexible-fabric-100ct-assorted-sizes</v>
      </c>
      <c r="B4449" s="3" t="str">
        <f>HYPERLINK("https://shop.sonapharmacy.com/products/band-aid-flexible-fabric-100ct-assorted-sizes", "https://shop.sonapharmacy.com/products/band-aid-flexible-fabric-100ct-assorted-sizes")</f>
        <v>https://shop.sonapharmacy.com/products/band-aid-flexible-fabric-100ct-assorted-sizes</v>
      </c>
      <c r="C4449" t="s">
        <v>9759</v>
      </c>
      <c r="D4449" t="s">
        <v>12689</v>
      </c>
      <c r="E4449" s="3" t="str">
        <f>HYPERLINK("https://www.amazon.com/BAND-AID-Bandages-Flexible-Fabric-Assorted/dp/B0057RMOSM/ref=sr_1_1?keywords=BAND-AID%C2%AE+Flexible+Fabric+Assorted+Sizes&amp;qid=1695260080&amp;sr=8-1", "https://www.amazon.com/BAND-AID-Bandages-Flexible-Fabric-Assorted/dp/B0057RMOSM/ref=sr_1_1?keywords=BAND-AID%C2%AE+Flexible+Fabric+Assorted+Sizes&amp;qid=1695260080&amp;sr=8-1")</f>
        <v>https://www.amazon.com/BAND-AID-Bandages-Flexible-Fabric-Assorted/dp/B0057RMOSM/ref=sr_1_1?keywords=BAND-AID%C2%AE+Flexible+Fabric+Assorted+Sizes&amp;qid=1695260080&amp;sr=8-1</v>
      </c>
      <c r="F4449" t="s">
        <v>12690</v>
      </c>
      <c r="G4449" t="e">
        <f ca="1">IMAGE("https://shop.sonapharmacy.com/cdn/shop/products/bab_381370044307_band_aid_band_aid_flexible_fabric_assorted_30ct_007.jpg?v=1607202177")</f>
        <v>#NAME?</v>
      </c>
      <c r="H4449" t="e">
        <f ca="1">IMAGE("https://m.media-amazon.com/images/I/9101li1bqBL._AC_UL320_.jpg")</f>
        <v>#NAME?</v>
      </c>
      <c r="I4449" t="s">
        <v>8834</v>
      </c>
      <c r="J4449">
        <v>7.16</v>
      </c>
      <c r="K4449" s="2" t="s">
        <v>12691</v>
      </c>
      <c r="L4449">
        <v>4.8</v>
      </c>
      <c r="M4449">
        <v>102400</v>
      </c>
      <c r="O4449" t="s">
        <v>26</v>
      </c>
      <c r="P4449" t="s">
        <v>39</v>
      </c>
      <c r="Q4449" t="s">
        <v>9763</v>
      </c>
    </row>
    <row r="4450" spans="1:17" ht="15.75" x14ac:dyDescent="0.25">
      <c r="A4450" s="3" t="str">
        <f>HYPERLINK("https://shop.sonapharmacy.com/products/band-aid-tough-strips", "https://shop.sonapharmacy.com/products/band-aid-tough-strips")</f>
        <v>https://shop.sonapharmacy.com/products/band-aid-tough-strips</v>
      </c>
      <c r="B4450" s="3" t="str">
        <f>HYPERLINK("https://shop.sonapharmacy.com/products/band-aid-tough-strips", "https://shop.sonapharmacy.com/products/band-aid-tough-strips")</f>
        <v>https://shop.sonapharmacy.com/products/band-aid-tough-strips</v>
      </c>
      <c r="C4450" t="s">
        <v>9687</v>
      </c>
      <c r="D4450" t="s">
        <v>12692</v>
      </c>
      <c r="E4450" s="3" t="str">
        <f>HYPERLINK("https://www.amazon.com/Band-Aid-Tough-Strips-Adhesive-Bandages-Waterproof/dp/B0010WNMK2/ref=sr_1_7?keywords=BAND-AID%C2%AE+Tough+Strips&amp;qid=1695260064&amp;sr=8-7", "https://www.amazon.com/Band-Aid-Tough-Strips-Adhesive-Bandages-Waterproof/dp/B0010WNMK2/ref=sr_1_7?keywords=BAND-AID%C2%AE+Tough+Strips&amp;qid=1695260064&amp;sr=8-7")</f>
        <v>https://www.amazon.com/Band-Aid-Tough-Strips-Adhesive-Bandages-Waterproof/dp/B0010WNMK2/ref=sr_1_7?keywords=BAND-AID%C2%AE+Tough+Strips&amp;qid=1695260064&amp;sr=8-7</v>
      </c>
      <c r="F4450" t="s">
        <v>12693</v>
      </c>
      <c r="G4450" t="e">
        <f ca="1">IMAGE("https://shop.sonapharmacy.com/cdn/shop/products/bab_381370044246_band_aid_band_aid_tough_strip_xl_10ct_007.jpg?v=1607288053")</f>
        <v>#NAME?</v>
      </c>
      <c r="H4450" t="e">
        <f ca="1">IMAGE("https://m.media-amazon.com/images/I/81iVmTOd5oL._AC_UL320_.jpg")</f>
        <v>#NAME?</v>
      </c>
      <c r="I4450" t="s">
        <v>8512</v>
      </c>
      <c r="J4450">
        <v>7.84</v>
      </c>
      <c r="K4450" s="2" t="s">
        <v>12694</v>
      </c>
      <c r="L4450">
        <v>4.5999999999999996</v>
      </c>
      <c r="M4450">
        <v>917</v>
      </c>
      <c r="O4450" t="s">
        <v>26</v>
      </c>
      <c r="P4450" t="s">
        <v>39</v>
      </c>
      <c r="Q4450" t="s">
        <v>9691</v>
      </c>
    </row>
    <row r="4451" spans="1:17" ht="15.75" x14ac:dyDescent="0.25">
      <c r="A4451" s="3" t="str">
        <f>HYPERLINK("https://shop.sonapharmacy.com/products/gum%C2%AE-orthodontic-wax-vitamin-e-and-aloe-vera", "https://shop.sonapharmacy.com/products/gum%C2%AE-orthodontic-wax-vitamin-e-and-aloe-vera")</f>
        <v>https://shop.sonapharmacy.com/products/gum%C2%AE-orthodontic-wax-vitamin-e-and-aloe-vera</v>
      </c>
      <c r="B4451" s="3" t="str">
        <f>HYPERLINK("https://shop.sonapharmacy.com/products/gum%c2%ae-orthodontic-wax-vitamin-e-and-aloe-vera", "https://shop.sonapharmacy.com/products/gum%c2%ae-orthodontic-wax-vitamin-e-and-aloe-vera")</f>
        <v>https://shop.sonapharmacy.com/products/gum%c2%ae-orthodontic-wax-vitamin-e-and-aloe-vera</v>
      </c>
      <c r="C4451" t="s">
        <v>9979</v>
      </c>
      <c r="D4451" t="s">
        <v>12695</v>
      </c>
      <c r="E4451" s="3" t="str">
        <f>HYPERLINK("https://www.amazon.com/Sunstar-723RQC-GUM-Original-Orthodontic/dp/B01LYEWOE0/ref=sr_1_1?keywords=GUM%C2%AE+Orthodontic+Wax+%2B+Vitamin+E+and+Aloe+Vera&amp;qid=1695260370&amp;sr=8-1", "https://www.amazon.com/Sunstar-723RQC-GUM-Original-Orthodontic/dp/B01LYEWOE0/ref=sr_1_1?keywords=GUM%C2%AE+Orthodontic+Wax+%2B+Vitamin+E+and+Aloe+Vera&amp;qid=1695260370&amp;sr=8-1")</f>
        <v>https://www.amazon.com/Sunstar-723RQC-GUM-Original-Orthodontic/dp/B01LYEWOE0/ref=sr_1_1?keywords=GUM%C2%AE+Orthodontic+Wax+%2B+Vitamin+E+and+Aloe+Vera&amp;qid=1695260370&amp;sr=8-1</v>
      </c>
      <c r="F4451" t="s">
        <v>12696</v>
      </c>
      <c r="G4451" t="e">
        <f ca="1">IMAGE("https://shop.sonapharmacy.com/cdn/shop/products/070942007238_hero-alt.jpg?v=1608576402")</f>
        <v>#NAME?</v>
      </c>
      <c r="H4451" t="e">
        <f ca="1">IMAGE("https://m.media-amazon.com/images/I/71k0KaGsQuL._AC_UL320_.jpg")</f>
        <v>#NAME?</v>
      </c>
      <c r="I4451" t="s">
        <v>9982</v>
      </c>
      <c r="J4451">
        <v>4.49</v>
      </c>
      <c r="K4451" s="2" t="s">
        <v>12697</v>
      </c>
      <c r="L4451">
        <v>4.5999999999999996</v>
      </c>
      <c r="M4451">
        <v>17079</v>
      </c>
      <c r="O4451" t="s">
        <v>26</v>
      </c>
      <c r="P4451" t="s">
        <v>39</v>
      </c>
      <c r="Q4451" t="s">
        <v>9984</v>
      </c>
    </row>
    <row r="4452" spans="1:17" ht="15.75" x14ac:dyDescent="0.25">
      <c r="A4452" s="3" t="str">
        <f>HYPERLINK("https://shop.sonapharmacy.com/products/always%C2%AE-maxi-size-5-extra-heavy-unscented-overnight-pads-with-wings-20ct", "https://shop.sonapharmacy.com/products/always%C2%AE-maxi-size-5-extra-heavy-unscented-overnight-pads-with-wings-20ct")</f>
        <v>https://shop.sonapharmacy.com/products/always%C2%AE-maxi-size-5-extra-heavy-unscented-overnight-pads-with-wings-20ct</v>
      </c>
      <c r="B4452" s="3" t="str">
        <f>HYPERLINK("https://shop.sonapharmacy.com/products/always%c2%ae-maxi-size-5-extra-heavy-unscented-overnight-pads-with-wings-20ct", "https://shop.sonapharmacy.com/products/always%c2%ae-maxi-size-5-extra-heavy-unscented-overnight-pads-with-wings-20ct")</f>
        <v>https://shop.sonapharmacy.com/products/always%c2%ae-maxi-size-5-extra-heavy-unscented-overnight-pads-with-wings-20ct</v>
      </c>
      <c r="C4452" t="s">
        <v>8877</v>
      </c>
      <c r="D4452" t="s">
        <v>12698</v>
      </c>
      <c r="E4452" s="3" t="str">
        <f>HYPERLINK("https://www.amazon.com/Always-Extra-Heavy-Absorbency-Overnight/dp/B01M1BLRC1/ref=sr_1_1?keywords=Always+Maxi+Size+5+Extra+Heavy+Unscented+Overnight+Pads+with+Wings+20ct.&amp;qid=1695260003&amp;sr=8-1", "https://www.amazon.com/Always-Extra-Heavy-Absorbency-Overnight/dp/B01M1BLRC1/ref=sr_1_1?keywords=Always+Maxi+Size+5+Extra+Heavy+Unscented+Overnight+Pads+with+Wings+20ct.&amp;qid=1695260003&amp;sr=8-1")</f>
        <v>https://www.amazon.com/Always-Extra-Heavy-Absorbency-Overnight/dp/B01M1BLRC1/ref=sr_1_1?keywords=Always+Maxi+Size+5+Extra+Heavy+Unscented+Overnight+Pads+with+Wings+20ct.&amp;qid=1695260003&amp;sr=8-1</v>
      </c>
      <c r="F4452" t="s">
        <v>12699</v>
      </c>
      <c r="G4452" t="e">
        <f ca="1">IMAGE("https://shop.sonapharmacy.com/cdn/shop/products/f85907b4-6cb1-40e1-8ffb-d041bcc3b3a7_1.7c196897b875635d3dc81fa597313ccd.jpg?v=1609183812")</f>
        <v>#NAME?</v>
      </c>
      <c r="H4452" t="e">
        <f ca="1">IMAGE("https://m.media-amazon.com/images/I/818aZsfvobL._AC_UL320_.jpg")</f>
        <v>#NAME?</v>
      </c>
      <c r="I4452" t="s">
        <v>8880</v>
      </c>
      <c r="J4452">
        <v>10.47</v>
      </c>
      <c r="K4452" s="2" t="s">
        <v>12700</v>
      </c>
      <c r="L4452">
        <v>4.8</v>
      </c>
      <c r="M4452">
        <v>13675</v>
      </c>
      <c r="O4452" t="s">
        <v>26</v>
      </c>
      <c r="P4452" t="s">
        <v>39</v>
      </c>
      <c r="Q4452" t="s">
        <v>8882</v>
      </c>
    </row>
    <row r="4453" spans="1:17" ht="15.75" x14ac:dyDescent="0.25">
      <c r="A4453" s="3" t="str">
        <f>HYPERLINK("https://shop.sonapharmacy.com/products/21st-century-acidophilus-probiotic-blend", "https://shop.sonapharmacy.com/products/21st-century-acidophilus-probiotic-blend")</f>
        <v>https://shop.sonapharmacy.com/products/21st-century-acidophilus-probiotic-blend</v>
      </c>
      <c r="B4453" s="3" t="str">
        <f>HYPERLINK("https://shop.sonapharmacy.com/products/21st-century-acidophilus-probiotic-blend", "https://shop.sonapharmacy.com/products/21st-century-acidophilus-probiotic-blend")</f>
        <v>https://shop.sonapharmacy.com/products/21st-century-acidophilus-probiotic-blend</v>
      </c>
      <c r="C4453" t="s">
        <v>10846</v>
      </c>
      <c r="D4453" t="s">
        <v>12701</v>
      </c>
      <c r="E4453" s="3" t="str">
        <f>HYPERLINK("https://www.amazon.com/Acidophilus-Probiotic-Capsules-21st-Century/dp/B000PSX144/ref=sr_1_4?keywords=21st+Century+Acidophilus+Probiotic+Blend+150ct&amp;qid=1695260009&amp;sr=8-4", "https://www.amazon.com/Acidophilus-Probiotic-Capsules-21st-Century/dp/B000PSX144/ref=sr_1_4?keywords=21st+Century+Acidophilus+Probiotic+Blend+150ct&amp;qid=1695260009&amp;sr=8-4")</f>
        <v>https://www.amazon.com/Acidophilus-Probiotic-Capsules-21st-Century/dp/B000PSX144/ref=sr_1_4?keywords=21st+Century+Acidophilus+Probiotic+Blend+150ct&amp;qid=1695260009&amp;sr=8-4</v>
      </c>
      <c r="F4453" t="s">
        <v>12702</v>
      </c>
      <c r="G4453" t="e">
        <f ca="1">IMAGE("https://shop.sonapharmacy.com/cdn/shop/products/71xPW58Oz3L._AC_SL1500.jpg?v=1611182548")</f>
        <v>#NAME?</v>
      </c>
      <c r="H4453" t="e">
        <f ca="1">IMAGE("https://m.media-amazon.com/images/I/71Ris6jfYjL._AC_UL320_.jpg")</f>
        <v>#NAME?</v>
      </c>
      <c r="I4453" t="s">
        <v>8792</v>
      </c>
      <c r="J4453">
        <v>14.02</v>
      </c>
      <c r="K4453" s="2" t="s">
        <v>12703</v>
      </c>
      <c r="L4453">
        <v>5</v>
      </c>
      <c r="M4453">
        <v>4</v>
      </c>
      <c r="O4453" t="s">
        <v>26</v>
      </c>
      <c r="P4453" t="s">
        <v>39</v>
      </c>
      <c r="Q4453" t="s">
        <v>10850</v>
      </c>
    </row>
    <row r="4454" spans="1:17" ht="15.75" x14ac:dyDescent="0.25">
      <c r="A4454" s="3" t="str">
        <f>HYPERLINK("https://shop.sonapharmacy.com/products/fleet%C2%AE-bisacodyl-enema", "https://shop.sonapharmacy.com/products/fleet%C2%AE-bisacodyl-enema")</f>
        <v>https://shop.sonapharmacy.com/products/fleet%C2%AE-bisacodyl-enema</v>
      </c>
      <c r="B4454" s="3" t="str">
        <f>HYPERLINK("https://shop.sonapharmacy.com/products/fleet%c2%ae-bisacodyl-enema", "https://shop.sonapharmacy.com/products/fleet%c2%ae-bisacodyl-enema")</f>
        <v>https://shop.sonapharmacy.com/products/fleet%c2%ae-bisacodyl-enema</v>
      </c>
      <c r="C4454" t="s">
        <v>9441</v>
      </c>
      <c r="D4454" t="s">
        <v>12704</v>
      </c>
      <c r="E4454" s="3" t="str">
        <f>HYPERLINK("https://www.amazon.com/Fleet-Stimulated-Laxative-Bisacodyl-Constipation/dp/B000QA81E6/ref=sr_1_1?keywords=FLEET%C2%AE+Bisacodyl+Enema+%281%29+1.25+fl+oz+Bottle&amp;qid=1695260246&amp;sr=8-1", "https://www.amazon.com/Fleet-Stimulated-Laxative-Bisacodyl-Constipation/dp/B000QA81E6/ref=sr_1_1?keywords=FLEET%C2%AE+Bisacodyl+Enema+%281%29+1.25+fl+oz+Bottle&amp;qid=1695260246&amp;sr=8-1")</f>
        <v>https://www.amazon.com/Fleet-Stimulated-Laxative-Bisacodyl-Constipation/dp/B000QA81E6/ref=sr_1_1?keywords=FLEET%C2%AE+Bisacodyl+Enema+%281%29+1.25+fl+oz+Bottle&amp;qid=1695260246&amp;sr=8-1</v>
      </c>
      <c r="F4454" t="s">
        <v>12705</v>
      </c>
      <c r="G4454" t="e">
        <f ca="1">IMAGE("https://shop.sonapharmacy.com/cdn/shop/products/0e0c0dc0-844a-469b-8d4d-f565b8ff91ac_1.f093073c3cf2fcc154e2ab7fed8c0320.jpg?v=1609350899")</f>
        <v>#NAME?</v>
      </c>
      <c r="H4454" t="e">
        <f ca="1">IMAGE("https://m.media-amazon.com/images/I/61g3vxbCT0L._AC_UL320_.jpg")</f>
        <v>#NAME?</v>
      </c>
      <c r="I4454" t="s">
        <v>9444</v>
      </c>
      <c r="J4454">
        <v>7.03</v>
      </c>
      <c r="K4454" s="2" t="s">
        <v>12706</v>
      </c>
      <c r="L4454">
        <v>4.3</v>
      </c>
      <c r="M4454">
        <v>300</v>
      </c>
      <c r="O4454" t="s">
        <v>136</v>
      </c>
      <c r="P4454" t="s">
        <v>39</v>
      </c>
      <c r="Q4454" t="s">
        <v>9446</v>
      </c>
    </row>
    <row r="4455" spans="1:17" ht="15.75" x14ac:dyDescent="0.25">
      <c r="A4455" s="3" t="str">
        <f>HYPERLINK("https://shop.sonapharmacy.com/products/sundown-vitamin-e-oil-2-5fl", "https://shop.sonapharmacy.com/products/sundown-vitamin-e-oil-2-5fl")</f>
        <v>https://shop.sonapharmacy.com/products/sundown-vitamin-e-oil-2-5fl</v>
      </c>
      <c r="B4455" s="3" t="str">
        <f>HYPERLINK("https://shop.sonapharmacy.com/products/sundown-vitamin-e-oil-2-5fl", "https://shop.sonapharmacy.com/products/sundown-vitamin-e-oil-2-5fl")</f>
        <v>https://shop.sonapharmacy.com/products/sundown-vitamin-e-oil-2-5fl</v>
      </c>
      <c r="C4455" t="s">
        <v>8883</v>
      </c>
      <c r="D4455" t="s">
        <v>12707</v>
      </c>
      <c r="E4455" s="3" t="str">
        <f>HYPERLINK("https://www.amazon.com/Sundown-Naturals-Vitamin-70000-Fluid/dp/B00FU6L6SY/ref=sr_1_6?keywords=Sundown+Vitamin+E+Oil+2.5fl&amp;qid=1695260741&amp;sr=8-6", "https://www.amazon.com/Sundown-Naturals-Vitamin-70000-Fluid/dp/B00FU6L6SY/ref=sr_1_6?keywords=Sundown+Vitamin+E+Oil+2.5fl&amp;qid=1695260741&amp;sr=8-6")</f>
        <v>https://www.amazon.com/Sundown-Naturals-Vitamin-70000-Fluid/dp/B00FU6L6SY/ref=sr_1_6?keywords=Sundown+Vitamin+E+Oil+2.5fl&amp;qid=1695260741&amp;sr=8-6</v>
      </c>
      <c r="F4455" t="s">
        <v>12708</v>
      </c>
      <c r="G4455" t="e">
        <f ca="1">IMAGE("https://shop.sonapharmacy.com/cdn/shop/products/b5528557-4aee-4dfe-a2a2-302b5998af18_1.8e7a790b89db2b249d70e2d54929257f.jpg?v=1608242073")</f>
        <v>#NAME?</v>
      </c>
      <c r="H4455" t="e">
        <f ca="1">IMAGE("https://m.media-amazon.com/images/I/51JYDevbLzL._AC_UL320_.jpg")</f>
        <v>#NAME?</v>
      </c>
      <c r="I4455" t="s">
        <v>8886</v>
      </c>
      <c r="J4455">
        <v>12.04</v>
      </c>
      <c r="K4455" s="2" t="s">
        <v>12709</v>
      </c>
      <c r="L4455">
        <v>4.5999999999999996</v>
      </c>
      <c r="M4455">
        <v>509</v>
      </c>
      <c r="O4455" t="s">
        <v>26</v>
      </c>
      <c r="P4455" t="s">
        <v>39</v>
      </c>
      <c r="Q4455" t="s">
        <v>8888</v>
      </c>
    </row>
    <row r="4456" spans="1:17" ht="15.75" x14ac:dyDescent="0.25">
      <c r="A4456" s="3" t="str">
        <f>HYPERLINK("https://shop.sonapharmacy.com/products/band-aid-tough-strips", "https://shop.sonapharmacy.com/products/band-aid-tough-strips")</f>
        <v>https://shop.sonapharmacy.com/products/band-aid-tough-strips</v>
      </c>
      <c r="B4456" s="3" t="str">
        <f>HYPERLINK("https://shop.sonapharmacy.com/products/band-aid-tough-strips", "https://shop.sonapharmacy.com/products/band-aid-tough-strips")</f>
        <v>https://shop.sonapharmacy.com/products/band-aid-tough-strips</v>
      </c>
      <c r="C4456" t="s">
        <v>9687</v>
      </c>
      <c r="D4456" t="s">
        <v>12710</v>
      </c>
      <c r="E4456" s="3" t="str">
        <f>HYPERLINK("https://www.amazon.com/Band-aid-Tough-Strips-Adhesive-Bandages-Waterproof/dp/B08HPSB32P/ref=sr_1_2?keywords=BAND-AID%C2%AE+Tough+Strips&amp;qid=1695260064&amp;sr=8-2", "https://www.amazon.com/Band-aid-Tough-Strips-Adhesive-Bandages-Waterproof/dp/B08HPSB32P/ref=sr_1_2?keywords=BAND-AID%C2%AE+Tough+Strips&amp;qid=1695260064&amp;sr=8-2")</f>
        <v>https://www.amazon.com/Band-aid-Tough-Strips-Adhesive-Bandages-Waterproof/dp/B08HPSB32P/ref=sr_1_2?keywords=BAND-AID%C2%AE+Tough+Strips&amp;qid=1695260064&amp;sr=8-2</v>
      </c>
      <c r="F4456" t="s">
        <v>12711</v>
      </c>
      <c r="G4456" t="e">
        <f ca="1">IMAGE("https://shop.sonapharmacy.com/cdn/shop/products/bab_381370044246_band_aid_band_aid_tough_strip_xl_10ct_007.jpg?v=1607288053")</f>
        <v>#NAME?</v>
      </c>
      <c r="H4456" t="e">
        <f ca="1">IMAGE("https://m.media-amazon.com/images/I/51xJDPEslsL._AC_UL320_.jpg")</f>
        <v>#NAME?</v>
      </c>
      <c r="I4456" t="s">
        <v>8512</v>
      </c>
      <c r="J4456">
        <v>7.76</v>
      </c>
      <c r="K4456" s="2" t="s">
        <v>12709</v>
      </c>
      <c r="L4456">
        <v>4.5999999999999996</v>
      </c>
      <c r="M4456">
        <v>730</v>
      </c>
      <c r="O4456" t="s">
        <v>26</v>
      </c>
      <c r="P4456" t="s">
        <v>39</v>
      </c>
      <c r="Q4456" t="s">
        <v>9691</v>
      </c>
    </row>
    <row r="4457" spans="1:17" ht="15.75" x14ac:dyDescent="0.25">
      <c r="A4457" s="3" t="str">
        <f>HYPERLINK("https://shop.sonapharmacy.com/products/attends%C2%AE-underwear-extra-absorbency-x-large-14ct", "https://shop.sonapharmacy.com/products/attends%C2%AE-underwear-extra-absorbency-x-large-14ct")</f>
        <v>https://shop.sonapharmacy.com/products/attends%C2%AE-underwear-extra-absorbency-x-large-14ct</v>
      </c>
      <c r="B4457" s="3" t="str">
        <f>HYPERLINK("https://shop.sonapharmacy.com/products/attends%c2%ae-underwear-extra-absorbency-x-large-14ct", "https://shop.sonapharmacy.com/products/attends%c2%ae-underwear-extra-absorbency-x-large-14ct")</f>
        <v>https://shop.sonapharmacy.com/products/attends%c2%ae-underwear-extra-absorbency-x-large-14ct</v>
      </c>
      <c r="C4457" t="s">
        <v>9028</v>
      </c>
      <c r="D4457" t="s">
        <v>12150</v>
      </c>
      <c r="E4457" s="3" t="str">
        <f>HYPERLINK("https://www.amazon.com/Attends-Super-Underwear-Absorbency-APP0740/dp/B001STIJ9Q/ref=sr_1_6?keywords=Attends+Underwear+Extra+Absorbency+X-Large+14ct.&amp;qid=1695260061&amp;sr=8-6", "https://www.amazon.com/Attends-Super-Underwear-Absorbency-APP0740/dp/B001STIJ9Q/ref=sr_1_6?keywords=Attends+Underwear+Extra+Absorbency+X-Large+14ct.&amp;qid=1695260061&amp;sr=8-6")</f>
        <v>https://www.amazon.com/Attends-Super-Underwear-Absorbency-APP0740/dp/B001STIJ9Q/ref=sr_1_6?keywords=Attends+Underwear+Extra+Absorbency+X-Large+14ct.&amp;qid=1695260061&amp;sr=8-6</v>
      </c>
      <c r="F4457" t="s">
        <v>12151</v>
      </c>
      <c r="G4457" t="e">
        <f ca="1">IMAGE("https://shop.sonapharmacy.com/cdn/shop/products/917ssoU70XL._AC_SL1500.jpg?v=1611077702")</f>
        <v>#NAME?</v>
      </c>
      <c r="H4457" t="e">
        <f ca="1">IMAGE("https://m.media-amazon.com/images/I/71ZWG7jt1XL._AC_UL320_.jpg")</f>
        <v>#NAME?</v>
      </c>
      <c r="I4457" t="s">
        <v>9031</v>
      </c>
      <c r="J4457">
        <v>19.34</v>
      </c>
      <c r="K4457" s="2" t="s">
        <v>12712</v>
      </c>
      <c r="L4457">
        <v>3.8</v>
      </c>
      <c r="M4457">
        <v>28</v>
      </c>
      <c r="O4457" t="s">
        <v>26</v>
      </c>
      <c r="P4457" t="s">
        <v>39</v>
      </c>
      <c r="Q4457" t="s">
        <v>9033</v>
      </c>
    </row>
    <row r="4458" spans="1:17" ht="15.75" x14ac:dyDescent="0.25">
      <c r="A4458" s="3" t="str">
        <f>HYPERLINK("https://shop.sonapharmacy.com/products/mueller%C2%AE-hinged-wraparound-knee-brace", "https://shop.sonapharmacy.com/products/mueller%C2%AE-hinged-wraparound-knee-brace")</f>
        <v>https://shop.sonapharmacy.com/products/mueller%C2%AE-hinged-wraparound-knee-brace</v>
      </c>
      <c r="B4458" s="3" t="str">
        <f>HYPERLINK("https://shop.sonapharmacy.com/products/mueller%c2%ae-hinged-wraparound-knee-brace", "https://shop.sonapharmacy.com/products/mueller%c2%ae-hinged-wraparound-knee-brace")</f>
        <v>https://shop.sonapharmacy.com/products/mueller%c2%ae-hinged-wraparound-knee-brace</v>
      </c>
      <c r="C4458" t="s">
        <v>12713</v>
      </c>
      <c r="D4458" t="s">
        <v>12714</v>
      </c>
      <c r="E4458" s="3" t="str">
        <f>HYPERLINK("https://www.amazon.com/Mueller-Hinged-Wraparound-Brace-X-Large/dp/B08KJPXQ8D/ref=sr_1_2?keywords=Mueller%C2%AE+Hinged+Wraparound+Knee+Brace&amp;qid=1695260520&amp;sr=8-2", "https://www.amazon.com/Mueller-Hinged-Wraparound-Brace-X-Large/dp/B08KJPXQ8D/ref=sr_1_2?keywords=Mueller%C2%AE+Hinged+Wraparound+Knee+Brace&amp;qid=1695260520&amp;sr=8-2")</f>
        <v>https://www.amazon.com/Mueller-Hinged-Wraparound-Brace-X-Large/dp/B08KJPXQ8D/ref=sr_1_2?keywords=Mueller%C2%AE+Hinged+Wraparound+Knee+Brace&amp;qid=1695260520&amp;sr=8-2</v>
      </c>
      <c r="F4458" t="s">
        <v>12715</v>
      </c>
      <c r="G4458" t="e">
        <f ca="1">IMAGE("https://shop.sonapharmacy.com/cdn/shop/products/91sKAqLfGaL._AC_SL1500.jpg?v=1609870247")</f>
        <v>#NAME?</v>
      </c>
      <c r="H4458" t="e">
        <f ca="1">IMAGE("https://m.media-amazon.com/images/I/71MJimgAgJL._AC_UL320_.jpg")</f>
        <v>#NAME?</v>
      </c>
      <c r="I4458" t="s">
        <v>12716</v>
      </c>
      <c r="J4458">
        <v>44.99</v>
      </c>
      <c r="K4458" s="2" t="s">
        <v>12717</v>
      </c>
      <c r="L4458">
        <v>3</v>
      </c>
      <c r="M4458">
        <v>1</v>
      </c>
      <c r="O4458" t="s">
        <v>136</v>
      </c>
      <c r="P4458" t="s">
        <v>39</v>
      </c>
      <c r="Q4458" t="s">
        <v>12718</v>
      </c>
    </row>
    <row r="4459" spans="1:17" ht="15.75" x14ac:dyDescent="0.25">
      <c r="A4459" s="3" t="str">
        <f>HYPERLINK("https://shop.sonapharmacy.com/products/psoriasin-deep-moisturizing-ointment-4-2oz", "https://shop.sonapharmacy.com/products/psoriasin-deep-moisturizing-ointment-4-2oz")</f>
        <v>https://shop.sonapharmacy.com/products/psoriasin-deep-moisturizing-ointment-4-2oz</v>
      </c>
      <c r="B4459" s="3" t="str">
        <f>HYPERLINK("https://shop.sonapharmacy.com/products/psoriasin-deep-moisturizing-ointment-4-2oz", "https://shop.sonapharmacy.com/products/psoriasin-deep-moisturizing-ointment-4-2oz")</f>
        <v>https://shop.sonapharmacy.com/products/psoriasin-deep-moisturizing-ointment-4-2oz</v>
      </c>
      <c r="C4459" t="s">
        <v>10953</v>
      </c>
      <c r="D4459" t="s">
        <v>12719</v>
      </c>
      <c r="E4459" s="3" t="str">
        <f>HYPERLINK("https://www.amazon.com/Psoriasin-Deep-Moisturizing-Ointment-4-2/dp/B078XK7CTL/ref=sr_1_3?keywords=Psoriasin+Deep+Moisturizing+Ointment+4.2oz.&amp;qid=1695260655&amp;sr=8-3", "https://www.amazon.com/Psoriasin-Deep-Moisturizing-Ointment-4-2/dp/B078XK7CTL/ref=sr_1_3?keywords=Psoriasin+Deep+Moisturizing+Ointment+4.2oz.&amp;qid=1695260655&amp;sr=8-3")</f>
        <v>https://www.amazon.com/Psoriasin-Deep-Moisturizing-Ointment-4-2/dp/B078XK7CTL/ref=sr_1_3?keywords=Psoriasin+Deep+Moisturizing+Ointment+4.2oz.&amp;qid=1695260655&amp;sr=8-3</v>
      </c>
      <c r="F4459" t="s">
        <v>12720</v>
      </c>
      <c r="G4459" t="e">
        <f ca="1">IMAGE("https://shop.sonapharmacy.com/cdn/shop/products/3c728755-5f7d-4766-a27c-0131e031cc05_1.788816f0f6bb952cd3c8d94ead996c31.png?v=1608405997")</f>
        <v>#NAME?</v>
      </c>
      <c r="H4459" t="e">
        <f ca="1">IMAGE("https://m.media-amazon.com/images/I/61fwor-it-L._AC_UL320_.jpg")</f>
        <v>#NAME?</v>
      </c>
      <c r="I4459" t="s">
        <v>10956</v>
      </c>
      <c r="J4459">
        <v>17.489999999999998</v>
      </c>
      <c r="K4459" s="2" t="s">
        <v>12717</v>
      </c>
      <c r="L4459">
        <v>4.4000000000000004</v>
      </c>
      <c r="M4459">
        <v>41</v>
      </c>
      <c r="O4459" t="s">
        <v>136</v>
      </c>
      <c r="P4459" t="s">
        <v>39</v>
      </c>
      <c r="Q4459" t="s">
        <v>10958</v>
      </c>
    </row>
    <row r="4460" spans="1:17" ht="15.75" x14ac:dyDescent="0.25">
      <c r="A4460" s="3" t="str">
        <f>HYPERLINK("https://shop.sonapharmacy.com/products/hibiclens-antiseptic-antimicrobial-skin-cleanser-8fl-oz", "https://shop.sonapharmacy.com/products/hibiclens-antiseptic-antimicrobial-skin-cleanser-8fl-oz")</f>
        <v>https://shop.sonapharmacy.com/products/hibiclens-antiseptic-antimicrobial-skin-cleanser-8fl-oz</v>
      </c>
      <c r="B4460" s="3" t="str">
        <f>HYPERLINK("https://shop.sonapharmacy.com/products/hibiclens-antiseptic-antimicrobial-skin-cleanser-8fl-oz", "https://shop.sonapharmacy.com/products/hibiclens-antiseptic-antimicrobial-skin-cleanser-8fl-oz")</f>
        <v>https://shop.sonapharmacy.com/products/hibiclens-antiseptic-antimicrobial-skin-cleanser-8fl-oz</v>
      </c>
      <c r="C4460" t="s">
        <v>9707</v>
      </c>
      <c r="D4460" t="s">
        <v>12721</v>
      </c>
      <c r="E4460" s="3" t="str">
        <f>HYPERLINK("https://www.amazon.com/Hibiclens-Antimicrobial-Antiseptic-Cleanser-Liquid/dp/B078PJYLZ9/ref=sr_1_9?keywords=Hibiclens+Antiseptic%2FAntimicrobial+Skin+Cleanser+8fl.+oz.&amp;qid=1695260370&amp;sr=8-9", "https://www.amazon.com/Hibiclens-Antimicrobial-Antiseptic-Cleanser-Liquid/dp/B078PJYLZ9/ref=sr_1_9?keywords=Hibiclens+Antiseptic%2FAntimicrobial+Skin+Cleanser+8fl.+oz.&amp;qid=1695260370&amp;sr=8-9")</f>
        <v>https://www.amazon.com/Hibiclens-Antimicrobial-Antiseptic-Cleanser-Liquid/dp/B078PJYLZ9/ref=sr_1_9?keywords=Hibiclens+Antiseptic%2FAntimicrobial+Skin+Cleanser+8fl.+oz.&amp;qid=1695260370&amp;sr=8-9</v>
      </c>
      <c r="F4460" t="s">
        <v>12722</v>
      </c>
      <c r="G4460" t="e">
        <f ca="1">IMAGE("https://shop.sonapharmacy.com/cdn/shop/products/0009905_hibiclens-skin-cleanser-4-solution-8-ounce-236ml-each.jpg?v=1608143785")</f>
        <v>#NAME?</v>
      </c>
      <c r="H4460" t="e">
        <f ca="1">IMAGE("https://m.media-amazon.com/images/I/61DzQn6YGkL._AC_UL320_.jpg")</f>
        <v>#NAME?</v>
      </c>
      <c r="I4460" t="s">
        <v>9710</v>
      </c>
      <c r="J4460">
        <v>15.18</v>
      </c>
      <c r="K4460" s="2" t="s">
        <v>12723</v>
      </c>
      <c r="L4460">
        <v>4.7</v>
      </c>
      <c r="M4460">
        <v>250</v>
      </c>
      <c r="O4460" t="s">
        <v>26</v>
      </c>
      <c r="P4460" t="s">
        <v>39</v>
      </c>
      <c r="Q4460" t="s">
        <v>9712</v>
      </c>
    </row>
    <row r="4461" spans="1:17" ht="15.75" x14ac:dyDescent="0.25">
      <c r="A4461" s="3" t="str">
        <f>HYPERLINK("https://shop.sonapharmacy.com/products/crane%C2%AE-humidifier-demineralization-filter", "https://shop.sonapharmacy.com/products/crane%C2%AE-humidifier-demineralization-filter")</f>
        <v>https://shop.sonapharmacy.com/products/crane%C2%AE-humidifier-demineralization-filter</v>
      </c>
      <c r="B4461" s="3" t="str">
        <f>HYPERLINK("https://shop.sonapharmacy.com/products/crane%c2%ae-humidifier-demineralization-filter", "https://shop.sonapharmacy.com/products/crane%c2%ae-humidifier-demineralization-filter")</f>
        <v>https://shop.sonapharmacy.com/products/crane%c2%ae-humidifier-demineralization-filter</v>
      </c>
      <c r="C4461" t="s">
        <v>10585</v>
      </c>
      <c r="D4461" t="s">
        <v>12724</v>
      </c>
      <c r="E4461" s="3"/>
      <c r="F4461" t="s">
        <v>12725</v>
      </c>
      <c r="G4461" t="e">
        <f ca="1">IMAGE("https://shop.sonapharmacy.com/cdn/shop/products/84614514782834p.jpg?v=1610908808")</f>
        <v>#NAME?</v>
      </c>
      <c r="H4461" t="e">
        <f ca="1">IMAGE("https://m.media-amazon.com/images/I/71mnGklybLL._AC_UY218_.jpg")</f>
        <v>#NAME?</v>
      </c>
      <c r="I4461" t="s">
        <v>4275</v>
      </c>
      <c r="J4461">
        <v>16.989999999999998</v>
      </c>
      <c r="K4461" s="2" t="s">
        <v>12726</v>
      </c>
      <c r="L4461">
        <v>4.0999999999999996</v>
      </c>
      <c r="M4461">
        <v>2072</v>
      </c>
      <c r="O4461" t="s">
        <v>136</v>
      </c>
      <c r="P4461" t="s">
        <v>39</v>
      </c>
      <c r="Q4461" t="s">
        <v>10589</v>
      </c>
    </row>
    <row r="4462" spans="1:17" ht="15.75" x14ac:dyDescent="0.25">
      <c r="A4462" s="3" t="str">
        <f>HYPERLINK("https://shop.sonapharmacy.com/products/theraslim", "https://shop.sonapharmacy.com/products/theraslim")</f>
        <v>https://shop.sonapharmacy.com/products/theraslim</v>
      </c>
      <c r="B4462" s="3" t="str">
        <f>HYPERLINK("https://shop.sonapharmacy.com/products/theraslim", "https://shop.sonapharmacy.com/products/theraslim")</f>
        <v>https://shop.sonapharmacy.com/products/theraslim</v>
      </c>
      <c r="C4462" t="s">
        <v>9845</v>
      </c>
      <c r="D4462" t="s">
        <v>12727</v>
      </c>
      <c r="E4462" s="3" t="str">
        <f>HYPERLINK("https://www.amazon.com/Klaire-Labs-Vital-10-Hypoallergenic-Probiotic/dp/B001PYSP3Y/ref=sr_1_8?keywords=Klaire+Labs+Theraslim+Capsules&amp;qid=1695260437&amp;sr=8-8", "https://www.amazon.com/Klaire-Labs-Vital-10-Hypoallergenic-Probiotic/dp/B001PYSP3Y/ref=sr_1_8?keywords=Klaire+Labs+Theraslim+Capsules&amp;qid=1695260437&amp;sr=8-8")</f>
        <v>https://www.amazon.com/Klaire-Labs-Vital-10-Hypoallergenic-Probiotic/dp/B001PYSP3Y/ref=sr_1_8?keywords=Klaire+Labs+Theraslim+Capsules&amp;qid=1695260437&amp;sr=8-8</v>
      </c>
      <c r="F4462" t="s">
        <v>12728</v>
      </c>
      <c r="G4462" t="e">
        <f ca="1">IMAGE("https://shop.sonapharmacy.com/cdn/shop/products/61UgGn_O7ML._AC_SL1500.jpg?v=1609358113")</f>
        <v>#NAME?</v>
      </c>
      <c r="H4462" t="e">
        <f ca="1">IMAGE("https://m.media-amazon.com/images/I/61pzA7odZpL._AC_UL320_.jpg")</f>
        <v>#NAME?</v>
      </c>
      <c r="I4462" t="s">
        <v>3544</v>
      </c>
      <c r="J4462">
        <v>34.99</v>
      </c>
      <c r="K4462" s="2" t="s">
        <v>12729</v>
      </c>
      <c r="L4462">
        <v>4.5999999999999996</v>
      </c>
      <c r="M4462">
        <v>458</v>
      </c>
      <c r="O4462" t="s">
        <v>26</v>
      </c>
      <c r="P4462" t="s">
        <v>39</v>
      </c>
      <c r="Q4462" t="s">
        <v>9849</v>
      </c>
    </row>
    <row r="4463" spans="1:17" ht="15.75" x14ac:dyDescent="0.25">
      <c r="A4463" s="3" t="str">
        <f>HYPERLINK("https://shop.sonapharmacy.com/products/mitocore-120-caps", "https://shop.sonapharmacy.com/products/mitocore-120-caps")</f>
        <v>https://shop.sonapharmacy.com/products/mitocore-120-caps</v>
      </c>
      <c r="B4463" s="3" t="str">
        <f>HYPERLINK("https://shop.sonapharmacy.com/products/mitocore-120-caps", "https://shop.sonapharmacy.com/products/mitocore-120-caps")</f>
        <v>https://shop.sonapharmacy.com/products/mitocore-120-caps</v>
      </c>
      <c r="C4463" t="s">
        <v>12730</v>
      </c>
      <c r="D4463" t="s">
        <v>12731</v>
      </c>
      <c r="E4463" s="3" t="str">
        <f>HYPERLINK("https://www.amazon.com/Ortho-Molecular-Products-Mitocore-Capsules/dp/B003PR0CFI/ref=sr_1_3?keywords=MitoCORE+120+caps&amp;qid=1695260480&amp;sr=8-3", "https://www.amazon.com/Ortho-Molecular-Products-Mitocore-Capsules/dp/B003PR0CFI/ref=sr_1_3?keywords=MitoCORE+120+caps&amp;qid=1695260480&amp;sr=8-3")</f>
        <v>https://www.amazon.com/Ortho-Molecular-Products-Mitocore-Capsules/dp/B003PR0CFI/ref=sr_1_3?keywords=MitoCORE+120+caps&amp;qid=1695260480&amp;sr=8-3</v>
      </c>
      <c r="F4463" t="s">
        <v>12732</v>
      </c>
      <c r="G4463" t="e">
        <f ca="1">IMAGE("https://shop.sonapharmacy.com/cdn/shop/products/mtothegood.jpg?v=1646968331")</f>
        <v>#NAME?</v>
      </c>
      <c r="H4463" t="e">
        <f ca="1">IMAGE("https://m.media-amazon.com/images/I/81B74sqv-wL._AC_UL320_.jpg")</f>
        <v>#NAME?</v>
      </c>
      <c r="I4463" t="s">
        <v>6655</v>
      </c>
      <c r="J4463">
        <v>74.94</v>
      </c>
      <c r="K4463" s="2" t="s">
        <v>12733</v>
      </c>
      <c r="L4463">
        <v>4.5</v>
      </c>
      <c r="M4463">
        <v>392</v>
      </c>
      <c r="O4463" t="s">
        <v>39</v>
      </c>
      <c r="P4463" t="s">
        <v>39</v>
      </c>
      <c r="Q4463" t="s">
        <v>12734</v>
      </c>
    </row>
    <row r="4464" spans="1:17" ht="15.75" x14ac:dyDescent="0.25">
      <c r="A4464" s="3" t="str">
        <f>HYPERLINK("https://shop.sonapharmacy.com/products/mueller%C2%AE-adjustable-back-brace-one-size", "https://shop.sonapharmacy.com/products/mueller%C2%AE-adjustable-back-brace-one-size")</f>
        <v>https://shop.sonapharmacy.com/products/mueller%C2%AE-adjustable-back-brace-one-size</v>
      </c>
      <c r="B4464" s="3" t="str">
        <f>HYPERLINK("https://shop.sonapharmacy.com/products/mueller%c2%ae-adjustable-back-brace-one-size", "https://shop.sonapharmacy.com/products/mueller%c2%ae-adjustable-back-brace-one-size")</f>
        <v>https://shop.sonapharmacy.com/products/mueller%c2%ae-adjustable-back-brace-one-size</v>
      </c>
      <c r="C4464" t="s">
        <v>12735</v>
      </c>
      <c r="D4464" t="s">
        <v>12736</v>
      </c>
      <c r="E4464" s="3" t="str">
        <f>HYPERLINK("https://www.amazon.com/Mueller-04581-Adjustable-Brace-Black/dp/B07F2CNNCF/ref=sr_1_1?keywords=Mueller%C2%AE+Adjustable+Back+Brace+One+Size&amp;qid=1695260530&amp;sr=8-1", "https://www.amazon.com/Mueller-04581-Adjustable-Brace-Black/dp/B07F2CNNCF/ref=sr_1_1?keywords=Mueller%C2%AE+Adjustable+Back+Brace+One+Size&amp;qid=1695260530&amp;sr=8-1")</f>
        <v>https://www.amazon.com/Mueller-04581-Adjustable-Brace-Black/dp/B07F2CNNCF/ref=sr_1_1?keywords=Mueller%C2%AE+Adjustable+Back+Brace+One+Size&amp;qid=1695260530&amp;sr=8-1</v>
      </c>
      <c r="F4464" t="s">
        <v>12737</v>
      </c>
      <c r="G4464" t="e">
        <f ca="1">IMAGE("https://shop.sonapharmacy.com/cdn/shop/products/mueller-sports-medicine-adjustable-back-brace.jpg?v=1609867441")</f>
        <v>#NAME?</v>
      </c>
      <c r="H4464" t="e">
        <f ca="1">IMAGE("https://m.media-amazon.com/images/I/413uYg0-RYL._AC_UL320_.jpg")</f>
        <v>#NAME?</v>
      </c>
      <c r="I4464" t="s">
        <v>12738</v>
      </c>
      <c r="J4464">
        <v>26.98</v>
      </c>
      <c r="K4464" s="2" t="s">
        <v>12739</v>
      </c>
      <c r="L4464">
        <v>4.0999999999999996</v>
      </c>
      <c r="M4464">
        <v>75</v>
      </c>
      <c r="O4464" t="s">
        <v>26</v>
      </c>
      <c r="P4464" t="s">
        <v>39</v>
      </c>
      <c r="Q4464" t="s">
        <v>12740</v>
      </c>
    </row>
    <row r="4465" spans="1:17" ht="15.75" x14ac:dyDescent="0.25">
      <c r="A4465" s="3" t="str">
        <f>HYPERLINK("https://shop.sonapharmacy.com/products/carex%E2%84%A2-aluminum-adult-crutches", "https://shop.sonapharmacy.com/products/carex%E2%84%A2-aluminum-adult-crutches")</f>
        <v>https://shop.sonapharmacy.com/products/carex%E2%84%A2-aluminum-adult-crutches</v>
      </c>
      <c r="B4465" s="3" t="str">
        <f>HYPERLINK("https://shop.sonapharmacy.com/products/carex%e2%84%a2-aluminum-adult-crutches", "https://shop.sonapharmacy.com/products/carex%e2%84%a2-aluminum-adult-crutches")</f>
        <v>https://shop.sonapharmacy.com/products/carex%e2%84%a2-aluminum-adult-crutches</v>
      </c>
      <c r="C4465" t="s">
        <v>11801</v>
      </c>
      <c r="D4465" t="s">
        <v>12741</v>
      </c>
      <c r="E4465" s="3" t="str">
        <f>HYPERLINK("https://www.amazon.com/FlyingJoy-Lightweight-Underarm-Crutches-Adjustment/dp/B0C3CQM9DW/ref=sr_1_8?keywords=Carex%E2%84%A2+Aluminum+Adult+Crutches&amp;qid=1695260112&amp;sr=8-8", "https://www.amazon.com/FlyingJoy-Lightweight-Underarm-Crutches-Adjustment/dp/B0C3CQM9DW/ref=sr_1_8?keywords=Carex%E2%84%A2+Aluminum+Adult+Crutches&amp;qid=1695260112&amp;sr=8-8")</f>
        <v>https://www.amazon.com/FlyingJoy-Lightweight-Underarm-Crutches-Adjustment/dp/B0C3CQM9DW/ref=sr_1_8?keywords=Carex%E2%84%A2+Aluminum+Adult+Crutches&amp;qid=1695260112&amp;sr=8-8</v>
      </c>
      <c r="F4465" t="s">
        <v>12742</v>
      </c>
      <c r="G4465" t="e">
        <f ca="1">IMAGE("https://shop.sonapharmacy.com/cdn/shop/products/CarexAluminumCrutchesYouth_AdultandTall_1_720x_17f8688a-06ff-4271-84a2-9e898ae6a65a.png?v=1609953352")</f>
        <v>#NAME?</v>
      </c>
      <c r="H4465" t="e">
        <f ca="1">IMAGE("https://m.media-amazon.com/images/I/51WgSj0Zn7L._AC_UL320_.jpg")</f>
        <v>#NAME?</v>
      </c>
      <c r="I4465" t="s">
        <v>11804</v>
      </c>
      <c r="J4465">
        <v>59.99</v>
      </c>
      <c r="K4465" s="2" t="s">
        <v>12743</v>
      </c>
      <c r="L4465">
        <v>4.5</v>
      </c>
      <c r="M4465">
        <v>27</v>
      </c>
      <c r="O4465" t="s">
        <v>26</v>
      </c>
      <c r="P4465" t="s">
        <v>39</v>
      </c>
      <c r="Q4465" t="s">
        <v>11805</v>
      </c>
    </row>
    <row r="4466" spans="1:17" ht="15.75" x14ac:dyDescent="0.25">
      <c r="A4466" s="3" t="str">
        <f>HYPERLINK("https://shop.sonapharmacy.com/products/colace-regular-strength-stool-softener", "https://shop.sonapharmacy.com/products/colace-regular-strength-stool-softener")</f>
        <v>https://shop.sonapharmacy.com/products/colace-regular-strength-stool-softener</v>
      </c>
      <c r="B4466" s="3" t="str">
        <f>HYPERLINK("https://shop.sonapharmacy.com/products/colace-regular-strength-stool-softener", "https://shop.sonapharmacy.com/products/colace-regular-strength-stool-softener")</f>
        <v>https://shop.sonapharmacy.com/products/colace-regular-strength-stool-softener</v>
      </c>
      <c r="C4466" t="s">
        <v>12744</v>
      </c>
      <c r="D4466" t="s">
        <v>12745</v>
      </c>
      <c r="E4466" s="3" t="str">
        <f>HYPERLINK("https://www.amazon.com/CVS-Strength-Softener-Docusate-softgels/dp/B08X2X124P/ref=sr_1_6?keywords=Colace%C2%AE+Regular+Strength+Stool+Softener&amp;qid=1695260146&amp;sr=8-6", "https://www.amazon.com/CVS-Strength-Softener-Docusate-softgels/dp/B08X2X124P/ref=sr_1_6?keywords=Colace%C2%AE+Regular+Strength+Stool+Softener&amp;qid=1695260146&amp;sr=8-6")</f>
        <v>https://www.amazon.com/CVS-Strength-Softener-Docusate-softgels/dp/B08X2X124P/ref=sr_1_6?keywords=Colace%C2%AE+Regular+Strength+Stool+Softener&amp;qid=1695260146&amp;sr=8-6</v>
      </c>
      <c r="F4466" t="s">
        <v>12746</v>
      </c>
      <c r="G4466" t="e">
        <f ca="1">IMAGE("https://shop.sonapharmacy.com/cdn/shop/products/ColaceRSFront.png?v=1606925161")</f>
        <v>#NAME?</v>
      </c>
      <c r="H4466" t="e">
        <f ca="1">IMAGE("https://m.media-amazon.com/images/I/71YThE38RWL._AC_UL320_.jpg")</f>
        <v>#NAME?</v>
      </c>
      <c r="I4466" t="s">
        <v>12747</v>
      </c>
      <c r="J4466">
        <v>33.950000000000003</v>
      </c>
      <c r="K4466" s="2" t="s">
        <v>12748</v>
      </c>
      <c r="L4466">
        <v>4.7</v>
      </c>
      <c r="M4466">
        <v>4</v>
      </c>
      <c r="O4466" t="s">
        <v>26</v>
      </c>
      <c r="P4466" t="s">
        <v>39</v>
      </c>
      <c r="Q4466" t="s">
        <v>12749</v>
      </c>
    </row>
    <row r="4467" spans="1:17" ht="15.75" x14ac:dyDescent="0.25">
      <c r="A4467" s="3" t="str">
        <f>HYPERLINK("https://shop.sonapharmacy.com/products/osteo-bi-flex-joint-health-dietary-supplement-tablets", "https://shop.sonapharmacy.com/products/osteo-bi-flex-joint-health-dietary-supplement-tablets")</f>
        <v>https://shop.sonapharmacy.com/products/osteo-bi-flex-joint-health-dietary-supplement-tablets</v>
      </c>
      <c r="B4467" s="3" t="str">
        <f>HYPERLINK("https://shop.sonapharmacy.com/products/osteo-bi-flex-joint-health-dietary-supplement-tablets", "https://shop.sonapharmacy.com/products/osteo-bi-flex-joint-health-dietary-supplement-tablets")</f>
        <v>https://shop.sonapharmacy.com/products/osteo-bi-flex-joint-health-dietary-supplement-tablets</v>
      </c>
      <c r="C4467" t="s">
        <v>12437</v>
      </c>
      <c r="D4467" t="s">
        <v>12750</v>
      </c>
      <c r="E4467" s="3" t="str">
        <f>HYPERLINK("https://www.amazon.com/Osteo-Bi-Flex%C2%AE-Triple-Strength-Tablets/dp/B00N8ALEEK/ref=sr_1_5?keywords=Osteo+Bi-Flex+One-A-Day+Joint+Health+Supplements+Tablets&amp;qid=1695260624&amp;sr=8-5", "https://www.amazon.com/Osteo-Bi-Flex%C2%AE-Triple-Strength-Tablets/dp/B00N8ALEEK/ref=sr_1_5?keywords=Osteo+Bi-Flex+One-A-Day+Joint+Health+Supplements+Tablets&amp;qid=1695260624&amp;sr=8-5")</f>
        <v>https://www.amazon.com/Osteo-Bi-Flex%C2%AE-Triple-Strength-Tablets/dp/B00N8ALEEK/ref=sr_1_5?keywords=Osteo+Bi-Flex+One-A-Day+Joint+Health+Supplements+Tablets&amp;qid=1695260624&amp;sr=8-5</v>
      </c>
      <c r="F4467" t="s">
        <v>12751</v>
      </c>
      <c r="G4467" t="e">
        <f ca="1">IMAGE("https://shop.sonapharmacy.com/cdn/shop/products/osteobiflexoneadyaresized.jpg?v=1592493119")</f>
        <v>#NAME?</v>
      </c>
      <c r="H4467" t="e">
        <f ca="1">IMAGE("https://m.media-amazon.com/images/I/81PvEK-C6fL._AC_UL320_.jpg")</f>
        <v>#NAME?</v>
      </c>
      <c r="I4467" t="s">
        <v>12440</v>
      </c>
      <c r="J4467">
        <v>29.9</v>
      </c>
      <c r="K4467" s="2" t="s">
        <v>12752</v>
      </c>
      <c r="L4467">
        <v>4.5</v>
      </c>
      <c r="M4467">
        <v>1122</v>
      </c>
      <c r="O4467" t="s">
        <v>26</v>
      </c>
      <c r="P4467" t="s">
        <v>39</v>
      </c>
      <c r="Q4467" t="s">
        <v>12442</v>
      </c>
    </row>
    <row r="4468" spans="1:17" ht="15.75" x14ac:dyDescent="0.25">
      <c r="A4468" s="3" t="str">
        <f>HYPERLINK("https://shop.sonapharmacy.com/products/dentemp%C2%AE-loose-cap-lost-filling-repair", "https://shop.sonapharmacy.com/products/dentemp%C2%AE-loose-cap-lost-filling-repair")</f>
        <v>https://shop.sonapharmacy.com/products/dentemp%C2%AE-loose-cap-lost-filling-repair</v>
      </c>
      <c r="B4468" s="3" t="str">
        <f>HYPERLINK("https://shop.sonapharmacy.com/products/dentemp%c2%ae-loose-cap-lost-filling-repair", "https://shop.sonapharmacy.com/products/dentemp%c2%ae-loose-cap-lost-filling-repair")</f>
        <v>https://shop.sonapharmacy.com/products/dentemp%c2%ae-loose-cap-lost-filling-repair</v>
      </c>
      <c r="C4468" t="s">
        <v>9593</v>
      </c>
      <c r="D4468" t="s">
        <v>12753</v>
      </c>
      <c r="E4468" s="3" t="str">
        <f>HYPERLINK("https://www.amazon.com/D-C-Dentemp-Maximum-Strength/dp/B07WJXTT8C/ref=sr_1_5?keywords=Dentemp%C2%AE+Loose+Cap+%26+Lost+Filling+Repair&amp;qid=1695260175&amp;sr=8-5", "https://www.amazon.com/D-C-Dentemp-Maximum-Strength/dp/B07WJXTT8C/ref=sr_1_5?keywords=Dentemp%C2%AE+Loose+Cap+%26+Lost+Filling+Repair&amp;qid=1695260175&amp;sr=8-5")</f>
        <v>https://www.amazon.com/D-C-Dentemp-Maximum-Strength/dp/B07WJXTT8C/ref=sr_1_5?keywords=Dentemp%C2%AE+Loose+Cap+%26+Lost+Filling+Repair&amp;qid=1695260175&amp;sr=8-5</v>
      </c>
      <c r="F4468" t="s">
        <v>12754</v>
      </c>
      <c r="G4468" t="e">
        <f ca="1">IMAGE("https://shop.sonapharmacy.com/cdn/shop/products/dentemp-loose-cap-lost-filling.jpg?v=1608570207")</f>
        <v>#NAME?</v>
      </c>
      <c r="H4468" t="e">
        <f ca="1">IMAGE("https://m.media-amazon.com/images/I/71Kya1EXuoL._AC_UL320_.jpg")</f>
        <v>#NAME?</v>
      </c>
      <c r="I4468" t="s">
        <v>9241</v>
      </c>
      <c r="J4468">
        <v>7.93</v>
      </c>
      <c r="K4468" s="2" t="s">
        <v>12755</v>
      </c>
      <c r="L4468">
        <v>2.8</v>
      </c>
      <c r="M4468">
        <v>11</v>
      </c>
      <c r="O4468" t="s">
        <v>26</v>
      </c>
      <c r="P4468" t="s">
        <v>39</v>
      </c>
      <c r="Q4468" t="s">
        <v>9597</v>
      </c>
    </row>
    <row r="4469" spans="1:17" ht="15.75" x14ac:dyDescent="0.25">
      <c r="A4469" s="3" t="str">
        <f>HYPERLINK("https://shop.sonapharmacy.com/products/sona-methyl-b-complex", "https://shop.sonapharmacy.com/products/sona-methyl-b-complex")</f>
        <v>https://shop.sonapharmacy.com/products/sona-methyl-b-complex</v>
      </c>
      <c r="B4469" s="3" t="str">
        <f>HYPERLINK("https://shop.sonapharmacy.com/products/sona-methyl-b-complex", "https://shop.sonapharmacy.com/products/sona-methyl-b-complex")</f>
        <v>https://shop.sonapharmacy.com/products/sona-methyl-b-complex</v>
      </c>
      <c r="C4469" t="s">
        <v>10084</v>
      </c>
      <c r="D4469" t="s">
        <v>12756</v>
      </c>
      <c r="E4469" s="3" t="str">
        <f>HYPERLINK("https://www.amazon.com/Ortho-Molecular-Methyl-Complex-Capsules/dp/B084TZFK4W/ref=sr_1_1?keywords=Sona+Methyl+B+Complex&amp;qid=1695260722&amp;sr=8-1", "https://www.amazon.com/Ortho-Molecular-Methyl-Complex-Capsules/dp/B084TZFK4W/ref=sr_1_1?keywords=Sona+Methyl+B+Complex&amp;qid=1695260722&amp;sr=8-1")</f>
        <v>https://www.amazon.com/Ortho-Molecular-Methyl-Complex-Capsules/dp/B084TZFK4W/ref=sr_1_1?keywords=Sona+Methyl+B+Complex&amp;qid=1695260722&amp;sr=8-1</v>
      </c>
      <c r="F4469" t="s">
        <v>12757</v>
      </c>
      <c r="G4469" t="e">
        <f ca="1">IMAGE("https://shop.sonapharmacy.com/cdn/shop/files/MethylBComplex_SonaShop.jpg?v=1692302519")</f>
        <v>#NAME?</v>
      </c>
      <c r="H4469" t="e">
        <f ca="1">IMAGE("https://m.media-amazon.com/images/I/61V59Tgs1qL._AC_UL320_.jpg")</f>
        <v>#NAME?</v>
      </c>
      <c r="I4469" t="s">
        <v>10087</v>
      </c>
      <c r="J4469">
        <v>42.57</v>
      </c>
      <c r="K4469" s="2" t="s">
        <v>12758</v>
      </c>
      <c r="L4469">
        <v>4</v>
      </c>
      <c r="M4469">
        <v>19</v>
      </c>
      <c r="O4469" t="s">
        <v>26</v>
      </c>
      <c r="P4469" t="s">
        <v>39</v>
      </c>
      <c r="Q4469" t="s">
        <v>10089</v>
      </c>
    </row>
    <row r="4470" spans="1:17" ht="15.75" x14ac:dyDescent="0.25">
      <c r="A4470" s="3" t="str">
        <f>HYPERLINK("https://shop.sonapharmacy.com/products/battle-creek-ice-it-%C2%AE-maxcomfort%E2%84%A2-system", "https://shop.sonapharmacy.com/products/battle-creek-ice-it-%C2%AE-maxcomfort%E2%84%A2-system")</f>
        <v>https://shop.sonapharmacy.com/products/battle-creek-ice-it-%C2%AE-maxcomfort%E2%84%A2-system</v>
      </c>
      <c r="B4470" s="3" t="str">
        <f>HYPERLINK("https://shop.sonapharmacy.com/products/battle-creek-ice-it-%c2%ae-maxcomfort%e2%84%a2-system", "https://shop.sonapharmacy.com/products/battle-creek-ice-it-%c2%ae-maxcomfort%e2%84%a2-system")</f>
        <v>https://shop.sonapharmacy.com/products/battle-creek-ice-it-%c2%ae-maxcomfort%e2%84%a2-system</v>
      </c>
      <c r="C4470" t="s">
        <v>12341</v>
      </c>
      <c r="D4470" t="s">
        <v>12759</v>
      </c>
      <c r="E4470" s="3" t="str">
        <f>HYPERLINK("https://www.amazon.com/Therapy-System-Ice-shoulder-abdomen/dp/B01FXKA916/ref=sr_1_6?keywords=Battle+Creek+Ice+It%21%C2%AE+MaxComfort%E2%84%A2+System&amp;qid=1695260067&amp;sr=8-6", "https://www.amazon.com/Therapy-System-Ice-shoulder-abdomen/dp/B01FXKA916/ref=sr_1_6?keywords=Battle+Creek+Ice+It%21%C2%AE+MaxComfort%E2%84%A2+System&amp;qid=1695260067&amp;sr=8-6")</f>
        <v>https://www.amazon.com/Therapy-System-Ice-shoulder-abdomen/dp/B01FXKA916/ref=sr_1_6?keywords=Battle+Creek+Ice+It%21%C2%AE+MaxComfort%E2%84%A2+System&amp;qid=1695260067&amp;sr=8-6</v>
      </c>
      <c r="F4470" t="s">
        <v>12760</v>
      </c>
      <c r="G4470" t="e">
        <f ca="1">IMAGE("https://shop.sonapharmacy.com/cdn/shop/products/291896.jpg?v=1609940503")</f>
        <v>#NAME?</v>
      </c>
      <c r="H4470" t="e">
        <f ca="1">IMAGE("https://m.media-amazon.com/images/I/410I331anhL._AC_UY218_.jpg")</f>
        <v>#NAME?</v>
      </c>
      <c r="I4470" t="s">
        <v>12344</v>
      </c>
      <c r="J4470">
        <v>34</v>
      </c>
      <c r="K4470" s="2" t="s">
        <v>12761</v>
      </c>
      <c r="L4470">
        <v>4.5</v>
      </c>
      <c r="M4470">
        <v>234</v>
      </c>
      <c r="O4470" t="s">
        <v>26</v>
      </c>
      <c r="P4470" t="s">
        <v>39</v>
      </c>
      <c r="Q4470" t="s">
        <v>12346</v>
      </c>
    </row>
    <row r="4471" spans="1:17" ht="15.75" x14ac:dyDescent="0.25">
      <c r="A4471" s="3" t="str">
        <f>HYPERLINK("https://shop.sonapharmacy.com/products/natural-vitality%C2%AE-calm-magnesium-supplement-raspberry-lemon-powder-8oz", "https://shop.sonapharmacy.com/products/natural-vitality%C2%AE-calm-magnesium-supplement-raspberry-lemon-powder-8oz")</f>
        <v>https://shop.sonapharmacy.com/products/natural-vitality%C2%AE-calm-magnesium-supplement-raspberry-lemon-powder-8oz</v>
      </c>
      <c r="B4471" s="3" t="str">
        <f>HYPERLINK("https://shop.sonapharmacy.com/products/natural-vitality%c2%ae-calm-magnesium-supplement-raspberry-lemon-powder-8oz", "https://shop.sonapharmacy.com/products/natural-vitality%c2%ae-calm-magnesium-supplement-raspberry-lemon-powder-8oz")</f>
        <v>https://shop.sonapharmacy.com/products/natural-vitality%c2%ae-calm-magnesium-supplement-raspberry-lemon-powder-8oz</v>
      </c>
      <c r="C4471" t="s">
        <v>11279</v>
      </c>
      <c r="D4471" t="s">
        <v>12762</v>
      </c>
      <c r="E4471" s="3" t="str">
        <f>HYPERLINK("https://www.amazon.com/Natural-Vitality-Calcium-Supplement-Raspberry/dp/B003I4P3JS/ref=sr_1_2?keywords=Natural+Vitality%C2%AE+CALM+Magnesium+Supplement+Raspberry-Lemon+Powder+8oz.&amp;qid=1695260522&amp;sr=8-2", "https://www.amazon.com/Natural-Vitality-Calcium-Supplement-Raspberry/dp/B003I4P3JS/ref=sr_1_2?keywords=Natural+Vitality%C2%AE+CALM+Magnesium+Supplement+Raspberry-Lemon+Powder+8oz.&amp;qid=1695260522&amp;sr=8-2")</f>
        <v>https://www.amazon.com/Natural-Vitality-Calcium-Supplement-Raspberry/dp/B003I4P3JS/ref=sr_1_2?keywords=Natural+Vitality%C2%AE+CALM+Magnesium+Supplement+Raspberry-Lemon+Powder+8oz.&amp;qid=1695260522&amp;sr=8-2</v>
      </c>
      <c r="F4471" t="s">
        <v>12763</v>
      </c>
      <c r="G4471" t="e">
        <f ca="1">IMAGE("https://shop.sonapharmacy.com/cdn/shop/products/53ba39ee-f0fe-4ad1-987f-3f943ef74b6e.cddadaee066a3c33345682b8472c7f72.jpg?v=1611021342")</f>
        <v>#NAME?</v>
      </c>
      <c r="H4471" t="e">
        <f ca="1">IMAGE("https://m.media-amazon.com/images/I/71h0WtUedlL._AC_UL320_.jpg")</f>
        <v>#NAME?</v>
      </c>
      <c r="I4471" t="s">
        <v>11282</v>
      </c>
      <c r="J4471">
        <v>31.94</v>
      </c>
      <c r="K4471" s="2" t="s">
        <v>12764</v>
      </c>
      <c r="L4471">
        <v>4.5999999999999996</v>
      </c>
      <c r="M4471">
        <v>7866</v>
      </c>
      <c r="O4471" t="s">
        <v>26</v>
      </c>
      <c r="P4471" t="s">
        <v>39</v>
      </c>
      <c r="Q4471" t="s">
        <v>11284</v>
      </c>
    </row>
    <row r="4472" spans="1:17" ht="15.75" x14ac:dyDescent="0.25">
      <c r="A4472" s="3" t="str">
        <f>HYPERLINK("https://shop.sonapharmacy.com/products/prilosec-otc%C2%AE-delayed-release-acid-reducer-tablets", "https://shop.sonapharmacy.com/products/prilosec-otc%C2%AE-delayed-release-acid-reducer-tablets")</f>
        <v>https://shop.sonapharmacy.com/products/prilosec-otc%C2%AE-delayed-release-acid-reducer-tablets</v>
      </c>
      <c r="B4472" s="3" t="str">
        <f>HYPERLINK("https://shop.sonapharmacy.com/products/prilosec-otc%c2%ae-delayed-release-acid-reducer-tablets", "https://shop.sonapharmacy.com/products/prilosec-otc%c2%ae-delayed-release-acid-reducer-tablets")</f>
        <v>https://shop.sonapharmacy.com/products/prilosec-otc%c2%ae-delayed-release-acid-reducer-tablets</v>
      </c>
      <c r="C4472" t="s">
        <v>9744</v>
      </c>
      <c r="D4472" t="s">
        <v>12765</v>
      </c>
      <c r="E4472" s="3" t="str">
        <f>HYPERLINK("https://www.amazon.com/Prilosec-Frequent-Heartburn-Medicine-Reducer/dp/B00HZ6W564/ref=sr_1_5?keywords=Prilosec+OTC%C2%AE+Delayed+Release+Acid+Reducer+Tablets&amp;qid=1695260683&amp;sr=8-5", "https://www.amazon.com/Prilosec-Frequent-Heartburn-Medicine-Reducer/dp/B00HZ6W564/ref=sr_1_5?keywords=Prilosec+OTC%C2%AE+Delayed+Release+Acid+Reducer+Tablets&amp;qid=1695260683&amp;sr=8-5")</f>
        <v>https://www.amazon.com/Prilosec-Frequent-Heartburn-Medicine-Reducer/dp/B00HZ6W564/ref=sr_1_5?keywords=Prilosec+OTC%C2%AE+Delayed+Release+Acid+Reducer+Tablets&amp;qid=1695260683&amp;sr=8-5</v>
      </c>
      <c r="F4472" t="s">
        <v>12766</v>
      </c>
      <c r="G4472" t="e">
        <f ca="1">IMAGE("https://shop.sonapharmacy.com/cdn/shop/products/81ogWiPVy2L._AC_SL1500.jpg?v=1611026906")</f>
        <v>#NAME?</v>
      </c>
      <c r="H4472" t="e">
        <f ca="1">IMAGE("https://m.media-amazon.com/images/I/61Ei2ZvjV6L._AC_UL320_.jpg")</f>
        <v>#NAME?</v>
      </c>
      <c r="I4472" t="s">
        <v>9258</v>
      </c>
      <c r="J4472">
        <v>15.99</v>
      </c>
      <c r="K4472" s="2" t="s">
        <v>12764</v>
      </c>
      <c r="L4472">
        <v>4.8</v>
      </c>
      <c r="M4472">
        <v>15420</v>
      </c>
      <c r="O4472" t="s">
        <v>26</v>
      </c>
      <c r="P4472" t="s">
        <v>39</v>
      </c>
      <c r="Q4472" t="s">
        <v>9748</v>
      </c>
    </row>
    <row r="4473" spans="1:17" ht="15.75" x14ac:dyDescent="0.25">
      <c r="A4473" s="3" t="str">
        <f>HYPERLINK("https://shop.sonapharmacy.com/products/arnicare-pain-relief-roll-on", "https://shop.sonapharmacy.com/products/arnicare-pain-relief-roll-on")</f>
        <v>https://shop.sonapharmacy.com/products/arnicare-pain-relief-roll-on</v>
      </c>
      <c r="B4473" s="3" t="str">
        <f>HYPERLINK("https://shop.sonapharmacy.com/products/arnicare-pain-relief-roll-on", "https://shop.sonapharmacy.com/products/arnicare-pain-relief-roll-on")</f>
        <v>https://shop.sonapharmacy.com/products/arnicare-pain-relief-roll-on</v>
      </c>
      <c r="C4473" t="s">
        <v>12767</v>
      </c>
      <c r="D4473" t="s">
        <v>12768</v>
      </c>
      <c r="E4473" s="3" t="str">
        <f>HYPERLINK("https://www.amazon.com/Boiron-Arnicare-Homeopathic-Medicine-Relief/dp/B07FW4FCKW/ref=sr_1_3?keywords=Arnicare+Pain+Relief+Roll-On+1.5oz.&amp;qid=1695260038&amp;sr=8-3", "https://www.amazon.com/Boiron-Arnicare-Homeopathic-Medicine-Relief/dp/B07FW4FCKW/ref=sr_1_3?keywords=Arnicare+Pain+Relief+Roll-On+1.5oz.&amp;qid=1695260038&amp;sr=8-3")</f>
        <v>https://www.amazon.com/Boiron-Arnicare-Homeopathic-Medicine-Relief/dp/B07FW4FCKW/ref=sr_1_3?keywords=Arnicare+Pain+Relief+Roll-On+1.5oz.&amp;qid=1695260038&amp;sr=8-3</v>
      </c>
      <c r="F4473" t="s">
        <v>12769</v>
      </c>
      <c r="G4473" t="e">
        <f ca="1">IMAGE("https://shop.sonapharmacy.com/cdn/shop/products/61LnzeugM2L._AC_SL1000.jpg?v=1609342071")</f>
        <v>#NAME?</v>
      </c>
      <c r="H4473" t="e">
        <f ca="1">IMAGE("https://m.media-amazon.com/images/I/81rmwOwMu6L._AC_UL320_.jpg")</f>
        <v>#NAME?</v>
      </c>
      <c r="I4473" t="s">
        <v>12770</v>
      </c>
      <c r="J4473">
        <v>11.72</v>
      </c>
      <c r="K4473" s="2" t="s">
        <v>12771</v>
      </c>
      <c r="L4473">
        <v>4.4000000000000004</v>
      </c>
      <c r="M4473">
        <v>1932</v>
      </c>
      <c r="O4473" t="s">
        <v>26</v>
      </c>
      <c r="P4473" t="s">
        <v>39</v>
      </c>
      <c r="Q4473" t="s">
        <v>12772</v>
      </c>
    </row>
    <row r="4474" spans="1:17" ht="15.75" x14ac:dyDescent="0.25">
      <c r="A4474" s="3" t="str">
        <f>HYPERLINK("https://shop.sonapharmacy.com/products/philips%C2%AE-sonicare-1100-daily-clean-electric-toothbrush", "https://shop.sonapharmacy.com/products/philips%C2%AE-sonicare-1100-daily-clean-electric-toothbrush")</f>
        <v>https://shop.sonapharmacy.com/products/philips%C2%AE-sonicare-1100-daily-clean-electric-toothbrush</v>
      </c>
      <c r="B4474" s="3" t="str">
        <f>HYPERLINK("https://shop.sonapharmacy.com/products/philips%c2%ae-sonicare-1100-daily-clean-electric-toothbrush", "https://shop.sonapharmacy.com/products/philips%c2%ae-sonicare-1100-daily-clean-electric-toothbrush")</f>
        <v>https://shop.sonapharmacy.com/products/philips%c2%ae-sonicare-1100-daily-clean-electric-toothbrush</v>
      </c>
      <c r="C4474" t="s">
        <v>11428</v>
      </c>
      <c r="D4474" t="s">
        <v>12773</v>
      </c>
      <c r="E4474" s="3" t="str">
        <f>HYPERLINK("https://www.amazon.com/Philips-Sonicare-Toothbrush-DailyClean-QuadPacer/dp/B09D3YNPVV/ref=sr_1_1?keywords=Philip%27s%C2%AE+Sonicare+1100+Daily+Clean+Electric+Toothbrush&amp;qid=1695260635&amp;sr=8-1", "https://www.amazon.com/Philips-Sonicare-Toothbrush-DailyClean-QuadPacer/dp/B09D3YNPVV/ref=sr_1_1?keywords=Philip%27s%C2%AE+Sonicare+1100+Daily+Clean+Electric+Toothbrush&amp;qid=1695260635&amp;sr=8-1")</f>
        <v>https://www.amazon.com/Philips-Sonicare-Toothbrush-DailyClean-QuadPacer/dp/B09D3YNPVV/ref=sr_1_1?keywords=Philip%27s%C2%AE+Sonicare+1100+Daily+Clean+Electric+Toothbrush&amp;qid=1695260635&amp;sr=8-1</v>
      </c>
      <c r="F4474" t="s">
        <v>12774</v>
      </c>
      <c r="G4474" t="e">
        <f ca="1">IMAGE("https://shop.sonapharmacy.com/cdn/shop/products/ead938eb-0b84-44ca-80e3-51c79afb01d2.74bc2eab271bbad9bb49b14d4cdea77e.jpg?v=1608583461")</f>
        <v>#NAME?</v>
      </c>
      <c r="H4474" t="e">
        <f ca="1">IMAGE("https://m.media-amazon.com/images/I/41Wrn5Bm6cL._AC_UL320_.jpg")</f>
        <v>#NAME?</v>
      </c>
      <c r="I4474" t="s">
        <v>3404</v>
      </c>
      <c r="J4474">
        <v>39.950000000000003</v>
      </c>
      <c r="K4474" s="2" t="s">
        <v>3424</v>
      </c>
      <c r="L4474">
        <v>4.5</v>
      </c>
      <c r="M4474">
        <v>510</v>
      </c>
      <c r="O4474" t="s">
        <v>26</v>
      </c>
      <c r="P4474" t="s">
        <v>39</v>
      </c>
      <c r="Q4474" t="s">
        <v>11431</v>
      </c>
    </row>
    <row r="4475" spans="1:17" ht="15.75" x14ac:dyDescent="0.25">
      <c r="A4475" s="3" t="str">
        <f>HYPERLINK("https://shop.sonapharmacy.com/products/imodium%C2%AE-multi-symptom-relief-caplets", "https://shop.sonapharmacy.com/products/imodium%C2%AE-multi-symptom-relief-caplets")</f>
        <v>https://shop.sonapharmacy.com/products/imodium%C2%AE-multi-symptom-relief-caplets</v>
      </c>
      <c r="B4475" s="3" t="str">
        <f>HYPERLINK("https://shop.sonapharmacy.com/products/imodium%c2%ae-multi-symptom-relief-caplets", "https://shop.sonapharmacy.com/products/imodium%c2%ae-multi-symptom-relief-caplets")</f>
        <v>https://shop.sonapharmacy.com/products/imodium%c2%ae-multi-symptom-relief-caplets</v>
      </c>
      <c r="C4475" t="s">
        <v>12775</v>
      </c>
      <c r="D4475" t="s">
        <v>12776</v>
      </c>
      <c r="E4475" s="3" t="str">
        <f>HYPERLINK("https://www.amazon.com/Imodium-Multi-Symptom-Anti-Diarrheal-Hydrochloride-Simethicone/dp/B084K8F821/ref=sr_1_1?keywords=Imodium%C2%AE+Multi-Symptom+Relief+Caplets&amp;qid=1695260403&amp;sr=8-1", "https://www.amazon.com/Imodium-Multi-Symptom-Anti-Diarrheal-Hydrochloride-Simethicone/dp/B084K8F821/ref=sr_1_1?keywords=Imodium%C2%AE+Multi-Symptom+Relief+Caplets&amp;qid=1695260403&amp;sr=8-1")</f>
        <v>https://www.amazon.com/Imodium-Multi-Symptom-Anti-Diarrheal-Hydrochloride-Simethicone/dp/B084K8F821/ref=sr_1_1?keywords=Imodium%C2%AE+Multi-Symptom+Relief+Caplets&amp;qid=1695260403&amp;sr=8-1</v>
      </c>
      <c r="F4475" t="s">
        <v>12777</v>
      </c>
      <c r="G4475" t="e">
        <f ca="1">IMAGE("https://shop.sonapharmacy.com/cdn/shop/products/81QVwlQ-f7L._AC_SL1500.jpg?v=1610673259")</f>
        <v>#NAME?</v>
      </c>
      <c r="H4475" t="e">
        <f ca="1">IMAGE("https://m.media-amazon.com/images/I/71KWjeNWsxL._AC_UL320_.jpg")</f>
        <v>#NAME?</v>
      </c>
      <c r="I4475" t="s">
        <v>12778</v>
      </c>
      <c r="J4475">
        <v>14.28</v>
      </c>
      <c r="K4475" s="2" t="s">
        <v>12779</v>
      </c>
      <c r="L4475">
        <v>4.8</v>
      </c>
      <c r="M4475">
        <v>16318</v>
      </c>
      <c r="O4475" t="s">
        <v>26</v>
      </c>
      <c r="P4475" t="s">
        <v>39</v>
      </c>
      <c r="Q4475" t="s">
        <v>12780</v>
      </c>
    </row>
    <row r="4476" spans="1:17" ht="15.75" x14ac:dyDescent="0.25">
      <c r="A4476" s="3" t="str">
        <f>HYPERLINK("https://shop.sonapharmacy.com/products/mueller%C2%AE-cold-hot-therapy-wrap-large", "https://shop.sonapharmacy.com/products/mueller%C2%AE-cold-hot-therapy-wrap-large")</f>
        <v>https://shop.sonapharmacy.com/products/mueller%C2%AE-cold-hot-therapy-wrap-large</v>
      </c>
      <c r="B4476" s="3" t="str">
        <f>HYPERLINK("https://shop.sonapharmacy.com/products/mueller%c2%ae-cold-hot-therapy-wrap-large", "https://shop.sonapharmacy.com/products/mueller%c2%ae-cold-hot-therapy-wrap-large")</f>
        <v>https://shop.sonapharmacy.com/products/mueller%c2%ae-cold-hot-therapy-wrap-large</v>
      </c>
      <c r="C4476" t="s">
        <v>12781</v>
      </c>
      <c r="D4476" t="s">
        <v>12782</v>
      </c>
      <c r="E4476" s="3" t="str">
        <f>HYPERLINK("https://www.amazon.com/Mutifunction-Injuries-Upgrade-Reusable-Ankle/dp/B07598T1ZD/ref=sr_1_9?keywords=Mueller%C2%AE+Cold-Hot+Therapy+Wrap&amp;qid=1695260545&amp;sr=8-9", "https://www.amazon.com/Mutifunction-Injuries-Upgrade-Reusable-Ankle/dp/B07598T1ZD/ref=sr_1_9?keywords=Mueller%C2%AE+Cold-Hot+Therapy+Wrap&amp;qid=1695260545&amp;sr=8-9")</f>
        <v>https://www.amazon.com/Mutifunction-Injuries-Upgrade-Reusable-Ankle/dp/B07598T1ZD/ref=sr_1_9?keywords=Mueller%C2%AE+Cold-Hot+Therapy+Wrap&amp;qid=1695260545&amp;sr=8-9</v>
      </c>
      <c r="F4476" t="s">
        <v>12783</v>
      </c>
      <c r="G4476" t="e">
        <f ca="1">IMAGE("https://shop.sonapharmacy.com/cdn/shop/products/31591_1000x1000-pad.jpg?v=1609861202")</f>
        <v>#NAME?</v>
      </c>
      <c r="H4476" t="e">
        <f ca="1">IMAGE("https://m.media-amazon.com/images/I/61+rtmTW6YL._AC_UL320_.jpg")</f>
        <v>#NAME?</v>
      </c>
      <c r="I4476" t="s">
        <v>12784</v>
      </c>
      <c r="J4476">
        <v>17.8</v>
      </c>
      <c r="K4476" s="2" t="s">
        <v>12785</v>
      </c>
      <c r="L4476">
        <v>4.3</v>
      </c>
      <c r="M4476">
        <v>784</v>
      </c>
      <c r="O4476" t="s">
        <v>26</v>
      </c>
      <c r="P4476" t="s">
        <v>39</v>
      </c>
      <c r="Q4476" t="s">
        <v>12786</v>
      </c>
    </row>
    <row r="4477" spans="1:17" ht="15.75" x14ac:dyDescent="0.25">
      <c r="A4477" s="3" t="str">
        <f>HYPERLINK("https://shop.sonapharmacy.com/products/mueller%C2%AE-elastic-elbow-support", "https://shop.sonapharmacy.com/products/mueller%C2%AE-elastic-elbow-support")</f>
        <v>https://shop.sonapharmacy.com/products/mueller%C2%AE-elastic-elbow-support</v>
      </c>
      <c r="B4477" s="3" t="str">
        <f>HYPERLINK("https://shop.sonapharmacy.com/products/mueller%c2%ae-elastic-elbow-support", "https://shop.sonapharmacy.com/products/mueller%c2%ae-elastic-elbow-support")</f>
        <v>https://shop.sonapharmacy.com/products/mueller%c2%ae-elastic-elbow-support</v>
      </c>
      <c r="C4477" t="s">
        <v>12787</v>
      </c>
      <c r="D4477" t="s">
        <v>12788</v>
      </c>
      <c r="E4477" s="3" t="str">
        <f>HYPERLINK("https://www.amazon.com/Mueller-Elastic-Elbow-Support-BLACK/dp/B00M9OJM54/ref=sr_1_3?keywords=Mueller%C2%AE+Elastic+Elbow+Support&amp;qid=1695260511&amp;sr=8-3", "https://www.amazon.com/Mueller-Elastic-Elbow-Support-BLACK/dp/B00M9OJM54/ref=sr_1_3?keywords=Mueller%C2%AE+Elastic+Elbow+Support&amp;qid=1695260511&amp;sr=8-3")</f>
        <v>https://www.amazon.com/Mueller-Elastic-Elbow-Support-BLACK/dp/B00M9OJM54/ref=sr_1_3?keywords=Mueller%C2%AE+Elastic+Elbow+Support&amp;qid=1695260511&amp;sr=8-3</v>
      </c>
      <c r="F4477" t="s">
        <v>12789</v>
      </c>
      <c r="G4477" t="e">
        <f ca="1">IMAGE("https://shop.sonapharmacy.com/cdn/shop/products/medium.jpg?v=1609858228")</f>
        <v>#NAME?</v>
      </c>
      <c r="H4477" t="e">
        <f ca="1">IMAGE("https://m.media-amazon.com/images/I/61lpEpjq9CL._AC_UL320_.jpg")</f>
        <v>#NAME?</v>
      </c>
      <c r="I4477" t="s">
        <v>12790</v>
      </c>
      <c r="J4477">
        <v>12.99</v>
      </c>
      <c r="K4477" s="2" t="s">
        <v>12791</v>
      </c>
      <c r="L4477">
        <v>3</v>
      </c>
      <c r="M4477">
        <v>1</v>
      </c>
      <c r="O4477" t="s">
        <v>26</v>
      </c>
      <c r="P4477" t="s">
        <v>39</v>
      </c>
      <c r="Q4477" t="s">
        <v>12792</v>
      </c>
    </row>
    <row r="4478" spans="1:17" ht="15.75" x14ac:dyDescent="0.25">
      <c r="A4478" s="3" t="str">
        <f>HYPERLINK("https://shop.sonapharmacy.com/products/mueller%C2%AE-elastic-elbow-support", "https://shop.sonapharmacy.com/products/mueller%C2%AE-elastic-elbow-support")</f>
        <v>https://shop.sonapharmacy.com/products/mueller%C2%AE-elastic-elbow-support</v>
      </c>
      <c r="B4478" s="3" t="str">
        <f>HYPERLINK("https://shop.sonapharmacy.com/products/mueller%c2%ae-elastic-elbow-support", "https://shop.sonapharmacy.com/products/mueller%c2%ae-elastic-elbow-support")</f>
        <v>https://shop.sonapharmacy.com/products/mueller%c2%ae-elastic-elbow-support</v>
      </c>
      <c r="C4478" t="s">
        <v>12787</v>
      </c>
      <c r="D4478" t="s">
        <v>12793</v>
      </c>
      <c r="E4478" s="3" t="str">
        <f>HYPERLINK("https://www.amazon.com/MUELLER-Elastic-Elbow-Support-BLACK/dp/B00M9OJ6PK/ref=sr_1_1?keywords=Mueller%C2%AE+Elastic+Elbow+Support&amp;qid=1695260511&amp;sr=8-1", "https://www.amazon.com/MUELLER-Elastic-Elbow-Support-BLACK/dp/B00M9OJ6PK/ref=sr_1_1?keywords=Mueller%C2%AE+Elastic+Elbow+Support&amp;qid=1695260511&amp;sr=8-1")</f>
        <v>https://www.amazon.com/MUELLER-Elastic-Elbow-Support-BLACK/dp/B00M9OJ6PK/ref=sr_1_1?keywords=Mueller%C2%AE+Elastic+Elbow+Support&amp;qid=1695260511&amp;sr=8-1</v>
      </c>
      <c r="F4478" t="s">
        <v>12794</v>
      </c>
      <c r="G4478" t="e">
        <f ca="1">IMAGE("https://shop.sonapharmacy.com/cdn/shop/products/medium.jpg?v=1609858228")</f>
        <v>#NAME?</v>
      </c>
      <c r="H4478" t="e">
        <f ca="1">IMAGE("https://m.media-amazon.com/images/I/61lpEpjq9CL._AC_UL320_.jpg")</f>
        <v>#NAME?</v>
      </c>
      <c r="I4478" t="s">
        <v>12790</v>
      </c>
      <c r="J4478">
        <v>12.99</v>
      </c>
      <c r="K4478" s="2" t="s">
        <v>12791</v>
      </c>
      <c r="L4478">
        <v>5</v>
      </c>
      <c r="M4478">
        <v>3</v>
      </c>
      <c r="O4478" t="s">
        <v>26</v>
      </c>
      <c r="P4478" t="s">
        <v>39</v>
      </c>
      <c r="Q4478" t="s">
        <v>12792</v>
      </c>
    </row>
    <row r="4479" spans="1:17" ht="15.75" x14ac:dyDescent="0.25">
      <c r="A4479" s="3" t="str">
        <f>HYPERLINK("https://shop.sonapharmacy.com/products/mucinex-600-mg-guaifenesin-mucus-and-chest-congestion-expectorant", "https://shop.sonapharmacy.com/products/mucinex-600-mg-guaifenesin-mucus-and-chest-congestion-expectorant")</f>
        <v>https://shop.sonapharmacy.com/products/mucinex-600-mg-guaifenesin-mucus-and-chest-congestion-expectorant</v>
      </c>
      <c r="B4479" s="3" t="str">
        <f>HYPERLINK("https://shop.sonapharmacy.com/products/mucinex-600-mg-guaifenesin-mucus-and-chest-congestion-expectorant", "https://shop.sonapharmacy.com/products/mucinex-600-mg-guaifenesin-mucus-and-chest-congestion-expectorant")</f>
        <v>https://shop.sonapharmacy.com/products/mucinex-600-mg-guaifenesin-mucus-and-chest-congestion-expectorant</v>
      </c>
      <c r="C4479" t="s">
        <v>11949</v>
      </c>
      <c r="D4479" t="s">
        <v>12795</v>
      </c>
      <c r="E4479" s="3" t="str">
        <f>HYPERLINK("https://www.amazon.com/Guardian-Guaifenesin-Extended-Congestion-Expectorant/dp/B084PBCKJ7/ref=sr_1_5?keywords=Mucinex%C2%AE+600mg+Guaifenesin+Mucus+and+Chest+Congestion+Expectorant&amp;qid=1695260509&amp;sr=8-5", "https://www.amazon.com/Guardian-Guaifenesin-Extended-Congestion-Expectorant/dp/B084PBCKJ7/ref=sr_1_5?keywords=Mucinex%C2%AE+600mg+Guaifenesin+Mucus+and+Chest+Congestion+Expectorant&amp;qid=1695260509&amp;sr=8-5")</f>
        <v>https://www.amazon.com/Guardian-Guaifenesin-Extended-Congestion-Expectorant/dp/B084PBCKJ7/ref=sr_1_5?keywords=Mucinex%C2%AE+600mg+Guaifenesin+Mucus+and+Chest+Congestion+Expectorant&amp;qid=1695260509&amp;sr=8-5</v>
      </c>
      <c r="F4479" t="s">
        <v>12796</v>
      </c>
      <c r="G4479" t="e">
        <f ca="1">IMAGE("https://shop.sonapharmacy.com/cdn/shop/products/3e768c58-21ea-4f73-9cc1-b690925618eb_1.58434ebb65e7a2d85fd1e0aad781824e.jpg?v=1612279729")</f>
        <v>#NAME?</v>
      </c>
      <c r="H4479" t="e">
        <f ca="1">IMAGE("https://m.media-amazon.com/images/I/81R4NMjm4pL._AC_UL320_.jpg")</f>
        <v>#NAME?</v>
      </c>
      <c r="I4479" t="s">
        <v>11952</v>
      </c>
      <c r="J4479">
        <v>23.99</v>
      </c>
      <c r="K4479" s="2" t="s">
        <v>12797</v>
      </c>
      <c r="L4479">
        <v>4.5999999999999996</v>
      </c>
      <c r="M4479">
        <v>4303</v>
      </c>
      <c r="O4479" t="s">
        <v>26</v>
      </c>
      <c r="P4479" t="s">
        <v>39</v>
      </c>
      <c r="Q4479" t="s">
        <v>11954</v>
      </c>
    </row>
    <row r="4480" spans="1:17" ht="15.75" x14ac:dyDescent="0.25">
      <c r="A4480" s="3" t="str">
        <f>HYPERLINK("https://shop.sonapharmacy.com/products/poise%C2%AE-pads-ultimate-absorbency-long-length-27ct", "https://shop.sonapharmacy.com/products/poise%C2%AE-pads-ultimate-absorbency-long-length-27ct")</f>
        <v>https://shop.sonapharmacy.com/products/poise%C2%AE-pads-ultimate-absorbency-long-length-27ct</v>
      </c>
      <c r="B4480" s="3" t="str">
        <f>HYPERLINK("https://shop.sonapharmacy.com/products/poise%c2%ae-pads-ultimate-absorbency-long-length-27ct", "https://shop.sonapharmacy.com/products/poise%c2%ae-pads-ultimate-absorbency-long-length-27ct")</f>
        <v>https://shop.sonapharmacy.com/products/poise%c2%ae-pads-ultimate-absorbency-long-length-27ct</v>
      </c>
      <c r="C4480" t="s">
        <v>10623</v>
      </c>
      <c r="D4480" t="s">
        <v>12798</v>
      </c>
      <c r="E4480" s="3" t="str">
        <f>HYPERLINK("https://www.amazon.com/Poise-Incontinence-Overnight-Ultimate-Absorbency/dp/B007WSZ4UO/ref=sr_1_3?keywords=Poise%C2%AE+Pads+Ultimate+Absorbency+Long+Length+27ct.&amp;qid=1695260637&amp;sr=8-3", "https://www.amazon.com/Poise-Incontinence-Overnight-Ultimate-Absorbency/dp/B007WSZ4UO/ref=sr_1_3?keywords=Poise%C2%AE+Pads+Ultimate+Absorbency+Long+Length+27ct.&amp;qid=1695260637&amp;sr=8-3")</f>
        <v>https://www.amazon.com/Poise-Incontinence-Overnight-Ultimate-Absorbency/dp/B007WSZ4UO/ref=sr_1_3?keywords=Poise%C2%AE+Pads+Ultimate+Absorbency+Long+Length+27ct.&amp;qid=1695260637&amp;sr=8-3</v>
      </c>
      <c r="F4480" t="s">
        <v>12799</v>
      </c>
      <c r="G4480" t="e">
        <f ca="1">IMAGE("https://shop.sonapharmacy.com/cdn/shop/products/61DPdeJtm4L._AC_SL1200.jpg?v=1611073514")</f>
        <v>#NAME?</v>
      </c>
      <c r="H4480" t="e">
        <f ca="1">IMAGE("https://m.media-amazon.com/images/I/71UFEYNG8aL._AC_UL320_.jpg")</f>
        <v>#NAME?</v>
      </c>
      <c r="I4480" t="s">
        <v>9290</v>
      </c>
      <c r="J4480">
        <v>22.53</v>
      </c>
      <c r="K4480" s="2" t="s">
        <v>12797</v>
      </c>
      <c r="L4480">
        <v>4.5999999999999996</v>
      </c>
      <c r="M4480">
        <v>24924</v>
      </c>
      <c r="O4480" t="s">
        <v>26</v>
      </c>
      <c r="P4480" t="s">
        <v>39</v>
      </c>
      <c r="Q4480" t="s">
        <v>10627</v>
      </c>
    </row>
    <row r="4481" spans="1:17" ht="15.75" x14ac:dyDescent="0.25">
      <c r="A4481" s="3" t="str">
        <f>HYPERLINK("https://shop.sonapharmacy.com/products/prilosec-otc%C2%AE-delayed-release-acid-reducer-tablets", "https://shop.sonapharmacy.com/products/prilosec-otc%C2%AE-delayed-release-acid-reducer-tablets")</f>
        <v>https://shop.sonapharmacy.com/products/prilosec-otc%C2%AE-delayed-release-acid-reducer-tablets</v>
      </c>
      <c r="B4481" s="3" t="str">
        <f>HYPERLINK("https://shop.sonapharmacy.com/products/prilosec-otc%c2%ae-delayed-release-acid-reducer-tablets", "https://shop.sonapharmacy.com/products/prilosec-otc%c2%ae-delayed-release-acid-reducer-tablets")</f>
        <v>https://shop.sonapharmacy.com/products/prilosec-otc%c2%ae-delayed-release-acid-reducer-tablets</v>
      </c>
      <c r="C4481" t="s">
        <v>9744</v>
      </c>
      <c r="D4481" t="s">
        <v>12800</v>
      </c>
      <c r="E4481" s="3" t="str">
        <f>HYPERLINK("https://www.amazon.com/Goodsense-Omeprazole-Delayed-Release-Strawberry/dp/B07J2ZZTK6/ref=sr_1_10?keywords=Prilosec+OTC%C2%AE+Delayed+Release+Acid+Reducer+Tablets&amp;qid=1695260683&amp;sr=8-10", "https://www.amazon.com/Goodsense-Omeprazole-Delayed-Release-Strawberry/dp/B07J2ZZTK6/ref=sr_1_10?keywords=Prilosec+OTC%C2%AE+Delayed+Release+Acid+Reducer+Tablets&amp;qid=1695260683&amp;sr=8-10")</f>
        <v>https://www.amazon.com/Goodsense-Omeprazole-Delayed-Release-Strawberry/dp/B07J2ZZTK6/ref=sr_1_10?keywords=Prilosec+OTC%C2%AE+Delayed+Release+Acid+Reducer+Tablets&amp;qid=1695260683&amp;sr=8-10</v>
      </c>
      <c r="F4481" t="s">
        <v>12801</v>
      </c>
      <c r="G4481" t="e">
        <f ca="1">IMAGE("https://shop.sonapharmacy.com/cdn/shop/products/81ogWiPVy2L._AC_SL1500.jpg?v=1611026906")</f>
        <v>#NAME?</v>
      </c>
      <c r="H4481" t="e">
        <f ca="1">IMAGE("https://m.media-amazon.com/images/I/81BqipafiFL._AC_UL320_.jpg")</f>
        <v>#NAME?</v>
      </c>
      <c r="I4481" t="s">
        <v>9258</v>
      </c>
      <c r="J4481">
        <v>15.89</v>
      </c>
      <c r="K4481" s="2" t="s">
        <v>12802</v>
      </c>
      <c r="L4481">
        <v>4.7</v>
      </c>
      <c r="M4481">
        <v>1353</v>
      </c>
      <c r="O4481" t="s">
        <v>26</v>
      </c>
      <c r="P4481" t="s">
        <v>39</v>
      </c>
      <c r="Q4481" t="s">
        <v>9748</v>
      </c>
    </row>
    <row r="4482" spans="1:17" ht="15.75" x14ac:dyDescent="0.25">
      <c r="A4482" s="3" t="str">
        <f>HYPERLINK("https://shop.sonapharmacy.com/products/mueller%C2%AE-adjustable-back-brace-one-size", "https://shop.sonapharmacy.com/products/mueller%C2%AE-adjustable-back-brace-one-size")</f>
        <v>https://shop.sonapharmacy.com/products/mueller%C2%AE-adjustable-back-brace-one-size</v>
      </c>
      <c r="B4482" s="3" t="str">
        <f>HYPERLINK("https://shop.sonapharmacy.com/products/mueller%c2%ae-adjustable-back-brace-one-size", "https://shop.sonapharmacy.com/products/mueller%c2%ae-adjustable-back-brace-one-size")</f>
        <v>https://shop.sonapharmacy.com/products/mueller%c2%ae-adjustable-back-brace-one-size</v>
      </c>
      <c r="C4482" t="s">
        <v>12735</v>
      </c>
      <c r="D4482" t="s">
        <v>12803</v>
      </c>
      <c r="E4482" s="3" t="str">
        <f>HYPERLINK("https://www.amazon.com/Mueller-Sports-Medicine-Adjust-Support/dp/B019FWQ5HK/ref=sr_1_7?keywords=Mueller%C2%AE+Adjustable+Back+Brace+One+Size&amp;qid=1695260530&amp;sr=8-7", "https://www.amazon.com/Mueller-Sports-Medicine-Adjust-Support/dp/B019FWQ5HK/ref=sr_1_7?keywords=Mueller%C2%AE+Adjustable+Back+Brace+One+Size&amp;qid=1695260530&amp;sr=8-7")</f>
        <v>https://www.amazon.com/Mueller-Sports-Medicine-Adjust-Support/dp/B019FWQ5HK/ref=sr_1_7?keywords=Mueller%C2%AE+Adjustable+Back+Brace+One+Size&amp;qid=1695260530&amp;sr=8-7</v>
      </c>
      <c r="F4482" t="s">
        <v>12804</v>
      </c>
      <c r="G4482" t="e">
        <f ca="1">IMAGE("https://shop.sonapharmacy.com/cdn/shop/products/mueller-sports-medicine-adjustable-back-brace.jpg?v=1609867441")</f>
        <v>#NAME?</v>
      </c>
      <c r="H4482" t="e">
        <f ca="1">IMAGE("https://m.media-amazon.com/images/I/81yMdwYxZdL._AC_UL320_.jpg")</f>
        <v>#NAME?</v>
      </c>
      <c r="I4482" t="s">
        <v>12738</v>
      </c>
      <c r="J4482">
        <v>26.62</v>
      </c>
      <c r="K4482" s="2" t="s">
        <v>12805</v>
      </c>
      <c r="L4482">
        <v>3.7</v>
      </c>
      <c r="M4482">
        <v>32</v>
      </c>
      <c r="O4482" t="s">
        <v>26</v>
      </c>
      <c r="P4482" t="s">
        <v>39</v>
      </c>
      <c r="Q4482" t="s">
        <v>12740</v>
      </c>
    </row>
    <row r="4483" spans="1:17" ht="15.75" x14ac:dyDescent="0.25">
      <c r="A4483" s="3" t="str">
        <f>HYPERLINK("https://shop.sonapharmacy.com/products/nova-folding-walker-with-5-inch-wheels", "https://shop.sonapharmacy.com/products/nova-folding-walker-with-5-inch-wheels")</f>
        <v>https://shop.sonapharmacy.com/products/nova-folding-walker-with-5-inch-wheels</v>
      </c>
      <c r="B4483" s="3" t="str">
        <f>HYPERLINK("https://shop.sonapharmacy.com/products/nova-folding-walker-with-5-inch-wheels", "https://shop.sonapharmacy.com/products/nova-folding-walker-with-5-inch-wheels")</f>
        <v>https://shop.sonapharmacy.com/products/nova-folding-walker-with-5-inch-wheels</v>
      </c>
      <c r="C4483" t="s">
        <v>9668</v>
      </c>
      <c r="D4483" t="s">
        <v>12806</v>
      </c>
      <c r="E4483" s="3" t="str">
        <f>HYPERLINK("https://www.amazon.com/Folding-Walker-INCH-Wheels-Adult/dp/B07YVHGLL6/ref=sr_1_2?keywords=Nova+Folding+Walker+with+5+Inch+Wheels&amp;qid=1695260588&amp;sr=8-2", "https://www.amazon.com/Folding-Walker-INCH-Wheels-Adult/dp/B07YVHGLL6/ref=sr_1_2?keywords=Nova+Folding+Walker+with+5+Inch+Wheels&amp;qid=1695260588&amp;sr=8-2")</f>
        <v>https://www.amazon.com/Folding-Walker-INCH-Wheels-Adult/dp/B07YVHGLL6/ref=sr_1_2?keywords=Nova+Folding+Walker+with+5+Inch+Wheels&amp;qid=1695260588&amp;sr=8-2</v>
      </c>
      <c r="F4483" t="s">
        <v>12807</v>
      </c>
      <c r="G4483" t="e">
        <f ca="1">IMAGE("https://shop.sonapharmacy.com/cdn/shop/products/Walker.jpg?v=1607191001")</f>
        <v>#NAME?</v>
      </c>
      <c r="H4483" t="e">
        <f ca="1">IMAGE("https://m.media-amazon.com/images/I/311+NPygCIL._AC_UL320_.jpg")</f>
        <v>#NAME?</v>
      </c>
      <c r="I4483" t="s">
        <v>9671</v>
      </c>
      <c r="J4483">
        <v>107.93</v>
      </c>
      <c r="K4483" s="2" t="s">
        <v>12808</v>
      </c>
      <c r="L4483">
        <v>1</v>
      </c>
      <c r="M4483">
        <v>1</v>
      </c>
      <c r="O4483" t="s">
        <v>26</v>
      </c>
      <c r="P4483" t="s">
        <v>39</v>
      </c>
      <c r="Q4483" t="s">
        <v>9673</v>
      </c>
    </row>
    <row r="4484" spans="1:17" ht="15.75" x14ac:dyDescent="0.25">
      <c r="A4484" s="3" t="str">
        <f>HYPERLINK("https://shop.sonapharmacy.com/products/nexcare-gentle-paper-tape-with-dispenser", "https://shop.sonapharmacy.com/products/nexcare-gentle-paper-tape-with-dispenser")</f>
        <v>https://shop.sonapharmacy.com/products/nexcare-gentle-paper-tape-with-dispenser</v>
      </c>
      <c r="B4484" s="3" t="str">
        <f>HYPERLINK("https://shop.sonapharmacy.com/products/nexcare-gentle-paper-tape-with-dispenser", "https://shop.sonapharmacy.com/products/nexcare-gentle-paper-tape-with-dispenser")</f>
        <v>https://shop.sonapharmacy.com/products/nexcare-gentle-paper-tape-with-dispenser</v>
      </c>
      <c r="C4484" t="s">
        <v>9113</v>
      </c>
      <c r="D4484" t="s">
        <v>12809</v>
      </c>
      <c r="E4484" s="3" t="str">
        <f>HYPERLINK("https://www.amazon.com/Nexcare-Gentle-Paper-First-Inches/dp/B007XTLM6W/ref=sr_1_4?keywords=Nexcare+Gentle+Paper+Tape&amp;qid=1695260585&amp;sr=8-4", "https://www.amazon.com/Nexcare-Gentle-Paper-First-Inches/dp/B007XTLM6W/ref=sr_1_4?keywords=Nexcare+Gentle+Paper+Tape&amp;qid=1695260585&amp;sr=8-4")</f>
        <v>https://www.amazon.com/Nexcare-Gentle-Paper-First-Inches/dp/B007XTLM6W/ref=sr_1_4?keywords=Nexcare+Gentle+Paper+Tape&amp;qid=1695260585&amp;sr=8-4</v>
      </c>
      <c r="F4484" t="s">
        <v>12810</v>
      </c>
      <c r="G4484" t="e">
        <f ca="1">IMAGE("https://shop.sonapharmacy.com/cdn/shop/products/817vSXJ0jlL._AC_SL1500.jpg?v=1607703211")</f>
        <v>#NAME?</v>
      </c>
      <c r="H4484" t="e">
        <f ca="1">IMAGE("https://m.media-amazon.com/images/I/71XIJ6VinXL._AC_UL320_.jpg")</f>
        <v>#NAME?</v>
      </c>
      <c r="I4484" t="s">
        <v>8760</v>
      </c>
      <c r="J4484">
        <v>7.7</v>
      </c>
      <c r="K4484" s="2" t="s">
        <v>12811</v>
      </c>
      <c r="L4484">
        <v>4.5999999999999996</v>
      </c>
      <c r="M4484">
        <v>712</v>
      </c>
      <c r="O4484" t="s">
        <v>136</v>
      </c>
      <c r="P4484" t="s">
        <v>39</v>
      </c>
      <c r="Q4484" t="s">
        <v>9117</v>
      </c>
    </row>
    <row r="4485" spans="1:17" ht="15.75" x14ac:dyDescent="0.25">
      <c r="A4485" s="3" t="str">
        <f>HYPERLINK("https://shop.sonapharmacy.com/products/cara%C2%AE-king-size-deluxe-moist-dry-heating-pad", "https://shop.sonapharmacy.com/products/cara%C2%AE-king-size-deluxe-moist-dry-heating-pad")</f>
        <v>https://shop.sonapharmacy.com/products/cara%C2%AE-king-size-deluxe-moist-dry-heating-pad</v>
      </c>
      <c r="B4485" s="3" t="str">
        <f>HYPERLINK("https://shop.sonapharmacy.com/products/cara%c2%ae-king-size-deluxe-moist-dry-heating-pad", "https://shop.sonapharmacy.com/products/cara%c2%ae-king-size-deluxe-moist-dry-heating-pad")</f>
        <v>https://shop.sonapharmacy.com/products/cara%c2%ae-king-size-deluxe-moist-dry-heating-pad</v>
      </c>
      <c r="C4485" t="s">
        <v>9482</v>
      </c>
      <c r="D4485" t="s">
        <v>12812</v>
      </c>
      <c r="E4485" s="3" t="str">
        <f>HYPERLINK("https://www.amazon.com/Cara-Heating-Moist-King-Size/dp/B0BVQXG4RT/ref=sr_1_7?keywords=Cara%C2%AE+King+Size+Deluxe+Moist%2FDry+Heating+Pad&amp;qid=1695260153&amp;sr=8-7", "https://www.amazon.com/Cara-Heating-Moist-King-Size/dp/B0BVQXG4RT/ref=sr_1_7?keywords=Cara%C2%AE+King+Size+Deluxe+Moist%2FDry+Heating+Pad&amp;qid=1695260153&amp;sr=8-7")</f>
        <v>https://www.amazon.com/Cara-Heating-Moist-King-Size/dp/B0BVQXG4RT/ref=sr_1_7?keywords=Cara%C2%AE+King+Size+Deluxe+Moist%2FDry+Heating+Pad&amp;qid=1695260153&amp;sr=8-7</v>
      </c>
      <c r="F4485" t="s">
        <v>12813</v>
      </c>
      <c r="G4485" t="e">
        <f ca="1">IMAGE("https://shop.sonapharmacy.com/cdn/shop/products/1ddc6c39-9558-443b-8666-5d044b86491e_1.2f7c00ca9379c03e7ab8a9340435a608.jpg?v=1611153613")</f>
        <v>#NAME?</v>
      </c>
      <c r="H4485" t="e">
        <f ca="1">IMAGE("https://m.media-amazon.com/images/I/41iVmBxf49L._AC_UL320_.jpg")</f>
        <v>#NAME?</v>
      </c>
      <c r="I4485" t="s">
        <v>9483</v>
      </c>
      <c r="J4485">
        <v>43.54</v>
      </c>
      <c r="K4485" s="2" t="s">
        <v>12814</v>
      </c>
      <c r="L4485">
        <v>3.8</v>
      </c>
      <c r="M4485">
        <v>50</v>
      </c>
      <c r="O4485" t="s">
        <v>26</v>
      </c>
      <c r="P4485" t="s">
        <v>39</v>
      </c>
      <c r="Q4485" t="s">
        <v>9485</v>
      </c>
    </row>
    <row r="4486" spans="1:17" ht="15.75" x14ac:dyDescent="0.25">
      <c r="A4486" s="3" t="str">
        <f>HYPERLINK("https://shop.sonapharmacy.com/products/okeeffes-skin-repair-body-lotion-7oz", "https://shop.sonapharmacy.com/products/okeeffes-skin-repair-body-lotion-7oz")</f>
        <v>https://shop.sonapharmacy.com/products/okeeffes-skin-repair-body-lotion-7oz</v>
      </c>
      <c r="B4486" s="3" t="str">
        <f>HYPERLINK("https://shop.sonapharmacy.com/products/okeeffes-skin-repair-body-lotion-7oz", "https://shop.sonapharmacy.com/products/okeeffes-skin-repair-body-lotion-7oz")</f>
        <v>https://shop.sonapharmacy.com/products/okeeffes-skin-repair-body-lotion-7oz</v>
      </c>
      <c r="C4486" t="s">
        <v>8093</v>
      </c>
      <c r="D4486" t="s">
        <v>12815</v>
      </c>
      <c r="E4486" s="3" t="str">
        <f>HYPERLINK("https://www.amazon.com/OKeeffes-Repair-Lotion-Moisturizer-ounce/dp/B01HWIEGAW/ref=sr_1_1?keywords=O%27Keeffe%27s+Skin+Repair+Body+Lotion+7oz.&amp;qid=1695260599&amp;sr=8-1", "https://www.amazon.com/OKeeffes-Repair-Lotion-Moisturizer-ounce/dp/B01HWIEGAW/ref=sr_1_1?keywords=O%27Keeffe%27s+Skin+Repair+Body+Lotion+7oz.&amp;qid=1695260599&amp;sr=8-1")</f>
        <v>https://www.amazon.com/OKeeffes-Repair-Lotion-Moisturizer-ounce/dp/B01HWIEGAW/ref=sr_1_1?keywords=O%27Keeffe%27s+Skin+Repair+Body+Lotion+7oz.&amp;qid=1695260599&amp;sr=8-1</v>
      </c>
      <c r="F4486" t="s">
        <v>12816</v>
      </c>
      <c r="G4486" t="e">
        <f ca="1">IMAGE("https://shop.sonapharmacy.com/cdn/shop/products/3bd16183-fe45-42dc-92f8-debd6868b3ac_1.7c675874396c0c8bd4b5440f108ff7b2.jpg?v=1608410648")</f>
        <v>#NAME?</v>
      </c>
      <c r="H4486" t="e">
        <f ca="1">IMAGE("https://m.media-amazon.com/images/I/71n6yEDEf4L._AC_UL320_.jpg")</f>
        <v>#NAME?</v>
      </c>
      <c r="I4486" t="s">
        <v>8096</v>
      </c>
      <c r="J4486">
        <v>11.99</v>
      </c>
      <c r="K4486" s="2" t="s">
        <v>12817</v>
      </c>
      <c r="L4486">
        <v>4.8</v>
      </c>
      <c r="M4486">
        <v>2296</v>
      </c>
      <c r="O4486" t="s">
        <v>26</v>
      </c>
      <c r="P4486" t="s">
        <v>39</v>
      </c>
      <c r="Q4486" t="s">
        <v>8098</v>
      </c>
    </row>
    <row r="4487" spans="1:17" ht="15.75" x14ac:dyDescent="0.25">
      <c r="A4487" s="3" t="str">
        <f>HYPERLINK("https://shop.sonapharmacy.com/products/good-sense-non-drowsy-day-time-cold-flu-softgels", "https://shop.sonapharmacy.com/products/good-sense-non-drowsy-day-time-cold-flu-softgels")</f>
        <v>https://shop.sonapharmacy.com/products/good-sense-non-drowsy-day-time-cold-flu-softgels</v>
      </c>
      <c r="B4487" s="3" t="str">
        <f>HYPERLINK("https://shop.sonapharmacy.com/products/good-sense-non-drowsy-day-time-cold-flu-softgels", "https://shop.sonapharmacy.com/products/good-sense-non-drowsy-day-time-cold-flu-softgels")</f>
        <v>https://shop.sonapharmacy.com/products/good-sense-non-drowsy-day-time-cold-flu-softgels</v>
      </c>
      <c r="C4487" t="s">
        <v>12355</v>
      </c>
      <c r="D4487" t="s">
        <v>12818</v>
      </c>
      <c r="E4487" s="3" t="str">
        <f>HYPERLINK("https://www.amazon.com/ValuMeds-Non-Drowsy-Multi-Symptom-Acetaminophen-Ingredients/dp/B077CRXQDY/ref=sr_1_4?keywords=GoodSense%C2%AE+Non-Drowsy+Day+Time+Cold+%26+Flu+Softgels+2&amp;qid=1695260414&amp;sr=8-4", "https://www.amazon.com/ValuMeds-Non-Drowsy-Multi-Symptom-Acetaminophen-Ingredients/dp/B077CRXQDY/ref=sr_1_4?keywords=GoodSense%C2%AE+Non-Drowsy+Day+Time+Cold+%26+Flu+Softgels+2&amp;qid=1695260414&amp;sr=8-4")</f>
        <v>https://www.amazon.com/ValuMeds-Non-Drowsy-Multi-Symptom-Acetaminophen-Ingredients/dp/B077CRXQDY/ref=sr_1_4?keywords=GoodSense%C2%AE+Non-Drowsy+Day+Time+Cold+%26+Flu+Softgels+2&amp;qid=1695260414&amp;sr=8-4</v>
      </c>
      <c r="F4487" t="s">
        <v>12819</v>
      </c>
      <c r="G4487" t="e">
        <f ca="1">IMAGE("https://shop.sonapharmacy.com/cdn/shop/products/61O4igp2AJL._AC_SL1000.jpg?v=1610132043")</f>
        <v>#NAME?</v>
      </c>
      <c r="H4487" t="e">
        <f ca="1">IMAGE("https://m.media-amazon.com/images/I/71zYnvIajGL._AC_UL320_.jpg")</f>
        <v>#NAME?</v>
      </c>
      <c r="I4487" t="s">
        <v>12358</v>
      </c>
      <c r="J4487">
        <v>9.99</v>
      </c>
      <c r="K4487" s="2" t="s">
        <v>12820</v>
      </c>
      <c r="L4487">
        <v>4.7</v>
      </c>
      <c r="M4487">
        <v>2505</v>
      </c>
      <c r="O4487" t="s">
        <v>26</v>
      </c>
      <c r="P4487" t="s">
        <v>39</v>
      </c>
      <c r="Q4487" t="s">
        <v>12360</v>
      </c>
    </row>
    <row r="4488" spans="1:17" ht="15.75" x14ac:dyDescent="0.25">
      <c r="A4488" s="3" t="str">
        <f>HYPERLINK("https://shop.sonapharmacy.com/products/nature-made-hair-skin-and-nails-gummies", "https://shop.sonapharmacy.com/products/nature-made-hair-skin-and-nails-gummies")</f>
        <v>https://shop.sonapharmacy.com/products/nature-made-hair-skin-and-nails-gummies</v>
      </c>
      <c r="B4488" s="3" t="str">
        <f>HYPERLINK("https://shop.sonapharmacy.com/products/nature-made-hair-skin-and-nails-gummies", "https://shop.sonapharmacy.com/products/nature-made-hair-skin-and-nails-gummies")</f>
        <v>https://shop.sonapharmacy.com/products/nature-made-hair-skin-and-nails-gummies</v>
      </c>
      <c r="C4488" t="s">
        <v>11173</v>
      </c>
      <c r="D4488" t="s">
        <v>12821</v>
      </c>
      <c r="E4488" s="3" t="str">
        <f>HYPERLINK("https://www.amazon.com/Nature-Made-Nails-Biotin-Softgels/dp/B01D6AQR7A/ref=sr_1_2?keywords=Nature+Made%C2%AE+Hair+Skin+and+Nails+Gummies&amp;qid=1695260542&amp;sr=8-2", "https://www.amazon.com/Nature-Made-Nails-Biotin-Softgels/dp/B01D6AQR7A/ref=sr_1_2?keywords=Nature+Made%C2%AE+Hair+Skin+and+Nails+Gummies&amp;qid=1695260542&amp;sr=8-2")</f>
        <v>https://www.amazon.com/Nature-Made-Nails-Biotin-Softgels/dp/B01D6AQR7A/ref=sr_1_2?keywords=Nature+Made%C2%AE+Hair+Skin+and+Nails+Gummies&amp;qid=1695260542&amp;sr=8-2</v>
      </c>
      <c r="F4488" t="s">
        <v>12822</v>
      </c>
      <c r="G4488" t="e">
        <f ca="1">IMAGE("https://shop.sonapharmacy.com/cdn/shop/products/71o8Z6P3alL._AC_SL1500.jpg?v=1610048535")</f>
        <v>#NAME?</v>
      </c>
      <c r="H4488" t="e">
        <f ca="1">IMAGE("https://m.media-amazon.com/images/I/71Y1Wo3BixL._AC_UL320_.jpg")</f>
        <v>#NAME?</v>
      </c>
      <c r="I4488" t="s">
        <v>11176</v>
      </c>
      <c r="J4488">
        <v>12.49</v>
      </c>
      <c r="K4488" s="2" t="s">
        <v>12823</v>
      </c>
      <c r="L4488">
        <v>4.5999999999999996</v>
      </c>
      <c r="M4488">
        <v>8101</v>
      </c>
      <c r="O4488" t="s">
        <v>26</v>
      </c>
      <c r="P4488" t="s">
        <v>39</v>
      </c>
      <c r="Q4488" t="s">
        <v>11178</v>
      </c>
    </row>
    <row r="4489" spans="1:17" ht="15.75" x14ac:dyDescent="0.25">
      <c r="A4489" s="3" t="str">
        <f>HYPERLINK("https://shop.sonapharmacy.com/products/good-sense-non-drowsy-day-time-cold-flu-softgels", "https://shop.sonapharmacy.com/products/good-sense-non-drowsy-day-time-cold-flu-softgels")</f>
        <v>https://shop.sonapharmacy.com/products/good-sense-non-drowsy-day-time-cold-flu-softgels</v>
      </c>
      <c r="B4489" s="3" t="str">
        <f>HYPERLINK("https://shop.sonapharmacy.com/products/good-sense-non-drowsy-day-time-cold-flu-softgels", "https://shop.sonapharmacy.com/products/good-sense-non-drowsy-day-time-cold-flu-softgels")</f>
        <v>https://shop.sonapharmacy.com/products/good-sense-non-drowsy-day-time-cold-flu-softgels</v>
      </c>
      <c r="C4489" t="s">
        <v>12355</v>
      </c>
      <c r="D4489" t="s">
        <v>12824</v>
      </c>
      <c r="E4489" s="3" t="str">
        <f>HYPERLINK("https://www.amazon.com/Puregen-Labs-Non-Drowsy-Multi-Symptom-Congestion/dp/B0CBW5PL1L/ref=sr_1_1?keywords=GoodSense%C2%AE+Non-Drowsy+Day+Time+Cold+%26+Flu+Softgels+2&amp;qid=1695260414&amp;sr=8-1", "https://www.amazon.com/Puregen-Labs-Non-Drowsy-Multi-Symptom-Congestion/dp/B0CBW5PL1L/ref=sr_1_1?keywords=GoodSense%C2%AE+Non-Drowsy+Day+Time+Cold+%26+Flu+Softgels+2&amp;qid=1695260414&amp;sr=8-1")</f>
        <v>https://www.amazon.com/Puregen-Labs-Non-Drowsy-Multi-Symptom-Congestion/dp/B0CBW5PL1L/ref=sr_1_1?keywords=GoodSense%C2%AE+Non-Drowsy+Day+Time+Cold+%26+Flu+Softgels+2&amp;qid=1695260414&amp;sr=8-1</v>
      </c>
      <c r="F4489" t="s">
        <v>12825</v>
      </c>
      <c r="G4489" t="e">
        <f ca="1">IMAGE("https://shop.sonapharmacy.com/cdn/shop/products/61O4igp2AJL._AC_SL1000.jpg?v=1610132043")</f>
        <v>#NAME?</v>
      </c>
      <c r="H4489" t="e">
        <f ca="1">IMAGE("https://m.media-amazon.com/images/I/51GQN6alLJL._AC_UL320_.jpg")</f>
        <v>#NAME?</v>
      </c>
      <c r="I4489" t="s">
        <v>12358</v>
      </c>
      <c r="J4489">
        <v>9.9499999999999993</v>
      </c>
      <c r="K4489" s="2" t="s">
        <v>12826</v>
      </c>
      <c r="L4489">
        <v>5</v>
      </c>
      <c r="M4489">
        <v>1</v>
      </c>
      <c r="O4489" t="s">
        <v>26</v>
      </c>
      <c r="P4489" t="s">
        <v>39</v>
      </c>
      <c r="Q4489" t="s">
        <v>12360</v>
      </c>
    </row>
    <row r="4490" spans="1:17" ht="15.75" x14ac:dyDescent="0.25">
      <c r="A4490" s="3" t="str">
        <f>HYPERLINK("https://shop.sonapharmacy.com/products/mommys-bliss-original-gripe-water", "https://shop.sonapharmacy.com/products/mommys-bliss-original-gripe-water")</f>
        <v>https://shop.sonapharmacy.com/products/mommys-bliss-original-gripe-water</v>
      </c>
      <c r="B4490" s="3" t="str">
        <f>HYPERLINK("https://shop.sonapharmacy.com/products/mommys-bliss-original-gripe-water", "https://shop.sonapharmacy.com/products/mommys-bliss-original-gripe-water")</f>
        <v>https://shop.sonapharmacy.com/products/mommys-bliss-original-gripe-water</v>
      </c>
      <c r="C4490" t="s">
        <v>10605</v>
      </c>
      <c r="D4490" t="s">
        <v>12827</v>
      </c>
      <c r="E4490" s="3" t="str">
        <f>HYPERLINK("https://www.amazon.com/Mommys-Bliss-Original-Relieve-Fussiness/dp/B08WRCKQX5/ref=sr_1_3?keywords=Mommy%27s+Bliss+Original+Gripe+Water&amp;qid=1695260479&amp;sr=8-3", "https://www.amazon.com/Mommys-Bliss-Original-Relieve-Fussiness/dp/B08WRCKQX5/ref=sr_1_3?keywords=Mommy%27s+Bliss+Original+Gripe+Water&amp;qid=1695260479&amp;sr=8-3")</f>
        <v>https://www.amazon.com/Mommys-Bliss-Original-Relieve-Fussiness/dp/B08WRCKQX5/ref=sr_1_3?keywords=Mommy%27s+Bliss+Original+Gripe+Water&amp;qid=1695260479&amp;sr=8-3</v>
      </c>
      <c r="F4490" t="s">
        <v>12828</v>
      </c>
      <c r="G4490" t="e">
        <f ca="1">IMAGE("https://shop.sonapharmacy.com/cdn/shop/products/Untitled-47.jpg?v=1592848167")</f>
        <v>#NAME?</v>
      </c>
      <c r="H4490" t="e">
        <f ca="1">IMAGE("https://m.media-amazon.com/images/I/81lkrczLbHL._AC_UL320_.jpg")</f>
        <v>#NAME?</v>
      </c>
      <c r="I4490" t="s">
        <v>10608</v>
      </c>
      <c r="J4490">
        <v>17.809999999999999</v>
      </c>
      <c r="K4490" s="2" t="s">
        <v>12829</v>
      </c>
      <c r="L4490">
        <v>4.7</v>
      </c>
      <c r="M4490">
        <v>10241</v>
      </c>
      <c r="O4490" t="s">
        <v>26</v>
      </c>
      <c r="P4490" t="s">
        <v>39</v>
      </c>
      <c r="Q4490" t="s">
        <v>10610</v>
      </c>
    </row>
    <row r="4491" spans="1:17" ht="15.75" x14ac:dyDescent="0.25">
      <c r="A4491" s="3" t="str">
        <f>HYPERLINK("https://shop.sonapharmacy.com/products/omron-5-series%C2%AE-upper-arm-blood-pressure-monitor", "https://shop.sonapharmacy.com/products/omron-5-series%C2%AE-upper-arm-blood-pressure-monitor")</f>
        <v>https://shop.sonapharmacy.com/products/omron-5-series%C2%AE-upper-arm-blood-pressure-monitor</v>
      </c>
      <c r="B4491" s="3" t="str">
        <f>HYPERLINK("https://shop.sonapharmacy.com/products/omron-5-series%c2%ae-upper-arm-blood-pressure-monitor", "https://shop.sonapharmacy.com/products/omron-5-series%c2%ae-upper-arm-blood-pressure-monitor")</f>
        <v>https://shop.sonapharmacy.com/products/omron-5-series%c2%ae-upper-arm-blood-pressure-monitor</v>
      </c>
      <c r="C4491" t="s">
        <v>12830</v>
      </c>
      <c r="D4491" t="s">
        <v>11745</v>
      </c>
      <c r="E4491" s="3" t="str">
        <f>HYPERLINK("https://www.amazon.com/OMRON-BP742N-Upper-Pressure-Monitor/dp/B00WAIJZX8/ref=sr_1_2?keywords=Omron+5+Series%C2%AE+Upper+Arm+Blood+Pressure+Monitor&amp;qid=1695260611&amp;sr=8-2", "https://www.amazon.com/OMRON-BP742N-Upper-Pressure-Monitor/dp/B00WAIJZX8/ref=sr_1_2?keywords=Omron+5+Series%C2%AE+Upper+Arm+Blood+Pressure+Monitor&amp;qid=1695260611&amp;sr=8-2")</f>
        <v>https://www.amazon.com/OMRON-BP742N-Upper-Pressure-Monitor/dp/B00WAIJZX8/ref=sr_1_2?keywords=Omron+5+Series%C2%AE+Upper+Arm+Blood+Pressure+Monitor&amp;qid=1695260611&amp;sr=8-2</v>
      </c>
      <c r="F4491" t="s">
        <v>11746</v>
      </c>
      <c r="G4491" t="e">
        <f ca="1">IMAGE("https://shop.sonapharmacy.com/cdn/shop/products/Omron5Series_UpperArmBloodPressureMonitor.png?v=1594218022")</f>
        <v>#NAME?</v>
      </c>
      <c r="H4491" t="e">
        <f ca="1">IMAGE("https://m.media-amazon.com/images/I/714oIAQNgML._AC_UL320_.jpg")</f>
        <v>#NAME?</v>
      </c>
      <c r="I4491" t="s">
        <v>12831</v>
      </c>
      <c r="J4491">
        <v>98.64</v>
      </c>
      <c r="K4491" s="2" t="s">
        <v>12832</v>
      </c>
      <c r="L4491">
        <v>4.5</v>
      </c>
      <c r="M4491">
        <v>361</v>
      </c>
      <c r="O4491" t="s">
        <v>26</v>
      </c>
      <c r="P4491" t="s">
        <v>39</v>
      </c>
      <c r="Q4491" t="s">
        <v>12833</v>
      </c>
    </row>
    <row r="4492" spans="1:17" ht="15.75" x14ac:dyDescent="0.25">
      <c r="A4492" s="3" t="str">
        <f>HYPERLINK("https://shop.sonapharmacy.com/products/dentemp%C2%AE-loose-cap-lost-filling-repair", "https://shop.sonapharmacy.com/products/dentemp%C2%AE-loose-cap-lost-filling-repair")</f>
        <v>https://shop.sonapharmacy.com/products/dentemp%C2%AE-loose-cap-lost-filling-repair</v>
      </c>
      <c r="B4492" s="3" t="str">
        <f>HYPERLINK("https://shop.sonapharmacy.com/products/dentemp%c2%ae-loose-cap-lost-filling-repair", "https://shop.sonapharmacy.com/products/dentemp%c2%ae-loose-cap-lost-filling-repair")</f>
        <v>https://shop.sonapharmacy.com/products/dentemp%c2%ae-loose-cap-lost-filling-repair</v>
      </c>
      <c r="C4492" t="s">
        <v>9593</v>
      </c>
      <c r="D4492" t="s">
        <v>12834</v>
      </c>
      <c r="E4492" s="3" t="str">
        <f>HYPERLINK("https://www.amazon.com/DenTek-Temparin-Filling-Formula-Repairs/dp/B07DR95HZP/ref=sr_1_7?keywords=Dentemp%C2%AE+Loose+Cap+%26+Lost+Filling+Repair&amp;qid=1695260175&amp;sr=8-7", "https://www.amazon.com/DenTek-Temparin-Filling-Formula-Repairs/dp/B07DR95HZP/ref=sr_1_7?keywords=Dentemp%C2%AE+Loose+Cap+%26+Lost+Filling+Repair&amp;qid=1695260175&amp;sr=8-7")</f>
        <v>https://www.amazon.com/DenTek-Temparin-Filling-Formula-Repairs/dp/B07DR95HZP/ref=sr_1_7?keywords=Dentemp%C2%AE+Loose+Cap+%26+Lost+Filling+Repair&amp;qid=1695260175&amp;sr=8-7</v>
      </c>
      <c r="F4492" t="s">
        <v>12835</v>
      </c>
      <c r="G4492" t="e">
        <f ca="1">IMAGE("https://shop.sonapharmacy.com/cdn/shop/products/dentemp-loose-cap-lost-filling.jpg?v=1608570207")</f>
        <v>#NAME?</v>
      </c>
      <c r="H4492" t="e">
        <f ca="1">IMAGE("https://m.media-amazon.com/images/I/71O6WuFOICL._AC_UL320_.jpg")</f>
        <v>#NAME?</v>
      </c>
      <c r="I4492" t="s">
        <v>9241</v>
      </c>
      <c r="J4492">
        <v>7.75</v>
      </c>
      <c r="K4492" s="2" t="s">
        <v>12836</v>
      </c>
      <c r="L4492">
        <v>4.0999999999999996</v>
      </c>
      <c r="M4492">
        <v>7422</v>
      </c>
      <c r="O4492" t="s">
        <v>26</v>
      </c>
      <c r="P4492" t="s">
        <v>39</v>
      </c>
      <c r="Q4492" t="s">
        <v>9597</v>
      </c>
    </row>
    <row r="4493" spans="1:17" ht="15.75" x14ac:dyDescent="0.25">
      <c r="A4493" s="3" t="str">
        <f>HYPERLINK("https://shop.sonapharmacy.com/products/okeeffes%C2%AE-cooling-relief-lip-repair", "https://shop.sonapharmacy.com/products/okeeffes%C2%AE-cooling-relief-lip-repair")</f>
        <v>https://shop.sonapharmacy.com/products/okeeffes%C2%AE-cooling-relief-lip-repair</v>
      </c>
      <c r="B4493" s="3" t="str">
        <f>HYPERLINK("https://shop.sonapharmacy.com/products/okeeffes%c2%ae-cooling-relief-lip-repair", "https://shop.sonapharmacy.com/products/okeeffes%c2%ae-cooling-relief-lip-repair")</f>
        <v>https://shop.sonapharmacy.com/products/okeeffes%c2%ae-cooling-relief-lip-repair</v>
      </c>
      <c r="C4493" t="s">
        <v>8157</v>
      </c>
      <c r="D4493" t="s">
        <v>12837</v>
      </c>
      <c r="E4493" s="3" t="str">
        <f>HYPERLINK("https://www.amazon.com/OKeeffes-Cooling-Relief-Repair-Cracked/dp/B01HWIEILY/ref=sr_1_5?keywords=O%27Keeffe%27s%C2%AE+Cooling+Relief+Lip+Repair&amp;qid=1695260611&amp;sr=8-5", "https://www.amazon.com/OKeeffes-Cooling-Relief-Repair-Cracked/dp/B01HWIEILY/ref=sr_1_5?keywords=O%27Keeffe%27s%C2%AE+Cooling+Relief+Lip+Repair&amp;qid=1695260611&amp;sr=8-5")</f>
        <v>https://www.amazon.com/OKeeffes-Cooling-Relief-Repair-Cracked/dp/B01HWIEILY/ref=sr_1_5?keywords=O%27Keeffe%27s%C2%AE+Cooling+Relief+Lip+Repair&amp;qid=1695260611&amp;sr=8-5</v>
      </c>
      <c r="F4493" t="s">
        <v>12838</v>
      </c>
      <c r="G4493" t="e">
        <f ca="1">IMAGE("https://shop.sonapharmacy.com/cdn/shop/products/91uQWoqzf5L._AC_SL1500.jpg?v=1608226728")</f>
        <v>#NAME?</v>
      </c>
      <c r="H4493" t="e">
        <f ca="1">IMAGE("https://m.media-amazon.com/images/I/718daX4r5NL._AC_UL320_.jpg")</f>
        <v>#NAME?</v>
      </c>
      <c r="I4493" t="s">
        <v>8160</v>
      </c>
      <c r="J4493">
        <v>5.99</v>
      </c>
      <c r="K4493" s="2" t="s">
        <v>12839</v>
      </c>
      <c r="L4493">
        <v>4.4000000000000004</v>
      </c>
      <c r="M4493">
        <v>1167</v>
      </c>
      <c r="O4493" t="s">
        <v>26</v>
      </c>
      <c r="P4493" t="s">
        <v>39</v>
      </c>
      <c r="Q4493" t="s">
        <v>8162</v>
      </c>
    </row>
    <row r="4494" spans="1:17" ht="15.75" x14ac:dyDescent="0.25">
      <c r="A4494" s="3" t="str">
        <f>HYPERLINK("https://shop.sonapharmacy.com/products/emetrol%C2%AE-for-nausea-upset-stomach-cherry-liquid-4fl-oz", "https://shop.sonapharmacy.com/products/emetrol%C2%AE-for-nausea-upset-stomach-cherry-liquid-4fl-oz")</f>
        <v>https://shop.sonapharmacy.com/products/emetrol%C2%AE-for-nausea-upset-stomach-cherry-liquid-4fl-oz</v>
      </c>
      <c r="B4494" s="3" t="str">
        <f>HYPERLINK("https://shop.sonapharmacy.com/products/emetrol%c2%ae-for-nausea-upset-stomach-cherry-liquid-4fl-oz", "https://shop.sonapharmacy.com/products/emetrol%c2%ae-for-nausea-upset-stomach-cherry-liquid-4fl-oz")</f>
        <v>https://shop.sonapharmacy.com/products/emetrol%c2%ae-for-nausea-upset-stomach-cherry-liquid-4fl-oz</v>
      </c>
      <c r="C4494" t="s">
        <v>12550</v>
      </c>
      <c r="D4494" t="s">
        <v>12840</v>
      </c>
      <c r="E4494" s="3" t="str">
        <f>HYPERLINK("https://www.amazon.com/Emetrol-Nausea-Stomach-Relief-Medication/dp/B07P5VTCMK/ref=sr_1_1?keywords=Emetrol%C2%AE+For+Nausea+%26+Upset+Stomach+Cherry+Liquid+4fl.+oz.&amp;qid=1695260273&amp;sr=8-1", "https://www.amazon.com/Emetrol-Nausea-Stomach-Relief-Medication/dp/B07P5VTCMK/ref=sr_1_1?keywords=Emetrol%C2%AE+For+Nausea+%26+Upset+Stomach+Cherry+Liquid+4fl.+oz.&amp;qid=1695260273&amp;sr=8-1")</f>
        <v>https://www.amazon.com/Emetrol-Nausea-Stomach-Relief-Medication/dp/B07P5VTCMK/ref=sr_1_1?keywords=Emetrol%C2%AE+For+Nausea+%26+Upset+Stomach+Cherry+Liquid+4fl.+oz.&amp;qid=1695260273&amp;sr=8-1</v>
      </c>
      <c r="F4494" t="s">
        <v>12841</v>
      </c>
      <c r="G4494" t="e">
        <f ca="1">IMAGE("https://shop.sonapharmacy.com/cdn/shop/products/71yQ1gXJq4L._AC_SL1500.jpg?v=1610905235")</f>
        <v>#NAME?</v>
      </c>
      <c r="H4494" t="e">
        <f ca="1">IMAGE("https://m.media-amazon.com/images/I/81a1U5tMBbL._AC_UL320_.jpg")</f>
        <v>#NAME?</v>
      </c>
      <c r="I4494" t="s">
        <v>8189</v>
      </c>
      <c r="J4494">
        <v>13.67</v>
      </c>
      <c r="K4494" s="2" t="s">
        <v>12842</v>
      </c>
      <c r="L4494">
        <v>4.7</v>
      </c>
      <c r="M4494">
        <v>1953</v>
      </c>
      <c r="O4494" t="s">
        <v>26</v>
      </c>
      <c r="P4494" t="s">
        <v>39</v>
      </c>
      <c r="Q4494" t="s">
        <v>12554</v>
      </c>
    </row>
    <row r="4495" spans="1:17" ht="15.75" x14ac:dyDescent="0.25">
      <c r="A4495" s="3" t="str">
        <f>HYPERLINK("https://shop.sonapharmacy.com/products/florastor-kids-daily-probiotic-supplement", "https://shop.sonapharmacy.com/products/florastor-kids-daily-probiotic-supplement")</f>
        <v>https://shop.sonapharmacy.com/products/florastor-kids-daily-probiotic-supplement</v>
      </c>
      <c r="B4495" s="3" t="str">
        <f>HYPERLINK("https://shop.sonapharmacy.com/products/florastor-kids-daily-probiotic-supplement", "https://shop.sonapharmacy.com/products/florastor-kids-daily-probiotic-supplement")</f>
        <v>https://shop.sonapharmacy.com/products/florastor-kids-daily-probiotic-supplement</v>
      </c>
      <c r="C4495" t="s">
        <v>11190</v>
      </c>
      <c r="D4495" t="s">
        <v>12843</v>
      </c>
      <c r="E4495" s="3" t="str">
        <f>HYPERLINK("https://www.amazon.com/Culturelle-Probiotic-Supplement-Digestive-Naturally/dp/B00Z2LOKS0/ref=sr_1_10?keywords=Florastor+Kids+Daily+Probiotic+Supplement&amp;qid=1695260267&amp;sr=8-10", "https://www.amazon.com/Culturelle-Probiotic-Supplement-Digestive-Naturally/dp/B00Z2LOKS0/ref=sr_1_10?keywords=Florastor+Kids+Daily+Probiotic+Supplement&amp;qid=1695260267&amp;sr=8-10")</f>
        <v>https://www.amazon.com/Culturelle-Probiotic-Supplement-Digestive-Naturally/dp/B00Z2LOKS0/ref=sr_1_10?keywords=Florastor+Kids+Daily+Probiotic+Supplement&amp;qid=1695260267&amp;sr=8-10</v>
      </c>
      <c r="F4495" t="s">
        <v>12844</v>
      </c>
      <c r="G4495" t="e">
        <f ca="1">IMAGE("https://shop.sonapharmacy.com/cdn/shop/products/florastorkidsfront.png?v=1606931808")</f>
        <v>#NAME?</v>
      </c>
      <c r="H4495" t="e">
        <f ca="1">IMAGE("https://m.media-amazon.com/images/I/71cBMUl-TWL._AC_UL320_.jpg")</f>
        <v>#NAME?</v>
      </c>
      <c r="I4495" t="s">
        <v>11193</v>
      </c>
      <c r="J4495">
        <v>30.34</v>
      </c>
      <c r="K4495" s="2" t="s">
        <v>12845</v>
      </c>
      <c r="L4495">
        <v>4.8</v>
      </c>
      <c r="M4495">
        <v>8961</v>
      </c>
      <c r="O4495" t="s">
        <v>26</v>
      </c>
      <c r="P4495" t="s">
        <v>39</v>
      </c>
      <c r="Q4495" t="s">
        <v>11195</v>
      </c>
    </row>
    <row r="4496" spans="1:17" ht="15.75" x14ac:dyDescent="0.25">
      <c r="A4496" s="3" t="str">
        <f>HYPERLINK("https://shop.sonapharmacy.com/products/vitamin-c-powder", "https://shop.sonapharmacy.com/products/vitamin-c-powder")</f>
        <v>https://shop.sonapharmacy.com/products/vitamin-c-powder</v>
      </c>
      <c r="B4496" s="3" t="str">
        <f>HYPERLINK("https://shop.sonapharmacy.com/products/vitamin-c-powder", "https://shop.sonapharmacy.com/products/vitamin-c-powder")</f>
        <v>https://shop.sonapharmacy.com/products/vitamin-c-powder</v>
      </c>
      <c r="C4496" t="s">
        <v>12636</v>
      </c>
      <c r="D4496" t="s">
        <v>12846</v>
      </c>
      <c r="E4496" s="3" t="str">
        <f>HYPERLINK("https://www.amazon.com/Metabolic-Maintenance-Pediatric-Multivitamin-Easy-Add/dp/B004FRWFN4/ref=sr_1_9?keywords=Metabolic+Maintenance%C2%AE+Vitamin+C+Powder&amp;qid=1695260461&amp;sr=8-9", "https://www.amazon.com/Metabolic-Maintenance-Pediatric-Multivitamin-Easy-Add/dp/B004FRWFN4/ref=sr_1_9?keywords=Metabolic+Maintenance%C2%AE+Vitamin+C+Powder&amp;qid=1695260461&amp;sr=8-9")</f>
        <v>https://www.amazon.com/Metabolic-Maintenance-Pediatric-Multivitamin-Easy-Add/dp/B004FRWFN4/ref=sr_1_9?keywords=Metabolic+Maintenance%C2%AE+Vitamin+C+Powder&amp;qid=1695260461&amp;sr=8-9</v>
      </c>
      <c r="F4496" t="s">
        <v>12847</v>
      </c>
      <c r="G4496" t="e">
        <f ca="1">IMAGE("https://shop.sonapharmacy.com/cdn/shop/products/vitamin-c-powder-1000-mg-MTM_main_1.jpg?v=1609359658")</f>
        <v>#NAME?</v>
      </c>
      <c r="H4496" t="e">
        <f ca="1">IMAGE("https://m.media-amazon.com/images/I/61pPKFVM1cL._AC_UL320_.jpg")</f>
        <v>#NAME?</v>
      </c>
      <c r="I4496" t="s">
        <v>12639</v>
      </c>
      <c r="J4496">
        <v>52</v>
      </c>
      <c r="K4496" s="2" t="s">
        <v>12848</v>
      </c>
      <c r="L4496">
        <v>4.4000000000000004</v>
      </c>
      <c r="M4496">
        <v>36</v>
      </c>
      <c r="O4496" t="s">
        <v>26</v>
      </c>
      <c r="P4496" t="s">
        <v>39</v>
      </c>
      <c r="Q4496" t="s">
        <v>12641</v>
      </c>
    </row>
    <row r="4497" spans="1:17" ht="15.75" x14ac:dyDescent="0.25">
      <c r="A4497" s="3" t="str">
        <f>HYPERLINK("https://shop.sonapharmacy.com/products/nova-folding-walker-with-5-inch-wheels", "https://shop.sonapharmacy.com/products/nova-folding-walker-with-5-inch-wheels")</f>
        <v>https://shop.sonapharmacy.com/products/nova-folding-walker-with-5-inch-wheels</v>
      </c>
      <c r="B4497" s="3" t="str">
        <f>HYPERLINK("https://shop.sonapharmacy.com/products/nova-folding-walker-with-5-inch-wheels", "https://shop.sonapharmacy.com/products/nova-folding-walker-with-5-inch-wheels")</f>
        <v>https://shop.sonapharmacy.com/products/nova-folding-walker-with-5-inch-wheels</v>
      </c>
      <c r="C4497" t="s">
        <v>9668</v>
      </c>
      <c r="D4497" t="s">
        <v>12849</v>
      </c>
      <c r="E4497" s="3" t="str">
        <f>HYPERLINK("https://www.amazon.com/NOVA-Medical-Products-Folding-Mobility/dp/B06XBY1BQC/ref=sr_1_1?keywords=Nova+Folding+Walker+with+5+Inch+Wheels&amp;qid=1695260588&amp;sr=8-1", "https://www.amazon.com/NOVA-Medical-Products-Folding-Mobility/dp/B06XBY1BQC/ref=sr_1_1?keywords=Nova+Folding+Walker+with+5+Inch+Wheels&amp;qid=1695260588&amp;sr=8-1")</f>
        <v>https://www.amazon.com/NOVA-Medical-Products-Folding-Mobility/dp/B06XBY1BQC/ref=sr_1_1?keywords=Nova+Folding+Walker+with+5+Inch+Wheels&amp;qid=1695260588&amp;sr=8-1</v>
      </c>
      <c r="F4497" t="s">
        <v>12850</v>
      </c>
      <c r="G4497" t="e">
        <f ca="1">IMAGE("https://shop.sonapharmacy.com/cdn/shop/products/Walker.jpg?v=1607191001")</f>
        <v>#NAME?</v>
      </c>
      <c r="H4497" t="e">
        <f ca="1">IMAGE("https://m.media-amazon.com/images/I/71uG4aTlIKL._AC_UL320_.jpg")</f>
        <v>#NAME?</v>
      </c>
      <c r="I4497" t="s">
        <v>9671</v>
      </c>
      <c r="J4497">
        <v>105.95</v>
      </c>
      <c r="K4497" s="2" t="s">
        <v>12851</v>
      </c>
      <c r="L4497">
        <v>4.3</v>
      </c>
      <c r="M4497">
        <v>87</v>
      </c>
      <c r="O4497" t="s">
        <v>26</v>
      </c>
      <c r="P4497" t="s">
        <v>39</v>
      </c>
      <c r="Q4497" t="s">
        <v>9673</v>
      </c>
    </row>
    <row r="4498" spans="1:17" ht="15.75" x14ac:dyDescent="0.25">
      <c r="A4498" s="3" t="str">
        <f>HYPERLINK("https://shop.sonapharmacy.com/products/good-sense-nighttime-cold-flu-multi-symptom-relief-tablets", "https://shop.sonapharmacy.com/products/good-sense-nighttime-cold-flu-multi-symptom-relief-tablets")</f>
        <v>https://shop.sonapharmacy.com/products/good-sense-nighttime-cold-flu-multi-symptom-relief-tablets</v>
      </c>
      <c r="B4498" s="3" t="str">
        <f>HYPERLINK("https://shop.sonapharmacy.com/products/good-sense-nighttime-cold-flu-multi-symptom-relief-tablets", "https://shop.sonapharmacy.com/products/good-sense-nighttime-cold-flu-multi-symptom-relief-tablets")</f>
        <v>https://shop.sonapharmacy.com/products/good-sense-nighttime-cold-flu-multi-symptom-relief-tablets</v>
      </c>
      <c r="C4498" t="s">
        <v>12852</v>
      </c>
      <c r="D4498" t="s">
        <v>12853</v>
      </c>
      <c r="E4498" s="3" t="str">
        <f>HYPERLINK("https://www.amazon.com/Rite-Aid-Multi-Symptom-Nighttime-Softgels/dp/B0BVNN4LQR/ref=sr_1_5?keywords=GoodSense%C2%AE+Nighttime+Cold+%26+Flu+Multi-Symptom+Relief+Softgels&amp;qid=1695260348&amp;sr=8-5", "https://www.amazon.com/Rite-Aid-Multi-Symptom-Nighttime-Softgels/dp/B0BVNN4LQR/ref=sr_1_5?keywords=GoodSense%C2%AE+Nighttime+Cold+%26+Flu+Multi-Symptom+Relief+Softgels&amp;qid=1695260348&amp;sr=8-5")</f>
        <v>https://www.amazon.com/Rite-Aid-Multi-Symptom-Nighttime-Softgels/dp/B0BVNN4LQR/ref=sr_1_5?keywords=GoodSense%C2%AE+Nighttime+Cold+%26+Flu+Multi-Symptom+Relief+Softgels&amp;qid=1695260348&amp;sr=8-5</v>
      </c>
      <c r="F4498" t="s">
        <v>12854</v>
      </c>
      <c r="G4498" t="e">
        <f ca="1">IMAGE("https://shop.sonapharmacy.com/cdn/shop/products/Untitled-122.jpg?v=1592931277")</f>
        <v>#NAME?</v>
      </c>
      <c r="H4498" t="e">
        <f ca="1">IMAGE("https://m.media-amazon.com/images/I/916Wtubs-jL._AC_UL320_.jpg")</f>
        <v>#NAME?</v>
      </c>
      <c r="I4498" t="s">
        <v>8880</v>
      </c>
      <c r="J4498">
        <v>9.99</v>
      </c>
      <c r="K4498" s="2" t="s">
        <v>12855</v>
      </c>
      <c r="L4498">
        <v>4.7</v>
      </c>
      <c r="M4498">
        <v>924</v>
      </c>
      <c r="O4498" t="s">
        <v>26</v>
      </c>
      <c r="P4498" t="s">
        <v>39</v>
      </c>
      <c r="Q4498" t="s">
        <v>12856</v>
      </c>
    </row>
    <row r="4499" spans="1:17" ht="15.75" x14ac:dyDescent="0.25">
      <c r="A4499" s="3" t="str">
        <f>HYPERLINK("https://shop.sonapharmacy.com/products/colgate%C2%AE-max-fresh%C2%AE-with-breath-strips-cool-mint-toothpaste-6oz", "https://shop.sonapharmacy.com/products/colgate%C2%AE-max-fresh%C2%AE-with-breath-strips-cool-mint-toothpaste-6oz")</f>
        <v>https://shop.sonapharmacy.com/products/colgate%C2%AE-max-fresh%C2%AE-with-breath-strips-cool-mint-toothpaste-6oz</v>
      </c>
      <c r="B4499" s="3" t="str">
        <f>HYPERLINK("https://shop.sonapharmacy.com/products/colgate%c2%ae-max-fresh%c2%ae-with-breath-strips-cool-mint-toothpaste-6oz", "https://shop.sonapharmacy.com/products/colgate%c2%ae-max-fresh%c2%ae-with-breath-strips-cool-mint-toothpaste-6oz")</f>
        <v>https://shop.sonapharmacy.com/products/colgate%c2%ae-max-fresh%c2%ae-with-breath-strips-cool-mint-toothpaste-6oz</v>
      </c>
      <c r="C4499" t="s">
        <v>8198</v>
      </c>
      <c r="D4499" t="s">
        <v>12857</v>
      </c>
      <c r="E4499" s="3" t="str">
        <f>HYPERLINK("https://www.amazon.com/Colgate-Liquid-Toothpaste-Breath-Strips/dp/B0014CV5MA/ref=sr_1_3?keywords=Colgate%C2%AE+Max+Fresh%C2%AE+With+Breath+Strips+Cool+Mint+Toothpaste+6oz.&amp;qid=1695260143&amp;sr=8-3", "https://www.amazon.com/Colgate-Liquid-Toothpaste-Breath-Strips/dp/B0014CV5MA/ref=sr_1_3?keywords=Colgate%C2%AE+Max+Fresh%C2%AE+With+Breath+Strips+Cool+Mint+Toothpaste+6oz.&amp;qid=1695260143&amp;sr=8-3")</f>
        <v>https://www.amazon.com/Colgate-Liquid-Toothpaste-Breath-Strips/dp/B0014CV5MA/ref=sr_1_3?keywords=Colgate%C2%AE+Max+Fresh%C2%AE+With+Breath+Strips+Cool+Mint+Toothpaste+6oz.&amp;qid=1695260143&amp;sr=8-3</v>
      </c>
      <c r="F4499" t="s">
        <v>12858</v>
      </c>
      <c r="G4499" t="e">
        <f ca="1">IMAGE("https://shop.sonapharmacy.com/cdn/shop/products/360ae4ed-e444-4623-9fe6-180a0c669cfa_7.d343bb9d6244207be3ec4e9415ae2fe1.png?v=1608652602")</f>
        <v>#NAME?</v>
      </c>
      <c r="H4499" t="e">
        <f ca="1">IMAGE("https://m.media-amazon.com/images/I/61bryXER5lL._AC_UL320_.jpg")</f>
        <v>#NAME?</v>
      </c>
      <c r="I4499" t="s">
        <v>8102</v>
      </c>
      <c r="J4499">
        <v>6.47</v>
      </c>
      <c r="K4499" s="2" t="s">
        <v>12859</v>
      </c>
      <c r="L4499">
        <v>4.7</v>
      </c>
      <c r="M4499">
        <v>4160</v>
      </c>
      <c r="O4499" t="s">
        <v>26</v>
      </c>
      <c r="P4499" t="s">
        <v>39</v>
      </c>
      <c r="Q4499" t="s">
        <v>8202</v>
      </c>
    </row>
    <row r="4500" spans="1:17" ht="15.75" x14ac:dyDescent="0.25">
      <c r="A4500" s="3" t="str">
        <f>HYPERLINK("https://shop.sonapharmacy.com/products/lice-shield-shampoo-conditioner", "https://shop.sonapharmacy.com/products/lice-shield-shampoo-conditioner")</f>
        <v>https://shop.sonapharmacy.com/products/lice-shield-shampoo-conditioner</v>
      </c>
      <c r="B4500" s="3" t="str">
        <f>HYPERLINK("https://shop.sonapharmacy.com/products/lice-shield-shampoo-conditioner", "https://shop.sonapharmacy.com/products/lice-shield-shampoo-conditioner")</f>
        <v>https://shop.sonapharmacy.com/products/lice-shield-shampoo-conditioner</v>
      </c>
      <c r="C4500" t="s">
        <v>11290</v>
      </c>
      <c r="D4500" t="s">
        <v>12860</v>
      </c>
      <c r="E4500" s="3" t="str">
        <f>HYPERLINK("https://www.amazon.com/artnaturals-Lice-Prevention-Shampoo-473ml/dp/B093X5JV49/ref=sr_1_6?keywords=Lice+Shield+Shampoo&amp;qid=1695260434&amp;sr=8-6", "https://www.amazon.com/artnaturals-Lice-Prevention-Shampoo-473ml/dp/B093X5JV49/ref=sr_1_6?keywords=Lice+Shield+Shampoo&amp;qid=1695260434&amp;sr=8-6")</f>
        <v>https://www.amazon.com/artnaturals-Lice-Prevention-Shampoo-473ml/dp/B093X5JV49/ref=sr_1_6?keywords=Lice+Shield+Shampoo&amp;qid=1695260434&amp;sr=8-6</v>
      </c>
      <c r="F4500" t="s">
        <v>12861</v>
      </c>
      <c r="G4500" t="e">
        <f ca="1">IMAGE("https://shop.sonapharmacy.com/cdn/shop/products/liceshield.jpg?v=1608136014")</f>
        <v>#NAME?</v>
      </c>
      <c r="H4500" t="e">
        <f ca="1">IMAGE("https://m.media-amazon.com/images/I/61AIgiUCBOS._AC_UL320_.jpg")</f>
        <v>#NAME?</v>
      </c>
      <c r="I4500" t="s">
        <v>4296</v>
      </c>
      <c r="J4500">
        <v>13.99</v>
      </c>
      <c r="K4500" s="2" t="s">
        <v>12859</v>
      </c>
      <c r="L4500">
        <v>4.3</v>
      </c>
      <c r="M4500">
        <v>34</v>
      </c>
      <c r="O4500" t="s">
        <v>26</v>
      </c>
      <c r="P4500" t="s">
        <v>39</v>
      </c>
      <c r="Q4500" t="s">
        <v>11294</v>
      </c>
    </row>
    <row r="4501" spans="1:17" ht="15.75" x14ac:dyDescent="0.25">
      <c r="A4501" s="3" t="str">
        <f>HYPERLINK("https://shop.sonapharmacy.com/products/mueller%C2%AE-adjustable-back-brace-with-lumbar-pad-regular", "https://shop.sonapharmacy.com/products/mueller%C2%AE-adjustable-back-brace-with-lumbar-pad-regular")</f>
        <v>https://shop.sonapharmacy.com/products/mueller%C2%AE-adjustable-back-brace-with-lumbar-pad-regular</v>
      </c>
      <c r="B4501" s="3" t="str">
        <f>HYPERLINK("https://shop.sonapharmacy.com/products/mueller%c2%ae-adjustable-back-brace-with-lumbar-pad-regular", "https://shop.sonapharmacy.com/products/mueller%c2%ae-adjustable-back-brace-with-lumbar-pad-regular")</f>
        <v>https://shop.sonapharmacy.com/products/mueller%c2%ae-adjustable-back-brace-with-lumbar-pad-regular</v>
      </c>
      <c r="C4501" t="s">
        <v>11252</v>
      </c>
      <c r="D4501" t="s">
        <v>12862</v>
      </c>
      <c r="E4501" s="3" t="str">
        <f>HYPERLINK("https://www.amazon.com/Mueller-64179-Adjustable-Removable-Regular/dp/B01NGTO7Q8/ref=sr_1_2?keywords=Mueller%C2%AE+Adjustable+Back+Brace+with+Lumbar+Pad+Regular&amp;qid=1695260513&amp;sr=8-2", "https://www.amazon.com/Mueller-64179-Adjustable-Removable-Regular/dp/B01NGTO7Q8/ref=sr_1_2?keywords=Mueller%C2%AE+Adjustable+Back+Brace+with+Lumbar+Pad+Regular&amp;qid=1695260513&amp;sr=8-2")</f>
        <v>https://www.amazon.com/Mueller-64179-Adjustable-Removable-Regular/dp/B01NGTO7Q8/ref=sr_1_2?keywords=Mueller%C2%AE+Adjustable+Back+Brace+with+Lumbar+Pad+Regular&amp;qid=1695260513&amp;sr=8-2</v>
      </c>
      <c r="F4501" t="s">
        <v>12863</v>
      </c>
      <c r="G4501" t="e">
        <f ca="1">IMAGE("https://shop.sonapharmacy.com/cdn/shop/products/3aa38238-1758-478a-9587-ade8e0fa6948_1.c46fc68f18453e999b2cf9a0edf5b2c3.jpg?v=1609873447")</f>
        <v>#NAME?</v>
      </c>
      <c r="H4501" t="e">
        <f ca="1">IMAGE("https://m.media-amazon.com/images/I/71owYbiVrFL._AC_UL320_.jpg")</f>
        <v>#NAME?</v>
      </c>
      <c r="I4501" t="s">
        <v>11255</v>
      </c>
      <c r="J4501">
        <v>46</v>
      </c>
      <c r="K4501" s="2" t="s">
        <v>12864</v>
      </c>
      <c r="L4501">
        <v>4.4000000000000004</v>
      </c>
      <c r="M4501">
        <v>130</v>
      </c>
      <c r="O4501" t="s">
        <v>26</v>
      </c>
      <c r="P4501" t="s">
        <v>39</v>
      </c>
      <c r="Q4501" t="s">
        <v>11257</v>
      </c>
    </row>
    <row r="4502" spans="1:17" ht="15.75" x14ac:dyDescent="0.25">
      <c r="A4502" s="3" t="str">
        <f>HYPERLINK("https://shop.sonapharmacy.com/products/oasis%C2%AE-mouth-moisturizing-spray-mild-mint-1fl-oz", "https://shop.sonapharmacy.com/products/oasis%C2%AE-mouth-moisturizing-spray-mild-mint-1fl-oz")</f>
        <v>https://shop.sonapharmacy.com/products/oasis%C2%AE-mouth-moisturizing-spray-mild-mint-1fl-oz</v>
      </c>
      <c r="B4502" s="3" t="str">
        <f>HYPERLINK("https://shop.sonapharmacy.com/products/oasis%c2%ae-mouth-moisturizing-spray-mild-mint-1fl-oz", "https://shop.sonapharmacy.com/products/oasis%c2%ae-mouth-moisturizing-spray-mild-mint-1fl-oz")</f>
        <v>https://shop.sonapharmacy.com/products/oasis%c2%ae-mouth-moisturizing-spray-mild-mint-1fl-oz</v>
      </c>
      <c r="C4502" t="s">
        <v>9069</v>
      </c>
      <c r="D4502" t="s">
        <v>12865</v>
      </c>
      <c r="E4502" s="3" t="str">
        <f>HYPERLINK("https://www.amazon.com/Oasis-Mouth-Moisturizing-Spray-Mild/dp/B000MAPB7A/ref=sr_1_1?keywords=Oasis%C2%AE+Mouth+Moisturizing+Spray+Mild+Mint+1fl.oz.&amp;qid=1695260612&amp;sr=8-1", "https://www.amazon.com/Oasis-Mouth-Moisturizing-Spray-Mild/dp/B000MAPB7A/ref=sr_1_1?keywords=Oasis%C2%AE+Mouth+Moisturizing+Spray+Mild+Mint+1fl.oz.&amp;qid=1695260612&amp;sr=8-1")</f>
        <v>https://www.amazon.com/Oasis-Mouth-Moisturizing-Spray-Mild/dp/B000MAPB7A/ref=sr_1_1?keywords=Oasis%C2%AE+Mouth+Moisturizing+Spray+Mild+Mint+1fl.oz.&amp;qid=1695260612&amp;sr=8-1</v>
      </c>
      <c r="F4502" t="s">
        <v>12866</v>
      </c>
      <c r="G4502" t="e">
        <f ca="1">IMAGE("https://shop.sonapharmacy.com/cdn/shop/products/8f8c84aa-9bad-4bac-a54f-e8f111c224fc_1.d51e86c174f0c880125a11b6bef87077.jpg?v=1608566621")</f>
        <v>#NAME?</v>
      </c>
      <c r="H4502" t="e">
        <f ca="1">IMAGE("https://m.media-amazon.com/images/I/81mWN3vBugL._AC_UL320_.jpg")</f>
        <v>#NAME?</v>
      </c>
      <c r="I4502" t="s">
        <v>9072</v>
      </c>
      <c r="J4502">
        <v>9.75</v>
      </c>
      <c r="K4502" s="2" t="s">
        <v>12867</v>
      </c>
      <c r="L4502">
        <v>4.2</v>
      </c>
      <c r="M4502">
        <v>580</v>
      </c>
      <c r="O4502" t="s">
        <v>26</v>
      </c>
      <c r="P4502" t="s">
        <v>39</v>
      </c>
      <c r="Q4502" t="s">
        <v>9074</v>
      </c>
    </row>
    <row r="4503" spans="1:17" ht="15.75" x14ac:dyDescent="0.25">
      <c r="A4503" s="3" t="str">
        <f>HYPERLINK("https://shop.sonapharmacy.com/products/good-sense-nighttime-cold-flu-multi-symptom-relief-tablets", "https://shop.sonapharmacy.com/products/good-sense-nighttime-cold-flu-multi-symptom-relief-tablets")</f>
        <v>https://shop.sonapharmacy.com/products/good-sense-nighttime-cold-flu-multi-symptom-relief-tablets</v>
      </c>
      <c r="B4503" s="3" t="str">
        <f>HYPERLINK("https://shop.sonapharmacy.com/products/good-sense-nighttime-cold-flu-multi-symptom-relief-tablets", "https://shop.sonapharmacy.com/products/good-sense-nighttime-cold-flu-multi-symptom-relief-tablets")</f>
        <v>https://shop.sonapharmacy.com/products/good-sense-nighttime-cold-flu-multi-symptom-relief-tablets</v>
      </c>
      <c r="C4503" t="s">
        <v>12852</v>
      </c>
      <c r="D4503" t="s">
        <v>12824</v>
      </c>
      <c r="E4503" s="3" t="str">
        <f>HYPERLINK("https://www.amazon.com/Puregen-Labs-Non-Drowsy-Multi-Symptom-Congestion/dp/B0CBW5PL1L/ref=sr_1_8?keywords=GoodSense%C2%AE+Nighttime+Cold+%26+Flu+Multi-Symptom+Relief+Softgels&amp;qid=1695260348&amp;sr=8-8", "https://www.amazon.com/Puregen-Labs-Non-Drowsy-Multi-Symptom-Congestion/dp/B0CBW5PL1L/ref=sr_1_8?keywords=GoodSense%C2%AE+Nighttime+Cold+%26+Flu+Multi-Symptom+Relief+Softgels&amp;qid=1695260348&amp;sr=8-8")</f>
        <v>https://www.amazon.com/Puregen-Labs-Non-Drowsy-Multi-Symptom-Congestion/dp/B0CBW5PL1L/ref=sr_1_8?keywords=GoodSense%C2%AE+Nighttime+Cold+%26+Flu+Multi-Symptom+Relief+Softgels&amp;qid=1695260348&amp;sr=8-8</v>
      </c>
      <c r="F4503" t="s">
        <v>12825</v>
      </c>
      <c r="G4503" t="e">
        <f ca="1">IMAGE("https://shop.sonapharmacy.com/cdn/shop/products/Untitled-122.jpg?v=1592931277")</f>
        <v>#NAME?</v>
      </c>
      <c r="H4503" t="e">
        <f ca="1">IMAGE("https://m.media-amazon.com/images/I/51GQN6alLJL._AC_UL320_.jpg")</f>
        <v>#NAME?</v>
      </c>
      <c r="I4503" t="s">
        <v>8880</v>
      </c>
      <c r="J4503">
        <v>9.9499999999999993</v>
      </c>
      <c r="K4503" s="2" t="s">
        <v>5459</v>
      </c>
      <c r="L4503">
        <v>5</v>
      </c>
      <c r="M4503">
        <v>1</v>
      </c>
      <c r="O4503" t="s">
        <v>26</v>
      </c>
      <c r="P4503" t="s">
        <v>39</v>
      </c>
      <c r="Q4503" t="s">
        <v>12856</v>
      </c>
    </row>
    <row r="4504" spans="1:17" ht="15.75" x14ac:dyDescent="0.25">
      <c r="A4504" s="3" t="str">
        <f>HYPERLINK("https://shop.sonapharmacy.com/products/duracell%C2%AE-2032-3v-lithium-coin-battery", "https://shop.sonapharmacy.com/products/duracell%C2%AE-2032-3v-lithium-coin-battery")</f>
        <v>https://shop.sonapharmacy.com/products/duracell%C2%AE-2032-3v-lithium-coin-battery</v>
      </c>
      <c r="B4504" s="3" t="str">
        <f>HYPERLINK("https://shop.sonapharmacy.com/products/duracell%c2%ae-2032-3v-lithium-coin-battery", "https://shop.sonapharmacy.com/products/duracell%c2%ae-2032-3v-lithium-coin-battery")</f>
        <v>https://shop.sonapharmacy.com/products/duracell%c2%ae-2032-3v-lithium-coin-battery</v>
      </c>
      <c r="C4504" t="s">
        <v>11767</v>
      </c>
      <c r="D4504" t="s">
        <v>12868</v>
      </c>
      <c r="E4504" s="3" t="str">
        <f>HYPERLINK("https://www.amazon.com/Duracell-DL2032-Lithium-Battery-Capacity/dp/B00BGIW5AS/ref=sr_1_10?keywords=Duracell%C2%AE+2032+3V+Lithium+Coin+Battery&amp;qid=1695260232&amp;sr=8-10", "https://www.amazon.com/Duracell-DL2032-Lithium-Battery-Capacity/dp/B00BGIW5AS/ref=sr_1_10?keywords=Duracell%C2%AE+2032+3V+Lithium+Coin+Battery&amp;qid=1695260232&amp;sr=8-10")</f>
        <v>https://www.amazon.com/Duracell-DL2032-Lithium-Battery-Capacity/dp/B00BGIW5AS/ref=sr_1_10?keywords=Duracell%C2%AE+2032+3V+Lithium+Coin+Battery&amp;qid=1695260232&amp;sr=8-10</v>
      </c>
      <c r="F4504" t="s">
        <v>12869</v>
      </c>
      <c r="G4504" t="e">
        <f ca="1">IMAGE("https://shop.sonapharmacy.com/cdn/shop/products/71rYCdBwUPL._AC_SL1500.jpg?v=1610333437")</f>
        <v>#NAME?</v>
      </c>
      <c r="H4504" t="e">
        <f ca="1">IMAGE("https://m.media-amazon.com/images/I/61-FctQESNL._AC_UL320_.jpg")</f>
        <v>#NAME?</v>
      </c>
      <c r="I4504" t="s">
        <v>8880</v>
      </c>
      <c r="J4504">
        <v>9.9499999999999993</v>
      </c>
      <c r="K4504" s="2" t="s">
        <v>5459</v>
      </c>
      <c r="L4504">
        <v>4.5</v>
      </c>
      <c r="M4504">
        <v>227</v>
      </c>
      <c r="O4504" t="s">
        <v>26</v>
      </c>
      <c r="P4504" t="s">
        <v>39</v>
      </c>
      <c r="Q4504" t="s">
        <v>11771</v>
      </c>
    </row>
    <row r="4505" spans="1:17" ht="15.75" x14ac:dyDescent="0.25">
      <c r="A4505" s="3" t="str">
        <f>HYPERLINK("https://shop.sonapharmacy.com/products/nature-made-hair-skin-and-nails-gummies", "https://shop.sonapharmacy.com/products/nature-made-hair-skin-and-nails-gummies")</f>
        <v>https://shop.sonapharmacy.com/products/nature-made-hair-skin-and-nails-gummies</v>
      </c>
      <c r="B4505" s="3" t="str">
        <f>HYPERLINK("https://shop.sonapharmacy.com/products/nature-made-hair-skin-and-nails-gummies", "https://shop.sonapharmacy.com/products/nature-made-hair-skin-and-nails-gummies")</f>
        <v>https://shop.sonapharmacy.com/products/nature-made-hair-skin-and-nails-gummies</v>
      </c>
      <c r="C4505" t="s">
        <v>11173</v>
      </c>
      <c r="D4505" t="s">
        <v>12870</v>
      </c>
      <c r="E4505" s="3" t="str">
        <f>HYPERLINK("https://www.amazon.com/Natures-Bounty-Hair-Nails-Gummies/dp/B07BHTJ4B9/ref=sr_1_3?keywords=Nature+Made%C2%AE+Hair+Skin+and+Nails+Gummies&amp;qid=1695260542&amp;sr=8-3", "https://www.amazon.com/Natures-Bounty-Hair-Nails-Gummies/dp/B07BHTJ4B9/ref=sr_1_3?keywords=Nature+Made%C2%AE+Hair+Skin+and+Nails+Gummies&amp;qid=1695260542&amp;sr=8-3")</f>
        <v>https://www.amazon.com/Natures-Bounty-Hair-Nails-Gummies/dp/B07BHTJ4B9/ref=sr_1_3?keywords=Nature+Made%C2%AE+Hair+Skin+and+Nails+Gummies&amp;qid=1695260542&amp;sr=8-3</v>
      </c>
      <c r="F4505" t="s">
        <v>12871</v>
      </c>
      <c r="G4505" t="e">
        <f ca="1">IMAGE("https://shop.sonapharmacy.com/cdn/shop/products/71o8Z6P3alL._AC_SL1500.jpg?v=1610048535")</f>
        <v>#NAME?</v>
      </c>
      <c r="H4505" t="e">
        <f ca="1">IMAGE("https://m.media-amazon.com/images/I/71R5QABa9dL._AC_UL320_.jpg")</f>
        <v>#NAME?</v>
      </c>
      <c r="I4505" t="s">
        <v>11176</v>
      </c>
      <c r="J4505">
        <v>12.26</v>
      </c>
      <c r="K4505" s="2" t="s">
        <v>12872</v>
      </c>
      <c r="L4505">
        <v>4.7</v>
      </c>
      <c r="M4505">
        <v>42765</v>
      </c>
      <c r="O4505" t="s">
        <v>26</v>
      </c>
      <c r="P4505" t="s">
        <v>39</v>
      </c>
      <c r="Q4505" t="s">
        <v>11178</v>
      </c>
    </row>
    <row r="4506" spans="1:17" ht="15.75" x14ac:dyDescent="0.25">
      <c r="A4506" s="3" t="str">
        <f>HYPERLINK("https://shop.sonapharmacy.com/products/oral-b%C2%AE-indicator-color-collection-toothbrush", "https://shop.sonapharmacy.com/products/oral-b%C2%AE-indicator-color-collection-toothbrush")</f>
        <v>https://shop.sonapharmacy.com/products/oral-b%C2%AE-indicator-color-collection-toothbrush</v>
      </c>
      <c r="B4506" s="3" t="str">
        <f>HYPERLINK("https://shop.sonapharmacy.com/products/oral-b%c2%ae-indicator-color-collection-toothbrush", "https://shop.sonapharmacy.com/products/oral-b%c2%ae-indicator-color-collection-toothbrush")</f>
        <v>https://shop.sonapharmacy.com/products/oral-b%c2%ae-indicator-color-collection-toothbrush</v>
      </c>
      <c r="C4506" t="s">
        <v>10813</v>
      </c>
      <c r="D4506" t="s">
        <v>12873</v>
      </c>
      <c r="E4506" s="3" t="str">
        <f>HYPERLINK("https://www.amazon.com/Oral-B-Indicator-Contour-Manual-Toothbrush/dp/B0787MWSLR/ref=sr_1_2?keywords=Oral+B%C2%AE+Indicator+Color+Collection+Toothbrush&amp;qid=1695260620&amp;sr=8-2", "https://www.amazon.com/Oral-B-Indicator-Contour-Manual-Toothbrush/dp/B0787MWSLR/ref=sr_1_2?keywords=Oral+B%C2%AE+Indicator+Color+Collection+Toothbrush&amp;qid=1695260620&amp;sr=8-2")</f>
        <v>https://www.amazon.com/Oral-B-Indicator-Contour-Manual-Toothbrush/dp/B0787MWSLR/ref=sr_1_2?keywords=Oral+B%C2%AE+Indicator+Color+Collection+Toothbrush&amp;qid=1695260620&amp;sr=8-2</v>
      </c>
      <c r="F4506" t="s">
        <v>12874</v>
      </c>
      <c r="G4506" t="e">
        <f ca="1">IMAGE("https://shop.sonapharmacy.com/cdn/shop/products/ea6566ae-7c35-4b2a-98ae-dda59c4311a5_1.bbd0b5b6b7f3d72c3738494ffd15fb43_1.jpg?v=1610052429")</f>
        <v>#NAME?</v>
      </c>
      <c r="H4506" t="e">
        <f ca="1">IMAGE("https://m.media-amazon.com/images/I/71hEEo07UhL._AC_UL320_.jpg")</f>
        <v>#NAME?</v>
      </c>
      <c r="I4506" t="s">
        <v>8034</v>
      </c>
      <c r="J4506">
        <v>3.99</v>
      </c>
      <c r="K4506" s="2" t="s">
        <v>12875</v>
      </c>
      <c r="L4506">
        <v>4.5999999999999996</v>
      </c>
      <c r="M4506">
        <v>13438</v>
      </c>
      <c r="O4506" t="s">
        <v>26</v>
      </c>
      <c r="P4506" t="s">
        <v>39</v>
      </c>
      <c r="Q4506" t="s">
        <v>10817</v>
      </c>
    </row>
    <row r="4507" spans="1:17" ht="15.75" x14ac:dyDescent="0.25">
      <c r="A4507"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B4507"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C4507" t="s">
        <v>9018</v>
      </c>
      <c r="D4507" t="s">
        <v>12876</v>
      </c>
      <c r="E4507" s="3" t="str">
        <f>HYPERLINK("https://www.amazon.com/Degree-Shower-Protection-Antiperspirant-Deodorant/dp/B0010AU3SI/ref=sr_1_5?keywords=Degree%C2%AE+Shower+Clean+Dry+Protection+Antiperspirant+Deodorant+Stick&amp;qid=1695260181&amp;sr=8-5", "https://www.amazon.com/Degree-Shower-Protection-Antiperspirant-Deodorant/dp/B0010AU3SI/ref=sr_1_5?keywords=Degree%C2%AE+Shower+Clean+Dry+Protection+Antiperspirant+Deodorant+Stick&amp;qid=1695260181&amp;sr=8-5")</f>
        <v>https://www.amazon.com/Degree-Shower-Protection-Antiperspirant-Deodorant/dp/B0010AU3SI/ref=sr_1_5?keywords=Degree%C2%AE+Shower+Clean+Dry+Protection+Antiperspirant+Deodorant+Stick&amp;qid=1695260181&amp;sr=8-5</v>
      </c>
      <c r="F4507" t="s">
        <v>12877</v>
      </c>
      <c r="G4507" t="e">
        <f ca="1">IMAGE("https://shop.sonapharmacy.com/cdn/shop/products/DegreeShowerFront.png?v=1607052182")</f>
        <v>#NAME?</v>
      </c>
      <c r="H4507" t="e">
        <f ca="1">IMAGE("https://m.media-amazon.com/images/I/51KWC54mVAL._AC_UL320_.jpg")</f>
        <v>#NAME?</v>
      </c>
      <c r="I4507" t="s">
        <v>8264</v>
      </c>
      <c r="J4507">
        <v>6.36</v>
      </c>
      <c r="K4507" s="2" t="s">
        <v>12878</v>
      </c>
      <c r="L4507">
        <v>4.4000000000000004</v>
      </c>
      <c r="M4507">
        <v>84</v>
      </c>
      <c r="O4507" t="s">
        <v>26</v>
      </c>
      <c r="P4507" t="s">
        <v>39</v>
      </c>
      <c r="Q4507" t="s">
        <v>9022</v>
      </c>
    </row>
    <row r="4508" spans="1:17" ht="15.75" x14ac:dyDescent="0.25">
      <c r="A4508" s="3" t="str">
        <f>HYPERLINK("https://shop.sonapharmacy.com/products/florastor-kids-daily-probiotic-supplement", "https://shop.sonapharmacy.com/products/florastor-kids-daily-probiotic-supplement")</f>
        <v>https://shop.sonapharmacy.com/products/florastor-kids-daily-probiotic-supplement</v>
      </c>
      <c r="B4508" s="3" t="str">
        <f>HYPERLINK("https://shop.sonapharmacy.com/products/florastor-kids-daily-probiotic-supplement", "https://shop.sonapharmacy.com/products/florastor-kids-daily-probiotic-supplement")</f>
        <v>https://shop.sonapharmacy.com/products/florastor-kids-daily-probiotic-supplement</v>
      </c>
      <c r="C4508" t="s">
        <v>11190</v>
      </c>
      <c r="D4508" t="s">
        <v>12879</v>
      </c>
      <c r="E4508" s="3"/>
      <c r="F4508" t="s">
        <v>12880</v>
      </c>
      <c r="G4508" t="e">
        <f ca="1">IMAGE("https://shop.sonapharmacy.com/cdn/shop/products/florastorkidsfront.png?v=1606931808")</f>
        <v>#NAME?</v>
      </c>
      <c r="H4508" t="e">
        <f ca="1">IMAGE("https://m.media-amazon.com/images/I/71zk52419gL._AC_UL320_.jpg")</f>
        <v>#NAME?</v>
      </c>
      <c r="I4508" t="s">
        <v>11193</v>
      </c>
      <c r="J4508">
        <v>29.99</v>
      </c>
      <c r="K4508" s="2" t="s">
        <v>12881</v>
      </c>
      <c r="L4508">
        <v>4.4000000000000004</v>
      </c>
      <c r="M4508">
        <v>30</v>
      </c>
      <c r="O4508" t="s">
        <v>26</v>
      </c>
      <c r="P4508" t="s">
        <v>39</v>
      </c>
      <c r="Q4508" t="s">
        <v>11195</v>
      </c>
    </row>
    <row r="4509" spans="1:17" ht="15.75" x14ac:dyDescent="0.25">
      <c r="A4509"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B4509" s="3" t="str">
        <f>HYPERLINK("https://shop.sonapharmacy.com/products/arm-hammer%e2%84%a2-advance-white%e2%84%a2-extreme-whitening-toothpaste-6oz", "https://shop.sonapharmacy.com/products/arm-hammer%e2%84%a2-advance-white%e2%84%a2-extreme-whitening-toothpaste-6oz")</f>
        <v>https://shop.sonapharmacy.com/products/arm-hammer%e2%84%a2-advance-white%e2%84%a2-extreme-whitening-toothpaste-6oz</v>
      </c>
      <c r="C4509" t="s">
        <v>8597</v>
      </c>
      <c r="D4509" t="s">
        <v>12882</v>
      </c>
      <c r="E4509" s="3" t="str">
        <f>HYPERLINK("https://www.amazon.com/Arm-Hammer-Advance-Whitening-Toothpaste/dp/B005NEJH8O/ref=sr_1_3?keywords=Arm+%26+Hammer+Advance+White%E2%84%A2+Extreme+Whitening+Toothpaste+6oz.&amp;qid=1695260040&amp;sr=8-3", "https://www.amazon.com/Arm-Hammer-Advance-Whitening-Toothpaste/dp/B005NEJH8O/ref=sr_1_3?keywords=Arm+%26+Hammer+Advance+White%E2%84%A2+Extreme+Whitening+Toothpaste+6oz.&amp;qid=1695260040&amp;sr=8-3")</f>
        <v>https://www.amazon.com/Arm-Hammer-Advance-Whitening-Toothpaste/dp/B005NEJH8O/ref=sr_1_3?keywords=Arm+%26+Hammer+Advance+White%E2%84%A2+Extreme+Whitening+Toothpaste+6oz.&amp;qid=1695260040&amp;sr=8-3</v>
      </c>
      <c r="F4509" t="s">
        <v>12883</v>
      </c>
      <c r="G4509" t="e">
        <f ca="1">IMAGE("https://shop.sonapharmacy.com/cdn/shop/products/39e8f462-49a9-4142-bb95-6876f7f6bade.baebaa1c7268bbcf245f186bddbf5223_1.jpg?v=1611254657")</f>
        <v>#NAME?</v>
      </c>
      <c r="H4509" t="e">
        <f ca="1">IMAGE("https://m.media-amazon.com/images/I/71kE9artJcL._AC_UL320_.jpg")</f>
        <v>#NAME?</v>
      </c>
      <c r="I4509" t="s">
        <v>8600</v>
      </c>
      <c r="J4509">
        <v>6.99</v>
      </c>
      <c r="K4509" s="2" t="s">
        <v>12884</v>
      </c>
      <c r="L4509">
        <v>3.2</v>
      </c>
      <c r="M4509">
        <v>73</v>
      </c>
      <c r="O4509" t="s">
        <v>26</v>
      </c>
      <c r="P4509" t="s">
        <v>39</v>
      </c>
      <c r="Q4509" t="s">
        <v>8602</v>
      </c>
    </row>
    <row r="4510" spans="1:17" ht="15.75" x14ac:dyDescent="0.25">
      <c r="A4510" s="3" t="str">
        <f>HYPERLINK("https://shop.sonapharmacy.com/products/garden-of-life%C2%AE-dr-formulated-100-natural-organic-coconut-mct-oil-16fl-oz", "https://shop.sonapharmacy.com/products/garden-of-life%C2%AE-dr-formulated-100-natural-organic-coconut-mct-oil-16fl-oz")</f>
        <v>https://shop.sonapharmacy.com/products/garden-of-life%C2%AE-dr-formulated-100-natural-organic-coconut-mct-oil-16fl-oz</v>
      </c>
      <c r="B4510" s="3" t="str">
        <f>HYPERLINK("https://shop.sonapharmacy.com/products/garden-of-life%c2%ae-dr-formulated-100-natural-organic-coconut-mct-oil-16fl-oz", "https://shop.sonapharmacy.com/products/garden-of-life%c2%ae-dr-formulated-100-natural-organic-coconut-mct-oil-16fl-oz")</f>
        <v>https://shop.sonapharmacy.com/products/garden-of-life%c2%ae-dr-formulated-100-natural-organic-coconut-mct-oil-16fl-oz</v>
      </c>
      <c r="C4510" t="s">
        <v>10868</v>
      </c>
      <c r="D4510" t="s">
        <v>12885</v>
      </c>
      <c r="E4510" s="3" t="str">
        <f>HYPERLINK("https://www.amazon.com/Garden-Life-Formulated-Unflavored-Hexane-Free/dp/B076ZK9N3V/ref=sr_1_1?keywords=Garden+Of+Life%C2%AE+Dr.+Formulated+100%25+Natural+Organic+Coconut+MCT+Oil+16fl.+oz.&amp;qid=1695260304&amp;sr=8-1", "https://www.amazon.com/Garden-Life-Formulated-Unflavored-Hexane-Free/dp/B076ZK9N3V/ref=sr_1_1?keywords=Garden+Of+Life%C2%AE+Dr.+Formulated+100%25+Natural+Organic+Coconut+MCT+Oil+16fl.+oz.&amp;qid=1695260304&amp;sr=8-1")</f>
        <v>https://www.amazon.com/Garden-Life-Formulated-Unflavored-Hexane-Free/dp/B076ZK9N3V/ref=sr_1_1?keywords=Garden+Of+Life%C2%AE+Dr.+Formulated+100%25+Natural+Organic+Coconut+MCT+Oil+16fl.+oz.&amp;qid=1695260304&amp;sr=8-1</v>
      </c>
      <c r="F4510" t="s">
        <v>12886</v>
      </c>
      <c r="G4510" t="e">
        <f ca="1">IMAGE("https://shop.sonapharmacy.com/cdn/shop/products/61r0-GDj2rL._AC_SL1000.jpg?v=1611024183")</f>
        <v>#NAME?</v>
      </c>
      <c r="H4510" t="e">
        <f ca="1">IMAGE("https://m.media-amazon.com/images/I/61-omtHYQoL._AC_UL320_.jpg")</f>
        <v>#NAME?</v>
      </c>
      <c r="I4510" t="s">
        <v>3367</v>
      </c>
      <c r="J4510">
        <v>32.08</v>
      </c>
      <c r="K4510" s="2" t="s">
        <v>12887</v>
      </c>
      <c r="L4510">
        <v>4.7</v>
      </c>
      <c r="M4510">
        <v>4534</v>
      </c>
      <c r="O4510" t="s">
        <v>26</v>
      </c>
      <c r="P4510" t="s">
        <v>39</v>
      </c>
      <c r="Q4510" t="s">
        <v>10872</v>
      </c>
    </row>
    <row r="4511" spans="1:17" ht="15.75" x14ac:dyDescent="0.25">
      <c r="A4511" s="3" t="str">
        <f>HYPERLINK("https://shop.sonapharmacy.com/products/goodsense%C2%AE-loratadine-allergy-tablets", "https://shop.sonapharmacy.com/products/goodsense%C2%AE-loratadine-allergy-tablets")</f>
        <v>https://shop.sonapharmacy.com/products/goodsense%C2%AE-loratadine-allergy-tablets</v>
      </c>
      <c r="B4511" s="3" t="str">
        <f>HYPERLINK("https://shop.sonapharmacy.com/products/goodsense%c2%ae-loratadine-allergy-tablets", "https://shop.sonapharmacy.com/products/goodsense%c2%ae-loratadine-allergy-tablets")</f>
        <v>https://shop.sonapharmacy.com/products/goodsense%c2%ae-loratadine-allergy-tablets</v>
      </c>
      <c r="C4511" t="s">
        <v>9855</v>
      </c>
      <c r="D4511" t="s">
        <v>12888</v>
      </c>
      <c r="E4511" s="3" t="str">
        <f>HYPERLINK("https://www.amazon.com/Basic-Care-Allergy-Loratadine-Tablets/dp/B074F18H5N/ref=sr_1_3?keywords=GoodSense%C2%AE+Loratadine+Allergy+Tablets&amp;qid=1695260354&amp;sr=8-3", "https://www.amazon.com/Basic-Care-Allergy-Loratadine-Tablets/dp/B074F18H5N/ref=sr_1_3?keywords=GoodSense%C2%AE+Loratadine+Allergy+Tablets&amp;qid=1695260354&amp;sr=8-3")</f>
        <v>https://www.amazon.com/Basic-Care-Allergy-Loratadine-Tablets/dp/B074F18H5N/ref=sr_1_3?keywords=GoodSense%C2%AE+Loratadine+Allergy+Tablets&amp;qid=1695260354&amp;sr=8-3</v>
      </c>
      <c r="F4511" t="s">
        <v>12889</v>
      </c>
      <c r="G4511" t="e">
        <f ca="1">IMAGE("https://shop.sonapharmacy.com/cdn/shop/products/Untitled-168.jpg?v=1593196295")</f>
        <v>#NAME?</v>
      </c>
      <c r="H4511" t="e">
        <f ca="1">IMAGE("https://m.media-amazon.com/images/I/71MOuHMezTL._AC_UL320_.jpg")</f>
        <v>#NAME?</v>
      </c>
      <c r="I4511" t="s">
        <v>8361</v>
      </c>
      <c r="J4511">
        <v>11.53</v>
      </c>
      <c r="K4511" s="2" t="s">
        <v>12890</v>
      </c>
      <c r="L4511">
        <v>4.7</v>
      </c>
      <c r="M4511">
        <v>19346</v>
      </c>
      <c r="O4511" t="s">
        <v>26</v>
      </c>
      <c r="P4511" t="s">
        <v>39</v>
      </c>
      <c r="Q4511" t="s">
        <v>9859</v>
      </c>
    </row>
    <row r="4512" spans="1:17" ht="15.75" x14ac:dyDescent="0.25">
      <c r="A4512" s="3" t="str">
        <f>HYPERLINK("https://shop.sonapharmacy.com/products/simply-saline%E2%84%A2-daily-care-instant-relief-for-everyday-congestion", "https://shop.sonapharmacy.com/products/simply-saline%E2%84%A2-daily-care-instant-relief-for-everyday-congestion")</f>
        <v>https://shop.sonapharmacy.com/products/simply-saline%E2%84%A2-daily-care-instant-relief-for-everyday-congestion</v>
      </c>
      <c r="B4512" s="3" t="str">
        <f>HYPERLINK("https://shop.sonapharmacy.com/products/simply-saline%e2%84%a2-daily-care-instant-relief-for-everyday-congestion", "https://shop.sonapharmacy.com/products/simply-saline%e2%84%a2-daily-care-instant-relief-for-everyday-congestion")</f>
        <v>https://shop.sonapharmacy.com/products/simply-saline%e2%84%a2-daily-care-instant-relief-for-everyday-congestion</v>
      </c>
      <c r="C4512" t="s">
        <v>12891</v>
      </c>
      <c r="D4512" t="s">
        <v>12892</v>
      </c>
      <c r="E4512" s="3" t="str">
        <f>HYPERLINK("https://www.amazon.com/Simply-Saline-Adult-Nasal-Original/dp/B0013UU9WK/ref=sr_1_2?keywords=Simply+Saline%E2%84%A2+Daily+Care+Instant+Relief+for+Everyday+Congestion&amp;qid=1695260732&amp;sr=8-2", "https://www.amazon.com/Simply-Saline-Adult-Nasal-Original/dp/B0013UU9WK/ref=sr_1_2?keywords=Simply+Saline%E2%84%A2+Daily+Care+Instant+Relief+for+Everyday+Congestion&amp;qid=1695260732&amp;sr=8-2")</f>
        <v>https://www.amazon.com/Simply-Saline-Adult-Nasal-Original/dp/B0013UU9WK/ref=sr_1_2?keywords=Simply+Saline%E2%84%A2+Daily+Care+Instant+Relief+for+Everyday+Congestion&amp;qid=1695260732&amp;sr=8-2</v>
      </c>
      <c r="F4512" t="s">
        <v>12893</v>
      </c>
      <c r="G4512" t="e">
        <f ca="1">IMAGE("https://shop.sonapharmacy.com/cdn/shop/products/71A-NvoVMIL._AC_SL1500.jpg?v=1610123918")</f>
        <v>#NAME?</v>
      </c>
      <c r="H4512" t="e">
        <f ca="1">IMAGE("https://m.media-amazon.com/images/I/71A-NvoVMIL._AC_UL320_.jpg")</f>
        <v>#NAME?</v>
      </c>
      <c r="I4512" t="s">
        <v>9634</v>
      </c>
      <c r="J4512">
        <v>7.99</v>
      </c>
      <c r="K4512" s="2" t="s">
        <v>12890</v>
      </c>
      <c r="L4512">
        <v>4.7</v>
      </c>
      <c r="M4512">
        <v>15729</v>
      </c>
      <c r="O4512" t="s">
        <v>26</v>
      </c>
      <c r="P4512" t="s">
        <v>39</v>
      </c>
      <c r="Q4512" t="s">
        <v>12894</v>
      </c>
    </row>
    <row r="4513" spans="1:17" ht="15.75" x14ac:dyDescent="0.25">
      <c r="A4513" s="3" t="str">
        <f>HYPERLINK("https://shop.sonapharmacy.com/products/goodsense%C2%AE-double-edge-stainless-steel-razor-10ct", "https://shop.sonapharmacy.com/products/goodsense%C2%AE-double-edge-stainless-steel-razor-10ct")</f>
        <v>https://shop.sonapharmacy.com/products/goodsense%C2%AE-double-edge-stainless-steel-razor-10ct</v>
      </c>
      <c r="B4513" s="3" t="str">
        <f>HYPERLINK("https://shop.sonapharmacy.com/products/goodsense%c2%ae-double-edge-stainless-steel-razor-10ct", "https://shop.sonapharmacy.com/products/goodsense%c2%ae-double-edge-stainless-steel-razor-10ct")</f>
        <v>https://shop.sonapharmacy.com/products/goodsense%c2%ae-double-edge-stainless-steel-razor-10ct</v>
      </c>
      <c r="C4513" t="s">
        <v>10996</v>
      </c>
      <c r="D4513" t="s">
        <v>12895</v>
      </c>
      <c r="E4513" s="3" t="str">
        <f>HYPERLINK("https://www.amazon.com/Gillette-Double-Platinum-Razor-Refills/dp/B081CWWYF9/ref=sr_1_5?keywords=GoodSense%C2%AE+Double+Edge+Stainless+Steel+Razor+10ct.&amp;qid=1695260322&amp;sr=8-5", "https://www.amazon.com/Gillette-Double-Platinum-Razor-Refills/dp/B081CWWYF9/ref=sr_1_5?keywords=GoodSense%C2%AE+Double+Edge+Stainless+Steel+Razor+10ct.&amp;qid=1695260322&amp;sr=8-5")</f>
        <v>https://www.amazon.com/Gillette-Double-Platinum-Razor-Refills/dp/B081CWWYF9/ref=sr_1_5?keywords=GoodSense%C2%AE+Double+Edge+Stainless+Steel+Razor+10ct.&amp;qid=1695260322&amp;sr=8-5</v>
      </c>
      <c r="F4513" t="s">
        <v>12896</v>
      </c>
      <c r="G4513" t="e">
        <f ca="1">IMAGE("https://shop.sonapharmacy.com/cdn/shop/products/337121.jpg?v=1610904297")</f>
        <v>#NAME?</v>
      </c>
      <c r="H4513" t="e">
        <f ca="1">IMAGE("https://m.media-amazon.com/images/I/51iA75qhORL._AC_UL320_.jpg")</f>
        <v>#NAME?</v>
      </c>
      <c r="I4513" t="s">
        <v>10999</v>
      </c>
      <c r="J4513">
        <v>9.99</v>
      </c>
      <c r="K4513" s="2" t="s">
        <v>12897</v>
      </c>
      <c r="L4513">
        <v>4.5999999999999996</v>
      </c>
      <c r="M4513">
        <v>7279</v>
      </c>
      <c r="O4513" t="s">
        <v>26</v>
      </c>
      <c r="P4513" t="s">
        <v>39</v>
      </c>
      <c r="Q4513" t="s">
        <v>11001</v>
      </c>
    </row>
    <row r="4514" spans="1:17" ht="15.75" x14ac:dyDescent="0.25">
      <c r="A4514" s="3" t="str">
        <f>HYPERLINK("https://shop.sonapharmacy.com/products/band-aid-skin-flex-bandage", "https://shop.sonapharmacy.com/products/band-aid-skin-flex-bandage")</f>
        <v>https://shop.sonapharmacy.com/products/band-aid-skin-flex-bandage</v>
      </c>
      <c r="B4514" s="3" t="str">
        <f>HYPERLINK("https://shop.sonapharmacy.com/products/band-aid-skin-flex-bandage", "https://shop.sonapharmacy.com/products/band-aid-skin-flex-bandage")</f>
        <v>https://shop.sonapharmacy.com/products/band-aid-skin-flex-bandage</v>
      </c>
      <c r="C4514" t="s">
        <v>8323</v>
      </c>
      <c r="D4514" t="s">
        <v>12898</v>
      </c>
      <c r="E4514" s="3" t="str">
        <f>HYPERLINK("https://www.amazon.com/Band-Aid-Skin-Flex-Adhesive-Bandages-Assorted/dp/B07PSCG4ZR/ref=sr_1_1?keywords=BAND-AID%C2%AE+Skin+Flex+Bandage&amp;qid=1695260066&amp;sr=8-1", "https://www.amazon.com/Band-Aid-Skin-Flex-Adhesive-Bandages-Assorted/dp/B07PSCG4ZR/ref=sr_1_1?keywords=BAND-AID%C2%AE+Skin+Flex+Bandage&amp;qid=1695260066&amp;sr=8-1")</f>
        <v>https://www.amazon.com/Band-Aid-Skin-Flex-Adhesive-Bandages-Assorted/dp/B07PSCG4ZR/ref=sr_1_1?keywords=BAND-AID%C2%AE+Skin+Flex+Bandage&amp;qid=1695260066&amp;sr=8-1</v>
      </c>
      <c r="F4514" t="s">
        <v>12899</v>
      </c>
      <c r="G4514" t="e">
        <f ca="1">IMAGE("https://shop.sonapharmacy.com/cdn/shop/products/bab_381371183470_band_aid_band-aid_skin-flex_aos_25ct_007.jpg?v=1627748646")</f>
        <v>#NAME?</v>
      </c>
      <c r="H4514" t="e">
        <f ca="1">IMAGE("https://m.media-amazon.com/images/I/81S+De8XvgL._AC_UL320_.jpg")</f>
        <v>#NAME?</v>
      </c>
      <c r="I4514" t="s">
        <v>8326</v>
      </c>
      <c r="J4514">
        <v>8.1</v>
      </c>
      <c r="K4514" s="2" t="s">
        <v>12900</v>
      </c>
      <c r="L4514">
        <v>4.8</v>
      </c>
      <c r="M4514">
        <v>520</v>
      </c>
      <c r="O4514" t="s">
        <v>26</v>
      </c>
      <c r="P4514" t="s">
        <v>39</v>
      </c>
      <c r="Q4514" t="s">
        <v>8328</v>
      </c>
    </row>
    <row r="4515" spans="1:17" ht="15.75" x14ac:dyDescent="0.25">
      <c r="A4515" s="3" t="str">
        <f>HYPERLINK("https://shop.sonapharmacy.com/products/duracell%C2%AE-2025-3v-lithium-coin-battery", "https://shop.sonapharmacy.com/products/duracell%C2%AE-2025-3v-lithium-coin-battery")</f>
        <v>https://shop.sonapharmacy.com/products/duracell%C2%AE-2025-3v-lithium-coin-battery</v>
      </c>
      <c r="B4515" s="3" t="str">
        <f>HYPERLINK("https://shop.sonapharmacy.com/products/duracell%c2%ae-2025-3v-lithium-coin-battery", "https://shop.sonapharmacy.com/products/duracell%c2%ae-2025-3v-lithium-coin-battery")</f>
        <v>https://shop.sonapharmacy.com/products/duracell%c2%ae-2025-3v-lithium-coin-battery</v>
      </c>
      <c r="C4515" t="s">
        <v>12901</v>
      </c>
      <c r="D4515" t="s">
        <v>12902</v>
      </c>
      <c r="E4515" s="3" t="str">
        <f>HYPERLINK("https://www.amazon.com/2025-3V-Lithium-Coin-Battery/dp/B0031HS2EU/ref=sr_1_8?keywords=Duracell%C2%AE+2025+3V+Lithium+Coin+Battery&amp;qid=1695260231&amp;sr=8-8", "https://www.amazon.com/2025-3V-Lithium-Coin-Battery/dp/B0031HS2EU/ref=sr_1_8?keywords=Duracell%C2%AE+2025+3V+Lithium+Coin+Battery&amp;qid=1695260231&amp;sr=8-8")</f>
        <v>https://www.amazon.com/2025-3V-Lithium-Coin-Battery/dp/B0031HS2EU/ref=sr_1_8?keywords=Duracell%C2%AE+2025+3V+Lithium+Coin+Battery&amp;qid=1695260231&amp;sr=8-8</v>
      </c>
      <c r="F4515" t="s">
        <v>12903</v>
      </c>
      <c r="G4515" t="e">
        <f ca="1">IMAGE("https://shop.sonapharmacy.com/cdn/shop/products/m007162639_sc7.jpg?v=1610331211")</f>
        <v>#NAME?</v>
      </c>
      <c r="H4515" t="e">
        <f ca="1">IMAGE("https://m.media-amazon.com/images/I/61xVIMBkYcL._AC_UL320_.jpg")</f>
        <v>#NAME?</v>
      </c>
      <c r="I4515" t="s">
        <v>8880</v>
      </c>
      <c r="J4515">
        <v>9.84</v>
      </c>
      <c r="K4515" s="2" t="s">
        <v>12900</v>
      </c>
      <c r="L4515">
        <v>4.8</v>
      </c>
      <c r="M4515">
        <v>19</v>
      </c>
      <c r="O4515" t="s">
        <v>26</v>
      </c>
      <c r="P4515" t="s">
        <v>39</v>
      </c>
      <c r="Q4515" t="s">
        <v>12904</v>
      </c>
    </row>
    <row r="4516" spans="1:17" ht="15.75" x14ac:dyDescent="0.25">
      <c r="A4516" s="3" t="str">
        <f>HYPERLINK("https://shop.sonapharmacy.com/products/curad-stainless-steel-bandage-scissors", "https://shop.sonapharmacy.com/products/curad-stainless-steel-bandage-scissors")</f>
        <v>https://shop.sonapharmacy.com/products/curad-stainless-steel-bandage-scissors</v>
      </c>
      <c r="B4516" s="3" t="str">
        <f>HYPERLINK("https://shop.sonapharmacy.com/products/curad-stainless-steel-bandage-scissors", "https://shop.sonapharmacy.com/products/curad-stainless-steel-bandage-scissors")</f>
        <v>https://shop.sonapharmacy.com/products/curad-stainless-steel-bandage-scissors</v>
      </c>
      <c r="C4516" t="s">
        <v>9578</v>
      </c>
      <c r="D4516" t="s">
        <v>12905</v>
      </c>
      <c r="E4516" s="3" t="str">
        <f>HYPERLINK("https://www.amazon.com/Medical-Bandage-Scissors-Stainless-Premium/dp/B07MP9DC2X/ref=sr_1_9?keywords=Curad%C2%AE+Stainless+Steel+Bandage+Scissors&amp;qid=1695260182&amp;sr=8-9", "https://www.amazon.com/Medical-Bandage-Scissors-Stainless-Premium/dp/B07MP9DC2X/ref=sr_1_9?keywords=Curad%C2%AE+Stainless+Steel+Bandage+Scissors&amp;qid=1695260182&amp;sr=8-9")</f>
        <v>https://www.amazon.com/Medical-Bandage-Scissors-Stainless-Premium/dp/B07MP9DC2X/ref=sr_1_9?keywords=Curad%C2%AE+Stainless+Steel+Bandage+Scissors&amp;qid=1695260182&amp;sr=8-9</v>
      </c>
      <c r="F4516" t="s">
        <v>12906</v>
      </c>
      <c r="G4516" t="e">
        <f ca="1">IMAGE("https://shop.sonapharmacy.com/cdn/shop/products/scissors.png?v=1607716795")</f>
        <v>#NAME?</v>
      </c>
      <c r="H4516" t="e">
        <f ca="1">IMAGE("https://m.media-amazon.com/images/I/615ka4ez4kL._AC_UY218_.jpg")</f>
        <v>#NAME?</v>
      </c>
      <c r="I4516" t="s">
        <v>8728</v>
      </c>
      <c r="J4516">
        <v>6.5</v>
      </c>
      <c r="K4516" s="2" t="s">
        <v>12907</v>
      </c>
      <c r="L4516">
        <v>4.3</v>
      </c>
      <c r="M4516">
        <v>20</v>
      </c>
      <c r="O4516" t="s">
        <v>26</v>
      </c>
      <c r="P4516" t="s">
        <v>39</v>
      </c>
      <c r="Q4516" t="s">
        <v>9582</v>
      </c>
    </row>
    <row r="4517" spans="1:17" ht="15.75" x14ac:dyDescent="0.25">
      <c r="A4517" s="3" t="str">
        <f>HYPERLINK("https://shop.sonapharmacy.com/products/now%C2%AE-bromelain-2400-gdu-g-500mg-capsules-60ct", "https://shop.sonapharmacy.com/products/now%C2%AE-bromelain-2400-gdu-g-500mg-capsules-60ct")</f>
        <v>https://shop.sonapharmacy.com/products/now%C2%AE-bromelain-2400-gdu-g-500mg-capsules-60ct</v>
      </c>
      <c r="B4517" s="3" t="str">
        <f>HYPERLINK("https://shop.sonapharmacy.com/products/now%c2%ae-bromelain-2400-gdu-g-500mg-capsules-60ct", "https://shop.sonapharmacy.com/products/now%c2%ae-bromelain-2400-gdu-g-500mg-capsules-60ct")</f>
        <v>https://shop.sonapharmacy.com/products/now%c2%ae-bromelain-2400-gdu-g-500mg-capsules-60ct</v>
      </c>
      <c r="C4517" t="s">
        <v>12908</v>
      </c>
      <c r="D4517" t="s">
        <v>12909</v>
      </c>
      <c r="E4517" s="3" t="str">
        <f>HYPERLINK("https://www.amazon.com/Bromelain-Vegetable-Pineapple-Digestion-Absorption/dp/B07FDBBZTQ/ref=sr_1_10?keywords=NOW%C2%AE+Bromelain+2400+GDU%2Fg+500mg+Capsules+60ct.&amp;qid=1695260583&amp;rdc=1&amp;sr=8-10", "https://www.amazon.com/Bromelain-Vegetable-Pineapple-Digestion-Absorption/dp/B07FDBBZTQ/ref=sr_1_10?keywords=NOW%C2%AE+Bromelain+2400+GDU%2Fg+500mg+Capsules+60ct.&amp;qid=1695260583&amp;rdc=1&amp;sr=8-10")</f>
        <v>https://www.amazon.com/Bromelain-Vegetable-Pineapple-Digestion-Absorption/dp/B07FDBBZTQ/ref=sr_1_10?keywords=NOW%C2%AE+Bromelain+2400+GDU%2Fg+500mg+Capsules+60ct.&amp;qid=1695260583&amp;rdc=1&amp;sr=8-10</v>
      </c>
      <c r="F4517" t="s">
        <v>12910</v>
      </c>
      <c r="G4517" t="e">
        <f ca="1">IMAGE("https://shop.sonapharmacy.com/cdn/shop/products/710EkiFhFhL._AC_SL1500.jpg?v=1611019920")</f>
        <v>#NAME?</v>
      </c>
      <c r="H4517" t="e">
        <f ca="1">IMAGE("https://m.media-amazon.com/images/I/81bohUn4iCL._AC_UL320_.jpg")</f>
        <v>#NAME?</v>
      </c>
      <c r="I4517" t="s">
        <v>4814</v>
      </c>
      <c r="J4517">
        <v>22.95</v>
      </c>
      <c r="K4517" s="2" t="s">
        <v>12911</v>
      </c>
      <c r="L4517">
        <v>4.5</v>
      </c>
      <c r="M4517">
        <v>445</v>
      </c>
      <c r="O4517" t="s">
        <v>26</v>
      </c>
      <c r="P4517" t="s">
        <v>39</v>
      </c>
      <c r="Q4517" t="s">
        <v>12912</v>
      </c>
    </row>
    <row r="4518" spans="1:17" ht="15.75" x14ac:dyDescent="0.25">
      <c r="A4518" s="3" t="str">
        <f>HYPERLINK("https://shop.sonapharmacy.com/products/mueller%C2%AE-elastic-elbow-support", "https://shop.sonapharmacy.com/products/mueller%C2%AE-elastic-elbow-support")</f>
        <v>https://shop.sonapharmacy.com/products/mueller%C2%AE-elastic-elbow-support</v>
      </c>
      <c r="B4518" s="3" t="str">
        <f>HYPERLINK("https://shop.sonapharmacy.com/products/mueller%c2%ae-elastic-elbow-support", "https://shop.sonapharmacy.com/products/mueller%c2%ae-elastic-elbow-support")</f>
        <v>https://shop.sonapharmacy.com/products/mueller%c2%ae-elastic-elbow-support</v>
      </c>
      <c r="C4518" t="s">
        <v>12787</v>
      </c>
      <c r="D4518" t="s">
        <v>12913</v>
      </c>
      <c r="E4518" s="3" t="str">
        <f>HYPERLINK("https://www.amazon.com/MUELLER-Elastic-Elbow-Support-BLACK/dp/B00WZYOJQU/ref=sr_1_4?keywords=Mueller%C2%AE+Elastic+Elbow+Support&amp;qid=1695260511&amp;sr=8-4", "https://www.amazon.com/MUELLER-Elastic-Elbow-Support-BLACK/dp/B00WZYOJQU/ref=sr_1_4?keywords=Mueller%C2%AE+Elastic+Elbow+Support&amp;qid=1695260511&amp;sr=8-4")</f>
        <v>https://www.amazon.com/MUELLER-Elastic-Elbow-Support-BLACK/dp/B00WZYOJQU/ref=sr_1_4?keywords=Mueller%C2%AE+Elastic+Elbow+Support&amp;qid=1695260511&amp;sr=8-4</v>
      </c>
      <c r="F4518" t="s">
        <v>12914</v>
      </c>
      <c r="G4518" t="e">
        <f ca="1">IMAGE("https://shop.sonapharmacy.com/cdn/shop/products/medium.jpg?v=1609858228")</f>
        <v>#NAME?</v>
      </c>
      <c r="H4518" t="e">
        <f ca="1">IMAGE("https://m.media-amazon.com/images/I/61zGKcT-WwL._AC_UL320_.jpg")</f>
        <v>#NAME?</v>
      </c>
      <c r="I4518" t="s">
        <v>12790</v>
      </c>
      <c r="J4518">
        <v>12.48</v>
      </c>
      <c r="K4518" s="2" t="s">
        <v>12915</v>
      </c>
      <c r="L4518">
        <v>1</v>
      </c>
      <c r="M4518">
        <v>1</v>
      </c>
      <c r="O4518" t="s">
        <v>26</v>
      </c>
      <c r="P4518" t="s">
        <v>39</v>
      </c>
      <c r="Q4518" t="s">
        <v>12792</v>
      </c>
    </row>
    <row r="4519" spans="1:17" ht="15.75" x14ac:dyDescent="0.25">
      <c r="A4519" s="3" t="str">
        <f>HYPERLINK("https://shop.sonapharmacy.com/products/nix-premium-metal-lice-two-sided-comb", "https://shop.sonapharmacy.com/products/nix-premium-metal-lice-two-sided-comb")</f>
        <v>https://shop.sonapharmacy.com/products/nix-premium-metal-lice-two-sided-comb</v>
      </c>
      <c r="B4519" s="3" t="str">
        <f>HYPERLINK("https://shop.sonapharmacy.com/products/nix-premium-metal-lice-two-sided-comb", "https://shop.sonapharmacy.com/products/nix-premium-metal-lice-two-sided-comb")</f>
        <v>https://shop.sonapharmacy.com/products/nix-premium-metal-lice-two-sided-comb</v>
      </c>
      <c r="C4519" t="s">
        <v>9999</v>
      </c>
      <c r="D4519" t="s">
        <v>12916</v>
      </c>
      <c r="E4519" s="3" t="str">
        <f>HYPERLINK("https://www.amazon.com/Nix-Two-Sided-Metal-Comb/dp/B000GCVXUS/ref=sr_1_6?keywords=Nix+Premium+Metal+Lice+Two+Sided+Comb&amp;qid=1695260572&amp;sr=8-6", "https://www.amazon.com/Nix-Two-Sided-Metal-Comb/dp/B000GCVXUS/ref=sr_1_6?keywords=Nix+Premium+Metal+Lice+Two+Sided+Comb&amp;qid=1695260572&amp;sr=8-6")</f>
        <v>https://www.amazon.com/Nix-Two-Sided-Metal-Comb/dp/B000GCVXUS/ref=sr_1_6?keywords=Nix+Premium+Metal+Lice+Two+Sided+Comb&amp;qid=1695260572&amp;sr=8-6</v>
      </c>
      <c r="F4519" t="s">
        <v>12917</v>
      </c>
      <c r="G4519" t="e">
        <f ca="1">IMAGE("https://shop.sonapharmacy.com/cdn/shop/products/6118_WK_7dL._AC_SL1500.jpg?v=1608136365")</f>
        <v>#NAME?</v>
      </c>
      <c r="H4519" t="e">
        <f ca="1">IMAGE("https://m.media-amazon.com/images/I/71W5yowj8uL._AC_UL320_.jpg")</f>
        <v>#NAME?</v>
      </c>
      <c r="I4519" t="s">
        <v>8760</v>
      </c>
      <c r="J4519">
        <v>7.43</v>
      </c>
      <c r="K4519" s="2" t="s">
        <v>12918</v>
      </c>
      <c r="L4519">
        <v>4.2</v>
      </c>
      <c r="M4519">
        <v>57</v>
      </c>
      <c r="O4519" t="s">
        <v>26</v>
      </c>
      <c r="P4519" t="s">
        <v>39</v>
      </c>
      <c r="Q4519" t="s">
        <v>10003</v>
      </c>
    </row>
    <row r="4520" spans="1:17" ht="15.75" x14ac:dyDescent="0.25">
      <c r="A4520" s="3" t="str">
        <f>HYPERLINK("https://shop.sonapharmacy.com/products/band-aid-cushion-care-gauze-pads", "https://shop.sonapharmacy.com/products/band-aid-cushion-care-gauze-pads")</f>
        <v>https://shop.sonapharmacy.com/products/band-aid-cushion-care-gauze-pads</v>
      </c>
      <c r="B4520" s="3" t="str">
        <f>HYPERLINK("https://shop.sonapharmacy.com/products/band-aid-cushion-care-gauze-pads", "https://shop.sonapharmacy.com/products/band-aid-cushion-care-gauze-pads")</f>
        <v>https://shop.sonapharmacy.com/products/band-aid-cushion-care-gauze-pads</v>
      </c>
      <c r="C4520" t="s">
        <v>9012</v>
      </c>
      <c r="D4520" t="s">
        <v>12919</v>
      </c>
      <c r="E4520" s="3" t="str">
        <f>HYPERLINK("https://www.amazon.com/Band-Aid-Sterile-Non-Adhesive-Individually-Wrapped-Medium/dp/B01M0L2L3F/ref=sr_1_1?keywords=BAND-AID%C2%AE+Cushion-Care+Gauze+Pads&amp;qid=1695260110&amp;sr=8-1", "https://www.amazon.com/Band-Aid-Sterile-Non-Adhesive-Individually-Wrapped-Medium/dp/B01M0L2L3F/ref=sr_1_1?keywords=BAND-AID%C2%AE+Cushion-Care+Gauze+Pads&amp;qid=1695260110&amp;sr=8-1")</f>
        <v>https://www.amazon.com/Band-Aid-Sterile-Non-Adhesive-Individually-Wrapped-Medium/dp/B01M0L2L3F/ref=sr_1_1?keywords=BAND-AID%C2%AE+Cushion-Care+Gauze+Pads&amp;qid=1695260110&amp;sr=8-1</v>
      </c>
      <c r="F4520" t="s">
        <v>12920</v>
      </c>
      <c r="G4520" t="e">
        <f ca="1">IMAGE("https://shop.sonapharmacy.com/cdn/shop/products/band_aid_us_pho_pac_18_1_2727067.jpg?v=1607288415")</f>
        <v>#NAME?</v>
      </c>
      <c r="H4520" t="e">
        <f ca="1">IMAGE("https://m.media-amazon.com/images/I/81wl8uKvH1L._AC_UY218_.jpg")</f>
        <v>#NAME?</v>
      </c>
      <c r="I4520" t="s">
        <v>9015</v>
      </c>
      <c r="J4520">
        <v>6.23</v>
      </c>
      <c r="K4520" s="2" t="s">
        <v>12921</v>
      </c>
      <c r="L4520">
        <v>4.7</v>
      </c>
      <c r="M4520">
        <v>8073</v>
      </c>
      <c r="O4520" t="s">
        <v>26</v>
      </c>
      <c r="P4520" t="s">
        <v>39</v>
      </c>
      <c r="Q4520" t="s">
        <v>9017</v>
      </c>
    </row>
    <row r="4521" spans="1:17" ht="15.75" x14ac:dyDescent="0.25">
      <c r="A4521" s="3" t="str">
        <f>HYPERLINK("https://shop.sonapharmacy.com/products/band-aid-cushion-care-gauze-pads", "https://shop.sonapharmacy.com/products/band-aid-cushion-care-gauze-pads")</f>
        <v>https://shop.sonapharmacy.com/products/band-aid-cushion-care-gauze-pads</v>
      </c>
      <c r="B4521" s="3" t="str">
        <f>HYPERLINK("https://shop.sonapharmacy.com/products/band-aid-cushion-care-gauze-pads", "https://shop.sonapharmacy.com/products/band-aid-cushion-care-gauze-pads")</f>
        <v>https://shop.sonapharmacy.com/products/band-aid-cushion-care-gauze-pads</v>
      </c>
      <c r="C4521" t="s">
        <v>9012</v>
      </c>
      <c r="D4521" t="s">
        <v>12922</v>
      </c>
      <c r="E4521" s="3" t="str">
        <f>HYPERLINK("https://www.amazon.com/Band-Aid-Cushion-Non-Stick-Individually-Wrapped-Medium/dp/B00O30HOEI/ref=sr_1_4?keywords=BAND-AID%C2%AE+Cushion-Care+Gauze+Pads&amp;qid=1695260110&amp;sr=8-4", "https://www.amazon.com/Band-Aid-Cushion-Non-Stick-Individually-Wrapped-Medium/dp/B00O30HOEI/ref=sr_1_4?keywords=BAND-AID%C2%AE+Cushion-Care+Gauze+Pads&amp;qid=1695260110&amp;sr=8-4")</f>
        <v>https://www.amazon.com/Band-Aid-Cushion-Non-Stick-Individually-Wrapped-Medium/dp/B00O30HOEI/ref=sr_1_4?keywords=BAND-AID%C2%AE+Cushion-Care+Gauze+Pads&amp;qid=1695260110&amp;sr=8-4</v>
      </c>
      <c r="F4521" t="s">
        <v>12923</v>
      </c>
      <c r="G4521" t="e">
        <f ca="1">IMAGE("https://shop.sonapharmacy.com/cdn/shop/products/band_aid_us_pho_pac_18_1_2727067.jpg?v=1607288415")</f>
        <v>#NAME?</v>
      </c>
      <c r="H4521" t="e">
        <f ca="1">IMAGE("https://m.media-amazon.com/images/I/810VowgPTDL._AC_UY218_.jpg")</f>
        <v>#NAME?</v>
      </c>
      <c r="I4521" t="s">
        <v>9015</v>
      </c>
      <c r="J4521">
        <v>6.23</v>
      </c>
      <c r="K4521" s="2" t="s">
        <v>12921</v>
      </c>
      <c r="L4521">
        <v>4.5</v>
      </c>
      <c r="M4521">
        <v>505</v>
      </c>
      <c r="O4521" t="s">
        <v>26</v>
      </c>
      <c r="P4521" t="s">
        <v>39</v>
      </c>
      <c r="Q4521" t="s">
        <v>9017</v>
      </c>
    </row>
    <row r="4522" spans="1:17" ht="15.75" x14ac:dyDescent="0.25">
      <c r="A4522" s="3" t="str">
        <f>HYPERLINK("https://shop.sonapharmacy.com/products/mederma%C2%AE-advanced-scar-gel", "https://shop.sonapharmacy.com/products/mederma%C2%AE-advanced-scar-gel")</f>
        <v>https://shop.sonapharmacy.com/products/mederma%C2%AE-advanced-scar-gel</v>
      </c>
      <c r="B4522" s="3" t="str">
        <f>HYPERLINK("https://shop.sonapharmacy.com/products/mederma%c2%ae-advanced-scar-gel", "https://shop.sonapharmacy.com/products/mederma%c2%ae-advanced-scar-gel")</f>
        <v>https://shop.sonapharmacy.com/products/mederma%c2%ae-advanced-scar-gel</v>
      </c>
      <c r="C4522" t="s">
        <v>10967</v>
      </c>
      <c r="D4522" t="s">
        <v>12924</v>
      </c>
      <c r="E4522" s="3" t="str">
        <f>HYPERLINK("https://www.amazon.com/Mederma-Advanced-Appearance-Pharmacist-Recommended/dp/B08SS9KJG3/ref=sr_1_2?keywords=Mederma%C2%AE+Advanced+Scar+Gel&amp;qid=1695260461&amp;sr=8-2", "https://www.amazon.com/Mederma-Advanced-Appearance-Pharmacist-Recommended/dp/B08SS9KJG3/ref=sr_1_2?keywords=Mederma%C2%AE+Advanced+Scar+Gel&amp;qid=1695260461&amp;sr=8-2")</f>
        <v>https://www.amazon.com/Mederma-Advanced-Appearance-Pharmacist-Recommended/dp/B08SS9KJG3/ref=sr_1_2?keywords=Mederma%C2%AE+Advanced+Scar+Gel&amp;qid=1695260461&amp;sr=8-2</v>
      </c>
      <c r="F4522" t="s">
        <v>12925</v>
      </c>
      <c r="G4522" t="e">
        <f ca="1">IMAGE("https://shop.sonapharmacy.com/cdn/shop/products/mederma0.70.jpg?v=1607956045")</f>
        <v>#NAME?</v>
      </c>
      <c r="H4522" t="e">
        <f ca="1">IMAGE("https://m.media-amazon.com/images/I/71K73igR0XL._AC_UL320_.jpg")</f>
        <v>#NAME?</v>
      </c>
      <c r="I4522" t="s">
        <v>6011</v>
      </c>
      <c r="J4522">
        <v>28.63</v>
      </c>
      <c r="K4522" s="2" t="s">
        <v>12926</v>
      </c>
      <c r="L4522">
        <v>4.4000000000000004</v>
      </c>
      <c r="M4522">
        <v>7358</v>
      </c>
      <c r="O4522" t="s">
        <v>26</v>
      </c>
      <c r="P4522" t="s">
        <v>39</v>
      </c>
      <c r="Q4522" t="s">
        <v>10971</v>
      </c>
    </row>
    <row r="4523" spans="1:17" ht="15.75" x14ac:dyDescent="0.25">
      <c r="A4523" s="3" t="str">
        <f>HYPERLINK("https://shop.sonapharmacy.com/products/black-elderberry-syrup", "https://shop.sonapharmacy.com/products/black-elderberry-syrup")</f>
        <v>https://shop.sonapharmacy.com/products/black-elderberry-syrup</v>
      </c>
      <c r="B4523" s="3" t="str">
        <f>HYPERLINK("https://shop.sonapharmacy.com/products/black-elderberry-syrup", "https://shop.sonapharmacy.com/products/black-elderberry-syrup")</f>
        <v>https://shop.sonapharmacy.com/products/black-elderberry-syrup</v>
      </c>
      <c r="C4523" t="s">
        <v>12610</v>
      </c>
      <c r="D4523" t="s">
        <v>12927</v>
      </c>
      <c r="E4523" s="3" t="str">
        <f>HYPERLINK("https://www.amazon.com/Gaia-Herbs-Black-Elderberry-Syrup/dp/B00F43LEKS/ref=sr_1_5?keywords=Gaia%C2%AE+Herbs+Black+Elderberry+Syrup&amp;qid=1695260262&amp;sr=8-5", "https://www.amazon.com/Gaia-Herbs-Black-Elderberry-Syrup/dp/B00F43LEKS/ref=sr_1_5?keywords=Gaia%C2%AE+Herbs+Black+Elderberry+Syrup&amp;qid=1695260262&amp;sr=8-5")</f>
        <v>https://www.amazon.com/Gaia-Herbs-Black-Elderberry-Syrup/dp/B00F43LEKS/ref=sr_1_5?keywords=Gaia%C2%AE+Herbs+Black+Elderberry+Syrup&amp;qid=1695260262&amp;sr=8-5</v>
      </c>
      <c r="F4523" t="s">
        <v>12928</v>
      </c>
      <c r="G4523" t="e">
        <f ca="1">IMAGE("https://shop.sonapharmacy.com/cdn/shop/products/61rAyFGkWBL._AC_SL1200.jpg?v=1610559041")</f>
        <v>#NAME?</v>
      </c>
      <c r="H4523" t="e">
        <f ca="1">IMAGE("https://m.media-amazon.com/images/I/71nipzU8EhL._AC_UL320_.jpg")</f>
        <v>#NAME?</v>
      </c>
      <c r="I4523" t="s">
        <v>11374</v>
      </c>
      <c r="J4523">
        <v>27.99</v>
      </c>
      <c r="K4523" s="2" t="s">
        <v>12929</v>
      </c>
      <c r="L4523">
        <v>4.7</v>
      </c>
      <c r="M4523">
        <v>7770</v>
      </c>
      <c r="O4523" t="s">
        <v>26</v>
      </c>
      <c r="P4523" t="s">
        <v>39</v>
      </c>
      <c r="Q4523" t="s">
        <v>12614</v>
      </c>
    </row>
    <row r="4524" spans="1:17" ht="15.75" x14ac:dyDescent="0.25">
      <c r="A4524" s="3" t="str">
        <f>HYPERLINK("https://shop.sonapharmacy.com/products/prilosec-otc%C2%AE-delayed-release-acid-reducer-tablets", "https://shop.sonapharmacy.com/products/prilosec-otc%C2%AE-delayed-release-acid-reducer-tablets")</f>
        <v>https://shop.sonapharmacy.com/products/prilosec-otc%C2%AE-delayed-release-acid-reducer-tablets</v>
      </c>
      <c r="B4524" s="3" t="str">
        <f>HYPERLINK("https://shop.sonapharmacy.com/products/prilosec-otc%c2%ae-delayed-release-acid-reducer-tablets", "https://shop.sonapharmacy.com/products/prilosec-otc%c2%ae-delayed-release-acid-reducer-tablets")</f>
        <v>https://shop.sonapharmacy.com/products/prilosec-otc%c2%ae-delayed-release-acid-reducer-tablets</v>
      </c>
      <c r="C4524" t="s">
        <v>9744</v>
      </c>
      <c r="D4524" t="s">
        <v>12930</v>
      </c>
      <c r="E4524" s="3" t="str">
        <f>HYPERLINK("https://www.amazon.com/GoodSense-Omeprazole-Delayed-Release-Reducer/dp/B00CM2FLWG/ref=sr_1_2?keywords=Prilosec+OTC%C2%AE+Delayed+Release+Acid+Reducer+Tablets&amp;qid=1695260683&amp;sr=8-2", "https://www.amazon.com/GoodSense-Omeprazole-Delayed-Release-Reducer/dp/B00CM2FLWG/ref=sr_1_2?keywords=Prilosec+OTC%C2%AE+Delayed+Release+Acid+Reducer+Tablets&amp;qid=1695260683&amp;sr=8-2")</f>
        <v>https://www.amazon.com/GoodSense-Omeprazole-Delayed-Release-Reducer/dp/B00CM2FLWG/ref=sr_1_2?keywords=Prilosec+OTC%C2%AE+Delayed+Release+Acid+Reducer+Tablets&amp;qid=1695260683&amp;sr=8-2</v>
      </c>
      <c r="F4524" t="s">
        <v>12931</v>
      </c>
      <c r="G4524" t="e">
        <f ca="1">IMAGE("https://shop.sonapharmacy.com/cdn/shop/products/81ogWiPVy2L._AC_SL1500.jpg?v=1611026906")</f>
        <v>#NAME?</v>
      </c>
      <c r="H4524" t="e">
        <f ca="1">IMAGE("https://m.media-amazon.com/images/I/61QFgOl6xpL._AC_UL320_.jpg")</f>
        <v>#NAME?</v>
      </c>
      <c r="I4524" t="s">
        <v>9258</v>
      </c>
      <c r="J4524">
        <v>15.23</v>
      </c>
      <c r="K4524" s="2" t="s">
        <v>4927</v>
      </c>
      <c r="L4524">
        <v>4.7</v>
      </c>
      <c r="M4524">
        <v>11169</v>
      </c>
      <c r="O4524" t="s">
        <v>26</v>
      </c>
      <c r="P4524" t="s">
        <v>39</v>
      </c>
      <c r="Q4524" t="s">
        <v>9748</v>
      </c>
    </row>
    <row r="4525" spans="1:17" ht="15.75" x14ac:dyDescent="0.25">
      <c r="A4525" s="3" t="str">
        <f>HYPERLINK("https://shop.sonapharmacy.com/products/crane%C2%AE-humidifier-demineralization-filter", "https://shop.sonapharmacy.com/products/crane%C2%AE-humidifier-demineralization-filter")</f>
        <v>https://shop.sonapharmacy.com/products/crane%C2%AE-humidifier-demineralization-filter</v>
      </c>
      <c r="B4525" s="3" t="str">
        <f>HYPERLINK("https://shop.sonapharmacy.com/products/crane%c2%ae-humidifier-demineralization-filter", "https://shop.sonapharmacy.com/products/crane%c2%ae-humidifier-demineralization-filter")</f>
        <v>https://shop.sonapharmacy.com/products/crane%c2%ae-humidifier-demineralization-filter</v>
      </c>
      <c r="C4525" t="s">
        <v>10585</v>
      </c>
      <c r="D4525" t="s">
        <v>12932</v>
      </c>
      <c r="E4525" s="3" t="str">
        <f>HYPERLINK("https://www.amazon.com/Demineralization-Ultrasonic-Humidifiers-Cartridges-Replacement/dp/B0B9MGQTXK/ref=sr_1_10?keywords=Crane%C2%AE+Humidifier+Demineralization+Filter&amp;qid=1695260170&amp;sr=8-10", "https://www.amazon.com/Demineralization-Ultrasonic-Humidifiers-Cartridges-Replacement/dp/B0B9MGQTXK/ref=sr_1_10?keywords=Crane%C2%AE+Humidifier+Demineralization+Filter&amp;qid=1695260170&amp;sr=8-10")</f>
        <v>https://www.amazon.com/Demineralization-Ultrasonic-Humidifiers-Cartridges-Replacement/dp/B0B9MGQTXK/ref=sr_1_10?keywords=Crane%C2%AE+Humidifier+Demineralization+Filter&amp;qid=1695260170&amp;sr=8-10</v>
      </c>
      <c r="F4525" t="s">
        <v>12933</v>
      </c>
      <c r="G4525" t="e">
        <f ca="1">IMAGE("https://shop.sonapharmacy.com/cdn/shop/products/84614514782834p.jpg?v=1610908808")</f>
        <v>#NAME?</v>
      </c>
      <c r="H4525" t="e">
        <f ca="1">IMAGE("https://m.media-amazon.com/images/I/81X6zUaVdlL._AC_UY218_.jpg")</f>
        <v>#NAME?</v>
      </c>
      <c r="I4525" t="s">
        <v>4275</v>
      </c>
      <c r="J4525">
        <v>15.99</v>
      </c>
      <c r="K4525" s="2" t="s">
        <v>12934</v>
      </c>
      <c r="L4525">
        <v>4.4000000000000004</v>
      </c>
      <c r="M4525">
        <v>214</v>
      </c>
      <c r="O4525" t="s">
        <v>136</v>
      </c>
      <c r="P4525" t="s">
        <v>39</v>
      </c>
      <c r="Q4525" t="s">
        <v>10589</v>
      </c>
    </row>
    <row r="4526" spans="1:17" ht="15.75" x14ac:dyDescent="0.25">
      <c r="A4526" s="3" t="str">
        <f>HYPERLINK("https://shop.sonapharmacy.com/products/crane%C2%AE-humidifier-demineralization-filter", "https://shop.sonapharmacy.com/products/crane%C2%AE-humidifier-demineralization-filter")</f>
        <v>https://shop.sonapharmacy.com/products/crane%C2%AE-humidifier-demineralization-filter</v>
      </c>
      <c r="B4526" s="3" t="str">
        <f>HYPERLINK("https://shop.sonapharmacy.com/products/crane%c2%ae-humidifier-demineralization-filter", "https://shop.sonapharmacy.com/products/crane%c2%ae-humidifier-demineralization-filter")</f>
        <v>https://shop.sonapharmacy.com/products/crane%c2%ae-humidifier-demineralization-filter</v>
      </c>
      <c r="C4526" t="s">
        <v>10585</v>
      </c>
      <c r="D4526" t="s">
        <v>12935</v>
      </c>
      <c r="E4526" s="3"/>
      <c r="F4526" t="s">
        <v>12936</v>
      </c>
      <c r="G4526" t="e">
        <f ca="1">IMAGE("https://shop.sonapharmacy.com/cdn/shop/products/84614514782834p.jpg?v=1610908808")</f>
        <v>#NAME?</v>
      </c>
      <c r="H4526" t="e">
        <f ca="1">IMAGE("https://m.media-amazon.com/images/I/81EKFFO4DAL._AC_UY218_.jpg")</f>
        <v>#NAME?</v>
      </c>
      <c r="I4526" t="s">
        <v>4275</v>
      </c>
      <c r="J4526">
        <v>15.99</v>
      </c>
      <c r="K4526" s="2" t="s">
        <v>12934</v>
      </c>
      <c r="L4526">
        <v>4.4000000000000004</v>
      </c>
      <c r="M4526">
        <v>512</v>
      </c>
      <c r="O4526" t="s">
        <v>136</v>
      </c>
      <c r="P4526" t="s">
        <v>39</v>
      </c>
      <c r="Q4526" t="s">
        <v>10589</v>
      </c>
    </row>
    <row r="4527" spans="1:17" ht="15.75" x14ac:dyDescent="0.25">
      <c r="A4527"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B4527"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C4527" t="s">
        <v>9322</v>
      </c>
      <c r="D4527" t="s">
        <v>12937</v>
      </c>
      <c r="E4527" s="3" t="str">
        <f>HYPERLINK("https://www.amazon.com/Osteo-Bi-Flex-Strength-Vitamin-Tablets/dp/B077BCXWMR/ref=sr_1_7?keywords=Osteo+Bi-Flex+Joint+Health+Triple+Strength+Supplement+Tablets&amp;qid=1695260695&amp;sr=8-7", "https://www.amazon.com/Osteo-Bi-Flex-Strength-Vitamin-Tablets/dp/B077BCXWMR/ref=sr_1_7?keywords=Osteo+Bi-Flex+Joint+Health+Triple+Strength+Supplement+Tablets&amp;qid=1695260695&amp;sr=8-7")</f>
        <v>https://www.amazon.com/Osteo-Bi-Flex-Strength-Vitamin-Tablets/dp/B077BCXWMR/ref=sr_1_7?keywords=Osteo+Bi-Flex+Joint+Health+Triple+Strength+Supplement+Tablets&amp;qid=1695260695&amp;sr=8-7</v>
      </c>
      <c r="F4527" t="s">
        <v>12938</v>
      </c>
      <c r="G4527" t="e">
        <f ca="1">IMAGE("https://shop.sonapharmacy.com/cdn/shop/products/osteobiflextriplestrengthresized.jpg?v=1592492653")</f>
        <v>#NAME?</v>
      </c>
      <c r="H4527" t="e">
        <f ca="1">IMAGE("https://m.media-amazon.com/images/I/71SSxXSfDyL._AC_UL320_.jpg")</f>
        <v>#NAME?</v>
      </c>
      <c r="I4527" t="s">
        <v>9325</v>
      </c>
      <c r="J4527">
        <v>38.99</v>
      </c>
      <c r="K4527" s="2" t="s">
        <v>12939</v>
      </c>
      <c r="L4527">
        <v>4.7</v>
      </c>
      <c r="M4527">
        <v>37</v>
      </c>
      <c r="O4527" t="s">
        <v>26</v>
      </c>
      <c r="P4527" t="s">
        <v>39</v>
      </c>
      <c r="Q4527" t="s">
        <v>9327</v>
      </c>
    </row>
    <row r="4528" spans="1:17" ht="15.75" x14ac:dyDescent="0.25">
      <c r="A4528" s="3" t="str">
        <f>HYPERLINK("https://shop.sonapharmacy.com/products/lemon-eucalyptus-essential-oil-5-oz", "https://shop.sonapharmacy.com/products/lemon-eucalyptus-essential-oil-5-oz")</f>
        <v>https://shop.sonapharmacy.com/products/lemon-eucalyptus-essential-oil-5-oz</v>
      </c>
      <c r="B4528" s="3" t="str">
        <f>HYPERLINK("https://shop.sonapharmacy.com/products/lemon-eucalyptus-essential-oil-5-oz", "https://shop.sonapharmacy.com/products/lemon-eucalyptus-essential-oil-5-oz")</f>
        <v>https://shop.sonapharmacy.com/products/lemon-eucalyptus-essential-oil-5-oz</v>
      </c>
      <c r="C4528" t="s">
        <v>8414</v>
      </c>
      <c r="D4528" t="s">
        <v>12940</v>
      </c>
      <c r="E4528" s="3" t="str">
        <f>HYPERLINK("https://www.amazon.com/Aura-Cacia-Essential-Lemon-Eucalyptus/dp/B00020HNG2/ref=sr_1_2?keywords=Aura+Cacia+Lemon+Eucalyptus+Essential+Oil+0.5+oz.&amp;qid=1695260029&amp;sr=8-2", "https://www.amazon.com/Aura-Cacia-Essential-Lemon-Eucalyptus/dp/B00020HNG2/ref=sr_1_2?keywords=Aura+Cacia+Lemon+Eucalyptus+Essential+Oil+0.5+oz.&amp;qid=1695260029&amp;sr=8-2")</f>
        <v>https://www.amazon.com/Aura-Cacia-Essential-Lemon-Eucalyptus/dp/B00020HNG2/ref=sr_1_2?keywords=Aura+Cacia+Lemon+Eucalyptus+Essential+Oil+0.5+oz.&amp;qid=1695260029&amp;sr=8-2</v>
      </c>
      <c r="F4528" t="s">
        <v>12941</v>
      </c>
      <c r="G4528" t="e">
        <f ca="1">IMAGE("https://shop.sonapharmacy.com/cdn/shop/products/1_aura-cacia-lemon-eucalyptus-191285-front.jpg?v=1609358391")</f>
        <v>#NAME?</v>
      </c>
      <c r="H4528" t="e">
        <f ca="1">IMAGE("https://m.media-amazon.com/images/I/61u5Vn6C6nL._AC_UL320_.jpg")</f>
        <v>#NAME?</v>
      </c>
      <c r="I4528" t="s">
        <v>8417</v>
      </c>
      <c r="J4528">
        <v>7.14</v>
      </c>
      <c r="K4528" s="2" t="s">
        <v>12942</v>
      </c>
      <c r="L4528">
        <v>4.5</v>
      </c>
      <c r="M4528">
        <v>107</v>
      </c>
      <c r="O4528" t="s">
        <v>26</v>
      </c>
      <c r="P4528" t="s">
        <v>39</v>
      </c>
      <c r="Q4528" t="s">
        <v>8419</v>
      </c>
    </row>
    <row r="4529" spans="1:17" ht="15.75" x14ac:dyDescent="0.25">
      <c r="A4529" s="3" t="str">
        <f>HYPERLINK("https://shop.sonapharmacy.com/products/sona-buffered-c-capsules", "https://shop.sonapharmacy.com/products/sona-buffered-c-capsules")</f>
        <v>https://shop.sonapharmacy.com/products/sona-buffered-c-capsules</v>
      </c>
      <c r="B4529" s="3" t="str">
        <f>HYPERLINK("https://shop.sonapharmacy.com/products/sona-buffered-c-capsules", "https://shop.sonapharmacy.com/products/sona-buffered-c-capsules")</f>
        <v>https://shop.sonapharmacy.com/products/sona-buffered-c-capsules</v>
      </c>
      <c r="C4529" t="s">
        <v>11624</v>
      </c>
      <c r="D4529" t="s">
        <v>12943</v>
      </c>
      <c r="E4529" s="3" t="str">
        <f>HYPERLINK("https://www.amazon.com/Natures-Way-Buffered-Ascorbates-Capsules/dp/B00020HQGE/ref=sr_1_9?keywords=Sona+Buffered+C+Capsules&amp;qid=1695260718&amp;sr=8-9", "https://www.amazon.com/Natures-Way-Buffered-Ascorbates-Capsules/dp/B00020HQGE/ref=sr_1_9?keywords=Sona+Buffered+C+Capsules&amp;qid=1695260718&amp;sr=8-9")</f>
        <v>https://www.amazon.com/Natures-Way-Buffered-Ascorbates-Capsules/dp/B00020HQGE/ref=sr_1_9?keywords=Sona+Buffered+C+Capsules&amp;qid=1695260718&amp;sr=8-9</v>
      </c>
      <c r="F4529" t="s">
        <v>12944</v>
      </c>
      <c r="G4529" t="e">
        <f ca="1">IMAGE("https://shop.sonapharmacy.com/cdn/shop/files/BufferedC_SonaShop.jpg?v=1692370201")</f>
        <v>#NAME?</v>
      </c>
      <c r="H4529" t="e">
        <f ca="1">IMAGE("https://m.media-amazon.com/images/I/61LkoEDszHL._AC_UL320_.jpg")</f>
        <v>#NAME?</v>
      </c>
      <c r="I4529" t="s">
        <v>11627</v>
      </c>
      <c r="J4529">
        <v>24.99</v>
      </c>
      <c r="K4529" s="2" t="s">
        <v>3927</v>
      </c>
      <c r="L4529">
        <v>4.5999999999999996</v>
      </c>
      <c r="M4529">
        <v>181</v>
      </c>
      <c r="O4529" t="s">
        <v>26</v>
      </c>
      <c r="P4529" t="s">
        <v>39</v>
      </c>
      <c r="Q4529" t="s">
        <v>11629</v>
      </c>
    </row>
    <row r="4530" spans="1:17" ht="15.75" x14ac:dyDescent="0.25">
      <c r="A4530" s="3" t="str">
        <f>HYPERLINK("https://shop.sonapharmacy.com/products/mederma%C2%AE-advanced-scar-gel", "https://shop.sonapharmacy.com/products/mederma%C2%AE-advanced-scar-gel")</f>
        <v>https://shop.sonapharmacy.com/products/mederma%C2%AE-advanced-scar-gel</v>
      </c>
      <c r="B4530" s="3" t="str">
        <f>HYPERLINK("https://shop.sonapharmacy.com/products/mederma%c2%ae-advanced-scar-gel", "https://shop.sonapharmacy.com/products/mederma%c2%ae-advanced-scar-gel")</f>
        <v>https://shop.sonapharmacy.com/products/mederma%c2%ae-advanced-scar-gel</v>
      </c>
      <c r="C4530" t="s">
        <v>10967</v>
      </c>
      <c r="D4530" t="s">
        <v>12945</v>
      </c>
      <c r="E4530" s="3" t="str">
        <f>HYPERLINK("https://www.amazon.com/Mederma-Advanced-Scar-Gel-76/dp/B014EWENAW/ref=sr_1_7?keywords=Mederma%C2%AE+Advanced+Scar+Gel&amp;qid=1695260461&amp;sr=8-7", "https://www.amazon.com/Mederma-Advanced-Scar-Gel-76/dp/B014EWENAW/ref=sr_1_7?keywords=Mederma%C2%AE+Advanced+Scar+Gel&amp;qid=1695260461&amp;sr=8-7")</f>
        <v>https://www.amazon.com/Mederma-Advanced-Scar-Gel-76/dp/B014EWENAW/ref=sr_1_7?keywords=Mederma%C2%AE+Advanced+Scar+Gel&amp;qid=1695260461&amp;sr=8-7</v>
      </c>
      <c r="F4530" t="s">
        <v>12946</v>
      </c>
      <c r="G4530" t="e">
        <f ca="1">IMAGE("https://shop.sonapharmacy.com/cdn/shop/products/mederma0.70.jpg?v=1607956045")</f>
        <v>#NAME?</v>
      </c>
      <c r="H4530" t="e">
        <f ca="1">IMAGE("https://m.media-amazon.com/images/I/61zLBs9kJ9S._AC_UL320_.jpg")</f>
        <v>#NAME?</v>
      </c>
      <c r="I4530" t="s">
        <v>6011</v>
      </c>
      <c r="J4530">
        <v>28.5</v>
      </c>
      <c r="K4530" s="2" t="s">
        <v>12947</v>
      </c>
      <c r="L4530">
        <v>4.4000000000000004</v>
      </c>
      <c r="M4530">
        <v>242</v>
      </c>
      <c r="O4530" t="s">
        <v>26</v>
      </c>
      <c r="P4530" t="s">
        <v>39</v>
      </c>
      <c r="Q4530" t="s">
        <v>10971</v>
      </c>
    </row>
    <row r="4531" spans="1:17" ht="15.75" x14ac:dyDescent="0.25">
      <c r="A4531" s="3" t="str">
        <f>HYPERLINK("https://shop.sonapharmacy.com/products/mueller%C2%AE-cold-hot-therapy-wrap-large", "https://shop.sonapharmacy.com/products/mueller%C2%AE-cold-hot-therapy-wrap-large")</f>
        <v>https://shop.sonapharmacy.com/products/mueller%C2%AE-cold-hot-therapy-wrap-large</v>
      </c>
      <c r="B4531" s="3" t="str">
        <f>HYPERLINK("https://shop.sonapharmacy.com/products/mueller%c2%ae-cold-hot-therapy-wrap-large", "https://shop.sonapharmacy.com/products/mueller%c2%ae-cold-hot-therapy-wrap-large")</f>
        <v>https://shop.sonapharmacy.com/products/mueller%c2%ae-cold-hot-therapy-wrap-large</v>
      </c>
      <c r="C4531" t="s">
        <v>12781</v>
      </c>
      <c r="D4531" t="s">
        <v>12948</v>
      </c>
      <c r="E4531" s="3" t="str">
        <f>HYPERLINK("https://www.amazon.com/Ice-Pack-2-Piece-Set-Alleviate/dp/B01IKS0ANK/ref=sr_1_4?keywords=Mueller%C2%AE+Cold-Hot+Therapy+Wrap&amp;qid=1695260545&amp;sr=8-4", "https://www.amazon.com/Ice-Pack-2-Piece-Set-Alleviate/dp/B01IKS0ANK/ref=sr_1_4?keywords=Mueller%C2%AE+Cold-Hot+Therapy+Wrap&amp;qid=1695260545&amp;sr=8-4")</f>
        <v>https://www.amazon.com/Ice-Pack-2-Piece-Set-Alleviate/dp/B01IKS0ANK/ref=sr_1_4?keywords=Mueller%C2%AE+Cold-Hot+Therapy+Wrap&amp;qid=1695260545&amp;sr=8-4</v>
      </c>
      <c r="F4531" t="s">
        <v>12949</v>
      </c>
      <c r="G4531" t="e">
        <f ca="1">IMAGE("https://shop.sonapharmacy.com/cdn/shop/products/31591_1000x1000-pad.jpg?v=1609861202")</f>
        <v>#NAME?</v>
      </c>
      <c r="H4531" t="e">
        <f ca="1">IMAGE("https://m.media-amazon.com/images/I/A1vR7ERJ90S._AC_UL320_.jpg")</f>
        <v>#NAME?</v>
      </c>
      <c r="I4531" t="s">
        <v>12784</v>
      </c>
      <c r="J4531">
        <v>16.95</v>
      </c>
      <c r="K4531" s="2" t="s">
        <v>12950</v>
      </c>
      <c r="L4531">
        <v>4.5999999999999996</v>
      </c>
      <c r="M4531">
        <v>21282</v>
      </c>
      <c r="O4531" t="s">
        <v>26</v>
      </c>
      <c r="P4531" t="s">
        <v>39</v>
      </c>
      <c r="Q4531" t="s">
        <v>12786</v>
      </c>
    </row>
    <row r="4532" spans="1:17" ht="15.75" x14ac:dyDescent="0.25">
      <c r="A4532" s="3" t="str">
        <f>HYPERLINK("https://shop.sonapharmacy.com/products/nature-made-mens-multi-50", "https://shop.sonapharmacy.com/products/nature-made-mens-multi-50")</f>
        <v>https://shop.sonapharmacy.com/products/nature-made-mens-multi-50</v>
      </c>
      <c r="B4532" s="3" t="str">
        <f>HYPERLINK("https://shop.sonapharmacy.com/products/nature-made-mens-multi-50", "https://shop.sonapharmacy.com/products/nature-made-mens-multi-50")</f>
        <v>https://shop.sonapharmacy.com/products/nature-made-mens-multi-50</v>
      </c>
      <c r="C4532" t="s">
        <v>12951</v>
      </c>
      <c r="D4532" t="s">
        <v>12952</v>
      </c>
      <c r="E4532" s="3" t="str">
        <f>HYPERLINK("https://www.amazon.com/Nature-Made-Multi-Him-Tablets/dp/B010RS069O/ref=sr_1_6?keywords=Nature+Made%C2%AE+Men%27s+Multi+50%2B+Tablets+90ct.&amp;qid=1695260578&amp;sr=8-6", "https://www.amazon.com/Nature-Made-Multi-Him-Tablets/dp/B010RS069O/ref=sr_1_6?keywords=Nature+Made%C2%AE+Men%27s+Multi+50%2B+Tablets+90ct.&amp;qid=1695260578&amp;sr=8-6")</f>
        <v>https://www.amazon.com/Nature-Made-Multi-Him-Tablets/dp/B010RS069O/ref=sr_1_6?keywords=Nature+Made%C2%AE+Men%27s+Multi+50%2B+Tablets+90ct.&amp;qid=1695260578&amp;sr=8-6</v>
      </c>
      <c r="F4532" t="s">
        <v>12953</v>
      </c>
      <c r="G4532" t="e">
        <f ca="1">IMAGE("https://shop.sonapharmacy.com/cdn/shop/products/71zX2KC67_L._AC_SL1500__1.jpg?v=1610049005")</f>
        <v>#NAME?</v>
      </c>
      <c r="H4532" t="e">
        <f ca="1">IMAGE("https://m.media-amazon.com/images/I/71S3MR2mQpL._AC_UL320_.jpg")</f>
        <v>#NAME?</v>
      </c>
      <c r="I4532" t="s">
        <v>12954</v>
      </c>
      <c r="J4532">
        <v>15.79</v>
      </c>
      <c r="K4532" s="2" t="s">
        <v>12955</v>
      </c>
      <c r="L4532">
        <v>4.5999999999999996</v>
      </c>
      <c r="M4532">
        <v>430</v>
      </c>
      <c r="O4532" t="s">
        <v>26</v>
      </c>
      <c r="P4532" t="s">
        <v>39</v>
      </c>
      <c r="Q4532" t="s">
        <v>12956</v>
      </c>
    </row>
    <row r="4533" spans="1:17" ht="15.75" x14ac:dyDescent="0.25">
      <c r="A4533" s="3" t="str">
        <f>HYPERLINK("https://shop.sonapharmacy.com/products/rid%C2%AE-lice-treatment-complete-kit", "https://shop.sonapharmacy.com/products/rid%C2%AE-lice-treatment-complete-kit")</f>
        <v>https://shop.sonapharmacy.com/products/rid%C2%AE-lice-treatment-complete-kit</v>
      </c>
      <c r="B4533" s="3" t="str">
        <f>HYPERLINK("https://shop.sonapharmacy.com/products/rid%c2%ae-lice-treatment-complete-kit", "https://shop.sonapharmacy.com/products/rid%c2%ae-lice-treatment-complete-kit")</f>
        <v>https://shop.sonapharmacy.com/products/rid%c2%ae-lice-treatment-complete-kit</v>
      </c>
      <c r="C4533" t="s">
        <v>12957</v>
      </c>
      <c r="D4533" t="s">
        <v>12958</v>
      </c>
      <c r="E4533" s="3" t="str">
        <f>HYPERLINK("https://www.amazon.com/Lice-Guaranteed-Lice-Safe-Non-Toxic-Pesticide-Free/dp/B073C2685B/ref=sr_1_5?keywords=RID%C2%AE+Lice+Treatment+Complete+Kit&amp;qid=1695260700&amp;sr=8-5", "https://www.amazon.com/Lice-Guaranteed-Lice-Safe-Non-Toxic-Pesticide-Free/dp/B073C2685B/ref=sr_1_5?keywords=RID%C2%AE+Lice+Treatment+Complete+Kit&amp;qid=1695260700&amp;sr=8-5")</f>
        <v>https://www.amazon.com/Lice-Guaranteed-Lice-Safe-Non-Toxic-Pesticide-Free/dp/B073C2685B/ref=sr_1_5?keywords=RID%C2%AE+Lice+Treatment+Complete+Kit&amp;qid=1695260700&amp;sr=8-5</v>
      </c>
      <c r="F4533" t="s">
        <v>12959</v>
      </c>
      <c r="G4533" t="e">
        <f ca="1">IMAGE("https://shop.sonapharmacy.com/cdn/shop/products/f85f9910-42b0-4ec1-b8d9-5ec8ecc309b2_3.47326398bc37beb5484605a87a646c1f.jpg?v=1608138919")</f>
        <v>#NAME?</v>
      </c>
      <c r="H4533" t="e">
        <f ca="1">IMAGE("https://m.media-amazon.com/images/I/617bURBJCyL._AC_UL320_.jpg")</f>
        <v>#NAME?</v>
      </c>
      <c r="I4533" t="s">
        <v>12960</v>
      </c>
      <c r="J4533">
        <v>29.77</v>
      </c>
      <c r="K4533" s="2" t="s">
        <v>12961</v>
      </c>
      <c r="L4533">
        <v>4.3</v>
      </c>
      <c r="M4533">
        <v>8764</v>
      </c>
      <c r="O4533" t="s">
        <v>26</v>
      </c>
      <c r="P4533" t="s">
        <v>39</v>
      </c>
      <c r="Q4533" t="s">
        <v>12962</v>
      </c>
    </row>
    <row r="4534" spans="1:17" ht="15.75" x14ac:dyDescent="0.25">
      <c r="A4534" s="3" t="str">
        <f>HYPERLINK("https://shop.sonapharmacy.com/products/mueller%C2%AE-adjustable-knee-support-one-size", "https://shop.sonapharmacy.com/products/mueller%C2%AE-adjustable-knee-support-one-size")</f>
        <v>https://shop.sonapharmacy.com/products/mueller%C2%AE-adjustable-knee-support-one-size</v>
      </c>
      <c r="B4534" s="3" t="str">
        <f>HYPERLINK("https://shop.sonapharmacy.com/products/mueller%c2%ae-adjustable-knee-support-one-size", "https://shop.sonapharmacy.com/products/mueller%c2%ae-adjustable-knee-support-one-size")</f>
        <v>https://shop.sonapharmacy.com/products/mueller%c2%ae-adjustable-knee-support-one-size</v>
      </c>
      <c r="C4534" t="s">
        <v>11984</v>
      </c>
      <c r="D4534" t="s">
        <v>12963</v>
      </c>
      <c r="E4534" s="3" t="str">
        <f>HYPERLINK("https://www.amazon.com/Mueller-Knee-Strap-Black-Size/dp/B002WS49FA/ref=sr_1_5?keywords=Mueller%C2%AE+Adjustable+Knee+Support+One+Size&amp;qid=1695260508&amp;sr=8-5", "https://www.amazon.com/Mueller-Knee-Strap-Black-Size/dp/B002WS49FA/ref=sr_1_5?keywords=Mueller%C2%AE+Adjustable+Knee+Support+One+Size&amp;qid=1695260508&amp;sr=8-5")</f>
        <v>https://www.amazon.com/Mueller-Knee-Strap-Black-Size/dp/B002WS49FA/ref=sr_1_5?keywords=Mueller%C2%AE+Adjustable+Knee+Support+One+Size&amp;qid=1695260508&amp;sr=8-5</v>
      </c>
      <c r="F4534" t="s">
        <v>12964</v>
      </c>
      <c r="G4534" t="e">
        <f ca="1">IMAGE("https://shop.sonapharmacy.com/cdn/shop/products/mueller-fitness-mueller-adjustable-knee-support-with-straps-black_1000x1000_2b28ef4c-e541-48d6-b63b-f578210ad0f6.jpg?v=1609863349")</f>
        <v>#NAME?</v>
      </c>
      <c r="H4534" t="e">
        <f ca="1">IMAGE("https://m.media-amazon.com/images/I/61UCw9gGqtL._AC_UL320_.jpg")</f>
        <v>#NAME?</v>
      </c>
      <c r="I4534" t="s">
        <v>11987</v>
      </c>
      <c r="J4534">
        <v>17.77</v>
      </c>
      <c r="K4534" s="2" t="s">
        <v>12965</v>
      </c>
      <c r="L4534">
        <v>4.3</v>
      </c>
      <c r="M4534">
        <v>2371</v>
      </c>
      <c r="O4534" t="s">
        <v>26</v>
      </c>
      <c r="P4534" t="s">
        <v>39</v>
      </c>
      <c r="Q4534" t="s">
        <v>11989</v>
      </c>
    </row>
    <row r="4535" spans="1:17" ht="15.75" x14ac:dyDescent="0.25">
      <c r="A4535" s="3" t="str">
        <f>HYPERLINK("https://shop.sonapharmacy.com/products/contour-next-ez-meter", "https://shop.sonapharmacy.com/products/contour-next-ez-meter")</f>
        <v>https://shop.sonapharmacy.com/products/contour-next-ez-meter</v>
      </c>
      <c r="B4535" s="3" t="str">
        <f>HYPERLINK("https://shop.sonapharmacy.com/products/contour-next-ez-meter", "https://shop.sonapharmacy.com/products/contour-next-ez-meter")</f>
        <v>https://shop.sonapharmacy.com/products/contour-next-ez-meter</v>
      </c>
      <c r="C4535" t="s">
        <v>9806</v>
      </c>
      <c r="D4535" t="s">
        <v>12966</v>
      </c>
      <c r="E4535" s="3" t="str">
        <f>HYPERLINK("https://www.amazon.com/Washinglee-Diabetes-Glucose-Contour-Didget/dp/B07HRKK15G/ref=sr_1_9?keywords=Contour%C2%AE+Next+EZ+Meter&amp;qid=1695260151&amp;sr=8-9", "https://www.amazon.com/Washinglee-Diabetes-Glucose-Contour-Didget/dp/B07HRKK15G/ref=sr_1_9?keywords=Contour%C2%AE+Next+EZ+Meter&amp;qid=1695260151&amp;sr=8-9")</f>
        <v>https://www.amazon.com/Washinglee-Diabetes-Glucose-Contour-Didget/dp/B07HRKK15G/ref=sr_1_9?keywords=Contour%C2%AE+Next+EZ+Meter&amp;qid=1695260151&amp;sr=8-9</v>
      </c>
      <c r="F4535" t="s">
        <v>12967</v>
      </c>
      <c r="G4535" t="e">
        <f ca="1">IMAGE("https://shop.sonapharmacy.com/cdn/shop/products/ContourNextEZMeter.jpg?v=1594302465")</f>
        <v>#NAME?</v>
      </c>
      <c r="H4535" t="e">
        <f ca="1">IMAGE("https://m.media-amazon.com/images/I/71ThexJYv2L._AC_UL320_.jpg")</f>
        <v>#NAME?</v>
      </c>
      <c r="I4535" t="s">
        <v>9809</v>
      </c>
      <c r="J4535">
        <v>24.99</v>
      </c>
      <c r="K4535" s="2" t="s">
        <v>12968</v>
      </c>
      <c r="L4535">
        <v>4.4000000000000004</v>
      </c>
      <c r="M4535">
        <v>41</v>
      </c>
      <c r="O4535" t="s">
        <v>26</v>
      </c>
      <c r="P4535" t="s">
        <v>39</v>
      </c>
      <c r="Q4535" t="s">
        <v>9811</v>
      </c>
    </row>
    <row r="4536" spans="1:17" ht="15.75" x14ac:dyDescent="0.25">
      <c r="A4536" s="3" t="str">
        <f>HYPERLINK("https://shop.sonapharmacy.com/products/infrared-forehead-thermometer", "https://shop.sonapharmacy.com/products/infrared-forehead-thermometer")</f>
        <v>https://shop.sonapharmacy.com/products/infrared-forehead-thermometer</v>
      </c>
      <c r="B4536" s="3" t="str">
        <f>HYPERLINK("https://shop.sonapharmacy.com/products/infrared-forehead-thermometer", "https://shop.sonapharmacy.com/products/infrared-forehead-thermometer")</f>
        <v>https://shop.sonapharmacy.com/products/infrared-forehead-thermometer</v>
      </c>
      <c r="C4536" t="s">
        <v>12969</v>
      </c>
      <c r="D4536" t="s">
        <v>12970</v>
      </c>
      <c r="E4536" s="3"/>
      <c r="F4536" t="s">
        <v>12971</v>
      </c>
      <c r="G4536" t="e">
        <f ca="1">IMAGE("https://shop.sonapharmacy.com/cdn/shop/products/SejoyFront.png?v=1606237498")</f>
        <v>#NAME?</v>
      </c>
      <c r="H4536" t="e">
        <f ca="1">IMAGE("https://m.media-amazon.com/images/I/71G6TqoPNiL._AC_UL320_.jpg")</f>
        <v>#NAME?</v>
      </c>
      <c r="I4536" t="s">
        <v>12972</v>
      </c>
      <c r="J4536">
        <v>49.75</v>
      </c>
      <c r="K4536" s="2" t="s">
        <v>12973</v>
      </c>
      <c r="L4536">
        <v>4.5</v>
      </c>
      <c r="M4536">
        <v>10428</v>
      </c>
      <c r="O4536" t="s">
        <v>26</v>
      </c>
      <c r="P4536" t="s">
        <v>39</v>
      </c>
      <c r="Q4536" t="s">
        <v>12974</v>
      </c>
    </row>
    <row r="4537" spans="1:17" ht="15.75" x14ac:dyDescent="0.25">
      <c r="A4537" s="3" t="str">
        <f>HYPERLINK("https://shop.sonapharmacy.com/products/nova%C2%AE-male-urinal-with-cover", "https://shop.sonapharmacy.com/products/nova%C2%AE-male-urinal-with-cover")</f>
        <v>https://shop.sonapharmacy.com/products/nova%C2%AE-male-urinal-with-cover</v>
      </c>
      <c r="B4537" s="3" t="str">
        <f>HYPERLINK("https://shop.sonapharmacy.com/products/nova%c2%ae-male-urinal-with-cover", "https://shop.sonapharmacy.com/products/nova%c2%ae-male-urinal-with-cover")</f>
        <v>https://shop.sonapharmacy.com/products/nova%c2%ae-male-urinal-with-cover</v>
      </c>
      <c r="C4537" t="s">
        <v>9545</v>
      </c>
      <c r="D4537" t="s">
        <v>12975</v>
      </c>
      <c r="E4537" s="3" t="str">
        <f>HYPERLINK("https://www.amazon.com/McKesson-Male-Urinal-oz-White/dp/B08BG4D3JF/ref=sr_1_2?keywords=Nova%C2%AE+Male+Urinal+with+Cover&amp;qid=1695260595&amp;sr=8-2", "https://www.amazon.com/McKesson-Male-Urinal-oz-White/dp/B08BG4D3JF/ref=sr_1_2?keywords=Nova%C2%AE+Male+Urinal+with+Cover&amp;qid=1695260595&amp;sr=8-2")</f>
        <v>https://www.amazon.com/McKesson-Male-Urinal-oz-White/dp/B08BG4D3JF/ref=sr_1_2?keywords=Nova%C2%AE+Male+Urinal+with+Cover&amp;qid=1695260595&amp;sr=8-2</v>
      </c>
      <c r="F4537" t="s">
        <v>12976</v>
      </c>
      <c r="G4537" t="e">
        <f ca="1">IMAGE("https://shop.sonapharmacy.com/cdn/shop/products/51W9mKzt_KL._AC_SL1500.jpg?v=1611079643")</f>
        <v>#NAME?</v>
      </c>
      <c r="H4537" t="e">
        <f ca="1">IMAGE("https://m.media-amazon.com/images/I/71z93bQyQ+L._AC_UL320_.jpg")</f>
        <v>#NAME?</v>
      </c>
      <c r="I4537" t="s">
        <v>9548</v>
      </c>
      <c r="J4537">
        <v>11.86</v>
      </c>
      <c r="K4537" s="2" t="s">
        <v>12973</v>
      </c>
      <c r="L4537">
        <v>4.5999999999999996</v>
      </c>
      <c r="M4537">
        <v>45</v>
      </c>
      <c r="O4537" t="s">
        <v>26</v>
      </c>
      <c r="P4537" t="s">
        <v>39</v>
      </c>
      <c r="Q4537" t="s">
        <v>9550</v>
      </c>
    </row>
    <row r="4538" spans="1:17" ht="15.75" x14ac:dyDescent="0.25">
      <c r="A4538" s="3" t="str">
        <f>HYPERLINK("https://shop.sonapharmacy.com/products/nexcare-tegaderm", "https://shop.sonapharmacy.com/products/nexcare-tegaderm")</f>
        <v>https://shop.sonapharmacy.com/products/nexcare-tegaderm</v>
      </c>
      <c r="B4538" s="3" t="str">
        <f>HYPERLINK("https://shop.sonapharmacy.com/products/nexcare-tegaderm", "https://shop.sonapharmacy.com/products/nexcare-tegaderm")</f>
        <v>https://shop.sonapharmacy.com/products/nexcare-tegaderm</v>
      </c>
      <c r="C4538" t="s">
        <v>11243</v>
      </c>
      <c r="D4538" t="s">
        <v>12977</v>
      </c>
      <c r="E4538" s="3" t="str">
        <f>HYPERLINK("https://www.amazon.com/Nexcare-Tegaderm-Waterproof-Transparent-Dressing/dp/B073SYY2WN/ref=sr_1_10?keywords=Nexcare+Tegaderm&amp;qid=1695260581&amp;sr=8-10", "https://www.amazon.com/Nexcare-Tegaderm-Waterproof-Transparent-Dressing/dp/B073SYY2WN/ref=sr_1_10?keywords=Nexcare+Tegaderm&amp;qid=1695260581&amp;sr=8-10")</f>
        <v>https://www.amazon.com/Nexcare-Tegaderm-Waterproof-Transparent-Dressing/dp/B073SYY2WN/ref=sr_1_10?keywords=Nexcare+Tegaderm&amp;qid=1695260581&amp;sr=8-10</v>
      </c>
      <c r="F4538" t="s">
        <v>12978</v>
      </c>
      <c r="G4538" t="e">
        <f ca="1">IMAGE("https://shop.sonapharmacy.com/cdn/shop/products/us-h1626-tegaderm-waterproof-transparent-dressing.jpg?v=1607203084")</f>
        <v>#NAME?</v>
      </c>
      <c r="H4538" t="e">
        <f ca="1">IMAGE("https://m.media-amazon.com/images/I/71YXLKLcRIL._AC_UL320_.jpg")</f>
        <v>#NAME?</v>
      </c>
      <c r="I4538" t="s">
        <v>11246</v>
      </c>
      <c r="J4538">
        <v>23.28</v>
      </c>
      <c r="K4538" s="2" t="s">
        <v>5475</v>
      </c>
      <c r="L4538">
        <v>5</v>
      </c>
      <c r="M4538">
        <v>15</v>
      </c>
      <c r="O4538" t="s">
        <v>26</v>
      </c>
      <c r="P4538" t="s">
        <v>39</v>
      </c>
      <c r="Q4538" t="s">
        <v>11248</v>
      </c>
    </row>
    <row r="4539" spans="1:17" ht="15.75" x14ac:dyDescent="0.25">
      <c r="A4539" s="3" t="str">
        <f>HYPERLINK("https://shop.sonapharmacy.com/products/sunbum%C2%AE-original-spf-30-sunscreen-lip-balm", "https://shop.sonapharmacy.com/products/sunbum%C2%AE-original-spf-30-sunscreen-lip-balm")</f>
        <v>https://shop.sonapharmacy.com/products/sunbum%C2%AE-original-spf-30-sunscreen-lip-balm</v>
      </c>
      <c r="B4539" s="3" t="str">
        <f>HYPERLINK("https://shop.sonapharmacy.com/products/sunbum%c2%ae-original-spf-30-sunscreen-lip-balm", "https://shop.sonapharmacy.com/products/sunbum%c2%ae-original-spf-30-sunscreen-lip-balm")</f>
        <v>https://shop.sonapharmacy.com/products/sunbum%c2%ae-original-spf-30-sunscreen-lip-balm</v>
      </c>
      <c r="C4539" t="s">
        <v>8534</v>
      </c>
      <c r="D4539" t="s">
        <v>12979</v>
      </c>
      <c r="E4539" s="3" t="str">
        <f>HYPERLINK("https://www.amazon.com/Sun-Bum-SPF-Signature-Balm/dp/B07DFSSN6T/ref=sr_1_3?keywords=Sun+Bum%C2%AE+Original+SPF+30+Sunscreen+Lip+Balm&amp;qid=1695260758&amp;rdc=1&amp;sr=8-3", "https://www.amazon.com/Sun-Bum-SPF-Signature-Balm/dp/B07DFSSN6T/ref=sr_1_3?keywords=Sun+Bum%C2%AE+Original+SPF+30+Sunscreen+Lip+Balm&amp;qid=1695260758&amp;rdc=1&amp;sr=8-3")</f>
        <v>https://www.amazon.com/Sun-Bum-SPF-Signature-Balm/dp/B07DFSSN6T/ref=sr_1_3?keywords=Sun+Bum%C2%AE+Original+SPF+30+Sunscreen+Lip+Balm&amp;qid=1695260758&amp;rdc=1&amp;sr=8-3</v>
      </c>
      <c r="F4539" t="s">
        <v>12980</v>
      </c>
      <c r="G4539" t="e">
        <f ca="1">IMAGE("https://shop.sonapharmacy.com/cdn/shop/products/71AEzBiAaUL._AC_SL1500.jpg?v=1611872104")</f>
        <v>#NAME?</v>
      </c>
      <c r="H4539" t="e">
        <f ca="1">IMAGE("https://m.media-amazon.com/images/I/61wwDFDsE0L._AC_UL320_.jpg")</f>
        <v>#NAME?</v>
      </c>
      <c r="I4539" t="s">
        <v>8411</v>
      </c>
      <c r="J4539">
        <v>4.99</v>
      </c>
      <c r="K4539" s="2" t="s">
        <v>5476</v>
      </c>
      <c r="L4539">
        <v>4.4000000000000004</v>
      </c>
      <c r="M4539">
        <v>1020</v>
      </c>
      <c r="O4539" t="s">
        <v>26</v>
      </c>
      <c r="P4539" t="s">
        <v>39</v>
      </c>
      <c r="Q4539" t="s">
        <v>8538</v>
      </c>
    </row>
    <row r="4540" spans="1:17" ht="15.75" x14ac:dyDescent="0.25">
      <c r="A4540" s="3" t="str">
        <f>HYPERLINK("https://shop.sonapharmacy.com/products/eos%C2%AE-sweet-mint-lip-balm", "https://shop.sonapharmacy.com/products/eos%C2%AE-sweet-mint-lip-balm")</f>
        <v>https://shop.sonapharmacy.com/products/eos%C2%AE-sweet-mint-lip-balm</v>
      </c>
      <c r="B4540" s="3" t="str">
        <f>HYPERLINK("https://shop.sonapharmacy.com/products/eos%c2%ae-sweet-mint-lip-balm", "https://shop.sonapharmacy.com/products/eos%c2%ae-sweet-mint-lip-balm")</f>
        <v>https://shop.sonapharmacy.com/products/eos%c2%ae-sweet-mint-lip-balm</v>
      </c>
      <c r="C4540" t="s">
        <v>8435</v>
      </c>
      <c r="D4540" t="s">
        <v>12981</v>
      </c>
      <c r="E4540" s="3" t="str">
        <f>HYPERLINK("https://www.amazon.com/eos-Organic-Stick-Lip-Balm/dp/B01MAV165F/ref=sr_1_1?keywords=EOS%C2%AE+Sweet+Mint+Lip+Balm&amp;qid=1695260226&amp;sr=8-1", "https://www.amazon.com/eos-Organic-Stick-Lip-Balm/dp/B01MAV165F/ref=sr_1_1?keywords=EOS%C2%AE+Sweet+Mint+Lip+Balm&amp;qid=1695260226&amp;sr=8-1")</f>
        <v>https://www.amazon.com/eos-Organic-Stick-Lip-Balm/dp/B01MAV165F/ref=sr_1_1?keywords=EOS%C2%AE+Sweet+Mint+Lip+Balm&amp;qid=1695260226&amp;sr=8-1</v>
      </c>
      <c r="F4540" t="s">
        <v>12982</v>
      </c>
      <c r="G4540" t="e">
        <f ca="1">IMAGE("https://shop.sonapharmacy.com/cdn/shop/products/GUEST_b0fdc7d4-45d7-4d76-93a9-fe22762c8990.jpg?v=1610643893")</f>
        <v>#NAME?</v>
      </c>
      <c r="H4540" t="e">
        <f ca="1">IMAGE("https://m.media-amazon.com/images/I/71SL5AdFdGL._AC_UL320_.jpg")</f>
        <v>#NAME?</v>
      </c>
      <c r="I4540" t="s">
        <v>8411</v>
      </c>
      <c r="J4540">
        <v>4.99</v>
      </c>
      <c r="K4540" s="2" t="s">
        <v>5476</v>
      </c>
      <c r="L4540">
        <v>4.8</v>
      </c>
      <c r="M4540">
        <v>5130</v>
      </c>
      <c r="O4540" t="s">
        <v>26</v>
      </c>
      <c r="P4540" t="s">
        <v>39</v>
      </c>
      <c r="Q4540" t="s">
        <v>8439</v>
      </c>
    </row>
    <row r="4541" spans="1:17" ht="15.75" x14ac:dyDescent="0.25">
      <c r="A4541" s="3" t="str">
        <f>HYPERLINK("https://shop.sonapharmacy.com/products/apex%C2%AE-weekly-twice-a-day-pill-organizer", "https://shop.sonapharmacy.com/products/apex%C2%AE-weekly-twice-a-day-pill-organizer")</f>
        <v>https://shop.sonapharmacy.com/products/apex%C2%AE-weekly-twice-a-day-pill-organizer</v>
      </c>
      <c r="B4541" s="3" t="str">
        <f>HYPERLINK("https://shop.sonapharmacy.com/products/apex%c2%ae-weekly-twice-a-day-pill-organizer", "https://shop.sonapharmacy.com/products/apex%c2%ae-weekly-twice-a-day-pill-organizer")</f>
        <v>https://shop.sonapharmacy.com/products/apex%c2%ae-weekly-twice-a-day-pill-organizer</v>
      </c>
      <c r="C4541" t="s">
        <v>9754</v>
      </c>
      <c r="D4541" t="s">
        <v>12983</v>
      </c>
      <c r="E4541" s="3" t="str">
        <f>HYPERLINK("https://www.amazon.com/Organizer-ShysTech-Vitamin-Supplements-Medication/dp/B097TMCRBD/ref=sr_1_9?keywords=Apex+Weekly+Twice-A-Day+Pill+Organizer&amp;qid=1695260022&amp;sr=8-9", "https://www.amazon.com/Organizer-ShysTech-Vitamin-Supplements-Medication/dp/B097TMCRBD/ref=sr_1_9?keywords=Apex+Weekly+Twice-A-Day+Pill+Organizer&amp;qid=1695260022&amp;sr=8-9")</f>
        <v>https://www.amazon.com/Organizer-ShysTech-Vitamin-Supplements-Medication/dp/B097TMCRBD/ref=sr_1_9?keywords=Apex+Weekly+Twice-A-Day+Pill+Organizer&amp;qid=1695260022&amp;sr=8-9</v>
      </c>
      <c r="F4541" t="s">
        <v>12984</v>
      </c>
      <c r="G4541" t="e">
        <f ca="1">IMAGE("https://shop.sonapharmacy.com/cdn/shop/products/81bW58qDenL._AC_SL1500.jpg?v=1609957632")</f>
        <v>#NAME?</v>
      </c>
      <c r="H4541" t="e">
        <f ca="1">IMAGE("https://m.media-amazon.com/images/I/71mCfdTu21L._AC_UL320_.jpg")</f>
        <v>#NAME?</v>
      </c>
      <c r="I4541" t="s">
        <v>8983</v>
      </c>
      <c r="J4541">
        <v>6.99</v>
      </c>
      <c r="K4541" s="2" t="s">
        <v>12985</v>
      </c>
      <c r="L4541">
        <v>4</v>
      </c>
      <c r="M4541">
        <v>3538</v>
      </c>
      <c r="O4541" t="s">
        <v>26</v>
      </c>
      <c r="P4541" t="s">
        <v>39</v>
      </c>
      <c r="Q4541" t="s">
        <v>9758</v>
      </c>
    </row>
    <row r="4542" spans="1:17" ht="15.75" x14ac:dyDescent="0.25">
      <c r="A4542" s="3" t="str">
        <f>HYPERLINK("https://shop.sonapharmacy.com/products/sunbum%C2%AE-original-spf-15-sunscreen-spray-6oz", "https://shop.sonapharmacy.com/products/sunbum%C2%AE-original-spf-15-sunscreen-spray-6oz")</f>
        <v>https://shop.sonapharmacy.com/products/sunbum%C2%AE-original-spf-15-sunscreen-spray-6oz</v>
      </c>
      <c r="B4542" s="3" t="str">
        <f>HYPERLINK("https://shop.sonapharmacy.com/products/sunbum%c2%ae-original-spf-15-sunscreen-spray-6oz", "https://shop.sonapharmacy.com/products/sunbum%c2%ae-original-spf-15-sunscreen-spray-6oz")</f>
        <v>https://shop.sonapharmacy.com/products/sunbum%c2%ae-original-spf-15-sunscreen-spray-6oz</v>
      </c>
      <c r="C4542" t="s">
        <v>10959</v>
      </c>
      <c r="D4542" t="s">
        <v>12986</v>
      </c>
      <c r="E4542" s="3" t="str">
        <f>HYPERLINK("https://www.amazon.com/Hawaiian-Tropic-Weightless-Broad-Spectrum-Protection/dp/B08Q2QX7PJ/ref=sr_1_8?keywords=Sun+Bum%C2%AE+Original+SPF+15+Sunscreen+Spray+6oz.&amp;qid=1695260740&amp;rdc=1&amp;sr=8-8", "https://www.amazon.com/Hawaiian-Tropic-Weightless-Broad-Spectrum-Protection/dp/B08Q2QX7PJ/ref=sr_1_8?keywords=Sun+Bum%C2%AE+Original+SPF+15+Sunscreen+Spray+6oz.&amp;qid=1695260740&amp;rdc=1&amp;sr=8-8")</f>
        <v>https://www.amazon.com/Hawaiian-Tropic-Weightless-Broad-Spectrum-Protection/dp/B08Q2QX7PJ/ref=sr_1_8?keywords=Sun+Bum%C2%AE+Original+SPF+15+Sunscreen+Spray+6oz.&amp;qid=1695260740&amp;rdc=1&amp;sr=8-8</v>
      </c>
      <c r="F4542" t="s">
        <v>12987</v>
      </c>
      <c r="G4542" t="e">
        <f ca="1">IMAGE("https://shop.sonapharmacy.com/cdn/shop/products/71iL74hpC9L._AC_SL1500.jpg?v=1611869838")</f>
        <v>#NAME?</v>
      </c>
      <c r="H4542" t="e">
        <f ca="1">IMAGE("https://m.media-amazon.com/images/I/71fzcqkiTRL._AC_UL320_.jpg")</f>
        <v>#NAME?</v>
      </c>
      <c r="I4542" t="s">
        <v>3394</v>
      </c>
      <c r="J4542">
        <v>19.940000000000001</v>
      </c>
      <c r="K4542" s="2" t="s">
        <v>12988</v>
      </c>
      <c r="L4542">
        <v>4.8</v>
      </c>
      <c r="M4542">
        <v>1599</v>
      </c>
      <c r="O4542" t="s">
        <v>26</v>
      </c>
      <c r="P4542" t="s">
        <v>39</v>
      </c>
      <c r="Q4542" t="s">
        <v>10963</v>
      </c>
    </row>
    <row r="4543" spans="1:17" ht="15.75" x14ac:dyDescent="0.25">
      <c r="A4543" s="3" t="str">
        <f>HYPERLINK("https://shop.sonapharmacy.com/products/aveeno-1-hydrocortisone-anti-itch-cream-1oz", "https://shop.sonapharmacy.com/products/aveeno-1-hydrocortisone-anti-itch-cream-1oz")</f>
        <v>https://shop.sonapharmacy.com/products/aveeno-1-hydrocortisone-anti-itch-cream-1oz</v>
      </c>
      <c r="B4543" s="3" t="str">
        <f>HYPERLINK("https://shop.sonapharmacy.com/products/aveeno-1-hydrocortisone-anti-itch-cream-1oz", "https://shop.sonapharmacy.com/products/aveeno-1-hydrocortisone-anti-itch-cream-1oz")</f>
        <v>https://shop.sonapharmacy.com/products/aveeno-1-hydrocortisone-anti-itch-cream-1oz</v>
      </c>
      <c r="C4543" t="s">
        <v>9637</v>
      </c>
      <c r="D4543" t="s">
        <v>12989</v>
      </c>
      <c r="E4543" s="3" t="str">
        <f>HYPERLINK("https://www.amazon.com/Aveeno-Maximum-Strength-Hydrocortisone-Anti-Itch/dp/B004XMI5O4/ref=sr_1_1?keywords=Aveeno+1%25+Hydrocortisone+Anti-Itch+Cream+1oz&amp;qid=1695260025&amp;sr=8-1", "https://www.amazon.com/Aveeno-Maximum-Strength-Hydrocortisone-Anti-Itch/dp/B004XMI5O4/ref=sr_1_1?keywords=Aveeno+1%25+Hydrocortisone+Anti-Itch+Cream+1oz&amp;qid=1695260025&amp;sr=8-1")</f>
        <v>https://www.amazon.com/Aveeno-Maximum-Strength-Hydrocortisone-Anti-Itch/dp/B004XMI5O4/ref=sr_1_1?keywords=Aveeno+1%25+Hydrocortisone+Anti-Itch+Cream+1oz&amp;qid=1695260025&amp;sr=8-1</v>
      </c>
      <c r="F4543" t="s">
        <v>12990</v>
      </c>
      <c r="G4543" t="e">
        <f ca="1">IMAGE("https://shop.sonapharmacy.com/cdn/shop/products/ave_381370036586_00000_1000wx1000h.jpg?v=1607800061")</f>
        <v>#NAME?</v>
      </c>
      <c r="H4543" t="e">
        <f ca="1">IMAGE("https://m.media-amazon.com/images/I/81BJGh54R2L._AC_UL320_.jpg")</f>
        <v>#NAME?</v>
      </c>
      <c r="I4543" t="s">
        <v>9640</v>
      </c>
      <c r="J4543">
        <v>10.88</v>
      </c>
      <c r="K4543" s="2" t="s">
        <v>12991</v>
      </c>
      <c r="L4543">
        <v>4.5999999999999996</v>
      </c>
      <c r="M4543">
        <v>7219</v>
      </c>
      <c r="O4543" t="s">
        <v>26</v>
      </c>
      <c r="P4543" t="s">
        <v>39</v>
      </c>
      <c r="Q4543" t="s">
        <v>9642</v>
      </c>
    </row>
    <row r="4544" spans="1:17" ht="15.75" x14ac:dyDescent="0.25">
      <c r="A4544" s="3" t="str">
        <f>HYPERLINK("https://shop.sonapharmacy.com/products/biofreeze-topical-pain-relief-gel", "https://shop.sonapharmacy.com/products/biofreeze-topical-pain-relief-gel")</f>
        <v>https://shop.sonapharmacy.com/products/biofreeze-topical-pain-relief-gel</v>
      </c>
      <c r="B4544" s="3" t="str">
        <f>HYPERLINK("https://shop.sonapharmacy.com/products/biofreeze-topical-pain-relief-gel", "https://shop.sonapharmacy.com/products/biofreeze-topical-pain-relief-gel")</f>
        <v>https://shop.sonapharmacy.com/products/biofreeze-topical-pain-relief-gel</v>
      </c>
      <c r="C4544" t="s">
        <v>11845</v>
      </c>
      <c r="D4544" t="s">
        <v>12992</v>
      </c>
      <c r="E4544" s="3" t="str">
        <f>HYPERLINK("https://www.amazon.com/Biofreeze-Reliever-Arthritis-Analgesic-Original/dp/B01LZDKOFG/ref=sr_1_7?keywords=Biofreeze%C2%AE+Topical+Pain+Relief+Gel&amp;qid=1695260090&amp;sr=8-7", "https://www.amazon.com/Biofreeze-Reliever-Arthritis-Analgesic-Original/dp/B01LZDKOFG/ref=sr_1_7?keywords=Biofreeze%C2%AE+Topical+Pain+Relief+Gel&amp;qid=1695260090&amp;sr=8-7")</f>
        <v>https://www.amazon.com/Biofreeze-Reliever-Arthritis-Analgesic-Original/dp/B01LZDKOFG/ref=sr_1_7?keywords=Biofreeze%C2%AE+Topical+Pain+Relief+Gel&amp;qid=1695260090&amp;sr=8-7</v>
      </c>
      <c r="F4544" t="s">
        <v>12993</v>
      </c>
      <c r="G4544" t="e">
        <f ca="1">IMAGE("https://shop.sonapharmacy.com/cdn/shop/products/BiofreezeGel.png?v=1606962058")</f>
        <v>#NAME?</v>
      </c>
      <c r="H4544" t="e">
        <f ca="1">IMAGE("https://m.media-amazon.com/images/I/615BXIEieVL._AC_UL320_.jpg")</f>
        <v>#NAME?</v>
      </c>
      <c r="I4544" t="s">
        <v>3419</v>
      </c>
      <c r="J4544">
        <v>18.670000000000002</v>
      </c>
      <c r="K4544" s="2" t="s">
        <v>12994</v>
      </c>
      <c r="L4544">
        <v>4.7</v>
      </c>
      <c r="M4544">
        <v>3096</v>
      </c>
      <c r="O4544" t="s">
        <v>26</v>
      </c>
      <c r="P4544" t="s">
        <v>39</v>
      </c>
      <c r="Q4544" t="s">
        <v>11849</v>
      </c>
    </row>
    <row r="4545" spans="1:17" ht="15.75" x14ac:dyDescent="0.25">
      <c r="A4545" s="3" t="str">
        <f>HYPERLINK("https://shop.sonapharmacy.com/products/omega-3-pet", "https://shop.sonapharmacy.com/products/omega-3-pet")</f>
        <v>https://shop.sonapharmacy.com/products/omega-3-pet</v>
      </c>
      <c r="B4545" s="3" t="str">
        <f>HYPERLINK("https://shop.sonapharmacy.com/products/omega-3-pet", "https://shop.sonapharmacy.com/products/omega-3-pet")</f>
        <v>https://shop.sonapharmacy.com/products/omega-3-pet</v>
      </c>
      <c r="C4545" t="s">
        <v>9140</v>
      </c>
      <c r="D4545" t="s">
        <v>12995</v>
      </c>
      <c r="E4545" s="3" t="str">
        <f>HYPERLINK("https://www.amazon.com/Nordic-Naturals-Promotes-Optimal-Wellness/dp/B000X2F9P6/ref=sr_1_9?keywords=Nordic+Naturals+Omega-3+Pet+Softgels&amp;qid=1695260579&amp;sr=8-9", "https://www.amazon.com/Nordic-Naturals-Promotes-Optimal-Wellness/dp/B000X2F9P6/ref=sr_1_9?keywords=Nordic+Naturals+Omega-3+Pet+Softgels&amp;qid=1695260579&amp;sr=8-9")</f>
        <v>https://www.amazon.com/Nordic-Naturals-Promotes-Optimal-Wellness/dp/B000X2F9P6/ref=sr_1_9?keywords=Nordic+Naturals+Omega-3+Pet+Softgels&amp;qid=1695260579&amp;sr=8-9</v>
      </c>
      <c r="F4545" t="s">
        <v>12996</v>
      </c>
      <c r="G4545" t="e">
        <f ca="1">IMAGE("https://shop.sonapharmacy.com/cdn/shop/products/90.jpg?v=1610050123")</f>
        <v>#NAME?</v>
      </c>
      <c r="H4545" t="e">
        <f ca="1">IMAGE("https://m.media-amazon.com/images/I/611rmfr6OkL._AC_UL320_.jpg")</f>
        <v>#NAME?</v>
      </c>
      <c r="I4545" t="s">
        <v>9143</v>
      </c>
      <c r="J4545">
        <v>24.61</v>
      </c>
      <c r="K4545" s="2" t="s">
        <v>12997</v>
      </c>
      <c r="L4545">
        <v>4.7</v>
      </c>
      <c r="M4545">
        <v>607</v>
      </c>
      <c r="O4545" t="s">
        <v>39</v>
      </c>
      <c r="P4545" t="s">
        <v>39</v>
      </c>
      <c r="Q4545" t="s">
        <v>9145</v>
      </c>
    </row>
    <row r="4546" spans="1:17" ht="15.75" x14ac:dyDescent="0.25">
      <c r="A4546" s="3" t="str">
        <f>HYPERLINK("https://shop.sonapharmacy.com/products/apex%C2%AE-finger-splint-medium", "https://shop.sonapharmacy.com/products/apex%C2%AE-finger-splint-medium")</f>
        <v>https://shop.sonapharmacy.com/products/apex%C2%AE-finger-splint-medium</v>
      </c>
      <c r="B4546" s="3" t="str">
        <f>HYPERLINK("https://shop.sonapharmacy.com/products/apex%c2%ae-finger-splint-medium", "https://shop.sonapharmacy.com/products/apex%c2%ae-finger-splint-medium")</f>
        <v>https://shop.sonapharmacy.com/products/apex%c2%ae-finger-splint-medium</v>
      </c>
      <c r="C4546" t="s">
        <v>12998</v>
      </c>
      <c r="D4546" t="s">
        <v>12999</v>
      </c>
      <c r="E4546" s="3" t="str">
        <f>HYPERLINK("https://www.amazon.com/Apex-Finger-Splint-Large-Pack/dp/B000EGPM1C/ref=sr_1_1?keywords=Apex+Finger+Splint+-+Medium&amp;qid=1695260011&amp;sr=8-1", "https://www.amazon.com/Apex-Finger-Splint-Large-Pack/dp/B000EGPM1C/ref=sr_1_1?keywords=Apex+Finger+Splint+-+Medium&amp;qid=1695260011&amp;sr=8-1")</f>
        <v>https://www.amazon.com/Apex-Finger-Splint-Large-Pack/dp/B000EGPM1C/ref=sr_1_1?keywords=Apex+Finger+Splint+-+Medium&amp;qid=1695260011&amp;sr=8-1</v>
      </c>
      <c r="F4546" t="s">
        <v>13000</v>
      </c>
      <c r="G4546" t="e">
        <f ca="1">IMAGE("https://shop.sonapharmacy.com/cdn/shop/products/000530882.jpg?v=1611189230")</f>
        <v>#NAME?</v>
      </c>
      <c r="H4546" t="e">
        <f ca="1">IMAGE("https://m.media-amazon.com/images/I/41Gd5EdMBlL._AC_UL320_.jpg")</f>
        <v>#NAME?</v>
      </c>
      <c r="I4546" t="s">
        <v>7952</v>
      </c>
      <c r="J4546">
        <v>3.4</v>
      </c>
      <c r="K4546" s="2" t="s">
        <v>12997</v>
      </c>
      <c r="L4546">
        <v>3.4</v>
      </c>
      <c r="M4546">
        <v>37</v>
      </c>
      <c r="O4546" t="s">
        <v>26</v>
      </c>
      <c r="P4546" t="s">
        <v>39</v>
      </c>
      <c r="Q4546" t="s">
        <v>13001</v>
      </c>
    </row>
    <row r="4547" spans="1:17" ht="15.75" x14ac:dyDescent="0.25">
      <c r="A4547" s="3" t="str">
        <f>HYPERLINK("https://shop.sonapharmacy.com/products/curad-flex-fabric-bandages", "https://shop.sonapharmacy.com/products/curad-flex-fabric-bandages")</f>
        <v>https://shop.sonapharmacy.com/products/curad-flex-fabric-bandages</v>
      </c>
      <c r="B4547" s="3" t="str">
        <f>HYPERLINK("https://shop.sonapharmacy.com/products/curad-flex-fabric-bandages", "https://shop.sonapharmacy.com/products/curad-flex-fabric-bandages")</f>
        <v>https://shop.sonapharmacy.com/products/curad-flex-fabric-bandages</v>
      </c>
      <c r="C4547" t="s">
        <v>10355</v>
      </c>
      <c r="D4547" t="s">
        <v>13002</v>
      </c>
      <c r="E4547" s="3" t="str">
        <f>HYPERLINK("https://www.amazon.com/Medline-NON25502Z-Bandage-Adhesive-Fabric/dp/B00OMFXEGG/ref=sr_1_8?keywords=Curad%C2%AE+Flex-Fabric+Bandages&amp;qid=1695260173&amp;sr=8-8", "https://www.amazon.com/Medline-NON25502Z-Bandage-Adhesive-Fabric/dp/B00OMFXEGG/ref=sr_1_8?keywords=Curad%C2%AE+Flex-Fabric+Bandages&amp;qid=1695260173&amp;sr=8-8")</f>
        <v>https://www.amazon.com/Medline-NON25502Z-Bandage-Adhesive-Fabric/dp/B00OMFXEGG/ref=sr_1_8?keywords=Curad%C2%AE+Flex-Fabric+Bandages&amp;qid=1695260173&amp;sr=8-8</v>
      </c>
      <c r="F4547" t="s">
        <v>13003</v>
      </c>
      <c r="G4547" t="e">
        <f ca="1">IMAGE("https://shop.sonapharmacy.com/cdn/shop/products/flexstrip.png?v=1607709917")</f>
        <v>#NAME?</v>
      </c>
      <c r="H4547" t="e">
        <f ca="1">IMAGE("https://m.media-amazon.com/images/I/714XcTL6seL._AC_UL320_.jpg")</f>
        <v>#NAME?</v>
      </c>
      <c r="I4547" t="s">
        <v>8680</v>
      </c>
      <c r="J4547">
        <v>5.59</v>
      </c>
      <c r="K4547" s="2" t="s">
        <v>13004</v>
      </c>
      <c r="L4547">
        <v>4.5</v>
      </c>
      <c r="M4547">
        <v>1415</v>
      </c>
      <c r="O4547" t="s">
        <v>26</v>
      </c>
      <c r="P4547" t="s">
        <v>39</v>
      </c>
      <c r="Q4547" t="s">
        <v>10359</v>
      </c>
    </row>
    <row r="4548" spans="1:17" ht="15.75" x14ac:dyDescent="0.25">
      <c r="A4548" s="3" t="str">
        <f>HYPERLINK("https://shop.sonapharmacy.com/products/liposomal-glutathione-1-7-oz", "https://shop.sonapharmacy.com/products/liposomal-glutathione-1-7-oz")</f>
        <v>https://shop.sonapharmacy.com/products/liposomal-glutathione-1-7-oz</v>
      </c>
      <c r="B4548" s="3" t="str">
        <f>HYPERLINK("https://shop.sonapharmacy.com/products/liposomal-glutathione-1-7-oz", "https://shop.sonapharmacy.com/products/liposomal-glutathione-1-7-oz")</f>
        <v>https://shop.sonapharmacy.com/products/liposomal-glutathione-1-7-oz</v>
      </c>
      <c r="C4548" t="s">
        <v>13005</v>
      </c>
      <c r="D4548" t="s">
        <v>13006</v>
      </c>
      <c r="E4548" s="3" t="str">
        <f>HYPERLINK("https://www.amazon.com/Quicksilver-Scientific-Liposomal-Glutathione-1-7/dp/B00NGY73DY/ref=sr_1_1?keywords=Quicksilver+Scientific%C2%AE+Liposomal+Glutathione+1.7+oz&amp;qid=1695260680&amp;sr=8-1", "https://www.amazon.com/Quicksilver-Scientific-Liposomal-Glutathione-1-7/dp/B00NGY73DY/ref=sr_1_1?keywords=Quicksilver+Scientific%C2%AE+Liposomal+Glutathione+1.7+oz&amp;qid=1695260680&amp;sr=8-1")</f>
        <v>https://www.amazon.com/Quicksilver-Scientific-Liposomal-Glutathione-1-7/dp/B00NGY73DY/ref=sr_1_1?keywords=Quicksilver+Scientific%C2%AE+Liposomal+Glutathione+1.7+oz&amp;qid=1695260680&amp;sr=8-1</v>
      </c>
      <c r="F4548" t="s">
        <v>13007</v>
      </c>
      <c r="G4548" t="e">
        <f ca="1">IMAGE("https://shop.sonapharmacy.com/cdn/shop/products/N0746_2x_5aac2f28-bd9a-4cb0-bb6c-9a0b3c8edfad.png?v=1610120737")</f>
        <v>#NAME?</v>
      </c>
      <c r="H4548" t="e">
        <f ca="1">IMAGE("https://m.media-amazon.com/images/I/41mZbpRAChL._AC_UL320_.jpg")</f>
        <v>#NAME?</v>
      </c>
      <c r="I4548" t="s">
        <v>3047</v>
      </c>
      <c r="J4548">
        <v>55.95</v>
      </c>
      <c r="K4548" s="2" t="s">
        <v>13008</v>
      </c>
      <c r="L4548">
        <v>4.3</v>
      </c>
      <c r="M4548">
        <v>1042</v>
      </c>
      <c r="O4548" t="s">
        <v>26</v>
      </c>
      <c r="P4548" t="s">
        <v>39</v>
      </c>
      <c r="Q4548" t="s">
        <v>13009</v>
      </c>
    </row>
    <row r="4549" spans="1:17" ht="15.75" x14ac:dyDescent="0.25">
      <c r="A4549" s="3" t="str">
        <f>HYPERLINK("https://shop.sonapharmacy.com/products/sona-buffered-c-capsules", "https://shop.sonapharmacy.com/products/sona-buffered-c-capsules")</f>
        <v>https://shop.sonapharmacy.com/products/sona-buffered-c-capsules</v>
      </c>
      <c r="B4549" s="3" t="str">
        <f>HYPERLINK("https://shop.sonapharmacy.com/products/sona-buffered-c-capsules", "https://shop.sonapharmacy.com/products/sona-buffered-c-capsules")</f>
        <v>https://shop.sonapharmacy.com/products/sona-buffered-c-capsules</v>
      </c>
      <c r="C4549" t="s">
        <v>11624</v>
      </c>
      <c r="D4549" t="s">
        <v>13010</v>
      </c>
      <c r="E4549" s="3" t="str">
        <f>HYPERLINK("https://www.amazon.com/Pure-Encapsulations-Buffered-Sensitive-Individuals/dp/B07FYVWLXC/ref=sr_1_5?keywords=Sona+Buffered+C+Capsules&amp;qid=1695260718&amp;sr=8-5", "https://www.amazon.com/Pure-Encapsulations-Buffered-Sensitive-Individuals/dp/B07FYVWLXC/ref=sr_1_5?keywords=Sona+Buffered+C+Capsules&amp;qid=1695260718&amp;sr=8-5")</f>
        <v>https://www.amazon.com/Pure-Encapsulations-Buffered-Sensitive-Individuals/dp/B07FYVWLXC/ref=sr_1_5?keywords=Sona+Buffered+C+Capsules&amp;qid=1695260718&amp;sr=8-5</v>
      </c>
      <c r="F4549" t="s">
        <v>13011</v>
      </c>
      <c r="G4549" t="e">
        <f ca="1">IMAGE("https://shop.sonapharmacy.com/cdn/shop/files/BufferedC_SonaShop.jpg?v=1692370201")</f>
        <v>#NAME?</v>
      </c>
      <c r="H4549" t="e">
        <f ca="1">IMAGE("https://m.media-amazon.com/images/I/71UjzC0YlcL._AC_UL320_.jpg")</f>
        <v>#NAME?</v>
      </c>
      <c r="I4549" t="s">
        <v>11627</v>
      </c>
      <c r="J4549">
        <v>24.5</v>
      </c>
      <c r="K4549" s="2" t="s">
        <v>13012</v>
      </c>
      <c r="L4549">
        <v>4.7</v>
      </c>
      <c r="M4549">
        <v>652</v>
      </c>
      <c r="O4549" t="s">
        <v>26</v>
      </c>
      <c r="P4549" t="s">
        <v>39</v>
      </c>
      <c r="Q4549" t="s">
        <v>11629</v>
      </c>
    </row>
    <row r="4550" spans="1:17" ht="15.75" x14ac:dyDescent="0.25">
      <c r="A4550" s="3" t="str">
        <f>HYPERLINK("https://shop.sonapharmacy.com/products/hibiclens-antiseptic-antimicrobial-skin-cleanser-8fl-oz", "https://shop.sonapharmacy.com/products/hibiclens-antiseptic-antimicrobial-skin-cleanser-8fl-oz")</f>
        <v>https://shop.sonapharmacy.com/products/hibiclens-antiseptic-antimicrobial-skin-cleanser-8fl-oz</v>
      </c>
      <c r="B4550" s="3" t="str">
        <f>HYPERLINK("https://shop.sonapharmacy.com/products/hibiclens-antiseptic-antimicrobial-skin-cleanser-8fl-oz", "https://shop.sonapharmacy.com/products/hibiclens-antiseptic-antimicrobial-skin-cleanser-8fl-oz")</f>
        <v>https://shop.sonapharmacy.com/products/hibiclens-antiseptic-antimicrobial-skin-cleanser-8fl-oz</v>
      </c>
      <c r="C4550" t="s">
        <v>9707</v>
      </c>
      <c r="D4550" t="s">
        <v>13013</v>
      </c>
      <c r="E4550" s="3" t="str">
        <f>HYPERLINK("https://www.amazon.com/Hibiclens-Antiseptic-Antimicrobial-Skin-Cleanser/dp/B07KB5MF97/ref=sr_1_8?keywords=Hibiclens+Antiseptic%2FAntimicrobial+Skin+Cleanser+8fl.+oz.&amp;qid=1695260370&amp;sr=8-8", "https://www.amazon.com/Hibiclens-Antiseptic-Antimicrobial-Skin-Cleanser/dp/B07KB5MF97/ref=sr_1_8?keywords=Hibiclens+Antiseptic%2FAntimicrobial+Skin+Cleanser+8fl.+oz.&amp;qid=1695260370&amp;sr=8-8")</f>
        <v>https://www.amazon.com/Hibiclens-Antiseptic-Antimicrobial-Skin-Cleanser/dp/B07KB5MF97/ref=sr_1_8?keywords=Hibiclens+Antiseptic%2FAntimicrobial+Skin+Cleanser+8fl.+oz.&amp;qid=1695260370&amp;sr=8-8</v>
      </c>
      <c r="F4550" t="s">
        <v>13014</v>
      </c>
      <c r="G4550" t="e">
        <f ca="1">IMAGE("https://shop.sonapharmacy.com/cdn/shop/products/0009905_hibiclens-skin-cleanser-4-solution-8-ounce-236ml-each.jpg?v=1608143785")</f>
        <v>#NAME?</v>
      </c>
      <c r="H4550" t="e">
        <f ca="1">IMAGE("https://m.media-amazon.com/images/I/51yH8ErvY1L._AC_UL320_.jpg")</f>
        <v>#NAME?</v>
      </c>
      <c r="I4550" t="s">
        <v>9710</v>
      </c>
      <c r="J4550">
        <v>13.94</v>
      </c>
      <c r="K4550" s="2" t="s">
        <v>13015</v>
      </c>
      <c r="L4550">
        <v>4.5999999999999996</v>
      </c>
      <c r="M4550">
        <v>2513</v>
      </c>
      <c r="O4550" t="s">
        <v>26</v>
      </c>
      <c r="P4550" t="s">
        <v>39</v>
      </c>
      <c r="Q4550" t="s">
        <v>9712</v>
      </c>
    </row>
    <row r="4551" spans="1:17" ht="15.75" x14ac:dyDescent="0.25">
      <c r="A4551" s="3" t="str">
        <f>HYPERLINK("https://shop.sonapharmacy.com/products/goodsense%C2%AE-twin-blade-plus-with-lubricating-strip-disposable-razors-5ct", "https://shop.sonapharmacy.com/products/goodsense%C2%AE-twin-blade-plus-with-lubricating-strip-disposable-razors-5ct")</f>
        <v>https://shop.sonapharmacy.com/products/goodsense%C2%AE-twin-blade-plus-with-lubricating-strip-disposable-razors-5ct</v>
      </c>
      <c r="B4551" s="3" t="str">
        <f>HYPERLINK("https://shop.sonapharmacy.com/products/goodsense%c2%ae-twin-blade-plus-with-lubricating-strip-disposable-razors-5ct", "https://shop.sonapharmacy.com/products/goodsense%c2%ae-twin-blade-plus-with-lubricating-strip-disposable-razors-5ct")</f>
        <v>https://shop.sonapharmacy.com/products/goodsense%c2%ae-twin-blade-plus-with-lubricating-strip-disposable-razors-5ct</v>
      </c>
      <c r="C4551" t="s">
        <v>11216</v>
      </c>
      <c r="D4551" t="s">
        <v>13016</v>
      </c>
      <c r="E4551" s="3" t="str">
        <f>HYPERLINK("https://www.amazon.com/Personna-Blade-Disposable-Razors-Lubricating/dp/B0013AJLTM/ref=sr_1_1?keywords=GoodSense%C2%AE+Twin+Blade+Plus+with+Lubricating+Strip+Disposable+Razors+5ct.&amp;qid=1695260395&amp;sr=8-1", "https://www.amazon.com/Personna-Blade-Disposable-Razors-Lubricating/dp/B0013AJLTM/ref=sr_1_1?keywords=GoodSense%C2%AE+Twin+Blade+Plus+with+Lubricating+Strip+Disposable+Razors+5ct.&amp;qid=1695260395&amp;sr=8-1")</f>
        <v>https://www.amazon.com/Personna-Blade-Disposable-Razors-Lubricating/dp/B0013AJLTM/ref=sr_1_1?keywords=GoodSense%C2%AE+Twin+Blade+Plus+with+Lubricating+Strip+Disposable+Razors+5ct.&amp;qid=1695260395&amp;sr=8-1</v>
      </c>
      <c r="F4551" t="s">
        <v>13017</v>
      </c>
      <c r="G4551" t="e">
        <f ca="1">IMAGE("https://shop.sonapharmacy.com/cdn/shop/products/354738.jpg?v=1610904582")</f>
        <v>#NAME?</v>
      </c>
      <c r="H4551" t="e">
        <f ca="1">IMAGE("https://m.media-amazon.com/images/I/71YEXkxkHAL._AC_UL320_.jpg")</f>
        <v>#NAME?</v>
      </c>
      <c r="I4551" t="s">
        <v>11219</v>
      </c>
      <c r="J4551">
        <v>5.82</v>
      </c>
      <c r="K4551" s="2" t="s">
        <v>13018</v>
      </c>
      <c r="L4551">
        <v>4.5</v>
      </c>
      <c r="M4551">
        <v>2</v>
      </c>
      <c r="O4551" t="s">
        <v>26</v>
      </c>
      <c r="P4551" t="s">
        <v>39</v>
      </c>
      <c r="Q4551" t="s">
        <v>11221</v>
      </c>
    </row>
    <row r="4552" spans="1:17" ht="15.75" x14ac:dyDescent="0.25">
      <c r="A4552" s="3" t="str">
        <f>HYPERLINK("https://shop.sonapharmacy.com/products/fixodent-complete-original-denture-adhesive-cream-2-4-oz", "https://shop.sonapharmacy.com/products/fixodent-complete-original-denture-adhesive-cream-2-4-oz")</f>
        <v>https://shop.sonapharmacy.com/products/fixodent-complete-original-denture-adhesive-cream-2-4-oz</v>
      </c>
      <c r="B4552" s="3" t="str">
        <f>HYPERLINK("https://shop.sonapharmacy.com/products/fixodent-complete-original-denture-adhesive-cream-2-4-oz", "https://shop.sonapharmacy.com/products/fixodent-complete-original-denture-adhesive-cream-2-4-oz")</f>
        <v>https://shop.sonapharmacy.com/products/fixodent-complete-original-denture-adhesive-cream-2-4-oz</v>
      </c>
      <c r="C4552" t="s">
        <v>9974</v>
      </c>
      <c r="D4552" t="s">
        <v>13019</v>
      </c>
      <c r="E4552" s="3" t="str">
        <f>HYPERLINK("https://www.amazon.com/Fixodent-Complete-Original-Denture-Adhesive/dp/B0095C0D7O/ref=sr_1_8?keywords=Fixodent%C2%AE+Complete+Original+Denture+Adhesive+Cream+2.4+oz&amp;qid=1695260243&amp;sr=8-8", "https://www.amazon.com/Fixodent-Complete-Original-Denture-Adhesive/dp/B0095C0D7O/ref=sr_1_8?keywords=Fixodent%C2%AE+Complete+Original+Denture+Adhesive+Cream+2.4+oz&amp;qid=1695260243&amp;sr=8-8")</f>
        <v>https://www.amazon.com/Fixodent-Complete-Original-Denture-Adhesive/dp/B0095C0D7O/ref=sr_1_8?keywords=Fixodent%C2%AE+Complete+Original+Denture+Adhesive+Cream+2.4+oz&amp;qid=1695260243&amp;sr=8-8</v>
      </c>
      <c r="F4552" t="s">
        <v>13020</v>
      </c>
      <c r="G4552" t="e">
        <f ca="1">IMAGE("https://shop.sonapharmacy.com/cdn/shop/products/00719501_2.jpg?v=1609350426")</f>
        <v>#NAME?</v>
      </c>
      <c r="H4552" t="e">
        <f ca="1">IMAGE("https://m.media-amazon.com/images/I/61zGy0ITMSL._AC_UL320_.jpg")</f>
        <v>#NAME?</v>
      </c>
      <c r="I4552" t="s">
        <v>8606</v>
      </c>
      <c r="J4552">
        <v>8.08</v>
      </c>
      <c r="K4552" s="2" t="s">
        <v>5490</v>
      </c>
      <c r="L4552">
        <v>3.8</v>
      </c>
      <c r="M4552">
        <v>40</v>
      </c>
      <c r="O4552" t="s">
        <v>26</v>
      </c>
      <c r="P4552" t="s">
        <v>39</v>
      </c>
      <c r="Q4552" t="s">
        <v>9978</v>
      </c>
    </row>
    <row r="4553" spans="1:17" ht="15.75" x14ac:dyDescent="0.25">
      <c r="A4553" s="3" t="str">
        <f>HYPERLINK("https://shop.sonapharmacy.com/products/goodsense%C2%AE-lice-killing-shampoo-4-fl-oz", "https://shop.sonapharmacy.com/products/goodsense%C2%AE-lice-killing-shampoo-4-fl-oz")</f>
        <v>https://shop.sonapharmacy.com/products/goodsense%C2%AE-lice-killing-shampoo-4-fl-oz</v>
      </c>
      <c r="B4553" s="3" t="str">
        <f>HYPERLINK("https://shop.sonapharmacy.com/products/goodsense%c2%ae-lice-killing-shampoo-4-fl-oz", "https://shop.sonapharmacy.com/products/goodsense%c2%ae-lice-killing-shampoo-4-fl-oz")</f>
        <v>https://shop.sonapharmacy.com/products/goodsense%c2%ae-lice-killing-shampoo-4-fl-oz</v>
      </c>
      <c r="C4553" t="s">
        <v>8318</v>
      </c>
      <c r="D4553" t="s">
        <v>13021</v>
      </c>
      <c r="E4553" s="3" t="str">
        <f>HYPERLINK("https://www.amazon.com/NIX-Ultra-Shampoo-Treatment-Kills/dp/B07NLTJ7N8/ref=sr_1_3?keywords=GoodSense%C2%AE+Lice+Killing+Shampoo+4+fl.+oz.&amp;qid=1695260340&amp;sr=8-3", "https://www.amazon.com/NIX-Ultra-Shampoo-Treatment-Kills/dp/B07NLTJ7N8/ref=sr_1_3?keywords=GoodSense%C2%AE+Lice+Killing+Shampoo+4+fl.+oz.&amp;qid=1695260340&amp;sr=8-3")</f>
        <v>https://www.amazon.com/NIX-Ultra-Shampoo-Treatment-Kills/dp/B07NLTJ7N8/ref=sr_1_3?keywords=GoodSense%C2%AE+Lice+Killing+Shampoo+4+fl.+oz.&amp;qid=1695260340&amp;sr=8-3</v>
      </c>
      <c r="F4553" t="s">
        <v>13022</v>
      </c>
      <c r="G4553" t="e">
        <f ca="1">IMAGE("https://shop.sonapharmacy.com/cdn/shop/products/b9302c4a-d11b-43cc-b7a9-27940de7f59f_1.fec1096c9d80654f53674a1d40e10f84.jpg?v=1608136972")</f>
        <v>#NAME?</v>
      </c>
      <c r="H4553" t="e">
        <f ca="1">IMAGE("https://m.media-amazon.com/images/I/61FIz95WiwL._AC_UL320_.jpg")</f>
        <v>#NAME?</v>
      </c>
      <c r="I4553" t="s">
        <v>4275</v>
      </c>
      <c r="J4553">
        <v>15.52</v>
      </c>
      <c r="K4553" s="2" t="s">
        <v>13023</v>
      </c>
      <c r="L4553">
        <v>4.4000000000000004</v>
      </c>
      <c r="M4553">
        <v>1693</v>
      </c>
      <c r="O4553" t="s">
        <v>26</v>
      </c>
      <c r="P4553" t="s">
        <v>39</v>
      </c>
      <c r="Q4553" t="s">
        <v>8322</v>
      </c>
    </row>
    <row r="4554" spans="1:17" ht="15.75" x14ac:dyDescent="0.25">
      <c r="A4554" s="3" t="str">
        <f>HYPERLINK("https://shop.sonapharmacy.com/products/boudreauxs-butt-paste%C2%AE-original-diaper-rash-ointment", "https://shop.sonapharmacy.com/products/boudreauxs-butt-paste%C2%AE-original-diaper-rash-ointment")</f>
        <v>https://shop.sonapharmacy.com/products/boudreauxs-butt-paste%C2%AE-original-diaper-rash-ointment</v>
      </c>
      <c r="B4554" s="3" t="str">
        <f>HYPERLINK("https://shop.sonapharmacy.com/products/boudreauxs-butt-paste%c2%ae-original-diaper-rash-ointment", "https://shop.sonapharmacy.com/products/boudreauxs-butt-paste%c2%ae-original-diaper-rash-ointment")</f>
        <v>https://shop.sonapharmacy.com/products/boudreauxs-butt-paste%c2%ae-original-diaper-rash-ointment</v>
      </c>
      <c r="C4554" t="s">
        <v>9281</v>
      </c>
      <c r="D4554" t="s">
        <v>13024</v>
      </c>
      <c r="E4554" s="3" t="str">
        <f>HYPERLINK("https://www.amazon.com/Boudreauxs-Ointment-Original-Formula-2-Ounces/dp/B004JCKJWY/ref=sr_1_7?keywords=Boudreaux%27s+Butt+Paste%C2%AE+Original+Diaper+Rash+Ointment&amp;qid=1695260099&amp;sr=8-7", "https://www.amazon.com/Boudreauxs-Ointment-Original-Formula-2-Ounces/dp/B004JCKJWY/ref=sr_1_7?keywords=Boudreaux%27s+Butt+Paste%C2%AE+Original+Diaper+Rash+Ointment&amp;qid=1695260099&amp;sr=8-7")</f>
        <v>https://www.amazon.com/Boudreauxs-Ointment-Original-Formula-2-Ounces/dp/B004JCKJWY/ref=sr_1_7?keywords=Boudreaux%27s+Butt+Paste%C2%AE+Original+Diaper+Rash+Ointment&amp;qid=1695260099&amp;sr=8-7</v>
      </c>
      <c r="F4554" t="s">
        <v>13025</v>
      </c>
      <c r="G4554" t="e">
        <f ca="1">IMAGE("https://shop.sonapharmacy.com/cdn/shop/products/2oz.jpg?v=1609271951")</f>
        <v>#NAME?</v>
      </c>
      <c r="H4554" t="e">
        <f ca="1">IMAGE("https://m.media-amazon.com/images/I/718ODt++kKL._AC_UL320_.jpg")</f>
        <v>#NAME?</v>
      </c>
      <c r="I4554" t="s">
        <v>9284</v>
      </c>
      <c r="J4554">
        <v>7.99</v>
      </c>
      <c r="K4554" s="2" t="s">
        <v>13026</v>
      </c>
      <c r="L4554">
        <v>4.5999999999999996</v>
      </c>
      <c r="M4554">
        <v>117</v>
      </c>
      <c r="O4554" t="s">
        <v>26</v>
      </c>
      <c r="P4554" t="s">
        <v>39</v>
      </c>
      <c r="Q4554" t="s">
        <v>9286</v>
      </c>
    </row>
    <row r="4555" spans="1:17" ht="15.75" x14ac:dyDescent="0.25">
      <c r="A4555" s="3" t="str">
        <f>HYPERLINK("https://shop.sonapharmacy.com/products/refresh%C2%AE-celluvisc%C2%AE-preservative-free-lubricant-eye-gel", "https://shop.sonapharmacy.com/products/refresh%C2%AE-celluvisc%C2%AE-preservative-free-lubricant-eye-gel")</f>
        <v>https://shop.sonapharmacy.com/products/refresh%C2%AE-celluvisc%C2%AE-preservative-free-lubricant-eye-gel</v>
      </c>
      <c r="B4555" s="3" t="str">
        <f>HYPERLINK("https://shop.sonapharmacy.com/products/refresh%c2%ae-celluvisc%c2%ae-preservative-free-lubricant-eye-gel", "https://shop.sonapharmacy.com/products/refresh%c2%ae-celluvisc%c2%ae-preservative-free-lubricant-eye-gel")</f>
        <v>https://shop.sonapharmacy.com/products/refresh%c2%ae-celluvisc%c2%ae-preservative-free-lubricant-eye-gel</v>
      </c>
      <c r="C4555" t="s">
        <v>13027</v>
      </c>
      <c r="D4555" t="s">
        <v>13028</v>
      </c>
      <c r="E4555" s="3" t="str">
        <f>HYPERLINK("https://www.amazon.com/Allergan-Celluvisc-Preservative-Free-Lubricant/dp/B00HHXJV9E/ref=sr_1_6?keywords=Refresh%C2%AE+Celluvisc%C2%AE+Preservative+Free+Lubricant+Eye+Gel&amp;qid=1695260686&amp;sr=8-6", "https://www.amazon.com/Allergan-Celluvisc-Preservative-Free-Lubricant/dp/B00HHXJV9E/ref=sr_1_6?keywords=Refresh%C2%AE+Celluvisc%C2%AE+Preservative+Free+Lubricant+Eye+Gel&amp;qid=1695260686&amp;sr=8-6")</f>
        <v>https://www.amazon.com/Allergan-Celluvisc-Preservative-Free-Lubricant/dp/B00HHXJV9E/ref=sr_1_6?keywords=Refresh%C2%AE+Celluvisc%C2%AE+Preservative+Free+Lubricant+Eye+Gel&amp;qid=1695260686&amp;sr=8-6</v>
      </c>
      <c r="F4555" t="s">
        <v>13029</v>
      </c>
      <c r="G4555" t="e">
        <f ca="1">IMAGE("https://shop.sonapharmacy.com/cdn/shop/products/refresh-celluvisc-hero-packaging.png?v=1608822640")</f>
        <v>#NAME?</v>
      </c>
      <c r="H4555" t="e">
        <f ca="1">IMAGE("https://m.media-amazon.com/images/I/918oZNzNgFL._AC_UL320_.jpg")</f>
        <v>#NAME?</v>
      </c>
      <c r="I4555" t="s">
        <v>13030</v>
      </c>
      <c r="J4555">
        <v>19.61</v>
      </c>
      <c r="K4555" s="2" t="s">
        <v>13031</v>
      </c>
      <c r="L4555">
        <v>3.6</v>
      </c>
      <c r="M4555">
        <v>12</v>
      </c>
      <c r="O4555" t="s">
        <v>26</v>
      </c>
      <c r="P4555" t="s">
        <v>39</v>
      </c>
      <c r="Q4555" t="s">
        <v>13032</v>
      </c>
    </row>
    <row r="4556" spans="1:17" ht="15.75" x14ac:dyDescent="0.25">
      <c r="A4556" s="3" t="str">
        <f>HYPERLINK("https://shop.sonapharmacy.com/products/aveeno%C2%AE-eczema-therapy-daily-moisturizing-cream-7-3oz", "https://shop.sonapharmacy.com/products/aveeno%C2%AE-eczema-therapy-daily-moisturizing-cream-7-3oz")</f>
        <v>https://shop.sonapharmacy.com/products/aveeno%C2%AE-eczema-therapy-daily-moisturizing-cream-7-3oz</v>
      </c>
      <c r="B4556" s="3" t="str">
        <f>HYPERLINK("https://shop.sonapharmacy.com/products/aveeno%c2%ae-eczema-therapy-daily-moisturizing-cream-7-3oz", "https://shop.sonapharmacy.com/products/aveeno%c2%ae-eczema-therapy-daily-moisturizing-cream-7-3oz")</f>
        <v>https://shop.sonapharmacy.com/products/aveeno%c2%ae-eczema-therapy-daily-moisturizing-cream-7-3oz</v>
      </c>
      <c r="C4556" t="s">
        <v>13033</v>
      </c>
      <c r="D4556" t="s">
        <v>13034</v>
      </c>
      <c r="E4556" s="3" t="str">
        <f>HYPERLINK("https://www.amazon.com/Aveeno-Moisturizing-Sensitive-Steroid-Free-Fragrance-Free/dp/B00YPBI980/ref=sr_1_7?keywords=Aveeno%C2%AE+Eczema+Therapy+Daily+Moisturizing+Cream+7.3oz&amp;qid=1695260037&amp;sr=8-7", "https://www.amazon.com/Aveeno-Moisturizing-Sensitive-Steroid-Free-Fragrance-Free/dp/B00YPBI980/ref=sr_1_7?keywords=Aveeno%C2%AE+Eczema+Therapy+Daily+Moisturizing+Cream+7.3oz&amp;qid=1695260037&amp;sr=8-7")</f>
        <v>https://www.amazon.com/Aveeno-Moisturizing-Sensitive-Steroid-Free-Fragrance-Free/dp/B00YPBI980/ref=sr_1_7?keywords=Aveeno%C2%AE+Eczema+Therapy+Daily+Moisturizing+Cream+7.3oz&amp;qid=1695260037&amp;sr=8-7</v>
      </c>
      <c r="F4556" t="s">
        <v>13035</v>
      </c>
      <c r="G4556" t="e">
        <f ca="1">IMAGE("https://shop.sonapharmacy.com/cdn/shop/products/39ad2759-d63c-4085-bafa-df5a04f86a4c.64123f4210ac8c27248c019d3adcf6b9.jpg?v=1611191829")</f>
        <v>#NAME?</v>
      </c>
      <c r="H4556" t="e">
        <f ca="1">IMAGE("https://m.media-amazon.com/images/I/71d2MoWesyL._AC_UL320_.jpg")</f>
        <v>#NAME?</v>
      </c>
      <c r="I4556" t="s">
        <v>3394</v>
      </c>
      <c r="J4556">
        <v>19.68</v>
      </c>
      <c r="K4556" s="2" t="s">
        <v>13036</v>
      </c>
      <c r="L4556">
        <v>4.5</v>
      </c>
      <c r="M4556">
        <v>156</v>
      </c>
      <c r="O4556" t="s">
        <v>26</v>
      </c>
      <c r="P4556" t="s">
        <v>39</v>
      </c>
      <c r="Q4556" t="s">
        <v>13037</v>
      </c>
    </row>
    <row r="4557" spans="1:17" ht="15.75" x14ac:dyDescent="0.25">
      <c r="A4557" s="3" t="str">
        <f>HYPERLINK("https://shop.sonapharmacy.com/products/aveeno%C2%AE-eczema-therapy-daily-moisturizing-cream-7-3oz", "https://shop.sonapharmacy.com/products/aveeno%C2%AE-eczema-therapy-daily-moisturizing-cream-7-3oz")</f>
        <v>https://shop.sonapharmacy.com/products/aveeno%C2%AE-eczema-therapy-daily-moisturizing-cream-7-3oz</v>
      </c>
      <c r="B4557" s="3" t="str">
        <f>HYPERLINK("https://shop.sonapharmacy.com/products/aveeno%c2%ae-eczema-therapy-daily-moisturizing-cream-7-3oz", "https://shop.sonapharmacy.com/products/aveeno%c2%ae-eczema-therapy-daily-moisturizing-cream-7-3oz")</f>
        <v>https://shop.sonapharmacy.com/products/aveeno%c2%ae-eczema-therapy-daily-moisturizing-cream-7-3oz</v>
      </c>
      <c r="C4557" t="s">
        <v>13033</v>
      </c>
      <c r="D4557" t="s">
        <v>13038</v>
      </c>
      <c r="E4557" s="3" t="str">
        <f>HYPERLINK("https://www.amazon.com/Aveeno-Eczema-Therapy-Moisturizing-Sensitive/dp/B00CWY8V9O/ref=sr_1_2?keywords=Aveeno%C2%AE+Eczema+Therapy+Daily+Moisturizing+Cream+7.3oz&amp;qid=1695260037&amp;sr=8-2", "https://www.amazon.com/Aveeno-Eczema-Therapy-Moisturizing-Sensitive/dp/B00CWY8V9O/ref=sr_1_2?keywords=Aveeno%C2%AE+Eczema+Therapy+Daily+Moisturizing+Cream+7.3oz&amp;qid=1695260037&amp;sr=8-2")</f>
        <v>https://www.amazon.com/Aveeno-Eczema-Therapy-Moisturizing-Sensitive/dp/B00CWY8V9O/ref=sr_1_2?keywords=Aveeno%C2%AE+Eczema+Therapy+Daily+Moisturizing+Cream+7.3oz&amp;qid=1695260037&amp;sr=8-2</v>
      </c>
      <c r="F4557" t="s">
        <v>13039</v>
      </c>
      <c r="G4557" t="e">
        <f ca="1">IMAGE("https://shop.sonapharmacy.com/cdn/shop/products/39ad2759-d63c-4085-bafa-df5a04f86a4c.64123f4210ac8c27248c019d3adcf6b9.jpg?v=1611191829")</f>
        <v>#NAME?</v>
      </c>
      <c r="H4557" t="e">
        <f ca="1">IMAGE("https://m.media-amazon.com/images/I/61uGf1rX7lL._AC_UL320_.jpg")</f>
        <v>#NAME?</v>
      </c>
      <c r="I4557" t="s">
        <v>3394</v>
      </c>
      <c r="J4557">
        <v>19.68</v>
      </c>
      <c r="K4557" s="2" t="s">
        <v>13036</v>
      </c>
      <c r="L4557">
        <v>4.7</v>
      </c>
      <c r="M4557">
        <v>12007</v>
      </c>
      <c r="O4557" t="s">
        <v>26</v>
      </c>
      <c r="P4557" t="s">
        <v>39</v>
      </c>
      <c r="Q4557" t="s">
        <v>13037</v>
      </c>
    </row>
    <row r="4558" spans="1:17" ht="15.75" x14ac:dyDescent="0.25">
      <c r="A4558" s="3" t="str">
        <f>HYPERLINK("https://shop.sonapharmacy.com/products/replesta-nx-once-weekly-vitamin-d-supplement", "https://shop.sonapharmacy.com/products/replesta-nx-once-weekly-vitamin-d-supplement")</f>
        <v>https://shop.sonapharmacy.com/products/replesta-nx-once-weekly-vitamin-d-supplement</v>
      </c>
      <c r="B4558" s="3" t="str">
        <f>HYPERLINK("https://shop.sonapharmacy.com/products/replesta-nx-once-weekly-vitamin-d-supplement", "https://shop.sonapharmacy.com/products/replesta-nx-once-weekly-vitamin-d-supplement")</f>
        <v>https://shop.sonapharmacy.com/products/replesta-nx-once-weekly-vitamin-d-supplement</v>
      </c>
      <c r="C4558" t="s">
        <v>12231</v>
      </c>
      <c r="D4558" t="s">
        <v>13040</v>
      </c>
      <c r="E4558" s="3" t="str">
        <f>HYPERLINK("https://www.amazon.com/Replesta-Vitamin-Cholecalciferol-Deficiency-Chewable/dp/B07CTXCTQK/ref=sr_1_2?keywords=Replesta+NX+Once-Weekly+Vitamin+D+Supplement&amp;qid=1695260681&amp;sr=8-2", "https://www.amazon.com/Replesta-Vitamin-Cholecalciferol-Deficiency-Chewable/dp/B07CTXCTQK/ref=sr_1_2?keywords=Replesta+NX+Once-Weekly+Vitamin+D+Supplement&amp;qid=1695260681&amp;sr=8-2")</f>
        <v>https://www.amazon.com/Replesta-Vitamin-Cholecalciferol-Deficiency-Chewable/dp/B07CTXCTQK/ref=sr_1_2?keywords=Replesta+NX+Once-Weekly+Vitamin+D+Supplement&amp;qid=1695260681&amp;sr=8-2</v>
      </c>
      <c r="F4558" t="s">
        <v>13041</v>
      </c>
      <c r="G4558" t="e">
        <f ca="1">IMAGE("https://shop.sonapharmacy.com/cdn/shop/products/resize_2.png?v=1596639333")</f>
        <v>#NAME?</v>
      </c>
      <c r="H4558" t="e">
        <f ca="1">IMAGE("https://m.media-amazon.com/images/I/41O0x8Htl4L._AC_UL320_.jpg")</f>
        <v>#NAME?</v>
      </c>
      <c r="I4558" t="s">
        <v>12234</v>
      </c>
      <c r="J4558">
        <v>24.99</v>
      </c>
      <c r="K4558" s="2" t="s">
        <v>13042</v>
      </c>
      <c r="L4558">
        <v>4.8</v>
      </c>
      <c r="M4558">
        <v>1703</v>
      </c>
      <c r="O4558" t="s">
        <v>26</v>
      </c>
      <c r="P4558" t="s">
        <v>39</v>
      </c>
      <c r="Q4558" t="s">
        <v>12236</v>
      </c>
    </row>
    <row r="4559" spans="1:17" ht="15.75" x14ac:dyDescent="0.25">
      <c r="A4559" s="3" t="str">
        <f>HYPERLINK("https://shop.sonapharmacy.com/products/oragel%E2%84%A2-fluoride-free-berry-flavor-training-toothpaste-1-5oz", "https://shop.sonapharmacy.com/products/oragel%E2%84%A2-fluoride-free-berry-flavor-training-toothpaste-1-5oz")</f>
        <v>https://shop.sonapharmacy.com/products/oragel%E2%84%A2-fluoride-free-berry-flavor-training-toothpaste-1-5oz</v>
      </c>
      <c r="B4559" s="3" t="str">
        <f>HYPERLINK("https://shop.sonapharmacy.com/products/oragel%e2%84%a2-fluoride-free-berry-flavor-training-toothpaste-1-5oz", "https://shop.sonapharmacy.com/products/oragel%e2%84%a2-fluoride-free-berry-flavor-training-toothpaste-1-5oz")</f>
        <v>https://shop.sonapharmacy.com/products/oragel%e2%84%a2-fluoride-free-berry-flavor-training-toothpaste-1-5oz</v>
      </c>
      <c r="C4559" t="s">
        <v>13043</v>
      </c>
      <c r="D4559" t="s">
        <v>13044</v>
      </c>
      <c r="E4559" s="3" t="str">
        <f>HYPERLINK("https://www.amazon.com/Orajel-Fluoride-Free-Training-Toothpaste-Anti-Cavity/dp/B09NR315ST/ref=sr_1_3?keywords=Oragel%E2%84%A2+Fluoride-Free+Berry+Flavor+Training+Toothpaste+1.5oz.&amp;qid=1695260614&amp;sr=8-3", "https://www.amazon.com/Orajel-Fluoride-Free-Training-Toothpaste-Anti-Cavity/dp/B09NR315ST/ref=sr_1_3?keywords=Oragel%E2%84%A2+Fluoride-Free+Berry+Flavor+Training+Toothpaste+1.5oz.&amp;qid=1695260614&amp;sr=8-3")</f>
        <v>https://www.amazon.com/Orajel-Fluoride-Free-Training-Toothpaste-Anti-Cavity/dp/B09NR315ST/ref=sr_1_3?keywords=Oragel%E2%84%A2+Fluoride-Free+Berry+Flavor+Training+Toothpaste+1.5oz.&amp;qid=1695260614&amp;sr=8-3</v>
      </c>
      <c r="F4559" t="s">
        <v>13045</v>
      </c>
      <c r="G4559" t="e">
        <f ca="1">IMAGE("https://shop.sonapharmacy.com/cdn/shop/products/71KKGqkGlAL._SL1500.jpg?v=1612277273")</f>
        <v>#NAME?</v>
      </c>
      <c r="H4559" t="e">
        <f ca="1">IMAGE("https://m.media-amazon.com/images/I/61Gv3QcUlGL._AC_UL320_.jpg")</f>
        <v>#NAME?</v>
      </c>
      <c r="I4559" t="s">
        <v>13046</v>
      </c>
      <c r="J4559">
        <v>5.45</v>
      </c>
      <c r="K4559" s="2" t="s">
        <v>13047</v>
      </c>
      <c r="L4559">
        <v>4.9000000000000004</v>
      </c>
      <c r="M4559">
        <v>23</v>
      </c>
      <c r="O4559" t="s">
        <v>136</v>
      </c>
      <c r="P4559" t="s">
        <v>39</v>
      </c>
      <c r="Q4559" t="s">
        <v>13048</v>
      </c>
    </row>
    <row r="4560" spans="1:17" ht="15.75" x14ac:dyDescent="0.25">
      <c r="A4560" s="3" t="str">
        <f>HYPERLINK("https://shop.sonapharmacy.com/products/carex%E2%84%A2-aluminum-adult-crutches", "https://shop.sonapharmacy.com/products/carex%E2%84%A2-aluminum-adult-crutches")</f>
        <v>https://shop.sonapharmacy.com/products/carex%E2%84%A2-aluminum-adult-crutches</v>
      </c>
      <c r="B4560" s="3" t="str">
        <f>HYPERLINK("https://shop.sonapharmacy.com/products/carex%e2%84%a2-aluminum-adult-crutches", "https://shop.sonapharmacy.com/products/carex%e2%84%a2-aluminum-adult-crutches")</f>
        <v>https://shop.sonapharmacy.com/products/carex%e2%84%a2-aluminum-adult-crutches</v>
      </c>
      <c r="C4560" t="s">
        <v>11801</v>
      </c>
      <c r="D4560" t="s">
        <v>13049</v>
      </c>
      <c r="E4560" s="3" t="str">
        <f>HYPERLINK("https://www.amazon.com/Aluminum-Underarm-Crutches-Adjustable-Lightweight/dp/B0B6FM21DV/ref=sr_1_9?keywords=Carex%E2%84%A2+Aluminum+Adult+Crutches&amp;qid=1695260112&amp;sr=8-9", "https://www.amazon.com/Aluminum-Underarm-Crutches-Adjustable-Lightweight/dp/B0B6FM21DV/ref=sr_1_9?keywords=Carex%E2%84%A2+Aluminum+Adult+Crutches&amp;qid=1695260112&amp;sr=8-9")</f>
        <v>https://www.amazon.com/Aluminum-Underarm-Crutches-Adjustable-Lightweight/dp/B0B6FM21DV/ref=sr_1_9?keywords=Carex%E2%84%A2+Aluminum+Adult+Crutches&amp;qid=1695260112&amp;sr=8-9</v>
      </c>
      <c r="F4560" t="s">
        <v>13050</v>
      </c>
      <c r="G4560" t="e">
        <f ca="1">IMAGE("https://shop.sonapharmacy.com/cdn/shop/products/CarexAluminumCrutchesYouth_AdultandTall_1_720x_17f8688a-06ff-4271-84a2-9e898ae6a65a.png?v=1609953352")</f>
        <v>#NAME?</v>
      </c>
      <c r="H4560" t="e">
        <f ca="1">IMAGE("https://m.media-amazon.com/images/I/61OUrItdzPL._AC_UL320_.jpg")</f>
        <v>#NAME?</v>
      </c>
      <c r="I4560" t="s">
        <v>11804</v>
      </c>
      <c r="J4560">
        <v>54.99</v>
      </c>
      <c r="K4560" s="2" t="s">
        <v>13051</v>
      </c>
      <c r="L4560">
        <v>4.0999999999999996</v>
      </c>
      <c r="M4560">
        <v>87</v>
      </c>
      <c r="O4560" t="s">
        <v>26</v>
      </c>
      <c r="P4560" t="s">
        <v>39</v>
      </c>
      <c r="Q4560" t="s">
        <v>11805</v>
      </c>
    </row>
    <row r="4561" spans="1:17" ht="15.75" x14ac:dyDescent="0.25">
      <c r="A4561" s="3" t="str">
        <f>HYPERLINK("https://shop.sonapharmacy.com/products/duracell%C2%AE-384-392-silver-oxide-button-battery", "https://shop.sonapharmacy.com/products/duracell%C2%AE-384-392-silver-oxide-button-battery")</f>
        <v>https://shop.sonapharmacy.com/products/duracell%C2%AE-384-392-silver-oxide-button-battery</v>
      </c>
      <c r="B4561" s="3" t="str">
        <f>HYPERLINK("https://shop.sonapharmacy.com/products/duracell%c2%ae-384-392-silver-oxide-button-battery", "https://shop.sonapharmacy.com/products/duracell%c2%ae-384-392-silver-oxide-button-battery")</f>
        <v>https://shop.sonapharmacy.com/products/duracell%c2%ae-384-392-silver-oxide-button-battery</v>
      </c>
      <c r="C4561" t="s">
        <v>12412</v>
      </c>
      <c r="D4561" t="s">
        <v>13052</v>
      </c>
      <c r="E4561" s="3" t="str">
        <f>HYPERLINK("https://www.amazon.com/Energizer-392-Silver-Oxide-Battery/dp/B005F5168K/ref=sr_1_5?keywords=Duracell%C2%AE+384%2F392+Silver+Oxide+Button+Battery&amp;qid=1695260213&amp;sr=8-5", "https://www.amazon.com/Energizer-392-Silver-Oxide-Battery/dp/B005F5168K/ref=sr_1_5?keywords=Duracell%C2%AE+384%2F392+Silver+Oxide+Button+Battery&amp;qid=1695260213&amp;sr=8-5")</f>
        <v>https://www.amazon.com/Energizer-392-Silver-Oxide-Battery/dp/B005F5168K/ref=sr_1_5?keywords=Duracell%C2%AE+384%2F392+Silver+Oxide+Button+Battery&amp;qid=1695260213&amp;sr=8-5</v>
      </c>
      <c r="F4561" t="s">
        <v>13053</v>
      </c>
      <c r="G4561" t="e">
        <f ca="1">IMAGE("https://shop.sonapharmacy.com/cdn/shop/products/0b52d5e3-c879-4b57-80be-c3c0fed3d0de_1.7f064c989c6a1bbc7370a5e30f008f85.jpg?v=1610330993")</f>
        <v>#NAME?</v>
      </c>
      <c r="H4561" t="e">
        <f ca="1">IMAGE("https://m.media-amazon.com/images/I/61iXjUkFqML._AC_UL320_.jpg")</f>
        <v>#NAME?</v>
      </c>
      <c r="I4561" t="s">
        <v>11219</v>
      </c>
      <c r="J4561">
        <v>5.75</v>
      </c>
      <c r="K4561" s="2" t="s">
        <v>13054</v>
      </c>
      <c r="L4561">
        <v>4.5999999999999996</v>
      </c>
      <c r="M4561">
        <v>1395</v>
      </c>
      <c r="O4561" t="s">
        <v>26</v>
      </c>
      <c r="P4561" t="s">
        <v>39</v>
      </c>
      <c r="Q4561" t="s">
        <v>12416</v>
      </c>
    </row>
    <row r="4562" spans="1:17" ht="15.75" x14ac:dyDescent="0.25">
      <c r="A4562" s="3" t="str">
        <f>HYPERLINK("https://shop.sonapharmacy.com/products/good-sense-non-drowsy-day-time-cold-flu-softgels", "https://shop.sonapharmacy.com/products/good-sense-non-drowsy-day-time-cold-flu-softgels")</f>
        <v>https://shop.sonapharmacy.com/products/good-sense-non-drowsy-day-time-cold-flu-softgels</v>
      </c>
      <c r="B4562" s="3" t="str">
        <f>HYPERLINK("https://shop.sonapharmacy.com/products/good-sense-non-drowsy-day-time-cold-flu-softgels", "https://shop.sonapharmacy.com/products/good-sense-non-drowsy-day-time-cold-flu-softgels")</f>
        <v>https://shop.sonapharmacy.com/products/good-sense-non-drowsy-day-time-cold-flu-softgels</v>
      </c>
      <c r="C4562" t="s">
        <v>12355</v>
      </c>
      <c r="D4562" t="s">
        <v>13055</v>
      </c>
      <c r="E4562" s="3" t="str">
        <f>HYPERLINK("https://www.amazon.com/Contac-Strength-Multi-Symptom-Daytime-Caplets/dp/B008MX2FYG/ref=sr_1_2?keywords=GoodSense%C2%AE+Non-Drowsy+Day+Time+Cold+%26+Flu+Softgels+2&amp;qid=1695260414&amp;sr=8-2", "https://www.amazon.com/Contac-Strength-Multi-Symptom-Daytime-Caplets/dp/B008MX2FYG/ref=sr_1_2?keywords=GoodSense%C2%AE+Non-Drowsy+Day+Time+Cold+%26+Flu+Softgels+2&amp;qid=1695260414&amp;sr=8-2")</f>
        <v>https://www.amazon.com/Contac-Strength-Multi-Symptom-Daytime-Caplets/dp/B008MX2FYG/ref=sr_1_2?keywords=GoodSense%C2%AE+Non-Drowsy+Day+Time+Cold+%26+Flu+Softgels+2&amp;qid=1695260414&amp;sr=8-2</v>
      </c>
      <c r="F4562" t="s">
        <v>13056</v>
      </c>
      <c r="G4562" t="e">
        <f ca="1">IMAGE("https://shop.sonapharmacy.com/cdn/shop/products/61O4igp2AJL._AC_SL1000.jpg?v=1610132043")</f>
        <v>#NAME?</v>
      </c>
      <c r="H4562" t="e">
        <f ca="1">IMAGE("https://m.media-amazon.com/images/I/71vorbnWDqL._AC_UL320_.jpg")</f>
        <v>#NAME?</v>
      </c>
      <c r="I4562" t="s">
        <v>12358</v>
      </c>
      <c r="J4562">
        <v>9.3000000000000007</v>
      </c>
      <c r="K4562" s="2" t="s">
        <v>13057</v>
      </c>
      <c r="L4562">
        <v>4.7</v>
      </c>
      <c r="M4562">
        <v>1323</v>
      </c>
      <c r="O4562" t="s">
        <v>26</v>
      </c>
      <c r="P4562" t="s">
        <v>39</v>
      </c>
      <c r="Q4562" t="s">
        <v>12360</v>
      </c>
    </row>
    <row r="4563" spans="1:17" ht="15.75" x14ac:dyDescent="0.25">
      <c r="A4563" s="3" t="str">
        <f>HYPERLINK("https://shop.sonapharmacy.com/products/vitamin-c-powder", "https://shop.sonapharmacy.com/products/vitamin-c-powder")</f>
        <v>https://shop.sonapharmacy.com/products/vitamin-c-powder</v>
      </c>
      <c r="B4563" s="3" t="str">
        <f>HYPERLINK("https://shop.sonapharmacy.com/products/vitamin-c-powder", "https://shop.sonapharmacy.com/products/vitamin-c-powder")</f>
        <v>https://shop.sonapharmacy.com/products/vitamin-c-powder</v>
      </c>
      <c r="C4563" t="s">
        <v>12636</v>
      </c>
      <c r="D4563" t="s">
        <v>13058</v>
      </c>
      <c r="E4563" s="3" t="str">
        <f>HYPERLINK("https://www.amazon.com/Metabolic-Maintenance-Vitamin-Powder/dp/B000NBWNJC/ref=sr_1_1?keywords=Metabolic+Maintenance%C2%AE+Vitamin+C+Powder&amp;qid=1695260461&amp;sr=8-1", "https://www.amazon.com/Metabolic-Maintenance-Vitamin-Powder/dp/B000NBWNJC/ref=sr_1_1?keywords=Metabolic+Maintenance%C2%AE+Vitamin+C+Powder&amp;qid=1695260461&amp;sr=8-1")</f>
        <v>https://www.amazon.com/Metabolic-Maintenance-Vitamin-Powder/dp/B000NBWNJC/ref=sr_1_1?keywords=Metabolic+Maintenance%C2%AE+Vitamin+C+Powder&amp;qid=1695260461&amp;sr=8-1</v>
      </c>
      <c r="F4563" t="s">
        <v>13059</v>
      </c>
      <c r="G4563" t="e">
        <f ca="1">IMAGE("https://shop.sonapharmacy.com/cdn/shop/products/vitamin-c-powder-1000-mg-MTM_main_1.jpg?v=1609359658")</f>
        <v>#NAME?</v>
      </c>
      <c r="H4563" t="e">
        <f ca="1">IMAGE("https://m.media-amazon.com/images/I/51gwpL7RHDL._AC_UL320_.jpg")</f>
        <v>#NAME?</v>
      </c>
      <c r="I4563" t="s">
        <v>12639</v>
      </c>
      <c r="J4563">
        <v>49</v>
      </c>
      <c r="K4563" s="2" t="s">
        <v>13060</v>
      </c>
      <c r="L4563">
        <v>4.9000000000000004</v>
      </c>
      <c r="M4563">
        <v>29</v>
      </c>
      <c r="O4563" t="s">
        <v>26</v>
      </c>
      <c r="P4563" t="s">
        <v>39</v>
      </c>
      <c r="Q4563" t="s">
        <v>12641</v>
      </c>
    </row>
    <row r="4564" spans="1:17" ht="15.75" x14ac:dyDescent="0.25">
      <c r="A4564" s="3" t="str">
        <f>HYPERLINK("https://shop.sonapharmacy.com/products/b-complex", "https://shop.sonapharmacy.com/products/b-complex")</f>
        <v>https://shop.sonapharmacy.com/products/b-complex</v>
      </c>
      <c r="B4564" s="3" t="str">
        <f>HYPERLINK("https://shop.sonapharmacy.com/products/b-complex", "https://shop.sonapharmacy.com/products/b-complex")</f>
        <v>https://shop.sonapharmacy.com/products/b-complex</v>
      </c>
      <c r="C4564" t="s">
        <v>13061</v>
      </c>
      <c r="D4564" t="s">
        <v>13062</v>
      </c>
      <c r="E4564" s="3" t="str">
        <f>HYPERLINK("https://www.amazon.com/INNATE-Response-Formulas-Complex-Promotes/dp/B001LCPMMW/ref=sr_1_1?keywords=Innate%C2%AE+Response+B-Complex&amp;qid=1695260440&amp;sr=8-1", "https://www.amazon.com/INNATE-Response-Formulas-Complex-Promotes/dp/B001LCPMMW/ref=sr_1_1?keywords=Innate%C2%AE+Response+B-Complex&amp;qid=1695260440&amp;sr=8-1")</f>
        <v>https://www.amazon.com/INNATE-Response-Formulas-Complex-Promotes/dp/B001LCPMMW/ref=sr_1_1?keywords=Innate%C2%AE+Response+B-Complex&amp;qid=1695260440&amp;sr=8-1</v>
      </c>
      <c r="F4564" t="s">
        <v>13063</v>
      </c>
      <c r="G4564" t="e">
        <f ca="1">IMAGE("https://shop.sonapharmacy.com/cdn/shop/products/b-complex-90-tablets-by-innate-response-formulas.jpg?v=1609356138")</f>
        <v>#NAME?</v>
      </c>
      <c r="H4564" t="e">
        <f ca="1">IMAGE("https://m.media-amazon.com/images/I/817mf6Fed6L._AC_UL320_.jpg")</f>
        <v>#NAME?</v>
      </c>
      <c r="I4564" t="s">
        <v>13064</v>
      </c>
      <c r="J4564">
        <v>49.97</v>
      </c>
      <c r="K4564" s="2" t="s">
        <v>13065</v>
      </c>
      <c r="L4564">
        <v>4.7</v>
      </c>
      <c r="M4564">
        <v>159</v>
      </c>
      <c r="O4564" t="s">
        <v>26</v>
      </c>
      <c r="P4564" t="s">
        <v>39</v>
      </c>
      <c r="Q4564" t="s">
        <v>13066</v>
      </c>
    </row>
    <row r="4565" spans="1:17" ht="15.75" x14ac:dyDescent="0.25">
      <c r="A4565" s="3" t="str">
        <f>HYPERLINK("https://shop.sonapharmacy.com/products/preservision-areds-formula-soft-gels", "https://shop.sonapharmacy.com/products/preservision-areds-formula-soft-gels")</f>
        <v>https://shop.sonapharmacy.com/products/preservision-areds-formula-soft-gels</v>
      </c>
      <c r="B4565" s="3" t="str">
        <f>HYPERLINK("https://shop.sonapharmacy.com/products/preservision-areds-formula-soft-gels", "https://shop.sonapharmacy.com/products/preservision-areds-formula-soft-gels")</f>
        <v>https://shop.sonapharmacy.com/products/preservision-areds-formula-soft-gels</v>
      </c>
      <c r="C4565" t="s">
        <v>8013</v>
      </c>
      <c r="D4565" t="s">
        <v>13067</v>
      </c>
      <c r="E4565" s="3" t="str">
        <f>HYPERLINK("https://www.amazon.com/PreserVision-AREDS-Vitamin-Mineral-Supplement/dp/B00DJUK8HS/ref=sr_1_5?keywords=PreserVision+AREDS+Formula+Soft+Gels&amp;qid=1695260640&amp;sr=8-5", "https://www.amazon.com/PreserVision-AREDS-Vitamin-Mineral-Supplement/dp/B00DJUK8HS/ref=sr_1_5?keywords=PreserVision+AREDS+Formula+Soft+Gels&amp;qid=1695260640&amp;sr=8-5")</f>
        <v>https://www.amazon.com/PreserVision-AREDS-Vitamin-Mineral-Supplement/dp/B00DJUK8HS/ref=sr_1_5?keywords=PreserVision+AREDS+Formula+Soft+Gels&amp;qid=1695260640&amp;sr=8-5</v>
      </c>
      <c r="F4565" t="s">
        <v>13068</v>
      </c>
      <c r="G4565" t="e">
        <f ca="1">IMAGE("https://shop.sonapharmacy.com/cdn/shop/products/PreserVisionAREDSFormulaSoftGels3.jpg?v=1594926297")</f>
        <v>#NAME?</v>
      </c>
      <c r="H4565" t="e">
        <f ca="1">IMAGE("https://m.media-amazon.com/images/I/615iYQq1XRL._AC_UL320_.jpg")</f>
        <v>#NAME?</v>
      </c>
      <c r="I4565" t="s">
        <v>8016</v>
      </c>
      <c r="J4565">
        <v>23.9</v>
      </c>
      <c r="K4565" s="2" t="s">
        <v>13069</v>
      </c>
      <c r="L4565">
        <v>4.5999999999999996</v>
      </c>
      <c r="M4565">
        <v>44104</v>
      </c>
      <c r="O4565" t="s">
        <v>26</v>
      </c>
      <c r="P4565" t="s">
        <v>39</v>
      </c>
      <c r="Q4565" t="s">
        <v>8018</v>
      </c>
    </row>
    <row r="4566" spans="1:17" ht="15.75" x14ac:dyDescent="0.25">
      <c r="A4566" s="3" t="str">
        <f>HYPERLINK("https://shop.sonapharmacy.com/products/philips%C2%AE-sonicare-1100-daily-clean-electric-toothbrush", "https://shop.sonapharmacy.com/products/philips%C2%AE-sonicare-1100-daily-clean-electric-toothbrush")</f>
        <v>https://shop.sonapharmacy.com/products/philips%C2%AE-sonicare-1100-daily-clean-electric-toothbrush</v>
      </c>
      <c r="B4566" s="3" t="str">
        <f>HYPERLINK("https://shop.sonapharmacy.com/products/philips%c2%ae-sonicare-1100-daily-clean-electric-toothbrush", "https://shop.sonapharmacy.com/products/philips%c2%ae-sonicare-1100-daily-clean-electric-toothbrush")</f>
        <v>https://shop.sonapharmacy.com/products/philips%c2%ae-sonicare-1100-daily-clean-electric-toothbrush</v>
      </c>
      <c r="C4566" t="s">
        <v>11428</v>
      </c>
      <c r="D4566" t="s">
        <v>13070</v>
      </c>
      <c r="E4566" s="3" t="str">
        <f>HYPERLINK("https://www.amazon.com/Sonicare-Rechargeable-Electric-Toothbrush-Effective/dp/B019K7DPG4/ref=sr_1_6?keywords=Philip%27s%C2%AE+Sonicare+1100+Daily+Clean+Electric+Toothbrush&amp;qid=1695260635&amp;sr=8-6", "https://www.amazon.com/Sonicare-Rechargeable-Electric-Toothbrush-Effective/dp/B019K7DPG4/ref=sr_1_6?keywords=Philip%27s%C2%AE+Sonicare+1100+Daily+Clean+Electric+Toothbrush&amp;qid=1695260635&amp;sr=8-6")</f>
        <v>https://www.amazon.com/Sonicare-Rechargeable-Electric-Toothbrush-Effective/dp/B019K7DPG4/ref=sr_1_6?keywords=Philip%27s%C2%AE+Sonicare+1100+Daily+Clean+Electric+Toothbrush&amp;qid=1695260635&amp;sr=8-6</v>
      </c>
      <c r="F4566" t="s">
        <v>13071</v>
      </c>
      <c r="G4566" t="e">
        <f ca="1">IMAGE("https://shop.sonapharmacy.com/cdn/shop/products/ead938eb-0b84-44ca-80e3-51c79afb01d2.74bc2eab271bbad9bb49b14d4cdea77e.jpg?v=1608583461")</f>
        <v>#NAME?</v>
      </c>
      <c r="H4566" t="e">
        <f ca="1">IMAGE("https://m.media-amazon.com/images/I/718-+zUNRmL._AC_UL320_.jpg")</f>
        <v>#NAME?</v>
      </c>
      <c r="I4566" t="s">
        <v>3404</v>
      </c>
      <c r="J4566">
        <v>36.4</v>
      </c>
      <c r="K4566" s="2" t="s">
        <v>13072</v>
      </c>
      <c r="L4566">
        <v>4.5999999999999996</v>
      </c>
      <c r="M4566">
        <v>24341</v>
      </c>
      <c r="O4566" t="s">
        <v>26</v>
      </c>
      <c r="P4566" t="s">
        <v>39</v>
      </c>
      <c r="Q4566" t="s">
        <v>11431</v>
      </c>
    </row>
    <row r="4567" spans="1:17" ht="15.75" x14ac:dyDescent="0.25">
      <c r="A4567" s="3" t="str">
        <f>HYPERLINK("https://shop.sonapharmacy.com/products/sudafed-sinus-congestion-tablets-18-ct", "https://shop.sonapharmacy.com/products/sudafed-sinus-congestion-tablets-18-ct")</f>
        <v>https://shop.sonapharmacy.com/products/sudafed-sinus-congestion-tablets-18-ct</v>
      </c>
      <c r="B4567" s="3" t="str">
        <f>HYPERLINK("https://shop.sonapharmacy.com/products/sudafed-sinus-congestion-tablets-18-ct", "https://shop.sonapharmacy.com/products/sudafed-sinus-congestion-tablets-18-ct")</f>
        <v>https://shop.sonapharmacy.com/products/sudafed-sinus-congestion-tablets-18-ct</v>
      </c>
      <c r="C4567" t="s">
        <v>11453</v>
      </c>
      <c r="D4567" t="s">
        <v>13073</v>
      </c>
      <c r="E4567" s="3" t="str">
        <f>HYPERLINK("https://www.amazon.com/Sudafed-Congestion-Pressure-Strength-Decongestant/dp/B018GX9HII/ref=sr_1_5?keywords=Sudafed+Sinus+Congestion+Tablets&amp;qid=1695260731&amp;sr=8-5", "https://www.amazon.com/Sudafed-Congestion-Pressure-Strength-Decongestant/dp/B018GX9HII/ref=sr_1_5?keywords=Sudafed+Sinus+Congestion+Tablets&amp;qid=1695260731&amp;sr=8-5")</f>
        <v>https://www.amazon.com/Sudafed-Congestion-Pressure-Strength-Decongestant/dp/B018GX9HII/ref=sr_1_5?keywords=Sudafed+Sinus+Congestion+Tablets&amp;qid=1695260731&amp;sr=8-5</v>
      </c>
      <c r="F4567" t="s">
        <v>13074</v>
      </c>
      <c r="G4567" t="e">
        <f ca="1">IMAGE("https://shop.sonapharmacy.com/cdn/shop/products/SudafedSinusCongestionTablets.jpg?v=1595444685")</f>
        <v>#NAME?</v>
      </c>
      <c r="H4567" t="e">
        <f ca="1">IMAGE("https://m.media-amazon.com/images/I/81MfXKMImeL._AC_UL320_.jpg")</f>
        <v>#NAME?</v>
      </c>
      <c r="I4567" t="s">
        <v>11456</v>
      </c>
      <c r="J4567">
        <v>11.44</v>
      </c>
      <c r="K4567" s="2" t="s">
        <v>13075</v>
      </c>
      <c r="L4567">
        <v>4.5999999999999996</v>
      </c>
      <c r="M4567">
        <v>15542</v>
      </c>
      <c r="O4567" t="s">
        <v>26</v>
      </c>
      <c r="P4567" t="s">
        <v>39</v>
      </c>
      <c r="Q4567" t="s">
        <v>11458</v>
      </c>
    </row>
    <row r="4568" spans="1:17" ht="15.75" x14ac:dyDescent="0.25">
      <c r="A4568" s="3" t="str">
        <f>HYPERLINK("https://shop.sonapharmacy.com/products/goodsense%C2%AE-loratadine-allergy-tablets", "https://shop.sonapharmacy.com/products/goodsense%C2%AE-loratadine-allergy-tablets")</f>
        <v>https://shop.sonapharmacy.com/products/goodsense%C2%AE-loratadine-allergy-tablets</v>
      </c>
      <c r="B4568" s="3" t="str">
        <f>HYPERLINK("https://shop.sonapharmacy.com/products/goodsense%c2%ae-loratadine-allergy-tablets", "https://shop.sonapharmacy.com/products/goodsense%c2%ae-loratadine-allergy-tablets")</f>
        <v>https://shop.sonapharmacy.com/products/goodsense%c2%ae-loratadine-allergy-tablets</v>
      </c>
      <c r="C4568" t="s">
        <v>9855</v>
      </c>
      <c r="D4568" t="s">
        <v>13076</v>
      </c>
      <c r="E4568" s="3" t="str">
        <f>HYPERLINK("https://www.amazon.com/Rising-Pharma-Allergy-Relief-Antihistamine/dp/B09XJ7GTW4/ref=sr_1_9?keywords=GoodSense%C2%AE+Loratadine+Allergy+Tablets&amp;qid=1695260354&amp;sr=8-9", "https://www.amazon.com/Rising-Pharma-Allergy-Relief-Antihistamine/dp/B09XJ7GTW4/ref=sr_1_9?keywords=GoodSense%C2%AE+Loratadine+Allergy+Tablets&amp;qid=1695260354&amp;sr=8-9")</f>
        <v>https://www.amazon.com/Rising-Pharma-Allergy-Relief-Antihistamine/dp/B09XJ7GTW4/ref=sr_1_9?keywords=GoodSense%C2%AE+Loratadine+Allergy+Tablets&amp;qid=1695260354&amp;sr=8-9</v>
      </c>
      <c r="F4568" t="s">
        <v>13077</v>
      </c>
      <c r="G4568" t="e">
        <f ca="1">IMAGE("https://shop.sonapharmacy.com/cdn/shop/products/Untitled-168.jpg?v=1593196295")</f>
        <v>#NAME?</v>
      </c>
      <c r="H4568" t="e">
        <f ca="1">IMAGE("https://m.media-amazon.com/images/I/61c2v5nIykL._AC_UL320_.jpg")</f>
        <v>#NAME?</v>
      </c>
      <c r="I4568" t="s">
        <v>8361</v>
      </c>
      <c r="J4568">
        <v>10.9</v>
      </c>
      <c r="K4568" s="2" t="s">
        <v>13078</v>
      </c>
      <c r="L4568">
        <v>4.7</v>
      </c>
      <c r="M4568">
        <v>584</v>
      </c>
      <c r="O4568" t="s">
        <v>26</v>
      </c>
      <c r="P4568" t="s">
        <v>39</v>
      </c>
      <c r="Q4568" t="s">
        <v>9859</v>
      </c>
    </row>
    <row r="4569" spans="1:17" ht="15.75" x14ac:dyDescent="0.25">
      <c r="A4569" s="3" t="str">
        <f>HYPERLINK("https://shop.sonapharmacy.com/products/alka-seltzer%C2%AE-heartburn-gas-relief-chews-tropical-punch-32ct", "https://shop.sonapharmacy.com/products/alka-seltzer%C2%AE-heartburn-gas-relief-chews-tropical-punch-32ct")</f>
        <v>https://shop.sonapharmacy.com/products/alka-seltzer%C2%AE-heartburn-gas-relief-chews-tropical-punch-32ct</v>
      </c>
      <c r="B4569" s="3" t="str">
        <f>HYPERLINK("https://shop.sonapharmacy.com/products/alka-seltzer%c2%ae-heartburn-gas-relief-chews-tropical-punch-32ct", "https://shop.sonapharmacy.com/products/alka-seltzer%c2%ae-heartburn-gas-relief-chews-tropical-punch-32ct")</f>
        <v>https://shop.sonapharmacy.com/products/alka-seltzer%c2%ae-heartburn-gas-relief-chews-tropical-punch-32ct</v>
      </c>
      <c r="C4569" t="s">
        <v>8175</v>
      </c>
      <c r="D4569" t="s">
        <v>13079</v>
      </c>
      <c r="E4569" s="3" t="str">
        <f>HYPERLINK("https://www.amazon.com/Alka-Seltzer-Heartburn-Gas-ReliefChews-Indigestion/dp/B09X28P3B8/ref=sr_1_2?keywords=Alka-Seltzer+Heartburn+Gas+Relief+Chews+Tropical+Punch&amp;qid=1695260006&amp;sr=8-2", "https://www.amazon.com/Alka-Seltzer-Heartburn-Gas-ReliefChews-Indigestion/dp/B09X28P3B8/ref=sr_1_2?keywords=Alka-Seltzer+Heartburn+Gas+Relief+Chews+Tropical+Punch&amp;qid=1695260006&amp;sr=8-2")</f>
        <v>https://www.amazon.com/Alka-Seltzer-Heartburn-Gas-ReliefChews-Indigestion/dp/B09X28P3B8/ref=sr_1_2?keywords=Alka-Seltzer+Heartburn+Gas+Relief+Chews+Tropical+Punch&amp;qid=1695260006&amp;sr=8-2</v>
      </c>
      <c r="F4569" t="s">
        <v>13080</v>
      </c>
      <c r="G4569" t="e">
        <f ca="1">IMAGE("https://shop.sonapharmacy.com/cdn/shop/products/81ec1ae0-d212-4df8-9493-d30e16c1d6ad_2.2ded3fb69892b5ccccecbbff2e40283a.jpg?v=1611187068")</f>
        <v>#NAME?</v>
      </c>
      <c r="H4569" t="e">
        <f ca="1">IMAGE("https://m.media-amazon.com/images/I/517foUvgTdL._AC_UL320_.jpg")</f>
        <v>#NAME?</v>
      </c>
      <c r="I4569" t="s">
        <v>6757</v>
      </c>
      <c r="J4569">
        <v>8.6999999999999993</v>
      </c>
      <c r="K4569" s="2" t="s">
        <v>13081</v>
      </c>
      <c r="L4569">
        <v>4.4000000000000004</v>
      </c>
      <c r="M4569">
        <v>38</v>
      </c>
      <c r="O4569" t="s">
        <v>26</v>
      </c>
      <c r="P4569" t="s">
        <v>39</v>
      </c>
      <c r="Q4569" t="s">
        <v>8179</v>
      </c>
    </row>
    <row r="4570" spans="1:17" ht="15.75" x14ac:dyDescent="0.25">
      <c r="A4570" s="3" t="str">
        <f>HYPERLINK("https://shop.sonapharmacy.com/products/osteo-bi-flex-joint-health-dietary-supplement-tablets", "https://shop.sonapharmacy.com/products/osteo-bi-flex-joint-health-dietary-supplement-tablets")</f>
        <v>https://shop.sonapharmacy.com/products/osteo-bi-flex-joint-health-dietary-supplement-tablets</v>
      </c>
      <c r="B4570" s="3" t="str">
        <f>HYPERLINK("https://shop.sonapharmacy.com/products/osteo-bi-flex-joint-health-dietary-supplement-tablets", "https://shop.sonapharmacy.com/products/osteo-bi-flex-joint-health-dietary-supplement-tablets")</f>
        <v>https://shop.sonapharmacy.com/products/osteo-bi-flex-joint-health-dietary-supplement-tablets</v>
      </c>
      <c r="C4570" t="s">
        <v>12437</v>
      </c>
      <c r="D4570" t="s">
        <v>13082</v>
      </c>
      <c r="E4570" s="3" t="str">
        <f>HYPERLINK("https://www.amazon.com/Osteo-Bi-Flex-Advanced-Collagen-Formula/dp/B01BMTEJFO/ref=sr_1_9?keywords=Osteo+Bi-Flex+One-A-Day+Joint+Health+Supplements+Tablets&amp;qid=1695260624&amp;sr=8-9", "https://www.amazon.com/Osteo-Bi-Flex-Advanced-Collagen-Formula/dp/B01BMTEJFO/ref=sr_1_9?keywords=Osteo+Bi-Flex+One-A-Day+Joint+Health+Supplements+Tablets&amp;qid=1695260624&amp;sr=8-9")</f>
        <v>https://www.amazon.com/Osteo-Bi-Flex-Advanced-Collagen-Formula/dp/B01BMTEJFO/ref=sr_1_9?keywords=Osteo+Bi-Flex+One-A-Day+Joint+Health+Supplements+Tablets&amp;qid=1695260624&amp;sr=8-9</v>
      </c>
      <c r="F4570" t="s">
        <v>13083</v>
      </c>
      <c r="G4570" t="e">
        <f ca="1">IMAGE("https://shop.sonapharmacy.com/cdn/shop/products/osteobiflexoneadyaresized.jpg?v=1592493119")</f>
        <v>#NAME?</v>
      </c>
      <c r="H4570" t="e">
        <f ca="1">IMAGE("https://m.media-amazon.com/images/I/81LlbkodwfL._AC_UL320_.jpg")</f>
        <v>#NAME?</v>
      </c>
      <c r="I4570" t="s">
        <v>12440</v>
      </c>
      <c r="J4570">
        <v>26.99</v>
      </c>
      <c r="K4570" s="2" t="s">
        <v>13084</v>
      </c>
      <c r="L4570">
        <v>4.5999999999999996</v>
      </c>
      <c r="M4570">
        <v>755</v>
      </c>
      <c r="O4570" t="s">
        <v>26</v>
      </c>
      <c r="P4570" t="s">
        <v>39</v>
      </c>
      <c r="Q4570" t="s">
        <v>12442</v>
      </c>
    </row>
    <row r="4571" spans="1:17" ht="15.75" x14ac:dyDescent="0.25">
      <c r="A4571" s="3" t="str">
        <f>HYPERLINK("https://shop.sonapharmacy.com/products/natural-vitality%C2%AE-calm-magnesium-supplement-raspberry-lemon-powder-8oz", "https://shop.sonapharmacy.com/products/natural-vitality%C2%AE-calm-magnesium-supplement-raspberry-lemon-powder-8oz")</f>
        <v>https://shop.sonapharmacy.com/products/natural-vitality%C2%AE-calm-magnesium-supplement-raspberry-lemon-powder-8oz</v>
      </c>
      <c r="B4571" s="3" t="str">
        <f>HYPERLINK("https://shop.sonapharmacy.com/products/natural-vitality%c2%ae-calm-magnesium-supplement-raspberry-lemon-powder-8oz", "https://shop.sonapharmacy.com/products/natural-vitality%c2%ae-calm-magnesium-supplement-raspberry-lemon-powder-8oz")</f>
        <v>https://shop.sonapharmacy.com/products/natural-vitality%c2%ae-calm-magnesium-supplement-raspberry-lemon-powder-8oz</v>
      </c>
      <c r="C4571" t="s">
        <v>11279</v>
      </c>
      <c r="D4571" t="s">
        <v>13085</v>
      </c>
      <c r="E4571" s="3" t="str">
        <f>HYPERLINK("https://www.amazon.com/Natural-Vitality-Anti-Stress-Supplement-Raspberry/dp/B00BPUY3W0/ref=sr_1_4?keywords=Natural+Vitality%C2%AE+CALM+Magnesium+Supplement+Raspberry-Lemon+Powder+8oz.&amp;qid=1695260522&amp;sr=8-4", "https://www.amazon.com/Natural-Vitality-Anti-Stress-Supplement-Raspberry/dp/B00BPUY3W0/ref=sr_1_4?keywords=Natural+Vitality%C2%AE+CALM+Magnesium+Supplement+Raspberry-Lemon+Powder+8oz.&amp;qid=1695260522&amp;sr=8-4")</f>
        <v>https://www.amazon.com/Natural-Vitality-Anti-Stress-Supplement-Raspberry/dp/B00BPUY3W0/ref=sr_1_4?keywords=Natural+Vitality%C2%AE+CALM+Magnesium+Supplement+Raspberry-Lemon+Powder+8oz.&amp;qid=1695260522&amp;sr=8-4</v>
      </c>
      <c r="F4571" t="s">
        <v>13086</v>
      </c>
      <c r="G4571" t="e">
        <f ca="1">IMAGE("https://shop.sonapharmacy.com/cdn/shop/products/53ba39ee-f0fe-4ad1-987f-3f943ef74b6e.cddadaee066a3c33345682b8472c7f72.jpg?v=1611021342")</f>
        <v>#NAME?</v>
      </c>
      <c r="H4571" t="e">
        <f ca="1">IMAGE("https://m.media-amazon.com/images/I/71mxHOhEC0L._AC_UL320_.jpg")</f>
        <v>#NAME?</v>
      </c>
      <c r="I4571" t="s">
        <v>11282</v>
      </c>
      <c r="J4571">
        <v>28.94</v>
      </c>
      <c r="K4571" s="2" t="s">
        <v>3430</v>
      </c>
      <c r="L4571">
        <v>4.5999999999999996</v>
      </c>
      <c r="M4571">
        <v>38834</v>
      </c>
      <c r="O4571" t="s">
        <v>26</v>
      </c>
      <c r="P4571" t="s">
        <v>39</v>
      </c>
      <c r="Q4571" t="s">
        <v>11284</v>
      </c>
    </row>
    <row r="4572" spans="1:17" ht="15.75" x14ac:dyDescent="0.25">
      <c r="A4572" s="3" t="str">
        <f>HYPERLINK("https://shop.sonapharmacy.com/products/goodsense%C2%AE-dairy-digestive-fast-acting-caplets-60ct", "https://shop.sonapharmacy.com/products/goodsense%C2%AE-dairy-digestive-fast-acting-caplets-60ct")</f>
        <v>https://shop.sonapharmacy.com/products/goodsense%C2%AE-dairy-digestive-fast-acting-caplets-60ct</v>
      </c>
      <c r="B4572" s="3" t="str">
        <f>HYPERLINK("https://shop.sonapharmacy.com/products/goodsense%c2%ae-dairy-digestive-fast-acting-caplets-60ct", "https://shop.sonapharmacy.com/products/goodsense%c2%ae-dairy-digestive-fast-acting-caplets-60ct")</f>
        <v>https://shop.sonapharmacy.com/products/goodsense%c2%ae-dairy-digestive-fast-acting-caplets-60ct</v>
      </c>
      <c r="C4572" t="s">
        <v>13087</v>
      </c>
      <c r="D4572" t="s">
        <v>13088</v>
      </c>
      <c r="E4572" s="3" t="str">
        <f>HYPERLINK("https://www.amazon.com/Rite-Aid-Dairy-125/dp/B0030HSCUU/ref=sr_1_2?keywords=GoodSense%C2%AE+Dairy+Digestive+Fast+Acting+Caplets+60ct.&amp;qid=1695260315&amp;sr=8-2", "https://www.amazon.com/Rite-Aid-Dairy-125/dp/B0030HSCUU/ref=sr_1_2?keywords=GoodSense%C2%AE+Dairy+Digestive+Fast+Acting+Caplets+60ct.&amp;qid=1695260315&amp;sr=8-2")</f>
        <v>https://www.amazon.com/Rite-Aid-Dairy-125/dp/B0030HSCUU/ref=sr_1_2?keywords=GoodSense%C2%AE+Dairy+Digestive+Fast+Acting+Caplets+60ct.&amp;qid=1695260315&amp;sr=8-2</v>
      </c>
      <c r="F4572" t="s">
        <v>13089</v>
      </c>
      <c r="G4572" t="e">
        <f ca="1">IMAGE("https://shop.sonapharmacy.com/cdn/shop/products/goodsense-dairy-digestive-fast-acting-caplets-lactose-supplement-60-ct-29061-3.jpg?v=1630867748")</f>
        <v>#NAME?</v>
      </c>
      <c r="H4572" t="e">
        <f ca="1">IMAGE("https://m.media-amazon.com/images/I/81VHaSE99yL._AC_UL320_.jpg")</f>
        <v>#NAME?</v>
      </c>
      <c r="I4572" t="s">
        <v>9296</v>
      </c>
      <c r="J4572">
        <v>17.989999999999998</v>
      </c>
      <c r="K4572" s="2" t="s">
        <v>13090</v>
      </c>
      <c r="L4572">
        <v>4.5999999999999996</v>
      </c>
      <c r="M4572">
        <v>530</v>
      </c>
      <c r="O4572" t="s">
        <v>136</v>
      </c>
      <c r="P4572" t="s">
        <v>39</v>
      </c>
      <c r="Q4572" t="s">
        <v>13091</v>
      </c>
    </row>
    <row r="4573" spans="1:17" ht="15.75" x14ac:dyDescent="0.25">
      <c r="A4573" s="3" t="str">
        <f>HYPERLINK("https://shop.sonapharmacy.com/products/okeeffes-skin-repair-body-lotion-7oz", "https://shop.sonapharmacy.com/products/okeeffes-skin-repair-body-lotion-7oz")</f>
        <v>https://shop.sonapharmacy.com/products/okeeffes-skin-repair-body-lotion-7oz</v>
      </c>
      <c r="B4573" s="3" t="str">
        <f>HYPERLINK("https://shop.sonapharmacy.com/products/okeeffes-skin-repair-body-lotion-7oz", "https://shop.sonapharmacy.com/products/okeeffes-skin-repair-body-lotion-7oz")</f>
        <v>https://shop.sonapharmacy.com/products/okeeffes-skin-repair-body-lotion-7oz</v>
      </c>
      <c r="C4573" t="s">
        <v>8093</v>
      </c>
      <c r="D4573" t="s">
        <v>13092</v>
      </c>
      <c r="E4573" s="3" t="str">
        <f>HYPERLINK("https://www.amazon.com/OKeeffes-Skin-Repair-Body-Lotion/dp/B075WYLQF7/ref=sr_1_4?keywords=O%27Keeffe%27s+Skin+Repair+Body+Lotion+7oz.&amp;qid=1695260599&amp;sr=8-4", "https://www.amazon.com/OKeeffes-Skin-Repair-Body-Lotion/dp/B075WYLQF7/ref=sr_1_4?keywords=O%27Keeffe%27s+Skin+Repair+Body+Lotion+7oz.&amp;qid=1695260599&amp;sr=8-4")</f>
        <v>https://www.amazon.com/OKeeffes-Skin-Repair-Body-Lotion/dp/B075WYLQF7/ref=sr_1_4?keywords=O%27Keeffe%27s+Skin+Repair+Body+Lotion+7oz.&amp;qid=1695260599&amp;sr=8-4</v>
      </c>
      <c r="F4573" t="s">
        <v>13093</v>
      </c>
      <c r="G4573" t="e">
        <f ca="1">IMAGE("https://shop.sonapharmacy.com/cdn/shop/products/3bd16183-fe45-42dc-92f8-debd6868b3ac_1.7c675874396c0c8bd4b5440f108ff7b2.jpg?v=1608410648")</f>
        <v>#NAME?</v>
      </c>
      <c r="H4573" t="e">
        <f ca="1">IMAGE("https://m.media-amazon.com/images/I/517AYdtvqtS._AC_UL320_.jpg")</f>
        <v>#NAME?</v>
      </c>
      <c r="I4573" t="s">
        <v>8096</v>
      </c>
      <c r="J4573">
        <v>10.98</v>
      </c>
      <c r="K4573" s="2" t="s">
        <v>13094</v>
      </c>
      <c r="L4573">
        <v>4.7</v>
      </c>
      <c r="M4573">
        <v>905</v>
      </c>
      <c r="O4573" t="s">
        <v>26</v>
      </c>
      <c r="P4573" t="s">
        <v>39</v>
      </c>
      <c r="Q4573" t="s">
        <v>8098</v>
      </c>
    </row>
    <row r="4574" spans="1:17" ht="15.75" x14ac:dyDescent="0.25">
      <c r="A4574" s="3" t="str">
        <f>HYPERLINK("https://shop.sonapharmacy.com/products/cetaphil%C2%AE-spf-50-daily-facial-moisturizer-1-7fl-oz", "https://shop.sonapharmacy.com/products/cetaphil%C2%AE-spf-50-daily-facial-moisturizer-1-7fl-oz")</f>
        <v>https://shop.sonapharmacy.com/products/cetaphil%C2%AE-spf-50-daily-facial-moisturizer-1-7fl-oz</v>
      </c>
      <c r="B4574" s="3" t="str">
        <f>HYPERLINK("https://shop.sonapharmacy.com/products/cetaphil%c2%ae-spf-50-daily-facial-moisturizer-1-7fl-oz", "https://shop.sonapharmacy.com/products/cetaphil%c2%ae-spf-50-daily-facial-moisturizer-1-7fl-oz")</f>
        <v>https://shop.sonapharmacy.com/products/cetaphil%c2%ae-spf-50-daily-facial-moisturizer-1-7fl-oz</v>
      </c>
      <c r="C4574" t="s">
        <v>13095</v>
      </c>
      <c r="D4574" t="s">
        <v>13096</v>
      </c>
      <c r="E4574" s="3" t="str">
        <f>HYPERLINK("https://www.amazon.com/Cetaphil-Daily-Facial-Moisturizer-Sunscreen/dp/B001GIOW3G/ref=sr_1_1?keywords=Cetaphil%C2%AE+SPF+50%2B+Daily+Facial+Moisturizer+1.7fl.+oz.&amp;qid=1695260126&amp;sr=8-1", "https://www.amazon.com/Cetaphil-Daily-Facial-Moisturizer-Sunscreen/dp/B001GIOW3G/ref=sr_1_1?keywords=Cetaphil%C2%AE+SPF+50%2B+Daily+Facial+Moisturizer+1.7fl.+oz.&amp;qid=1695260126&amp;sr=8-1")</f>
        <v>https://www.amazon.com/Cetaphil-Daily-Facial-Moisturizer-Sunscreen/dp/B001GIOW3G/ref=sr_1_1?keywords=Cetaphil%C2%AE+SPF+50%2B+Daily+Facial+Moisturizer+1.7fl.+oz.&amp;qid=1695260126&amp;sr=8-1</v>
      </c>
      <c r="F4574" t="s">
        <v>13097</v>
      </c>
      <c r="G4574" t="e">
        <f ca="1">IMAGE("https://shop.sonapharmacy.com/cdn/shop/products/GUEST_ec4ceaef-6efe-488d-ae6c-925034c0f48d.jpg?v=1608313465")</f>
        <v>#NAME?</v>
      </c>
      <c r="H4574" t="e">
        <f ca="1">IMAGE("https://m.media-amazon.com/images/I/71ycEopjytL._AC_UL320_.jpg")</f>
        <v>#NAME?</v>
      </c>
      <c r="I4574" t="s">
        <v>13098</v>
      </c>
      <c r="J4574">
        <v>26.98</v>
      </c>
      <c r="K4574" s="2" t="s">
        <v>13099</v>
      </c>
      <c r="L4574">
        <v>4.3</v>
      </c>
      <c r="M4574">
        <v>6440</v>
      </c>
      <c r="O4574" t="s">
        <v>136</v>
      </c>
      <c r="P4574" t="s">
        <v>39</v>
      </c>
      <c r="Q4574" t="s">
        <v>13100</v>
      </c>
    </row>
    <row r="4575" spans="1:17" ht="15.75" x14ac:dyDescent="0.25">
      <c r="A4575" s="3" t="str">
        <f>HYPERLINK("https://shop.sonapharmacy.com/products/duracell%C2%AE-aaa-coppertop-alkaline-batteries", "https://shop.sonapharmacy.com/products/duracell%C2%AE-aaa-coppertop-alkaline-batteries")</f>
        <v>https://shop.sonapharmacy.com/products/duracell%C2%AE-aaa-coppertop-alkaline-batteries</v>
      </c>
      <c r="B4575" s="3" t="str">
        <f>HYPERLINK("https://shop.sonapharmacy.com/products/duracell%c2%ae-aaa-coppertop-alkaline-batteries", "https://shop.sonapharmacy.com/products/duracell%c2%ae-aaa-coppertop-alkaline-batteries")</f>
        <v>https://shop.sonapharmacy.com/products/duracell%c2%ae-aaa-coppertop-alkaline-batteries</v>
      </c>
      <c r="C4575" t="s">
        <v>8166</v>
      </c>
      <c r="D4575" t="s">
        <v>13101</v>
      </c>
      <c r="E4575" s="3" t="str">
        <f>HYPERLINK("https://www.amazon.com/Duracell-Coppertop-Alkaline-AAA-Batteries/dp/B000HI6CEI/ref=sr_1_4?keywords=Duracell%C2%AE+AAA+CopperTop+Alkaline+Batteries&amp;qid=1695260225&amp;sr=8-4", "https://www.amazon.com/Duracell-Coppertop-Alkaline-AAA-Batteries/dp/B000HI6CEI/ref=sr_1_4?keywords=Duracell%C2%AE+AAA+CopperTop+Alkaline+Batteries&amp;qid=1695260225&amp;sr=8-4")</f>
        <v>https://www.amazon.com/Duracell-Coppertop-Alkaline-AAA-Batteries/dp/B000HI6CEI/ref=sr_1_4?keywords=Duracell%C2%AE+AAA+CopperTop+Alkaline+Batteries&amp;qid=1695260225&amp;sr=8-4</v>
      </c>
      <c r="F4575" t="s">
        <v>13102</v>
      </c>
      <c r="G4575" t="e">
        <f ca="1">IMAGE("https://shop.sonapharmacy.com/cdn/shop/products/4711941b-a083-4277-8d8a-0a1bce8b082a_1.a291637149acb335ff96c25aae0e8bc1.png?v=1610335288")</f>
        <v>#NAME?</v>
      </c>
      <c r="H4575" t="e">
        <f ca="1">IMAGE("https://m.media-amazon.com/images/I/71a61CuYSWL._AC_UL320_.jpg")</f>
        <v>#NAME?</v>
      </c>
      <c r="I4575" t="s">
        <v>8169</v>
      </c>
      <c r="J4575">
        <v>9.18</v>
      </c>
      <c r="K4575" s="2" t="s">
        <v>13103</v>
      </c>
      <c r="L4575">
        <v>4.8</v>
      </c>
      <c r="M4575">
        <v>5776</v>
      </c>
      <c r="O4575" t="s">
        <v>26</v>
      </c>
      <c r="P4575" t="s">
        <v>39</v>
      </c>
      <c r="Q4575" t="s">
        <v>8171</v>
      </c>
    </row>
    <row r="4576" spans="1:17" ht="15.75" x14ac:dyDescent="0.25">
      <c r="A4576" s="3" t="str">
        <f>HYPERLINK("https://shop.sonapharmacy.com/products/mueller%C2%AE-advanced-adjustable-ankle-stabilizer-one-size", "https://shop.sonapharmacy.com/products/mueller%C2%AE-advanced-adjustable-ankle-stabilizer-one-size")</f>
        <v>https://shop.sonapharmacy.com/products/mueller%C2%AE-advanced-adjustable-ankle-stabilizer-one-size</v>
      </c>
      <c r="B4576" s="3" t="str">
        <f>HYPERLINK("https://shop.sonapharmacy.com/products/mueller%c2%ae-advanced-adjustable-ankle-stabilizer-one-size", "https://shop.sonapharmacy.com/products/mueller%c2%ae-advanced-adjustable-ankle-stabilizer-one-size")</f>
        <v>https://shop.sonapharmacy.com/products/mueller%c2%ae-advanced-adjustable-ankle-stabilizer-one-size</v>
      </c>
      <c r="C4576" t="s">
        <v>13104</v>
      </c>
      <c r="D4576" t="s">
        <v>13105</v>
      </c>
      <c r="E4576" s="3" t="str">
        <f>HYPERLINK("https://www.amazon.com/Mueller-Adjustable-Ankle-Stabilizer-Black/dp/B09LKN3G3B/ref=sr_1_1?keywords=Mueller%C2%AE+Advanced+Adjustable+Ankle+Stabilizer+One+Size&amp;qid=1695260504&amp;sr=8-1", "https://www.amazon.com/Mueller-Adjustable-Ankle-Stabilizer-Black/dp/B09LKN3G3B/ref=sr_1_1?keywords=Mueller%C2%AE+Advanced+Adjustable+Ankle+Stabilizer+One+Size&amp;qid=1695260504&amp;sr=8-1")</f>
        <v>https://www.amazon.com/Mueller-Adjustable-Ankle-Stabilizer-Black/dp/B09LKN3G3B/ref=sr_1_1?keywords=Mueller%C2%AE+Advanced+Adjustable+Ankle+Stabilizer+One+Size&amp;qid=1695260504&amp;sr=8-1</v>
      </c>
      <c r="F4576" t="s">
        <v>13106</v>
      </c>
      <c r="G4576" t="e">
        <f ca="1">IMAGE("https://shop.sonapharmacy.com/cdn/shop/products/71IQP5pbMeL._AC_SL1478.jpg?v=1609871777")</f>
        <v>#NAME?</v>
      </c>
      <c r="H4576" t="e">
        <f ca="1">IMAGE("https://m.media-amazon.com/images/I/31-J0M1dX2L._AC_UL320_.jpg")</f>
        <v>#NAME?</v>
      </c>
      <c r="I4576" t="s">
        <v>13107</v>
      </c>
      <c r="J4576">
        <v>19.96</v>
      </c>
      <c r="K4576" s="2" t="s">
        <v>13103</v>
      </c>
      <c r="L4576">
        <v>4.2</v>
      </c>
      <c r="M4576">
        <v>10</v>
      </c>
      <c r="O4576" t="s">
        <v>26</v>
      </c>
      <c r="P4576" t="s">
        <v>39</v>
      </c>
      <c r="Q4576" t="s">
        <v>13108</v>
      </c>
    </row>
    <row r="4577" spans="1:17" ht="15.75" x14ac:dyDescent="0.25">
      <c r="A4577" s="3" t="str">
        <f>HYPERLINK("https://shop.sonapharmacy.com/products/contac-cold-flu-maximum-strength-caplets", "https://shop.sonapharmacy.com/products/contac-cold-flu-maximum-strength-caplets")</f>
        <v>https://shop.sonapharmacy.com/products/contac-cold-flu-maximum-strength-caplets</v>
      </c>
      <c r="B4577" s="3" t="str">
        <f>HYPERLINK("https://shop.sonapharmacy.com/products/contac-cold-flu-maximum-strength-caplets", "https://shop.sonapharmacy.com/products/contac-cold-flu-maximum-strength-caplets")</f>
        <v>https://shop.sonapharmacy.com/products/contac-cold-flu-maximum-strength-caplets</v>
      </c>
      <c r="C4577" t="s">
        <v>13109</v>
      </c>
      <c r="D4577" t="s">
        <v>13055</v>
      </c>
      <c r="E4577" s="3" t="str">
        <f>HYPERLINK("https://www.amazon.com/Contac-Strength-Multi-Symptom-Daytime-Caplets/dp/B008MX2FYG/ref=sr_1_2?keywords=Contac%C2%AE+Cold+%2B+Flu+Maximum+Strength+Caplets&amp;qid=1695260157&amp;sr=8-2", "https://www.amazon.com/Contac-Strength-Multi-Symptom-Daytime-Caplets/dp/B008MX2FYG/ref=sr_1_2?keywords=Contac%C2%AE+Cold+%2B+Flu+Maximum+Strength+Caplets&amp;qid=1695260157&amp;sr=8-2")</f>
        <v>https://www.amazon.com/Contac-Strength-Multi-Symptom-Daytime-Caplets/dp/B008MX2FYG/ref=sr_1_2?keywords=Contac%C2%AE+Cold+%2B+Flu+Maximum+Strength+Caplets&amp;qid=1695260157&amp;sr=8-2</v>
      </c>
      <c r="F4577" t="s">
        <v>13056</v>
      </c>
      <c r="G4577" t="e">
        <f ca="1">IMAGE("https://shop.sonapharmacy.com/cdn/shop/products/ContacCold_FluMaximumStrengthCaplets.jpg?v=1595446174")</f>
        <v>#NAME?</v>
      </c>
      <c r="H4577" t="e">
        <f ca="1">IMAGE("https://m.media-amazon.com/images/I/71vorbnWDqL._AC_UL320_.jpg")</f>
        <v>#NAME?</v>
      </c>
      <c r="I4577" t="s">
        <v>13110</v>
      </c>
      <c r="J4577">
        <v>9.3000000000000007</v>
      </c>
      <c r="K4577" s="2" t="s">
        <v>13103</v>
      </c>
      <c r="L4577">
        <v>4.7</v>
      </c>
      <c r="M4577">
        <v>1323</v>
      </c>
      <c r="O4577" t="s">
        <v>26</v>
      </c>
      <c r="P4577" t="s">
        <v>39</v>
      </c>
      <c r="Q4577" t="s">
        <v>13111</v>
      </c>
    </row>
    <row r="4578" spans="1:17" ht="15.75" x14ac:dyDescent="0.25">
      <c r="A4578" s="3" t="str">
        <f>HYPERLINK("https://shop.sonapharmacy.com/products/mueller%C2%AE-hinged-wraparound-knee-brace", "https://shop.sonapharmacy.com/products/mueller%C2%AE-hinged-wraparound-knee-brace")</f>
        <v>https://shop.sonapharmacy.com/products/mueller%C2%AE-hinged-wraparound-knee-brace</v>
      </c>
      <c r="B4578" s="3" t="str">
        <f>HYPERLINK("https://shop.sonapharmacy.com/products/mueller%c2%ae-hinged-wraparound-knee-brace", "https://shop.sonapharmacy.com/products/mueller%c2%ae-hinged-wraparound-knee-brace")</f>
        <v>https://shop.sonapharmacy.com/products/mueller%c2%ae-hinged-wraparound-knee-brace</v>
      </c>
      <c r="C4578" t="s">
        <v>12713</v>
      </c>
      <c r="D4578" t="s">
        <v>13112</v>
      </c>
      <c r="E4578" s="3" t="str">
        <f>HYPERLINK("https://www.amazon.com/Compression-Stabilizers-Wraparound-Arthritis-Meniscus/dp/B09FF8TT3W/ref=sr_1_9?keywords=Mueller%C2%AE+Hinged+Wraparound+Knee+Brace&amp;qid=1695260520&amp;sr=8-9", "https://www.amazon.com/Compression-Stabilizers-Wraparound-Arthritis-Meniscus/dp/B09FF8TT3W/ref=sr_1_9?keywords=Mueller%C2%AE+Hinged+Wraparound+Knee+Brace&amp;qid=1695260520&amp;sr=8-9")</f>
        <v>https://www.amazon.com/Compression-Stabilizers-Wraparound-Arthritis-Meniscus/dp/B09FF8TT3W/ref=sr_1_9?keywords=Mueller%C2%AE+Hinged+Wraparound+Knee+Brace&amp;qid=1695260520&amp;sr=8-9</v>
      </c>
      <c r="F4578" t="s">
        <v>13113</v>
      </c>
      <c r="G4578" t="e">
        <f ca="1">IMAGE("https://shop.sonapharmacy.com/cdn/shop/products/91sKAqLfGaL._AC_SL1500.jpg?v=1609870247")</f>
        <v>#NAME?</v>
      </c>
      <c r="H4578" t="e">
        <f ca="1">IMAGE("https://m.media-amazon.com/images/I/81541c6OerL._AC_UL320_.jpg")</f>
        <v>#NAME?</v>
      </c>
      <c r="I4578" t="s">
        <v>12716</v>
      </c>
      <c r="J4578">
        <v>39.99</v>
      </c>
      <c r="K4578" s="2" t="s">
        <v>13114</v>
      </c>
      <c r="L4578">
        <v>4</v>
      </c>
      <c r="M4578">
        <v>288</v>
      </c>
      <c r="O4578" t="s">
        <v>136</v>
      </c>
      <c r="P4578" t="s">
        <v>39</v>
      </c>
      <c r="Q4578" t="s">
        <v>12718</v>
      </c>
    </row>
    <row r="4579" spans="1:17" ht="15.75" x14ac:dyDescent="0.25">
      <c r="A4579" s="3" t="str">
        <f>HYPERLINK("https://shop.sonapharmacy.com/products/resinol-medicated-ointment-3-3oz", "https://shop.sonapharmacy.com/products/resinol-medicated-ointment-3-3oz")</f>
        <v>https://shop.sonapharmacy.com/products/resinol-medicated-ointment-3-3oz</v>
      </c>
      <c r="B4579" s="3" t="str">
        <f>HYPERLINK("https://shop.sonapharmacy.com/products/resinol-medicated-ointment-3-3oz", "https://shop.sonapharmacy.com/products/resinol-medicated-ointment-3-3oz")</f>
        <v>https://shop.sonapharmacy.com/products/resinol-medicated-ointment-3-3oz</v>
      </c>
      <c r="C4579" t="s">
        <v>8612</v>
      </c>
      <c r="D4579" t="s">
        <v>13115</v>
      </c>
      <c r="E4579" s="3" t="str">
        <f>HYPERLINK("https://www.amazon.com/Resinol-Medicated-Ointment-3-30-oz/dp/B000LD6SV6/ref=sr_1_1?keywords=Resinol+Medicated+Ointment+3.3oz&amp;qid=1695260673&amp;rdc=1&amp;sr=8-1", "https://www.amazon.com/Resinol-Medicated-Ointment-3-30-oz/dp/B000LD6SV6/ref=sr_1_1?keywords=Resinol+Medicated+Ointment+3.3oz&amp;qid=1695260673&amp;rdc=1&amp;sr=8-1")</f>
        <v>https://www.amazon.com/Resinol-Medicated-Ointment-3-30-oz/dp/B000LD6SV6/ref=sr_1_1?keywords=Resinol+Medicated+Ointment+3.3oz&amp;qid=1695260673&amp;rdc=1&amp;sr=8-1</v>
      </c>
      <c r="F4579" t="s">
        <v>13116</v>
      </c>
      <c r="G4579" t="e">
        <f ca="1">IMAGE("https://shop.sonapharmacy.com/cdn/shop/products/61SYOFBFkKL._AC_SL1237.jpg?v=1607970374")</f>
        <v>#NAME?</v>
      </c>
      <c r="H4579" t="e">
        <f ca="1">IMAGE("https://m.media-amazon.com/images/I/71ZdR1db1wL._AC_UL320_.jpg")</f>
        <v>#NAME?</v>
      </c>
      <c r="I4579" t="s">
        <v>8615</v>
      </c>
      <c r="J4579">
        <v>15.48</v>
      </c>
      <c r="K4579" s="2" t="s">
        <v>13117</v>
      </c>
      <c r="L4579">
        <v>4.8</v>
      </c>
      <c r="M4579">
        <v>7253</v>
      </c>
      <c r="O4579" t="s">
        <v>136</v>
      </c>
      <c r="P4579" t="s">
        <v>39</v>
      </c>
      <c r="Q4579" t="s">
        <v>8617</v>
      </c>
    </row>
    <row r="4580" spans="1:17" ht="15.75" x14ac:dyDescent="0.25">
      <c r="A4580" s="3" t="str">
        <f>HYPERLINK("https://shop.sonapharmacy.com/products/band-aid-flexible-fabric-100ct-all-one-size", "https://shop.sonapharmacy.com/products/band-aid-flexible-fabric-100ct-all-one-size")</f>
        <v>https://shop.sonapharmacy.com/products/band-aid-flexible-fabric-100ct-all-one-size</v>
      </c>
      <c r="B4580" s="3" t="str">
        <f>HYPERLINK("https://shop.sonapharmacy.com/products/band-aid-flexible-fabric-100ct-all-one-size", "https://shop.sonapharmacy.com/products/band-aid-flexible-fabric-100ct-all-one-size")</f>
        <v>https://shop.sonapharmacy.com/products/band-aid-flexible-fabric-100ct-all-one-size</v>
      </c>
      <c r="C4580" t="s">
        <v>8911</v>
      </c>
      <c r="D4580" t="s">
        <v>13118</v>
      </c>
      <c r="E4580" s="3" t="str">
        <f>HYPERLINK("https://www.amazon.com/Band-Aid-Flexible-Fabric-Adhesive-Bandages/dp/B071HG63VR/ref=sr_1_7?keywords=BAND-AID%C2%AE+Flexible+Fabric+All+One+Size&amp;qid=1695260052&amp;sr=8-7", "https://www.amazon.com/Band-Aid-Flexible-Fabric-Adhesive-Bandages/dp/B071HG63VR/ref=sr_1_7?keywords=BAND-AID%C2%AE+Flexible+Fabric+All+One+Size&amp;qid=1695260052&amp;sr=8-7")</f>
        <v>https://www.amazon.com/Band-Aid-Flexible-Fabric-Adhesive-Bandages/dp/B071HG63VR/ref=sr_1_7?keywords=BAND-AID%C2%AE+Flexible+Fabric+All+One+Size&amp;qid=1695260052&amp;sr=8-7</v>
      </c>
      <c r="F4580" t="s">
        <v>13119</v>
      </c>
      <c r="G4580" t="e">
        <f ca="1">IMAGE("https://shop.sonapharmacy.com/cdn/shop/products/bab_381370044314_band_aid_band_aid_flexible_fabric_aos_30ct_007.jpg?v=1614702050")</f>
        <v>#NAME?</v>
      </c>
      <c r="H4580" t="e">
        <f ca="1">IMAGE("https://m.media-amazon.com/images/I/81kqA7sBKtL._AC_UL320_.jpg")</f>
        <v>#NAME?</v>
      </c>
      <c r="I4580" t="s">
        <v>8834</v>
      </c>
      <c r="J4580">
        <v>6.28</v>
      </c>
      <c r="K4580" s="2" t="s">
        <v>13120</v>
      </c>
      <c r="L4580">
        <v>3.5</v>
      </c>
      <c r="M4580">
        <v>13</v>
      </c>
      <c r="O4580" t="s">
        <v>26</v>
      </c>
      <c r="P4580" t="s">
        <v>39</v>
      </c>
      <c r="Q4580" t="s">
        <v>8915</v>
      </c>
    </row>
    <row r="4581" spans="1:17" ht="15.75" x14ac:dyDescent="0.25">
      <c r="A4581" s="3" t="str">
        <f>HYPERLINK("https://shop.sonapharmacy.com/products/citrucel%C2%AE-orange-flavor-sugar-free-fiber-powder-16-9oz", "https://shop.sonapharmacy.com/products/citrucel%C2%AE-orange-flavor-sugar-free-fiber-powder-16-9oz")</f>
        <v>https://shop.sonapharmacy.com/products/citrucel%C2%AE-orange-flavor-sugar-free-fiber-powder-16-9oz</v>
      </c>
      <c r="B4581" s="3" t="str">
        <f>HYPERLINK("https://shop.sonapharmacy.com/products/citrucel%c2%ae-orange-flavor-sugar-free-fiber-powder-16-9oz", "https://shop.sonapharmacy.com/products/citrucel%c2%ae-orange-flavor-sugar-free-fiber-powder-16-9oz")</f>
        <v>https://shop.sonapharmacy.com/products/citrucel%c2%ae-orange-flavor-sugar-free-fiber-powder-16-9oz</v>
      </c>
      <c r="C4581" t="s">
        <v>9539</v>
      </c>
      <c r="D4581" t="s">
        <v>13121</v>
      </c>
      <c r="E4581" s="3" t="str">
        <f>HYPERLINK("https://www.amazon.com/Metamucil-Premium-Servings-Psyllium-Supplement/dp/B08KKYYSB7/ref=sr_1_7?keywords=Citrucel%C2%AE+Orange+Flavor+Sugar-Free+Fiber+Powder+16.9oz.&amp;qid=1695260135&amp;sr=8-7", "https://www.amazon.com/Metamucil-Premium-Servings-Psyllium-Supplement/dp/B08KKYYSB7/ref=sr_1_7?keywords=Citrucel%C2%AE+Orange+Flavor+Sugar-Free+Fiber+Powder+16.9oz.&amp;qid=1695260135&amp;sr=8-7")</f>
        <v>https://www.amazon.com/Metamucil-Premium-Servings-Psyllium-Supplement/dp/B08KKYYSB7/ref=sr_1_7?keywords=Citrucel%C2%AE+Orange+Flavor+Sugar-Free+Fiber+Powder+16.9oz.&amp;qid=1695260135&amp;sr=8-7</v>
      </c>
      <c r="F4581" t="s">
        <v>13122</v>
      </c>
      <c r="G4581" t="e">
        <f ca="1">IMAGE("https://shop.sonapharmacy.com/cdn/shop/products/711W3DclJgL._AC_SL1500.jpg?v=1610982192")</f>
        <v>#NAME?</v>
      </c>
      <c r="H4581" t="e">
        <f ca="1">IMAGE("https://m.media-amazon.com/images/I/61GOVPfjuGL._AC_UL320_.jpg")</f>
        <v>#NAME?</v>
      </c>
      <c r="I4581" t="s">
        <v>9542</v>
      </c>
      <c r="J4581">
        <v>25.44</v>
      </c>
      <c r="K4581" s="2" t="s">
        <v>6087</v>
      </c>
      <c r="L4581">
        <v>4.5999999999999996</v>
      </c>
      <c r="M4581">
        <v>215</v>
      </c>
      <c r="O4581" t="s">
        <v>26</v>
      </c>
      <c r="P4581" t="s">
        <v>39</v>
      </c>
      <c r="Q4581" t="s">
        <v>9544</v>
      </c>
    </row>
    <row r="4582" spans="1:17" ht="15.75" x14ac:dyDescent="0.25">
      <c r="A4582" s="3" t="str">
        <f>HYPERLINK("https://shop.sonapharmacy.com/products/mederma%C2%AE-advanced-scar-gel", "https://shop.sonapharmacy.com/products/mederma%C2%AE-advanced-scar-gel")</f>
        <v>https://shop.sonapharmacy.com/products/mederma%C2%AE-advanced-scar-gel</v>
      </c>
      <c r="B4582" s="3" t="str">
        <f>HYPERLINK("https://shop.sonapharmacy.com/products/mederma%c2%ae-advanced-scar-gel", "https://shop.sonapharmacy.com/products/mederma%c2%ae-advanced-scar-gel")</f>
        <v>https://shop.sonapharmacy.com/products/mederma%c2%ae-advanced-scar-gel</v>
      </c>
      <c r="C4582" t="s">
        <v>10967</v>
      </c>
      <c r="D4582" t="s">
        <v>13123</v>
      </c>
      <c r="E4582" s="3" t="str">
        <f>HYPERLINK("https://www.amazon.com/Mederma-OzmQMG-Advanced-Reduces-Appearance/dp/B077C9GSZK/ref=sr_1_10?keywords=Mederma%C2%AE+Advanced+Scar+Gel&amp;qid=1695260461&amp;sr=8-10", "https://www.amazon.com/Mederma-OzmQMG-Advanced-Reduces-Appearance/dp/B077C9GSZK/ref=sr_1_10?keywords=Mederma%C2%AE+Advanced+Scar+Gel&amp;qid=1695260461&amp;sr=8-10")</f>
        <v>https://www.amazon.com/Mederma-OzmQMG-Advanced-Reduces-Appearance/dp/B077C9GSZK/ref=sr_1_10?keywords=Mederma%C2%AE+Advanced+Scar+Gel&amp;qid=1695260461&amp;sr=8-10</v>
      </c>
      <c r="F4582" t="s">
        <v>13124</v>
      </c>
      <c r="G4582" t="e">
        <f ca="1">IMAGE("https://shop.sonapharmacy.com/cdn/shop/products/mederma0.70.jpg?v=1607956045")</f>
        <v>#NAME?</v>
      </c>
      <c r="H4582" t="e">
        <f ca="1">IMAGE("https://m.media-amazon.com/images/I/71Sg3r-GJbL._AC_UL320_.jpg")</f>
        <v>#NAME?</v>
      </c>
      <c r="I4582" t="s">
        <v>6011</v>
      </c>
      <c r="J4582">
        <v>27</v>
      </c>
      <c r="K4582" s="2" t="s">
        <v>3650</v>
      </c>
      <c r="L4582">
        <v>3.8</v>
      </c>
      <c r="M4582">
        <v>12</v>
      </c>
      <c r="O4582" t="s">
        <v>26</v>
      </c>
      <c r="P4582" t="s">
        <v>39</v>
      </c>
      <c r="Q4582" t="s">
        <v>10971</v>
      </c>
    </row>
    <row r="4583" spans="1:17" ht="15.75" x14ac:dyDescent="0.25">
      <c r="A4583" s="3" t="str">
        <f>HYPERLINK("https://shop.sonapharmacy.com/products/refresh%C2%AE-p-m-preservative-free-lubricant-eye-ointment", "https://shop.sonapharmacy.com/products/refresh%C2%AE-p-m-preservative-free-lubricant-eye-ointment")</f>
        <v>https://shop.sonapharmacy.com/products/refresh%C2%AE-p-m-preservative-free-lubricant-eye-ointment</v>
      </c>
      <c r="B4583" s="3" t="str">
        <f>HYPERLINK("https://shop.sonapharmacy.com/products/refresh%c2%ae-p-m-preservative-free-lubricant-eye-ointment", "https://shop.sonapharmacy.com/products/refresh%c2%ae-p-m-preservative-free-lubricant-eye-ointment")</f>
        <v>https://shop.sonapharmacy.com/products/refresh%c2%ae-p-m-preservative-free-lubricant-eye-ointment</v>
      </c>
      <c r="C4583" t="s">
        <v>10384</v>
      </c>
      <c r="D4583" t="s">
        <v>13125</v>
      </c>
      <c r="E4583" s="3" t="str">
        <f>HYPERLINK("https://www.amazon.com/OPTASE-Hylo-Night-Dry-Ointment/dp/B098P9XLRZ/ref=sr_1_4?keywords=Refresh%C2%AE+P.M+Preservative+Free+Lubricant+Eye+Ointment&amp;qid=1695260717&amp;sr=8-4", "https://www.amazon.com/OPTASE-Hylo-Night-Dry-Ointment/dp/B098P9XLRZ/ref=sr_1_4?keywords=Refresh%C2%AE+P.M+Preservative+Free+Lubricant+Eye+Ointment&amp;qid=1695260717&amp;sr=8-4")</f>
        <v>https://www.amazon.com/OPTASE-Hylo-Night-Dry-Ointment/dp/B098P9XLRZ/ref=sr_1_4?keywords=Refresh%C2%AE+P.M+Preservative+Free+Lubricant+Eye+Ointment&amp;qid=1695260717&amp;sr=8-4</v>
      </c>
      <c r="F4583" t="s">
        <v>13126</v>
      </c>
      <c r="G4583" t="e">
        <f ca="1">IMAGE("https://shop.sonapharmacy.com/cdn/shop/products/71FoyWuxXtL._AC_SL1500.jpg?v=1613749260")</f>
        <v>#NAME?</v>
      </c>
      <c r="H4583" t="e">
        <f ca="1">IMAGE("https://m.media-amazon.com/images/I/71WCRGLlBRS._AC_UL320_.jpg")</f>
        <v>#NAME?</v>
      </c>
      <c r="I4583" t="s">
        <v>10387</v>
      </c>
      <c r="J4583">
        <v>16.95</v>
      </c>
      <c r="K4583" s="2" t="s">
        <v>13127</v>
      </c>
      <c r="L4583">
        <v>4.3</v>
      </c>
      <c r="M4583">
        <v>1161</v>
      </c>
      <c r="O4583" t="s">
        <v>26</v>
      </c>
      <c r="P4583" t="s">
        <v>39</v>
      </c>
      <c r="Q4583" t="s">
        <v>10389</v>
      </c>
    </row>
    <row r="4584" spans="1:17" ht="15.75" x14ac:dyDescent="0.25">
      <c r="A4584" s="3" t="str">
        <f>HYPERLINK("https://shop.sonapharmacy.com/products/globe-ichthammol-ointment-advanced-drawing-salve-1oz", "https://shop.sonapharmacy.com/products/globe-ichthammol-ointment-advanced-drawing-salve-1oz")</f>
        <v>https://shop.sonapharmacy.com/products/globe-ichthammol-ointment-advanced-drawing-salve-1oz</v>
      </c>
      <c r="B4584" s="3" t="str">
        <f>HYPERLINK("https://shop.sonapharmacy.com/products/globe-ichthammol-ointment-advanced-drawing-salve-1oz", "https://shop.sonapharmacy.com/products/globe-ichthammol-ointment-advanced-drawing-salve-1oz")</f>
        <v>https://shop.sonapharmacy.com/products/globe-ichthammol-ointment-advanced-drawing-salve-1oz</v>
      </c>
      <c r="C4584" t="s">
        <v>13128</v>
      </c>
      <c r="D4584" t="s">
        <v>13129</v>
      </c>
      <c r="E4584" s="3" t="str">
        <f>HYPERLINK("https://www.amazon.com/Quality-Choice-Ichthammol-Ointment-Advanced/dp/B09RQ1ZTHR/ref=sr_1_4?keywords=Globe%C2%AE+Ichthammol+Ointment+Advanced+Drawing+Salve+1oz&amp;qid=1695260365&amp;sr=8-4", "https://www.amazon.com/Quality-Choice-Ichthammol-Ointment-Advanced/dp/B09RQ1ZTHR/ref=sr_1_4?keywords=Globe%C2%AE+Ichthammol+Ointment+Advanced+Drawing+Salve+1oz&amp;qid=1695260365&amp;sr=8-4")</f>
        <v>https://www.amazon.com/Quality-Choice-Ichthammol-Ointment-Advanced/dp/B09RQ1ZTHR/ref=sr_1_4?keywords=Globe%C2%AE+Ichthammol+Ointment+Advanced+Drawing+Salve+1oz&amp;qid=1695260365&amp;sr=8-4</v>
      </c>
      <c r="F4584" t="s">
        <v>13130</v>
      </c>
      <c r="G4584" t="e">
        <f ca="1">IMAGE("https://shop.sonapharmacy.com/cdn/shop/products/51dbtQMPC_L._AC.jpg?v=1607975128")</f>
        <v>#NAME?</v>
      </c>
      <c r="H4584" t="e">
        <f ca="1">IMAGE("https://m.media-amazon.com/images/I/71i+G1Xj9aL._AC_UL320_.jpg")</f>
        <v>#NAME?</v>
      </c>
      <c r="I4584" t="s">
        <v>13131</v>
      </c>
      <c r="J4584">
        <v>9.99</v>
      </c>
      <c r="K4584" s="2" t="s">
        <v>7712</v>
      </c>
      <c r="L4584">
        <v>4.7</v>
      </c>
      <c r="M4584">
        <v>53</v>
      </c>
      <c r="O4584" t="s">
        <v>136</v>
      </c>
      <c r="P4584" t="s">
        <v>39</v>
      </c>
      <c r="Q4584" t="s">
        <v>13132</v>
      </c>
    </row>
    <row r="4585" spans="1:17" ht="15.75" x14ac:dyDescent="0.25">
      <c r="A4585" s="3" t="str">
        <f>HYPERLINK("https://shop.sonapharmacy.com/products/q-tips-cotton-swabs", "https://shop.sonapharmacy.com/products/q-tips-cotton-swabs")</f>
        <v>https://shop.sonapharmacy.com/products/q-tips-cotton-swabs</v>
      </c>
      <c r="B4585" s="3" t="str">
        <f>HYPERLINK("https://shop.sonapharmacy.com/products/q-tips-cotton-swabs", "https://shop.sonapharmacy.com/products/q-tips-cotton-swabs")</f>
        <v>https://shop.sonapharmacy.com/products/q-tips-cotton-swabs</v>
      </c>
      <c r="C4585" t="s">
        <v>9155</v>
      </c>
      <c r="D4585" t="s">
        <v>13133</v>
      </c>
      <c r="E4585" s="3" t="str">
        <f>HYPERLINK("https://www.amazon.com/Q-tips-Cotton-Swabs-625-ct/dp/B01AXQP6AE/ref=sr_1_2?keywords=Q-tips+Cotton+Swabs&amp;qid=1695260660&amp;sr=8-2", "https://www.amazon.com/Q-tips-Cotton-Swabs-625-ct/dp/B01AXQP6AE/ref=sr_1_2?keywords=Q-tips+Cotton+Swabs&amp;qid=1695260660&amp;sr=8-2")</f>
        <v>https://www.amazon.com/Q-tips-Cotton-Swabs-625-ct/dp/B01AXQP6AE/ref=sr_1_2?keywords=Q-tips+Cotton+Swabs&amp;qid=1695260660&amp;sr=8-2</v>
      </c>
      <c r="F4585" t="s">
        <v>13134</v>
      </c>
      <c r="G4585" t="e">
        <f ca="1">IMAGE("https://shop.sonapharmacy.com/cdn/shop/products/qtips_travel.png?v=1606762585")</f>
        <v>#NAME?</v>
      </c>
      <c r="H4585" t="e">
        <f ca="1">IMAGE("https://m.media-amazon.com/images/I/81M3VK1irpL._AC_UL320_.jpg")</f>
        <v>#NAME?</v>
      </c>
      <c r="I4585" t="s">
        <v>8927</v>
      </c>
      <c r="J4585">
        <v>4.47</v>
      </c>
      <c r="K4585" s="2" t="s">
        <v>13135</v>
      </c>
      <c r="L4585">
        <v>4.7</v>
      </c>
      <c r="M4585">
        <v>2090</v>
      </c>
      <c r="O4585" t="s">
        <v>26</v>
      </c>
      <c r="P4585" t="s">
        <v>39</v>
      </c>
      <c r="Q4585" t="s">
        <v>9159</v>
      </c>
    </row>
    <row r="4586" spans="1:17" ht="15.75" x14ac:dyDescent="0.25">
      <c r="A4586" s="3" t="str">
        <f>HYPERLINK("https://shop.sonapharmacy.com/products/duracell%C2%AE-384-392-silver-oxide-button-battery", "https://shop.sonapharmacy.com/products/duracell%C2%AE-384-392-silver-oxide-button-battery")</f>
        <v>https://shop.sonapharmacy.com/products/duracell%C2%AE-384-392-silver-oxide-button-battery</v>
      </c>
      <c r="B4586" s="3" t="str">
        <f>HYPERLINK("https://shop.sonapharmacy.com/products/duracell%c2%ae-384-392-silver-oxide-button-battery", "https://shop.sonapharmacy.com/products/duracell%c2%ae-384-392-silver-oxide-button-battery")</f>
        <v>https://shop.sonapharmacy.com/products/duracell%c2%ae-384-392-silver-oxide-button-battery</v>
      </c>
      <c r="C4586" t="s">
        <v>12412</v>
      </c>
      <c r="D4586" t="s">
        <v>13136</v>
      </c>
      <c r="E4586" s="3" t="str">
        <f>HYPERLINK("https://www.amazon.com/Silver-Oxide-Watch-Electronic-Battery/dp/B00006JPH8/ref=sr_1_2?keywords=Duracell%C2%AE+384%2F392+Silver+Oxide+Button+Battery&amp;qid=1695260213&amp;sr=8-2", "https://www.amazon.com/Silver-Oxide-Watch-Electronic-Battery/dp/B00006JPH8/ref=sr_1_2?keywords=Duracell%C2%AE+384%2F392+Silver+Oxide+Button+Battery&amp;qid=1695260213&amp;sr=8-2")</f>
        <v>https://www.amazon.com/Silver-Oxide-Watch-Electronic-Battery/dp/B00006JPH8/ref=sr_1_2?keywords=Duracell%C2%AE+384%2F392+Silver+Oxide+Button+Battery&amp;qid=1695260213&amp;sr=8-2</v>
      </c>
      <c r="F4586" t="s">
        <v>13137</v>
      </c>
      <c r="G4586" t="e">
        <f ca="1">IMAGE("https://shop.sonapharmacy.com/cdn/shop/products/0b52d5e3-c879-4b57-80be-c3c0fed3d0de_1.7f064c989c6a1bbc7370a5e30f008f85.jpg?v=1610330993")</f>
        <v>#NAME?</v>
      </c>
      <c r="H4586" t="e">
        <f ca="1">IMAGE("https://m.media-amazon.com/images/I/81U7ywWMqIL._AC_UL320_.jpg")</f>
        <v>#NAME?</v>
      </c>
      <c r="I4586" t="s">
        <v>11219</v>
      </c>
      <c r="J4586">
        <v>5.62</v>
      </c>
      <c r="K4586" s="2" t="s">
        <v>13138</v>
      </c>
      <c r="L4586">
        <v>4.5999999999999996</v>
      </c>
      <c r="M4586">
        <v>656</v>
      </c>
      <c r="O4586" t="s">
        <v>26</v>
      </c>
      <c r="P4586" t="s">
        <v>39</v>
      </c>
      <c r="Q4586" t="s">
        <v>12416</v>
      </c>
    </row>
    <row r="4587" spans="1:17" ht="15.75" x14ac:dyDescent="0.25">
      <c r="A4587" s="3" t="str">
        <f>HYPERLINK("https://shop.sonapharmacy.com/products/nasacort-allergy-24hr-nasal-spray", "https://shop.sonapharmacy.com/products/nasacort-allergy-24hr-nasal-spray")</f>
        <v>https://shop.sonapharmacy.com/products/nasacort-allergy-24hr-nasal-spray</v>
      </c>
      <c r="B4587" s="3" t="str">
        <f>HYPERLINK("https://shop.sonapharmacy.com/products/nasacort-allergy-24hr-nasal-spray", "https://shop.sonapharmacy.com/products/nasacort-allergy-24hr-nasal-spray")</f>
        <v>https://shop.sonapharmacy.com/products/nasacort-allergy-24hr-nasal-spray</v>
      </c>
      <c r="C4587" t="s">
        <v>10882</v>
      </c>
      <c r="D4587" t="s">
        <v>13139</v>
      </c>
      <c r="E4587" s="3" t="str">
        <f>HYPERLINK("https://www.amazon.com/Nasacort-Allergy-Adults-Non-Drowsy-Alcohol-Free/dp/B00WK8FSO8/ref=sr_1_5?keywords=Nasacort+Allergy+24HR+Nasal+Spray&amp;qid=1695260517&amp;sr=8-5", "https://www.amazon.com/Nasacort-Allergy-Adults-Non-Drowsy-Alcohol-Free/dp/B00WK8FSO8/ref=sr_1_5?keywords=Nasacort+Allergy+24HR+Nasal+Spray&amp;qid=1695260517&amp;sr=8-5")</f>
        <v>https://www.amazon.com/Nasacort-Allergy-Adults-Non-Drowsy-Alcohol-Free/dp/B00WK8FSO8/ref=sr_1_5?keywords=Nasacort+Allergy+24HR+Nasal+Spray&amp;qid=1695260517&amp;sr=8-5</v>
      </c>
      <c r="F4587" t="s">
        <v>13140</v>
      </c>
      <c r="G4587" t="e">
        <f ca="1">IMAGE("https://shop.sonapharmacy.com/cdn/shop/products/NasacortAllergy24HRNasalSpray.png?v=1595517896")</f>
        <v>#NAME?</v>
      </c>
      <c r="H4587" t="e">
        <f ca="1">IMAGE("https://m.media-amazon.com/images/I/81-HHcxy1wL._AC_UL320_.jpg")</f>
        <v>#NAME?</v>
      </c>
      <c r="I4587" t="s">
        <v>10885</v>
      </c>
      <c r="J4587">
        <v>19.399999999999999</v>
      </c>
      <c r="K4587" s="2" t="s">
        <v>13138</v>
      </c>
      <c r="L4587">
        <v>4.5999999999999996</v>
      </c>
      <c r="M4587">
        <v>481</v>
      </c>
      <c r="O4587" t="s">
        <v>26</v>
      </c>
      <c r="P4587" t="s">
        <v>39</v>
      </c>
      <c r="Q4587" t="s">
        <v>10886</v>
      </c>
    </row>
    <row r="4588" spans="1:17" ht="15.75" x14ac:dyDescent="0.25">
      <c r="A4588" s="3" t="str">
        <f>HYPERLINK("https://shop.sonapharmacy.com/products/major-fexofenadine-hydrochloride-180-mg-tablets", "https://shop.sonapharmacy.com/products/major-fexofenadine-hydrochloride-180-mg-tablets")</f>
        <v>https://shop.sonapharmacy.com/products/major-fexofenadine-hydrochloride-180-mg-tablets</v>
      </c>
      <c r="B4588" s="3" t="str">
        <f>HYPERLINK("https://shop.sonapharmacy.com/products/major-fexofenadine-hydrochloride-180-mg-tablets", "https://shop.sonapharmacy.com/products/major-fexofenadine-hydrochloride-180-mg-tablets")</f>
        <v>https://shop.sonapharmacy.com/products/major-fexofenadine-hydrochloride-180-mg-tablets</v>
      </c>
      <c r="C4588" t="s">
        <v>12025</v>
      </c>
      <c r="D4588" t="s">
        <v>13141</v>
      </c>
      <c r="E4588" s="3" t="str">
        <f>HYPERLINK("https://www.amazon.com/HealthCareAisle-Fexofenadine-Hydrochloride-Tablets-Count/dp/B07HD67Q1G/ref=sr_1_6?keywords=Major+Fexofenadine+Hydrochloride+180+mg+Tablets&amp;qid=1695260482&amp;sr=8-6", "https://www.amazon.com/HealthCareAisle-Fexofenadine-Hydrochloride-Tablets-Count/dp/B07HD67Q1G/ref=sr_1_6?keywords=Major+Fexofenadine+Hydrochloride+180+mg+Tablets&amp;qid=1695260482&amp;sr=8-6")</f>
        <v>https://www.amazon.com/HealthCareAisle-Fexofenadine-Hydrochloride-Tablets-Count/dp/B07HD67Q1G/ref=sr_1_6?keywords=Major+Fexofenadine+Hydrochloride+180+mg+Tablets&amp;qid=1695260482&amp;sr=8-6</v>
      </c>
      <c r="F4588" t="s">
        <v>13142</v>
      </c>
      <c r="G4588" t="e">
        <f ca="1">IMAGE("https://shop.sonapharmacy.com/cdn/shop/products/MajorFexofenadineHydrochloride180mgTablets.jpg?v=1595528492")</f>
        <v>#NAME?</v>
      </c>
      <c r="H4588" t="e">
        <f ca="1">IMAGE("https://m.media-amazon.com/images/I/71zVYoMD4AL._AC_UL320_.jpg")</f>
        <v>#NAME?</v>
      </c>
      <c r="I4588" t="s">
        <v>12028</v>
      </c>
      <c r="J4588">
        <v>23.4</v>
      </c>
      <c r="K4588" s="2" t="s">
        <v>13143</v>
      </c>
      <c r="L4588">
        <v>4.7</v>
      </c>
      <c r="M4588">
        <v>3423</v>
      </c>
      <c r="O4588" t="s">
        <v>26</v>
      </c>
      <c r="P4588" t="s">
        <v>39</v>
      </c>
      <c r="Q4588" t="s">
        <v>12030</v>
      </c>
    </row>
    <row r="4589" spans="1:17" ht="15.75" x14ac:dyDescent="0.25">
      <c r="A4589" s="3" t="str">
        <f>HYPERLINK("https://shop.sonapharmacy.com/products/berberine-complex", "https://shop.sonapharmacy.com/products/berberine-complex")</f>
        <v>https://shop.sonapharmacy.com/products/berberine-complex</v>
      </c>
      <c r="B4589" s="3" t="str">
        <f>HYPERLINK("https://shop.sonapharmacy.com/products/berberine-complex", "https://shop.sonapharmacy.com/products/berberine-complex")</f>
        <v>https://shop.sonapharmacy.com/products/berberine-complex</v>
      </c>
      <c r="C4589" t="s">
        <v>13144</v>
      </c>
      <c r="D4589" t="s">
        <v>13145</v>
      </c>
      <c r="E4589" s="3" t="str">
        <f>HYPERLINK("https://www.amazon.com/Integrative-Therapeutics-Berberine-Supplement-Goldenseal/dp/B003FIMNJK/ref=sr_1_1?keywords=Integrative+Therapeutics+Berberine+Complex+Capsules+90ct.&amp;qid=1695260399&amp;sr=8-1", "https://www.amazon.com/Integrative-Therapeutics-Berberine-Supplement-Goldenseal/dp/B003FIMNJK/ref=sr_1_1?keywords=Integrative+Therapeutics+Berberine+Complex+Capsules+90ct.&amp;qid=1695260399&amp;sr=8-1")</f>
        <v>https://www.amazon.com/Integrative-Therapeutics-Berberine-Supplement-Goldenseal/dp/B003FIMNJK/ref=sr_1_1?keywords=Integrative+Therapeutics+Berberine+Complex+Capsules+90ct.&amp;qid=1695260399&amp;sr=8-1</v>
      </c>
      <c r="F4589" t="s">
        <v>13146</v>
      </c>
      <c r="G4589" t="e">
        <f ca="1">IMAGE("https://shop.sonapharmacy.com/cdn/shop/products/61lGfhZ5RqL._AC_SL1500.jpg?v=1609356347")</f>
        <v>#NAME?</v>
      </c>
      <c r="H4589" t="e">
        <f ca="1">IMAGE("https://m.media-amazon.com/images/I/51WuT8BDTkL._AC_UL320_.jpg")</f>
        <v>#NAME?</v>
      </c>
      <c r="I4589" t="s">
        <v>13147</v>
      </c>
      <c r="J4589">
        <v>36</v>
      </c>
      <c r="K4589" s="2" t="s">
        <v>13148</v>
      </c>
      <c r="L4589">
        <v>4.5999999999999996</v>
      </c>
      <c r="M4589">
        <v>717</v>
      </c>
      <c r="O4589" t="s">
        <v>39</v>
      </c>
      <c r="P4589" t="s">
        <v>39</v>
      </c>
      <c r="Q4589" t="s">
        <v>13149</v>
      </c>
    </row>
    <row r="4590" spans="1:17" ht="15.75" x14ac:dyDescent="0.25">
      <c r="A4590" s="3" t="str">
        <f>HYPERLINK("https://shop.sonapharmacy.com/products/mueller%C2%AE-adjustable-knee-support-one-size-1", "https://shop.sonapharmacy.com/products/mueller%C2%AE-adjustable-knee-support-one-size-1")</f>
        <v>https://shop.sonapharmacy.com/products/mueller%C2%AE-adjustable-knee-support-one-size-1</v>
      </c>
      <c r="B4590" s="3" t="str">
        <f>HYPERLINK("https://shop.sonapharmacy.com/products/mueller%c2%ae-adjustable-knee-support-one-size-1", "https://shop.sonapharmacy.com/products/mueller%c2%ae-adjustable-knee-support-one-size-1")</f>
        <v>https://shop.sonapharmacy.com/products/mueller%c2%ae-adjustable-knee-support-one-size-1</v>
      </c>
      <c r="C4590" t="s">
        <v>11984</v>
      </c>
      <c r="D4590" t="s">
        <v>12651</v>
      </c>
      <c r="E4590" s="3" t="str">
        <f>HYPERLINK("https://www.amazon.com/Mueller-Premium-Adjustable-Stabilizer-Black/dp/B08C6RQX4B/ref=sr_1_7?keywords=Mueller%C2%AE+Adjustable+Knee+Support+One+Size&amp;qid=1695260499&amp;sr=8-7", "https://www.amazon.com/Mueller-Premium-Adjustable-Stabilizer-Black/dp/B08C6RQX4B/ref=sr_1_7?keywords=Mueller%C2%AE+Adjustable+Knee+Support+One+Size&amp;qid=1695260499&amp;sr=8-7")</f>
        <v>https://www.amazon.com/Mueller-Premium-Adjustable-Stabilizer-Black/dp/B08C6RQX4B/ref=sr_1_7?keywords=Mueller%C2%AE+Adjustable+Knee+Support+One+Size&amp;qid=1695260499&amp;sr=8-7</v>
      </c>
      <c r="F4590" t="s">
        <v>12652</v>
      </c>
      <c r="G4590" t="e">
        <f ca="1">IMAGE("https://shop.sonapharmacy.com/cdn/shop/products/711XAm6m0rL._AC_SL1500.jpg?v=1609873741")</f>
        <v>#NAME?</v>
      </c>
      <c r="H4590" t="e">
        <f ca="1">IMAGE("https://m.media-amazon.com/images/I/91iRHkje1HL._AC_UL320_.jpg")</f>
        <v>#NAME?</v>
      </c>
      <c r="I4590" t="s">
        <v>12466</v>
      </c>
      <c r="J4590">
        <v>19.57</v>
      </c>
      <c r="K4590" s="2" t="s">
        <v>13148</v>
      </c>
      <c r="L4590">
        <v>4</v>
      </c>
      <c r="M4590">
        <v>9</v>
      </c>
      <c r="O4590" t="s">
        <v>136</v>
      </c>
      <c r="P4590" t="s">
        <v>39</v>
      </c>
      <c r="Q4590" t="s">
        <v>12468</v>
      </c>
    </row>
    <row r="4591" spans="1:17" ht="15.75" x14ac:dyDescent="0.25">
      <c r="A4591" s="3" t="str">
        <f>HYPERLINK("https://shop.sonapharmacy.com/products/duracell%C2%AE-377-silver-oxide-button-battery", "https://shop.sonapharmacy.com/products/duracell%C2%AE-377-silver-oxide-button-battery")</f>
        <v>https://shop.sonapharmacy.com/products/duracell%C2%AE-377-silver-oxide-button-battery</v>
      </c>
      <c r="B4591" s="3" t="str">
        <f>HYPERLINK("https://shop.sonapharmacy.com/products/duracell%c2%ae-377-silver-oxide-button-battery", "https://shop.sonapharmacy.com/products/duracell%c2%ae-377-silver-oxide-button-battery")</f>
        <v>https://shop.sonapharmacy.com/products/duracell%c2%ae-377-silver-oxide-button-battery</v>
      </c>
      <c r="C4591" t="s">
        <v>13150</v>
      </c>
      <c r="D4591" t="s">
        <v>13151</v>
      </c>
      <c r="E4591" s="3" t="str">
        <f>HYPERLINK("https://www.amazon.com/Duracell-Silver-Battery-long-lasting-battery/dp/B07GN8KDWJ/ref=sr_1_1?keywords=Duracell%C2%AE+377+Silver+Oxide+Button+Battery&amp;qid=1695260205&amp;sr=8-1", "https://www.amazon.com/Duracell-Silver-Battery-long-lasting-battery/dp/B07GN8KDWJ/ref=sr_1_1?keywords=Duracell%C2%AE+377+Silver+Oxide+Button+Battery&amp;qid=1695260205&amp;sr=8-1")</f>
        <v>https://www.amazon.com/Duracell-Silver-Battery-long-lasting-battery/dp/B07GN8KDWJ/ref=sr_1_1?keywords=Duracell%C2%AE+377+Silver+Oxide+Button+Battery&amp;qid=1695260205&amp;sr=8-1</v>
      </c>
      <c r="F4591" t="s">
        <v>13152</v>
      </c>
      <c r="G4591" t="e">
        <f ca="1">IMAGE("https://shop.sonapharmacy.com/cdn/shop/products/29637b72-926c-448d-9bbb-092ce69d1f4e_1.054f981c99d4feb5f3b0611935253c39.jpg?v=1610331653")</f>
        <v>#NAME?</v>
      </c>
      <c r="H4591" t="e">
        <f ca="1">IMAGE("https://m.media-amazon.com/images/I/51wskXuZa-L._AC_UL320_.jpg")</f>
        <v>#NAME?</v>
      </c>
      <c r="I4591" t="s">
        <v>13153</v>
      </c>
      <c r="J4591">
        <v>7.39</v>
      </c>
      <c r="K4591" s="2" t="s">
        <v>13154</v>
      </c>
      <c r="L4591">
        <v>4.7</v>
      </c>
      <c r="M4591">
        <v>8126</v>
      </c>
      <c r="O4591" t="s">
        <v>26</v>
      </c>
      <c r="P4591" t="s">
        <v>39</v>
      </c>
      <c r="Q4591" t="s">
        <v>13155</v>
      </c>
    </row>
    <row r="4592" spans="1:17" ht="15.75" x14ac:dyDescent="0.25">
      <c r="A4592" s="3" t="str">
        <f>HYPERLINK("https://shop.sonapharmacy.com/products/good-sense-children", "https://shop.sonapharmacy.com/products/good-sense-children")</f>
        <v>https://shop.sonapharmacy.com/products/good-sense-children</v>
      </c>
      <c r="B4592" s="3" t="str">
        <f>HYPERLINK("https://shop.sonapharmacy.com/products/good-sense-children", "https://shop.sonapharmacy.com/products/good-sense-children")</f>
        <v>https://shop.sonapharmacy.com/products/good-sense-children</v>
      </c>
      <c r="C4592" t="s">
        <v>11990</v>
      </c>
      <c r="D4592" t="s">
        <v>13156</v>
      </c>
      <c r="E4592" s="3" t="str">
        <f>HYPERLINK("https://www.amazon.com/Childrens-Ibuprofen-Suspension-Berry-Flavor/dp/B086G7MPTK/ref=sr_1_5?keywords=GoodSense%C2%AE+Children%27s+Oral+Suspension+Ibuprofen&amp;qid=1695260307&amp;sr=8-5", "https://www.amazon.com/Childrens-Ibuprofen-Suspension-Berry-Flavor/dp/B086G7MPTK/ref=sr_1_5?keywords=GoodSense%C2%AE+Children%27s+Oral+Suspension+Ibuprofen&amp;qid=1695260307&amp;sr=8-5")</f>
        <v>https://www.amazon.com/Childrens-Ibuprofen-Suspension-Berry-Flavor/dp/B086G7MPTK/ref=sr_1_5?keywords=GoodSense%C2%AE+Children%27s+Oral+Suspension+Ibuprofen&amp;qid=1695260307&amp;sr=8-5</v>
      </c>
      <c r="F4592" t="s">
        <v>13157</v>
      </c>
      <c r="G4592" t="e">
        <f ca="1">IMAGE("https://shop.sonapharmacy.com/cdn/shop/products/51j0L_70nIL._AC_SL1000.jpg?v=1610030885")</f>
        <v>#NAME?</v>
      </c>
      <c r="H4592" t="e">
        <f ca="1">IMAGE("https://m.media-amazon.com/images/I/6175wU02HIL._AC_UL320_.jpg")</f>
        <v>#NAME?</v>
      </c>
      <c r="I4592" t="s">
        <v>5109</v>
      </c>
      <c r="J4592">
        <v>7.49</v>
      </c>
      <c r="K4592" s="2" t="s">
        <v>13158</v>
      </c>
      <c r="L4592">
        <v>4.5999999999999996</v>
      </c>
      <c r="M4592">
        <v>119</v>
      </c>
      <c r="O4592" t="s">
        <v>136</v>
      </c>
      <c r="P4592" t="s">
        <v>39</v>
      </c>
      <c r="Q4592" t="s">
        <v>11994</v>
      </c>
    </row>
    <row r="4593" spans="1:17" ht="15.75" x14ac:dyDescent="0.25">
      <c r="A4593" s="3" t="str">
        <f>HYPERLINK("https://shop.sonapharmacy.com/products/listerine%C2%AE-total-care-mouthwash", "https://shop.sonapharmacy.com/products/listerine%C2%AE-total-care-mouthwash")</f>
        <v>https://shop.sonapharmacy.com/products/listerine%C2%AE-total-care-mouthwash</v>
      </c>
      <c r="B4593" s="3" t="str">
        <f>HYPERLINK("https://shop.sonapharmacy.com/products/listerine%c2%ae-total-care-mouthwash", "https://shop.sonapharmacy.com/products/listerine%c2%ae-total-care-mouthwash")</f>
        <v>https://shop.sonapharmacy.com/products/listerine%c2%ae-total-care-mouthwash</v>
      </c>
      <c r="C4593" t="s">
        <v>8810</v>
      </c>
      <c r="D4593" t="s">
        <v>13159</v>
      </c>
      <c r="E4593" s="3" t="str">
        <f>HYPERLINK("https://www.amazon.com/Listerine-Alcohol-Free-Anticavity-Mouthwash-Fluoride/dp/B0054J2G54/ref=sr_1_2?keywords=Listerine%C2%AE+Total+Care+Mouthwash&amp;qid=1695260463&amp;sr=8-2", "https://www.amazon.com/Listerine-Alcohol-Free-Anticavity-Mouthwash-Fluoride/dp/B0054J2G54/ref=sr_1_2?keywords=Listerine%C2%AE+Total+Care+Mouthwash&amp;qid=1695260463&amp;sr=8-2")</f>
        <v>https://www.amazon.com/Listerine-Alcohol-Free-Anticavity-Mouthwash-Fluoride/dp/B0054J2G54/ref=sr_1_2?keywords=Listerine%C2%AE+Total+Care+Mouthwash&amp;qid=1695260463&amp;sr=8-2</v>
      </c>
      <c r="F4593" t="s">
        <v>13160</v>
      </c>
      <c r="G4593" t="e">
        <f ca="1">IMAGE("https://shop.sonapharmacy.com/cdn/shop/products/81vNiROdiIL._SL1500.jpg?v=1647185014")</f>
        <v>#NAME?</v>
      </c>
      <c r="H4593" t="e">
        <f ca="1">IMAGE("https://m.media-amazon.com/images/I/71+MiqEtsuL._AC_UL320_.jpg")</f>
        <v>#NAME?</v>
      </c>
      <c r="I4593" t="s">
        <v>8813</v>
      </c>
      <c r="J4593">
        <v>8.48</v>
      </c>
      <c r="K4593" s="2" t="s">
        <v>13161</v>
      </c>
      <c r="L4593">
        <v>4.5</v>
      </c>
      <c r="M4593">
        <v>949</v>
      </c>
      <c r="O4593" t="s">
        <v>26</v>
      </c>
      <c r="P4593" t="s">
        <v>39</v>
      </c>
      <c r="Q4593" t="s">
        <v>8815</v>
      </c>
    </row>
    <row r="4594" spans="1:17" ht="15.75" x14ac:dyDescent="0.25">
      <c r="A4594" s="3" t="str">
        <f>HYPERLINK("https://shop.sonapharmacy.com/products/sunbum%C2%AE-original-spf-30-sunscreen-lotion", "https://shop.sonapharmacy.com/products/sunbum%C2%AE-original-spf-30-sunscreen-lotion")</f>
        <v>https://shop.sonapharmacy.com/products/sunbum%C2%AE-original-spf-30-sunscreen-lotion</v>
      </c>
      <c r="B4594" s="3" t="str">
        <f>HYPERLINK("https://shop.sonapharmacy.com/products/sunbum%c2%ae-original-spf-30-sunscreen-lotion", "https://shop.sonapharmacy.com/products/sunbum%c2%ae-original-spf-30-sunscreen-lotion")</f>
        <v>https://shop.sonapharmacy.com/products/sunbum%c2%ae-original-spf-30-sunscreen-lotion</v>
      </c>
      <c r="C4594" t="s">
        <v>10325</v>
      </c>
      <c r="D4594" t="s">
        <v>13162</v>
      </c>
      <c r="E4594" s="3" t="str">
        <f>HYPERLINK("https://www.amazon.com/Sun-Bum-Octinoxate-Oxybenzone-Moisturizing/dp/B09K3ZJ5H5/ref=sr_1_2?keywords=Sun+Bum%C2%AE+Original+SPF+30+Sunscreen+Lotion&amp;qid=1695260773&amp;sr=8-2", "https://www.amazon.com/Sun-Bum-Octinoxate-Oxybenzone-Moisturizing/dp/B09K3ZJ5H5/ref=sr_1_2?keywords=Sun+Bum%C2%AE+Original+SPF+30+Sunscreen+Lotion&amp;qid=1695260773&amp;sr=8-2")</f>
        <v>https://www.amazon.com/Sun-Bum-Octinoxate-Oxybenzone-Moisturizing/dp/B09K3ZJ5H5/ref=sr_1_2?keywords=Sun+Bum%C2%AE+Original+SPF+30+Sunscreen+Lotion&amp;qid=1695260773&amp;sr=8-2</v>
      </c>
      <c r="F4594" t="s">
        <v>13163</v>
      </c>
      <c r="G4594" t="e">
        <f ca="1">IMAGE("https://shop.sonapharmacy.com/cdn/shop/products/7112Mn16XDL._SL1500.jpg?v=1611869378")</f>
        <v>#NAME?</v>
      </c>
      <c r="H4594" t="e">
        <f ca="1">IMAGE("https://m.media-amazon.com/images/I/61aL3V7hFdL._AC_UL320_.jpg")</f>
        <v>#NAME?</v>
      </c>
      <c r="I4594" t="s">
        <v>4873</v>
      </c>
      <c r="J4594">
        <v>11.88</v>
      </c>
      <c r="K4594" s="2" t="s">
        <v>13164</v>
      </c>
      <c r="L4594">
        <v>4.5</v>
      </c>
      <c r="M4594">
        <v>482</v>
      </c>
      <c r="O4594" t="s">
        <v>26</v>
      </c>
      <c r="P4594" t="s">
        <v>39</v>
      </c>
      <c r="Q4594" t="s">
        <v>10329</v>
      </c>
    </row>
    <row r="4595" spans="1:17" ht="15.75" x14ac:dyDescent="0.25">
      <c r="A4595" s="3" t="str">
        <f>HYPERLINK("https://shop.sonapharmacy.com/products/sunbum%C2%AE-original-spf-30-sunscreen-lotion", "https://shop.sonapharmacy.com/products/sunbum%C2%AE-original-spf-30-sunscreen-lotion")</f>
        <v>https://shop.sonapharmacy.com/products/sunbum%C2%AE-original-spf-30-sunscreen-lotion</v>
      </c>
      <c r="B4595" s="3" t="str">
        <f>HYPERLINK("https://shop.sonapharmacy.com/products/sunbum%c2%ae-original-spf-30-sunscreen-lotion", "https://shop.sonapharmacy.com/products/sunbum%c2%ae-original-spf-30-sunscreen-lotion")</f>
        <v>https://shop.sonapharmacy.com/products/sunbum%c2%ae-original-spf-30-sunscreen-lotion</v>
      </c>
      <c r="C4595" t="s">
        <v>10325</v>
      </c>
      <c r="D4595" t="s">
        <v>13165</v>
      </c>
      <c r="E4595" s="3" t="str">
        <f>HYPERLINK("https://www.amazon.com/Sun-Bum-Octinoxate-Oxybenzone-Moisturizing/dp/B09JHBVT53/ref=sr_1_8?keywords=Sun+Bum%C2%AE+Original+SPF+30+Sunscreen+Lotion&amp;qid=1695260773&amp;sr=8-8", "https://www.amazon.com/Sun-Bum-Octinoxate-Oxybenzone-Moisturizing/dp/B09JHBVT53/ref=sr_1_8?keywords=Sun+Bum%C2%AE+Original+SPF+30+Sunscreen+Lotion&amp;qid=1695260773&amp;sr=8-8")</f>
        <v>https://www.amazon.com/Sun-Bum-Octinoxate-Oxybenzone-Moisturizing/dp/B09JHBVT53/ref=sr_1_8?keywords=Sun+Bum%C2%AE+Original+SPF+30+Sunscreen+Lotion&amp;qid=1695260773&amp;sr=8-8</v>
      </c>
      <c r="F4595" t="s">
        <v>13166</v>
      </c>
      <c r="G4595" t="e">
        <f ca="1">IMAGE("https://shop.sonapharmacy.com/cdn/shop/products/7112Mn16XDL._SL1500.jpg?v=1611869378")</f>
        <v>#NAME?</v>
      </c>
      <c r="H4595" t="e">
        <f ca="1">IMAGE("https://m.media-amazon.com/images/I/61S0x0fVM-L._AC_UL320_.jpg")</f>
        <v>#NAME?</v>
      </c>
      <c r="I4595" t="s">
        <v>4873</v>
      </c>
      <c r="J4595">
        <v>11.88</v>
      </c>
      <c r="K4595" s="2" t="s">
        <v>13164</v>
      </c>
      <c r="L4595">
        <v>4.3</v>
      </c>
      <c r="M4595">
        <v>85</v>
      </c>
      <c r="O4595" t="s">
        <v>26</v>
      </c>
      <c r="P4595" t="s">
        <v>39</v>
      </c>
      <c r="Q4595" t="s">
        <v>10329</v>
      </c>
    </row>
    <row r="4596" spans="1:17" ht="15.75" x14ac:dyDescent="0.25">
      <c r="A4596" s="3" t="str">
        <f>HYPERLINK("https://shop.sonapharmacy.com/products/major-senna-tablets", "https://shop.sonapharmacy.com/products/major-senna-tablets")</f>
        <v>https://shop.sonapharmacy.com/products/major-senna-tablets</v>
      </c>
      <c r="B4596" s="3" t="str">
        <f>HYPERLINK("https://shop.sonapharmacy.com/products/major-senna-tablets", "https://shop.sonapharmacy.com/products/major-senna-tablets")</f>
        <v>https://shop.sonapharmacy.com/products/major-senna-tablets</v>
      </c>
      <c r="C4596" t="s">
        <v>10658</v>
      </c>
      <c r="D4596" t="s">
        <v>13167</v>
      </c>
      <c r="E4596" s="3" t="str">
        <f>HYPERLINK("https://www.amazon.com/MAJOR-Senna-Tablets-8-6mg-Bottle/dp/B016LHAO9W/ref=sr_1_3?keywords=Major+Senna+Tablets&amp;qid=1695260458&amp;sr=8-3", "https://www.amazon.com/MAJOR-Senna-Tablets-8-6mg-Bottle/dp/B016LHAO9W/ref=sr_1_3?keywords=Major+Senna+Tablets&amp;qid=1695260458&amp;sr=8-3")</f>
        <v>https://www.amazon.com/MAJOR-Senna-Tablets-8-6mg-Bottle/dp/B016LHAO9W/ref=sr_1_3?keywords=Major+Senna+Tablets&amp;qid=1695260458&amp;sr=8-3</v>
      </c>
      <c r="F4596" t="s">
        <v>13168</v>
      </c>
      <c r="G4596" t="e">
        <f ca="1">IMAGE("https://shop.sonapharmacy.com/cdn/shop/products/MajorSennaFront.png?v=1606923439")</f>
        <v>#NAME?</v>
      </c>
      <c r="H4596" t="e">
        <f ca="1">IMAGE("https://m.media-amazon.com/images/I/61NqgmXE5BL._AC_UL320_.jpg")</f>
        <v>#NAME?</v>
      </c>
      <c r="I4596" t="s">
        <v>10661</v>
      </c>
      <c r="J4596">
        <v>7.04</v>
      </c>
      <c r="K4596" s="2" t="s">
        <v>13164</v>
      </c>
      <c r="L4596">
        <v>4.5999999999999996</v>
      </c>
      <c r="M4596">
        <v>247</v>
      </c>
      <c r="O4596" t="s">
        <v>26</v>
      </c>
      <c r="P4596" t="s">
        <v>39</v>
      </c>
      <c r="Q4596" t="s">
        <v>10663</v>
      </c>
    </row>
    <row r="4597" spans="1:17" ht="15.75" x14ac:dyDescent="0.25">
      <c r="A4597" s="3" t="str">
        <f>HYPERLINK("https://shop.sonapharmacy.com/products/vitex-extract", "https://shop.sonapharmacy.com/products/vitex-extract")</f>
        <v>https://shop.sonapharmacy.com/products/vitex-extract</v>
      </c>
      <c r="B4597" s="3" t="str">
        <f>HYPERLINK("https://shop.sonapharmacy.com/products/vitex-extract", "https://shop.sonapharmacy.com/products/vitex-extract")</f>
        <v>https://shop.sonapharmacy.com/products/vitex-extract</v>
      </c>
      <c r="C4597" t="s">
        <v>13169</v>
      </c>
      <c r="D4597" t="s">
        <v>13170</v>
      </c>
      <c r="E4597" s="3" t="str">
        <f>HYPERLINK("https://www.amazon.com/Integrative-Therapeutics-Extract-Supplement-Capsules/dp/B0011003RS/ref=sr_1_1?keywords=Integrative+Therapeutics%C2%AE+Vitex+Extract+Capsules&amp;qid=1695260427&amp;sr=8-1", "https://www.amazon.com/Integrative-Therapeutics-Extract-Supplement-Capsules/dp/B0011003RS/ref=sr_1_1?keywords=Integrative+Therapeutics%C2%AE+Vitex+Extract+Capsules&amp;qid=1695260427&amp;sr=8-1")</f>
        <v>https://www.amazon.com/Integrative-Therapeutics-Extract-Supplement-Capsules/dp/B0011003RS/ref=sr_1_1?keywords=Integrative+Therapeutics%C2%AE+Vitex+Extract+Capsules&amp;qid=1695260427&amp;sr=8-1</v>
      </c>
      <c r="F4597" t="s">
        <v>13171</v>
      </c>
      <c r="G4597" t="e">
        <f ca="1">IMAGE("https://shop.sonapharmacy.com/cdn/shop/products/31xcNmdSDPL.jpg?v=1609357576")</f>
        <v>#NAME?</v>
      </c>
      <c r="H4597" t="e">
        <f ca="1">IMAGE("https://m.media-amazon.com/images/I/51C70y0LprL._AC_UL320_.jpg")</f>
        <v>#NAME?</v>
      </c>
      <c r="I4597" t="s">
        <v>13172</v>
      </c>
      <c r="J4597">
        <v>27</v>
      </c>
      <c r="K4597" s="2" t="s">
        <v>13173</v>
      </c>
      <c r="L4597">
        <v>4.5</v>
      </c>
      <c r="M4597">
        <v>67</v>
      </c>
      <c r="O4597" t="s">
        <v>39</v>
      </c>
      <c r="P4597" t="s">
        <v>39</v>
      </c>
      <c r="Q4597" t="s">
        <v>13174</v>
      </c>
    </row>
    <row r="4598" spans="1:17" ht="15.75" x14ac:dyDescent="0.25">
      <c r="A4598" s="3" t="str">
        <f>HYPERLINK("https://shop.sonapharmacy.com/products/goodsense%C2%AE-miconazole-3-nitrate-vaginal-suppositories-miconazole-nitrate-cream", "https://shop.sonapharmacy.com/products/goodsense%C2%AE-miconazole-3-nitrate-vaginal-suppositories-miconazole-nitrate-cream")</f>
        <v>https://shop.sonapharmacy.com/products/goodsense%C2%AE-miconazole-3-nitrate-vaginal-suppositories-miconazole-nitrate-cream</v>
      </c>
      <c r="B4598" s="3" t="str">
        <f>HYPERLINK("https://shop.sonapharmacy.com/products/goodsense%c2%ae-miconazole-3-nitrate-vaginal-suppositories-miconazole-nitrate-cream", "https://shop.sonapharmacy.com/products/goodsense%c2%ae-miconazole-3-nitrate-vaginal-suppositories-miconazole-nitrate-cream")</f>
        <v>https://shop.sonapharmacy.com/products/goodsense%c2%ae-miconazole-3-nitrate-vaginal-suppositories-miconazole-nitrate-cream</v>
      </c>
      <c r="C4598" t="s">
        <v>13175</v>
      </c>
      <c r="D4598" t="s">
        <v>13176</v>
      </c>
      <c r="E4598" s="3" t="str">
        <f>HYPERLINK("https://www.amazon.com/Goodsense-Miconazole-Vaginal-Antifungal-Combination/dp/B000GCKBMO/ref=sr_1_1?keywords=GoodSense%C2%AE+Miconazole+3+Nitrate+Vaginal+Suppositories+%26+Miconazole+Nitrate+Cream&amp;qid=1695260335&amp;sr=8-1", "https://www.amazon.com/Goodsense-Miconazole-Vaginal-Antifungal-Combination/dp/B000GCKBMO/ref=sr_1_1?keywords=GoodSense%C2%AE+Miconazole+3+Nitrate+Vaginal+Suppositories+%26+Miconazole+Nitrate+Cream&amp;qid=1695260335&amp;sr=8-1")</f>
        <v>https://www.amazon.com/Goodsense-Miconazole-Vaginal-Antifungal-Combination/dp/B000GCKBMO/ref=sr_1_1?keywords=GoodSense%C2%AE+Miconazole+3+Nitrate+Vaginal+Suppositories+%26+Miconazole+Nitrate+Cream&amp;qid=1695260335&amp;sr=8-1</v>
      </c>
      <c r="F4598" t="s">
        <v>13177</v>
      </c>
      <c r="G4598" t="e">
        <f ca="1">IMAGE("https://shop.sonapharmacy.com/cdn/shop/products/61dH8DGhL6L._SL1000.jpg?v=1609173769")</f>
        <v>#NAME?</v>
      </c>
      <c r="H4598" t="e">
        <f ca="1">IMAGE("https://m.media-amazon.com/images/I/61dH8DGhL6L._AC_UL320_.jpg")</f>
        <v>#NAME?</v>
      </c>
      <c r="I4598" t="s">
        <v>3394</v>
      </c>
      <c r="J4598">
        <v>18.98</v>
      </c>
      <c r="K4598" s="2" t="s">
        <v>13178</v>
      </c>
      <c r="L4598">
        <v>4.5999999999999996</v>
      </c>
      <c r="M4598">
        <v>2524</v>
      </c>
      <c r="O4598" t="s">
        <v>26</v>
      </c>
      <c r="P4598" t="s">
        <v>39</v>
      </c>
      <c r="Q4598" t="s">
        <v>13179</v>
      </c>
    </row>
    <row r="4599" spans="1:17" ht="15.75" x14ac:dyDescent="0.25">
      <c r="A4599" s="3" t="str">
        <f>HYPERLINK("https://shop.sonapharmacy.com/products/apex%C2%AE-weekly-twice-a-day-pill-organizer", "https://shop.sonapharmacy.com/products/apex%C2%AE-weekly-twice-a-day-pill-organizer")</f>
        <v>https://shop.sonapharmacy.com/products/apex%C2%AE-weekly-twice-a-day-pill-organizer</v>
      </c>
      <c r="B4599" s="3" t="str">
        <f>HYPERLINK("https://shop.sonapharmacy.com/products/apex%c2%ae-weekly-twice-a-day-pill-organizer", "https://shop.sonapharmacy.com/products/apex%c2%ae-weekly-twice-a-day-pill-organizer")</f>
        <v>https://shop.sonapharmacy.com/products/apex%c2%ae-weekly-twice-a-day-pill-organizer</v>
      </c>
      <c r="C4599" t="s">
        <v>9754</v>
      </c>
      <c r="D4599" t="s">
        <v>13180</v>
      </c>
      <c r="E4599" s="3" t="str">
        <f>HYPERLINK("https://www.amazon.com/Weekly-Organizer-Planner-Countoured-Removal/dp/B0096SRB68/ref=sr_1_10?keywords=Apex+Weekly+Twice-A-Day+Pill+Organizer&amp;qid=1695260022&amp;sr=8-10", "https://www.amazon.com/Weekly-Organizer-Planner-Countoured-Removal/dp/B0096SRB68/ref=sr_1_10?keywords=Apex+Weekly+Twice-A-Day+Pill+Organizer&amp;qid=1695260022&amp;sr=8-10")</f>
        <v>https://www.amazon.com/Weekly-Organizer-Planner-Countoured-Removal/dp/B0096SRB68/ref=sr_1_10?keywords=Apex+Weekly+Twice-A-Day+Pill+Organizer&amp;qid=1695260022&amp;sr=8-10</v>
      </c>
      <c r="F4599" t="s">
        <v>13181</v>
      </c>
      <c r="G4599" t="e">
        <f ca="1">IMAGE("https://shop.sonapharmacy.com/cdn/shop/products/81bW58qDenL._AC_SL1500.jpg?v=1609957632")</f>
        <v>#NAME?</v>
      </c>
      <c r="H4599" t="e">
        <f ca="1">IMAGE("https://m.media-amazon.com/images/I/51iGI2ATYXL._AC_UL320_.jpg")</f>
        <v>#NAME?</v>
      </c>
      <c r="I4599" t="s">
        <v>8983</v>
      </c>
      <c r="J4599">
        <v>6.63</v>
      </c>
      <c r="K4599" s="2" t="s">
        <v>13182</v>
      </c>
      <c r="L4599">
        <v>4.3</v>
      </c>
      <c r="M4599">
        <v>7615</v>
      </c>
      <c r="O4599" t="s">
        <v>26</v>
      </c>
      <c r="P4599" t="s">
        <v>39</v>
      </c>
      <c r="Q4599" t="s">
        <v>9758</v>
      </c>
    </row>
    <row r="4600" spans="1:17" ht="15.75" x14ac:dyDescent="0.25">
      <c r="A4600" s="3" t="str">
        <f>HYPERLINK("https://shop.sonapharmacy.com/products/carex%E2%84%A2-aluminum-adult-crutches", "https://shop.sonapharmacy.com/products/carex%E2%84%A2-aluminum-adult-crutches")</f>
        <v>https://shop.sonapharmacy.com/products/carex%E2%84%A2-aluminum-adult-crutches</v>
      </c>
      <c r="B4600" s="3" t="str">
        <f>HYPERLINK("https://shop.sonapharmacy.com/products/carex%e2%84%a2-aluminum-adult-crutches", "https://shop.sonapharmacy.com/products/carex%e2%84%a2-aluminum-adult-crutches")</f>
        <v>https://shop.sonapharmacy.com/products/carex%e2%84%a2-aluminum-adult-crutches</v>
      </c>
      <c r="C4600" t="s">
        <v>11801</v>
      </c>
      <c r="D4600" t="s">
        <v>13183</v>
      </c>
      <c r="E4600" s="3" t="str">
        <f>HYPERLINK("https://www.amazon.com/Medline-MDS805161-Aluminum-Forearm-Crutches/dp/B00083DFOW/ref=sr_1_7?keywords=Carex%E2%84%A2+Aluminum+Adult+Crutches&amp;qid=1695260112&amp;sr=8-7", "https://www.amazon.com/Medline-MDS805161-Aluminum-Forearm-Crutches/dp/B00083DFOW/ref=sr_1_7?keywords=Carex%E2%84%A2+Aluminum+Adult+Crutches&amp;qid=1695260112&amp;sr=8-7")</f>
        <v>https://www.amazon.com/Medline-MDS805161-Aluminum-Forearm-Crutches/dp/B00083DFOW/ref=sr_1_7?keywords=Carex%E2%84%A2+Aluminum+Adult+Crutches&amp;qid=1695260112&amp;sr=8-7</v>
      </c>
      <c r="F4600" t="s">
        <v>13184</v>
      </c>
      <c r="G4600" t="e">
        <f ca="1">IMAGE("https://shop.sonapharmacy.com/cdn/shop/products/CarexAluminumCrutchesYouth_AdultandTall_1_720x_17f8688a-06ff-4271-84a2-9e898ae6a65a.png?v=1609953352")</f>
        <v>#NAME?</v>
      </c>
      <c r="H4600" t="e">
        <f ca="1">IMAGE("https://m.media-amazon.com/images/I/710lDBC+-mL._AC_UL320_.jpg")</f>
        <v>#NAME?</v>
      </c>
      <c r="I4600" t="s">
        <v>11804</v>
      </c>
      <c r="J4600">
        <v>53</v>
      </c>
      <c r="K4600" s="2" t="s">
        <v>13185</v>
      </c>
      <c r="L4600">
        <v>4.2</v>
      </c>
      <c r="M4600">
        <v>1751</v>
      </c>
      <c r="O4600" t="s">
        <v>26</v>
      </c>
      <c r="P4600" t="s">
        <v>39</v>
      </c>
      <c r="Q4600" t="s">
        <v>11805</v>
      </c>
    </row>
    <row r="4601" spans="1:17" ht="15.75" x14ac:dyDescent="0.25">
      <c r="A4601" s="3" t="str">
        <f>HYPERLINK("https://shop.sonapharmacy.com/products/destin%C2%AE-maximum-strength-original-zinc-oxide-paste", "https://shop.sonapharmacy.com/products/destin%C2%AE-maximum-strength-original-zinc-oxide-paste")</f>
        <v>https://shop.sonapharmacy.com/products/destin%C2%AE-maximum-strength-original-zinc-oxide-paste</v>
      </c>
      <c r="B4601" s="3" t="str">
        <f>HYPERLINK("https://shop.sonapharmacy.com/products/destin%c2%ae-maximum-strength-original-zinc-oxide-paste", "https://shop.sonapharmacy.com/products/destin%c2%ae-maximum-strength-original-zinc-oxide-paste")</f>
        <v>https://shop.sonapharmacy.com/products/destin%c2%ae-maximum-strength-original-zinc-oxide-paste</v>
      </c>
      <c r="C4601" t="s">
        <v>10573</v>
      </c>
      <c r="D4601" t="s">
        <v>13186</v>
      </c>
      <c r="E4601" s="3" t="str">
        <f>HYPERLINK("https://www.amazon.com/Desitin-Maximum-Strength-Diaper-Prevention/dp/B00ZQXT4EY/ref=sr_1_2?keywords=Desitin%C2%AE+Maximum+Strength+Original+Zinc+Oxide+Paste&amp;qid=1695260219&amp;sr=8-2", "https://www.amazon.com/Desitin-Maximum-Strength-Diaper-Prevention/dp/B00ZQXT4EY/ref=sr_1_2?keywords=Desitin%C2%AE+Maximum+Strength+Original+Zinc+Oxide+Paste&amp;qid=1695260219&amp;sr=8-2")</f>
        <v>https://www.amazon.com/Desitin-Maximum-Strength-Diaper-Prevention/dp/B00ZQXT4EY/ref=sr_1_2?keywords=Desitin%C2%AE+Maximum+Strength+Original+Zinc+Oxide+Paste&amp;qid=1695260219&amp;sr=8-2</v>
      </c>
      <c r="F4601" t="s">
        <v>13187</v>
      </c>
      <c r="G4601" t="e">
        <f ca="1">IMAGE("https://shop.sonapharmacy.com/cdn/shop/products/b1859bbf-4d6b-4045-b977-72d347bf2080_1.02748a72a944267a9dc673f01bcd7d63.jpg?v=1609271319")</f>
        <v>#NAME?</v>
      </c>
      <c r="H4601" t="e">
        <f ca="1">IMAGE("https://m.media-amazon.com/images/I/610OPJMuQ8S._AC_UL320_.jpg")</f>
        <v>#NAME?</v>
      </c>
      <c r="I4601" t="s">
        <v>10576</v>
      </c>
      <c r="J4601">
        <v>8.68</v>
      </c>
      <c r="K4601" s="2" t="s">
        <v>13188</v>
      </c>
      <c r="L4601">
        <v>4.8</v>
      </c>
      <c r="M4601">
        <v>32018</v>
      </c>
      <c r="O4601" t="s">
        <v>26</v>
      </c>
      <c r="P4601" t="s">
        <v>39</v>
      </c>
      <c r="Q4601" t="s">
        <v>10578</v>
      </c>
    </row>
    <row r="4602" spans="1:17" ht="15.75" x14ac:dyDescent="0.25">
      <c r="A4602" s="3" t="str">
        <f>HYPERLINK("https://shop.sonapharmacy.com/products/okeeffes-working-hands-cream-2-7oz", "https://shop.sonapharmacy.com/products/okeeffes-working-hands-cream-2-7oz")</f>
        <v>https://shop.sonapharmacy.com/products/okeeffes-working-hands-cream-2-7oz</v>
      </c>
      <c r="B4602" s="3" t="str">
        <f>HYPERLINK("https://shop.sonapharmacy.com/products/okeeffes-working-hands-cream-2-7oz", "https://shop.sonapharmacy.com/products/okeeffes-working-hands-cream-2-7oz")</f>
        <v>https://shop.sonapharmacy.com/products/okeeffes-working-hands-cream-2-7oz</v>
      </c>
      <c r="C4602" t="s">
        <v>8312</v>
      </c>
      <c r="D4602" t="s">
        <v>13189</v>
      </c>
      <c r="E4602" s="3" t="str">
        <f>HYPERLINK("https://www.amazon.com/OKeeffes-Working-Hands-Cream-ounce/dp/B00121UVU0/ref=sr_1_2?keywords=O%27Keeffe%27s+Working+Hands+Cream+2.7oz.&amp;qid=1695260597&amp;sr=8-2", "https://www.amazon.com/OKeeffes-Working-Hands-Cream-ounce/dp/B00121UVU0/ref=sr_1_2?keywords=O%27Keeffe%27s+Working+Hands+Cream+2.7oz.&amp;qid=1695260597&amp;sr=8-2")</f>
        <v>https://www.amazon.com/OKeeffes-Working-Hands-Cream-ounce/dp/B00121UVU0/ref=sr_1_2?keywords=O%27Keeffe%27s+Working+Hands+Cream+2.7oz.&amp;qid=1695260597&amp;sr=8-2</v>
      </c>
      <c r="F4602" t="s">
        <v>13190</v>
      </c>
      <c r="G4602" t="e">
        <f ca="1">IMAGE("https://shop.sonapharmacy.com/cdn/shop/products/00be5c22-ab6e-4ab0-b795-94a77c1551f9_2.8f68130d2f977aa423d97d8a89b1994a.jpg?v=1608407194")</f>
        <v>#NAME?</v>
      </c>
      <c r="H4602" t="e">
        <f ca="1">IMAGE("https://m.media-amazon.com/images/I/81zTboMmjHL._AC_UL320_.jpg")</f>
        <v>#NAME?</v>
      </c>
      <c r="I4602" t="s">
        <v>8315</v>
      </c>
      <c r="J4602">
        <v>9.98</v>
      </c>
      <c r="K4602" s="2" t="s">
        <v>13191</v>
      </c>
      <c r="L4602">
        <v>4.7</v>
      </c>
      <c r="M4602">
        <v>87698</v>
      </c>
      <c r="O4602" t="s">
        <v>26</v>
      </c>
      <c r="P4602" t="s">
        <v>39</v>
      </c>
      <c r="Q4602" t="s">
        <v>8317</v>
      </c>
    </row>
    <row r="4603" spans="1:17" ht="15.75" x14ac:dyDescent="0.25">
      <c r="A4603" s="3" t="str">
        <f>HYPERLINK("https://shop.sonapharmacy.com/products/cara%C2%AE-standard-size-moist-dry-heating-pad", "https://shop.sonapharmacy.com/products/cara%C2%AE-standard-size-moist-dry-heating-pad")</f>
        <v>https://shop.sonapharmacy.com/products/cara%C2%AE-standard-size-moist-dry-heating-pad</v>
      </c>
      <c r="B4603" s="3" t="str">
        <f>HYPERLINK("https://shop.sonapharmacy.com/products/cara%c2%ae-standard-size-moist-dry-heating-pad", "https://shop.sonapharmacy.com/products/cara%c2%ae-standard-size-moist-dry-heating-pad")</f>
        <v>https://shop.sonapharmacy.com/products/cara%c2%ae-standard-size-moist-dry-heating-pad</v>
      </c>
      <c r="C4603" t="s">
        <v>8751</v>
      </c>
      <c r="D4603" t="s">
        <v>13192</v>
      </c>
      <c r="E4603" s="3" t="str">
        <f>HYPERLINK("https://www.amazon.com/CARA-Heating-Select-Moist-Standard/dp/B000FKJN7G/ref=sr_1_2?keywords=Cara%C2%AE+Standard+Size+Moist%2FDry+Heating+Pad&amp;qid=1695260154&amp;sr=8-2", "https://www.amazon.com/CARA-Heating-Select-Moist-Standard/dp/B000FKJN7G/ref=sr_1_2?keywords=Cara%C2%AE+Standard+Size+Moist%2FDry+Heating+Pad&amp;qid=1695260154&amp;sr=8-2")</f>
        <v>https://www.amazon.com/CARA-Heating-Select-Moist-Standard/dp/B000FKJN7G/ref=sr_1_2?keywords=Cara%C2%AE+Standard+Size+Moist%2FDry+Heating+Pad&amp;qid=1695260154&amp;sr=8-2</v>
      </c>
      <c r="F4603" t="s">
        <v>13193</v>
      </c>
      <c r="G4603" t="e">
        <f ca="1">IMAGE("https://shop.sonapharmacy.com/cdn/shop/products/da718653-98e8-4d98-a1bc-4562155c6543_1.6a398de2ed3c5b4be415e9ebd72152f4.jpg?v=1611153880")</f>
        <v>#NAME?</v>
      </c>
      <c r="H4603" t="e">
        <f ca="1">IMAGE("https://m.media-amazon.com/images/I/81XwUBJdBNL._AC_UL320_.jpg")</f>
        <v>#NAME?</v>
      </c>
      <c r="I4603" t="s">
        <v>8754</v>
      </c>
      <c r="J4603">
        <v>27.45</v>
      </c>
      <c r="K4603" s="2" t="s">
        <v>13194</v>
      </c>
      <c r="L4603">
        <v>3.4</v>
      </c>
      <c r="M4603">
        <v>314</v>
      </c>
      <c r="O4603" t="s">
        <v>26</v>
      </c>
      <c r="P4603" t="s">
        <v>39</v>
      </c>
      <c r="Q4603" t="s">
        <v>8756</v>
      </c>
    </row>
    <row r="4604" spans="1:17" ht="15.75" x14ac:dyDescent="0.25">
      <c r="A4604" s="3" t="str">
        <f>HYPERLINK("https://shop.sonapharmacy.com/products/alka-seltzer%C2%AE-original-effervescent-tablets", "https://shop.sonapharmacy.com/products/alka-seltzer%C2%AE-original-effervescent-tablets")</f>
        <v>https://shop.sonapharmacy.com/products/alka-seltzer%C2%AE-original-effervescent-tablets</v>
      </c>
      <c r="B4604" s="3" t="str">
        <f>HYPERLINK("https://shop.sonapharmacy.com/products/alka-seltzer%c2%ae-original-effervescent-tablets", "https://shop.sonapharmacy.com/products/alka-seltzer%c2%ae-original-effervescent-tablets")</f>
        <v>https://shop.sonapharmacy.com/products/alka-seltzer%c2%ae-original-effervescent-tablets</v>
      </c>
      <c r="C4604" t="s">
        <v>9356</v>
      </c>
      <c r="D4604" t="s">
        <v>13195</v>
      </c>
      <c r="E4604" s="3" t="str">
        <f>HYPERLINK("https://www.amazon.com/Alka-Seltzer-Effervescent-Heartburn-Tablets-Count/dp/B01MPYDZ13/ref=sr_1_5?keywords=Alka-Seltzer+Original+Effervescent+Tablets&amp;qid=1695260013&amp;sr=8-5", "https://www.amazon.com/Alka-Seltzer-Effervescent-Heartburn-Tablets-Count/dp/B01MPYDZ13/ref=sr_1_5?keywords=Alka-Seltzer+Original+Effervescent+Tablets&amp;qid=1695260013&amp;sr=8-5")</f>
        <v>https://www.amazon.com/Alka-Seltzer-Effervescent-Heartburn-Tablets-Count/dp/B01MPYDZ13/ref=sr_1_5?keywords=Alka-Seltzer+Original+Effervescent+Tablets&amp;qid=1695260013&amp;sr=8-5</v>
      </c>
      <c r="F4604" t="s">
        <v>13196</v>
      </c>
      <c r="G4604" t="e">
        <f ca="1">IMAGE("https://shop.sonapharmacy.com/cdn/shop/products/51rk0IErmAL._AC.jpg?v=1610676312")</f>
        <v>#NAME?</v>
      </c>
      <c r="H4604" t="e">
        <f ca="1">IMAGE("https://m.media-amazon.com/images/I/81FyRSLw-aL._AC_UL320_.jpg")</f>
        <v>#NAME?</v>
      </c>
      <c r="I4604" t="s">
        <v>9015</v>
      </c>
      <c r="J4604">
        <v>5.78</v>
      </c>
      <c r="K4604" s="2" t="s">
        <v>13197</v>
      </c>
      <c r="L4604">
        <v>4.7</v>
      </c>
      <c r="M4604">
        <v>116</v>
      </c>
      <c r="O4604" t="s">
        <v>26</v>
      </c>
      <c r="P4604" t="s">
        <v>39</v>
      </c>
      <c r="Q4604" t="s">
        <v>9360</v>
      </c>
    </row>
    <row r="4605" spans="1:17" ht="15.75" x14ac:dyDescent="0.25">
      <c r="A4605" s="3" t="str">
        <f>HYPERLINK("https://shop.sonapharmacy.com/products/black-elderberry-nighttime-syrup", "https://shop.sonapharmacy.com/products/black-elderberry-nighttime-syrup")</f>
        <v>https://shop.sonapharmacy.com/products/black-elderberry-nighttime-syrup</v>
      </c>
      <c r="B4605" s="3" t="str">
        <f>HYPERLINK("https://shop.sonapharmacy.com/products/black-elderberry-nighttime-syrup", "https://shop.sonapharmacy.com/products/black-elderberry-nighttime-syrup")</f>
        <v>https://shop.sonapharmacy.com/products/black-elderberry-nighttime-syrup</v>
      </c>
      <c r="C4605" t="s">
        <v>13198</v>
      </c>
      <c r="D4605" t="s">
        <v>13199</v>
      </c>
      <c r="E4605" s="3" t="str">
        <f>HYPERLINK("https://www.amazon.com/Gaia-Herbs-Black-Elderberry-NightTime/dp/B0036THLOU/ref=sr_1_1?keywords=Gaia%C2%AE+Herbs+Black+Elderberry+NightTime+Syrup+3fl.+oz.&amp;qid=1695260274&amp;sr=8-1", "https://www.amazon.com/Gaia-Herbs-Black-Elderberry-NightTime/dp/B0036THLOU/ref=sr_1_1?keywords=Gaia%C2%AE+Herbs+Black+Elderberry+NightTime+Syrup+3fl.+oz.&amp;qid=1695260274&amp;sr=8-1")</f>
        <v>https://www.amazon.com/Gaia-Herbs-Black-Elderberry-NightTime/dp/B0036THLOU/ref=sr_1_1?keywords=Gaia%C2%AE+Herbs+Black+Elderberry+NightTime+Syrup+3fl.+oz.&amp;qid=1695260274&amp;sr=8-1</v>
      </c>
      <c r="F4605" t="s">
        <v>13200</v>
      </c>
      <c r="G4605" t="e">
        <f ca="1">IMAGE("https://shop.sonapharmacy.com/cdn/shop/products/BlackElderberryNightTimeSyrup.png?v=1594746209")</f>
        <v>#NAME?</v>
      </c>
      <c r="H4605" t="e">
        <f ca="1">IMAGE("https://m.media-amazon.com/images/I/71LCL9tMOnL._AC_UL320_.jpg")</f>
        <v>#NAME?</v>
      </c>
      <c r="I4605" t="s">
        <v>11374</v>
      </c>
      <c r="J4605">
        <v>25.99</v>
      </c>
      <c r="K4605" s="2" t="s">
        <v>13201</v>
      </c>
      <c r="L4605">
        <v>4.5</v>
      </c>
      <c r="M4605">
        <v>443</v>
      </c>
      <c r="O4605" t="s">
        <v>26</v>
      </c>
      <c r="P4605" t="s">
        <v>39</v>
      </c>
      <c r="Q4605" t="s">
        <v>13202</v>
      </c>
    </row>
    <row r="4606" spans="1:17" ht="15.75" x14ac:dyDescent="0.25">
      <c r="A4606" s="3" t="str">
        <f>HYPERLINK("https://shop.sonapharmacy.com/products/black-elderberry-syrup", "https://shop.sonapharmacy.com/products/black-elderberry-syrup")</f>
        <v>https://shop.sonapharmacy.com/products/black-elderberry-syrup</v>
      </c>
      <c r="B4606" s="3" t="str">
        <f>HYPERLINK("https://shop.sonapharmacy.com/products/black-elderberry-syrup", "https://shop.sonapharmacy.com/products/black-elderberry-syrup")</f>
        <v>https://shop.sonapharmacy.com/products/black-elderberry-syrup</v>
      </c>
      <c r="C4606" t="s">
        <v>12610</v>
      </c>
      <c r="D4606" t="s">
        <v>13199</v>
      </c>
      <c r="E4606" s="3" t="str">
        <f>HYPERLINK("https://www.amazon.com/Gaia-Herbs-Black-Elderberry-NightTime/dp/B0036THLOU/ref=sr_1_3?keywords=Gaia%C2%AE+Herbs+Black+Elderberry+Syrup&amp;qid=1695260262&amp;sr=8-3", "https://www.amazon.com/Gaia-Herbs-Black-Elderberry-NightTime/dp/B0036THLOU/ref=sr_1_3?keywords=Gaia%C2%AE+Herbs+Black+Elderberry+Syrup&amp;qid=1695260262&amp;sr=8-3")</f>
        <v>https://www.amazon.com/Gaia-Herbs-Black-Elderberry-NightTime/dp/B0036THLOU/ref=sr_1_3?keywords=Gaia%C2%AE+Herbs+Black+Elderberry+Syrup&amp;qid=1695260262&amp;sr=8-3</v>
      </c>
      <c r="F4606" t="s">
        <v>13200</v>
      </c>
      <c r="G4606" t="e">
        <f ca="1">IMAGE("https://shop.sonapharmacy.com/cdn/shop/products/61rAyFGkWBL._AC_SL1200.jpg?v=1610559041")</f>
        <v>#NAME?</v>
      </c>
      <c r="H4606" t="e">
        <f ca="1">IMAGE("https://m.media-amazon.com/images/I/71LCL9tMOnL._AC_UL320_.jpg")</f>
        <v>#NAME?</v>
      </c>
      <c r="I4606" t="s">
        <v>11374</v>
      </c>
      <c r="J4606">
        <v>25.99</v>
      </c>
      <c r="K4606" s="2" t="s">
        <v>13201</v>
      </c>
      <c r="L4606">
        <v>4.5</v>
      </c>
      <c r="M4606">
        <v>443</v>
      </c>
      <c r="O4606" t="s">
        <v>26</v>
      </c>
      <c r="P4606" t="s">
        <v>39</v>
      </c>
      <c r="Q4606" t="s">
        <v>12614</v>
      </c>
    </row>
    <row r="4607" spans="1:17" ht="15.75" x14ac:dyDescent="0.25">
      <c r="A4607" s="3" t="str">
        <f>HYPERLINK("https://shop.sonapharmacy.com/products/mucinex-fast-max-cold-flu-and-sore-throat-liquid-gels-16-ct", "https://shop.sonapharmacy.com/products/mucinex-fast-max-cold-flu-and-sore-throat-liquid-gels-16-ct")</f>
        <v>https://shop.sonapharmacy.com/products/mucinex-fast-max-cold-flu-and-sore-throat-liquid-gels-16-ct</v>
      </c>
      <c r="B4607" s="3" t="str">
        <f>HYPERLINK("https://shop.sonapharmacy.com/products/mucinex-fast-max-cold-flu-and-sore-throat-liquid-gels-16-ct", "https://shop.sonapharmacy.com/products/mucinex-fast-max-cold-flu-and-sore-throat-liquid-gels-16-ct")</f>
        <v>https://shop.sonapharmacy.com/products/mucinex-fast-max-cold-flu-and-sore-throat-liquid-gels-16-ct</v>
      </c>
      <c r="C4607" t="s">
        <v>10508</v>
      </c>
      <c r="D4607" t="s">
        <v>13203</v>
      </c>
      <c r="E4607" s="3" t="str">
        <f>HYPERLINK("https://www.amazon.com/Mucinex-Fast-Max-Strength-Throat-Liquid/dp/B073V2WM35/ref=sr_1_2?keywords=Mucinex%C2%AE+Fast-Max+Cold%2C+Flu+and+Sore+Throat+Liquid+Gels+16ct.&amp;qid=1695260497&amp;sr=8-2", "https://www.amazon.com/Mucinex-Fast-Max-Strength-Throat-Liquid/dp/B073V2WM35/ref=sr_1_2?keywords=Mucinex%C2%AE+Fast-Max+Cold%2C+Flu+and+Sore+Throat+Liquid+Gels+16ct.&amp;qid=1695260497&amp;sr=8-2")</f>
        <v>https://www.amazon.com/Mucinex-Fast-Max-Strength-Throat-Liquid/dp/B073V2WM35/ref=sr_1_2?keywords=Mucinex%C2%AE+Fast-Max+Cold%2C+Flu+and+Sore+Throat+Liquid+Gels+16ct.&amp;qid=1695260497&amp;sr=8-2</v>
      </c>
      <c r="F4607" t="s">
        <v>13204</v>
      </c>
      <c r="G4607" t="e">
        <f ca="1">IMAGE("https://shop.sonapharmacy.com/cdn/shop/products/MucinexFast-MaxCold_FluandSoreThroatLiquidGels16ct..jpg?v=1595341655")</f>
        <v>#NAME?</v>
      </c>
      <c r="H4607" t="e">
        <f ca="1">IMAGE("https://m.media-amazon.com/images/I/61gvtfbmEVL._AC_UL320_.jpg")</f>
        <v>#NAME?</v>
      </c>
      <c r="I4607" t="s">
        <v>9809</v>
      </c>
      <c r="J4607">
        <v>23.5</v>
      </c>
      <c r="K4607" s="2" t="s">
        <v>13205</v>
      </c>
      <c r="L4607">
        <v>4.7</v>
      </c>
      <c r="M4607">
        <v>133</v>
      </c>
      <c r="O4607" t="s">
        <v>26</v>
      </c>
      <c r="P4607" t="s">
        <v>39</v>
      </c>
      <c r="Q4607" t="s">
        <v>10512</v>
      </c>
    </row>
    <row r="4608" spans="1:17" ht="15.75" x14ac:dyDescent="0.25">
      <c r="A4608" s="3" t="str">
        <f>HYPERLINK("https://shop.sonapharmacy.com/products/lotrimin%C2%AE-af-jock-itch-antifungal-cream", "https://shop.sonapharmacy.com/products/lotrimin%C2%AE-af-jock-itch-antifungal-cream")</f>
        <v>https://shop.sonapharmacy.com/products/lotrimin%C2%AE-af-jock-itch-antifungal-cream</v>
      </c>
      <c r="B4608" s="3" t="str">
        <f>HYPERLINK("https://shop.sonapharmacy.com/products/lotrimin%c2%ae-af-jock-itch-antifungal-cream", "https://shop.sonapharmacy.com/products/lotrimin%c2%ae-af-jock-itch-antifungal-cream")</f>
        <v>https://shop.sonapharmacy.com/products/lotrimin%c2%ae-af-jock-itch-antifungal-cream</v>
      </c>
      <c r="C4608" t="s">
        <v>11976</v>
      </c>
      <c r="D4608" t="s">
        <v>11977</v>
      </c>
      <c r="E4608" s="3" t="str">
        <f>HYPERLINK("https://www.amazon.com/Lotrimin-Clotrimazole-Antifungal-Treatment-Clinically/dp/B010CVM2ZW/ref=sr_1_8?keywords=Lotrimin%C2%AE+AF+Jock+Itch+Antifungal+Cream&amp;qid=1695260464&amp;sr=8-8", "https://www.amazon.com/Lotrimin-Clotrimazole-Antifungal-Treatment-Clinically/dp/B010CVM2ZW/ref=sr_1_8?keywords=Lotrimin%C2%AE+AF+Jock+Itch+Antifungal+Cream&amp;qid=1695260464&amp;sr=8-8")</f>
        <v>https://www.amazon.com/Lotrimin-Clotrimazole-Antifungal-Treatment-Clinically/dp/B010CVM2ZW/ref=sr_1_8?keywords=Lotrimin%C2%AE+AF+Jock+Itch+Antifungal+Cream&amp;qid=1695260464&amp;sr=8-8</v>
      </c>
      <c r="F4608" t="s">
        <v>13206</v>
      </c>
      <c r="G4608" t="e">
        <f ca="1">IMAGE("https://shop.sonapharmacy.com/cdn/shop/products/lotrimincream.jpg?v=1607963126")</f>
        <v>#NAME?</v>
      </c>
      <c r="H4608" t="e">
        <f ca="1">IMAGE("https://m.media-amazon.com/images/I/81xLTKQS6eL._AC_UL320_.jpg")</f>
        <v>#NAME?</v>
      </c>
      <c r="I4608" t="s">
        <v>3373</v>
      </c>
      <c r="J4608">
        <v>16.5</v>
      </c>
      <c r="K4608" s="2" t="s">
        <v>13207</v>
      </c>
      <c r="L4608">
        <v>4.7</v>
      </c>
      <c r="M4608">
        <v>101</v>
      </c>
      <c r="O4608" t="s">
        <v>26</v>
      </c>
      <c r="P4608" t="s">
        <v>39</v>
      </c>
      <c r="Q4608" t="s">
        <v>11980</v>
      </c>
    </row>
    <row r="4609" spans="1:17" ht="15.75" x14ac:dyDescent="0.25">
      <c r="A4609" s="3" t="str">
        <f>HYPERLINK("https://shop.sonapharmacy.com/products/alka-seltzer%C2%AE-original-effervescent-tablets", "https://shop.sonapharmacy.com/products/alka-seltzer%C2%AE-original-effervescent-tablets")</f>
        <v>https://shop.sonapharmacy.com/products/alka-seltzer%C2%AE-original-effervescent-tablets</v>
      </c>
      <c r="B4609" s="3" t="str">
        <f>HYPERLINK("https://shop.sonapharmacy.com/products/alka-seltzer%c2%ae-original-effervescent-tablets", "https://shop.sonapharmacy.com/products/alka-seltzer%c2%ae-original-effervescent-tablets")</f>
        <v>https://shop.sonapharmacy.com/products/alka-seltzer%c2%ae-original-effervescent-tablets</v>
      </c>
      <c r="C4609" t="s">
        <v>9356</v>
      </c>
      <c r="D4609" t="s">
        <v>13208</v>
      </c>
      <c r="E4609" s="3" t="str">
        <f>HYPERLINK("https://www.amazon.com/Alka-Seltzer-Original-Aspirin-36-Count/dp/B01M8O58NW/ref=sr_1_4?keywords=Alka-Seltzer+Original+Effervescent+Tablets&amp;qid=1695260013&amp;sr=8-4", "https://www.amazon.com/Alka-Seltzer-Original-Aspirin-36-Count/dp/B01M8O58NW/ref=sr_1_4?keywords=Alka-Seltzer+Original+Effervescent+Tablets&amp;qid=1695260013&amp;sr=8-4")</f>
        <v>https://www.amazon.com/Alka-Seltzer-Original-Aspirin-36-Count/dp/B01M8O58NW/ref=sr_1_4?keywords=Alka-Seltzer+Original+Effervescent+Tablets&amp;qid=1695260013&amp;sr=8-4</v>
      </c>
      <c r="F4609" t="s">
        <v>13209</v>
      </c>
      <c r="G4609" t="e">
        <f ca="1">IMAGE("https://shop.sonapharmacy.com/cdn/shop/products/51rk0IErmAL._AC.jpg?v=1610676312")</f>
        <v>#NAME?</v>
      </c>
      <c r="H4609" t="e">
        <f ca="1">IMAGE("https://m.media-amazon.com/images/I/81cWPh-nPxL._AC_UL320_.jpg")</f>
        <v>#NAME?</v>
      </c>
      <c r="I4609" t="s">
        <v>9015</v>
      </c>
      <c r="J4609">
        <v>5.76</v>
      </c>
      <c r="K4609" s="2" t="s">
        <v>13210</v>
      </c>
      <c r="L4609">
        <v>4.8</v>
      </c>
      <c r="M4609">
        <v>260</v>
      </c>
      <c r="O4609" t="s">
        <v>26</v>
      </c>
      <c r="P4609" t="s">
        <v>39</v>
      </c>
      <c r="Q4609" t="s">
        <v>9360</v>
      </c>
    </row>
    <row r="4610" spans="1:17" ht="15.75" x14ac:dyDescent="0.25">
      <c r="A4610" s="3" t="str">
        <f>HYPERLINK("https://shop.sonapharmacy.com/products/pedia-lax-liquid-glycerin-suppositories", "https://shop.sonapharmacy.com/products/pedia-lax-liquid-glycerin-suppositories")</f>
        <v>https://shop.sonapharmacy.com/products/pedia-lax-liquid-glycerin-suppositories</v>
      </c>
      <c r="B4610" s="3" t="str">
        <f>HYPERLINK("https://shop.sonapharmacy.com/products/pedia-lax-liquid-glycerin-suppositories", "https://shop.sonapharmacy.com/products/pedia-lax-liquid-glycerin-suppositories")</f>
        <v>https://shop.sonapharmacy.com/products/pedia-lax-liquid-glycerin-suppositories</v>
      </c>
      <c r="C4610" t="s">
        <v>8340</v>
      </c>
      <c r="D4610" t="s">
        <v>9752</v>
      </c>
      <c r="E4610" s="3" t="str">
        <f>HYPERLINK("https://www.amazon.com/Fleet-Laxative-Pedia-Lax-Glycerin-Suppositories/dp/B01M7573PC/ref=sr_1_8?keywords=Pedia-Lax%C2%AE+Liquid+Glycerin+Suppositories&amp;qid=1695260624&amp;sr=8-8", "https://www.amazon.com/Fleet-Laxative-Pedia-Lax-Glycerin-Suppositories/dp/B01M7573PC/ref=sr_1_8?keywords=Pedia-Lax%C2%AE+Liquid+Glycerin+Suppositories&amp;qid=1695260624&amp;sr=8-8")</f>
        <v>https://www.amazon.com/Fleet-Laxative-Pedia-Lax-Glycerin-Suppositories/dp/B01M7573PC/ref=sr_1_8?keywords=Pedia-Lax%C2%AE+Liquid+Glycerin+Suppositories&amp;qid=1695260624&amp;sr=8-8</v>
      </c>
      <c r="F4610" t="s">
        <v>9753</v>
      </c>
      <c r="G4610" t="e">
        <f ca="1">IMAGE("https://shop.sonapharmacy.com/cdn/shop/products/PediaLaxSuppository.png?v=1606852444")</f>
        <v>#NAME?</v>
      </c>
      <c r="H4610" t="e">
        <f ca="1">IMAGE("https://m.media-amazon.com/images/I/51d55T+yGKL._AC_UL320_.jpg")</f>
        <v>#NAME?</v>
      </c>
      <c r="I4610" t="s">
        <v>8341</v>
      </c>
      <c r="J4610">
        <v>10</v>
      </c>
      <c r="K4610" s="2" t="s">
        <v>13210</v>
      </c>
      <c r="L4610">
        <v>4.8</v>
      </c>
      <c r="M4610">
        <v>4</v>
      </c>
      <c r="O4610" t="s">
        <v>26</v>
      </c>
      <c r="P4610" t="s">
        <v>39</v>
      </c>
      <c r="Q4610" t="s">
        <v>8343</v>
      </c>
    </row>
    <row r="4611" spans="1:17" ht="15.75" x14ac:dyDescent="0.25">
      <c r="A4611" s="3" t="str">
        <f>HYPERLINK("https://shop.sonapharmacy.com/products/pedia-lax-liquid-glycerin-suppositories", "https://shop.sonapharmacy.com/products/pedia-lax-liquid-glycerin-suppositories")</f>
        <v>https://shop.sonapharmacy.com/products/pedia-lax-liquid-glycerin-suppositories</v>
      </c>
      <c r="B4611" s="3" t="str">
        <f>HYPERLINK("https://shop.sonapharmacy.com/products/pedia-lax-liquid-glycerin-suppositories", "https://shop.sonapharmacy.com/products/pedia-lax-liquid-glycerin-suppositories")</f>
        <v>https://shop.sonapharmacy.com/products/pedia-lax-liquid-glycerin-suppositories</v>
      </c>
      <c r="C4611" t="s">
        <v>8340</v>
      </c>
      <c r="D4611" t="s">
        <v>9749</v>
      </c>
      <c r="E4611" s="3" t="str">
        <f>HYPERLINK("https://www.amazon.com/Pedia-Lax-Fleet-Liquid-Glycerin-Suppositories/dp/B01MXXNT4Z/ref=sr_1_9?keywords=Pedia-Lax%C2%AE+Liquid+Glycerin+Suppositories&amp;qid=1695260624&amp;sr=8-9", "https://www.amazon.com/Pedia-Lax-Fleet-Liquid-Glycerin-Suppositories/dp/B01MXXNT4Z/ref=sr_1_9?keywords=Pedia-Lax%C2%AE+Liquid+Glycerin+Suppositories&amp;qid=1695260624&amp;sr=8-9")</f>
        <v>https://www.amazon.com/Pedia-Lax-Fleet-Liquid-Glycerin-Suppositories/dp/B01MXXNT4Z/ref=sr_1_9?keywords=Pedia-Lax%C2%AE+Liquid+Glycerin+Suppositories&amp;qid=1695260624&amp;sr=8-9</v>
      </c>
      <c r="F4611" t="s">
        <v>9750</v>
      </c>
      <c r="G4611" t="e">
        <f ca="1">IMAGE("https://shop.sonapharmacy.com/cdn/shop/products/PediaLaxSuppository.png?v=1606852444")</f>
        <v>#NAME?</v>
      </c>
      <c r="H4611" t="e">
        <f ca="1">IMAGE("https://m.media-amazon.com/images/I/514kDGOsVJL._AC_UL320_.jpg")</f>
        <v>#NAME?</v>
      </c>
      <c r="I4611" t="s">
        <v>8341</v>
      </c>
      <c r="J4611">
        <v>10</v>
      </c>
      <c r="K4611" s="2" t="s">
        <v>13210</v>
      </c>
      <c r="L4611">
        <v>4</v>
      </c>
      <c r="M4611">
        <v>12</v>
      </c>
      <c r="O4611" t="s">
        <v>26</v>
      </c>
      <c r="P4611" t="s">
        <v>39</v>
      </c>
      <c r="Q4611" t="s">
        <v>8343</v>
      </c>
    </row>
    <row r="4612" spans="1:17" ht="15.75" x14ac:dyDescent="0.25">
      <c r="A4612" s="3" t="str">
        <f>HYPERLINK("https://shop.sonapharmacy.com/products/aspercreme-pain-relieving-creme", "https://shop.sonapharmacy.com/products/aspercreme-pain-relieving-creme")</f>
        <v>https://shop.sonapharmacy.com/products/aspercreme-pain-relieving-creme</v>
      </c>
      <c r="B4612" s="3" t="str">
        <f>HYPERLINK("https://shop.sonapharmacy.com/products/aspercreme-pain-relieving-creme", "https://shop.sonapharmacy.com/products/aspercreme-pain-relieving-creme")</f>
        <v>https://shop.sonapharmacy.com/products/aspercreme-pain-relieving-creme</v>
      </c>
      <c r="C4612" t="s">
        <v>8372</v>
      </c>
      <c r="D4612" t="s">
        <v>13211</v>
      </c>
      <c r="E4612" s="3" t="str">
        <f>HYPERLINK("https://www.amazon.com/Aspercreme-Lidocaine-Foot-Creme-Ounce/dp/B07BQ6LSJL/ref=sr_1_2?keywords=Aspercreme+Pain+Relieving+Creme&amp;qid=1695260061&amp;sr=8-2", "https://www.amazon.com/Aspercreme-Lidocaine-Foot-Creme-Ounce/dp/B07BQ6LSJL/ref=sr_1_2?keywords=Aspercreme+Pain+Relieving+Creme&amp;qid=1695260061&amp;sr=8-2")</f>
        <v>https://www.amazon.com/Aspercreme-Lidocaine-Foot-Creme-Ounce/dp/B07BQ6LSJL/ref=sr_1_2?keywords=Aspercreme+Pain+Relieving+Creme&amp;qid=1695260061&amp;sr=8-2</v>
      </c>
      <c r="F4612" t="s">
        <v>13212</v>
      </c>
      <c r="G4612" t="e">
        <f ca="1">IMAGE("https://shop.sonapharmacy.com/cdn/shop/products/71L3ZWcemAL._AC_SL1280.jpg?v=1611192722")</f>
        <v>#NAME?</v>
      </c>
      <c r="H4612" t="e">
        <f ca="1">IMAGE("https://m.media-amazon.com/images/I/61Nx1ATbsfL._AC_UL320_.jpg")</f>
        <v>#NAME?</v>
      </c>
      <c r="I4612" t="s">
        <v>8341</v>
      </c>
      <c r="J4612">
        <v>9.98</v>
      </c>
      <c r="K4612" s="2" t="s">
        <v>13213</v>
      </c>
      <c r="L4612">
        <v>4.3</v>
      </c>
      <c r="M4612">
        <v>3622</v>
      </c>
      <c r="O4612" t="s">
        <v>26</v>
      </c>
      <c r="P4612" t="s">
        <v>39</v>
      </c>
      <c r="Q4612" t="s">
        <v>8376</v>
      </c>
    </row>
    <row r="4613" spans="1:17" ht="15.75" x14ac:dyDescent="0.25">
      <c r="A4613" s="3" t="str">
        <f>HYPERLINK("https://shop.sonapharmacy.com/products/mueller%C2%AE-elastic-knee-support", "https://shop.sonapharmacy.com/products/mueller%C2%AE-elastic-knee-support")</f>
        <v>https://shop.sonapharmacy.com/products/mueller%C2%AE-elastic-knee-support</v>
      </c>
      <c r="B4613" s="3" t="str">
        <f>HYPERLINK("https://shop.sonapharmacy.com/products/mueller%c2%ae-elastic-knee-support", "https://shop.sonapharmacy.com/products/mueller%c2%ae-elastic-knee-support")</f>
        <v>https://shop.sonapharmacy.com/products/mueller%c2%ae-elastic-knee-support</v>
      </c>
      <c r="C4613" t="s">
        <v>13214</v>
      </c>
      <c r="D4613" t="s">
        <v>13215</v>
      </c>
      <c r="E4613" s="3" t="str">
        <f>HYPERLINK("https://www.amazon.com/Mueller-6404-Elastic-Knee-Support/dp/B006561GCO/ref=sr_1_9?keywords=Mueller%C2%AE+Elastic+Knee+Support&amp;qid=1695260506&amp;sr=8-9", "https://www.amazon.com/Mueller-6404-Elastic-Knee-Support/dp/B006561GCO/ref=sr_1_9?keywords=Mueller%C2%AE+Elastic+Knee+Support&amp;qid=1695260506&amp;sr=8-9")</f>
        <v>https://www.amazon.com/Mueller-6404-Elastic-Knee-Support/dp/B006561GCO/ref=sr_1_9?keywords=Mueller%C2%AE+Elastic+Knee+Support&amp;qid=1695260506&amp;sr=8-9</v>
      </c>
      <c r="F4613" t="s">
        <v>13216</v>
      </c>
      <c r="G4613" t="e">
        <f ca="1">IMAGE("https://shop.sonapharmacy.com/cdn/shop/products/unnamed_1.jpg?v=1609868967")</f>
        <v>#NAME?</v>
      </c>
      <c r="H4613" t="e">
        <f ca="1">IMAGE("https://m.media-amazon.com/images/I/810hSb+4iqL._AC_UL320_.jpg")</f>
        <v>#NAME?</v>
      </c>
      <c r="I4613" t="s">
        <v>4873</v>
      </c>
      <c r="J4613">
        <v>11.69</v>
      </c>
      <c r="K4613" s="2" t="s">
        <v>13217</v>
      </c>
      <c r="L4613">
        <v>3.4</v>
      </c>
      <c r="M4613">
        <v>7</v>
      </c>
      <c r="O4613" t="s">
        <v>26</v>
      </c>
      <c r="P4613" t="s">
        <v>39</v>
      </c>
      <c r="Q4613" t="s">
        <v>13218</v>
      </c>
    </row>
    <row r="4614" spans="1:17" ht="15.75" x14ac:dyDescent="0.25">
      <c r="A4614" s="3" t="str">
        <f>HYPERLINK("https://shop.sonapharmacy.com/products/mueller%C2%AE-elastic-knee-support", "https://shop.sonapharmacy.com/products/mueller%C2%AE-elastic-knee-support")</f>
        <v>https://shop.sonapharmacy.com/products/mueller%C2%AE-elastic-knee-support</v>
      </c>
      <c r="B4614" s="3" t="str">
        <f>HYPERLINK("https://shop.sonapharmacy.com/products/mueller%c2%ae-elastic-knee-support", "https://shop.sonapharmacy.com/products/mueller%c2%ae-elastic-knee-support")</f>
        <v>https://shop.sonapharmacy.com/products/mueller%c2%ae-elastic-knee-support</v>
      </c>
      <c r="C4614" t="s">
        <v>13214</v>
      </c>
      <c r="D4614" t="s">
        <v>13219</v>
      </c>
      <c r="E4614" s="3" t="str">
        <f>HYPERLINK("https://www.amazon.com/Mueller-6403-Elastic-Knee-Support/dp/B000P635F6/ref=sr_1_8?keywords=Mueller%C2%AE+Elastic+Knee+Support&amp;qid=1695260506&amp;sr=8-8", "https://www.amazon.com/Mueller-6403-Elastic-Knee-Support/dp/B000P635F6/ref=sr_1_8?keywords=Mueller%C2%AE+Elastic+Knee+Support&amp;qid=1695260506&amp;sr=8-8")</f>
        <v>https://www.amazon.com/Mueller-6403-Elastic-Knee-Support/dp/B000P635F6/ref=sr_1_8?keywords=Mueller%C2%AE+Elastic+Knee+Support&amp;qid=1695260506&amp;sr=8-8</v>
      </c>
      <c r="F4614" t="s">
        <v>13220</v>
      </c>
      <c r="G4614" t="e">
        <f ca="1">IMAGE("https://shop.sonapharmacy.com/cdn/shop/products/unnamed_1.jpg?v=1609868967")</f>
        <v>#NAME?</v>
      </c>
      <c r="H4614" t="e">
        <f ca="1">IMAGE("https://m.media-amazon.com/images/I/81JSuxtMaeL._AC_UL320_.jpg")</f>
        <v>#NAME?</v>
      </c>
      <c r="I4614" t="s">
        <v>4873</v>
      </c>
      <c r="J4614">
        <v>11.69</v>
      </c>
      <c r="K4614" s="2" t="s">
        <v>13217</v>
      </c>
      <c r="L4614">
        <v>2.8</v>
      </c>
      <c r="M4614">
        <v>13</v>
      </c>
      <c r="O4614" t="s">
        <v>26</v>
      </c>
      <c r="P4614" t="s">
        <v>39</v>
      </c>
      <c r="Q4614" t="s">
        <v>13218</v>
      </c>
    </row>
    <row r="4615" spans="1:17" ht="15.75" x14ac:dyDescent="0.25">
      <c r="A4615" s="3" t="str">
        <f>HYPERLINK("https://shop.sonapharmacy.com/products/simply-saline%E2%84%A2-daily-care-instant-relief-for-everyday-congestion", "https://shop.sonapharmacy.com/products/simply-saline%E2%84%A2-daily-care-instant-relief-for-everyday-congestion")</f>
        <v>https://shop.sonapharmacy.com/products/simply-saline%E2%84%A2-daily-care-instant-relief-for-everyday-congestion</v>
      </c>
      <c r="B4615" s="3" t="str">
        <f>HYPERLINK("https://shop.sonapharmacy.com/products/simply-saline%e2%84%a2-daily-care-instant-relief-for-everyday-congestion", "https://shop.sonapharmacy.com/products/simply-saline%e2%84%a2-daily-care-instant-relief-for-everyday-congestion")</f>
        <v>https://shop.sonapharmacy.com/products/simply-saline%e2%84%a2-daily-care-instant-relief-for-everyday-congestion</v>
      </c>
      <c r="C4615" t="s">
        <v>12891</v>
      </c>
      <c r="D4615" t="s">
        <v>13221</v>
      </c>
      <c r="E4615" s="3" t="str">
        <f>HYPERLINK("https://www.amazon.com/HAMMER-Simply-Saline-Nasal-Daily/dp/B000VLD8P2/ref=sr_1_1?keywords=Simply+Saline%E2%84%A2+Daily+Care+Instant+Relief+for+Everyday+Congestion&amp;qid=1695260732&amp;sr=8-1", "https://www.amazon.com/HAMMER-Simply-Saline-Nasal-Daily/dp/B000VLD8P2/ref=sr_1_1?keywords=Simply+Saline%E2%84%A2+Daily+Care+Instant+Relief+for+Everyday+Congestion&amp;qid=1695260732&amp;sr=8-1")</f>
        <v>https://www.amazon.com/HAMMER-Simply-Saline-Nasal-Daily/dp/B000VLD8P2/ref=sr_1_1?keywords=Simply+Saline%E2%84%A2+Daily+Care+Instant+Relief+for+Everyday+Congestion&amp;qid=1695260732&amp;sr=8-1</v>
      </c>
      <c r="F4615" t="s">
        <v>13222</v>
      </c>
      <c r="G4615" t="e">
        <f ca="1">IMAGE("https://shop.sonapharmacy.com/cdn/shop/products/71A-NvoVMIL._AC_SL1500.jpg?v=1610123918")</f>
        <v>#NAME?</v>
      </c>
      <c r="H4615" t="e">
        <f ca="1">IMAGE("https://m.media-amazon.com/images/I/710oXWxhaqL._AC_UL320_.jpg")</f>
        <v>#NAME?</v>
      </c>
      <c r="I4615" t="s">
        <v>9634</v>
      </c>
      <c r="J4615">
        <v>7.29</v>
      </c>
      <c r="K4615" s="2" t="s">
        <v>13223</v>
      </c>
      <c r="L4615">
        <v>4.5999999999999996</v>
      </c>
      <c r="M4615">
        <v>3324</v>
      </c>
      <c r="O4615" t="s">
        <v>26</v>
      </c>
      <c r="P4615" t="s">
        <v>39</v>
      </c>
      <c r="Q4615" t="s">
        <v>12894</v>
      </c>
    </row>
    <row r="4616" spans="1:17" ht="15.75" x14ac:dyDescent="0.25">
      <c r="A4616" s="3" t="str">
        <f>HYPERLINK("https://shop.sonapharmacy.com/products/ricola-lemon-mint-cough-drops", "https://shop.sonapharmacy.com/products/ricola-lemon-mint-cough-drops")</f>
        <v>https://shop.sonapharmacy.com/products/ricola-lemon-mint-cough-drops</v>
      </c>
      <c r="B4616" s="3" t="str">
        <f>HYPERLINK("https://shop.sonapharmacy.com/products/ricola-lemon-mint-cough-drops", "https://shop.sonapharmacy.com/products/ricola-lemon-mint-cough-drops")</f>
        <v>https://shop.sonapharmacy.com/products/ricola-lemon-mint-cough-drops</v>
      </c>
      <c r="C4616" t="s">
        <v>8276</v>
      </c>
      <c r="D4616" t="s">
        <v>13224</v>
      </c>
      <c r="E4616" s="3" t="str">
        <f>HYPERLINK("https://www.amazon.com/Ricola-Sugar-Lemon-Cough-Drops/dp/B015MKNOH8/ref=sr_1_1?keywords=Ricola+Lemon+Mint+Cough+Drops&amp;qid=1695260692&amp;sr=8-1", "https://www.amazon.com/Ricola-Sugar-Lemon-Cough-Drops/dp/B015MKNOH8/ref=sr_1_1?keywords=Ricola+Lemon+Mint+Cough+Drops&amp;qid=1695260692&amp;sr=8-1")</f>
        <v>https://www.amazon.com/Ricola-Sugar-Lemon-Cough-Drops/dp/B015MKNOH8/ref=sr_1_1?keywords=Ricola+Lemon+Mint+Cough+Drops&amp;qid=1695260692&amp;sr=8-1</v>
      </c>
      <c r="F4616" t="s">
        <v>13225</v>
      </c>
      <c r="G4616" t="e">
        <f ca="1">IMAGE("https://shop.sonapharmacy.com/cdn/shop/products/lemonmint_bag_24.png?v=1608220217")</f>
        <v>#NAME?</v>
      </c>
      <c r="H4616" t="e">
        <f ca="1">IMAGE("https://m.media-amazon.com/images/I/81VJjl9iCeL._AC_UL320_.jpg")</f>
        <v>#NAME?</v>
      </c>
      <c r="I4616" t="s">
        <v>8279</v>
      </c>
      <c r="J4616">
        <v>4.4800000000000004</v>
      </c>
      <c r="K4616" s="2" t="s">
        <v>13226</v>
      </c>
      <c r="L4616">
        <v>4.8</v>
      </c>
      <c r="M4616">
        <v>556</v>
      </c>
      <c r="O4616" t="s">
        <v>26</v>
      </c>
      <c r="P4616" t="s">
        <v>39</v>
      </c>
      <c r="Q4616" t="s">
        <v>8281</v>
      </c>
    </row>
    <row r="4617" spans="1:17" ht="15.75" x14ac:dyDescent="0.25">
      <c r="A4617" s="3" t="str">
        <f>HYPERLINK("https://shop.sonapharmacy.com/products/boudreauxs-butt-paste%C2%AE-original-diaper-rash-ointment", "https://shop.sonapharmacy.com/products/boudreauxs-butt-paste%C2%AE-original-diaper-rash-ointment")</f>
        <v>https://shop.sonapharmacy.com/products/boudreauxs-butt-paste%C2%AE-original-diaper-rash-ointment</v>
      </c>
      <c r="B4617" s="3" t="str">
        <f>HYPERLINK("https://shop.sonapharmacy.com/products/boudreauxs-butt-paste%c2%ae-original-diaper-rash-ointment", "https://shop.sonapharmacy.com/products/boudreauxs-butt-paste%c2%ae-original-diaper-rash-ointment")</f>
        <v>https://shop.sonapharmacy.com/products/boudreauxs-butt-paste%c2%ae-original-diaper-rash-ointment</v>
      </c>
      <c r="C4617" t="s">
        <v>9281</v>
      </c>
      <c r="D4617" t="s">
        <v>13227</v>
      </c>
      <c r="E4617" s="3" t="str">
        <f>HYPERLINK("https://www.amazon.com/Boudreauxs-Butt-Paste-Sensitive-Hypoallergenic/dp/B07YNYR199/ref=sr_1_8?keywords=Boudreaux%27s+Butt+Paste%C2%AE+Original+Diaper+Rash+Ointment&amp;qid=1695260099&amp;rdc=1&amp;sr=8-8", "https://www.amazon.com/Boudreauxs-Butt-Paste-Sensitive-Hypoallergenic/dp/B07YNYR199/ref=sr_1_8?keywords=Boudreaux%27s+Butt+Paste%C2%AE+Original+Diaper+Rash+Ointment&amp;qid=1695260099&amp;rdc=1&amp;sr=8-8")</f>
        <v>https://www.amazon.com/Boudreauxs-Butt-Paste-Sensitive-Hypoallergenic/dp/B07YNYR199/ref=sr_1_8?keywords=Boudreaux%27s+Butt+Paste%C2%AE+Original+Diaper+Rash+Ointment&amp;qid=1695260099&amp;rdc=1&amp;sr=8-8</v>
      </c>
      <c r="F4617" t="s">
        <v>13228</v>
      </c>
      <c r="G4617" t="e">
        <f ca="1">IMAGE("https://shop.sonapharmacy.com/cdn/shop/products/2oz.jpg?v=1609271951")</f>
        <v>#NAME?</v>
      </c>
      <c r="H4617" t="e">
        <f ca="1">IMAGE("https://m.media-amazon.com/images/I/718OJmSK-tL._AC_UL320_.jpg")</f>
        <v>#NAME?</v>
      </c>
      <c r="I4617" t="s">
        <v>9284</v>
      </c>
      <c r="J4617">
        <v>7.59</v>
      </c>
      <c r="K4617" s="2" t="s">
        <v>13229</v>
      </c>
      <c r="L4617">
        <v>4.7</v>
      </c>
      <c r="M4617">
        <v>2528</v>
      </c>
      <c r="O4617" t="s">
        <v>26</v>
      </c>
      <c r="P4617" t="s">
        <v>39</v>
      </c>
      <c r="Q4617" t="s">
        <v>9286</v>
      </c>
    </row>
    <row r="4618" spans="1:17" ht="15.75" x14ac:dyDescent="0.25">
      <c r="A4618" s="3" t="str">
        <f>HYPERLINK("https://shop.sonapharmacy.com/products/lice-shield-shampoo-conditioner", "https://shop.sonapharmacy.com/products/lice-shield-shampoo-conditioner")</f>
        <v>https://shop.sonapharmacy.com/products/lice-shield-shampoo-conditioner</v>
      </c>
      <c r="B4618" s="3" t="str">
        <f>HYPERLINK("https://shop.sonapharmacy.com/products/lice-shield-shampoo-conditioner", "https://shop.sonapharmacy.com/products/lice-shield-shampoo-conditioner")</f>
        <v>https://shop.sonapharmacy.com/products/lice-shield-shampoo-conditioner</v>
      </c>
      <c r="C4618" t="s">
        <v>11290</v>
      </c>
      <c r="D4618" t="s">
        <v>13230</v>
      </c>
      <c r="E4618" s="3" t="str">
        <f>HYPERLINK("https://www.amazon.com/Lice-Shield-Conditioner-Repellent-Essential/dp/B003GTUXTU/ref=sr_1_1?keywords=Lice+Shield+Shampoo&amp;qid=1695260434&amp;sr=8-1", "https://www.amazon.com/Lice-Shield-Conditioner-Repellent-Essential/dp/B003GTUXTU/ref=sr_1_1?keywords=Lice+Shield+Shampoo&amp;qid=1695260434&amp;sr=8-1")</f>
        <v>https://www.amazon.com/Lice-Shield-Conditioner-Repellent-Essential/dp/B003GTUXTU/ref=sr_1_1?keywords=Lice+Shield+Shampoo&amp;qid=1695260434&amp;sr=8-1</v>
      </c>
      <c r="F4618" t="s">
        <v>13231</v>
      </c>
      <c r="G4618" t="e">
        <f ca="1">IMAGE("https://shop.sonapharmacy.com/cdn/shop/products/liceshield.jpg?v=1608136014")</f>
        <v>#NAME?</v>
      </c>
      <c r="H4618" t="e">
        <f ca="1">IMAGE("https://m.media-amazon.com/images/I/61e0VETrveS._AC_UL320_.jpg")</f>
        <v>#NAME?</v>
      </c>
      <c r="I4618" t="s">
        <v>4296</v>
      </c>
      <c r="J4618">
        <v>12.61</v>
      </c>
      <c r="K4618" s="2" t="s">
        <v>13232</v>
      </c>
      <c r="L4618">
        <v>4.4000000000000004</v>
      </c>
      <c r="M4618">
        <v>3239</v>
      </c>
      <c r="O4618" t="s">
        <v>26</v>
      </c>
      <c r="P4618" t="s">
        <v>39</v>
      </c>
      <c r="Q4618" t="s">
        <v>11294</v>
      </c>
    </row>
    <row r="4619" spans="1:17" ht="15.75" x14ac:dyDescent="0.25">
      <c r="A4619" s="3" t="str">
        <f>HYPERLINK("https://shop.sonapharmacy.com/products/ricola-original-natural-herb-cough-drops", "https://shop.sonapharmacy.com/products/ricola-original-natural-herb-cough-drops")</f>
        <v>https://shop.sonapharmacy.com/products/ricola-original-natural-herb-cough-drops</v>
      </c>
      <c r="B4619" s="3" t="str">
        <f>HYPERLINK("https://shop.sonapharmacy.com/products/ricola-original-natural-herb-cough-drops", "https://shop.sonapharmacy.com/products/ricola-original-natural-herb-cough-drops")</f>
        <v>https://shop.sonapharmacy.com/products/ricola-original-natural-herb-cough-drops</v>
      </c>
      <c r="C4619" t="s">
        <v>8464</v>
      </c>
      <c r="D4619" t="s">
        <v>13233</v>
      </c>
      <c r="E4619" s="3" t="str">
        <f>HYPERLINK("https://www.amazon.com/Ricola-Original-Natural-Formula-Effective/dp/B012FAD8QU/ref=sr_1_2?keywords=Ricola+Original+Natural+Herb+Cough+Drops&amp;qid=1695260693&amp;sr=8-2", "https://www.amazon.com/Ricola-Original-Natural-Formula-Effective/dp/B012FAD8QU/ref=sr_1_2?keywords=Ricola+Original+Natural+Herb+Cough+Drops&amp;qid=1695260693&amp;sr=8-2")</f>
        <v>https://www.amazon.com/Ricola-Original-Natural-Formula-Effective/dp/B012FAD8QU/ref=sr_1_2?keywords=Ricola+Original+Natural+Herb+Cough+Drops&amp;qid=1695260693&amp;sr=8-2</v>
      </c>
      <c r="F4619" t="s">
        <v>13234</v>
      </c>
      <c r="G4619" t="e">
        <f ca="1">IMAGE("https://shop.sonapharmacy.com/cdn/shop/products/originalherb_bag_21.png?v=1608220874")</f>
        <v>#NAME?</v>
      </c>
      <c r="H4619" t="e">
        <f ca="1">IMAGE("https://m.media-amazon.com/images/I/81q8HagZ-qL._AC_UL320_.jpg")</f>
        <v>#NAME?</v>
      </c>
      <c r="I4619" t="s">
        <v>8279</v>
      </c>
      <c r="J4619">
        <v>4.47</v>
      </c>
      <c r="K4619" s="2" t="s">
        <v>13235</v>
      </c>
      <c r="L4619">
        <v>4.8</v>
      </c>
      <c r="M4619">
        <v>10521</v>
      </c>
      <c r="O4619" t="s">
        <v>26</v>
      </c>
      <c r="P4619" t="s">
        <v>39</v>
      </c>
      <c r="Q4619" t="s">
        <v>8468</v>
      </c>
    </row>
    <row r="4620" spans="1:17" ht="15.75" x14ac:dyDescent="0.25">
      <c r="A4620" s="3" t="str">
        <f>HYPERLINK("https://shop.sonapharmacy.com/products/ricola-original-natural-herb-cough-drops", "https://shop.sonapharmacy.com/products/ricola-original-natural-herb-cough-drops")</f>
        <v>https://shop.sonapharmacy.com/products/ricola-original-natural-herb-cough-drops</v>
      </c>
      <c r="B4620" s="3" t="str">
        <f>HYPERLINK("https://shop.sonapharmacy.com/products/ricola-original-natural-herb-cough-drops", "https://shop.sonapharmacy.com/products/ricola-original-natural-herb-cough-drops")</f>
        <v>https://shop.sonapharmacy.com/products/ricola-original-natural-herb-cough-drops</v>
      </c>
      <c r="C4620" t="s">
        <v>8464</v>
      </c>
      <c r="D4620" t="s">
        <v>13236</v>
      </c>
      <c r="E4620" s="3" t="str">
        <f>HYPERLINK("https://www.amazon.com/Ricola-Original-Suppressant-Naturally-Soothing/dp/B015MKN054/ref=sr_1_4?keywords=Ricola+Original+Natural+Herb+Cough+Drops&amp;qid=1695260693&amp;sr=8-4", "https://www.amazon.com/Ricola-Original-Suppressant-Naturally-Soothing/dp/B015MKN054/ref=sr_1_4?keywords=Ricola+Original+Natural+Herb+Cough+Drops&amp;qid=1695260693&amp;sr=8-4")</f>
        <v>https://www.amazon.com/Ricola-Original-Suppressant-Naturally-Soothing/dp/B015MKN054/ref=sr_1_4?keywords=Ricola+Original+Natural+Herb+Cough+Drops&amp;qid=1695260693&amp;sr=8-4</v>
      </c>
      <c r="F4620" t="s">
        <v>13237</v>
      </c>
      <c r="G4620" t="e">
        <f ca="1">IMAGE("https://shop.sonapharmacy.com/cdn/shop/products/originalherb_bag_21.png?v=1608220874")</f>
        <v>#NAME?</v>
      </c>
      <c r="H4620" t="e">
        <f ca="1">IMAGE("https://m.media-amazon.com/images/I/61P3a4eL3TL._AC_UL320_.jpg")</f>
        <v>#NAME?</v>
      </c>
      <c r="I4620" t="s">
        <v>8279</v>
      </c>
      <c r="J4620">
        <v>4.47</v>
      </c>
      <c r="K4620" s="2" t="s">
        <v>13235</v>
      </c>
      <c r="L4620">
        <v>4.8</v>
      </c>
      <c r="M4620">
        <v>3818</v>
      </c>
      <c r="O4620" t="s">
        <v>26</v>
      </c>
      <c r="P4620" t="s">
        <v>39</v>
      </c>
      <c r="Q4620" t="s">
        <v>8468</v>
      </c>
    </row>
    <row r="4621" spans="1:17" ht="15.75" x14ac:dyDescent="0.25">
      <c r="A4621" s="3" t="str">
        <f>HYPERLINK("https://shop.sonapharmacy.com/products/nature-made-550-mg-potassium-gluconate-tablets", "https://shop.sonapharmacy.com/products/nature-made-550-mg-potassium-gluconate-tablets")</f>
        <v>https://shop.sonapharmacy.com/products/nature-made-550-mg-potassium-gluconate-tablets</v>
      </c>
      <c r="B4621" s="3" t="str">
        <f>HYPERLINK("https://shop.sonapharmacy.com/products/nature-made-550-mg-potassium-gluconate-tablets", "https://shop.sonapharmacy.com/products/nature-made-550-mg-potassium-gluconate-tablets")</f>
        <v>https://shop.sonapharmacy.com/products/nature-made-550-mg-potassium-gluconate-tablets</v>
      </c>
      <c r="C4621" t="s">
        <v>8772</v>
      </c>
      <c r="D4621" t="s">
        <v>13238</v>
      </c>
      <c r="E4621" s="3" t="str">
        <f>HYPERLINK("https://www.amazon.com/Nature-Made-Potassium-Gluconate-Tablets/dp/B0BPL5QKLS/ref=sr_1_3?keywords=Nature+Made%C2%AE+Potassium+Gluconate+550mg+Tablets+100ct.&amp;qid=1695260548&amp;sr=8-3", "https://www.amazon.com/Nature-Made-Potassium-Gluconate-Tablets/dp/B0BPL5QKLS/ref=sr_1_3?keywords=Nature+Made%C2%AE+Potassium+Gluconate+550mg+Tablets+100ct.&amp;qid=1695260548&amp;sr=8-3")</f>
        <v>https://www.amazon.com/Nature-Made-Potassium-Gluconate-Tablets/dp/B0BPL5QKLS/ref=sr_1_3?keywords=Nature+Made%C2%AE+Potassium+Gluconate+550mg+Tablets+100ct.&amp;qid=1695260548&amp;sr=8-3</v>
      </c>
      <c r="F4621" t="s">
        <v>13239</v>
      </c>
      <c r="G4621" t="e">
        <f ca="1">IMAGE("https://shop.sonapharmacy.com/cdn/shop/products/71BiS35R4VL._AC_SL1500.jpg?v=1610047926")</f>
        <v>#NAME?</v>
      </c>
      <c r="H4621" t="e">
        <f ca="1">IMAGE("https://m.media-amazon.com/images/I/512cUHLd+DL._AC_UL320_.jpg")</f>
        <v>#NAME?</v>
      </c>
      <c r="I4621" t="s">
        <v>8775</v>
      </c>
      <c r="J4621">
        <v>5.98</v>
      </c>
      <c r="K4621" s="2" t="s">
        <v>13240</v>
      </c>
      <c r="L4621">
        <v>4.7</v>
      </c>
      <c r="M4621">
        <v>719</v>
      </c>
      <c r="O4621" t="s">
        <v>26</v>
      </c>
      <c r="P4621" t="s">
        <v>39</v>
      </c>
      <c r="Q4621" t="s">
        <v>8777</v>
      </c>
    </row>
    <row r="4622" spans="1:17" ht="15.75" x14ac:dyDescent="0.25">
      <c r="A4622"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B4622" s="3" t="str">
        <f>HYPERLINK("https://shop.sonapharmacy.com/products/colgate%c2%ae-max-fresh%c2%ae-with-breath-strips-clean-mint-toothpaste-6oz", "https://shop.sonapharmacy.com/products/colgate%c2%ae-max-fresh%c2%ae-with-breath-strips-clean-mint-toothpaste-6oz")</f>
        <v>https://shop.sonapharmacy.com/products/colgate%c2%ae-max-fresh%c2%ae-with-breath-strips-clean-mint-toothpaste-6oz</v>
      </c>
      <c r="C4622" t="s">
        <v>8889</v>
      </c>
      <c r="D4622" t="s">
        <v>13241</v>
      </c>
      <c r="E4622" s="3" t="str">
        <f>HYPERLINK("https://www.amazon.com/Colgate-Toothpaste-Advanced-Whitening-Cavities/dp/B0C1TPGZ3S/ref=sr_1_4?keywords=Colgate%C2%AE+Max+Fresh%C2%AE+With+Breath+Strips+Clean+Mint+Toothpaste+6oz.&amp;qid=1695260147&amp;sr=8-4", "https://www.amazon.com/Colgate-Toothpaste-Advanced-Whitening-Cavities/dp/B0C1TPGZ3S/ref=sr_1_4?keywords=Colgate%C2%AE+Max+Fresh%C2%AE+With+Breath+Strips+Clean+Mint+Toothpaste+6oz.&amp;qid=1695260147&amp;sr=8-4")</f>
        <v>https://www.amazon.com/Colgate-Toothpaste-Advanced-Whitening-Cavities/dp/B0C1TPGZ3S/ref=sr_1_4?keywords=Colgate%C2%AE+Max+Fresh%C2%AE+With+Breath+Strips+Clean+Mint+Toothpaste+6oz.&amp;qid=1695260147&amp;sr=8-4</v>
      </c>
      <c r="F4622" t="s">
        <v>13242</v>
      </c>
      <c r="G4622" t="e">
        <f ca="1">IMAGE("https://shop.sonapharmacy.com/cdn/shop/products/c6289988-8c06-4eaa-9b0b-ecd363befe31_1.0de5bc9f4f35f28fcf4241c46ae2d5e0.png?v=1608652798")</f>
        <v>#NAME?</v>
      </c>
      <c r="H4622" t="e">
        <f ca="1">IMAGE("https://m.media-amazon.com/images/I/814eDQmvh4L._AC_UL320_.jpg")</f>
        <v>#NAME?</v>
      </c>
      <c r="I4622" t="s">
        <v>8102</v>
      </c>
      <c r="J4622">
        <v>5.81</v>
      </c>
      <c r="K4622" s="2" t="s">
        <v>13243</v>
      </c>
      <c r="L4622">
        <v>4.5999999999999996</v>
      </c>
      <c r="M4622">
        <v>37</v>
      </c>
      <c r="O4622" t="s">
        <v>26</v>
      </c>
      <c r="P4622" t="s">
        <v>39</v>
      </c>
      <c r="Q4622" t="s">
        <v>8893</v>
      </c>
    </row>
    <row r="4623" spans="1:17" ht="15.75" x14ac:dyDescent="0.25">
      <c r="A4623" s="3" t="str">
        <f>HYPERLINK("https://shop.sonapharmacy.com/products/contac-cold-flu-maximum-strength-caplets", "https://shop.sonapharmacy.com/products/contac-cold-flu-maximum-strength-caplets")</f>
        <v>https://shop.sonapharmacy.com/products/contac-cold-flu-maximum-strength-caplets</v>
      </c>
      <c r="B4623" s="3" t="str">
        <f>HYPERLINK("https://shop.sonapharmacy.com/products/contac-cold-flu-maximum-strength-caplets", "https://shop.sonapharmacy.com/products/contac-cold-flu-maximum-strength-caplets")</f>
        <v>https://shop.sonapharmacy.com/products/contac-cold-flu-maximum-strength-caplets</v>
      </c>
      <c r="C4623" t="s">
        <v>13109</v>
      </c>
      <c r="D4623" t="s">
        <v>13244</v>
      </c>
      <c r="E4623" s="3" t="str">
        <f>HYPERLINK("https://www.amazon.com/Contac-Strength-Multi-Symptom-Relief-Night/dp/B0096DWI1G/ref=sr_1_1?keywords=Contac%C2%AE+Cold+%2B+Flu+Maximum+Strength+Caplets&amp;qid=1695260157&amp;sr=8-1", "https://www.amazon.com/Contac-Strength-Multi-Symptom-Relief-Night/dp/B0096DWI1G/ref=sr_1_1?keywords=Contac%C2%AE+Cold+%2B+Flu+Maximum+Strength+Caplets&amp;qid=1695260157&amp;sr=8-1")</f>
        <v>https://www.amazon.com/Contac-Strength-Multi-Symptom-Relief-Night/dp/B0096DWI1G/ref=sr_1_1?keywords=Contac%C2%AE+Cold+%2B+Flu+Maximum+Strength+Caplets&amp;qid=1695260157&amp;sr=8-1</v>
      </c>
      <c r="F4623" t="s">
        <v>13245</v>
      </c>
      <c r="G4623" t="e">
        <f ca="1">IMAGE("https://shop.sonapharmacy.com/cdn/shop/products/ContacCold_FluMaximumStrengthCaplets.jpg?v=1595446174")</f>
        <v>#NAME?</v>
      </c>
      <c r="H4623" t="e">
        <f ca="1">IMAGE("https://m.media-amazon.com/images/I/81emIJVU3UL._AC_UL320_.jpg")</f>
        <v>#NAME?</v>
      </c>
      <c r="I4623" t="s">
        <v>13110</v>
      </c>
      <c r="J4623">
        <v>8.99</v>
      </c>
      <c r="K4623" s="2" t="s">
        <v>13246</v>
      </c>
      <c r="L4623">
        <v>4.7</v>
      </c>
      <c r="M4623">
        <v>1626</v>
      </c>
      <c r="O4623" t="s">
        <v>26</v>
      </c>
      <c r="P4623" t="s">
        <v>39</v>
      </c>
      <c r="Q4623" t="s">
        <v>13111</v>
      </c>
    </row>
    <row r="4624" spans="1:17" ht="15.75" x14ac:dyDescent="0.25">
      <c r="A4624" s="3" t="str">
        <f>HYPERLINK("https://shop.sonapharmacy.com/products/dulcolax%C2%AE-liquid-laxative-mint-flavor-12fl-oz", "https://shop.sonapharmacy.com/products/dulcolax%C2%AE-liquid-laxative-mint-flavor-12fl-oz")</f>
        <v>https://shop.sonapharmacy.com/products/dulcolax%C2%AE-liquid-laxative-mint-flavor-12fl-oz</v>
      </c>
      <c r="B4624" s="3" t="str">
        <f>HYPERLINK("https://shop.sonapharmacy.com/products/dulcolax%c2%ae-liquid-laxative-mint-flavor-12fl-oz", "https://shop.sonapharmacy.com/products/dulcolax%c2%ae-liquid-laxative-mint-flavor-12fl-oz")</f>
        <v>https://shop.sonapharmacy.com/products/dulcolax%c2%ae-liquid-laxative-mint-flavor-12fl-oz</v>
      </c>
      <c r="C4624" t="s">
        <v>13247</v>
      </c>
      <c r="D4624" t="s">
        <v>13248</v>
      </c>
      <c r="E4624" s="3" t="str">
        <f>HYPERLINK("https://www.amazon.com/Dulcolax-Liquid-Laxative-Mint-Ounce/dp/B07QJ75MH9/ref=sr_1_1?keywords=Dulcolax%C2%AE+Liquid+Laxative+Mint+Flavor+12fl.+oz.&amp;qid=1695260201&amp;sr=8-1", "https://www.amazon.com/Dulcolax-Liquid-Laxative-Mint-Ounce/dp/B07QJ75MH9/ref=sr_1_1?keywords=Dulcolax%C2%AE+Liquid+Laxative+Mint+Flavor+12fl.+oz.&amp;qid=1695260201&amp;sr=8-1")</f>
        <v>https://www.amazon.com/Dulcolax-Liquid-Laxative-Mint-Ounce/dp/B07QJ75MH9/ref=sr_1_1?keywords=Dulcolax%C2%AE+Liquid+Laxative+Mint+Flavor+12fl.+oz.&amp;qid=1695260201&amp;sr=8-1</v>
      </c>
      <c r="F4624" t="s">
        <v>13249</v>
      </c>
      <c r="G4624" t="e">
        <f ca="1">IMAGE("https://shop.sonapharmacy.com/cdn/shop/products/71dV5fljLAL._AC_SL1500.jpg?v=1610846204")</f>
        <v>#NAME?</v>
      </c>
      <c r="H4624" t="e">
        <f ca="1">IMAGE("https://m.media-amazon.com/images/I/71Dm7ecuQaL._AC_UL320_.jpg")</f>
        <v>#NAME?</v>
      </c>
      <c r="I4624" t="s">
        <v>8361</v>
      </c>
      <c r="J4624">
        <v>10.44</v>
      </c>
      <c r="K4624" s="2" t="s">
        <v>13250</v>
      </c>
      <c r="L4624">
        <v>4.5</v>
      </c>
      <c r="M4624">
        <v>7414</v>
      </c>
      <c r="O4624" t="s">
        <v>136</v>
      </c>
      <c r="P4624" t="s">
        <v>39</v>
      </c>
      <c r="Q4624" t="s">
        <v>13251</v>
      </c>
    </row>
    <row r="4625" spans="1:17" ht="15.75" x14ac:dyDescent="0.25">
      <c r="A4625" s="3" t="str">
        <f>HYPERLINK("https://shop.sonapharmacy.com/products/21st-century-acidophilus-probiotic-blend", "https://shop.sonapharmacy.com/products/21st-century-acidophilus-probiotic-blend")</f>
        <v>https://shop.sonapharmacy.com/products/21st-century-acidophilus-probiotic-blend</v>
      </c>
      <c r="B4625" s="3" t="str">
        <f>HYPERLINK("https://shop.sonapharmacy.com/products/21st-century-acidophilus-probiotic-blend", "https://shop.sonapharmacy.com/products/21st-century-acidophilus-probiotic-blend")</f>
        <v>https://shop.sonapharmacy.com/products/21st-century-acidophilus-probiotic-blend</v>
      </c>
      <c r="C4625" t="s">
        <v>10846</v>
      </c>
      <c r="D4625" t="s">
        <v>13252</v>
      </c>
      <c r="E4625" s="3" t="str">
        <f>HYPERLINK("https://www.amazon.com/21st-Century-Acidophilus-Probiotic-Capsules/dp/B00EBGQUBC/ref=sr_1_5?keywords=21st+Century+Acidophilus+Probiotic+Blend+150ct&amp;qid=1695260009&amp;sr=8-5", "https://www.amazon.com/21st-Century-Acidophilus-Probiotic-Capsules/dp/B00EBGQUBC/ref=sr_1_5?keywords=21st+Century+Acidophilus+Probiotic+Blend+150ct&amp;qid=1695260009&amp;sr=8-5")</f>
        <v>https://www.amazon.com/21st-Century-Acidophilus-Probiotic-Capsules/dp/B00EBGQUBC/ref=sr_1_5?keywords=21st+Century+Acidophilus+Probiotic+Blend+150ct&amp;qid=1695260009&amp;sr=8-5</v>
      </c>
      <c r="F4625" t="s">
        <v>13253</v>
      </c>
      <c r="G4625" t="e">
        <f ca="1">IMAGE("https://shop.sonapharmacy.com/cdn/shop/products/71xPW58Oz3L._AC_SL1500.jpg?v=1611182548")</f>
        <v>#NAME?</v>
      </c>
      <c r="H4625" t="e">
        <f ca="1">IMAGE("https://m.media-amazon.com/images/I/71VtJZHd1-L._AC_UL320_.jpg")</f>
        <v>#NAME?</v>
      </c>
      <c r="I4625" t="s">
        <v>8792</v>
      </c>
      <c r="J4625">
        <v>11.99</v>
      </c>
      <c r="K4625" s="2" t="s">
        <v>13254</v>
      </c>
      <c r="L4625">
        <v>4.2</v>
      </c>
      <c r="M4625">
        <v>23</v>
      </c>
      <c r="O4625" t="s">
        <v>26</v>
      </c>
      <c r="P4625" t="s">
        <v>39</v>
      </c>
      <c r="Q4625" t="s">
        <v>10850</v>
      </c>
    </row>
    <row r="4626" spans="1:17" ht="15.75" x14ac:dyDescent="0.25">
      <c r="A4626" s="3" t="str">
        <f>HYPERLINK("https://shop.sonapharmacy.com/products/areds-lutein-formula-soft-gels", "https://shop.sonapharmacy.com/products/areds-lutein-formula-soft-gels")</f>
        <v>https://shop.sonapharmacy.com/products/areds-lutein-formula-soft-gels</v>
      </c>
      <c r="B4626" s="3" t="str">
        <f>HYPERLINK("https://shop.sonapharmacy.com/products/areds-lutein-formula-soft-gels", "https://shop.sonapharmacy.com/products/areds-lutein-formula-soft-gels")</f>
        <v>https://shop.sonapharmacy.com/products/areds-lutein-formula-soft-gels</v>
      </c>
      <c r="C4626" t="s">
        <v>11520</v>
      </c>
      <c r="D4626" t="s">
        <v>13067</v>
      </c>
      <c r="E4626" s="3" t="str">
        <f>HYPERLINK("https://www.amazon.com/PreserVision-AREDS-Vitamin-Mineral-Supplement/dp/B00DJUK8HS/ref=sr_1_1?keywords=PreserVision+AREDS+Lutein+Formula+Soft+Gels&amp;qid=1695260648&amp;sr=8-1", "https://www.amazon.com/PreserVision-AREDS-Vitamin-Mineral-Supplement/dp/B00DJUK8HS/ref=sr_1_1?keywords=PreserVision+AREDS+Lutein+Formula+Soft+Gels&amp;qid=1695260648&amp;sr=8-1")</f>
        <v>https://www.amazon.com/PreserVision-AREDS-Vitamin-Mineral-Supplement/dp/B00DJUK8HS/ref=sr_1_1?keywords=PreserVision+AREDS+Lutein+Formula+Soft+Gels&amp;qid=1695260648&amp;sr=8-1</v>
      </c>
      <c r="F4626" t="s">
        <v>13068</v>
      </c>
      <c r="G4626" t="e">
        <f ca="1">IMAGE("https://shop.sonapharmacy.com/cdn/shop/products/PreserVisionAREDSLuteinFormulaSoftGels.jpg?v=1594831159")</f>
        <v>#NAME?</v>
      </c>
      <c r="H4626" t="e">
        <f ca="1">IMAGE("https://m.media-amazon.com/images/I/615iYQq1XRL._AC_UL320_.jpg")</f>
        <v>#NAME?</v>
      </c>
      <c r="I4626" t="s">
        <v>11521</v>
      </c>
      <c r="J4626">
        <v>23.9</v>
      </c>
      <c r="K4626" s="2" t="s">
        <v>13255</v>
      </c>
      <c r="L4626">
        <v>4.5999999999999996</v>
      </c>
      <c r="M4626">
        <v>44104</v>
      </c>
      <c r="O4626" t="s">
        <v>26</v>
      </c>
      <c r="P4626" t="s">
        <v>39</v>
      </c>
      <c r="Q4626" t="s">
        <v>11523</v>
      </c>
    </row>
    <row r="4627" spans="1:17" ht="15.75" x14ac:dyDescent="0.25">
      <c r="A4627" s="3" t="str">
        <f>HYPERLINK("https://shop.sonapharmacy.com/products/duracell%C2%AE-301-386-silver-oxide-button-battery", "https://shop.sonapharmacy.com/products/duracell%C2%AE-301-386-silver-oxide-button-battery")</f>
        <v>https://shop.sonapharmacy.com/products/duracell%C2%AE-301-386-silver-oxide-button-battery</v>
      </c>
      <c r="B4627" s="3" t="str">
        <f>HYPERLINK("https://shop.sonapharmacy.com/products/duracell%c2%ae-301-386-silver-oxide-button-battery", "https://shop.sonapharmacy.com/products/duracell%c2%ae-301-386-silver-oxide-button-battery")</f>
        <v>https://shop.sonapharmacy.com/products/duracell%c2%ae-301-386-silver-oxide-button-battery</v>
      </c>
      <c r="C4627" t="s">
        <v>9877</v>
      </c>
      <c r="D4627" t="s">
        <v>13256</v>
      </c>
      <c r="E4627" s="3" t="str">
        <f>HYPERLINK("https://www.amazon.com/Duracell-Silver-Button-Battery-Long-Lasting/dp/B07GN777K9/ref=sr_1_1?keywords=Duracell%C2%AE+301%2F386+Silver+Oxide+Button+Battery&amp;qid=1695260213&amp;sr=8-1", "https://www.amazon.com/Duracell-Silver-Button-Battery-Long-Lasting/dp/B07GN777K9/ref=sr_1_1?keywords=Duracell%C2%AE+301%2F386+Silver+Oxide+Button+Battery&amp;qid=1695260213&amp;sr=8-1")</f>
        <v>https://www.amazon.com/Duracell-Silver-Button-Battery-Long-Lasting/dp/B07GN777K9/ref=sr_1_1?keywords=Duracell%C2%AE+301%2F386+Silver+Oxide+Button+Battery&amp;qid=1695260213&amp;sr=8-1</v>
      </c>
      <c r="F4627" t="s">
        <v>13257</v>
      </c>
      <c r="G4627" t="e">
        <f ca="1">IMAGE("https://shop.sonapharmacy.com/cdn/shop/products/61graATYFOL._AC_SL1401.jpg?v=1610332821")</f>
        <v>#NAME?</v>
      </c>
      <c r="H4627" t="e">
        <f ca="1">IMAGE("https://m.media-amazon.com/images/I/51FXsihg7tL._AC_UL320_.jpg")</f>
        <v>#NAME?</v>
      </c>
      <c r="I4627" t="s">
        <v>8206</v>
      </c>
      <c r="J4627">
        <v>6.24</v>
      </c>
      <c r="K4627" s="2" t="s">
        <v>13258</v>
      </c>
      <c r="L4627">
        <v>4.5999999999999996</v>
      </c>
      <c r="M4627">
        <v>716</v>
      </c>
      <c r="O4627" t="s">
        <v>26</v>
      </c>
      <c r="P4627" t="s">
        <v>39</v>
      </c>
      <c r="Q4627" t="s">
        <v>9881</v>
      </c>
    </row>
    <row r="4628" spans="1:17" ht="15.75" x14ac:dyDescent="0.25">
      <c r="A4628" s="3" t="str">
        <f>HYPERLINK("https://shop.sonapharmacy.com/products/d3-50-100-vegcaps", "https://shop.sonapharmacy.com/products/d3-50-100-vegcaps")</f>
        <v>https://shop.sonapharmacy.com/products/d3-50-100-vegcaps</v>
      </c>
      <c r="B4628" s="3" t="str">
        <f>HYPERLINK("https://shop.sonapharmacy.com/products/d3-50-100-vegcaps", "https://shop.sonapharmacy.com/products/d3-50-100-vegcaps")</f>
        <v>https://shop.sonapharmacy.com/products/d3-50-100-vegcaps</v>
      </c>
      <c r="C4628" t="s">
        <v>12390</v>
      </c>
      <c r="D4628" t="s">
        <v>13259</v>
      </c>
      <c r="E4628" s="3" t="str">
        <f>HYPERLINK("https://www.amazon.com/Bio-Tech-D3-50-000-Vegetable-Capsules/dp/B01LZEMU2I/ref=sr_1_7?keywords=Bio-Tech%C2%AE+D3-50+Capsules&amp;qid=1695260103&amp;sr=8-7", "https://www.amazon.com/Bio-Tech-D3-50-000-Vegetable-Capsules/dp/B01LZEMU2I/ref=sr_1_7?keywords=Bio-Tech%C2%AE+D3-50+Capsules&amp;qid=1695260103&amp;sr=8-7")</f>
        <v>https://www.amazon.com/Bio-Tech-D3-50-000-Vegetable-Capsules/dp/B01LZEMU2I/ref=sr_1_7?keywords=Bio-Tech%C2%AE+D3-50+Capsules&amp;qid=1695260103&amp;sr=8-7</v>
      </c>
      <c r="F4628" t="s">
        <v>13260</v>
      </c>
      <c r="G4628" t="e">
        <f ca="1">IMAGE("https://shop.sonapharmacy.com/cdn/shop/products/s-l640_1.jpg?v=1609344718")</f>
        <v>#NAME?</v>
      </c>
      <c r="H4628" t="e">
        <f ca="1">IMAGE("https://m.media-amazon.com/images/I/31Y+CCwbuNL._AC_UL320_.jpg")</f>
        <v>#NAME?</v>
      </c>
      <c r="I4628" t="s">
        <v>12393</v>
      </c>
      <c r="J4628">
        <v>35.5</v>
      </c>
      <c r="K4628" s="2" t="s">
        <v>13261</v>
      </c>
      <c r="L4628">
        <v>3.5</v>
      </c>
      <c r="M4628">
        <v>3</v>
      </c>
      <c r="O4628" t="s">
        <v>26</v>
      </c>
      <c r="P4628" t="s">
        <v>39</v>
      </c>
      <c r="Q4628" t="s">
        <v>12395</v>
      </c>
    </row>
    <row r="4629" spans="1:17" ht="15.75" x14ac:dyDescent="0.25">
      <c r="A4629" s="3" t="str">
        <f>HYPERLINK("https://shop.sonapharmacy.com/products/mederma%C2%AE-advanced-scar-gel", "https://shop.sonapharmacy.com/products/mederma%C2%AE-advanced-scar-gel")</f>
        <v>https://shop.sonapharmacy.com/products/mederma%C2%AE-advanced-scar-gel</v>
      </c>
      <c r="B4629" s="3" t="str">
        <f>HYPERLINK("https://shop.sonapharmacy.com/products/mederma%c2%ae-advanced-scar-gel", "https://shop.sonapharmacy.com/products/mederma%c2%ae-advanced-scar-gel")</f>
        <v>https://shop.sonapharmacy.com/products/mederma%c2%ae-advanced-scar-gel</v>
      </c>
      <c r="C4629" t="s">
        <v>10967</v>
      </c>
      <c r="D4629" t="s">
        <v>13262</v>
      </c>
      <c r="E4629" s="3" t="str">
        <f>HYPERLINK("https://www.amazon.com/Mederma-Advanced-Scar-Gel-Recommended/dp/B000052YOB/ref=sr_1_6?keywords=Mederma%C2%AE+Advanced+Scar+Gel&amp;qid=1695260461&amp;sr=8-6", "https://www.amazon.com/Mederma-Advanced-Scar-Gel-Recommended/dp/B000052YOB/ref=sr_1_6?keywords=Mederma%C2%AE+Advanced+Scar+Gel&amp;qid=1695260461&amp;sr=8-6")</f>
        <v>https://www.amazon.com/Mederma-Advanced-Scar-Gel-Recommended/dp/B000052YOB/ref=sr_1_6?keywords=Mederma%C2%AE+Advanced+Scar+Gel&amp;qid=1695260461&amp;sr=8-6</v>
      </c>
      <c r="F4629" t="s">
        <v>13263</v>
      </c>
      <c r="G4629" t="e">
        <f ca="1">IMAGE("https://shop.sonapharmacy.com/cdn/shop/products/mederma0.70.jpg?v=1607956045")</f>
        <v>#NAME?</v>
      </c>
      <c r="H4629" t="e">
        <f ca="1">IMAGE("https://m.media-amazon.com/images/I/61SxL8HP7QL._AC_UL320_.jpg")</f>
        <v>#NAME?</v>
      </c>
      <c r="I4629" t="s">
        <v>6011</v>
      </c>
      <c r="J4629">
        <v>26</v>
      </c>
      <c r="K4629" s="2" t="s">
        <v>13264</v>
      </c>
      <c r="L4629">
        <v>4.4000000000000004</v>
      </c>
      <c r="M4629">
        <v>16615</v>
      </c>
      <c r="O4629" t="s">
        <v>26</v>
      </c>
      <c r="P4629" t="s">
        <v>39</v>
      </c>
      <c r="Q4629" t="s">
        <v>10971</v>
      </c>
    </row>
    <row r="4630" spans="1:17" ht="15.75" x14ac:dyDescent="0.25">
      <c r="A4630" s="3" t="str">
        <f>HYPERLINK("https://shop.sonapharmacy.com/products/nexcare-opticlude", "https://shop.sonapharmacy.com/products/nexcare-opticlude")</f>
        <v>https://shop.sonapharmacy.com/products/nexcare-opticlude</v>
      </c>
      <c r="B4630" s="3" t="str">
        <f>HYPERLINK("https://shop.sonapharmacy.com/products/nexcare-opticlude", "https://shop.sonapharmacy.com/products/nexcare-opticlude")</f>
        <v>https://shop.sonapharmacy.com/products/nexcare-opticlude</v>
      </c>
      <c r="C4630" t="s">
        <v>8566</v>
      </c>
      <c r="D4630" t="s">
        <v>13265</v>
      </c>
      <c r="E4630" s="3" t="str">
        <f>HYPERLINK("https://www.amazon.com/Nexcare-Orthoptic-Opticlude-Regular-Adhesive/dp/B00ZQDJNT0/ref=sr_1_7?keywords=Nexcare+Opticlude+Eye+Patch&amp;qid=1695260565&amp;sr=8-7", "https://www.amazon.com/Nexcare-Orthoptic-Opticlude-Regular-Adhesive/dp/B00ZQDJNT0/ref=sr_1_7?keywords=Nexcare+Opticlude+Eye+Patch&amp;qid=1695260565&amp;sr=8-7")</f>
        <v>https://www.amazon.com/Nexcare-Orthoptic-Opticlude-Regular-Adhesive/dp/B00ZQDJNT0/ref=sr_1_7?keywords=Nexcare+Opticlude+Eye+Patch&amp;qid=1695260565&amp;sr=8-7</v>
      </c>
      <c r="F4630" t="s">
        <v>13266</v>
      </c>
      <c r="G4630" t="e">
        <f ca="1">IMAGE("https://shop.sonapharmacy.com/cdn/shop/products/us-1539-opticlude-eyepatch.jpg?v=1607704873")</f>
        <v>#NAME?</v>
      </c>
      <c r="H4630" t="e">
        <f ca="1">IMAGE("https://m.media-amazon.com/images/I/71EZu0+RnSL._AC_UL320_.jpg")</f>
        <v>#NAME?</v>
      </c>
      <c r="I4630" t="s">
        <v>4296</v>
      </c>
      <c r="J4630">
        <v>12.44</v>
      </c>
      <c r="K4630" s="2" t="s">
        <v>13267</v>
      </c>
      <c r="L4630">
        <v>4.5</v>
      </c>
      <c r="M4630">
        <v>4</v>
      </c>
      <c r="O4630" t="s">
        <v>26</v>
      </c>
      <c r="P4630" t="s">
        <v>39</v>
      </c>
      <c r="Q4630" t="s">
        <v>8570</v>
      </c>
    </row>
    <row r="4631" spans="1:17" ht="15.75" x14ac:dyDescent="0.25">
      <c r="A4631" s="3" t="str">
        <f>HYPERLINK("https://shop.sonapharmacy.com/products/cepacol-extra-strength-sore-throat-and-cough-lozenges", "https://shop.sonapharmacy.com/products/cepacol-extra-strength-sore-throat-and-cough-lozenges")</f>
        <v>https://shop.sonapharmacy.com/products/cepacol-extra-strength-sore-throat-and-cough-lozenges</v>
      </c>
      <c r="B4631" s="3" t="str">
        <f>HYPERLINK("https://shop.sonapharmacy.com/products/cepacol-extra-strength-sore-throat-and-cough-lozenges", "https://shop.sonapharmacy.com/products/cepacol-extra-strength-sore-throat-and-cough-lozenges")</f>
        <v>https://shop.sonapharmacy.com/products/cepacol-extra-strength-sore-throat-and-cough-lozenges</v>
      </c>
      <c r="C4631" t="s">
        <v>13268</v>
      </c>
      <c r="D4631" t="s">
        <v>13269</v>
      </c>
      <c r="E4631" s="3" t="str">
        <f>HYPERLINK("https://www.amazon.com/Cepacol-Lozenges-Strength-Honey-Lemon-lozenges/dp/B000QJCY1S/ref=sr_1_4?keywords=Cepacol%C2%AE+Extra+Strength+Sore+Throat+Lozenges&amp;qid=1695260123&amp;sr=8-4", "https://www.amazon.com/Cepacol-Lozenges-Strength-Honey-Lemon-lozenges/dp/B000QJCY1S/ref=sr_1_4?keywords=Cepacol%C2%AE+Extra+Strength+Sore+Throat+Lozenges&amp;qid=1695260123&amp;sr=8-4")</f>
        <v>https://www.amazon.com/Cepacol-Lozenges-Strength-Honey-Lemon-lozenges/dp/B000QJCY1S/ref=sr_1_4?keywords=Cepacol%C2%AE+Extra+Strength+Sore+Throat+Lozenges&amp;qid=1695260123&amp;sr=8-4</v>
      </c>
      <c r="F4631" t="s">
        <v>13270</v>
      </c>
      <c r="G4631" t="e">
        <f ca="1">IMAGE("https://shop.sonapharmacy.com/cdn/shop/products/CepacolExtraStrengthSoreThroatLozenges.jpg?v=1595274775")</f>
        <v>#NAME?</v>
      </c>
      <c r="H4631" t="e">
        <f ca="1">IMAGE("https://m.media-amazon.com/images/I/71NdBiTaOkL._AC_UL320_.jpg")</f>
        <v>#NAME?</v>
      </c>
      <c r="I4631" t="s">
        <v>9284</v>
      </c>
      <c r="J4631">
        <v>7.48</v>
      </c>
      <c r="K4631" s="2" t="s">
        <v>13271</v>
      </c>
      <c r="L4631">
        <v>4.5</v>
      </c>
      <c r="M4631">
        <v>121</v>
      </c>
      <c r="O4631" t="s">
        <v>136</v>
      </c>
      <c r="P4631" t="s">
        <v>39</v>
      </c>
      <c r="Q4631" t="s">
        <v>13272</v>
      </c>
    </row>
    <row r="4632" spans="1:17" ht="15.75" x14ac:dyDescent="0.25">
      <c r="A4632" s="3" t="str">
        <f>HYPERLINK("https://shop.sonapharmacy.com/products/cara%C2%AE-standard-size-moist-dry-heating-pad", "https://shop.sonapharmacy.com/products/cara%C2%AE-standard-size-moist-dry-heating-pad")</f>
        <v>https://shop.sonapharmacy.com/products/cara%C2%AE-standard-size-moist-dry-heating-pad</v>
      </c>
      <c r="B4632" s="3" t="str">
        <f>HYPERLINK("https://shop.sonapharmacy.com/products/cara%c2%ae-standard-size-moist-dry-heating-pad", "https://shop.sonapharmacy.com/products/cara%c2%ae-standard-size-moist-dry-heating-pad")</f>
        <v>https://shop.sonapharmacy.com/products/cara%c2%ae-standard-size-moist-dry-heating-pad</v>
      </c>
      <c r="C4632" t="s">
        <v>8751</v>
      </c>
      <c r="D4632" t="s">
        <v>12365</v>
      </c>
      <c r="E4632" s="3" t="str">
        <f>HYPERLINK("https://www.amazon.com/Conair-Comfort-Standard-Heating-Relief/dp/B08M15H6VH/ref=sr_1_4?keywords=Cara%C2%AE+Standard+Size+Moist%2FDry+Heating+Pad&amp;qid=1695260154&amp;sr=8-4", "https://www.amazon.com/Conair-Comfort-Standard-Heating-Relief/dp/B08M15H6VH/ref=sr_1_4?keywords=Cara%C2%AE+Standard+Size+Moist%2FDry+Heating+Pad&amp;qid=1695260154&amp;sr=8-4")</f>
        <v>https://www.amazon.com/Conair-Comfort-Standard-Heating-Relief/dp/B08M15H6VH/ref=sr_1_4?keywords=Cara%C2%AE+Standard+Size+Moist%2FDry+Heating+Pad&amp;qid=1695260154&amp;sr=8-4</v>
      </c>
      <c r="F4632" t="s">
        <v>12366</v>
      </c>
      <c r="G4632" t="e">
        <f ca="1">IMAGE("https://shop.sonapharmacy.com/cdn/shop/products/da718653-98e8-4d98-a1bc-4562155c6543_1.6a398de2ed3c5b4be415e9ebd72152f4.jpg?v=1611153880")</f>
        <v>#NAME?</v>
      </c>
      <c r="H4632" t="e">
        <f ca="1">IMAGE("https://m.media-amazon.com/images/I/81rnGH3dcOL._AC_UL320_.jpg")</f>
        <v>#NAME?</v>
      </c>
      <c r="I4632" t="s">
        <v>8754</v>
      </c>
      <c r="J4632">
        <v>26.72</v>
      </c>
      <c r="K4632" s="2" t="s">
        <v>13273</v>
      </c>
      <c r="L4632">
        <v>3.6</v>
      </c>
      <c r="M4632">
        <v>17</v>
      </c>
      <c r="O4632" t="s">
        <v>26</v>
      </c>
      <c r="P4632" t="s">
        <v>39</v>
      </c>
      <c r="Q4632" t="s">
        <v>8756</v>
      </c>
    </row>
    <row r="4633" spans="1:17" ht="15.75" x14ac:dyDescent="0.25">
      <c r="A4633" s="3" t="str">
        <f>HYPERLINK("https://shop.sonapharmacy.com/products/advil-200-mg-ibuprofen-tablets", "https://shop.sonapharmacy.com/products/advil-200-mg-ibuprofen-tablets")</f>
        <v>https://shop.sonapharmacy.com/products/advil-200-mg-ibuprofen-tablets</v>
      </c>
      <c r="B4633" s="3" t="str">
        <f>HYPERLINK("https://shop.sonapharmacy.com/products/advil-200-mg-ibuprofen-tablets", "https://shop.sonapharmacy.com/products/advil-200-mg-ibuprofen-tablets")</f>
        <v>https://shop.sonapharmacy.com/products/advil-200-mg-ibuprofen-tablets</v>
      </c>
      <c r="C4633" t="s">
        <v>8377</v>
      </c>
      <c r="D4633" t="s">
        <v>13274</v>
      </c>
      <c r="E4633" s="3" t="str">
        <f>HYPERLINK("https://www.amazon.com/Advil-Reliever-Reducer-Ibuprofen-Temporary/dp/B000QYI1P6/ref=sr_1_3?keywords=Advil+200mg+Ibuprofen+Tablets&amp;qid=1695260034&amp;rdc=1&amp;sr=8-3", "https://www.amazon.com/Advil-Reliever-Reducer-Ibuprofen-Temporary/dp/B000QYI1P6/ref=sr_1_3?keywords=Advil+200mg+Ibuprofen+Tablets&amp;qid=1695260034&amp;rdc=1&amp;sr=8-3")</f>
        <v>https://www.amazon.com/Advil-Reliever-Reducer-Ibuprofen-Temporary/dp/B000QYI1P6/ref=sr_1_3?keywords=Advil+200mg+Ibuprofen+Tablets&amp;qid=1695260034&amp;rdc=1&amp;sr=8-3</v>
      </c>
      <c r="F4633" t="s">
        <v>13275</v>
      </c>
      <c r="G4633" t="e">
        <f ca="1">IMAGE("https://shop.sonapharmacy.com/cdn/shop/products/71csOFCEiJL._SL1200.jpg?v=1611188571")</f>
        <v>#NAME?</v>
      </c>
      <c r="H4633" t="e">
        <f ca="1">IMAGE("https://m.media-amazon.com/images/I/91v6Vfu-gCL._AC_UL320_.jpg")</f>
        <v>#NAME?</v>
      </c>
      <c r="I4633" t="s">
        <v>8300</v>
      </c>
      <c r="J4633">
        <v>6.78</v>
      </c>
      <c r="K4633" s="2" t="s">
        <v>13276</v>
      </c>
      <c r="L4633">
        <v>4.8</v>
      </c>
      <c r="M4633">
        <v>3957</v>
      </c>
      <c r="O4633" t="s">
        <v>26</v>
      </c>
      <c r="P4633" t="s">
        <v>39</v>
      </c>
      <c r="Q4633" t="s">
        <v>8381</v>
      </c>
    </row>
    <row r="4634" spans="1:17" ht="15.75" x14ac:dyDescent="0.25">
      <c r="A4634" s="3" t="str">
        <f>HYPERLINK("https://shop.sonapharmacy.com/products/sunbum%C2%AE-original-spf-50-sunscreen-lotion-3oz", "https://shop.sonapharmacy.com/products/sunbum%C2%AE-original-spf-50-sunscreen-lotion-3oz")</f>
        <v>https://shop.sonapharmacy.com/products/sunbum%C2%AE-original-spf-50-sunscreen-lotion-3oz</v>
      </c>
      <c r="B4634" s="3" t="str">
        <f>HYPERLINK("https://shop.sonapharmacy.com/products/sunbum%c2%ae-original-spf-50-sunscreen-lotion-3oz", "https://shop.sonapharmacy.com/products/sunbum%c2%ae-original-spf-50-sunscreen-lotion-3oz")</f>
        <v>https://shop.sonapharmacy.com/products/sunbum%c2%ae-original-spf-50-sunscreen-lotion-3oz</v>
      </c>
      <c r="C4634" t="s">
        <v>9924</v>
      </c>
      <c r="D4634" t="s">
        <v>13277</v>
      </c>
      <c r="E4634" s="3" t="str">
        <f>HYPERLINK("https://www.amazon.com/Sun-Bum-Moisturizing-Protection-Hypoallergenic/dp/B00JE3E028/ref=sr_1_6?keywords=Sun+Bum%C2%AE+Original+SPF+50+Sunscreen+Lotion&amp;qid=1695260742&amp;rdc=1&amp;sr=8-6", "https://www.amazon.com/Sun-Bum-Moisturizing-Protection-Hypoallergenic/dp/B00JE3E028/ref=sr_1_6?keywords=Sun+Bum%C2%AE+Original+SPF+50+Sunscreen+Lotion&amp;qid=1695260742&amp;rdc=1&amp;sr=8-6")</f>
        <v>https://www.amazon.com/Sun-Bum-Moisturizing-Protection-Hypoallergenic/dp/B00JE3E028/ref=sr_1_6?keywords=Sun+Bum%C2%AE+Original+SPF+50+Sunscreen+Lotion&amp;qid=1695260742&amp;rdc=1&amp;sr=8-6</v>
      </c>
      <c r="F4634" t="s">
        <v>13278</v>
      </c>
      <c r="G4634" t="e">
        <f ca="1">IMAGE("https://shop.sonapharmacy.com/cdn/shop/products/71liju0WraL._SL1500.jpg?v=1611868598")</f>
        <v>#NAME?</v>
      </c>
      <c r="H4634" t="e">
        <f ca="1">IMAGE("https://m.media-amazon.com/images/I/71liju0WraL._AC_UL320_.jpg")</f>
        <v>#NAME?</v>
      </c>
      <c r="I4634" t="s">
        <v>4873</v>
      </c>
      <c r="J4634">
        <v>11.49</v>
      </c>
      <c r="K4634" s="2" t="s">
        <v>13279</v>
      </c>
      <c r="L4634">
        <v>4.5999999999999996</v>
      </c>
      <c r="M4634">
        <v>1014</v>
      </c>
      <c r="O4634" t="s">
        <v>26</v>
      </c>
      <c r="P4634" t="s">
        <v>39</v>
      </c>
      <c r="Q4634" t="s">
        <v>9928</v>
      </c>
    </row>
    <row r="4635" spans="1:17" ht="15.75" x14ac:dyDescent="0.25">
      <c r="A4635" s="3" t="str">
        <f>HYPERLINK("https://shop.sonapharmacy.com/products/good-sense-ibuprofen-liquid-capsules", "https://shop.sonapharmacy.com/products/good-sense-ibuprofen-liquid-capsules")</f>
        <v>https://shop.sonapharmacy.com/products/good-sense-ibuprofen-liquid-capsules</v>
      </c>
      <c r="B4635" s="3" t="str">
        <f>HYPERLINK("https://shop.sonapharmacy.com/products/good-sense-ibuprofen-liquid-capsules", "https://shop.sonapharmacy.com/products/good-sense-ibuprofen-liquid-capsules")</f>
        <v>https://shop.sonapharmacy.com/products/good-sense-ibuprofen-liquid-capsules</v>
      </c>
      <c r="C4635" t="s">
        <v>10145</v>
      </c>
      <c r="D4635" t="s">
        <v>13280</v>
      </c>
      <c r="E4635" s="3" t="str">
        <f>HYPERLINK("https://www.amazon.com/Ibuprofen-Liquid-Gels-Liquid-Filled-Capsules-Reliever/dp/B08JLFTR1G/ref=sr_1_1?keywords=GoodSense%C2%AE+Ibuprofen+Liquid+Capsules&amp;qid=1695260322&amp;sr=8-1", "https://www.amazon.com/Ibuprofen-Liquid-Gels-Liquid-Filled-Capsules-Reliever/dp/B08JLFTR1G/ref=sr_1_1?keywords=GoodSense%C2%AE+Ibuprofen+Liquid+Capsules&amp;qid=1695260322&amp;sr=8-1")</f>
        <v>https://www.amazon.com/Ibuprofen-Liquid-Gels-Liquid-Filled-Capsules-Reliever/dp/B08JLFTR1G/ref=sr_1_1?keywords=GoodSense%C2%AE+Ibuprofen+Liquid+Capsules&amp;qid=1695260322&amp;sr=8-1</v>
      </c>
      <c r="F4635" t="s">
        <v>13281</v>
      </c>
      <c r="G4635" t="e">
        <f ca="1">IMAGE("https://shop.sonapharmacy.com/cdn/shop/products/PLD0086.jpg?v=1609353567")</f>
        <v>#NAME?</v>
      </c>
      <c r="H4635" t="e">
        <f ca="1">IMAGE("https://m.media-amazon.com/images/I/71kIel5tpML._AC_UL320_.jpg")</f>
        <v>#NAME?</v>
      </c>
      <c r="I4635" t="s">
        <v>8902</v>
      </c>
      <c r="J4635">
        <v>6.99</v>
      </c>
      <c r="K4635" s="2" t="s">
        <v>13282</v>
      </c>
      <c r="L4635">
        <v>4.7</v>
      </c>
      <c r="M4635">
        <v>190</v>
      </c>
      <c r="O4635" t="s">
        <v>26</v>
      </c>
      <c r="P4635" t="s">
        <v>39</v>
      </c>
      <c r="Q4635" t="s">
        <v>10149</v>
      </c>
    </row>
    <row r="4636" spans="1:17" ht="15.75" x14ac:dyDescent="0.25">
      <c r="A4636" s="3" t="str">
        <f>HYPERLINK("https://shop.sonapharmacy.com/products/nexcare-flexible-clear-tape-with-dispenser", "https://shop.sonapharmacy.com/products/nexcare-flexible-clear-tape-with-dispenser")</f>
        <v>https://shop.sonapharmacy.com/products/nexcare-flexible-clear-tape-with-dispenser</v>
      </c>
      <c r="B4636" s="3" t="str">
        <f>HYPERLINK("https://shop.sonapharmacy.com/products/nexcare-flexible-clear-tape-with-dispenser", "https://shop.sonapharmacy.com/products/nexcare-flexible-clear-tape-with-dispenser")</f>
        <v>https://shop.sonapharmacy.com/products/nexcare-flexible-clear-tape-with-dispenser</v>
      </c>
      <c r="C4636" t="s">
        <v>8757</v>
      </c>
      <c r="D4636" t="s">
        <v>13283</v>
      </c>
      <c r="E4636" s="3" t="str">
        <f>HYPERLINK("https://www.amazon.com/Nexcare-Flexible-Clear-First-PRICE/dp/B002ZRSUHQ/ref=sr_1_6?keywords=Nexcare+Flexible+Clear+Tape&amp;qid=1695260581&amp;sr=8-6", "https://www.amazon.com/Nexcare-Flexible-Clear-First-PRICE/dp/B002ZRSUHQ/ref=sr_1_6?keywords=Nexcare+Flexible+Clear+Tape&amp;qid=1695260581&amp;sr=8-6")</f>
        <v>https://www.amazon.com/Nexcare-Flexible-Clear-First-PRICE/dp/B002ZRSUHQ/ref=sr_1_6?keywords=Nexcare+Flexible+Clear+Tape&amp;qid=1695260581&amp;sr=8-6</v>
      </c>
      <c r="F4636" t="s">
        <v>13284</v>
      </c>
      <c r="G4636" t="e">
        <f ca="1">IMAGE("https://shop.sonapharmacy.com/cdn/shop/products/3M-Nexcare-Flexible-Clear-First-Aid-Tape-779.jpg?v=1607704429")</f>
        <v>#NAME?</v>
      </c>
      <c r="H4636" t="e">
        <f ca="1">IMAGE("https://m.media-amazon.com/images/I/61m5C12mrkL._AC_UL320_.jpg")</f>
        <v>#NAME?</v>
      </c>
      <c r="I4636" t="s">
        <v>8760</v>
      </c>
      <c r="J4636">
        <v>6.69</v>
      </c>
      <c r="K4636" s="2" t="s">
        <v>13285</v>
      </c>
      <c r="L4636">
        <v>4.8</v>
      </c>
      <c r="M4636">
        <v>33</v>
      </c>
      <c r="O4636" t="s">
        <v>26</v>
      </c>
      <c r="P4636" t="s">
        <v>39</v>
      </c>
      <c r="Q4636" t="s">
        <v>8762</v>
      </c>
    </row>
    <row r="4637" spans="1:17" ht="15.75" x14ac:dyDescent="0.25">
      <c r="A4637" s="3" t="str">
        <f>HYPERLINK("https://shop.sonapharmacy.com/products/halls-relief-honey-lemon-cough-drops", "https://shop.sonapharmacy.com/products/halls-relief-honey-lemon-cough-drops")</f>
        <v>https://shop.sonapharmacy.com/products/halls-relief-honey-lemon-cough-drops</v>
      </c>
      <c r="B4637" s="3" t="str">
        <f>HYPERLINK("https://shop.sonapharmacy.com/products/halls-relief-honey-lemon-cough-drops", "https://shop.sonapharmacy.com/products/halls-relief-honey-lemon-cough-drops")</f>
        <v>https://shop.sonapharmacy.com/products/halls-relief-honey-lemon-cough-drops</v>
      </c>
      <c r="C4637" t="s">
        <v>8031</v>
      </c>
      <c r="D4637" t="s">
        <v>13286</v>
      </c>
      <c r="E4637" s="3" t="str">
        <f>HYPERLINK("https://www.amazon.com/Halls-Mentho-Lyptus-Sugar-Drops-Honey-Lemon/dp/B000R4HSIG/ref=sr_1_2?keywords=Halls%C2%AE+Relief+Honey+Lemon+Cough+Drops&amp;qid=1695260411&amp;sr=8-2", "https://www.amazon.com/Halls-Mentho-Lyptus-Sugar-Drops-Honey-Lemon/dp/B000R4HSIG/ref=sr_1_2?keywords=Halls%C2%AE+Relief+Honey+Lemon+Cough+Drops&amp;qid=1695260411&amp;sr=8-2")</f>
        <v>https://www.amazon.com/Halls-Mentho-Lyptus-Sugar-Drops-Honey-Lemon/dp/B000R4HSIG/ref=sr_1_2?keywords=Halls%C2%AE+Relief+Honey+Lemon+Cough+Drops&amp;qid=1695260411&amp;sr=8-2</v>
      </c>
      <c r="F4637" t="s">
        <v>13287</v>
      </c>
      <c r="G4637" t="e">
        <f ca="1">IMAGE("https://shop.sonapharmacy.com/cdn/shop/products/HALLS_Menthol_HoneyLemon_30ct.png?v=1608215589")</f>
        <v>#NAME?</v>
      </c>
      <c r="H4637" t="e">
        <f ca="1">IMAGE("https://m.media-amazon.com/images/I/81uGH-N3SqL._AC_UL320_.jpg")</f>
        <v>#NAME?</v>
      </c>
      <c r="I4637" t="s">
        <v>8034</v>
      </c>
      <c r="J4637">
        <v>3.54</v>
      </c>
      <c r="K4637" s="2" t="s">
        <v>13288</v>
      </c>
      <c r="L4637">
        <v>4.7</v>
      </c>
      <c r="M4637">
        <v>1175</v>
      </c>
      <c r="O4637" t="s">
        <v>26</v>
      </c>
      <c r="P4637" t="s">
        <v>39</v>
      </c>
      <c r="Q4637" t="s">
        <v>8036</v>
      </c>
    </row>
    <row r="4638" spans="1:17" ht="15.75" x14ac:dyDescent="0.25">
      <c r="A4638" s="3" t="str">
        <f>HYPERLINK("https://shop.sonapharmacy.com/products/goodsense%C2%AE-psyllium-orange-flavor-fiber-powder-30-4oz", "https://shop.sonapharmacy.com/products/goodsense%C2%AE-psyllium-orange-flavor-fiber-powder-30-4oz")</f>
        <v>https://shop.sonapharmacy.com/products/goodsense%C2%AE-psyllium-orange-flavor-fiber-powder-30-4oz</v>
      </c>
      <c r="B4638" s="3" t="str">
        <f>HYPERLINK("https://shop.sonapharmacy.com/products/goodsense%c2%ae-psyllium-orange-flavor-fiber-powder-30-4oz", "https://shop.sonapharmacy.com/products/goodsense%c2%ae-psyllium-orange-flavor-fiber-powder-30-4oz")</f>
        <v>https://shop.sonapharmacy.com/products/goodsense%c2%ae-psyllium-orange-flavor-fiber-powder-30-4oz</v>
      </c>
      <c r="C4638" t="s">
        <v>12321</v>
      </c>
      <c r="D4638" t="s">
        <v>13289</v>
      </c>
      <c r="E4638" s="3" t="str">
        <f>HYPERLINK("https://www.amazon.com/Metamucil-Supplement-Orange-Smooth-Tablespoons/dp/B000052Y5U/ref=sr_1_9?keywords=GoodSense%C2%AE+Psyllium+Orange+Flavor+Fiber+Powder+30.4oz&amp;qid=1695260409&amp;sr=8-9", "https://www.amazon.com/Metamucil-Supplement-Orange-Smooth-Tablespoons/dp/B000052Y5U/ref=sr_1_9?keywords=GoodSense%C2%AE+Psyllium+Orange+Flavor+Fiber+Powder+30.4oz&amp;qid=1695260409&amp;sr=8-9")</f>
        <v>https://www.amazon.com/Metamucil-Supplement-Orange-Smooth-Tablespoons/dp/B000052Y5U/ref=sr_1_9?keywords=GoodSense%C2%AE+Psyllium+Orange+Flavor+Fiber+Powder+30.4oz&amp;qid=1695260409&amp;sr=8-9</v>
      </c>
      <c r="F4638" t="s">
        <v>13290</v>
      </c>
      <c r="G4638" t="e">
        <f ca="1">IMAGE("https://shop.sonapharmacy.com/cdn/shop/products/large_359feab3-5284-4b6f-9fbd-bdd35234ee7e.jpg?v=1610983210")</f>
        <v>#NAME?</v>
      </c>
      <c r="H4638" t="e">
        <f ca="1">IMAGE("https://m.media-amazon.com/images/I/81dXLGk6VYL._AC_UL320_.jpg")</f>
        <v>#NAME?</v>
      </c>
      <c r="I4638" t="s">
        <v>12324</v>
      </c>
      <c r="J4638">
        <v>16.98</v>
      </c>
      <c r="K4638" s="2" t="s">
        <v>13291</v>
      </c>
      <c r="L4638">
        <v>4.8</v>
      </c>
      <c r="M4638">
        <v>627</v>
      </c>
      <c r="O4638" t="s">
        <v>136</v>
      </c>
      <c r="P4638" t="s">
        <v>39</v>
      </c>
      <c r="Q4638" t="s">
        <v>12325</v>
      </c>
    </row>
    <row r="4639" spans="1:17" ht="15.75" x14ac:dyDescent="0.25">
      <c r="A4639" s="3" t="str">
        <f>HYPERLINK("https://shop.sonapharmacy.com/products/sona-omega-3-fish-oil", "https://shop.sonapharmacy.com/products/sona-omega-3-fish-oil")</f>
        <v>https://shop.sonapharmacy.com/products/sona-omega-3-fish-oil</v>
      </c>
      <c r="B4639" s="3" t="str">
        <f>HYPERLINK("https://shop.sonapharmacy.com/products/sona-omega-3-fish-oil", "https://shop.sonapharmacy.com/products/sona-omega-3-fish-oil")</f>
        <v>https://shop.sonapharmacy.com/products/sona-omega-3-fish-oil</v>
      </c>
      <c r="C4639" t="s">
        <v>13292</v>
      </c>
      <c r="D4639" t="s">
        <v>13293</v>
      </c>
      <c r="E4639" s="3" t="str">
        <f>HYPERLINK("https://www.amazon.com/Ocean-Blue-Professional-Omega-3-Softgels/dp/B003SYB4J6/ref=sr_1_2?keywords=Sona+Omega-3+Fish+Oil&amp;qid=1695260728&amp;sr=8-2", "https://www.amazon.com/Ocean-Blue-Professional-Omega-3-Softgels/dp/B003SYB4J6/ref=sr_1_2?keywords=Sona+Omega-3+Fish+Oil&amp;qid=1695260728&amp;sr=8-2")</f>
        <v>https://www.amazon.com/Ocean-Blue-Professional-Omega-3-Softgels/dp/B003SYB4J6/ref=sr_1_2?keywords=Sona+Omega-3+Fish+Oil&amp;qid=1695260728&amp;sr=8-2</v>
      </c>
      <c r="F4639" t="s">
        <v>13294</v>
      </c>
      <c r="G4639" t="e">
        <f ca="1">IMAGE("https://shop.sonapharmacy.com/cdn/shop/files/Omega3FishOil_SonaShop.jpg?v=1692368919")</f>
        <v>#NAME?</v>
      </c>
      <c r="H4639" t="e">
        <f ca="1">IMAGE("https://m.media-amazon.com/images/I/71jyFLh8KLL._AC_UL320_.jpg")</f>
        <v>#NAME?</v>
      </c>
      <c r="I4639" t="s">
        <v>5934</v>
      </c>
      <c r="J4639">
        <v>36.950000000000003</v>
      </c>
      <c r="K4639" s="2" t="s">
        <v>13295</v>
      </c>
      <c r="L4639">
        <v>4.5999999999999996</v>
      </c>
      <c r="M4639">
        <v>1919</v>
      </c>
      <c r="O4639" t="s">
        <v>26</v>
      </c>
      <c r="P4639" t="s">
        <v>39</v>
      </c>
      <c r="Q4639" t="s">
        <v>13296</v>
      </c>
    </row>
    <row r="4640" spans="1:17" ht="15.75" x14ac:dyDescent="0.25">
      <c r="A4640" s="3" t="str">
        <f>HYPERLINK("https://shop.sonapharmacy.com/products/destin%C2%AE-daily-defense-cream", "https://shop.sonapharmacy.com/products/destin%C2%AE-daily-defense-cream")</f>
        <v>https://shop.sonapharmacy.com/products/destin%C2%AE-daily-defense-cream</v>
      </c>
      <c r="B4640" s="3" t="str">
        <f>HYPERLINK("https://shop.sonapharmacy.com/products/destin%c2%ae-daily-defense-cream", "https://shop.sonapharmacy.com/products/destin%c2%ae-daily-defense-cream")</f>
        <v>https://shop.sonapharmacy.com/products/destin%c2%ae-daily-defense-cream</v>
      </c>
      <c r="C4640" t="s">
        <v>9534</v>
      </c>
      <c r="D4640" t="s">
        <v>13297</v>
      </c>
      <c r="E4640" s="3" t="str">
        <f>HYPERLINK("https://www.amazon.com/Desitin-Defense-Hypoallergenic-Phthalate-Paraben-Free/dp/B07H7GBJC4/ref=sr_1_4?keywords=Desitin%C2%AE+Daily+Defense+Cream&amp;qid=1695260184&amp;sr=8-4", "https://www.amazon.com/Desitin-Defense-Hypoallergenic-Phthalate-Paraben-Free/dp/B07H7GBJC4/ref=sr_1_4?keywords=Desitin%C2%AE+Daily+Defense+Cream&amp;qid=1695260184&amp;sr=8-4")</f>
        <v>https://www.amazon.com/Desitin-Defense-Hypoallergenic-Phthalate-Paraben-Free/dp/B07H7GBJC4/ref=sr_1_4?keywords=Desitin%C2%AE+Daily+Defense+Cream&amp;qid=1695260184&amp;sr=8-4</v>
      </c>
      <c r="F4640" t="s">
        <v>13298</v>
      </c>
      <c r="G4640" t="e">
        <f ca="1">IMAGE("https://shop.sonapharmacy.com/cdn/shop/products/b8d255e3-761d-4dc1-bc22-63911aec1a42.339ed60a62d8c105695012d734e4478b.jpg?v=1609270993")</f>
        <v>#NAME?</v>
      </c>
      <c r="H4640" t="e">
        <f ca="1">IMAGE("https://m.media-amazon.com/images/I/51T65KubJYL._AC_UL320_.jpg")</f>
        <v>#NAME?</v>
      </c>
      <c r="I4640" t="s">
        <v>9284</v>
      </c>
      <c r="J4640">
        <v>7.4</v>
      </c>
      <c r="K4640" s="2" t="s">
        <v>13299</v>
      </c>
      <c r="L4640">
        <v>4.8</v>
      </c>
      <c r="M4640">
        <v>5546</v>
      </c>
      <c r="O4640" t="s">
        <v>26</v>
      </c>
      <c r="P4640" t="s">
        <v>39</v>
      </c>
      <c r="Q4640" t="s">
        <v>9538</v>
      </c>
    </row>
    <row r="4641" spans="1:17" ht="15.75" x14ac:dyDescent="0.25">
      <c r="A4641" s="3" t="str">
        <f>HYPERLINK("https://shop.sonapharmacy.com/products/metamucil%C2%AE-3-in-1-fiber-capsules-100ct", "https://shop.sonapharmacy.com/products/metamucil%C2%AE-3-in-1-fiber-capsules-100ct")</f>
        <v>https://shop.sonapharmacy.com/products/metamucil%C2%AE-3-in-1-fiber-capsules-100ct</v>
      </c>
      <c r="B4641" s="3" t="str">
        <f>HYPERLINK("https://shop.sonapharmacy.com/products/metamucil%c2%ae-3-in-1-fiber-capsules-100ct", "https://shop.sonapharmacy.com/products/metamucil%c2%ae-3-in-1-fiber-capsules-100ct")</f>
        <v>https://shop.sonapharmacy.com/products/metamucil%c2%ae-3-in-1-fiber-capsules-100ct</v>
      </c>
      <c r="C4641" t="s">
        <v>12473</v>
      </c>
      <c r="D4641" t="s">
        <v>13300</v>
      </c>
      <c r="E4641" s="3"/>
      <c r="F4641" t="s">
        <v>13301</v>
      </c>
      <c r="G4641" t="e">
        <f ca="1">IMAGE("https://shop.sonapharmacy.com/cdn/shop/products/e4c301a8-1a91-42b1-9916-14dcb83a83c8_1.2b9cc66f0650d69ef4e03e8e4070ad8a.jpg?v=1610989075")</f>
        <v>#NAME?</v>
      </c>
      <c r="H4641" t="e">
        <f ca="1">IMAGE("https://m.media-amazon.com/images/I/81+1IcqGWGL._AC_UL320_.jpg")</f>
        <v>#NAME?</v>
      </c>
      <c r="I4641" t="s">
        <v>12476</v>
      </c>
      <c r="J4641">
        <v>20.95</v>
      </c>
      <c r="K4641" s="2" t="s">
        <v>13302</v>
      </c>
      <c r="L4641">
        <v>4.3</v>
      </c>
      <c r="M4641">
        <v>191</v>
      </c>
      <c r="O4641" t="s">
        <v>26</v>
      </c>
      <c r="P4641" t="s">
        <v>39</v>
      </c>
      <c r="Q4641" t="s">
        <v>12478</v>
      </c>
    </row>
    <row r="4642" spans="1:17" ht="15.75" x14ac:dyDescent="0.25">
      <c r="A4642" s="3" t="str">
        <f>HYPERLINK("https://shop.sonapharmacy.com/products/coq10", "https://shop.sonapharmacy.com/products/coq10")</f>
        <v>https://shop.sonapharmacy.com/products/coq10</v>
      </c>
      <c r="B4642" s="3" t="str">
        <f>HYPERLINK("https://shop.sonapharmacy.com/products/coq10", "https://shop.sonapharmacy.com/products/coq10")</f>
        <v>https://shop.sonapharmacy.com/products/coq10</v>
      </c>
      <c r="C4642" t="s">
        <v>11837</v>
      </c>
      <c r="D4642" t="s">
        <v>13303</v>
      </c>
      <c r="E4642" s="3" t="str">
        <f>HYPERLINK("https://www.amazon.com/Integrative-Therapeutics-Ubiquinone-Cardiovascular-Neurological/dp/B002ZD084S/ref=sr_1_1?keywords=Integrative+Therapeutics+CoQ10+Softgel+60ct.&amp;qid=1695260406&amp;sr=8-1", "https://www.amazon.com/Integrative-Therapeutics-Ubiquinone-Cardiovascular-Neurological/dp/B002ZD084S/ref=sr_1_1?keywords=Integrative+Therapeutics+CoQ10+Softgel+60ct.&amp;qid=1695260406&amp;sr=8-1")</f>
        <v>https://www.amazon.com/Integrative-Therapeutics-Ubiquinone-Cardiovascular-Neurological/dp/B002ZD084S/ref=sr_1_1?keywords=Integrative+Therapeutics+CoQ10+Softgel+60ct.&amp;qid=1695260406&amp;sr=8-1</v>
      </c>
      <c r="F4642" t="s">
        <v>13304</v>
      </c>
      <c r="G4642" t="e">
        <f ca="1">IMAGE("https://shop.sonapharmacy.com/cdn/shop/products/61htMunw_-L._AC_SL1500.jpg?v=1609356631")</f>
        <v>#NAME?</v>
      </c>
      <c r="H4642" t="e">
        <f ca="1">IMAGE("https://m.media-amazon.com/images/I/51EQSua4eNL._AC_UL320_.jpg")</f>
        <v>#NAME?</v>
      </c>
      <c r="I4642" t="s">
        <v>4287</v>
      </c>
      <c r="J4642">
        <v>43</v>
      </c>
      <c r="K4642" s="2" t="s">
        <v>13305</v>
      </c>
      <c r="L4642">
        <v>4.5</v>
      </c>
      <c r="M4642">
        <v>270</v>
      </c>
      <c r="O4642" t="s">
        <v>39</v>
      </c>
      <c r="P4642" t="s">
        <v>39</v>
      </c>
      <c r="Q4642" t="s">
        <v>11841</v>
      </c>
    </row>
    <row r="4643" spans="1:17" ht="15.75" x14ac:dyDescent="0.25">
      <c r="A4643" s="3" t="str">
        <f>HYPERLINK("https://shop.sonapharmacy.com/products/mueller%C2%AE-adjustable-ankle-moderate-support-one-size", "https://shop.sonapharmacy.com/products/mueller%C2%AE-adjustable-ankle-moderate-support-one-size")</f>
        <v>https://shop.sonapharmacy.com/products/mueller%C2%AE-adjustable-ankle-moderate-support-one-size</v>
      </c>
      <c r="B4643" s="3" t="str">
        <f>HYPERLINK("https://shop.sonapharmacy.com/products/mueller%c2%ae-adjustable-ankle-moderate-support-one-size", "https://shop.sonapharmacy.com/products/mueller%c2%ae-adjustable-ankle-moderate-support-one-size")</f>
        <v>https://shop.sonapharmacy.com/products/mueller%c2%ae-adjustable-ankle-moderate-support-one-size</v>
      </c>
      <c r="C4643" t="s">
        <v>11735</v>
      </c>
      <c r="D4643" t="s">
        <v>13306</v>
      </c>
      <c r="E4643" s="3" t="str">
        <f>HYPERLINK("https://www.amazon.com/Mueller-Adjustable-Ankle-Support-Black/dp/B001B1CON8/ref=sr_1_6?keywords=Mueller%C2%AE+Adjustable+Ankle+Moderate+Support+One+Size&amp;qid=1695260510&amp;sr=8-6", "https://www.amazon.com/Mueller-Adjustable-Ankle-Support-Black/dp/B001B1CON8/ref=sr_1_6?keywords=Mueller%C2%AE+Adjustable+Ankle+Moderate+Support+One+Size&amp;qid=1695260510&amp;sr=8-6")</f>
        <v>https://www.amazon.com/Mueller-Adjustable-Ankle-Support-Black/dp/B001B1CON8/ref=sr_1_6?keywords=Mueller%C2%AE+Adjustable+Ankle+Moderate+Support+One+Size&amp;qid=1695260510&amp;sr=8-6</v>
      </c>
      <c r="F4643" t="s">
        <v>13307</v>
      </c>
      <c r="G4643" t="e">
        <f ca="1">IMAGE("https://shop.sonapharmacy.com/cdn/shop/products/41Wb-0af6-L._AC.jpg?v=1609871368")</f>
        <v>#NAME?</v>
      </c>
      <c r="H4643" t="e">
        <f ca="1">IMAGE("https://m.media-amazon.com/images/I/515jVU3MfKL._AC_UL320_.jpg")</f>
        <v>#NAME?</v>
      </c>
      <c r="I4643" t="s">
        <v>11738</v>
      </c>
      <c r="J4643">
        <v>13.99</v>
      </c>
      <c r="K4643" s="2" t="s">
        <v>13308</v>
      </c>
      <c r="L4643">
        <v>3.9</v>
      </c>
      <c r="M4643">
        <v>71</v>
      </c>
      <c r="O4643" t="s">
        <v>26</v>
      </c>
      <c r="P4643" t="s">
        <v>39</v>
      </c>
      <c r="Q4643" t="s">
        <v>11740</v>
      </c>
    </row>
    <row r="4644" spans="1:17" ht="15.75" x14ac:dyDescent="0.25">
      <c r="A4644" s="3" t="str">
        <f>HYPERLINK("https://shop.sonapharmacy.com/products/old-spice%C2%AE-pure-sport-high-endurance-deodorant-3-0oz", "https://shop.sonapharmacy.com/products/old-spice%C2%AE-pure-sport-high-endurance-deodorant-3-0oz")</f>
        <v>https://shop.sonapharmacy.com/products/old-spice%C2%AE-pure-sport-high-endurance-deodorant-3-0oz</v>
      </c>
      <c r="B4644" s="3" t="str">
        <f>HYPERLINK("https://shop.sonapharmacy.com/products/old-spice%c2%ae-pure-sport-high-endurance-deodorant-3-0oz", "https://shop.sonapharmacy.com/products/old-spice%c2%ae-pure-sport-high-endurance-deodorant-3-0oz")</f>
        <v>https://shop.sonapharmacy.com/products/old-spice%c2%ae-pure-sport-high-endurance-deodorant-3-0oz</v>
      </c>
      <c r="C4644" t="s">
        <v>8720</v>
      </c>
      <c r="D4644" t="s">
        <v>13309</v>
      </c>
      <c r="E4644" s="3" t="str">
        <f>HYPERLINK("https://www.amazon.com/Old-Spice-Endurance-Deodorant-Lasting/dp/B0094EDITS/ref=sr_1_9?keywords=Old+Spice%C2%AE+Pure+Sport+High+Endurance+Deodorant+3.0oz.&amp;qid=1695260614&amp;sr=8-9", "https://www.amazon.com/Old-Spice-Endurance-Deodorant-Lasting/dp/B0094EDITS/ref=sr_1_9?keywords=Old+Spice%C2%AE+Pure+Sport+High+Endurance+Deodorant+3.0oz.&amp;qid=1695260614&amp;sr=8-9")</f>
        <v>https://www.amazon.com/Old-Spice-Endurance-Deodorant-Lasting/dp/B0094EDITS/ref=sr_1_9?keywords=Old+Spice%C2%AE+Pure+Sport+High+Endurance+Deodorant+3.0oz.&amp;qid=1695260614&amp;sr=8-9</v>
      </c>
      <c r="F4644" t="s">
        <v>13310</v>
      </c>
      <c r="G4644" t="e">
        <f ca="1">IMAGE("https://shop.sonapharmacy.com/cdn/shop/products/7c0e29c3-6af7-41b0-bc81-b9238d9e44d1_1.7a977d3723660517c76ddad4c2bf91f5.jpg?v=1609094596")</f>
        <v>#NAME?</v>
      </c>
      <c r="H4644" t="e">
        <f ca="1">IMAGE("https://m.media-amazon.com/images/I/81p4K5c48TL._AC_UL320_.jpg")</f>
        <v>#NAME?</v>
      </c>
      <c r="I4644" t="s">
        <v>8206</v>
      </c>
      <c r="J4644">
        <v>6.11</v>
      </c>
      <c r="K4644" s="2" t="s">
        <v>13311</v>
      </c>
      <c r="L4644">
        <v>4.7</v>
      </c>
      <c r="M4644">
        <v>240</v>
      </c>
      <c r="O4644" t="s">
        <v>26</v>
      </c>
      <c r="P4644" t="s">
        <v>39</v>
      </c>
      <c r="Q4644" t="s">
        <v>8724</v>
      </c>
    </row>
    <row r="4645" spans="1:17" ht="15.75" x14ac:dyDescent="0.25">
      <c r="A4645" s="3" t="str">
        <f>HYPERLINK("https://shop.sonapharmacy.com/products/old-spice%C2%AE-pure-sport-high-endurance-deodorant-3-0oz", "https://shop.sonapharmacy.com/products/old-spice%C2%AE-pure-sport-high-endurance-deodorant-3-0oz")</f>
        <v>https://shop.sonapharmacy.com/products/old-spice%C2%AE-pure-sport-high-endurance-deodorant-3-0oz</v>
      </c>
      <c r="B4645" s="3" t="str">
        <f>HYPERLINK("https://shop.sonapharmacy.com/products/old-spice%c2%ae-pure-sport-high-endurance-deodorant-3-0oz", "https://shop.sonapharmacy.com/products/old-spice%c2%ae-pure-sport-high-endurance-deodorant-3-0oz")</f>
        <v>https://shop.sonapharmacy.com/products/old-spice%c2%ae-pure-sport-high-endurance-deodorant-3-0oz</v>
      </c>
      <c r="C4645" t="s">
        <v>8720</v>
      </c>
      <c r="D4645" t="s">
        <v>13312</v>
      </c>
      <c r="E4645" s="3" t="str">
        <f>HYPERLINK("https://www.amazon.com/Endurance-Deodorant-Sport-Old-Spice/dp/B0033A2TS0/ref=sr_1_10?keywords=Old+Spice%C2%AE+Pure+Sport+High+Endurance+Deodorant+3.0oz.&amp;qid=1695260614&amp;sr=8-10", "https://www.amazon.com/Endurance-Deodorant-Sport-Old-Spice/dp/B0033A2TS0/ref=sr_1_10?keywords=Old+Spice%C2%AE+Pure+Sport+High+Endurance+Deodorant+3.0oz.&amp;qid=1695260614&amp;sr=8-10")</f>
        <v>https://www.amazon.com/Endurance-Deodorant-Sport-Old-Spice/dp/B0033A2TS0/ref=sr_1_10?keywords=Old+Spice%C2%AE+Pure+Sport+High+Endurance+Deodorant+3.0oz.&amp;qid=1695260614&amp;sr=8-10</v>
      </c>
      <c r="F4645" t="s">
        <v>13313</v>
      </c>
      <c r="G4645" t="e">
        <f ca="1">IMAGE("https://shop.sonapharmacy.com/cdn/shop/products/7c0e29c3-6af7-41b0-bc81-b9238d9e44d1_1.7a977d3723660517c76ddad4c2bf91f5.jpg?v=1609094596")</f>
        <v>#NAME?</v>
      </c>
      <c r="H4645" t="e">
        <f ca="1">IMAGE("https://m.media-amazon.com/images/I/616veut7G0L._AC_UL320_.jpg")</f>
        <v>#NAME?</v>
      </c>
      <c r="I4645" t="s">
        <v>8206</v>
      </c>
      <c r="J4645">
        <v>6.11</v>
      </c>
      <c r="K4645" s="2" t="s">
        <v>13311</v>
      </c>
      <c r="L4645">
        <v>4</v>
      </c>
      <c r="M4645">
        <v>16</v>
      </c>
      <c r="O4645" t="s">
        <v>26</v>
      </c>
      <c r="P4645" t="s">
        <v>39</v>
      </c>
      <c r="Q4645" t="s">
        <v>8724</v>
      </c>
    </row>
    <row r="4646" spans="1:17" ht="15.75" x14ac:dyDescent="0.25">
      <c r="A4646" s="3" t="str">
        <f>HYPERLINK("https://shop.sonapharmacy.com/products/prevagen-professional-formula-capsules-40-mg", "https://shop.sonapharmacy.com/products/prevagen-professional-formula-capsules-40-mg")</f>
        <v>https://shop.sonapharmacy.com/products/prevagen-professional-formula-capsules-40-mg</v>
      </c>
      <c r="B4646" s="3" t="str">
        <f>HYPERLINK("https://shop.sonapharmacy.com/products/prevagen-professional-formula-capsules-40-mg", "https://shop.sonapharmacy.com/products/prevagen-professional-formula-capsules-40-mg")</f>
        <v>https://shop.sonapharmacy.com/products/prevagen-professional-formula-capsules-40-mg</v>
      </c>
      <c r="C4646" t="s">
        <v>10007</v>
      </c>
      <c r="D4646" t="s">
        <v>13314</v>
      </c>
      <c r="E4646" s="3" t="str">
        <f>HYPERLINK("https://www.amazon.com/Prevagen-Improves-Memory-Professional-Apoaequorin/dp/B0BN6V8V3R/ref=sr_1_2?keywords=Prevagen+Professional+Formula+Capsules+40+mg&amp;qid=1695260663&amp;sr=8-2", "https://www.amazon.com/Prevagen-Improves-Memory-Professional-Apoaequorin/dp/B0BN6V8V3R/ref=sr_1_2?keywords=Prevagen+Professional+Formula+Capsules+40+mg&amp;qid=1695260663&amp;sr=8-2")</f>
        <v>https://www.amazon.com/Prevagen-Improves-Memory-Professional-Apoaequorin/dp/B0BN6V8V3R/ref=sr_1_2?keywords=Prevagen+Professional+Formula+Capsules+40+mg&amp;qid=1695260663&amp;sr=8-2</v>
      </c>
      <c r="F4646" t="s">
        <v>13315</v>
      </c>
      <c r="G4646" t="e">
        <f ca="1">IMAGE("https://shop.sonapharmacy.com/cdn/shop/products/PrevagenProfessionalFormulaCapsules40mg.jpg?v=1594303580")</f>
        <v>#NAME?</v>
      </c>
      <c r="H4646" t="e">
        <f ca="1">IMAGE("https://m.media-amazon.com/images/I/61c81H12x3L._AC_UL320_.jpg")</f>
        <v>#NAME?</v>
      </c>
      <c r="I4646" t="s">
        <v>7024</v>
      </c>
      <c r="J4646">
        <v>76.459999999999994</v>
      </c>
      <c r="K4646" s="2" t="s">
        <v>13316</v>
      </c>
      <c r="L4646">
        <v>4.3</v>
      </c>
      <c r="M4646">
        <v>85</v>
      </c>
      <c r="O4646" t="s">
        <v>136</v>
      </c>
      <c r="P4646" t="s">
        <v>39</v>
      </c>
      <c r="Q4646" t="s">
        <v>10011</v>
      </c>
    </row>
    <row r="4647" spans="1:17" ht="15.75" x14ac:dyDescent="0.25">
      <c r="A4647" s="3" t="str">
        <f>HYPERLINK("https://shop.sonapharmacy.com/products/prevagen-professional-formula-capsules-40-mg", "https://shop.sonapharmacy.com/products/prevagen-professional-formula-capsules-40-mg")</f>
        <v>https://shop.sonapharmacy.com/products/prevagen-professional-formula-capsules-40-mg</v>
      </c>
      <c r="B4647" s="3" t="str">
        <f>HYPERLINK("https://shop.sonapharmacy.com/products/prevagen-professional-formula-capsules-40-mg", "https://shop.sonapharmacy.com/products/prevagen-professional-formula-capsules-40-mg")</f>
        <v>https://shop.sonapharmacy.com/products/prevagen-professional-formula-capsules-40-mg</v>
      </c>
      <c r="C4647" t="s">
        <v>10007</v>
      </c>
      <c r="D4647" t="s">
        <v>13317</v>
      </c>
      <c r="E4647" s="3" t="str">
        <f>HYPERLINK("https://www.amazon.com/Prevagen-Professional-40mg-30-caps/dp/B0058HX4FI/ref=sr_1_5?keywords=Prevagen+Professional+Formula+Capsules+40+mg&amp;qid=1695260663&amp;sr=8-5", "https://www.amazon.com/Prevagen-Professional-40mg-30-caps/dp/B0058HX4FI/ref=sr_1_5?keywords=Prevagen+Professional+Formula+Capsules+40+mg&amp;qid=1695260663&amp;sr=8-5")</f>
        <v>https://www.amazon.com/Prevagen-Professional-40mg-30-caps/dp/B0058HX4FI/ref=sr_1_5?keywords=Prevagen+Professional+Formula+Capsules+40+mg&amp;qid=1695260663&amp;sr=8-5</v>
      </c>
      <c r="F4647" t="s">
        <v>13318</v>
      </c>
      <c r="G4647" t="e">
        <f ca="1">IMAGE("https://shop.sonapharmacy.com/cdn/shop/products/PrevagenProfessionalFormulaCapsules40mg.jpg?v=1594303580")</f>
        <v>#NAME?</v>
      </c>
      <c r="H4647" t="e">
        <f ca="1">IMAGE("https://m.media-amazon.com/images/I/71dHB5CFlDL._AC_UL320_.jpg")</f>
        <v>#NAME?</v>
      </c>
      <c r="I4647" t="s">
        <v>7024</v>
      </c>
      <c r="J4647">
        <v>76.459999999999994</v>
      </c>
      <c r="K4647" s="2" t="s">
        <v>13316</v>
      </c>
      <c r="L4647">
        <v>4.4000000000000004</v>
      </c>
      <c r="M4647">
        <v>1800</v>
      </c>
      <c r="O4647" t="s">
        <v>136</v>
      </c>
      <c r="P4647" t="s">
        <v>39</v>
      </c>
      <c r="Q4647" t="s">
        <v>10011</v>
      </c>
    </row>
    <row r="4648" spans="1:17" ht="15.75" x14ac:dyDescent="0.25">
      <c r="A4648" s="3" t="str">
        <f>HYPERLINK("https://shop.sonapharmacy.com/products/flonase-sensimist-allergy-relief-spray", "https://shop.sonapharmacy.com/products/flonase-sensimist-allergy-relief-spray")</f>
        <v>https://shop.sonapharmacy.com/products/flonase-sensimist-allergy-relief-spray</v>
      </c>
      <c r="B4648" s="3" t="str">
        <f>HYPERLINK("https://shop.sonapharmacy.com/products/flonase-sensimist-allergy-relief-spray", "https://shop.sonapharmacy.com/products/flonase-sensimist-allergy-relief-spray")</f>
        <v>https://shop.sonapharmacy.com/products/flonase-sensimist-allergy-relief-spray</v>
      </c>
      <c r="C4648" t="s">
        <v>11891</v>
      </c>
      <c r="D4648" t="s">
        <v>13319</v>
      </c>
      <c r="E4648" s="3" t="str">
        <f>HYPERLINK("https://www.amazon.com/Flonase-Sensimist-Allergy-Relief-Metered/dp/B06XBXS6VR/ref=sr_1_5?keywords=Flonase%C2%AE+Sensimist+Allergy+Relief+Spray&amp;qid=1695260252&amp;sr=8-5", "https://www.amazon.com/Flonase-Sensimist-Allergy-Relief-Metered/dp/B06XBXS6VR/ref=sr_1_5?keywords=Flonase%C2%AE+Sensimist+Allergy+Relief+Spray&amp;qid=1695260252&amp;sr=8-5")</f>
        <v>https://www.amazon.com/Flonase-Sensimist-Allergy-Relief-Metered/dp/B06XBXS6VR/ref=sr_1_5?keywords=Flonase%C2%AE+Sensimist+Allergy+Relief+Spray&amp;qid=1695260252&amp;sr=8-5</v>
      </c>
      <c r="F4648" t="s">
        <v>13320</v>
      </c>
      <c r="G4648" t="e">
        <f ca="1">IMAGE("https://shop.sonapharmacy.com/cdn/shop/products/FlonaseSensimistAllergyReliefSpray.jpg?v=1595345172")</f>
        <v>#NAME?</v>
      </c>
      <c r="H4648" t="e">
        <f ca="1">IMAGE("https://m.media-amazon.com/images/I/81hiAIJT-uL._AC_UL320_.jpg")</f>
        <v>#NAME?</v>
      </c>
      <c r="I4648" t="s">
        <v>11894</v>
      </c>
      <c r="J4648">
        <v>22</v>
      </c>
      <c r="K4648" s="2" t="s">
        <v>13321</v>
      </c>
      <c r="L4648">
        <v>4.5999999999999996</v>
      </c>
      <c r="M4648">
        <v>131</v>
      </c>
      <c r="O4648" t="s">
        <v>26</v>
      </c>
      <c r="P4648" t="s">
        <v>39</v>
      </c>
      <c r="Q4648" t="s">
        <v>11896</v>
      </c>
    </row>
    <row r="4649" spans="1:17" ht="15.75" x14ac:dyDescent="0.25">
      <c r="A4649" s="3" t="str">
        <f>HYPERLINK("https://shop.sonapharmacy.com/products/nature-made-hair-skin-and-nails-gummies", "https://shop.sonapharmacy.com/products/nature-made-hair-skin-and-nails-gummies")</f>
        <v>https://shop.sonapharmacy.com/products/nature-made-hair-skin-and-nails-gummies</v>
      </c>
      <c r="B4649" s="3" t="str">
        <f>HYPERLINK("https://shop.sonapharmacy.com/products/nature-made-hair-skin-and-nails-gummies", "https://shop.sonapharmacy.com/products/nature-made-hair-skin-and-nails-gummies")</f>
        <v>https://shop.sonapharmacy.com/products/nature-made-hair-skin-and-nails-gummies</v>
      </c>
      <c r="C4649" t="s">
        <v>11173</v>
      </c>
      <c r="D4649" t="s">
        <v>13322</v>
      </c>
      <c r="E4649" s="3" t="str">
        <f>HYPERLINK("https://www.amazon.com/Nature-Made-Nails-Adult-Gummies/dp/B00O2VQJNK/ref=sr_1_1?keywords=Nature+Made%C2%AE+Hair+Skin+and+Nails+Gummies&amp;qid=1695260542&amp;sr=8-1", "https://www.amazon.com/Nature-Made-Nails-Adult-Gummies/dp/B00O2VQJNK/ref=sr_1_1?keywords=Nature+Made%C2%AE+Hair+Skin+and+Nails+Gummies&amp;qid=1695260542&amp;sr=8-1")</f>
        <v>https://www.amazon.com/Nature-Made-Nails-Adult-Gummies/dp/B00O2VQJNK/ref=sr_1_1?keywords=Nature+Made%C2%AE+Hair+Skin+and+Nails+Gummies&amp;qid=1695260542&amp;sr=8-1</v>
      </c>
      <c r="F4649" t="s">
        <v>13323</v>
      </c>
      <c r="G4649" t="e">
        <f ca="1">IMAGE("https://shop.sonapharmacy.com/cdn/shop/products/71o8Z6P3alL._AC_SL1500.jpg?v=1610048535")</f>
        <v>#NAME?</v>
      </c>
      <c r="H4649" t="e">
        <f ca="1">IMAGE("https://m.media-amazon.com/images/I/71yiz5qJmGL._AC_UL320_.jpg")</f>
        <v>#NAME?</v>
      </c>
      <c r="I4649" t="s">
        <v>11176</v>
      </c>
      <c r="J4649">
        <v>10.73</v>
      </c>
      <c r="K4649" s="2" t="s">
        <v>13324</v>
      </c>
      <c r="L4649">
        <v>4.5999999999999996</v>
      </c>
      <c r="M4649">
        <v>275</v>
      </c>
      <c r="O4649" t="s">
        <v>26</v>
      </c>
      <c r="P4649" t="s">
        <v>39</v>
      </c>
      <c r="Q4649" t="s">
        <v>11178</v>
      </c>
    </row>
    <row r="4650" spans="1:17" ht="15.75" x14ac:dyDescent="0.25">
      <c r="A4650" s="3" t="str">
        <f>HYPERLINK("https://shop.sonapharmacy.com/products/integrative-therapeutics%C2%AE-rhizinate-dgl-100ct-chewable-tablets", "https://shop.sonapharmacy.com/products/integrative-therapeutics%C2%AE-rhizinate-dgl-100ct-chewable-tablets")</f>
        <v>https://shop.sonapharmacy.com/products/integrative-therapeutics%C2%AE-rhizinate-dgl-100ct-chewable-tablets</v>
      </c>
      <c r="B4650" s="3" t="str">
        <f>HYPERLINK("https://shop.sonapharmacy.com/products/integrative-therapeutics%c2%ae-rhizinate-dgl-100ct-chewable-tablets", "https://shop.sonapharmacy.com/products/integrative-therapeutics%c2%ae-rhizinate-dgl-100ct-chewable-tablets")</f>
        <v>https://shop.sonapharmacy.com/products/integrative-therapeutics%c2%ae-rhizinate-dgl-100ct-chewable-tablets</v>
      </c>
      <c r="C4650" t="s">
        <v>13325</v>
      </c>
      <c r="D4650" t="s">
        <v>13326</v>
      </c>
      <c r="E4650" s="3" t="str">
        <f>HYPERLINK("https://www.amazon.com/Integrative-Therapeutics-Rhizinate-Deglycyrrhizinated-Licorice/dp/B001WUC406/ref=sr_1_1?keywords=Integrative+Therapeutics%C2%AE+Rhizinate+DGL+100ct+Chewable+Tablets&amp;qid=1695260446&amp;sr=8-1", "https://www.amazon.com/Integrative-Therapeutics-Rhizinate-Deglycyrrhizinated-Licorice/dp/B001WUC406/ref=sr_1_1?keywords=Integrative+Therapeutics%C2%AE+Rhizinate+DGL+100ct+Chewable+Tablets&amp;qid=1695260446&amp;sr=8-1")</f>
        <v>https://www.amazon.com/Integrative-Therapeutics-Rhizinate-Deglycyrrhizinated-Licorice/dp/B001WUC406/ref=sr_1_1?keywords=Integrative+Therapeutics%C2%AE+Rhizinate+DGL+100ct+Chewable+Tablets&amp;qid=1695260446&amp;sr=8-1</v>
      </c>
      <c r="F4650" t="s">
        <v>13327</v>
      </c>
      <c r="G4650" t="e">
        <f ca="1">IMAGE("https://shop.sonapharmacy.com/cdn/shop/products/51FFoOj9klL._AC_SL1401.jpg?v=1630861902")</f>
        <v>#NAME?</v>
      </c>
      <c r="H4650" t="e">
        <f ca="1">IMAGE("https://m.media-amazon.com/images/I/51jCqn-vZWL._AC_UL320_.jpg")</f>
        <v>#NAME?</v>
      </c>
      <c r="I4650" t="s">
        <v>13328</v>
      </c>
      <c r="J4650">
        <v>15.5</v>
      </c>
      <c r="K4650" s="2" t="s">
        <v>13329</v>
      </c>
      <c r="L4650">
        <v>4.5</v>
      </c>
      <c r="M4650">
        <v>298</v>
      </c>
      <c r="O4650" t="s">
        <v>136</v>
      </c>
      <c r="P4650" t="s">
        <v>39</v>
      </c>
      <c r="Q4650" t="s">
        <v>13330</v>
      </c>
    </row>
    <row r="4651" spans="1:17" ht="15.75" x14ac:dyDescent="0.25">
      <c r="A4651" s="3" t="str">
        <f>HYPERLINK("https://shop.sonapharmacy.com/products/integrative-therapeutics%C2%AE-rhizinate-dgl-100ct-chewable-tablets", "https://shop.sonapharmacy.com/products/integrative-therapeutics%C2%AE-rhizinate-dgl-100ct-chewable-tablets")</f>
        <v>https://shop.sonapharmacy.com/products/integrative-therapeutics%C2%AE-rhizinate-dgl-100ct-chewable-tablets</v>
      </c>
      <c r="B4651" s="3" t="str">
        <f>HYPERLINK("https://shop.sonapharmacy.com/products/integrative-therapeutics%c2%ae-rhizinate-dgl-100ct-chewable-tablets", "https://shop.sonapharmacy.com/products/integrative-therapeutics%c2%ae-rhizinate-dgl-100ct-chewable-tablets")</f>
        <v>https://shop.sonapharmacy.com/products/integrative-therapeutics%c2%ae-rhizinate-dgl-100ct-chewable-tablets</v>
      </c>
      <c r="C4651" t="s">
        <v>13325</v>
      </c>
      <c r="D4651" t="s">
        <v>13331</v>
      </c>
      <c r="E4651" s="3" t="str">
        <f>HYPERLINK("https://www.amazon.com/Integrative-Therapeutics-Rhizinate-Deglycyrrhizinated-Intestinal/dp/B001IAJW0K/ref=sr_1_2?keywords=Integrative+Therapeutics%C2%AE+Rhizinate+DGL+100ct+Chewable+Tablets&amp;qid=1695260446&amp;sr=8-2", "https://www.amazon.com/Integrative-Therapeutics-Rhizinate-Deglycyrrhizinated-Intestinal/dp/B001IAJW0K/ref=sr_1_2?keywords=Integrative+Therapeutics%C2%AE+Rhizinate+DGL+100ct+Chewable+Tablets&amp;qid=1695260446&amp;sr=8-2")</f>
        <v>https://www.amazon.com/Integrative-Therapeutics-Rhizinate-Deglycyrrhizinated-Intestinal/dp/B001IAJW0K/ref=sr_1_2?keywords=Integrative+Therapeutics%C2%AE+Rhizinate+DGL+100ct+Chewable+Tablets&amp;qid=1695260446&amp;sr=8-2</v>
      </c>
      <c r="F4651" t="s">
        <v>13332</v>
      </c>
      <c r="G4651" t="e">
        <f ca="1">IMAGE("https://shop.sonapharmacy.com/cdn/shop/products/51FFoOj9klL._AC_SL1401.jpg?v=1630861902")</f>
        <v>#NAME?</v>
      </c>
      <c r="H4651" t="e">
        <f ca="1">IMAGE("https://m.media-amazon.com/images/I/51xu2uUDXXL._AC_UL320_.jpg")</f>
        <v>#NAME?</v>
      </c>
      <c r="I4651" t="s">
        <v>13328</v>
      </c>
      <c r="J4651">
        <v>15.5</v>
      </c>
      <c r="K4651" s="2" t="s">
        <v>13329</v>
      </c>
      <c r="L4651">
        <v>4.5</v>
      </c>
      <c r="M4651">
        <v>565</v>
      </c>
      <c r="O4651" t="s">
        <v>136</v>
      </c>
      <c r="P4651" t="s">
        <v>39</v>
      </c>
      <c r="Q4651" t="s">
        <v>13330</v>
      </c>
    </row>
    <row r="4652" spans="1:17" ht="15.75" x14ac:dyDescent="0.25">
      <c r="A4652" s="3" t="str">
        <f>HYPERLINK("https://shop.sonapharmacy.com/products/band-aid-skin-flex-bandage", "https://shop.sonapharmacy.com/products/band-aid-skin-flex-bandage")</f>
        <v>https://shop.sonapharmacy.com/products/band-aid-skin-flex-bandage</v>
      </c>
      <c r="B4652" s="3" t="str">
        <f>HYPERLINK("https://shop.sonapharmacy.com/products/band-aid-skin-flex-bandage", "https://shop.sonapharmacy.com/products/band-aid-skin-flex-bandage")</f>
        <v>https://shop.sonapharmacy.com/products/band-aid-skin-flex-bandage</v>
      </c>
      <c r="C4652" t="s">
        <v>8323</v>
      </c>
      <c r="D4652" t="s">
        <v>13333</v>
      </c>
      <c r="E4652" s="3" t="str">
        <f>HYPERLINK("https://www.amazon.com/Band-Aid-Skin-Flex-Adhesive-Flexible-Comfortable/dp/B08R5WCLFT/ref=sr_1_2?keywords=BAND-AID%C2%AE+Skin+Flex+Bandage&amp;qid=1695260066&amp;sr=8-2", "https://www.amazon.com/Band-Aid-Skin-Flex-Adhesive-Flexible-Comfortable/dp/B08R5WCLFT/ref=sr_1_2?keywords=BAND-AID%C2%AE+Skin+Flex+Bandage&amp;qid=1695260066&amp;sr=8-2")</f>
        <v>https://www.amazon.com/Band-Aid-Skin-Flex-Adhesive-Flexible-Comfortable/dp/B08R5WCLFT/ref=sr_1_2?keywords=BAND-AID%C2%AE+Skin+Flex+Bandage&amp;qid=1695260066&amp;sr=8-2</v>
      </c>
      <c r="F4652" t="s">
        <v>13334</v>
      </c>
      <c r="G4652" t="e">
        <f ca="1">IMAGE("https://shop.sonapharmacy.com/cdn/shop/products/bab_381371183470_band_aid_band-aid_skin-flex_aos_25ct_007.jpg?v=1627748646")</f>
        <v>#NAME?</v>
      </c>
      <c r="H4652" t="e">
        <f ca="1">IMAGE("https://m.media-amazon.com/images/I/81n02PgKq5L._AC_UL320_.jpg")</f>
        <v>#NAME?</v>
      </c>
      <c r="I4652" t="s">
        <v>8326</v>
      </c>
      <c r="J4652">
        <v>7.14</v>
      </c>
      <c r="K4652" s="2" t="s">
        <v>13335</v>
      </c>
      <c r="L4652">
        <v>4.5999999999999996</v>
      </c>
      <c r="M4652">
        <v>798</v>
      </c>
      <c r="O4652" t="s">
        <v>26</v>
      </c>
      <c r="P4652" t="s">
        <v>39</v>
      </c>
      <c r="Q4652" t="s">
        <v>8328</v>
      </c>
    </row>
    <row r="4653" spans="1:17" ht="15.75" x14ac:dyDescent="0.25">
      <c r="A4653" s="3" t="str">
        <f>HYPERLINK("https://shop.sonapharmacy.com/products/childrens-motrin-oral-suspension-ibuprofen", "https://shop.sonapharmacy.com/products/childrens-motrin-oral-suspension-ibuprofen")</f>
        <v>https://shop.sonapharmacy.com/products/childrens-motrin-oral-suspension-ibuprofen</v>
      </c>
      <c r="B4653" s="3" t="str">
        <f>HYPERLINK("https://shop.sonapharmacy.com/products/childrens-motrin-oral-suspension-ibuprofen", "https://shop.sonapharmacy.com/products/childrens-motrin-oral-suspension-ibuprofen")</f>
        <v>https://shop.sonapharmacy.com/products/childrens-motrin-oral-suspension-ibuprofen</v>
      </c>
      <c r="C4653" t="s">
        <v>13336</v>
      </c>
      <c r="D4653" t="s">
        <v>13337</v>
      </c>
      <c r="E4653" s="3" t="str">
        <f>HYPERLINK("https://www.amazon.com/Childrens-Motrin-Suspension-Ibuprofen-Alcohol-Free/dp/B09S3YKW1M/ref=sr_1_4?keywords=Children%27s+Motrin%C2%AE+Oral+Suspension+Ibuprofen&amp;qid=1695260126&amp;sr=8-4", "https://www.amazon.com/Childrens-Motrin-Suspension-Ibuprofen-Alcohol-Free/dp/B09S3YKW1M/ref=sr_1_4?keywords=Children%27s+Motrin%C2%AE+Oral+Suspension+Ibuprofen&amp;qid=1695260126&amp;sr=8-4")</f>
        <v>https://www.amazon.com/Childrens-Motrin-Suspension-Ibuprofen-Alcohol-Free/dp/B09S3YKW1M/ref=sr_1_4?keywords=Children%27s+Motrin%C2%AE+Oral+Suspension+Ibuprofen&amp;qid=1695260126&amp;sr=8-4</v>
      </c>
      <c r="F4653" t="s">
        <v>13338</v>
      </c>
      <c r="G4653" t="e">
        <f ca="1">IMAGE("https://shop.sonapharmacy.com/cdn/shop/products/Untitled-61.jpg?v=1592853363")</f>
        <v>#NAME?</v>
      </c>
      <c r="H4653" t="e">
        <f ca="1">IMAGE("https://m.media-amazon.com/images/I/71AkGKON-JL._AC_UL320_.jpg")</f>
        <v>#NAME?</v>
      </c>
      <c r="I4653" t="s">
        <v>13339</v>
      </c>
      <c r="J4653">
        <v>10.47</v>
      </c>
      <c r="K4653" s="2" t="s">
        <v>6933</v>
      </c>
      <c r="L4653">
        <v>4.7</v>
      </c>
      <c r="M4653">
        <v>166</v>
      </c>
      <c r="O4653" t="s">
        <v>26</v>
      </c>
      <c r="P4653" t="s">
        <v>39</v>
      </c>
      <c r="Q4653" t="s">
        <v>13340</v>
      </c>
    </row>
    <row r="4654" spans="1:17" ht="15.75" x14ac:dyDescent="0.25">
      <c r="A4654" s="3" t="str">
        <f>HYPERLINK("https://shop.sonapharmacy.com/products/burts-bees-baby%E2%84%A2-original-nourishing-lotion-6oz", "https://shop.sonapharmacy.com/products/burts-bees-baby%E2%84%A2-original-nourishing-lotion-6oz")</f>
        <v>https://shop.sonapharmacy.com/products/burts-bees-baby%E2%84%A2-original-nourishing-lotion-6oz</v>
      </c>
      <c r="B4654" s="3" t="str">
        <f>HYPERLINK("https://shop.sonapharmacy.com/products/burts-bees-baby%e2%84%a2-original-nourishing-lotion-6oz", "https://shop.sonapharmacy.com/products/burts-bees-baby%e2%84%a2-original-nourishing-lotion-6oz")</f>
        <v>https://shop.sonapharmacy.com/products/burts-bees-baby%e2%84%a2-original-nourishing-lotion-6oz</v>
      </c>
      <c r="C4654" t="s">
        <v>9860</v>
      </c>
      <c r="D4654" t="s">
        <v>13341</v>
      </c>
      <c r="E4654" s="3" t="str">
        <f>HYPERLINK("https://www.amazon.com/Burts-Bees-Baby-Nourishing-Original/dp/B00OTE8ATQ/ref=sr_1_2?keywords=Burt%27s+Bees+Baby%E2%84%A2+Original+Nourishing+Lotion+6oz.&amp;qid=1695260110&amp;sr=8-2", "https://www.amazon.com/Burts-Bees-Baby-Nourishing-Original/dp/B00OTE8ATQ/ref=sr_1_2?keywords=Burt%27s+Bees+Baby%E2%84%A2+Original+Nourishing+Lotion+6oz.&amp;qid=1695260110&amp;sr=8-2")</f>
        <v>https://www.amazon.com/Burts-Bees-Baby-Nourishing-Original/dp/B00OTE8ATQ/ref=sr_1_2?keywords=Burt%27s+Bees+Baby%E2%84%A2+Original+Nourishing+Lotion+6oz.&amp;qid=1695260110&amp;sr=8-2</v>
      </c>
      <c r="F4654" t="s">
        <v>13342</v>
      </c>
      <c r="G4654" t="e">
        <f ca="1">IMAGE("https://shop.sonapharmacy.com/cdn/shop/products/0e64d96e-35b2-4653-8455-b24e8a8d345b_1.7cd3bca904c667b3712f3ab06f9ba3e3.jpg?v=1609250999")</f>
        <v>#NAME?</v>
      </c>
      <c r="H4654" t="e">
        <f ca="1">IMAGE("https://m.media-amazon.com/images/I/61WAn3lpw-L._AC_UL320_.jpg")</f>
        <v>#NAME?</v>
      </c>
      <c r="I4654" t="s">
        <v>3392</v>
      </c>
      <c r="J4654">
        <v>8.99</v>
      </c>
      <c r="K4654" s="2" t="s">
        <v>13343</v>
      </c>
      <c r="L4654">
        <v>4.7</v>
      </c>
      <c r="M4654">
        <v>899</v>
      </c>
      <c r="O4654" t="s">
        <v>26</v>
      </c>
      <c r="P4654" t="s">
        <v>39</v>
      </c>
      <c r="Q4654" t="s">
        <v>9864</v>
      </c>
    </row>
    <row r="4655" spans="1:17" ht="15.75" x14ac:dyDescent="0.25">
      <c r="A4655" s="3" t="str">
        <f>HYPERLINK("https://shop.sonapharmacy.com/products/abreva%C2%AE-cold-sore-fever-blister-treatment-cream-2g", "https://shop.sonapharmacy.com/products/abreva%C2%AE-cold-sore-fever-blister-treatment-cream-2g")</f>
        <v>https://shop.sonapharmacy.com/products/abreva%C2%AE-cold-sore-fever-blister-treatment-cream-2g</v>
      </c>
      <c r="B4655" s="3" t="str">
        <f>HYPERLINK("https://shop.sonapharmacy.com/products/abreva%c2%ae-cold-sore-fever-blister-treatment-cream-2g", "https://shop.sonapharmacy.com/products/abreva%c2%ae-cold-sore-fever-blister-treatment-cream-2g")</f>
        <v>https://shop.sonapharmacy.com/products/abreva%c2%ae-cold-sore-fever-blister-treatment-cream-2g</v>
      </c>
      <c r="C4655" t="s">
        <v>9373</v>
      </c>
      <c r="D4655" t="s">
        <v>13344</v>
      </c>
      <c r="E4655" s="3" t="str">
        <f>HYPERLINK("https://www.amazon.com/Abreva-Cold-Fever-Blister-Treatment/dp/B00E4MMVYI/ref=sr_1_10?keywords=Abreva+Cold+Sore%2FFever+Blister+Treatment+Cream+2g.&amp;qid=1695260008&amp;sr=8-10", "https://www.amazon.com/Abreva-Cold-Fever-Blister-Treatment/dp/B00E4MMVYI/ref=sr_1_10?keywords=Abreva+Cold+Sore%2FFever+Blister+Treatment+Cream+2g.&amp;qid=1695260008&amp;sr=8-10")</f>
        <v>https://www.amazon.com/Abreva-Cold-Fever-Blister-Treatment/dp/B00E4MMVYI/ref=sr_1_10?keywords=Abreva+Cold+Sore%2FFever+Blister+Treatment+Cream+2g.&amp;qid=1695260008&amp;sr=8-10</v>
      </c>
      <c r="F4655" t="s">
        <v>13345</v>
      </c>
      <c r="G4655" t="e">
        <f ca="1">IMAGE("https://shop.sonapharmacy.com/cdn/shop/products/pumptube.jpg?v=1608227735")</f>
        <v>#NAME?</v>
      </c>
      <c r="H4655" t="e">
        <f ca="1">IMAGE("https://m.media-amazon.com/images/I/71ByIbVhIrL._AC_UL320_.jpg")</f>
        <v>#NAME?</v>
      </c>
      <c r="I4655" t="s">
        <v>9376</v>
      </c>
      <c r="J4655">
        <v>26</v>
      </c>
      <c r="K4655" s="2" t="s">
        <v>13346</v>
      </c>
      <c r="L4655">
        <v>4.8</v>
      </c>
      <c r="M4655">
        <v>445</v>
      </c>
      <c r="O4655" t="s">
        <v>26</v>
      </c>
      <c r="P4655" t="s">
        <v>39</v>
      </c>
      <c r="Q4655" t="s">
        <v>9378</v>
      </c>
    </row>
    <row r="4656" spans="1:17" ht="15.75" x14ac:dyDescent="0.25">
      <c r="A4656" s="3" t="str">
        <f>HYPERLINK("https://shop.sonapharmacy.com/products/lil-critters-omega-3-dha-60-gummies", "https://shop.sonapharmacy.com/products/lil-critters-omega-3-dha-60-gummies")</f>
        <v>https://shop.sonapharmacy.com/products/lil-critters-omega-3-dha-60-gummies</v>
      </c>
      <c r="B4656" s="3" t="str">
        <f>HYPERLINK("https://shop.sonapharmacy.com/products/lil-critters-omega-3-dha-60-gummies", "https://shop.sonapharmacy.com/products/lil-critters-omega-3-dha-60-gummies")</f>
        <v>https://shop.sonapharmacy.com/products/lil-critters-omega-3-dha-60-gummies</v>
      </c>
      <c r="C4656" t="s">
        <v>10056</v>
      </c>
      <c r="D4656" t="s">
        <v>13347</v>
      </c>
      <c r="E4656" s="3" t="str">
        <f>HYPERLINK("https://www.amazon.com/Mr-Pen-Omega-Fish-Gummies/dp/B09GS4VJ4Q/ref=sr_1_7?keywords=L%27il+Critters+Omega-3+DHA+60+Gummies&amp;qid=1695260432&amp;sr=8-7", "https://www.amazon.com/Mr-Pen-Omega-Fish-Gummies/dp/B09GS4VJ4Q/ref=sr_1_7?keywords=L%27il+Critters+Omega-3+DHA+60+Gummies&amp;qid=1695260432&amp;sr=8-7")</f>
        <v>https://www.amazon.com/Mr-Pen-Omega-Fish-Gummies/dp/B09GS4VJ4Q/ref=sr_1_7?keywords=L%27il+Critters+Omega-3+DHA+60+Gummies&amp;qid=1695260432&amp;sr=8-7</v>
      </c>
      <c r="F4656" t="s">
        <v>13348</v>
      </c>
      <c r="G4656" t="e">
        <f ca="1">IMAGE("https://shop.sonapharmacy.com/cdn/shop/products/L_ilCrittersOmega-3DHA60Gummies.png?v=1594927814")</f>
        <v>#NAME?</v>
      </c>
      <c r="H4656" t="e">
        <f ca="1">IMAGE("https://m.media-amazon.com/images/I/71Qi4L2BNQL._AC_UL320_.jpg")</f>
        <v>#NAME?</v>
      </c>
      <c r="I4656" t="s">
        <v>10059</v>
      </c>
      <c r="J4656">
        <v>8.85</v>
      </c>
      <c r="K4656" s="2" t="s">
        <v>13349</v>
      </c>
      <c r="L4656">
        <v>4.4000000000000004</v>
      </c>
      <c r="M4656">
        <v>223</v>
      </c>
      <c r="O4656" t="s">
        <v>26</v>
      </c>
      <c r="P4656" t="s">
        <v>39</v>
      </c>
      <c r="Q4656" t="s">
        <v>10061</v>
      </c>
    </row>
    <row r="4657" spans="1:17" ht="15.75" x14ac:dyDescent="0.25">
      <c r="A4657" s="3" t="str">
        <f>HYPERLINK("https://shop.sonapharmacy.com/products/sunbum%C2%AE-after-sun-cool-down-lotion-3fl-oz", "https://shop.sonapharmacy.com/products/sunbum%C2%AE-after-sun-cool-down-lotion-3fl-oz")</f>
        <v>https://shop.sonapharmacy.com/products/sunbum%C2%AE-after-sun-cool-down-lotion-3fl-oz</v>
      </c>
      <c r="B4657" s="3" t="str">
        <f>HYPERLINK("https://shop.sonapharmacy.com/products/sunbum%c2%ae-after-sun-cool-down-lotion-3fl-oz", "https://shop.sonapharmacy.com/products/sunbum%c2%ae-after-sun-cool-down-lotion-3fl-oz")</f>
        <v>https://shop.sonapharmacy.com/products/sunbum%c2%ae-after-sun-cool-down-lotion-3fl-oz</v>
      </c>
      <c r="C4657" t="s">
        <v>10463</v>
      </c>
      <c r="D4657" t="s">
        <v>13350</v>
      </c>
      <c r="E4657" s="3" t="str">
        <f>HYPERLINK("https://www.amazon.com/Sun-Bum-Hydrating-Hypoallergenic-Vitamin/dp/B01B7VYQEQ/ref=sr_1_3?keywords=Sun+Bum%C2%AE+After+Sun+Cool+Down+Lotion&amp;qid=1695260733&amp;sr=8-3", "https://www.amazon.com/Sun-Bum-Hydrating-Hypoallergenic-Vitamin/dp/B01B7VYQEQ/ref=sr_1_3?keywords=Sun+Bum%C2%AE+After+Sun+Cool+Down+Lotion&amp;qid=1695260733&amp;sr=8-3")</f>
        <v>https://www.amazon.com/Sun-Bum-Hydrating-Hypoallergenic-Vitamin/dp/B01B7VYQEQ/ref=sr_1_3?keywords=Sun+Bum%C2%AE+After+Sun+Cool+Down+Lotion&amp;qid=1695260733&amp;sr=8-3</v>
      </c>
      <c r="F4657" t="s">
        <v>13351</v>
      </c>
      <c r="G4657" t="e">
        <f ca="1">IMAGE("https://shop.sonapharmacy.com/cdn/shop/products/a5a83c38-73f5-476c-9809-d631e9fa1de9_1.becde44019f64609642f026cbe40180a.jpg?v=1611159956")</f>
        <v>#NAME?</v>
      </c>
      <c r="H4657" t="e">
        <f ca="1">IMAGE("https://m.media-amazon.com/images/I/71sdt0jllNL._AC_UL320_.jpg")</f>
        <v>#NAME?</v>
      </c>
      <c r="I4657" t="s">
        <v>3392</v>
      </c>
      <c r="J4657">
        <v>8.9499999999999993</v>
      </c>
      <c r="K4657" s="2" t="s">
        <v>13352</v>
      </c>
      <c r="L4657">
        <v>4.7</v>
      </c>
      <c r="M4657">
        <v>278</v>
      </c>
      <c r="O4657" t="s">
        <v>26</v>
      </c>
      <c r="P4657" t="s">
        <v>39</v>
      </c>
      <c r="Q4657" t="s">
        <v>10467</v>
      </c>
    </row>
    <row r="4658" spans="1:17" ht="15.75" x14ac:dyDescent="0.25">
      <c r="A4658" s="3" t="str">
        <f>HYPERLINK("https://shop.sonapharmacy.com/products/carex%E2%84%A2-aluminum-adult-crutches", "https://shop.sonapharmacy.com/products/carex%E2%84%A2-aluminum-adult-crutches")</f>
        <v>https://shop.sonapharmacy.com/products/carex%E2%84%A2-aluminum-adult-crutches</v>
      </c>
      <c r="B4658" s="3" t="str">
        <f>HYPERLINK("https://shop.sonapharmacy.com/products/carex%e2%84%a2-aluminum-adult-crutches", "https://shop.sonapharmacy.com/products/carex%e2%84%a2-aluminum-adult-crutches")</f>
        <v>https://shop.sonapharmacy.com/products/carex%e2%84%a2-aluminum-adult-crutches</v>
      </c>
      <c r="C4658" t="s">
        <v>11801</v>
      </c>
      <c r="D4658" t="s">
        <v>13353</v>
      </c>
      <c r="E4658" s="3"/>
      <c r="F4658" t="s">
        <v>13354</v>
      </c>
      <c r="G4658" t="e">
        <f ca="1">IMAGE("https://shop.sonapharmacy.com/cdn/shop/products/CarexAluminumCrutchesYouth_AdultandTall_1_720x_17f8688a-06ff-4271-84a2-9e898ae6a65a.png?v=1609953352")</f>
        <v>#NAME?</v>
      </c>
      <c r="H4658" t="e">
        <f ca="1">IMAGE("https://m.media-amazon.com/images/I/51oOxrrgQnL._AC_UL320_.jpg")</f>
        <v>#NAME?</v>
      </c>
      <c r="I4658" t="s">
        <v>11804</v>
      </c>
      <c r="J4658">
        <v>49.99</v>
      </c>
      <c r="K4658" s="2" t="s">
        <v>13355</v>
      </c>
      <c r="L4658">
        <v>4</v>
      </c>
      <c r="M4658">
        <v>29</v>
      </c>
      <c r="O4658" t="s">
        <v>26</v>
      </c>
      <c r="P4658" t="s">
        <v>39</v>
      </c>
      <c r="Q4658" t="s">
        <v>11805</v>
      </c>
    </row>
    <row r="4659" spans="1:17" ht="15.75" x14ac:dyDescent="0.25">
      <c r="A4659" s="3" t="str">
        <f>HYPERLINK("https://shop.sonapharmacy.com/products/smith-nephew-uni-solve%C2%AE-adhesive-remover-8oz", "https://shop.sonapharmacy.com/products/smith-nephew-uni-solve%C2%AE-adhesive-remover-8oz")</f>
        <v>https://shop.sonapharmacy.com/products/smith-nephew-uni-solve%C2%AE-adhesive-remover-8oz</v>
      </c>
      <c r="B4659" s="3" t="str">
        <f>HYPERLINK("https://shop.sonapharmacy.com/products/smith-nephew-uni-solve%c2%ae-adhesive-remover-8oz", "https://shop.sonapharmacy.com/products/smith-nephew-uni-solve%c2%ae-adhesive-remover-8oz")</f>
        <v>https://shop.sonapharmacy.com/products/smith-nephew-uni-solve%c2%ae-adhesive-remover-8oz</v>
      </c>
      <c r="C4659" t="s">
        <v>13356</v>
      </c>
      <c r="D4659" t="s">
        <v>13357</v>
      </c>
      <c r="E4659" s="3" t="str">
        <f>HYPERLINK("https://www.amazon.com/Smith-Nephew-Uni-Solve-Adhesive-Remover/dp/B00JWSBFUA/ref=sr_1_2?keywords=Smith+%26+Nephew+Uni-Solve%C2%AE+Adhesive+Remover+8oz&amp;qid=1695260736&amp;sr=8-2", "https://www.amazon.com/Smith-Nephew-Uni-Solve-Adhesive-Remover/dp/B00JWSBFUA/ref=sr_1_2?keywords=Smith+%26+Nephew+Uni-Solve%C2%AE+Adhesive+Remover+8oz&amp;qid=1695260736&amp;sr=8-2")</f>
        <v>https://www.amazon.com/Smith-Nephew-Uni-Solve-Adhesive-Remover/dp/B00JWSBFUA/ref=sr_1_2?keywords=Smith+%26+Nephew+Uni-Solve%C2%AE+Adhesive+Remover+8oz&amp;qid=1695260736&amp;sr=8-2</v>
      </c>
      <c r="F4659" t="s">
        <v>13358</v>
      </c>
      <c r="G4659" t="e">
        <f ca="1">IMAGE("https://shop.sonapharmacy.com/cdn/shop/products/71DuqmH49JL._AC_SL1500.jpg?v=1607970033")</f>
        <v>#NAME?</v>
      </c>
      <c r="H4659" t="e">
        <f ca="1">IMAGE("https://m.media-amazon.com/images/I/31OKU2o64vL._AC_UL320_.jpg")</f>
        <v>#NAME?</v>
      </c>
      <c r="I4659" t="s">
        <v>13359</v>
      </c>
      <c r="J4659">
        <v>19.170000000000002</v>
      </c>
      <c r="K4659" s="2" t="s">
        <v>7742</v>
      </c>
      <c r="L4659">
        <v>4.7</v>
      </c>
      <c r="M4659">
        <v>458</v>
      </c>
      <c r="O4659" t="s">
        <v>26</v>
      </c>
      <c r="P4659" t="s">
        <v>39</v>
      </c>
      <c r="Q4659" t="s">
        <v>13360</v>
      </c>
    </row>
    <row r="4660" spans="1:17" ht="15.75" x14ac:dyDescent="0.25">
      <c r="A4660" s="3" t="str">
        <f>HYPERLINK("https://shop.sonapharmacy.com/products/sona-buffered-c-capsules", "https://shop.sonapharmacy.com/products/sona-buffered-c-capsules")</f>
        <v>https://shop.sonapharmacy.com/products/sona-buffered-c-capsules</v>
      </c>
      <c r="B4660" s="3" t="str">
        <f>HYPERLINK("https://shop.sonapharmacy.com/products/sona-buffered-c-capsules", "https://shop.sonapharmacy.com/products/sona-buffered-c-capsules")</f>
        <v>https://shop.sonapharmacy.com/products/sona-buffered-c-capsules</v>
      </c>
      <c r="C4660" t="s">
        <v>11624</v>
      </c>
      <c r="D4660" t="s">
        <v>13361</v>
      </c>
      <c r="E4660" s="3" t="str">
        <f>HYPERLINK("https://www.amazon.com/365-Everyday-Value-Buffered-Vitamin/dp/B074KHWVG9/ref=sr_1_8?keywords=Sona+Buffered+C+Capsules&amp;qid=1695260718&amp;sr=8-8", "https://www.amazon.com/365-Everyday-Value-Buffered-Vitamin/dp/B074KHWVG9/ref=sr_1_8?keywords=Sona+Buffered+C+Capsules&amp;qid=1695260718&amp;sr=8-8")</f>
        <v>https://www.amazon.com/365-Everyday-Value-Buffered-Vitamin/dp/B074KHWVG9/ref=sr_1_8?keywords=Sona+Buffered+C+Capsules&amp;qid=1695260718&amp;sr=8-8</v>
      </c>
      <c r="F4660" t="s">
        <v>13362</v>
      </c>
      <c r="G4660" t="e">
        <f ca="1">IMAGE("https://shop.sonapharmacy.com/cdn/shop/files/BufferedC_SonaShop.jpg?v=1692370201")</f>
        <v>#NAME?</v>
      </c>
      <c r="H4660" t="e">
        <f ca="1">IMAGE("https://m.media-amazon.com/images/I/51byA0H82YL._AC_UL320_.jpg")</f>
        <v>#NAME?</v>
      </c>
      <c r="I4660" t="s">
        <v>11627</v>
      </c>
      <c r="J4660">
        <v>21.99</v>
      </c>
      <c r="K4660" s="2" t="s">
        <v>13363</v>
      </c>
      <c r="L4660">
        <v>4.5999999999999996</v>
      </c>
      <c r="M4660">
        <v>194</v>
      </c>
      <c r="O4660" t="s">
        <v>26</v>
      </c>
      <c r="P4660" t="s">
        <v>39</v>
      </c>
      <c r="Q4660" t="s">
        <v>11629</v>
      </c>
    </row>
    <row r="4661" spans="1:17" ht="15.75" x14ac:dyDescent="0.25">
      <c r="A4661" s="3" t="str">
        <f>HYPERLINK("https://shop.sonapharmacy.com/products/palmers-cocoa-butter-formula-body-lotion-8-5fl-oz", "https://shop.sonapharmacy.com/products/palmers-cocoa-butter-formula-body-lotion-8-5fl-oz")</f>
        <v>https://shop.sonapharmacy.com/products/palmers-cocoa-butter-formula-body-lotion-8-5fl-oz</v>
      </c>
      <c r="B4661" s="3" t="str">
        <f>HYPERLINK("https://shop.sonapharmacy.com/products/palmers-cocoa-butter-formula-body-lotion-8-5fl-oz", "https://shop.sonapharmacy.com/products/palmers-cocoa-butter-formula-body-lotion-8-5fl-oz")</f>
        <v>https://shop.sonapharmacy.com/products/palmers-cocoa-butter-formula-body-lotion-8-5fl-oz</v>
      </c>
      <c r="C4661" t="s">
        <v>8586</v>
      </c>
      <c r="D4661" t="s">
        <v>13364</v>
      </c>
      <c r="E4661" s="3" t="str">
        <f>HYPERLINK("https://www.amazon.com/Palmers-Formula-Therapy-Moisturizer-Extremely/dp/B000RGBWPO/ref=sr_1_8?keywords=Palmer%27s+Cocoa+Butter+Formula+Body+Lotion+8.5fl.+oz.&amp;qid=1695260626&amp;sr=8-8", "https://www.amazon.com/Palmers-Formula-Therapy-Moisturizer-Extremely/dp/B000RGBWPO/ref=sr_1_8?keywords=Palmer%27s+Cocoa+Butter+Formula+Body+Lotion+8.5fl.+oz.&amp;qid=1695260626&amp;sr=8-8")</f>
        <v>https://www.amazon.com/Palmers-Formula-Therapy-Moisturizer-Extremely/dp/B000RGBWPO/ref=sr_1_8?keywords=Palmer%27s+Cocoa+Butter+Formula+Body+Lotion+8.5fl.+oz.&amp;qid=1695260626&amp;sr=8-8</v>
      </c>
      <c r="F4661" t="s">
        <v>13365</v>
      </c>
      <c r="G4661" t="e">
        <f ca="1">IMAGE("https://shop.sonapharmacy.com/cdn/shop/products/ab2c73e2-f908-4dea-840b-e0e91ac70d04_1.67192cb5b27856b7415bf3e3a8b7e3dd.png?v=1608489727")</f>
        <v>#NAME?</v>
      </c>
      <c r="H4661" t="e">
        <f ca="1">IMAGE("https://m.media-amazon.com/images/I/71XWx+GwlIL._AC_UL320_.jpg")</f>
        <v>#NAME?</v>
      </c>
      <c r="I4661" t="s">
        <v>8498</v>
      </c>
      <c r="J4661">
        <v>7.68</v>
      </c>
      <c r="K4661" s="2" t="s">
        <v>13366</v>
      </c>
      <c r="L4661">
        <v>4.8</v>
      </c>
      <c r="M4661">
        <v>26438</v>
      </c>
      <c r="O4661" t="s">
        <v>26</v>
      </c>
      <c r="P4661" t="s">
        <v>39</v>
      </c>
      <c r="Q4661" t="s">
        <v>8590</v>
      </c>
    </row>
    <row r="4662" spans="1:17" ht="15.75" x14ac:dyDescent="0.25">
      <c r="A4662" s="3" t="str">
        <f>HYPERLINK("https://shop.sonapharmacy.com/products/duracell%C2%AE-301-386-silver-oxide-button-battery", "https://shop.sonapharmacy.com/products/duracell%C2%AE-301-386-silver-oxide-button-battery")</f>
        <v>https://shop.sonapharmacy.com/products/duracell%C2%AE-301-386-silver-oxide-button-battery</v>
      </c>
      <c r="B4662" s="3" t="str">
        <f>HYPERLINK("https://shop.sonapharmacy.com/products/duracell%c2%ae-301-386-silver-oxide-button-battery", "https://shop.sonapharmacy.com/products/duracell%c2%ae-301-386-silver-oxide-button-battery")</f>
        <v>https://shop.sonapharmacy.com/products/duracell%c2%ae-301-386-silver-oxide-button-battery</v>
      </c>
      <c r="C4662" t="s">
        <v>9877</v>
      </c>
      <c r="D4662" t="s">
        <v>13367</v>
      </c>
      <c r="E4662" s="3" t="str">
        <f>HYPERLINK("https://www.amazon.com/Energizer-Silver-Oxide-Button-Battery/dp/B001U1T4R8/ref=sr_1_10?keywords=Duracell%C2%AE+301%2F386+Silver+Oxide+Button+Battery&amp;qid=1695260213&amp;sr=8-10", "https://www.amazon.com/Energizer-Silver-Oxide-Button-Battery/dp/B001U1T4R8/ref=sr_1_10?keywords=Duracell%C2%AE+301%2F386+Silver+Oxide+Button+Battery&amp;qid=1695260213&amp;sr=8-10")</f>
        <v>https://www.amazon.com/Energizer-Silver-Oxide-Button-Battery/dp/B001U1T4R8/ref=sr_1_10?keywords=Duracell%C2%AE+301%2F386+Silver+Oxide+Button+Battery&amp;qid=1695260213&amp;sr=8-10</v>
      </c>
      <c r="F4662" t="s">
        <v>13368</v>
      </c>
      <c r="G4662" t="e">
        <f ca="1">IMAGE("https://shop.sonapharmacy.com/cdn/shop/products/61graATYFOL._AC_SL1401.jpg?v=1610332821")</f>
        <v>#NAME?</v>
      </c>
      <c r="H4662" t="e">
        <f ca="1">IMAGE("https://m.media-amazon.com/images/I/41-7rc2baIL._AC_UL320_.jpg")</f>
        <v>#NAME?</v>
      </c>
      <c r="I4662" t="s">
        <v>8206</v>
      </c>
      <c r="J4662">
        <v>6</v>
      </c>
      <c r="K4662" s="2" t="s">
        <v>13369</v>
      </c>
      <c r="L4662">
        <v>4.2</v>
      </c>
      <c r="M4662">
        <v>10</v>
      </c>
      <c r="O4662" t="s">
        <v>26</v>
      </c>
      <c r="P4662" t="s">
        <v>39</v>
      </c>
      <c r="Q4662" t="s">
        <v>9881</v>
      </c>
    </row>
    <row r="4663" spans="1:17" ht="15.75" x14ac:dyDescent="0.25">
      <c r="A4663" s="3" t="str">
        <f>HYPERLINK("https://shop.sonapharmacy.com/products/good-sense-children", "https://shop.sonapharmacy.com/products/good-sense-children")</f>
        <v>https://shop.sonapharmacy.com/products/good-sense-children</v>
      </c>
      <c r="B4663" s="3" t="str">
        <f>HYPERLINK("https://shop.sonapharmacy.com/products/good-sense-children", "https://shop.sonapharmacy.com/products/good-sense-children")</f>
        <v>https://shop.sonapharmacy.com/products/good-sense-children</v>
      </c>
      <c r="C4663" t="s">
        <v>11990</v>
      </c>
      <c r="D4663" t="s">
        <v>13370</v>
      </c>
      <c r="E4663" s="3" t="str">
        <f>HYPERLINK("https://www.amazon.com/GoodSense-Childrens-Ibuprofen-Reliever-Suspension/dp/B00CWPJD40/ref=sr_1_1?keywords=GoodSense%C2%AE+Children%27s+Oral+Suspension+Ibuprofen&amp;qid=1695260307&amp;sr=8-1", "https://www.amazon.com/GoodSense-Childrens-Ibuprofen-Reliever-Suspension/dp/B00CWPJD40/ref=sr_1_1?keywords=GoodSense%C2%AE+Children%27s+Oral+Suspension+Ibuprofen&amp;qid=1695260307&amp;sr=8-1")</f>
        <v>https://www.amazon.com/GoodSense-Childrens-Ibuprofen-Reliever-Suspension/dp/B00CWPJD40/ref=sr_1_1?keywords=GoodSense%C2%AE+Children%27s+Oral+Suspension+Ibuprofen&amp;qid=1695260307&amp;sr=8-1</v>
      </c>
      <c r="F4663" t="s">
        <v>13371</v>
      </c>
      <c r="G4663" t="e">
        <f ca="1">IMAGE("https://shop.sonapharmacy.com/cdn/shop/products/51j0L_70nIL._AC_SL1000.jpg?v=1610030885")</f>
        <v>#NAME?</v>
      </c>
      <c r="H4663" t="e">
        <f ca="1">IMAGE("https://m.media-amazon.com/images/I/51j0L+70nIL._AC_UL320_.jpg")</f>
        <v>#NAME?</v>
      </c>
      <c r="I4663" t="s">
        <v>5109</v>
      </c>
      <c r="J4663">
        <v>7</v>
      </c>
      <c r="K4663" s="2" t="s">
        <v>13372</v>
      </c>
      <c r="L4663">
        <v>4.8</v>
      </c>
      <c r="M4663">
        <v>296</v>
      </c>
      <c r="O4663" t="s">
        <v>136</v>
      </c>
      <c r="P4663" t="s">
        <v>39</v>
      </c>
      <c r="Q4663" t="s">
        <v>11994</v>
      </c>
    </row>
    <row r="4664" spans="1:17" ht="15.75" x14ac:dyDescent="0.25">
      <c r="A4664" s="3" t="str">
        <f>HYPERLINK("https://shop.sonapharmacy.com/products/goodsense%C2%AE-loratadine-allergy-tablets", "https://shop.sonapharmacy.com/products/goodsense%C2%AE-loratadine-allergy-tablets")</f>
        <v>https://shop.sonapharmacy.com/products/goodsense%C2%AE-loratadine-allergy-tablets</v>
      </c>
      <c r="B4664" s="3" t="str">
        <f>HYPERLINK("https://shop.sonapharmacy.com/products/goodsense%c2%ae-loratadine-allergy-tablets", "https://shop.sonapharmacy.com/products/goodsense%c2%ae-loratadine-allergy-tablets")</f>
        <v>https://shop.sonapharmacy.com/products/goodsense%c2%ae-loratadine-allergy-tablets</v>
      </c>
      <c r="C4664" t="s">
        <v>9855</v>
      </c>
      <c r="D4664" t="s">
        <v>13373</v>
      </c>
      <c r="E4664" s="3" t="str">
        <f>HYPERLINK("https://www.amazon.com/Rite-Aid-Loratadine-Antihistamine-Tablets/dp/B0030HMQX4/ref=sr_1_7?keywords=GoodSense%C2%AE+Loratadine+Allergy+Tablets&amp;qid=1695260354&amp;sr=8-7", "https://www.amazon.com/Rite-Aid-Loratadine-Antihistamine-Tablets/dp/B0030HMQX4/ref=sr_1_7?keywords=GoodSense%C2%AE+Loratadine+Allergy+Tablets&amp;qid=1695260354&amp;sr=8-7")</f>
        <v>https://www.amazon.com/Rite-Aid-Loratadine-Antihistamine-Tablets/dp/B0030HMQX4/ref=sr_1_7?keywords=GoodSense%C2%AE+Loratadine+Allergy+Tablets&amp;qid=1695260354&amp;sr=8-7</v>
      </c>
      <c r="F4664" t="s">
        <v>13374</v>
      </c>
      <c r="G4664" t="e">
        <f ca="1">IMAGE("https://shop.sonapharmacy.com/cdn/shop/products/Untitled-168.jpg?v=1593196295")</f>
        <v>#NAME?</v>
      </c>
      <c r="H4664" t="e">
        <f ca="1">IMAGE("https://m.media-amazon.com/images/I/71x4kt9qhKL._AC_UL320_.jpg")</f>
        <v>#NAME?</v>
      </c>
      <c r="I4664" t="s">
        <v>8361</v>
      </c>
      <c r="J4664">
        <v>9.99</v>
      </c>
      <c r="K4664" s="2" t="s">
        <v>4297</v>
      </c>
      <c r="L4664">
        <v>4.5999999999999996</v>
      </c>
      <c r="M4664">
        <v>2126</v>
      </c>
      <c r="O4664" t="s">
        <v>26</v>
      </c>
      <c r="P4664" t="s">
        <v>39</v>
      </c>
      <c r="Q4664" t="s">
        <v>9859</v>
      </c>
    </row>
    <row r="4665" spans="1:17" ht="15.75" x14ac:dyDescent="0.25">
      <c r="A4665" s="3" t="str">
        <f>HYPERLINK("https://shop.sonapharmacy.com/products/breathe-right-original-nasal-strips", "https://shop.sonapharmacy.com/products/breathe-right-original-nasal-strips")</f>
        <v>https://shop.sonapharmacy.com/products/breathe-right-original-nasal-strips</v>
      </c>
      <c r="B4665" s="3" t="str">
        <f>HYPERLINK("https://shop.sonapharmacy.com/products/breathe-right-original-nasal-strips", "https://shop.sonapharmacy.com/products/breathe-right-original-nasal-strips")</f>
        <v>https://shop.sonapharmacy.com/products/breathe-right-original-nasal-strips</v>
      </c>
      <c r="C4665" t="s">
        <v>8894</v>
      </c>
      <c r="D4665" t="s">
        <v>13375</v>
      </c>
      <c r="E4665" s="3" t="str">
        <f>HYPERLINK("https://www.amazon.com/Breathe-Right-Nasal-Strips-Large/dp/B0014CV480/ref=sr_1_5?keywords=Breathe+Right%C2%AE+Original+Nasal+Strips+Large%2FTan&amp;qid=1695260103&amp;sr=8-5", "https://www.amazon.com/Breathe-Right-Nasal-Strips-Large/dp/B0014CV480/ref=sr_1_5?keywords=Breathe+Right%C2%AE+Original+Nasal+Strips+Large%2FTan&amp;qid=1695260103&amp;sr=8-5")</f>
        <v>https://www.amazon.com/Breathe-Right-Nasal-Strips-Large/dp/B0014CV480/ref=sr_1_5?keywords=Breathe+Right%C2%AE+Original+Nasal+Strips+Large%2FTan&amp;qid=1695260103&amp;sr=8-5</v>
      </c>
      <c r="F4665" t="s">
        <v>13376</v>
      </c>
      <c r="G4665" t="e">
        <f ca="1">IMAGE("https://shop.sonapharmacy.com/cdn/shop/files/Sona-Shop-banner2_0c7162f3-c367-451d-8193-c2967a0e8d8e.jpg?v=1614290083")</f>
        <v>#NAME?</v>
      </c>
      <c r="H4665" t="e">
        <f ca="1">IMAGE("https://m.media-amazon.com/images/I/71lOmmWJ+7L._AC_UL320_.jpg")</f>
        <v>#NAME?</v>
      </c>
      <c r="I4665" t="s">
        <v>5295</v>
      </c>
      <c r="J4665">
        <v>14.99</v>
      </c>
      <c r="K4665" s="2" t="s">
        <v>4297</v>
      </c>
      <c r="L4665">
        <v>4.5</v>
      </c>
      <c r="M4665">
        <v>199</v>
      </c>
      <c r="O4665" t="s">
        <v>26</v>
      </c>
      <c r="P4665" t="s">
        <v>39</v>
      </c>
      <c r="Q4665" t="s">
        <v>8898</v>
      </c>
    </row>
    <row r="4666" spans="1:17" ht="15.75" x14ac:dyDescent="0.25">
      <c r="A4666" s="3" t="str">
        <f>HYPERLINK("https://shop.sonapharmacy.com/products/b12-active-cherry-chewable", "https://shop.sonapharmacy.com/products/b12-active-cherry-chewable")</f>
        <v>https://shop.sonapharmacy.com/products/b12-active-cherry-chewable</v>
      </c>
      <c r="B4666" s="3" t="str">
        <f>HYPERLINK("https://shop.sonapharmacy.com/products/b12-active-cherry-chewable", "https://shop.sonapharmacy.com/products/b12-active-cherry-chewable")</f>
        <v>https://shop.sonapharmacy.com/products/b12-active-cherry-chewable</v>
      </c>
      <c r="C4666" t="s">
        <v>13377</v>
      </c>
      <c r="D4666" t="s">
        <v>13378</v>
      </c>
      <c r="E4666" s="3" t="str">
        <f>HYPERLINK("https://www.amazon.com/Integrative-Therapeutics-B12-Active-Fast-Absorbing-Methylcobalamin/dp/B001ALWPJM/ref=sr_1_1?keywords=Integrative+Therapeutics+B12-Active+Cherry+Chewable&amp;qid=1695260446&amp;sr=8-1", "https://www.amazon.com/Integrative-Therapeutics-B12-Active-Fast-Absorbing-Methylcobalamin/dp/B001ALWPJM/ref=sr_1_1?keywords=Integrative+Therapeutics+B12-Active+Cherry+Chewable&amp;qid=1695260446&amp;sr=8-1")</f>
        <v>https://www.amazon.com/Integrative-Therapeutics-B12-Active-Fast-Absorbing-Methylcobalamin/dp/B001ALWPJM/ref=sr_1_1?keywords=Integrative+Therapeutics+B12-Active+Cherry+Chewable&amp;qid=1695260446&amp;sr=8-1</v>
      </c>
      <c r="F4666" t="s">
        <v>13379</v>
      </c>
      <c r="G4666" t="e">
        <f ca="1">IMAGE("https://shop.sonapharmacy.com/cdn/shop/products/61yrpvHk_8L._AC_SL1500.jpg?v=1609356294")</f>
        <v>#NAME?</v>
      </c>
      <c r="H4666" t="e">
        <f ca="1">IMAGE("https://m.media-amazon.com/images/I/51a1jtToQkL._AC_UL320_.jpg")</f>
        <v>#NAME?</v>
      </c>
      <c r="I4666" t="s">
        <v>5115</v>
      </c>
      <c r="J4666">
        <v>11</v>
      </c>
      <c r="K4666" s="2" t="s">
        <v>5512</v>
      </c>
      <c r="L4666">
        <v>4.5</v>
      </c>
      <c r="M4666">
        <v>456</v>
      </c>
      <c r="O4666" t="s">
        <v>39</v>
      </c>
      <c r="P4666" t="s">
        <v>39</v>
      </c>
      <c r="Q4666" t="s">
        <v>13380</v>
      </c>
    </row>
    <row r="4667" spans="1:17" ht="15.75" x14ac:dyDescent="0.25">
      <c r="A4667" s="3" t="str">
        <f>HYPERLINK("https://shop.sonapharmacy.com/products/douglas-laboratories%C2%AE-turmeric-max-v-capsules-60ct", "https://shop.sonapharmacy.com/products/douglas-laboratories%C2%AE-turmeric-max-v-capsules-60ct")</f>
        <v>https://shop.sonapharmacy.com/products/douglas-laboratories%C2%AE-turmeric-max-v-capsules-60ct</v>
      </c>
      <c r="B4667" s="3" t="str">
        <f>HYPERLINK("https://shop.sonapharmacy.com/products/douglas-laboratories%c2%ae-turmeric-max-v-capsules-60ct", "https://shop.sonapharmacy.com/products/douglas-laboratories%c2%ae-turmeric-max-v-capsules-60ct")</f>
        <v>https://shop.sonapharmacy.com/products/douglas-laboratories%c2%ae-turmeric-max-v-capsules-60ct</v>
      </c>
      <c r="C4667" t="s">
        <v>13381</v>
      </c>
      <c r="D4667" t="s">
        <v>13382</v>
      </c>
      <c r="E4667" s="3" t="str">
        <f>HYPERLINK("https://www.amazon.com/Douglas-Laboratories-Turmeric-Standardized-Curcumin/dp/B00150ULZ8/ref=sr_1_1?keywords=Douglas+Laboratories%C2%AE+Turmeric+Max-V+Capsules+60ct.&amp;qid=1695260199&amp;sr=8-1", "https://www.amazon.com/Douglas-Laboratories-Turmeric-Standardized-Curcumin/dp/B00150ULZ8/ref=sr_1_1?keywords=Douglas+Laboratories%C2%AE+Turmeric+Max-V+Capsules+60ct.&amp;qid=1695260199&amp;sr=8-1")</f>
        <v>https://www.amazon.com/Douglas-Laboratories-Turmeric-Standardized-Curcumin/dp/B00150ULZ8/ref=sr_1_1?keywords=Douglas+Laboratories%C2%AE+Turmeric+Max-V+Capsules+60ct.&amp;qid=1695260199&amp;sr=8-1</v>
      </c>
      <c r="F4667" t="s">
        <v>13383</v>
      </c>
      <c r="G4667" t="e">
        <f ca="1">IMAGE("https://shop.sonapharmacy.com/cdn/shop/products/61IHCMU_0fL._AC_SL1500.jpg?v=1611024971")</f>
        <v>#NAME?</v>
      </c>
      <c r="H4667" t="e">
        <f ca="1">IMAGE("https://m.media-amazon.com/images/I/5140OQ02juL._AC_UL320_.jpg")</f>
        <v>#NAME?</v>
      </c>
      <c r="I4667" t="s">
        <v>13384</v>
      </c>
      <c r="J4667">
        <v>16.399999999999999</v>
      </c>
      <c r="K4667" s="2" t="s">
        <v>5512</v>
      </c>
      <c r="L4667">
        <v>4.5</v>
      </c>
      <c r="M4667">
        <v>63</v>
      </c>
      <c r="O4667" t="s">
        <v>136</v>
      </c>
      <c r="P4667" t="s">
        <v>39</v>
      </c>
      <c r="Q4667" t="s">
        <v>13385</v>
      </c>
    </row>
    <row r="4668" spans="1:17" ht="15.75" x14ac:dyDescent="0.25">
      <c r="A4668" s="3" t="str">
        <f>HYPERLINK("https://shop.sonapharmacy.com/products/cortisol-manager", "https://shop.sonapharmacy.com/products/cortisol-manager")</f>
        <v>https://shop.sonapharmacy.com/products/cortisol-manager</v>
      </c>
      <c r="B4668" s="3" t="str">
        <f>HYPERLINK("https://shop.sonapharmacy.com/products/cortisol-manager", "https://shop.sonapharmacy.com/products/cortisol-manager")</f>
        <v>https://shop.sonapharmacy.com/products/cortisol-manager</v>
      </c>
      <c r="C4668" t="s">
        <v>13386</v>
      </c>
      <c r="D4668" t="s">
        <v>13387</v>
      </c>
      <c r="E4668" s="3" t="str">
        <f>HYPERLINK("https://www.amazon.com/Integrative-Therapeutics-Cortisol-Ashwagandha-L-Theanine/dp/B07YN8GM2T/ref=sr_1_3?keywords=Integrative+Therapeutics+Cortisol+Manager+Tablets&amp;qid=1695260403&amp;sr=8-3", "https://www.amazon.com/Integrative-Therapeutics-Cortisol-Ashwagandha-L-Theanine/dp/B07YN8GM2T/ref=sr_1_3?keywords=Integrative+Therapeutics+Cortisol+Manager+Tablets&amp;qid=1695260403&amp;sr=8-3")</f>
        <v>https://www.amazon.com/Integrative-Therapeutics-Cortisol-Ashwagandha-L-Theanine/dp/B07YN8GM2T/ref=sr_1_3?keywords=Integrative+Therapeutics+Cortisol+Manager+Tablets&amp;qid=1695260403&amp;sr=8-3</v>
      </c>
      <c r="F4668" t="s">
        <v>13388</v>
      </c>
      <c r="G4668" t="e">
        <f ca="1">IMAGE("https://shop.sonapharmacy.com/cdn/shop/products/61W-QTtEX-L._AC_SL1500.jpg?v=1609356736")</f>
        <v>#NAME?</v>
      </c>
      <c r="H4668" t="e">
        <f ca="1">IMAGE("https://m.media-amazon.com/images/I/51oumSIOhyL._AC_UL320_.jpg")</f>
        <v>#NAME?</v>
      </c>
      <c r="I4668" t="s">
        <v>13389</v>
      </c>
      <c r="J4668">
        <v>73.5</v>
      </c>
      <c r="K4668" s="2" t="s">
        <v>5512</v>
      </c>
      <c r="L4668">
        <v>4.5999999999999996</v>
      </c>
      <c r="M4668">
        <v>406</v>
      </c>
      <c r="O4668" t="s">
        <v>39</v>
      </c>
      <c r="P4668" t="s">
        <v>39</v>
      </c>
      <c r="Q4668" t="s">
        <v>13390</v>
      </c>
    </row>
    <row r="4669" spans="1:17" ht="15.75" x14ac:dyDescent="0.25">
      <c r="A4669" s="3" t="str">
        <f>HYPERLINK("https://shop.sonapharmacy.com/products/pepto-bismol%C2%AE-original-upset-stomach-reliever-liquid", "https://shop.sonapharmacy.com/products/pepto-bismol%C2%AE-original-upset-stomach-reliever-liquid")</f>
        <v>https://shop.sonapharmacy.com/products/pepto-bismol%C2%AE-original-upset-stomach-reliever-liquid</v>
      </c>
      <c r="B4669" s="3" t="str">
        <f>HYPERLINK("https://shop.sonapharmacy.com/products/pepto-bismol%c2%ae-original-upset-stomach-reliever-liquid", "https://shop.sonapharmacy.com/products/pepto-bismol%c2%ae-original-upset-stomach-reliever-liquid")</f>
        <v>https://shop.sonapharmacy.com/products/pepto-bismol%c2%ae-original-upset-stomach-reliever-liquid</v>
      </c>
      <c r="C4669" t="s">
        <v>13391</v>
      </c>
      <c r="D4669" t="s">
        <v>13392</v>
      </c>
      <c r="E4669" s="3" t="str">
        <f>HYPERLINK("https://www.amazon.com/Pepto-Bismol-Reliever-Antidiarrheal-Original-8-Ounces/dp/B00081Q6KE/ref=sr_1_1?keywords=Pepto-Bismol%C2%AE+Original+Upset+Stomach+Reliever+Liquid&amp;qid=1695260628&amp;sr=8-1", "https://www.amazon.com/Pepto-Bismol-Reliever-Antidiarrheal-Original-8-Ounces/dp/B00081Q6KE/ref=sr_1_1?keywords=Pepto-Bismol%C2%AE+Original+Upset+Stomach+Reliever+Liquid&amp;qid=1695260628&amp;sr=8-1")</f>
        <v>https://www.amazon.com/Pepto-Bismol-Reliever-Antidiarrheal-Original-8-Ounces/dp/B00081Q6KE/ref=sr_1_1?keywords=Pepto-Bismol%C2%AE+Original+Upset+Stomach+Reliever+Liquid&amp;qid=1695260628&amp;sr=8-1</v>
      </c>
      <c r="F4669" t="s">
        <v>13393</v>
      </c>
      <c r="G4669" t="e">
        <f ca="1">IMAGE("https://shop.sonapharmacy.com/cdn/shop/products/71uZ0qSNZ0L._AC_SL1500.jpg?v=1610678632")</f>
        <v>#NAME?</v>
      </c>
      <c r="H4669" t="e">
        <f ca="1">IMAGE("https://m.media-amazon.com/images/I/71ZE8FgrhTL._AC_UL320_.jpg")</f>
        <v>#NAME?</v>
      </c>
      <c r="I4669" t="s">
        <v>8680</v>
      </c>
      <c r="J4669">
        <v>4.9800000000000004</v>
      </c>
      <c r="K4669" s="2" t="s">
        <v>13394</v>
      </c>
      <c r="L4669">
        <v>4.7</v>
      </c>
      <c r="M4669">
        <v>397</v>
      </c>
      <c r="O4669" t="s">
        <v>26</v>
      </c>
      <c r="P4669" t="s">
        <v>39</v>
      </c>
      <c r="Q4669" t="s">
        <v>13395</v>
      </c>
    </row>
    <row r="4670" spans="1:17" ht="15.75" x14ac:dyDescent="0.25">
      <c r="A4670" s="3" t="str">
        <f>HYPERLINK("https://shop.sonapharmacy.com/products/eucerin%C2%AE-skin-calming-body-wash-for-dry-itchy-skin-8-4fl-oz", "https://shop.sonapharmacy.com/products/eucerin%C2%AE-skin-calming-body-wash-for-dry-itchy-skin-8-4fl-oz")</f>
        <v>https://shop.sonapharmacy.com/products/eucerin%C2%AE-skin-calming-body-wash-for-dry-itchy-skin-8-4fl-oz</v>
      </c>
      <c r="B4670" s="3" t="str">
        <f>HYPERLINK("https://shop.sonapharmacy.com/products/eucerin%c2%ae-skin-calming-body-wash-for-dry-itchy-skin-8-4fl-oz", "https://shop.sonapharmacy.com/products/eucerin%c2%ae-skin-calming-body-wash-for-dry-itchy-skin-8-4fl-oz")</f>
        <v>https://shop.sonapharmacy.com/products/eucerin%c2%ae-skin-calming-body-wash-for-dry-itchy-skin-8-4fl-oz</v>
      </c>
      <c r="C4670" t="s">
        <v>12060</v>
      </c>
      <c r="D4670" t="s">
        <v>13396</v>
      </c>
      <c r="E4670" s="3" t="str">
        <f>HYPERLINK("https://www.amazon.com/Defense-Calming-Soap-free-Formula-Hydrating/dp/B00YXXPZLO/ref=sr_1_7?keywords=Eucerin%C2%AE+Skin+Calming+Body+Wash+For+Dry%2C+Itchy+Skin+8.4fl.+oz.&amp;qid=1695260229&amp;rdc=1&amp;sr=8-7", "https://www.amazon.com/Defense-Calming-Soap-free-Formula-Hydrating/dp/B00YXXPZLO/ref=sr_1_7?keywords=Eucerin%C2%AE+Skin+Calming+Body+Wash+For+Dry%2C+Itchy+Skin+8.4fl.+oz.&amp;qid=1695260229&amp;rdc=1&amp;sr=8-7")</f>
        <v>https://www.amazon.com/Defense-Calming-Soap-free-Formula-Hydrating/dp/B00YXXPZLO/ref=sr_1_7?keywords=Eucerin%C2%AE+Skin+Calming+Body+Wash+For+Dry%2C+Itchy+Skin+8.4fl.+oz.&amp;qid=1695260229&amp;rdc=1&amp;sr=8-7</v>
      </c>
      <c r="F4670" t="s">
        <v>13397</v>
      </c>
      <c r="G4670" t="e">
        <f ca="1">IMAGE("https://shop.sonapharmacy.com/cdn/shop/products/351db66d-68d6-4654-a311-b0d867b9cc1d.24e4a98435f360fbba3aafdbd2aefb1b.jpg?v=1608490500")</f>
        <v>#NAME?</v>
      </c>
      <c r="H4670" t="e">
        <f ca="1">IMAGE("https://m.media-amazon.com/images/I/61+WCB81KWL._AC_UL320_.jpg")</f>
        <v>#NAME?</v>
      </c>
      <c r="I4670" t="s">
        <v>12063</v>
      </c>
      <c r="J4670">
        <v>9.19</v>
      </c>
      <c r="K4670" s="2" t="s">
        <v>13398</v>
      </c>
      <c r="L4670">
        <v>4.5999999999999996</v>
      </c>
      <c r="M4670">
        <v>4875</v>
      </c>
      <c r="O4670" t="s">
        <v>26</v>
      </c>
      <c r="P4670" t="s">
        <v>39</v>
      </c>
      <c r="Q4670" t="s">
        <v>12065</v>
      </c>
    </row>
    <row r="4671" spans="1:17" ht="15.75" x14ac:dyDescent="0.25">
      <c r="A4671" s="3" t="str">
        <f>HYPERLINK("https://shop.sonapharmacy.com/products/chloraseptic-fast-acting-sore-throat-reliever-spray", "https://shop.sonapharmacy.com/products/chloraseptic-fast-acting-sore-throat-reliever-spray")</f>
        <v>https://shop.sonapharmacy.com/products/chloraseptic-fast-acting-sore-throat-reliever-spray</v>
      </c>
      <c r="B4671" s="3" t="str">
        <f>HYPERLINK("https://shop.sonapharmacy.com/products/chloraseptic-fast-acting-sore-throat-reliever-spray", "https://shop.sonapharmacy.com/products/chloraseptic-fast-acting-sore-throat-reliever-spray")</f>
        <v>https://shop.sonapharmacy.com/products/chloraseptic-fast-acting-sore-throat-reliever-spray</v>
      </c>
      <c r="C4671" t="s">
        <v>10039</v>
      </c>
      <c r="D4671" t="s">
        <v>13399</v>
      </c>
      <c r="E4671" s="3" t="str">
        <f>HYPERLINK("https://www.amazon.com/Vicks-VapoCOOL-Relieves-Painful-Fast-Acting/dp/B07QSBXCCT/ref=sr_1_10?keywords=Chloraseptic+Fast+Acting+Sore+Throat+Relieving+Spray&amp;qid=1695260130&amp;sr=8-10", "https://www.amazon.com/Vicks-VapoCOOL-Relieves-Painful-Fast-Acting/dp/B07QSBXCCT/ref=sr_1_10?keywords=Chloraseptic+Fast+Acting+Sore+Throat+Relieving+Spray&amp;qid=1695260130&amp;sr=8-10")</f>
        <v>https://www.amazon.com/Vicks-VapoCOOL-Relieves-Painful-Fast-Acting/dp/B07QSBXCCT/ref=sr_1_10?keywords=Chloraseptic+Fast+Acting+Sore+Throat+Relieving+Spray&amp;qid=1695260130&amp;sr=8-10</v>
      </c>
      <c r="F4671" t="s">
        <v>13400</v>
      </c>
      <c r="G4671" t="e">
        <f ca="1">IMAGE("https://shop.sonapharmacy.com/cdn/shop/products/ChlorasepticFastActingSoreThroatRelievingSpray.jpg?v=1595010975")</f>
        <v>#NAME?</v>
      </c>
      <c r="H4671" t="e">
        <f ca="1">IMAGE("https://m.media-amazon.com/images/I/71I7wWPm4tL._AC_UL320_.jpg")</f>
        <v>#NAME?</v>
      </c>
      <c r="I4671" t="s">
        <v>8361</v>
      </c>
      <c r="J4671">
        <v>9.9600000000000009</v>
      </c>
      <c r="K4671" s="2" t="s">
        <v>13401</v>
      </c>
      <c r="L4671">
        <v>4.5999999999999996</v>
      </c>
      <c r="M4671">
        <v>478</v>
      </c>
      <c r="O4671" t="s">
        <v>26</v>
      </c>
      <c r="P4671" t="s">
        <v>39</v>
      </c>
      <c r="Q4671" t="s">
        <v>10043</v>
      </c>
    </row>
    <row r="4672" spans="1:17" ht="15.75" x14ac:dyDescent="0.25">
      <c r="A4672" s="3" t="str">
        <f>HYPERLINK("https://shop.sonapharmacy.com/products/mueller%C2%AE-adjustable-arm-sling-one-size", "https://shop.sonapharmacy.com/products/mueller%C2%AE-adjustable-arm-sling-one-size")</f>
        <v>https://shop.sonapharmacy.com/products/mueller%C2%AE-adjustable-arm-sling-one-size</v>
      </c>
      <c r="B4672" s="3" t="str">
        <f>HYPERLINK("https://shop.sonapharmacy.com/products/mueller%c2%ae-adjustable-arm-sling-one-size", "https://shop.sonapharmacy.com/products/mueller%c2%ae-adjustable-arm-sling-one-size")</f>
        <v>https://shop.sonapharmacy.com/products/mueller%c2%ae-adjustable-arm-sling-one-size</v>
      </c>
      <c r="C4672" t="s">
        <v>13402</v>
      </c>
      <c r="D4672" t="s">
        <v>13403</v>
      </c>
      <c r="E4672" s="3" t="str">
        <f>HYPERLINK("https://www.amazon.com/Mueller-Improved-Sling-Blue-Size/dp/B07QY5LP6Y/ref=sr_1_1?keywords=Mueller%C2%AE+Adjustable+Arm+Sling+One+Size&amp;qid=1695260527&amp;sr=8-1", "https://www.amazon.com/Mueller-Improved-Sling-Blue-Size/dp/B07QY5LP6Y/ref=sr_1_1?keywords=Mueller%C2%AE+Adjustable+Arm+Sling+One+Size&amp;qid=1695260527&amp;sr=8-1")</f>
        <v>https://www.amazon.com/Mueller-Improved-Sling-Blue-Size/dp/B07QY5LP6Y/ref=sr_1_1?keywords=Mueller%C2%AE+Adjustable+Arm+Sling+One+Size&amp;qid=1695260527&amp;sr=8-1</v>
      </c>
      <c r="F4672" t="s">
        <v>13404</v>
      </c>
      <c r="G4672" t="e">
        <f ca="1">IMAGE("https://shop.sonapharmacy.com/cdn/shop/products/712_c--HeaL._AC_SL1500.jpg?v=1609861779")</f>
        <v>#NAME?</v>
      </c>
      <c r="H4672" t="e">
        <f ca="1">IMAGE("https://m.media-amazon.com/images/I/91ao3S4rHeL._AC_UL320_.jpg")</f>
        <v>#NAME?</v>
      </c>
      <c r="I4672" t="s">
        <v>13405</v>
      </c>
      <c r="J4672">
        <v>13.99</v>
      </c>
      <c r="K4672" s="2" t="s">
        <v>13406</v>
      </c>
      <c r="L4672">
        <v>4.2</v>
      </c>
      <c r="M4672">
        <v>2099</v>
      </c>
      <c r="O4672" t="s">
        <v>26</v>
      </c>
      <c r="P4672" t="s">
        <v>39</v>
      </c>
      <c r="Q4672" t="s">
        <v>13407</v>
      </c>
    </row>
    <row r="4673" spans="1:17" ht="15.75" x14ac:dyDescent="0.25">
      <c r="A4673" s="3" t="str">
        <f>HYPERLINK("https://shop.sonapharmacy.com/products/apex%C2%AE-glasses-repair-kit", "https://shop.sonapharmacy.com/products/apex%C2%AE-glasses-repair-kit")</f>
        <v>https://shop.sonapharmacy.com/products/apex%C2%AE-glasses-repair-kit</v>
      </c>
      <c r="B4673" s="3" t="str">
        <f>HYPERLINK("https://shop.sonapharmacy.com/products/apex%c2%ae-glasses-repair-kit", "https://shop.sonapharmacy.com/products/apex%c2%ae-glasses-repair-kit")</f>
        <v>https://shop.sonapharmacy.com/products/apex%c2%ae-glasses-repair-kit</v>
      </c>
      <c r="C4673" t="s">
        <v>9610</v>
      </c>
      <c r="D4673" t="s">
        <v>13408</v>
      </c>
      <c r="E4673" s="3" t="str">
        <f>HYPERLINK("https://www.amazon.com/Flents-Eyewear-Glasses-Repair-Magnifying/dp/B000BD1Y60/ref=sr_1_4?keywords=Apex+Glasses+Repair+Kit&amp;qid=1695260010&amp;sr=8-4", "https://www.amazon.com/Flents-Eyewear-Glasses-Repair-Magnifying/dp/B000BD1Y60/ref=sr_1_4?keywords=Apex+Glasses+Repair+Kit&amp;qid=1695260010&amp;sr=8-4")</f>
        <v>https://www.amazon.com/Flents-Eyewear-Glasses-Repair-Magnifying/dp/B000BD1Y60/ref=sr_1_4?keywords=Apex+Glasses+Repair+Kit&amp;qid=1695260010&amp;sr=8-4</v>
      </c>
      <c r="F4673" t="s">
        <v>13409</v>
      </c>
      <c r="G4673" t="e">
        <f ca="1">IMAGE("https://shop.sonapharmacy.com/cdn/shop/products/61DTHhMb4hL._AC_SX679.jpg?v=1609960307")</f>
        <v>#NAME?</v>
      </c>
      <c r="H4673" t="e">
        <f ca="1">IMAGE("https://m.media-amazon.com/images/I/51CmyK9zJ5L._AC_UL320_.jpg")</f>
        <v>#NAME?</v>
      </c>
      <c r="I4673" t="s">
        <v>9613</v>
      </c>
      <c r="J4673">
        <v>2.69</v>
      </c>
      <c r="K4673" s="2" t="s">
        <v>13410</v>
      </c>
      <c r="L4673">
        <v>4.4000000000000004</v>
      </c>
      <c r="M4673">
        <v>311</v>
      </c>
      <c r="O4673" t="s">
        <v>26</v>
      </c>
      <c r="P4673" t="s">
        <v>39</v>
      </c>
      <c r="Q4673" t="s">
        <v>9615</v>
      </c>
    </row>
    <row r="4674" spans="1:17" ht="15.75" x14ac:dyDescent="0.25">
      <c r="A4674" s="3" t="str">
        <f>HYPERLINK("https://shop.sonapharmacy.com/products/goodsense%C2%AE-loratadine-allergy-tablets", "https://shop.sonapharmacy.com/products/goodsense%C2%AE-loratadine-allergy-tablets")</f>
        <v>https://shop.sonapharmacy.com/products/goodsense%C2%AE-loratadine-allergy-tablets</v>
      </c>
      <c r="B4674" s="3" t="str">
        <f>HYPERLINK("https://shop.sonapharmacy.com/products/goodsense%c2%ae-loratadine-allergy-tablets", "https://shop.sonapharmacy.com/products/goodsense%c2%ae-loratadine-allergy-tablets")</f>
        <v>https://shop.sonapharmacy.com/products/goodsense%c2%ae-loratadine-allergy-tablets</v>
      </c>
      <c r="C4674" t="s">
        <v>9855</v>
      </c>
      <c r="D4674" t="s">
        <v>13411</v>
      </c>
      <c r="E4674" s="3" t="str">
        <f>HYPERLINK("https://www.amazon.com/Major-Allergy-Loratadine-10mg-Tablets/dp/B07Z8HHY8X/ref=sr_1_4?keywords=GoodSense%C2%AE+Loratadine+Allergy+Tablets&amp;qid=1695260354&amp;sr=8-4", "https://www.amazon.com/Major-Allergy-Loratadine-10mg-Tablets/dp/B07Z8HHY8X/ref=sr_1_4?keywords=GoodSense%C2%AE+Loratadine+Allergy+Tablets&amp;qid=1695260354&amp;sr=8-4")</f>
        <v>https://www.amazon.com/Major-Allergy-Loratadine-10mg-Tablets/dp/B07Z8HHY8X/ref=sr_1_4?keywords=GoodSense%C2%AE+Loratadine+Allergy+Tablets&amp;qid=1695260354&amp;sr=8-4</v>
      </c>
      <c r="F4674" t="s">
        <v>13412</v>
      </c>
      <c r="G4674" t="e">
        <f ca="1">IMAGE("https://shop.sonapharmacy.com/cdn/shop/products/Untitled-168.jpg?v=1593196295")</f>
        <v>#NAME?</v>
      </c>
      <c r="H4674" t="e">
        <f ca="1">IMAGE("https://m.media-amazon.com/images/I/61nIEuPCYVL._AC_UL320_.jpg")</f>
        <v>#NAME?</v>
      </c>
      <c r="I4674" t="s">
        <v>8361</v>
      </c>
      <c r="J4674">
        <v>9.9499999999999993</v>
      </c>
      <c r="K4674" s="2" t="s">
        <v>13413</v>
      </c>
      <c r="L4674">
        <v>4.8</v>
      </c>
      <c r="M4674">
        <v>5853</v>
      </c>
      <c r="O4674" t="s">
        <v>26</v>
      </c>
      <c r="P4674" t="s">
        <v>39</v>
      </c>
      <c r="Q4674" t="s">
        <v>9859</v>
      </c>
    </row>
    <row r="4675" spans="1:17" ht="15.75" x14ac:dyDescent="0.25">
      <c r="A4675" s="3" t="str">
        <f>HYPERLINK("https://shop.sonapharmacy.com/products/fergon-high-potency-iron-supplement-tablets", "https://shop.sonapharmacy.com/products/fergon-high-potency-iron-supplement-tablets")</f>
        <v>https://shop.sonapharmacy.com/products/fergon-high-potency-iron-supplement-tablets</v>
      </c>
      <c r="B4675" s="3" t="str">
        <f>HYPERLINK("https://shop.sonapharmacy.com/products/fergon-high-potency-iron-supplement-tablets", "https://shop.sonapharmacy.com/products/fergon-high-potency-iron-supplement-tablets")</f>
        <v>https://shop.sonapharmacy.com/products/fergon-high-potency-iron-supplement-tablets</v>
      </c>
      <c r="C4675" t="s">
        <v>10827</v>
      </c>
      <c r="D4675" t="s">
        <v>13414</v>
      </c>
      <c r="E4675" s="3" t="str">
        <f>HYPERLINK("https://www.amazon.com/Fergon-Potency-Supplement-Tablets-Count/dp/B01AVJFNVU/ref=sr_1_5?keywords=Fergon%C2%AE+High+Potency+Iron+Supplement+Tablets&amp;qid=1695260232&amp;sr=8-5", "https://www.amazon.com/Fergon-Potency-Supplement-Tablets-Count/dp/B01AVJFNVU/ref=sr_1_5?keywords=Fergon%C2%AE+High+Potency+Iron+Supplement+Tablets&amp;qid=1695260232&amp;sr=8-5")</f>
        <v>https://www.amazon.com/Fergon-Potency-Supplement-Tablets-Count/dp/B01AVJFNVU/ref=sr_1_5?keywords=Fergon%C2%AE+High+Potency+Iron+Supplement+Tablets&amp;qid=1695260232&amp;sr=8-5</v>
      </c>
      <c r="F4675" t="s">
        <v>13415</v>
      </c>
      <c r="G4675" t="e">
        <f ca="1">IMAGE("https://shop.sonapharmacy.com/cdn/shop/products/FergonHighPotencyIronSupplementTabletsFergonHighPotencyIronSupplementTablets.jpg?v=1595010428")</f>
        <v>#NAME?</v>
      </c>
      <c r="H4675" t="e">
        <f ca="1">IMAGE("https://m.media-amazon.com/images/I/51GXWTUFv9L._AC_UL320_.jpg")</f>
        <v>#NAME?</v>
      </c>
      <c r="I4675" t="s">
        <v>9258</v>
      </c>
      <c r="J4675">
        <v>13.27</v>
      </c>
      <c r="K4675" s="2" t="s">
        <v>13413</v>
      </c>
      <c r="L4675">
        <v>4.4000000000000004</v>
      </c>
      <c r="M4675">
        <v>20</v>
      </c>
      <c r="O4675" t="s">
        <v>26</v>
      </c>
      <c r="P4675" t="s">
        <v>39</v>
      </c>
      <c r="Q4675" t="s">
        <v>10831</v>
      </c>
    </row>
    <row r="4676" spans="1:17" ht="15.75" x14ac:dyDescent="0.25">
      <c r="A4676" s="3" t="str">
        <f>HYPERLINK("https://shop.sonapharmacy.com/products/contour%C2%AE-kabooti%C2%AE-ice-coccyx-blue-seat-cushion", "https://shop.sonapharmacy.com/products/contour%C2%AE-kabooti%C2%AE-ice-coccyx-blue-seat-cushion")</f>
        <v>https://shop.sonapharmacy.com/products/contour%C2%AE-kabooti%C2%AE-ice-coccyx-blue-seat-cushion</v>
      </c>
      <c r="B4676" s="3" t="str">
        <f>HYPERLINK("https://shop.sonapharmacy.com/products/contour%c2%ae-kabooti%c2%ae-ice-coccyx-blue-seat-cushion", "https://shop.sonapharmacy.com/products/contour%c2%ae-kabooti%c2%ae-ice-coccyx-blue-seat-cushion")</f>
        <v>https://shop.sonapharmacy.com/products/contour%c2%ae-kabooti%c2%ae-ice-coccyx-blue-seat-cushion</v>
      </c>
      <c r="C4676" t="s">
        <v>13416</v>
      </c>
      <c r="D4676" t="s">
        <v>13417</v>
      </c>
      <c r="E4676" s="3" t="str">
        <f>HYPERLINK("https://www.amazon.com/Contour-Products-Kabooti-Coccyx-Cushion/dp/B01AGQM44C/ref=sr_1_1?keywords=Contour%C2%AE+Kabooti%C2%AE+Ice+Coccyx+Blue+Seat+Cushion&amp;qid=1695260152&amp;sr=8-1", "https://www.amazon.com/Contour-Products-Kabooti-Coccyx-Cushion/dp/B01AGQM44C/ref=sr_1_1?keywords=Contour%C2%AE+Kabooti%C2%AE+Ice+Coccyx+Blue+Seat+Cushion&amp;qid=1695260152&amp;sr=8-1")</f>
        <v>https://www.amazon.com/Contour-Products-Kabooti-Coccyx-Cushion/dp/B01AGQM44C/ref=sr_1_1?keywords=Contour%C2%AE+Kabooti%C2%AE+Ice+Coccyx+Blue+Seat+Cushion&amp;qid=1695260152&amp;sr=8-1</v>
      </c>
      <c r="F4676" t="s">
        <v>13418</v>
      </c>
      <c r="G4676" t="e">
        <f ca="1">IMAGE("https://shop.sonapharmacy.com/cdn/shop/products/71BJnMjD9OL._AC_SL1000.jpg?v=1609951492")</f>
        <v>#NAME?</v>
      </c>
      <c r="H4676" t="e">
        <f ca="1">IMAGE("https://m.media-amazon.com/images/I/71BJnMjD9OL._AC_UL320_.jpg")</f>
        <v>#NAME?</v>
      </c>
      <c r="I4676" t="s">
        <v>13419</v>
      </c>
      <c r="J4676">
        <v>44.99</v>
      </c>
      <c r="K4676" s="2" t="s">
        <v>13420</v>
      </c>
      <c r="L4676">
        <v>4.0999999999999996</v>
      </c>
      <c r="M4676">
        <v>91</v>
      </c>
      <c r="O4676" t="s">
        <v>26</v>
      </c>
      <c r="P4676" t="s">
        <v>39</v>
      </c>
      <c r="Q4676" t="s">
        <v>13421</v>
      </c>
    </row>
    <row r="4677" spans="1:17" ht="15.75" x14ac:dyDescent="0.25">
      <c r="A4677" s="3" t="str">
        <f>HYPERLINK("https://shop.sonapharmacy.com/products/abreva%C2%AE-cold-sore-fever-blister-treatment-cream-2g", "https://shop.sonapharmacy.com/products/abreva%C2%AE-cold-sore-fever-blister-treatment-cream-2g")</f>
        <v>https://shop.sonapharmacy.com/products/abreva%C2%AE-cold-sore-fever-blister-treatment-cream-2g</v>
      </c>
      <c r="B4677" s="3" t="str">
        <f>HYPERLINK("https://shop.sonapharmacy.com/products/abreva%c2%ae-cold-sore-fever-blister-treatment-cream-2g", "https://shop.sonapharmacy.com/products/abreva%c2%ae-cold-sore-fever-blister-treatment-cream-2g")</f>
        <v>https://shop.sonapharmacy.com/products/abreva%c2%ae-cold-sore-fever-blister-treatment-cream-2g</v>
      </c>
      <c r="C4677" t="s">
        <v>9373</v>
      </c>
      <c r="D4677" t="s">
        <v>13422</v>
      </c>
      <c r="E4677" s="3" t="str">
        <f>HYPERLINK("https://www.amazon.com/Abreva-Docosanol-Treatment-Approved-Blister/dp/B071K8PFHG/ref=sr_1_7?keywords=Abreva+Cold+Sore%2FFever+Blister+Treatment+Cream+2g.&amp;qid=1695260008&amp;sr=8-7", "https://www.amazon.com/Abreva-Docosanol-Treatment-Approved-Blister/dp/B071K8PFHG/ref=sr_1_7?keywords=Abreva+Cold+Sore%2FFever+Blister+Treatment+Cream+2g.&amp;qid=1695260008&amp;sr=8-7")</f>
        <v>https://www.amazon.com/Abreva-Docosanol-Treatment-Approved-Blister/dp/B071K8PFHG/ref=sr_1_7?keywords=Abreva+Cold+Sore%2FFever+Blister+Treatment+Cream+2g.&amp;qid=1695260008&amp;sr=8-7</v>
      </c>
      <c r="F4677" t="s">
        <v>13423</v>
      </c>
      <c r="G4677" t="e">
        <f ca="1">IMAGE("https://shop.sonapharmacy.com/cdn/shop/products/pumptube.jpg?v=1608227735")</f>
        <v>#NAME?</v>
      </c>
      <c r="H4677" t="e">
        <f ca="1">IMAGE("https://m.media-amazon.com/images/I/71rjYmPgbIL._AC_UL320_.jpg")</f>
        <v>#NAME?</v>
      </c>
      <c r="I4677" t="s">
        <v>9376</v>
      </c>
      <c r="J4677">
        <v>25.5</v>
      </c>
      <c r="K4677" s="2" t="s">
        <v>13424</v>
      </c>
      <c r="L4677">
        <v>4.8</v>
      </c>
      <c r="M4677">
        <v>18594</v>
      </c>
      <c r="O4677" t="s">
        <v>26</v>
      </c>
      <c r="P4677" t="s">
        <v>39</v>
      </c>
      <c r="Q4677" t="s">
        <v>9378</v>
      </c>
    </row>
    <row r="4678" spans="1:17" ht="15.75" x14ac:dyDescent="0.25">
      <c r="A4678" s="3" t="str">
        <f>HYPERLINK("https://shop.sonapharmacy.com/products/good-sense-non-drowsy-day-time-cold-flu-softgels", "https://shop.sonapharmacy.com/products/good-sense-non-drowsy-day-time-cold-flu-softgels")</f>
        <v>https://shop.sonapharmacy.com/products/good-sense-non-drowsy-day-time-cold-flu-softgels</v>
      </c>
      <c r="B4678" s="3" t="str">
        <f>HYPERLINK("https://shop.sonapharmacy.com/products/good-sense-non-drowsy-day-time-cold-flu-softgels", "https://shop.sonapharmacy.com/products/good-sense-non-drowsy-day-time-cold-flu-softgels")</f>
        <v>https://shop.sonapharmacy.com/products/good-sense-non-drowsy-day-time-cold-flu-softgels</v>
      </c>
      <c r="C4678" t="s">
        <v>12355</v>
      </c>
      <c r="D4678" t="s">
        <v>13425</v>
      </c>
      <c r="E4678" s="3" t="str">
        <f>HYPERLINK("https://www.amazon.com/Basic-Care-Daytime-Severe-Fluid/dp/B07HGF63BS/ref=sr_1_10?keywords=GoodSense%C2%AE+Non-Drowsy+Day+Time+Cold+%26+Flu+Softgels+2&amp;qid=1695260414&amp;sr=8-10", "https://www.amazon.com/Basic-Care-Daytime-Severe-Fluid/dp/B07HGF63BS/ref=sr_1_10?keywords=GoodSense%C2%AE+Non-Drowsy+Day+Time+Cold+%26+Flu+Softgels+2&amp;qid=1695260414&amp;sr=8-10")</f>
        <v>https://www.amazon.com/Basic-Care-Daytime-Severe-Fluid/dp/B07HGF63BS/ref=sr_1_10?keywords=GoodSense%C2%AE+Non-Drowsy+Day+Time+Cold+%26+Flu+Softgels+2&amp;qid=1695260414&amp;sr=8-10</v>
      </c>
      <c r="F4678" t="s">
        <v>13426</v>
      </c>
      <c r="G4678" t="e">
        <f ca="1">IMAGE("https://shop.sonapharmacy.com/cdn/shop/products/61O4igp2AJL._AC_SL1000.jpg?v=1610132043")</f>
        <v>#NAME?</v>
      </c>
      <c r="H4678" t="e">
        <f ca="1">IMAGE("https://m.media-amazon.com/images/I/81uxO3U1-vL._AC_UL320_.jpg")</f>
        <v>#NAME?</v>
      </c>
      <c r="I4678" t="s">
        <v>12358</v>
      </c>
      <c r="J4678">
        <v>8.36</v>
      </c>
      <c r="K4678" s="2" t="s">
        <v>13427</v>
      </c>
      <c r="L4678">
        <v>4.7</v>
      </c>
      <c r="M4678">
        <v>2747</v>
      </c>
      <c r="O4678" t="s">
        <v>26</v>
      </c>
      <c r="P4678" t="s">
        <v>39</v>
      </c>
      <c r="Q4678" t="s">
        <v>12360</v>
      </c>
    </row>
    <row r="4679" spans="1:17" ht="15.75" x14ac:dyDescent="0.25">
      <c r="A4679" s="3" t="str">
        <f>HYPERLINK("https://shop.sonapharmacy.com/products/active-b12-with-l-5-mthf-60-lozenges", "https://shop.sonapharmacy.com/products/active-b12-with-l-5-mthf-60-lozenges")</f>
        <v>https://shop.sonapharmacy.com/products/active-b12-with-l-5-mthf-60-lozenges</v>
      </c>
      <c r="B4679" s="3" t="str">
        <f>HYPERLINK("https://shop.sonapharmacy.com/products/active-b12-with-l-5-mthf-60-lozenges", "https://shop.sonapharmacy.com/products/active-b12-with-l-5-mthf-60-lozenges")</f>
        <v>https://shop.sonapharmacy.com/products/active-b12-with-l-5-mthf-60-lozenges</v>
      </c>
      <c r="C4679" t="s">
        <v>13428</v>
      </c>
      <c r="D4679" t="s">
        <v>13429</v>
      </c>
      <c r="E4679" s="3" t="str">
        <f>HYPERLINK("https://www.amazon.com/Seeking-Health-Supplement-Methylfolate-Lozenges/dp/B00822JNTC/ref=sr_1_1?keywords=Seeking+Health%C2%AE+Active+B12+with+L-5-MTHF+Lozenges+60ct.&amp;qid=1695260700&amp;sr=8-1", "https://www.amazon.com/Seeking-Health-Supplement-Methylfolate-Lozenges/dp/B00822JNTC/ref=sr_1_1?keywords=Seeking+Health%C2%AE+Active+B12+with+L-5-MTHF+Lozenges+60ct.&amp;qid=1695260700&amp;sr=8-1")</f>
        <v>https://www.amazon.com/Seeking-Health-Supplement-Methylfolate-Lozenges/dp/B00822JNTC/ref=sr_1_1?keywords=Seeking+Health%C2%AE+Active+B12+with+L-5-MTHF+Lozenges+60ct.&amp;qid=1695260700&amp;sr=8-1</v>
      </c>
      <c r="F4679" t="s">
        <v>13430</v>
      </c>
      <c r="G4679" t="e">
        <f ca="1">IMAGE("https://shop.sonapharmacy.com/cdn/shop/products/ActiveB12withL-5-MTHF-60Lozenges.jpg?v=1594733358")</f>
        <v>#NAME?</v>
      </c>
      <c r="H4679" t="e">
        <f ca="1">IMAGE("https://m.media-amazon.com/images/I/61nu3dHDgSL._AC_UL320_.jpg")</f>
        <v>#NAME?</v>
      </c>
      <c r="I4679" t="s">
        <v>803</v>
      </c>
      <c r="J4679">
        <v>21.95</v>
      </c>
      <c r="K4679" s="2" t="s">
        <v>13431</v>
      </c>
      <c r="L4679">
        <v>4.7</v>
      </c>
      <c r="M4679">
        <v>2363</v>
      </c>
      <c r="O4679" t="s">
        <v>26</v>
      </c>
      <c r="P4679" t="s">
        <v>39</v>
      </c>
      <c r="Q4679" t="s">
        <v>13432</v>
      </c>
    </row>
    <row r="4680" spans="1:17" ht="15.75" x14ac:dyDescent="0.25">
      <c r="A4680" s="3" t="str">
        <f>HYPERLINK("https://shop.sonapharmacy.com/products/metagenics-metakids-baby-probiotic", "https://shop.sonapharmacy.com/products/metagenics-metakids-baby-probiotic")</f>
        <v>https://shop.sonapharmacy.com/products/metagenics-metakids-baby-probiotic</v>
      </c>
      <c r="B4680" s="3" t="str">
        <f>HYPERLINK("https://shop.sonapharmacy.com/products/metagenics-metakids-baby-probiotic", "https://shop.sonapharmacy.com/products/metagenics-metakids-baby-probiotic")</f>
        <v>https://shop.sonapharmacy.com/products/metagenics-metakids-baby-probiotic</v>
      </c>
      <c r="C4680" t="s">
        <v>11234</v>
      </c>
      <c r="D4680" t="s">
        <v>13433</v>
      </c>
      <c r="E4680" s="3" t="str">
        <f>HYPERLINK("https://www.amazon.com/Metagenics-MetaKidsTM-Baby-Probiotic-Children/dp/B09PYB4C14/ref=sr_1_1?keywords=Metagenics+MetaKids+Baby+Probiotic&amp;qid=1695260468&amp;sr=8-1", "https://www.amazon.com/Metagenics-MetaKidsTM-Baby-Probiotic-Children/dp/B09PYB4C14/ref=sr_1_1?keywords=Metagenics+MetaKids+Baby+Probiotic&amp;qid=1695260468&amp;sr=8-1")</f>
        <v>https://www.amazon.com/Metagenics-MetaKidsTM-Baby-Probiotic-Children/dp/B09PYB4C14/ref=sr_1_1?keywords=Metagenics+MetaKids+Baby+Probiotic&amp;qid=1695260468&amp;sr=8-1</v>
      </c>
      <c r="F4680" t="s">
        <v>13434</v>
      </c>
      <c r="G4680" t="e">
        <f ca="1">IMAGE("https://shop.sonapharmacy.com/cdn/shop/products/13211.png?v=1676581823")</f>
        <v>#NAME?</v>
      </c>
      <c r="H4680" t="e">
        <f ca="1">IMAGE("https://m.media-amazon.com/images/I/51pt1XfxppL._AC_UL320_.jpg")</f>
        <v>#NAME?</v>
      </c>
      <c r="I4680" t="s">
        <v>11237</v>
      </c>
      <c r="J4680">
        <v>41.53</v>
      </c>
      <c r="K4680" s="2" t="s">
        <v>13435</v>
      </c>
      <c r="L4680">
        <v>4.0999999999999996</v>
      </c>
      <c r="M4680">
        <v>15</v>
      </c>
      <c r="O4680" t="s">
        <v>26</v>
      </c>
      <c r="P4680" t="s">
        <v>39</v>
      </c>
      <c r="Q4680" t="s">
        <v>11239</v>
      </c>
    </row>
    <row r="4681" spans="1:17" ht="15.75" x14ac:dyDescent="0.25">
      <c r="A4681" s="3" t="str">
        <f>HYPERLINK("https://shop.sonapharmacy.com/products/metagenics%C2%AE-ultra-potent-c-powder", "https://shop.sonapharmacy.com/products/metagenics%C2%AE-ultra-potent-c-powder")</f>
        <v>https://shop.sonapharmacy.com/products/metagenics%C2%AE-ultra-potent-c-powder</v>
      </c>
      <c r="B4681" s="3" t="str">
        <f>HYPERLINK("https://shop.sonapharmacy.com/products/metagenics%c2%ae-ultra-potent-c-powder", "https://shop.sonapharmacy.com/products/metagenics%c2%ae-ultra-potent-c-powder")</f>
        <v>https://shop.sonapharmacy.com/products/metagenics%c2%ae-ultra-potent-c-powder</v>
      </c>
      <c r="C4681" t="s">
        <v>13436</v>
      </c>
      <c r="D4681" t="s">
        <v>13437</v>
      </c>
      <c r="E4681" s="3" t="str">
        <f>HYPERLINK("https://www.amazon.com/Metagenics-Ultra-Potent-C-Powder-Ounce/dp/B001HJRWQ8/ref=sr_1_1?keywords=Metagenics%C2%AE+Ultra+Potent-C+Powder&amp;qid=1695260538&amp;sr=8-1", "https://www.amazon.com/Metagenics-Ultra-Potent-C-Powder-Ounce/dp/B001HJRWQ8/ref=sr_1_1?keywords=Metagenics%C2%AE+Ultra+Potent-C+Powder&amp;qid=1695260538&amp;sr=8-1")</f>
        <v>https://www.amazon.com/Metagenics-Ultra-Potent-C-Powder-Ounce/dp/B001HJRWQ8/ref=sr_1_1?keywords=Metagenics%C2%AE+Ultra+Potent-C+Powder&amp;qid=1695260538&amp;sr=8-1</v>
      </c>
      <c r="F4681" t="s">
        <v>13438</v>
      </c>
      <c r="G4681" t="e">
        <f ca="1">IMAGE("https://shop.sonapharmacy.com/cdn/shop/products/MetagenicsUltraC.jpg?v=1654004966")</f>
        <v>#NAME?</v>
      </c>
      <c r="H4681" t="e">
        <f ca="1">IMAGE("https://m.media-amazon.com/images/I/715QP1uMEiL._AC_UL320_.jpg")</f>
        <v>#NAME?</v>
      </c>
      <c r="I4681" t="s">
        <v>13439</v>
      </c>
      <c r="J4681">
        <v>54.73</v>
      </c>
      <c r="K4681" s="2" t="s">
        <v>13435</v>
      </c>
      <c r="L4681">
        <v>4.7</v>
      </c>
      <c r="M4681">
        <v>68</v>
      </c>
      <c r="O4681" t="s">
        <v>26</v>
      </c>
      <c r="P4681" t="s">
        <v>39</v>
      </c>
      <c r="Q4681" t="s">
        <v>13440</v>
      </c>
    </row>
    <row r="4682" spans="1:17" ht="15.75" x14ac:dyDescent="0.25">
      <c r="A4682" s="3" t="str">
        <f>HYPERLINK("https://shop.sonapharmacy.com/products/sunbum%C2%AE-original-spf-50-sunscreen-lotion-3oz", "https://shop.sonapharmacy.com/products/sunbum%C2%AE-original-spf-50-sunscreen-lotion-3oz")</f>
        <v>https://shop.sonapharmacy.com/products/sunbum%C2%AE-original-spf-50-sunscreen-lotion-3oz</v>
      </c>
      <c r="B4682" s="3" t="str">
        <f>HYPERLINK("https://shop.sonapharmacy.com/products/sunbum%c2%ae-original-spf-50-sunscreen-lotion-3oz", "https://shop.sonapharmacy.com/products/sunbum%c2%ae-original-spf-50-sunscreen-lotion-3oz")</f>
        <v>https://shop.sonapharmacy.com/products/sunbum%c2%ae-original-spf-50-sunscreen-lotion-3oz</v>
      </c>
      <c r="C4682" t="s">
        <v>9924</v>
      </c>
      <c r="D4682" t="s">
        <v>13441</v>
      </c>
      <c r="E4682" s="3" t="str">
        <f>HYPERLINK("https://www.amazon.com/Sun-Bum-Moisturizing-Protection-Hypoallergenic/dp/B00WTHV0KQ/ref=sr_1_5?keywords=Sun+Bum%C2%AE+Original+SPF+50+Sunscreen+Lotion&amp;qid=1695260742&amp;sr=8-5", "https://www.amazon.com/Sun-Bum-Moisturizing-Protection-Hypoallergenic/dp/B00WTHV0KQ/ref=sr_1_5?keywords=Sun+Bum%C2%AE+Original+SPF+50+Sunscreen+Lotion&amp;qid=1695260742&amp;sr=8-5")</f>
        <v>https://www.amazon.com/Sun-Bum-Moisturizing-Protection-Hypoallergenic/dp/B00WTHV0KQ/ref=sr_1_5?keywords=Sun+Bum%C2%AE+Original+SPF+50+Sunscreen+Lotion&amp;qid=1695260742&amp;sr=8-5</v>
      </c>
      <c r="F4682" t="s">
        <v>13442</v>
      </c>
      <c r="G4682" t="e">
        <f ca="1">IMAGE("https://shop.sonapharmacy.com/cdn/shop/products/71liju0WraL._SL1500.jpg?v=1611868598")</f>
        <v>#NAME?</v>
      </c>
      <c r="H4682" t="e">
        <f ca="1">IMAGE("https://m.media-amazon.com/images/I/517+0qhD0+S._AC_UL320_.jpg")</f>
        <v>#NAME?</v>
      </c>
      <c r="I4682" t="s">
        <v>4873</v>
      </c>
      <c r="J4682">
        <v>10.99</v>
      </c>
      <c r="K4682" s="2" t="s">
        <v>13435</v>
      </c>
      <c r="L4682">
        <v>4.8</v>
      </c>
      <c r="M4682">
        <v>8020</v>
      </c>
      <c r="O4682" t="s">
        <v>26</v>
      </c>
      <c r="P4682" t="s">
        <v>39</v>
      </c>
      <c r="Q4682" t="s">
        <v>9928</v>
      </c>
    </row>
    <row r="4683" spans="1:17" ht="15.75" x14ac:dyDescent="0.25">
      <c r="A4683" s="3" t="str">
        <f>HYPERLINK("https://shop.sonapharmacy.com/products/metagenics-bone-builder-extra-strength", "https://shop.sonapharmacy.com/products/metagenics-bone-builder-extra-strength")</f>
        <v>https://shop.sonapharmacy.com/products/metagenics-bone-builder-extra-strength</v>
      </c>
      <c r="B4683" s="3" t="str">
        <f>HYPERLINK("https://shop.sonapharmacy.com/products/metagenics-bone-builder-extra-strength", "https://shop.sonapharmacy.com/products/metagenics-bone-builder-extra-strength")</f>
        <v>https://shop.sonapharmacy.com/products/metagenics-bone-builder-extra-strength</v>
      </c>
      <c r="C4683" t="s">
        <v>13443</v>
      </c>
      <c r="D4683" t="s">
        <v>13444</v>
      </c>
      <c r="E4683" s="3" t="str">
        <f>HYPERLINK("https://www.amazon.com/Metagenics-Builder-Extra-Strength-Count/dp/B004GLCXC2/ref=sr_1_1?keywords=Metagenics+Bone+Builder+Extra+Strength&amp;qid=1695260463&amp;sr=8-1", "https://www.amazon.com/Metagenics-Builder-Extra-Strength-Count/dp/B004GLCXC2/ref=sr_1_1?keywords=Metagenics+Bone+Builder+Extra+Strength&amp;qid=1695260463&amp;sr=8-1")</f>
        <v>https://www.amazon.com/Metagenics-Builder-Extra-Strength-Count/dp/B004GLCXC2/ref=sr_1_1?keywords=Metagenics+Bone+Builder+Extra+Strength&amp;qid=1695260463&amp;sr=8-1</v>
      </c>
      <c r="F4683" t="s">
        <v>13445</v>
      </c>
      <c r="G4683" t="e">
        <f ca="1">IMAGE("https://shop.sonapharmacy.com/cdn/shop/products/2e2bf89c-7338-4f8b-900a-10b6cf32e67e-358-358.png?v=1646145694")</f>
        <v>#NAME?</v>
      </c>
      <c r="H4683" t="e">
        <f ca="1">IMAGE("https://m.media-amazon.com/images/I/81J3h9ZwEOL._AC_UL320_.jpg")</f>
        <v>#NAME?</v>
      </c>
      <c r="I4683" t="s">
        <v>13446</v>
      </c>
      <c r="J4683">
        <v>68.48</v>
      </c>
      <c r="K4683" s="2" t="s">
        <v>13435</v>
      </c>
      <c r="L4683">
        <v>4.5999999999999996</v>
      </c>
      <c r="M4683">
        <v>309</v>
      </c>
      <c r="O4683" t="s">
        <v>26</v>
      </c>
      <c r="P4683" t="s">
        <v>39</v>
      </c>
      <c r="Q4683" t="s">
        <v>13447</v>
      </c>
    </row>
    <row r="4684" spans="1:17" ht="15.75" x14ac:dyDescent="0.25">
      <c r="A4684" s="3" t="str">
        <f>HYPERLINK("https://shop.sonapharmacy.com/products/metagenics-coq10-st-100", "https://shop.sonapharmacy.com/products/metagenics-coq10-st-100")</f>
        <v>https://shop.sonapharmacy.com/products/metagenics-coq10-st-100</v>
      </c>
      <c r="B4684" s="3" t="str">
        <f>HYPERLINK("https://shop.sonapharmacy.com/products/metagenics-coq10-st-100", "https://shop.sonapharmacy.com/products/metagenics-coq10-st-100")</f>
        <v>https://shop.sonapharmacy.com/products/metagenics-coq10-st-100</v>
      </c>
      <c r="C4684" t="s">
        <v>10757</v>
      </c>
      <c r="D4684" t="s">
        <v>13448</v>
      </c>
      <c r="E4684" s="3" t="str">
        <f>HYPERLINK("https://www.amazon.com/Metagenics-Absorbable-Supplement-Production-Cardiovascular/dp/B004GIJXUU/ref=sr_1_2?keywords=Metagenics+CoQ10+ST-100&amp;qid=1695260461&amp;sr=8-2", "https://www.amazon.com/Metagenics-Absorbable-Supplement-Production-Cardiovascular/dp/B004GIJXUU/ref=sr_1_2?keywords=Metagenics+CoQ10+ST-100&amp;qid=1695260461&amp;sr=8-2")</f>
        <v>https://www.amazon.com/Metagenics-Absorbable-Supplement-Production-Cardiovascular/dp/B004GIJXUU/ref=sr_1_2?keywords=Metagenics+CoQ10+ST-100&amp;qid=1695260461&amp;sr=8-2</v>
      </c>
      <c r="F4684" t="s">
        <v>13449</v>
      </c>
      <c r="G4684" t="e">
        <f ca="1">IMAGE("https://shop.sonapharmacy.com/cdn/shop/products/ccabd559-90cf-4ade-9938-9635db5c3192-358-358.png?v=1668627545")</f>
        <v>#NAME?</v>
      </c>
      <c r="H4684" t="e">
        <f ca="1">IMAGE("https://m.media-amazon.com/images/I/71EtA4raxdL._AC_UL320_.jpg")</f>
        <v>#NAME?</v>
      </c>
      <c r="I4684" t="s">
        <v>10760</v>
      </c>
      <c r="J4684">
        <v>70.680000000000007</v>
      </c>
      <c r="K4684" s="2" t="s">
        <v>13435</v>
      </c>
      <c r="L4684">
        <v>4.7</v>
      </c>
      <c r="M4684">
        <v>104</v>
      </c>
      <c r="O4684" t="s">
        <v>26</v>
      </c>
      <c r="P4684" t="s">
        <v>39</v>
      </c>
      <c r="Q4684" t="s">
        <v>10762</v>
      </c>
    </row>
    <row r="4685" spans="1:17" ht="15.75" x14ac:dyDescent="0.25">
      <c r="A4685" s="3" t="str">
        <f>HYPERLINK("https://shop.sonapharmacy.com/products/apex%C2%AE-soft-foam-ear-plugs-4-pairs", "https://shop.sonapharmacy.com/products/apex%C2%AE-soft-foam-ear-plugs-4-pairs")</f>
        <v>https://shop.sonapharmacy.com/products/apex%C2%AE-soft-foam-ear-plugs-4-pairs</v>
      </c>
      <c r="B4685" s="3" t="str">
        <f>HYPERLINK("https://shop.sonapharmacy.com/products/apex%c2%ae-soft-foam-ear-plugs-4-pairs", "https://shop.sonapharmacy.com/products/apex%c2%ae-soft-foam-ear-plugs-4-pairs")</f>
        <v>https://shop.sonapharmacy.com/products/apex%c2%ae-soft-foam-ear-plugs-4-pairs</v>
      </c>
      <c r="C4685" t="s">
        <v>10471</v>
      </c>
      <c r="D4685" t="s">
        <v>13450</v>
      </c>
      <c r="E4685" s="3" t="str">
        <f>HYPERLINK("https://www.amazon.com/Apex-Soft-Foam-Plugs-Package/dp/B000EGKTEM/ref=sr_1_1?keywords=Apex+Soft+Foam+Ear+Plugs+-+4+Pairs&amp;qid=1695260025&amp;sr=8-1", "https://www.amazon.com/Apex-Soft-Foam-Plugs-Package/dp/B000EGKTEM/ref=sr_1_1?keywords=Apex+Soft+Foam+Ear+Plugs+-+4+Pairs&amp;qid=1695260025&amp;sr=8-1")</f>
        <v>https://www.amazon.com/Apex-Soft-Foam-Plugs-Package/dp/B000EGKTEM/ref=sr_1_1?keywords=Apex+Soft+Foam+Ear+Plugs+-+4+Pairs&amp;qid=1695260025&amp;sr=8-1</v>
      </c>
      <c r="F4685" t="s">
        <v>13451</v>
      </c>
      <c r="G4685" t="e">
        <f ca="1">IMAGE("https://shop.sonapharmacy.com/cdn/shop/products/61Z0lzeE_zL._AC_SX466.jpg?v=1609960681")</f>
        <v>#NAME?</v>
      </c>
      <c r="H4685" t="e">
        <f ca="1">IMAGE("https://m.media-amazon.com/images/I/61434CLS9rL._AC_UL320_.jpg")</f>
        <v>#NAME?</v>
      </c>
      <c r="I4685" t="s">
        <v>10474</v>
      </c>
      <c r="J4685">
        <v>3.99</v>
      </c>
      <c r="K4685" s="2" t="s">
        <v>13452</v>
      </c>
      <c r="L4685">
        <v>4</v>
      </c>
      <c r="M4685">
        <v>16</v>
      </c>
      <c r="O4685" t="s">
        <v>26</v>
      </c>
      <c r="P4685" t="s">
        <v>39</v>
      </c>
      <c r="Q4685" t="s">
        <v>10476</v>
      </c>
    </row>
    <row r="4686" spans="1:17" ht="15.75" x14ac:dyDescent="0.25">
      <c r="A4686" s="3" t="str">
        <f>HYPERLINK("https://shop.sonapharmacy.com/products/mueller-kinesiology-tape%C2%AE-i-strips-pre-cut-tape-roll", "https://shop.sonapharmacy.com/products/mueller-kinesiology-tape%C2%AE-i-strips-pre-cut-tape-roll")</f>
        <v>https://shop.sonapharmacy.com/products/mueller-kinesiology-tape%C2%AE-i-strips-pre-cut-tape-roll</v>
      </c>
      <c r="B4686" s="3" t="str">
        <f>HYPERLINK("https://shop.sonapharmacy.com/products/mueller-kinesiology-tape%c2%ae-i-strips-pre-cut-tape-roll", "https://shop.sonapharmacy.com/products/mueller-kinesiology-tape%c2%ae-i-strips-pre-cut-tape-roll")</f>
        <v>https://shop.sonapharmacy.com/products/mueller-kinesiology-tape%c2%ae-i-strips-pre-cut-tape-roll</v>
      </c>
      <c r="C4686" t="s">
        <v>11477</v>
      </c>
      <c r="D4686" t="s">
        <v>13453</v>
      </c>
      <c r="E4686" s="3" t="str">
        <f>HYPERLINK("https://www.amazon.com/CKeep-Kinesiology-Original-Hypoallergenic-Waterproof/dp/B0B8HJBHCY/ref=sr_1_7?keywords=Mueller+Kinesiology+Tape%C2%AE+I-Strips+Pre-Cut+Tape+Roll&amp;qid=1695260503&amp;sr=8-7", "https://www.amazon.com/CKeep-Kinesiology-Original-Hypoallergenic-Waterproof/dp/B0B8HJBHCY/ref=sr_1_7?keywords=Mueller+Kinesiology+Tape%C2%AE+I-Strips+Pre-Cut+Tape+Roll&amp;qid=1695260503&amp;sr=8-7")</f>
        <v>https://www.amazon.com/CKeep-Kinesiology-Original-Hypoallergenic-Waterproof/dp/B0B8HJBHCY/ref=sr_1_7?keywords=Mueller+Kinesiology+Tape%C2%AE+I-Strips+Pre-Cut+Tape+Roll&amp;qid=1695260503&amp;sr=8-7</v>
      </c>
      <c r="F4686" t="s">
        <v>13454</v>
      </c>
      <c r="G4686" t="e">
        <f ca="1">IMAGE("https://shop.sonapharmacy.com/cdn/shop/products/black_fd3353bd-3884-4f87-90b8-1327b7073970.jpg?v=1609944494")</f>
        <v>#NAME?</v>
      </c>
      <c r="H4686" t="e">
        <f ca="1">IMAGE("https://m.media-amazon.com/images/I/81O6OX2IkuL._AC_UL320_.jpg")</f>
        <v>#NAME?</v>
      </c>
      <c r="I4686" t="s">
        <v>8096</v>
      </c>
      <c r="J4686">
        <v>9.99</v>
      </c>
      <c r="K4686" s="2" t="s">
        <v>13455</v>
      </c>
      <c r="L4686">
        <v>4.4000000000000004</v>
      </c>
      <c r="M4686">
        <v>4145</v>
      </c>
      <c r="O4686" t="s">
        <v>26</v>
      </c>
      <c r="P4686" t="s">
        <v>39</v>
      </c>
      <c r="Q4686" t="s">
        <v>11481</v>
      </c>
    </row>
    <row r="4687" spans="1:17" ht="15.75" x14ac:dyDescent="0.25">
      <c r="A4687" s="3" t="str">
        <f>HYPERLINK("https://shop.sonapharmacy.com/products/duracell%C2%AE-384-392-silver-oxide-button-battery", "https://shop.sonapharmacy.com/products/duracell%C2%AE-384-392-silver-oxide-button-battery")</f>
        <v>https://shop.sonapharmacy.com/products/duracell%C2%AE-384-392-silver-oxide-button-battery</v>
      </c>
      <c r="B4687" s="3" t="str">
        <f>HYPERLINK("https://shop.sonapharmacy.com/products/duracell%c2%ae-384-392-silver-oxide-button-battery", "https://shop.sonapharmacy.com/products/duracell%c2%ae-384-392-silver-oxide-button-battery")</f>
        <v>https://shop.sonapharmacy.com/products/duracell%c2%ae-384-392-silver-oxide-button-battery</v>
      </c>
      <c r="C4687" t="s">
        <v>12412</v>
      </c>
      <c r="D4687" t="s">
        <v>13456</v>
      </c>
      <c r="E4687" s="3" t="str">
        <f>HYPERLINK("https://www.amazon.com/Energizer-392-Silver-Oxide-Battery/dp/B0035HCXZK/ref=sr_1_9?keywords=Duracell%C2%AE+384%2F392+Silver+Oxide+Button+Battery&amp;qid=1695260213&amp;sr=8-9", "https://www.amazon.com/Energizer-392-Silver-Oxide-Battery/dp/B0035HCXZK/ref=sr_1_9?keywords=Duracell%C2%AE+384%2F392+Silver+Oxide+Button+Battery&amp;qid=1695260213&amp;sr=8-9")</f>
        <v>https://www.amazon.com/Energizer-392-Silver-Oxide-Battery/dp/B0035HCXZK/ref=sr_1_9?keywords=Duracell%C2%AE+384%2F392+Silver+Oxide+Button+Battery&amp;qid=1695260213&amp;sr=8-9</v>
      </c>
      <c r="F4687" t="s">
        <v>13457</v>
      </c>
      <c r="G4687" t="e">
        <f ca="1">IMAGE("https://shop.sonapharmacy.com/cdn/shop/products/0b52d5e3-c879-4b57-80be-c3c0fed3d0de_1.7f064c989c6a1bbc7370a5e30f008f85.jpg?v=1610330993")</f>
        <v>#NAME?</v>
      </c>
      <c r="H4687" t="e">
        <f ca="1">IMAGE("https://m.media-amazon.com/images/I/518I38Zz7jL._AC_UL320_.jpg")</f>
        <v>#NAME?</v>
      </c>
      <c r="I4687" t="s">
        <v>11219</v>
      </c>
      <c r="J4687">
        <v>5.15</v>
      </c>
      <c r="K4687" s="2" t="s">
        <v>13458</v>
      </c>
      <c r="L4687">
        <v>4.5999999999999996</v>
      </c>
      <c r="M4687">
        <v>612</v>
      </c>
      <c r="O4687" t="s">
        <v>26</v>
      </c>
      <c r="P4687" t="s">
        <v>39</v>
      </c>
      <c r="Q4687" t="s">
        <v>12416</v>
      </c>
    </row>
    <row r="4688" spans="1:17" ht="15.75" x14ac:dyDescent="0.25">
      <c r="A4688" s="3" t="str">
        <f>HYPERLINK("https://shop.sonapharmacy.com/products/flents%C2%AE-concave-eye-patch", "https://shop.sonapharmacy.com/products/flents%C2%AE-concave-eye-patch")</f>
        <v>https://shop.sonapharmacy.com/products/flents%C2%AE-concave-eye-patch</v>
      </c>
      <c r="B4688" s="3" t="str">
        <f>HYPERLINK("https://shop.sonapharmacy.com/products/flents%c2%ae-concave-eye-patch", "https://shop.sonapharmacy.com/products/flents%c2%ae-concave-eye-patch")</f>
        <v>https://shop.sonapharmacy.com/products/flents%c2%ae-concave-eye-patch</v>
      </c>
      <c r="C4688" t="s">
        <v>13459</v>
      </c>
      <c r="D4688" t="s">
        <v>13460</v>
      </c>
      <c r="E4688" s="3" t="str">
        <f>HYPERLINK("https://www.amazon.com/Eyepatch-Comfortable-Adjustable-Amblyopia-Corrected-Strabismus/dp/B07GKXHRPP/ref=sr_1_5?keywords=Flents%C2%AE+Concave+Eye+Patch&amp;qid=1695260267&amp;sr=8-5", "https://www.amazon.com/Eyepatch-Comfortable-Adjustable-Amblyopia-Corrected-Strabismus/dp/B07GKXHRPP/ref=sr_1_5?keywords=Flents%C2%AE+Concave+Eye+Patch&amp;qid=1695260267&amp;sr=8-5")</f>
        <v>https://www.amazon.com/Eyepatch-Comfortable-Adjustable-Amblyopia-Corrected-Strabismus/dp/B07GKXHRPP/ref=sr_1_5?keywords=Flents%C2%AE+Concave+Eye+Patch&amp;qid=1695260267&amp;sr=8-5</v>
      </c>
      <c r="F4688" t="s">
        <v>13461</v>
      </c>
      <c r="G4688" t="e">
        <f ca="1">IMAGE("https://shop.sonapharmacy.com/cdn/shop/products/61D8Tlok4vL._AC_SL1430.jpg?v=1609179329")</f>
        <v>#NAME?</v>
      </c>
      <c r="H4688" t="e">
        <f ca="1">IMAGE("https://m.media-amazon.com/images/I/51x-hwiEQLL._AC_UL320_.jpg")</f>
        <v>#NAME?</v>
      </c>
      <c r="I4688" t="s">
        <v>8760</v>
      </c>
      <c r="J4688">
        <v>6.4</v>
      </c>
      <c r="K4688" s="2" t="s">
        <v>13462</v>
      </c>
      <c r="L4688">
        <v>3.6</v>
      </c>
      <c r="M4688">
        <v>37</v>
      </c>
      <c r="O4688" t="s">
        <v>26</v>
      </c>
      <c r="P4688" t="s">
        <v>39</v>
      </c>
      <c r="Q4688" t="s">
        <v>13463</v>
      </c>
    </row>
    <row r="4689" spans="1:17" ht="15.75" x14ac:dyDescent="0.25">
      <c r="A4689" s="3" t="str">
        <f>HYPERLINK("https://shop.sonapharmacy.com/products/aquaphor%C2%AE-healing-ointment", "https://shop.sonapharmacy.com/products/aquaphor%C2%AE-healing-ointment")</f>
        <v>https://shop.sonapharmacy.com/products/aquaphor%C2%AE-healing-ointment</v>
      </c>
      <c r="B4689" s="3" t="str">
        <f>HYPERLINK("https://shop.sonapharmacy.com/products/aquaphor%c2%ae-healing-ointment", "https://shop.sonapharmacy.com/products/aquaphor%c2%ae-healing-ointment")</f>
        <v>https://shop.sonapharmacy.com/products/aquaphor%c2%ae-healing-ointment</v>
      </c>
      <c r="C4689" t="s">
        <v>9238</v>
      </c>
      <c r="D4689" t="s">
        <v>13464</v>
      </c>
      <c r="E4689" s="3" t="str">
        <f>HYPERLINK("https://www.amazon.com/Aquaphor-Advanced-Therapy-Ointment-Protectant/dp/B001IAG7G2/ref=sr_1_8?keywords=Aquaphor+Healing+Ointment&amp;qid=1695260029&amp;sr=8-8", "https://www.amazon.com/Aquaphor-Advanced-Therapy-Ointment-Protectant/dp/B001IAG7G2/ref=sr_1_8?keywords=Aquaphor+Healing+Ointment&amp;qid=1695260029&amp;sr=8-8")</f>
        <v>https://www.amazon.com/Aquaphor-Advanced-Therapy-Ointment-Protectant/dp/B001IAG7G2/ref=sr_1_8?keywords=Aquaphor+Healing+Ointment&amp;qid=1695260029&amp;sr=8-8</v>
      </c>
      <c r="F4689" t="s">
        <v>13465</v>
      </c>
      <c r="G4689" t="e">
        <f ca="1">IMAGE("https://shop.sonapharmacy.com/cdn/shop/products/83663518614618p.jpg?v=1609722179")</f>
        <v>#NAME?</v>
      </c>
      <c r="H4689" t="e">
        <f ca="1">IMAGE("https://m.media-amazon.com/images/I/71+kkCzoFqL._AC_UL320_.jpg")</f>
        <v>#NAME?</v>
      </c>
      <c r="I4689" t="s">
        <v>9241</v>
      </c>
      <c r="J4689">
        <v>6.49</v>
      </c>
      <c r="K4689" s="2" t="s">
        <v>13466</v>
      </c>
      <c r="L4689">
        <v>4.8</v>
      </c>
      <c r="M4689">
        <v>13307</v>
      </c>
      <c r="O4689" t="s">
        <v>26</v>
      </c>
      <c r="P4689" t="s">
        <v>39</v>
      </c>
      <c r="Q4689" t="s">
        <v>9243</v>
      </c>
    </row>
    <row r="4690" spans="1:17" ht="15.75" x14ac:dyDescent="0.25">
      <c r="A4690" s="3" t="str">
        <f>HYPERLINK("https://shop.sonapharmacy.com/products/sunbum%C2%AE-original-spf-15-sunscreen-spray-6oz", "https://shop.sonapharmacy.com/products/sunbum%C2%AE-original-spf-15-sunscreen-spray-6oz")</f>
        <v>https://shop.sonapharmacy.com/products/sunbum%C2%AE-original-spf-15-sunscreen-spray-6oz</v>
      </c>
      <c r="B4690" s="3" t="str">
        <f>HYPERLINK("https://shop.sonapharmacy.com/products/sunbum%c2%ae-original-spf-15-sunscreen-spray-6oz", "https://shop.sonapharmacy.com/products/sunbum%c2%ae-original-spf-15-sunscreen-spray-6oz")</f>
        <v>https://shop.sonapharmacy.com/products/sunbum%c2%ae-original-spf-15-sunscreen-spray-6oz</v>
      </c>
      <c r="C4690" t="s">
        <v>10959</v>
      </c>
      <c r="D4690" t="s">
        <v>13467</v>
      </c>
      <c r="E4690" s="3" t="str">
        <f>HYPERLINK("https://www.amazon.com/Sun-Bum-Moisturizing-Protection-Hypoallergenic/dp/B004XGLERK/ref=sr_1_1?keywords=Sun+Bum%C2%AE+Original+SPF+15+Sunscreen+Spray+6oz.&amp;qid=1695260740&amp;rdc=1&amp;sr=8-1", "https://www.amazon.com/Sun-Bum-Moisturizing-Protection-Hypoallergenic/dp/B004XGLERK/ref=sr_1_1?keywords=Sun+Bum%C2%AE+Original+SPF+15+Sunscreen+Spray+6oz.&amp;qid=1695260740&amp;rdc=1&amp;sr=8-1")</f>
        <v>https://www.amazon.com/Sun-Bum-Moisturizing-Protection-Hypoallergenic/dp/B004XGLERK/ref=sr_1_1?keywords=Sun+Bum%C2%AE+Original+SPF+15+Sunscreen+Spray+6oz.&amp;qid=1695260740&amp;rdc=1&amp;sr=8-1</v>
      </c>
      <c r="F4690" t="s">
        <v>13468</v>
      </c>
      <c r="G4690" t="e">
        <f ca="1">IMAGE("https://shop.sonapharmacy.com/cdn/shop/products/71iL74hpC9L._AC_SL1500.jpg?v=1611869838")</f>
        <v>#NAME?</v>
      </c>
      <c r="H4690" t="e">
        <f ca="1">IMAGE("https://m.media-amazon.com/images/I/61dZIQ+lCAL._AC_UL320_.jpg")</f>
        <v>#NAME?</v>
      </c>
      <c r="I4690" t="s">
        <v>3394</v>
      </c>
      <c r="J4690">
        <v>17.489999999999998</v>
      </c>
      <c r="K4690" s="2" t="s">
        <v>7752</v>
      </c>
      <c r="L4690">
        <v>4.8</v>
      </c>
      <c r="M4690">
        <v>21217</v>
      </c>
      <c r="O4690" t="s">
        <v>26</v>
      </c>
      <c r="P4690" t="s">
        <v>39</v>
      </c>
      <c r="Q4690" t="s">
        <v>10963</v>
      </c>
    </row>
    <row r="4691" spans="1:17" ht="15.75" x14ac:dyDescent="0.25">
      <c r="A4691" s="3" t="str">
        <f>HYPERLINK("https://shop.sonapharmacy.com/products/coricidin-hbp-chest-congestion-cough-liquid-gels", "https://shop.sonapharmacy.com/products/coricidin-hbp-chest-congestion-cough-liquid-gels")</f>
        <v>https://shop.sonapharmacy.com/products/coricidin-hbp-chest-congestion-cough-liquid-gels</v>
      </c>
      <c r="B4691" s="3" t="str">
        <f>HYPERLINK("https://shop.sonapharmacy.com/products/coricidin-hbp-chest-congestion-cough-liquid-gels", "https://shop.sonapharmacy.com/products/coricidin-hbp-chest-congestion-cough-liquid-gels")</f>
        <v>https://shop.sonapharmacy.com/products/coricidin-hbp-chest-congestion-cough-liquid-gels</v>
      </c>
      <c r="C4691" t="s">
        <v>9766</v>
      </c>
      <c r="D4691" t="s">
        <v>13469</v>
      </c>
      <c r="E4691" s="3" t="str">
        <f>HYPERLINK("https://www.amazon.com/Mucinex-Cough-Congestion-Pressure-Liquid/dp/B0BS5BKS2J/ref=sr_1_10?keywords=Coricidin%C2%AE+HBP+Chest+Congestion+%26+Cough+Liquid+Gels&amp;qid=1695260160&amp;sr=8-10", "https://www.amazon.com/Mucinex-Cough-Congestion-Pressure-Liquid/dp/B0BS5BKS2J/ref=sr_1_10?keywords=Coricidin%C2%AE+HBP+Chest+Congestion+%26+Cough+Liquid+Gels&amp;qid=1695260160&amp;sr=8-10")</f>
        <v>https://www.amazon.com/Mucinex-Cough-Congestion-Pressure-Liquid/dp/B0BS5BKS2J/ref=sr_1_10?keywords=Coricidin%C2%AE+HBP+Chest+Congestion+%26+Cough+Liquid+Gels&amp;qid=1695260160&amp;sr=8-10</v>
      </c>
      <c r="F4691" t="s">
        <v>13470</v>
      </c>
      <c r="G4691" t="e">
        <f ca="1">IMAGE("https://shop.sonapharmacy.com/cdn/shop/products/CoricidinHBPChestCongestion_CoughLiquidGels.png?v=1595528319")</f>
        <v>#NAME?</v>
      </c>
      <c r="H4691" t="e">
        <f ca="1">IMAGE("https://m.media-amazon.com/images/I/81ugyFEzEgL._AC_UL320_.jpg")</f>
        <v>#NAME?</v>
      </c>
      <c r="I4691" t="s">
        <v>9769</v>
      </c>
      <c r="J4691">
        <v>12.49</v>
      </c>
      <c r="K4691" s="2" t="s">
        <v>7755</v>
      </c>
      <c r="L4691">
        <v>4.8</v>
      </c>
      <c r="M4691">
        <v>75</v>
      </c>
      <c r="O4691" t="s">
        <v>26</v>
      </c>
      <c r="P4691" t="s">
        <v>39</v>
      </c>
      <c r="Q4691" t="s">
        <v>9771</v>
      </c>
    </row>
    <row r="4692" spans="1:17" ht="15.75" x14ac:dyDescent="0.25">
      <c r="A4692" s="3" t="str">
        <f>HYPERLINK("https://shop.sonapharmacy.com/products/major-cough-dm-12-hour-cough-relief-cough-suppressant-liquid", "https://shop.sonapharmacy.com/products/major-cough-dm-12-hour-cough-relief-cough-suppressant-liquid")</f>
        <v>https://shop.sonapharmacy.com/products/major-cough-dm-12-hour-cough-relief-cough-suppressant-liquid</v>
      </c>
      <c r="B4692" s="3" t="str">
        <f>HYPERLINK("https://shop.sonapharmacy.com/products/major-cough-dm-12-hour-cough-relief-cough-suppressant-liquid", "https://shop.sonapharmacy.com/products/major-cough-dm-12-hour-cough-relief-cough-suppressant-liquid")</f>
        <v>https://shop.sonapharmacy.com/products/major-cough-dm-12-hour-cough-relief-cough-suppressant-liquid</v>
      </c>
      <c r="C4692" t="s">
        <v>11630</v>
      </c>
      <c r="D4692" t="s">
        <v>13471</v>
      </c>
      <c r="E4692" s="3" t="str">
        <f>HYPERLINK("https://www.amazon.com/Delsym-Childrens-Cough-Relief-Liquid/dp/B002CQUFWS/ref=sr_1_8?keywords=Major%C2%AE+Cough+DM+12+Hour+Cough+Relief+Cough+Suppressant+Liquid&amp;qid=1695260458&amp;sr=8-8", "https://www.amazon.com/Delsym-Childrens-Cough-Relief-Liquid/dp/B002CQUFWS/ref=sr_1_8?keywords=Major%C2%AE+Cough+DM+12+Hour+Cough+Relief+Cough+Suppressant+Liquid&amp;qid=1695260458&amp;sr=8-8")</f>
        <v>https://www.amazon.com/Delsym-Childrens-Cough-Relief-Liquid/dp/B002CQUFWS/ref=sr_1_8?keywords=Major%C2%AE+Cough+DM+12+Hour+Cough+Relief+Cough+Suppressant+Liquid&amp;qid=1695260458&amp;sr=8-8</v>
      </c>
      <c r="F4692" t="s">
        <v>13472</v>
      </c>
      <c r="G4692" t="e">
        <f ca="1">IMAGE("https://shop.sonapharmacy.com/cdn/shop/products/MajorCoughDM12HourCoughReliefCoughSuppressantLiquid.jpg?v=1595356959")</f>
        <v>#NAME?</v>
      </c>
      <c r="H4692" t="e">
        <f ca="1">IMAGE("https://m.media-amazon.com/images/I/81KOpG7EsoL._AC_UL320_.jpg")</f>
        <v>#NAME?</v>
      </c>
      <c r="I4692" t="s">
        <v>11633</v>
      </c>
      <c r="J4692">
        <v>13.89</v>
      </c>
      <c r="K4692" s="2" t="s">
        <v>13473</v>
      </c>
      <c r="L4692">
        <v>4.7</v>
      </c>
      <c r="M4692">
        <v>1322</v>
      </c>
      <c r="O4692" t="s">
        <v>136</v>
      </c>
      <c r="P4692" t="s">
        <v>39</v>
      </c>
      <c r="Q4692" t="s">
        <v>11635</v>
      </c>
    </row>
    <row r="4693" spans="1:17" ht="15.75" x14ac:dyDescent="0.25">
      <c r="A4693" s="3" t="str">
        <f>HYPERLINK("https://shop.sonapharmacy.com/products/refresh%C2%AE-plus%C2%AE-preservative-free-lubricant-eye-drops", "https://shop.sonapharmacy.com/products/refresh%C2%AE-plus%C2%AE-preservative-free-lubricant-eye-drops")</f>
        <v>https://shop.sonapharmacy.com/products/refresh%C2%AE-plus%C2%AE-preservative-free-lubricant-eye-drops</v>
      </c>
      <c r="B4693" s="3" t="str">
        <f>HYPERLINK("https://shop.sonapharmacy.com/products/refresh%c2%ae-plus%c2%ae-preservative-free-lubricant-eye-drops", "https://shop.sonapharmacy.com/products/refresh%c2%ae-plus%c2%ae-preservative-free-lubricant-eye-drops")</f>
        <v>https://shop.sonapharmacy.com/products/refresh%c2%ae-plus%c2%ae-preservative-free-lubricant-eye-drops</v>
      </c>
      <c r="C4693" t="s">
        <v>12528</v>
      </c>
      <c r="D4693" t="s">
        <v>13474</v>
      </c>
      <c r="E4693" s="3" t="str">
        <f>HYPERLINK("https://www.amazon.com/Refresh-Relieva-Preservative-Free-Lubricant-Sterile/dp/B07WY754MK/ref=sr_1_3?keywords=Refresh%C2%AE+Plus%C2%AE+Preservative+Free+Lubricant+Eye+Drops&amp;qid=1695260668&amp;sr=8-3", "https://www.amazon.com/Refresh-Relieva-Preservative-Free-Lubricant-Sterile/dp/B07WY754MK/ref=sr_1_3?keywords=Refresh%C2%AE+Plus%C2%AE+Preservative+Free+Lubricant+Eye+Drops&amp;qid=1695260668&amp;sr=8-3")</f>
        <v>https://www.amazon.com/Refresh-Relieva-Preservative-Free-Lubricant-Sterile/dp/B07WY754MK/ref=sr_1_3?keywords=Refresh%C2%AE+Plus%C2%AE+Preservative+Free+Lubricant+Eye+Drops&amp;qid=1695260668&amp;sr=8-3</v>
      </c>
      <c r="F4693" t="s">
        <v>13475</v>
      </c>
      <c r="G4693" t="e">
        <f ca="1">IMAGE("https://shop.sonapharmacy.com/cdn/shop/products/refresh-plus-hero-packaging.png?v=1608823477")</f>
        <v>#NAME?</v>
      </c>
      <c r="H4693" t="e">
        <f ca="1">IMAGE("https://m.media-amazon.com/images/I/71oFUBXuFsL._AC_UL320_.jpg")</f>
        <v>#NAME?</v>
      </c>
      <c r="I4693" t="s">
        <v>10608</v>
      </c>
      <c r="J4693">
        <v>14.77</v>
      </c>
      <c r="K4693" s="2" t="s">
        <v>13476</v>
      </c>
      <c r="L4693">
        <v>4.4000000000000004</v>
      </c>
      <c r="M4693">
        <v>2906</v>
      </c>
      <c r="O4693" t="s">
        <v>26</v>
      </c>
      <c r="P4693" t="s">
        <v>39</v>
      </c>
      <c r="Q4693" t="s">
        <v>12532</v>
      </c>
    </row>
    <row r="4694" spans="1:17" ht="15.75" x14ac:dyDescent="0.25">
      <c r="A4694" s="3" t="str">
        <f>HYPERLINK("https://shop.sonapharmacy.com/products/lubriderm-daily-moisture-lotion-fragrance-free-16fl-oz", "https://shop.sonapharmacy.com/products/lubriderm-daily-moisture-lotion-fragrance-free-16fl-oz")</f>
        <v>https://shop.sonapharmacy.com/products/lubriderm-daily-moisture-lotion-fragrance-free-16fl-oz</v>
      </c>
      <c r="B4694" s="3" t="str">
        <f>HYPERLINK("https://shop.sonapharmacy.com/products/lubriderm-daily-moisture-lotion-fragrance-free-16fl-oz", "https://shop.sonapharmacy.com/products/lubriderm-daily-moisture-lotion-fragrance-free-16fl-oz")</f>
        <v>https://shop.sonapharmacy.com/products/lubriderm-daily-moisture-lotion-fragrance-free-16fl-oz</v>
      </c>
      <c r="C4694" t="s">
        <v>8932</v>
      </c>
      <c r="D4694" t="s">
        <v>13477</v>
      </c>
      <c r="E4694" s="3" t="str">
        <f>HYPERLINK("https://www.amazon.com/Lubriderm-Moisture-Lotion-Fragrance-Free-Normal/dp/B075G3RJDZ/ref=sr_1_1?keywords=Lubriderm+Daily+Moisture+Lotion+Fragrance-Free+16fl.+oz.&amp;qid=1695260464&amp;sr=8-1", "https://www.amazon.com/Lubriderm-Moisture-Lotion-Fragrance-Free-Normal/dp/B075G3RJDZ/ref=sr_1_1?keywords=Lubriderm+Daily+Moisture+Lotion+Fragrance-Free+16fl.+oz.&amp;qid=1695260464&amp;sr=8-1")</f>
        <v>https://www.amazon.com/Lubriderm-Moisture-Lotion-Fragrance-Free-Normal/dp/B075G3RJDZ/ref=sr_1_1?keywords=Lubriderm+Daily+Moisture+Lotion+Fragrance-Free+16fl.+oz.&amp;qid=1695260464&amp;sr=8-1</v>
      </c>
      <c r="F4694" t="s">
        <v>13478</v>
      </c>
      <c r="G4694" t="e">
        <f ca="1">IMAGE("https://shop.sonapharmacy.com/cdn/shop/products/c43a46d5-079a-4f83-8692-82841be5ecf1_1.cb5934d69d03745938c7502fcc138ce3.jpg?v=1608321488")</f>
        <v>#NAME?</v>
      </c>
      <c r="H4694" t="e">
        <f ca="1">IMAGE("https://m.media-amazon.com/images/I/715mklN0CML._AC_UL320_.jpg")</f>
        <v>#NAME?</v>
      </c>
      <c r="I4694" t="s">
        <v>8935</v>
      </c>
      <c r="J4694">
        <v>10.119999999999999</v>
      </c>
      <c r="K4694" s="2" t="s">
        <v>13479</v>
      </c>
      <c r="L4694">
        <v>4.8</v>
      </c>
      <c r="M4694">
        <v>18955</v>
      </c>
      <c r="O4694" t="s">
        <v>26</v>
      </c>
      <c r="P4694" t="s">
        <v>39</v>
      </c>
      <c r="Q4694" t="s">
        <v>8937</v>
      </c>
    </row>
    <row r="4695" spans="1:17" ht="15.75" x14ac:dyDescent="0.25">
      <c r="A4695" s="3" t="str">
        <f>HYPERLINK("https://shop.sonapharmacy.com/products/coq10", "https://shop.sonapharmacy.com/products/coq10")</f>
        <v>https://shop.sonapharmacy.com/products/coq10</v>
      </c>
      <c r="B4695" s="3" t="str">
        <f>HYPERLINK("https://shop.sonapharmacy.com/products/coq10", "https://shop.sonapharmacy.com/products/coq10")</f>
        <v>https://shop.sonapharmacy.com/products/coq10</v>
      </c>
      <c r="C4695" t="s">
        <v>11837</v>
      </c>
      <c r="D4695" t="s">
        <v>13480</v>
      </c>
      <c r="E4695" s="3" t="str">
        <f>HYPERLINK("https://www.amazon.com/Integrative-Therapeutics-Patented-Stabilized-Ubiquinol/dp/B001WU7QT0/ref=sr_1_3?keywords=Integrative+Therapeutics+CoQ10+Softgel+60ct.&amp;qid=1695260406&amp;sr=8-3", "https://www.amazon.com/Integrative-Therapeutics-Patented-Stabilized-Ubiquinol/dp/B001WU7QT0/ref=sr_1_3?keywords=Integrative+Therapeutics+CoQ10+Softgel+60ct.&amp;qid=1695260406&amp;sr=8-3")</f>
        <v>https://www.amazon.com/Integrative-Therapeutics-Patented-Stabilized-Ubiquinol/dp/B001WU7QT0/ref=sr_1_3?keywords=Integrative+Therapeutics+CoQ10+Softgel+60ct.&amp;qid=1695260406&amp;sr=8-3</v>
      </c>
      <c r="F4695" t="s">
        <v>13481</v>
      </c>
      <c r="G4695" t="e">
        <f ca="1">IMAGE("https://shop.sonapharmacy.com/cdn/shop/products/61htMunw_-L._AC_SL1500.jpg?v=1609356631")</f>
        <v>#NAME?</v>
      </c>
      <c r="H4695" t="e">
        <f ca="1">IMAGE("https://m.media-amazon.com/images/I/51kr-szwSAL._AC_UL320_.jpg")</f>
        <v>#NAME?</v>
      </c>
      <c r="I4695" t="s">
        <v>4287</v>
      </c>
      <c r="J4695">
        <v>41</v>
      </c>
      <c r="K4695" s="2" t="s">
        <v>13479</v>
      </c>
      <c r="L4695">
        <v>4.7</v>
      </c>
      <c r="M4695">
        <v>69</v>
      </c>
      <c r="O4695" t="s">
        <v>39</v>
      </c>
      <c r="P4695" t="s">
        <v>39</v>
      </c>
      <c r="Q4695" t="s">
        <v>11841</v>
      </c>
    </row>
    <row r="4696" spans="1:17" ht="15.75" x14ac:dyDescent="0.25">
      <c r="A4696" s="3" t="str">
        <f>HYPERLINK("https://shop.sonapharmacy.com/products/mueller%C2%AE-adjustable-knee-support-one-size-1", "https://shop.sonapharmacy.com/products/mueller%C2%AE-adjustable-knee-support-one-size-1")</f>
        <v>https://shop.sonapharmacy.com/products/mueller%C2%AE-adjustable-knee-support-one-size-1</v>
      </c>
      <c r="B4696" s="3" t="str">
        <f>HYPERLINK("https://shop.sonapharmacy.com/products/mueller%c2%ae-adjustable-knee-support-one-size-1", "https://shop.sonapharmacy.com/products/mueller%c2%ae-adjustable-knee-support-one-size-1")</f>
        <v>https://shop.sonapharmacy.com/products/mueller%c2%ae-adjustable-knee-support-one-size-1</v>
      </c>
      <c r="C4696" t="s">
        <v>11984</v>
      </c>
      <c r="D4696" t="s">
        <v>12963</v>
      </c>
      <c r="E4696" s="3" t="str">
        <f>HYPERLINK("https://www.amazon.com/Mueller-Knee-Strap-Black-Size/dp/B002WS49FA/ref=sr_1_5?keywords=Mueller%C2%AE+Adjustable+Knee+Support+One+Size&amp;qid=1695260499&amp;sr=8-5", "https://www.amazon.com/Mueller-Knee-Strap-Black-Size/dp/B002WS49FA/ref=sr_1_5?keywords=Mueller%C2%AE+Adjustable+Knee+Support+One+Size&amp;qid=1695260499&amp;sr=8-5")</f>
        <v>https://www.amazon.com/Mueller-Knee-Strap-Black-Size/dp/B002WS49FA/ref=sr_1_5?keywords=Mueller%C2%AE+Adjustable+Knee+Support+One+Size&amp;qid=1695260499&amp;sr=8-5</v>
      </c>
      <c r="F4696" t="s">
        <v>12964</v>
      </c>
      <c r="G4696" t="e">
        <f ca="1">IMAGE("https://shop.sonapharmacy.com/cdn/shop/products/711XAm6m0rL._AC_SL1500.jpg?v=1609873741")</f>
        <v>#NAME?</v>
      </c>
      <c r="H4696" t="e">
        <f ca="1">IMAGE("https://m.media-amazon.com/images/I/61UCw9gGqtL._AC_UL320_.jpg")</f>
        <v>#NAME?</v>
      </c>
      <c r="I4696" t="s">
        <v>12466</v>
      </c>
      <c r="J4696">
        <v>17.77</v>
      </c>
      <c r="K4696" s="2" t="s">
        <v>13482</v>
      </c>
      <c r="L4696">
        <v>4.3</v>
      </c>
      <c r="M4696">
        <v>2371</v>
      </c>
      <c r="O4696" t="s">
        <v>136</v>
      </c>
      <c r="P4696" t="s">
        <v>39</v>
      </c>
      <c r="Q4696" t="s">
        <v>12468</v>
      </c>
    </row>
    <row r="4697" spans="1:17" ht="15.75" x14ac:dyDescent="0.25">
      <c r="A4697" s="3" t="str">
        <f>HYPERLINK("https://shop.sonapharmacy.com/products/align-probiotic-24-7-digestive-support", "https://shop.sonapharmacy.com/products/align-probiotic-24-7-digestive-support")</f>
        <v>https://shop.sonapharmacy.com/products/align-probiotic-24-7-digestive-support</v>
      </c>
      <c r="B4697" s="3" t="str">
        <f>HYPERLINK("https://shop.sonapharmacy.com/products/align-probiotic-24-7-digestive-support", "https://shop.sonapharmacy.com/products/align-probiotic-24-7-digestive-support")</f>
        <v>https://shop.sonapharmacy.com/products/align-probiotic-24-7-digestive-support</v>
      </c>
      <c r="C4697" t="s">
        <v>9464</v>
      </c>
      <c r="D4697" t="s">
        <v>13483</v>
      </c>
      <c r="E4697" s="3" t="str">
        <f>HYPERLINK("https://www.amazon.com/Align-Probiotic-Supplement-Recommended-Probiotics/dp/B07K98GCXM/ref=sr_1_7?keywords=Align+Probiotic+24%2F7+Digestive+Support+Capsules&amp;qid=1695260004&amp;sr=8-7", "https://www.amazon.com/Align-Probiotic-Supplement-Recommended-Probiotics/dp/B07K98GCXM/ref=sr_1_7?keywords=Align+Probiotic+24%2F7+Digestive+Support+Capsules&amp;qid=1695260004&amp;sr=8-7")</f>
        <v>https://www.amazon.com/Align-Probiotic-Supplement-Recommended-Probiotics/dp/B07K98GCXM/ref=sr_1_7?keywords=Align+Probiotic+24%2F7+Digestive+Support+Capsules&amp;qid=1695260004&amp;sr=8-7</v>
      </c>
      <c r="F4697" t="s">
        <v>13484</v>
      </c>
      <c r="G4697" t="e">
        <f ca="1">IMAGE("https://shop.sonapharmacy.com/cdn/shop/products/a1ba3294-73b6-45cf-906d-9cbc4c9cb26f_1.8812d9b99c0fb270ad843db24db916b4.jpg?v=1611188868")</f>
        <v>#NAME?</v>
      </c>
      <c r="H4697" t="e">
        <f ca="1">IMAGE("https://m.media-amazon.com/images/I/81lEsEfS4FL._AC_UL320_.jpg")</f>
        <v>#NAME?</v>
      </c>
      <c r="I4697" t="s">
        <v>9467</v>
      </c>
      <c r="J4697">
        <v>32.99</v>
      </c>
      <c r="K4697" s="2" t="s">
        <v>13485</v>
      </c>
      <c r="L4697">
        <v>4.7</v>
      </c>
      <c r="M4697">
        <v>4786</v>
      </c>
      <c r="O4697" t="s">
        <v>26</v>
      </c>
      <c r="P4697" t="s">
        <v>39</v>
      </c>
      <c r="Q4697" t="s">
        <v>9469</v>
      </c>
    </row>
    <row r="4698" spans="1:17" ht="15.75" x14ac:dyDescent="0.25">
      <c r="A4698" s="3" t="str">
        <f>HYPERLINK("https://shop.sonapharmacy.com/products/psoriasin-deep-moisturizing-ointment-4-2oz", "https://shop.sonapharmacy.com/products/psoriasin-deep-moisturizing-ointment-4-2oz")</f>
        <v>https://shop.sonapharmacy.com/products/psoriasin-deep-moisturizing-ointment-4-2oz</v>
      </c>
      <c r="B4698" s="3" t="str">
        <f>HYPERLINK("https://shop.sonapharmacy.com/products/psoriasin-deep-moisturizing-ointment-4-2oz", "https://shop.sonapharmacy.com/products/psoriasin-deep-moisturizing-ointment-4-2oz")</f>
        <v>https://shop.sonapharmacy.com/products/psoriasin-deep-moisturizing-ointment-4-2oz</v>
      </c>
      <c r="C4698" t="s">
        <v>10953</v>
      </c>
      <c r="D4698" t="s">
        <v>13486</v>
      </c>
      <c r="E4698" s="3" t="str">
        <f>HYPERLINK("https://www.amazon.com/Psoriasin-Deep-Moisturizing-Ointment-4-2/dp/B078XL37NG/ref=sr_1_2?keywords=Psoriasin+Deep+Moisturizing+Ointment+4.2oz.&amp;qid=1695260655&amp;sr=8-2", "https://www.amazon.com/Psoriasin-Deep-Moisturizing-Ointment-4-2/dp/B078XL37NG/ref=sr_1_2?keywords=Psoriasin+Deep+Moisturizing+Ointment+4.2oz.&amp;qid=1695260655&amp;sr=8-2")</f>
        <v>https://www.amazon.com/Psoriasin-Deep-Moisturizing-Ointment-4-2/dp/B078XL37NG/ref=sr_1_2?keywords=Psoriasin+Deep+Moisturizing+Ointment+4.2oz.&amp;qid=1695260655&amp;sr=8-2</v>
      </c>
      <c r="F4698" t="s">
        <v>13487</v>
      </c>
      <c r="G4698" t="e">
        <f ca="1">IMAGE("https://shop.sonapharmacy.com/cdn/shop/products/3c728755-5f7d-4766-a27c-0131e031cc05_1.788816f0f6bb952cd3c8d94ead996c31.png?v=1608405997")</f>
        <v>#NAME?</v>
      </c>
      <c r="H4698" t="e">
        <f ca="1">IMAGE("https://m.media-amazon.com/images/I/81rP8n6LJZL._AC_UL320_.jpg")</f>
        <v>#NAME?</v>
      </c>
      <c r="I4698" t="s">
        <v>10956</v>
      </c>
      <c r="J4698">
        <v>13.99</v>
      </c>
      <c r="K4698" s="2" t="s">
        <v>13485</v>
      </c>
      <c r="L4698">
        <v>4.3</v>
      </c>
      <c r="M4698">
        <v>2341</v>
      </c>
      <c r="O4698" t="s">
        <v>136</v>
      </c>
      <c r="P4698" t="s">
        <v>39</v>
      </c>
      <c r="Q4698" t="s">
        <v>10958</v>
      </c>
    </row>
    <row r="4699" spans="1:17" ht="15.75" x14ac:dyDescent="0.25">
      <c r="A4699"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B4699"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C4699" t="s">
        <v>11756</v>
      </c>
      <c r="D4699" t="s">
        <v>13488</v>
      </c>
      <c r="E4699" s="3" t="str">
        <f>HYPERLINK("https://www.amazon.com/GoodSense-Omeprazole-Delayed-Release-Reducer/dp/B01LMOBDG2/ref=sr_1_7?keywords=GoodSense%C2%AE+Omeprazole+Delayed+Release+Acid+Reducer+Tablets&amp;qid=1695260366&amp;sr=8-7", "https://www.amazon.com/GoodSense-Omeprazole-Delayed-Release-Reducer/dp/B01LMOBDG2/ref=sr_1_7?keywords=GoodSense%C2%AE+Omeprazole+Delayed+Release+Acid+Reducer+Tablets&amp;qid=1695260366&amp;sr=8-7")</f>
        <v>https://www.amazon.com/GoodSense-Omeprazole-Delayed-Release-Reducer/dp/B01LMOBDG2/ref=sr_1_7?keywords=GoodSense%C2%AE+Omeprazole+Delayed+Release+Acid+Reducer+Tablets&amp;qid=1695260366&amp;sr=8-7</v>
      </c>
      <c r="F4699" t="s">
        <v>13489</v>
      </c>
      <c r="G4699" t="e">
        <f ca="1">IMAGE("https://shop.sonapharmacy.com/cdn/shop/products/61mXugZtvTL._AC_SL1000_1a51445e-2089-4814-b7ea-c9463c6da8ef.jpg?v=1611027744")</f>
        <v>#NAME?</v>
      </c>
      <c r="H4699" t="e">
        <f ca="1">IMAGE("https://m.media-amazon.com/images/I/71DTVxcFn1L._AC_UL320_.jpg")</f>
        <v>#NAME?</v>
      </c>
      <c r="I4699" t="s">
        <v>10716</v>
      </c>
      <c r="J4699">
        <v>17.989999999999998</v>
      </c>
      <c r="K4699" s="2" t="s">
        <v>13490</v>
      </c>
      <c r="L4699">
        <v>4.8</v>
      </c>
      <c r="M4699">
        <v>8526</v>
      </c>
      <c r="O4699" t="s">
        <v>26</v>
      </c>
      <c r="P4699" t="s">
        <v>39</v>
      </c>
      <c r="Q4699" t="s">
        <v>11760</v>
      </c>
    </row>
    <row r="4700" spans="1:17" ht="15.75" x14ac:dyDescent="0.25">
      <c r="A4700" s="3" t="str">
        <f>HYPERLINK("https://shop.sonapharmacy.com/products/fergon-high-potency-iron-supplement-tablets", "https://shop.sonapharmacy.com/products/fergon-high-potency-iron-supplement-tablets")</f>
        <v>https://shop.sonapharmacy.com/products/fergon-high-potency-iron-supplement-tablets</v>
      </c>
      <c r="B4700" s="3" t="str">
        <f>HYPERLINK("https://shop.sonapharmacy.com/products/fergon-high-potency-iron-supplement-tablets", "https://shop.sonapharmacy.com/products/fergon-high-potency-iron-supplement-tablets")</f>
        <v>https://shop.sonapharmacy.com/products/fergon-high-potency-iron-supplement-tablets</v>
      </c>
      <c r="C4700" t="s">
        <v>10827</v>
      </c>
      <c r="D4700" t="s">
        <v>13491</v>
      </c>
      <c r="E4700" s="3" t="str">
        <f>HYPERLINK("https://www.amazon.com/Vitron-C-Potency-Supplement-Vitamin-Count/dp/B00140Z5DW/ref=sr_1_9?keywords=Fergon%C2%AE+High+Potency+Iron+Supplement+Tablets&amp;qid=1695260232&amp;rdc=1&amp;sr=8-9", "https://www.amazon.com/Vitron-C-Potency-Supplement-Vitamin-Count/dp/B00140Z5DW/ref=sr_1_9?keywords=Fergon%C2%AE+High+Potency+Iron+Supplement+Tablets&amp;qid=1695260232&amp;rdc=1&amp;sr=8-9")</f>
        <v>https://www.amazon.com/Vitron-C-Potency-Supplement-Vitamin-Count/dp/B00140Z5DW/ref=sr_1_9?keywords=Fergon%C2%AE+High+Potency+Iron+Supplement+Tablets&amp;qid=1695260232&amp;rdc=1&amp;sr=8-9</v>
      </c>
      <c r="F4700" t="s">
        <v>13492</v>
      </c>
      <c r="G4700" t="e">
        <f ca="1">IMAGE("https://shop.sonapharmacy.com/cdn/shop/products/FergonHighPotencyIronSupplementTabletsFergonHighPotencyIronSupplementTablets.jpg?v=1595010428")</f>
        <v>#NAME?</v>
      </c>
      <c r="H4700" t="e">
        <f ca="1">IMAGE("https://m.media-amazon.com/images/I/7175p1DWPjL._AC_UL320_.jpg")</f>
        <v>#NAME?</v>
      </c>
      <c r="I4700" t="s">
        <v>9258</v>
      </c>
      <c r="J4700">
        <v>12.97</v>
      </c>
      <c r="K4700" s="2" t="s">
        <v>13493</v>
      </c>
      <c r="L4700">
        <v>4.5999999999999996</v>
      </c>
      <c r="M4700">
        <v>25897</v>
      </c>
      <c r="O4700" t="s">
        <v>26</v>
      </c>
      <c r="P4700" t="s">
        <v>39</v>
      </c>
      <c r="Q4700" t="s">
        <v>10831</v>
      </c>
    </row>
    <row r="4701" spans="1:17" ht="15.75" x14ac:dyDescent="0.25">
      <c r="A4701" s="3" t="str">
        <f t="shared" ref="A4701:B4705" si="44">HYPERLINK("https://shop.sonapharmacy.com/products/prevagen-regular-strength-10-mg-capsules", "https://shop.sonapharmacy.com/products/prevagen-regular-strength-10-mg-capsules")</f>
        <v>https://shop.sonapharmacy.com/products/prevagen-regular-strength-10-mg-capsules</v>
      </c>
      <c r="B4701" s="3" t="str">
        <f t="shared" si="44"/>
        <v>https://shop.sonapharmacy.com/products/prevagen-regular-strength-10-mg-capsules</v>
      </c>
      <c r="C4701" t="s">
        <v>8872</v>
      </c>
      <c r="D4701" t="s">
        <v>13494</v>
      </c>
      <c r="E4701" s="3" t="str">
        <f>HYPERLINK("https://www.amazon.com/Prevagen-Improves-Memory-Apoaequorin-Attractive/dp/B0BN6WHFH7/ref=sr_1_10?keywords=Prevagen+Regular+Strength+10+mg+Capsules+30+ct.&amp;qid=1695260646&amp;sr=8-10", "https://www.amazon.com/Prevagen-Improves-Memory-Apoaequorin-Attractive/dp/B0BN6WHFH7/ref=sr_1_10?keywords=Prevagen+Regular+Strength+10+mg+Capsules+30+ct.&amp;qid=1695260646&amp;sr=8-10")</f>
        <v>https://www.amazon.com/Prevagen-Improves-Memory-Apoaequorin-Attractive/dp/B0BN6WHFH7/ref=sr_1_10?keywords=Prevagen+Regular+Strength+10+mg+Capsules+30+ct.&amp;qid=1695260646&amp;sr=8-10</v>
      </c>
      <c r="F4701" t="s">
        <v>13495</v>
      </c>
      <c r="G4701" t="e">
        <f ca="1">IMAGE("https://shop.sonapharmacy.com/cdn/shop/products/Prevagen.jpg?v=1628795146")</f>
        <v>#NAME?</v>
      </c>
      <c r="H4701" t="e">
        <f ca="1">IMAGE("https://m.media-amazon.com/images/I/61UX1x-8plL._AC_UL320_.jpg")</f>
        <v>#NAME?</v>
      </c>
      <c r="I4701" t="s">
        <v>6516</v>
      </c>
      <c r="J4701">
        <v>37.950000000000003</v>
      </c>
      <c r="K4701" s="2" t="s">
        <v>13496</v>
      </c>
      <c r="L4701">
        <v>4.2</v>
      </c>
      <c r="M4701">
        <v>631</v>
      </c>
      <c r="O4701" t="s">
        <v>39</v>
      </c>
      <c r="P4701" t="s">
        <v>39</v>
      </c>
      <c r="Q4701" t="s">
        <v>8876</v>
      </c>
    </row>
    <row r="4702" spans="1:17" ht="15.75" x14ac:dyDescent="0.25">
      <c r="A4702" s="3" t="str">
        <f t="shared" si="44"/>
        <v>https://shop.sonapharmacy.com/products/prevagen-regular-strength-10-mg-capsules</v>
      </c>
      <c r="B4702" s="3" t="str">
        <f t="shared" si="44"/>
        <v>https://shop.sonapharmacy.com/products/prevagen-regular-strength-10-mg-capsules</v>
      </c>
      <c r="C4702" t="s">
        <v>8872</v>
      </c>
      <c r="D4702" t="s">
        <v>13497</v>
      </c>
      <c r="E4702" s="3" t="str">
        <f>HYPERLINK("https://www.amazon.com/Prevagen-Quincy-Bioscience-NEU-200-Apoaequorin-30-Count/dp/B000V9O04W/ref=sr_1_1?keywords=Prevagen+Regular+Strength+10+mg+Capsules+30+ct.&amp;qid=1695260646&amp;sr=8-1", "https://www.amazon.com/Prevagen-Quincy-Bioscience-NEU-200-Apoaequorin-30-Count/dp/B000V9O04W/ref=sr_1_1?keywords=Prevagen+Regular+Strength+10+mg+Capsules+30+ct.&amp;qid=1695260646&amp;sr=8-1")</f>
        <v>https://www.amazon.com/Prevagen-Quincy-Bioscience-NEU-200-Apoaequorin-30-Count/dp/B000V9O04W/ref=sr_1_1?keywords=Prevagen+Regular+Strength+10+mg+Capsules+30+ct.&amp;qid=1695260646&amp;sr=8-1</v>
      </c>
      <c r="F4702" t="s">
        <v>13498</v>
      </c>
      <c r="G4702" t="e">
        <f ca="1">IMAGE("https://shop.sonapharmacy.com/cdn/shop/products/Prevagen.jpg?v=1628795146")</f>
        <v>#NAME?</v>
      </c>
      <c r="H4702" t="e">
        <f ca="1">IMAGE("https://m.media-amazon.com/images/I/71cvZE6vVWL._AC_UL320_.jpg")</f>
        <v>#NAME?</v>
      </c>
      <c r="I4702" t="s">
        <v>6516</v>
      </c>
      <c r="J4702">
        <v>37.950000000000003</v>
      </c>
      <c r="K4702" s="2" t="s">
        <v>13496</v>
      </c>
      <c r="L4702">
        <v>4.3</v>
      </c>
      <c r="M4702">
        <v>1517</v>
      </c>
      <c r="O4702" t="s">
        <v>39</v>
      </c>
      <c r="P4702" t="s">
        <v>39</v>
      </c>
      <c r="Q4702" t="s">
        <v>8876</v>
      </c>
    </row>
    <row r="4703" spans="1:17" ht="15.75" x14ac:dyDescent="0.25">
      <c r="A4703" s="3" t="str">
        <f t="shared" si="44"/>
        <v>https://shop.sonapharmacy.com/products/prevagen-regular-strength-10-mg-capsules</v>
      </c>
      <c r="B4703" s="3" t="str">
        <f t="shared" si="44"/>
        <v>https://shop.sonapharmacy.com/products/prevagen-regular-strength-10-mg-capsules</v>
      </c>
      <c r="C4703" t="s">
        <v>8872</v>
      </c>
      <c r="D4703" t="s">
        <v>13497</v>
      </c>
      <c r="E4703" s="3" t="str">
        <f>HYPERLINK("https://www.amazon.com/Prevagen-Regular-Strength-10-Bottle/dp/B0027Z4XF4/ref=sr_1_3?keywords=Prevagen+Regular+Strength+10+mg+Capsules+30+ct.&amp;qid=1695260646&amp;sr=8-3", "https://www.amazon.com/Prevagen-Regular-Strength-10-Bottle/dp/B0027Z4XF4/ref=sr_1_3?keywords=Prevagen+Regular+Strength+10+mg+Capsules+30+ct.&amp;qid=1695260646&amp;sr=8-3")</f>
        <v>https://www.amazon.com/Prevagen-Regular-Strength-10-Bottle/dp/B0027Z4XF4/ref=sr_1_3?keywords=Prevagen+Regular+Strength+10+mg+Capsules+30+ct.&amp;qid=1695260646&amp;sr=8-3</v>
      </c>
      <c r="F4703" t="s">
        <v>13499</v>
      </c>
      <c r="G4703" t="e">
        <f ca="1">IMAGE("https://shop.sonapharmacy.com/cdn/shop/products/Prevagen.jpg?v=1628795146")</f>
        <v>#NAME?</v>
      </c>
      <c r="H4703" t="e">
        <f ca="1">IMAGE("https://m.media-amazon.com/images/I/71cvZE6vVWL._AC_UL320_.jpg")</f>
        <v>#NAME?</v>
      </c>
      <c r="I4703" t="s">
        <v>6516</v>
      </c>
      <c r="J4703">
        <v>37.950000000000003</v>
      </c>
      <c r="K4703" s="2" t="s">
        <v>13496</v>
      </c>
      <c r="L4703">
        <v>4.2</v>
      </c>
      <c r="M4703">
        <v>10926</v>
      </c>
      <c r="O4703" t="s">
        <v>39</v>
      </c>
      <c r="P4703" t="s">
        <v>39</v>
      </c>
      <c r="Q4703" t="s">
        <v>8876</v>
      </c>
    </row>
    <row r="4704" spans="1:17" ht="15.75" x14ac:dyDescent="0.25">
      <c r="A4704" s="3" t="str">
        <f t="shared" si="44"/>
        <v>https://shop.sonapharmacy.com/products/prevagen-regular-strength-10-mg-capsules</v>
      </c>
      <c r="B4704" s="3" t="str">
        <f t="shared" si="44"/>
        <v>https://shop.sonapharmacy.com/products/prevagen-regular-strength-10-mg-capsules</v>
      </c>
      <c r="C4704" t="s">
        <v>8872</v>
      </c>
      <c r="D4704" t="s">
        <v>13497</v>
      </c>
      <c r="E4704" s="3" t="str">
        <f>HYPERLINK("https://www.amazon.com/Prevagen-Regular-Strength-Capsules-Bottle/dp/B01884SRO0/ref=sr_1_7?keywords=Prevagen+Regular+Strength+10+mg+Capsules+30+ct.&amp;qid=1695260646&amp;sr=8-7", "https://www.amazon.com/Prevagen-Regular-Strength-Capsules-Bottle/dp/B01884SRO0/ref=sr_1_7?keywords=Prevagen+Regular+Strength+10+mg+Capsules+30+ct.&amp;qid=1695260646&amp;sr=8-7")</f>
        <v>https://www.amazon.com/Prevagen-Regular-Strength-Capsules-Bottle/dp/B01884SRO0/ref=sr_1_7?keywords=Prevagen+Regular+Strength+10+mg+Capsules+30+ct.&amp;qid=1695260646&amp;sr=8-7</v>
      </c>
      <c r="F4704" t="s">
        <v>13500</v>
      </c>
      <c r="G4704" t="e">
        <f ca="1">IMAGE("https://shop.sonapharmacy.com/cdn/shop/products/Prevagen.jpg?v=1628795146")</f>
        <v>#NAME?</v>
      </c>
      <c r="H4704" t="e">
        <f ca="1">IMAGE("https://m.media-amazon.com/images/I/71cvZE6vVWL._AC_UL320_.jpg")</f>
        <v>#NAME?</v>
      </c>
      <c r="I4704" t="s">
        <v>6516</v>
      </c>
      <c r="J4704">
        <v>37.950000000000003</v>
      </c>
      <c r="K4704" s="2" t="s">
        <v>13496</v>
      </c>
      <c r="L4704">
        <v>4.3</v>
      </c>
      <c r="M4704">
        <v>2595</v>
      </c>
      <c r="O4704" t="s">
        <v>39</v>
      </c>
      <c r="P4704" t="s">
        <v>39</v>
      </c>
      <c r="Q4704" t="s">
        <v>8876</v>
      </c>
    </row>
    <row r="4705" spans="1:17" ht="15.75" x14ac:dyDescent="0.25">
      <c r="A4705" s="3" t="str">
        <f t="shared" si="44"/>
        <v>https://shop.sonapharmacy.com/products/prevagen-regular-strength-10-mg-capsules</v>
      </c>
      <c r="B4705" s="3" t="str">
        <f t="shared" si="44"/>
        <v>https://shop.sonapharmacy.com/products/prevagen-regular-strength-10-mg-capsules</v>
      </c>
      <c r="C4705" t="s">
        <v>8872</v>
      </c>
      <c r="D4705" t="s">
        <v>13497</v>
      </c>
      <c r="E4705" s="3" t="str">
        <f>HYPERLINK("https://www.amazon.com/Prevagen-Healthier-Thinking-Supplement-Capsules/dp/B0054RU3Q0/ref=sr_1_8?keywords=Prevagen+Regular+Strength+10+mg+Capsules+30+ct.&amp;qid=1695260646&amp;sr=8-8", "https://www.amazon.com/Prevagen-Healthier-Thinking-Supplement-Capsules/dp/B0054RU3Q0/ref=sr_1_8?keywords=Prevagen+Regular+Strength+10+mg+Capsules+30+ct.&amp;qid=1695260646&amp;sr=8-8")</f>
        <v>https://www.amazon.com/Prevagen-Healthier-Thinking-Supplement-Capsules/dp/B0054RU3Q0/ref=sr_1_8?keywords=Prevagen+Regular+Strength+10+mg+Capsules+30+ct.&amp;qid=1695260646&amp;sr=8-8</v>
      </c>
      <c r="F4705" t="s">
        <v>13501</v>
      </c>
      <c r="G4705" t="e">
        <f ca="1">IMAGE("https://shop.sonapharmacy.com/cdn/shop/products/Prevagen.jpg?v=1628795146")</f>
        <v>#NAME?</v>
      </c>
      <c r="H4705" t="e">
        <f ca="1">IMAGE("https://m.media-amazon.com/images/I/71cvZE6vVWL._AC_UL320_.jpg")</f>
        <v>#NAME?</v>
      </c>
      <c r="I4705" t="s">
        <v>6516</v>
      </c>
      <c r="J4705">
        <v>37.950000000000003</v>
      </c>
      <c r="K4705" s="2" t="s">
        <v>13496</v>
      </c>
      <c r="L4705">
        <v>4.3</v>
      </c>
      <c r="M4705">
        <v>3718</v>
      </c>
      <c r="O4705" t="s">
        <v>39</v>
      </c>
      <c r="P4705" t="s">
        <v>39</v>
      </c>
      <c r="Q4705" t="s">
        <v>8876</v>
      </c>
    </row>
    <row r="4706" spans="1:17" ht="15.75" x14ac:dyDescent="0.25">
      <c r="A4706" s="3" t="str">
        <f>HYPERLINK("https://shop.sonapharmacy.com/products/nasacort-allergy-24hr-nasal-spray", "https://shop.sonapharmacy.com/products/nasacort-allergy-24hr-nasal-spray")</f>
        <v>https://shop.sonapharmacy.com/products/nasacort-allergy-24hr-nasal-spray</v>
      </c>
      <c r="B4706" s="3" t="str">
        <f>HYPERLINK("https://shop.sonapharmacy.com/products/nasacort-allergy-24hr-nasal-spray", "https://shop.sonapharmacy.com/products/nasacort-allergy-24hr-nasal-spray")</f>
        <v>https://shop.sonapharmacy.com/products/nasacort-allergy-24hr-nasal-spray</v>
      </c>
      <c r="C4706" t="s">
        <v>10882</v>
      </c>
      <c r="D4706" t="s">
        <v>13502</v>
      </c>
      <c r="E4706" s="3" t="str">
        <f>HYPERLINK("https://www.amazon.com/Nasacort-Allergy-Multi-symptom-Nasal-Relief/dp/B00PFDNDOC/ref=sr_1_4?keywords=Nasacort+Allergy+24HR+Nasal+Spray&amp;qid=1695260517&amp;sr=8-4", "https://www.amazon.com/Nasacort-Allergy-Multi-symptom-Nasal-Relief/dp/B00PFDNDOC/ref=sr_1_4?keywords=Nasacort+Allergy+24HR+Nasal+Spray&amp;qid=1695260517&amp;sr=8-4")</f>
        <v>https://www.amazon.com/Nasacort-Allergy-Multi-symptom-Nasal-Relief/dp/B00PFDNDOC/ref=sr_1_4?keywords=Nasacort+Allergy+24HR+Nasal+Spray&amp;qid=1695260517&amp;sr=8-4</v>
      </c>
      <c r="F4706" t="s">
        <v>13503</v>
      </c>
      <c r="G4706" t="e">
        <f ca="1">IMAGE("https://shop.sonapharmacy.com/cdn/shop/products/NasacortAllergy24HRNasalSpray.png?v=1595517896")</f>
        <v>#NAME?</v>
      </c>
      <c r="H4706" t="e">
        <f ca="1">IMAGE("https://m.media-amazon.com/images/I/61eNAPL-jmL._AC_UL320_.jpg")</f>
        <v>#NAME?</v>
      </c>
      <c r="I4706" t="s">
        <v>10885</v>
      </c>
      <c r="J4706">
        <v>17.5</v>
      </c>
      <c r="K4706" s="2" t="s">
        <v>13504</v>
      </c>
      <c r="L4706">
        <v>4.7</v>
      </c>
      <c r="M4706">
        <v>740</v>
      </c>
      <c r="O4706" t="s">
        <v>26</v>
      </c>
      <c r="P4706" t="s">
        <v>39</v>
      </c>
      <c r="Q4706" t="s">
        <v>10886</v>
      </c>
    </row>
    <row r="4707" spans="1:17" ht="15.75" x14ac:dyDescent="0.25">
      <c r="A4707" s="3" t="str">
        <f>HYPERLINK("https://shop.sonapharmacy.com/products/metamucil%C2%AE-4-in-1-fiber-packets-30ct", "https://shop.sonapharmacy.com/products/metamucil%C2%AE-4-in-1-fiber-packets-30ct")</f>
        <v>https://shop.sonapharmacy.com/products/metamucil%C2%AE-4-in-1-fiber-packets-30ct</v>
      </c>
      <c r="B4707" s="3" t="str">
        <f>HYPERLINK("https://shop.sonapharmacy.com/products/metamucil%c2%ae-4-in-1-fiber-packets-30ct", "https://shop.sonapharmacy.com/products/metamucil%c2%ae-4-in-1-fiber-packets-30ct")</f>
        <v>https://shop.sonapharmacy.com/products/metamucil%c2%ae-4-in-1-fiber-packets-30ct</v>
      </c>
      <c r="C4707" t="s">
        <v>13505</v>
      </c>
      <c r="D4707" t="s">
        <v>13506</v>
      </c>
      <c r="E4707" s="3" t="str">
        <f>HYPERLINK("https://www.amazon.com/Metamucil-Supplement-Sugar-Free-Single-Serve-Packaging/dp/B003N3YMRI/ref=sr_1_1?keywords=Metamucil%C2%AE+4-In-1+Orange+Fiber+Packets+30ct.&amp;qid=1695260473&amp;sr=8-1", "https://www.amazon.com/Metamucil-Supplement-Sugar-Free-Single-Serve-Packaging/dp/B003N3YMRI/ref=sr_1_1?keywords=Metamucil%C2%AE+4-In-1+Orange+Fiber+Packets+30ct.&amp;qid=1695260473&amp;sr=8-1")</f>
        <v>https://www.amazon.com/Metamucil-Supplement-Sugar-Free-Single-Serve-Packaging/dp/B003N3YMRI/ref=sr_1_1?keywords=Metamucil%C2%AE+4-In-1+Orange+Fiber+Packets+30ct.&amp;qid=1695260473&amp;sr=8-1</v>
      </c>
      <c r="F4707" t="s">
        <v>13507</v>
      </c>
      <c r="G4707" t="e">
        <f ca="1">IMAGE("https://shop.sonapharmacy.com/cdn/shop/products/a90bb5d2-5f4b-4c57-8e3f-dab9c4b68355_1.f44c8377af5a9c183a82f9d341d2a5ac.jpg?v=1610846703")</f>
        <v>#NAME?</v>
      </c>
      <c r="H4707" t="e">
        <f ca="1">IMAGE("https://m.media-amazon.com/images/I/91-pObusQwL._AC_UL320_.jpg")</f>
        <v>#NAME?</v>
      </c>
      <c r="I4707" t="s">
        <v>13508</v>
      </c>
      <c r="J4707">
        <v>19.989999999999998</v>
      </c>
      <c r="K4707" s="2" t="s">
        <v>13509</v>
      </c>
      <c r="L4707">
        <v>4.5999999999999996</v>
      </c>
      <c r="M4707">
        <v>2797</v>
      </c>
      <c r="O4707" t="s">
        <v>26</v>
      </c>
      <c r="P4707" t="s">
        <v>39</v>
      </c>
      <c r="Q4707" t="s">
        <v>13510</v>
      </c>
    </row>
    <row r="4708" spans="1:17" ht="15.75" x14ac:dyDescent="0.25">
      <c r="A4708" s="3" t="str">
        <f>HYPERLINK("https://shop.sonapharmacy.com/products/major-cough-dm-12-hour-cough-relief-cough-suppressant-liquid", "https://shop.sonapharmacy.com/products/major-cough-dm-12-hour-cough-relief-cough-suppressant-liquid")</f>
        <v>https://shop.sonapharmacy.com/products/major-cough-dm-12-hour-cough-relief-cough-suppressant-liquid</v>
      </c>
      <c r="B4708" s="3" t="str">
        <f>HYPERLINK("https://shop.sonapharmacy.com/products/major-cough-dm-12-hour-cough-relief-cough-suppressant-liquid", "https://shop.sonapharmacy.com/products/major-cough-dm-12-hour-cough-relief-cough-suppressant-liquid")</f>
        <v>https://shop.sonapharmacy.com/products/major-cough-dm-12-hour-cough-relief-cough-suppressant-liquid</v>
      </c>
      <c r="C4708" t="s">
        <v>11630</v>
      </c>
      <c r="D4708" t="s">
        <v>13511</v>
      </c>
      <c r="E4708" s="3" t="str">
        <f>HYPERLINK("https://www.amazon.com/Mucinex-12-Hour-Expectorant-Suppressant-Tablets/dp/B000Q3AHMW/ref=sr_1_6?keywords=Major%C2%AE+Cough+DM+12+Hour+Cough+Relief+Cough+Suppressant+Liquid&amp;qid=1695260458&amp;sr=8-6", "https://www.amazon.com/Mucinex-12-Hour-Expectorant-Suppressant-Tablets/dp/B000Q3AHMW/ref=sr_1_6?keywords=Major%C2%AE+Cough+DM+12+Hour+Cough+Relief+Cough+Suppressant+Liquid&amp;qid=1695260458&amp;sr=8-6")</f>
        <v>https://www.amazon.com/Mucinex-12-Hour-Expectorant-Suppressant-Tablets/dp/B000Q3AHMW/ref=sr_1_6?keywords=Major%C2%AE+Cough+DM+12+Hour+Cough+Relief+Cough+Suppressant+Liquid&amp;qid=1695260458&amp;sr=8-6</v>
      </c>
      <c r="F4708" t="s">
        <v>13512</v>
      </c>
      <c r="G4708" t="e">
        <f ca="1">IMAGE("https://shop.sonapharmacy.com/cdn/shop/products/MajorCoughDM12HourCoughReliefCoughSuppressantLiquid.jpg?v=1595356959")</f>
        <v>#NAME?</v>
      </c>
      <c r="H4708" t="e">
        <f ca="1">IMAGE("https://m.media-amazon.com/images/I/71hUMWEOpXL._AC_UL320_.jpg")</f>
        <v>#NAME?</v>
      </c>
      <c r="I4708" t="s">
        <v>11633</v>
      </c>
      <c r="J4708">
        <v>13.78</v>
      </c>
      <c r="K4708" s="2" t="s">
        <v>13513</v>
      </c>
      <c r="L4708">
        <v>4.8</v>
      </c>
      <c r="M4708">
        <v>98</v>
      </c>
      <c r="O4708" t="s">
        <v>136</v>
      </c>
      <c r="P4708" t="s">
        <v>39</v>
      </c>
      <c r="Q4708" t="s">
        <v>11635</v>
      </c>
    </row>
    <row r="4709" spans="1:17" ht="15.75" x14ac:dyDescent="0.25">
      <c r="A4709"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B4709"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C4709" t="s">
        <v>9322</v>
      </c>
      <c r="D4709" t="s">
        <v>13514</v>
      </c>
      <c r="E4709" s="3" t="str">
        <f>HYPERLINK("https://www.amazon.com/Osteo-Bi-Flex-Strength-Formula-Glucosamine/dp/B07DKX91QG/ref=sr_1_8?keywords=Osteo+Bi-Flex+Joint+Health+Triple+Strength+Supplement+Tablets&amp;qid=1695260695&amp;sr=8-8", "https://www.amazon.com/Osteo-Bi-Flex-Strength-Formula-Glucosamine/dp/B07DKX91QG/ref=sr_1_8?keywords=Osteo+Bi-Flex+Joint+Health+Triple+Strength+Supplement+Tablets&amp;qid=1695260695&amp;sr=8-8")</f>
        <v>https://www.amazon.com/Osteo-Bi-Flex-Strength-Formula-Glucosamine/dp/B07DKX91QG/ref=sr_1_8?keywords=Osteo+Bi-Flex+Joint+Health+Triple+Strength+Supplement+Tablets&amp;qid=1695260695&amp;sr=8-8</v>
      </c>
      <c r="F4709" t="s">
        <v>13515</v>
      </c>
      <c r="G4709" t="e">
        <f ca="1">IMAGE("https://shop.sonapharmacy.com/cdn/shop/products/osteobiflextriplestrengthresized.jpg?v=1592492653")</f>
        <v>#NAME?</v>
      </c>
      <c r="H4709" t="e">
        <f ca="1">IMAGE("https://m.media-amazon.com/images/I/71TxOxQnlyL._AC_UL320_.jpg")</f>
        <v>#NAME?</v>
      </c>
      <c r="I4709" t="s">
        <v>9325</v>
      </c>
      <c r="J4709">
        <v>33.1</v>
      </c>
      <c r="K4709" s="2" t="s">
        <v>13516</v>
      </c>
      <c r="L4709">
        <v>5</v>
      </c>
      <c r="M4709">
        <v>1</v>
      </c>
      <c r="O4709" t="s">
        <v>26</v>
      </c>
      <c r="P4709" t="s">
        <v>39</v>
      </c>
      <c r="Q4709" t="s">
        <v>9327</v>
      </c>
    </row>
    <row r="4710" spans="1:17" ht="15.75" x14ac:dyDescent="0.25">
      <c r="A4710" s="3" t="str">
        <f>HYPERLINK("https://shop.sonapharmacy.com/products/lemon-oil-organic-1-oz", "https://shop.sonapharmacy.com/products/lemon-oil-organic-1-oz")</f>
        <v>https://shop.sonapharmacy.com/products/lemon-oil-organic-1-oz</v>
      </c>
      <c r="B4710" s="3" t="str">
        <f>HYPERLINK("https://shop.sonapharmacy.com/products/lemon-oil-organic-1-oz", "https://shop.sonapharmacy.com/products/lemon-oil-organic-1-oz")</f>
        <v>https://shop.sonapharmacy.com/products/lemon-oil-organic-1-oz</v>
      </c>
      <c r="C4710" t="s">
        <v>13517</v>
      </c>
      <c r="D4710" t="s">
        <v>11419</v>
      </c>
      <c r="E4710" s="3" t="str">
        <f>HYPERLINK("https://www.amazon.com/Cliganic-Essential-Oils-Lemongrass-Organic/dp/B07QB8FWKK/ref=sr_1_5?keywords=NOW%C2%AE+Organic+Lemon+Oil+1oz.&amp;qid=1695260596&amp;rdc=1&amp;sr=8-5", "https://www.amazon.com/Cliganic-Essential-Oils-Lemongrass-Organic/dp/B07QB8FWKK/ref=sr_1_5?keywords=NOW%C2%AE+Organic+Lemon+Oil+1oz.&amp;qid=1695260596&amp;rdc=1&amp;sr=8-5")</f>
        <v>https://www.amazon.com/Cliganic-Essential-Oils-Lemongrass-Organic/dp/B07QB8FWKK/ref=sr_1_5?keywords=NOW%C2%AE+Organic+Lemon+Oil+1oz.&amp;qid=1695260596&amp;rdc=1&amp;sr=8-5</v>
      </c>
      <c r="F4710" t="s">
        <v>11420</v>
      </c>
      <c r="G4710" t="e">
        <f ca="1">IMAGE("https://shop.sonapharmacy.com/cdn/shop/products/f7301e83-4ad5-4903-8bdb-ceeae9bb879d.c101e4326be480563758bb751ee25c84.jpg?v=1609358458")</f>
        <v>#NAME?</v>
      </c>
      <c r="H4710" t="e">
        <f ca="1">IMAGE("https://m.media-amazon.com/images/I/615hG2p0zWS._AC_UL320_.jpg")</f>
        <v>#NAME?</v>
      </c>
      <c r="I4710" t="s">
        <v>11793</v>
      </c>
      <c r="J4710">
        <v>13.99</v>
      </c>
      <c r="K4710" s="2" t="s">
        <v>13518</v>
      </c>
      <c r="L4710">
        <v>4.5</v>
      </c>
      <c r="M4710">
        <v>88479</v>
      </c>
      <c r="O4710" t="s">
        <v>26</v>
      </c>
      <c r="P4710" t="s">
        <v>39</v>
      </c>
      <c r="Q4710" t="s">
        <v>13519</v>
      </c>
    </row>
    <row r="4711" spans="1:17" ht="15.75" x14ac:dyDescent="0.25">
      <c r="A4711" s="3" t="str">
        <f>HYPERLINK("https://shop.sonapharmacy.com/products/fungi-nail%C2%AE-anti-fungal-liquid-1fl-oz", "https://shop.sonapharmacy.com/products/fungi-nail%C2%AE-anti-fungal-liquid-1fl-oz")</f>
        <v>https://shop.sonapharmacy.com/products/fungi-nail%C2%AE-anti-fungal-liquid-1fl-oz</v>
      </c>
      <c r="B4711" s="3" t="str">
        <f>HYPERLINK("https://shop.sonapharmacy.com/products/fungi-nail%c2%ae-anti-fungal-liquid-1fl-oz", "https://shop.sonapharmacy.com/products/fungi-nail%c2%ae-anti-fungal-liquid-1fl-oz")</f>
        <v>https://shop.sonapharmacy.com/products/fungi-nail%c2%ae-anti-fungal-liquid-1fl-oz</v>
      </c>
      <c r="C4711" t="s">
        <v>13520</v>
      </c>
      <c r="D4711" t="s">
        <v>13521</v>
      </c>
      <c r="E4711" s="3" t="str">
        <f>HYPERLINK("https://www.amazon.com/Fungi-Nail-Anti-Fungal-Liquid-2Count/dp/B081PBFL3D/ref=sr_1_1?keywords=Fungi+Nail%C2%AE+Anti-Fungal+Liquid+1fl.+oz.&amp;qid=1695260256&amp;sr=8-1", "https://www.amazon.com/Fungi-Nail-Anti-Fungal-Liquid-2Count/dp/B081PBFL3D/ref=sr_1_1?keywords=Fungi+Nail%C2%AE+Anti-Fungal+Liquid+1fl.+oz.&amp;qid=1695260256&amp;sr=8-1")</f>
        <v>https://www.amazon.com/Fungi-Nail-Anti-Fungal-Liquid-2Count/dp/B081PBFL3D/ref=sr_1_1?keywords=Fungi+Nail%C2%AE+Anti-Fungal+Liquid+1fl.+oz.&amp;qid=1695260256&amp;sr=8-1</v>
      </c>
      <c r="F4711" t="s">
        <v>13522</v>
      </c>
      <c r="G4711" t="e">
        <f ca="1">IMAGE("https://shop.sonapharmacy.com/cdn/shop/products/61i4Iu77u6L._AC_SL1500.jpg?v=1610412182")</f>
        <v>#NAME?</v>
      </c>
      <c r="H4711" t="e">
        <f ca="1">IMAGE("https://m.media-amazon.com/images/I/816jmIbnvcL._AC_UL320_.jpg")</f>
        <v>#NAME?</v>
      </c>
      <c r="I4711" t="s">
        <v>10546</v>
      </c>
      <c r="J4711">
        <v>17.75</v>
      </c>
      <c r="K4711" s="2" t="s">
        <v>13523</v>
      </c>
      <c r="L4711">
        <v>4.2</v>
      </c>
      <c r="M4711">
        <v>1206</v>
      </c>
      <c r="O4711" t="s">
        <v>26</v>
      </c>
      <c r="P4711" t="s">
        <v>39</v>
      </c>
      <c r="Q4711" t="s">
        <v>13524</v>
      </c>
    </row>
    <row r="4712" spans="1:17" ht="15.75" x14ac:dyDescent="0.25">
      <c r="A4712" s="3" t="str">
        <f>HYPERLINK("https://shop.sonapharmacy.com/products/cortizone-10%C2%AE-maximum-strength-creme-with-aloe-1oz", "https://shop.sonapharmacy.com/products/cortizone-10%C2%AE-maximum-strength-creme-with-aloe-1oz")</f>
        <v>https://shop.sonapharmacy.com/products/cortizone-10%C2%AE-maximum-strength-creme-with-aloe-1oz</v>
      </c>
      <c r="B4712" s="3" t="str">
        <f>HYPERLINK("https://shop.sonapharmacy.com/products/cortizone-10%c2%ae-maximum-strength-creme-with-aloe-1oz", "https://shop.sonapharmacy.com/products/cortizone-10%c2%ae-maximum-strength-creme-with-aloe-1oz")</f>
        <v>https://shop.sonapharmacy.com/products/cortizone-10%c2%ae-maximum-strength-creme-with-aloe-1oz</v>
      </c>
      <c r="C4712" t="s">
        <v>10671</v>
      </c>
      <c r="D4712" t="s">
        <v>13525</v>
      </c>
      <c r="E4712" s="3" t="str">
        <f>HYPERLINK("https://www.amazon.com/Cortizone-10-Strength-Soothing-Anti-Itch-Hydrocortisone/dp/B0BJMQBSKJ/ref=sr_1_7?keywords=Cortizone+10%C2%AE+Maximum+Strength+Cream+with+Aloe+1oz&amp;qid=1695260190&amp;sr=8-7", "https://www.amazon.com/Cortizone-10-Strength-Soothing-Anti-Itch-Hydrocortisone/dp/B0BJMQBSKJ/ref=sr_1_7?keywords=Cortizone+10%C2%AE+Maximum+Strength+Cream+with+Aloe+1oz&amp;qid=1695260190&amp;sr=8-7")</f>
        <v>https://www.amazon.com/Cortizone-10-Strength-Soothing-Anti-Itch-Hydrocortisone/dp/B0BJMQBSKJ/ref=sr_1_7?keywords=Cortizone+10%C2%AE+Maximum+Strength+Cream+with+Aloe+1oz&amp;qid=1695260190&amp;sr=8-7</v>
      </c>
      <c r="F4712" t="s">
        <v>13526</v>
      </c>
      <c r="G4712" t="e">
        <f ca="1">IMAGE("https://shop.sonapharmacy.com/cdn/shop/products/products-anti-itch-creme.jpg?v=1607801758")</f>
        <v>#NAME?</v>
      </c>
      <c r="H4712" t="e">
        <f ca="1">IMAGE("https://m.media-amazon.com/images/I/71Apag+MwLL._AC_UL320_.jpg")</f>
        <v>#NAME?</v>
      </c>
      <c r="I4712" t="s">
        <v>10059</v>
      </c>
      <c r="J4712">
        <v>8.48</v>
      </c>
      <c r="K4712" s="2" t="s">
        <v>13527</v>
      </c>
      <c r="L4712">
        <v>4.7</v>
      </c>
      <c r="M4712">
        <v>40629</v>
      </c>
      <c r="O4712" t="s">
        <v>26</v>
      </c>
      <c r="P4712" t="s">
        <v>39</v>
      </c>
      <c r="Q4712" t="s">
        <v>10675</v>
      </c>
    </row>
    <row r="4713" spans="1:17" ht="15.75" x14ac:dyDescent="0.25">
      <c r="A4713" s="3" t="str">
        <f>HYPERLINK("https://shop.sonapharmacy.com/products/battle-creek-ice-it-%C2%AE-maxcomfort%E2%84%A2-system", "https://shop.sonapharmacy.com/products/battle-creek-ice-it-%C2%AE-maxcomfort%E2%84%A2-system")</f>
        <v>https://shop.sonapharmacy.com/products/battle-creek-ice-it-%C2%AE-maxcomfort%E2%84%A2-system</v>
      </c>
      <c r="B4713" s="3" t="str">
        <f>HYPERLINK("https://shop.sonapharmacy.com/products/battle-creek-ice-it-%c2%ae-maxcomfort%e2%84%a2-system", "https://shop.sonapharmacy.com/products/battle-creek-ice-it-%c2%ae-maxcomfort%e2%84%a2-system")</f>
        <v>https://shop.sonapharmacy.com/products/battle-creek-ice-it-%c2%ae-maxcomfort%e2%84%a2-system</v>
      </c>
      <c r="C4713" t="s">
        <v>12341</v>
      </c>
      <c r="D4713" t="s">
        <v>13528</v>
      </c>
      <c r="E4713" s="3" t="str">
        <f>HYPERLINK("https://www.amazon.com/Therapy-System-Ice-Ankle-Elbow/dp/B01ND1HJVP/ref=sr_1_2?keywords=Battle+Creek+Ice+It%21%C2%AE+MaxComfort%E2%84%A2+System&amp;qid=1695260067&amp;sr=8-2", "https://www.amazon.com/Therapy-System-Ice-Ankle-Elbow/dp/B01ND1HJVP/ref=sr_1_2?keywords=Battle+Creek+Ice+It%21%C2%AE+MaxComfort%E2%84%A2+System&amp;qid=1695260067&amp;sr=8-2")</f>
        <v>https://www.amazon.com/Therapy-System-Ice-Ankle-Elbow/dp/B01ND1HJVP/ref=sr_1_2?keywords=Battle+Creek+Ice+It%21%C2%AE+MaxComfort%E2%84%A2+System&amp;qid=1695260067&amp;sr=8-2</v>
      </c>
      <c r="F4713" t="s">
        <v>13529</v>
      </c>
      <c r="G4713" t="e">
        <f ca="1">IMAGE("https://shop.sonapharmacy.com/cdn/shop/products/291896.jpg?v=1609940503")</f>
        <v>#NAME?</v>
      </c>
      <c r="H4713" t="e">
        <f ca="1">IMAGE("https://m.media-amazon.com/images/I/81Q6ZM+UVQL._AC_UY218_.jpg")</f>
        <v>#NAME?</v>
      </c>
      <c r="I4713" t="s">
        <v>12344</v>
      </c>
      <c r="J4713">
        <v>27.39</v>
      </c>
      <c r="K4713" s="2" t="s">
        <v>13530</v>
      </c>
      <c r="L4713">
        <v>4.5</v>
      </c>
      <c r="M4713">
        <v>692</v>
      </c>
      <c r="O4713" t="s">
        <v>26</v>
      </c>
      <c r="P4713" t="s">
        <v>39</v>
      </c>
      <c r="Q4713" t="s">
        <v>12346</v>
      </c>
    </row>
    <row r="4714" spans="1:17" ht="15.75" x14ac:dyDescent="0.25">
      <c r="A4714"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B4714"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C4714" t="s">
        <v>9322</v>
      </c>
      <c r="D4714" t="s">
        <v>12438</v>
      </c>
      <c r="E4714" s="3" t="str">
        <f>HYPERLINK("https://www.amazon.com/Osteo-Bi-Flex-Supplements-Glucosamine-Supplement/dp/B06WRP5FYD/ref=sr_1_2?keywords=Osteo+Bi-Flex+Joint+Health+Triple+Strength+Supplement+Tablets&amp;qid=1695260695&amp;sr=8-2", "https://www.amazon.com/Osteo-Bi-Flex-Supplements-Glucosamine-Supplement/dp/B06WRP5FYD/ref=sr_1_2?keywords=Osteo+Bi-Flex+Joint+Health+Triple+Strength+Supplement+Tablets&amp;qid=1695260695&amp;sr=8-2")</f>
        <v>https://www.amazon.com/Osteo-Bi-Flex-Supplements-Glucosamine-Supplement/dp/B06WRP5FYD/ref=sr_1_2?keywords=Osteo+Bi-Flex+Joint+Health+Triple+Strength+Supplement+Tablets&amp;qid=1695260695&amp;sr=8-2</v>
      </c>
      <c r="F4714" t="s">
        <v>12439</v>
      </c>
      <c r="G4714" t="e">
        <f ca="1">IMAGE("https://shop.sonapharmacy.com/cdn/shop/products/osteobiflextriplestrengthresized.jpg?v=1592492653")</f>
        <v>#NAME?</v>
      </c>
      <c r="H4714" t="e">
        <f ca="1">IMAGE("https://m.media-amazon.com/images/I/811twmbt0KL._AC_UL320_.jpg")</f>
        <v>#NAME?</v>
      </c>
      <c r="I4714" t="s">
        <v>9325</v>
      </c>
      <c r="J4714">
        <v>32.979999999999997</v>
      </c>
      <c r="K4714" s="2" t="s">
        <v>13531</v>
      </c>
      <c r="L4714">
        <v>4.5</v>
      </c>
      <c r="M4714">
        <v>7612</v>
      </c>
      <c r="O4714" t="s">
        <v>26</v>
      </c>
      <c r="P4714" t="s">
        <v>39</v>
      </c>
      <c r="Q4714" t="s">
        <v>9327</v>
      </c>
    </row>
    <row r="4715" spans="1:17" ht="15.75" x14ac:dyDescent="0.25">
      <c r="A4715" s="3" t="str">
        <f>HYPERLINK("https://shop.sonapharmacy.com/products/duracell%C2%AE-303-357-76-silver-oxide-button-battery", "https://shop.sonapharmacy.com/products/duracell%C2%AE-303-357-76-silver-oxide-button-battery")</f>
        <v>https://shop.sonapharmacy.com/products/duracell%C2%AE-303-357-76-silver-oxide-button-battery</v>
      </c>
      <c r="B4715" s="3" t="str">
        <f>HYPERLINK("https://shop.sonapharmacy.com/products/duracell%c2%ae-303-357-76-silver-oxide-button-battery", "https://shop.sonapharmacy.com/products/duracell%c2%ae-303-357-76-silver-oxide-button-battery")</f>
        <v>https://shop.sonapharmacy.com/products/duracell%c2%ae-303-357-76-silver-oxide-button-battery</v>
      </c>
      <c r="C4715" t="s">
        <v>8329</v>
      </c>
      <c r="D4715" t="s">
        <v>13532</v>
      </c>
      <c r="E4715" s="3" t="str">
        <f>HYPERLINK("https://www.amazon.com/Duracell-1-5V-Silver-Oxide-Battery/dp/B00724R3CK/ref=sr_1_5?keywords=Duracell%C2%AE+303%2F357%2F76+Silver+Oxide+Button+Battery&amp;qid=1695260202&amp;sr=8-5", "https://www.amazon.com/Duracell-1-5V-Silver-Oxide-Battery/dp/B00724R3CK/ref=sr_1_5?keywords=Duracell%C2%AE+303%2F357%2F76+Silver+Oxide+Button+Battery&amp;qid=1695260202&amp;sr=8-5")</f>
        <v>https://www.amazon.com/Duracell-1-5V-Silver-Oxide-Battery/dp/B00724R3CK/ref=sr_1_5?keywords=Duracell%C2%AE+303%2F357%2F76+Silver+Oxide+Button+Battery&amp;qid=1695260202&amp;sr=8-5</v>
      </c>
      <c r="F4715" t="s">
        <v>13533</v>
      </c>
      <c r="G4715" t="e">
        <f ca="1">IMAGE("https://shop.sonapharmacy.com/cdn/shop/products/3099066_A.eps_High_540x_008cc7a8-ba13-4a78-a067-abc0e573a874.jpg?v=1610332687")</f>
        <v>#NAME?</v>
      </c>
      <c r="H4715" t="e">
        <f ca="1">IMAGE("https://m.media-amazon.com/images/I/61RidGvUpML._AC_UL320_.jpg")</f>
        <v>#NAME?</v>
      </c>
      <c r="I4715" t="s">
        <v>8332</v>
      </c>
      <c r="J4715">
        <v>9</v>
      </c>
      <c r="K4715" s="2" t="s">
        <v>13534</v>
      </c>
      <c r="L4715">
        <v>4.5</v>
      </c>
      <c r="M4715">
        <v>10</v>
      </c>
      <c r="O4715" t="s">
        <v>26</v>
      </c>
      <c r="P4715" t="s">
        <v>39</v>
      </c>
      <c r="Q4715" t="s">
        <v>8334</v>
      </c>
    </row>
    <row r="4716" spans="1:17" ht="15.75" x14ac:dyDescent="0.25">
      <c r="A4716" s="3" t="str">
        <f>HYPERLINK("https://shop.sonapharmacy.com/products/palmers-cocoa-butter-formula-body-lotion-8-5fl-oz", "https://shop.sonapharmacy.com/products/palmers-cocoa-butter-formula-body-lotion-8-5fl-oz")</f>
        <v>https://shop.sonapharmacy.com/products/palmers-cocoa-butter-formula-body-lotion-8-5fl-oz</v>
      </c>
      <c r="B4716" s="3" t="str">
        <f>HYPERLINK("https://shop.sonapharmacy.com/products/palmers-cocoa-butter-formula-body-lotion-8-5fl-oz", "https://shop.sonapharmacy.com/products/palmers-cocoa-butter-formula-body-lotion-8-5fl-oz")</f>
        <v>https://shop.sonapharmacy.com/products/palmers-cocoa-butter-formula-body-lotion-8-5fl-oz</v>
      </c>
      <c r="C4716" t="s">
        <v>8586</v>
      </c>
      <c r="D4716" t="s">
        <v>13535</v>
      </c>
      <c r="E4716" s="3" t="str">
        <f>HYPERLINK("https://www.amazon.com/Palmers-Butter-Formula-Calming-Relief/dp/B08BB5XG3D/ref=sr_1_2?keywords=Palmer%27s+Cocoa+Butter+Formula+Body+Lotion+8.5fl.+oz.&amp;qid=1695260626&amp;sr=8-2", "https://www.amazon.com/Palmers-Butter-Formula-Calming-Relief/dp/B08BB5XG3D/ref=sr_1_2?keywords=Palmer%27s+Cocoa+Butter+Formula+Body+Lotion+8.5fl.+oz.&amp;qid=1695260626&amp;sr=8-2")</f>
        <v>https://www.amazon.com/Palmers-Butter-Formula-Calming-Relief/dp/B08BB5XG3D/ref=sr_1_2?keywords=Palmer%27s+Cocoa+Butter+Formula+Body+Lotion+8.5fl.+oz.&amp;qid=1695260626&amp;sr=8-2</v>
      </c>
      <c r="F4716" t="s">
        <v>13536</v>
      </c>
      <c r="G4716" t="e">
        <f ca="1">IMAGE("https://shop.sonapharmacy.com/cdn/shop/products/ab2c73e2-f908-4dea-840b-e0e91ac70d04_1.67192cb5b27856b7415bf3e3a8b7e3dd.png?v=1608489727")</f>
        <v>#NAME?</v>
      </c>
      <c r="H4716" t="e">
        <f ca="1">IMAGE("https://m.media-amazon.com/images/I/61qiMXhfqhL._AC_UL320_.jpg")</f>
        <v>#NAME?</v>
      </c>
      <c r="I4716" t="s">
        <v>8498</v>
      </c>
      <c r="J4716">
        <v>7.39</v>
      </c>
      <c r="K4716" s="2" t="s">
        <v>13537</v>
      </c>
      <c r="L4716">
        <v>4.4000000000000004</v>
      </c>
      <c r="M4716">
        <v>1818</v>
      </c>
      <c r="O4716" t="s">
        <v>26</v>
      </c>
      <c r="P4716" t="s">
        <v>39</v>
      </c>
      <c r="Q4716" t="s">
        <v>8590</v>
      </c>
    </row>
    <row r="4717" spans="1:17" ht="15.75" x14ac:dyDescent="0.25">
      <c r="A4717" s="3" t="str">
        <f>HYPERLINK("https://shop.sonapharmacy.com/products/apex%C2%AE-weekly-twice-a-day-pill-organizer", "https://shop.sonapharmacy.com/products/apex%C2%AE-weekly-twice-a-day-pill-organizer")</f>
        <v>https://shop.sonapharmacy.com/products/apex%C2%AE-weekly-twice-a-day-pill-organizer</v>
      </c>
      <c r="B4717" s="3" t="str">
        <f>HYPERLINK("https://shop.sonapharmacy.com/products/apex%c2%ae-weekly-twice-a-day-pill-organizer", "https://shop.sonapharmacy.com/products/apex%c2%ae-weekly-twice-a-day-pill-organizer")</f>
        <v>https://shop.sonapharmacy.com/products/apex%c2%ae-weekly-twice-a-day-pill-organizer</v>
      </c>
      <c r="C4717" t="s">
        <v>9754</v>
      </c>
      <c r="D4717" t="s">
        <v>10405</v>
      </c>
      <c r="E4717" s="3" t="str">
        <f>HYPERLINK("https://www.amazon.com/Apex-Organizer-Color-Coded-See-Through-Medication/dp/B000EGKTEW/ref=sr_1_1?keywords=Apex+Weekly+Twice-A-Day+Pill+Organizer&amp;qid=1695260022&amp;sr=8-1", "https://www.amazon.com/Apex-Organizer-Color-Coded-See-Through-Medication/dp/B000EGKTEW/ref=sr_1_1?keywords=Apex+Weekly+Twice-A-Day+Pill+Organizer&amp;qid=1695260022&amp;sr=8-1")</f>
        <v>https://www.amazon.com/Apex-Organizer-Color-Coded-See-Through-Medication/dp/B000EGKTEW/ref=sr_1_1?keywords=Apex+Weekly+Twice-A-Day+Pill+Organizer&amp;qid=1695260022&amp;sr=8-1</v>
      </c>
      <c r="F4717" t="s">
        <v>10406</v>
      </c>
      <c r="G4717" t="e">
        <f ca="1">IMAGE("https://shop.sonapharmacy.com/cdn/shop/products/81bW58qDenL._AC_SL1500.jpg?v=1609957632")</f>
        <v>#NAME?</v>
      </c>
      <c r="H4717" t="e">
        <f ca="1">IMAGE("https://m.media-amazon.com/images/I/715fu30hc2L._AC_UL320_.jpg")</f>
        <v>#NAME?</v>
      </c>
      <c r="I4717" t="s">
        <v>8983</v>
      </c>
      <c r="J4717">
        <v>5.99</v>
      </c>
      <c r="K4717" s="2" t="s">
        <v>13538</v>
      </c>
      <c r="L4717">
        <v>4.3</v>
      </c>
      <c r="M4717">
        <v>12585</v>
      </c>
      <c r="O4717" t="s">
        <v>26</v>
      </c>
      <c r="P4717" t="s">
        <v>39</v>
      </c>
      <c r="Q4717" t="s">
        <v>9758</v>
      </c>
    </row>
    <row r="4718" spans="1:17" ht="15.75" x14ac:dyDescent="0.25">
      <c r="A4718" s="3" t="str">
        <f>HYPERLINK("https://shop.sonapharmacy.com/products/omron-3-series%C2%AE-upper-arm-blood-pressure-monitor", "https://shop.sonapharmacy.com/products/omron-3-series%C2%AE-upper-arm-blood-pressure-monitor")</f>
        <v>https://shop.sonapharmacy.com/products/omron-3-series%C2%AE-upper-arm-blood-pressure-monitor</v>
      </c>
      <c r="B4718" s="3" t="str">
        <f>HYPERLINK("https://shop.sonapharmacy.com/products/omron-3-series%c2%ae-upper-arm-blood-pressure-monitor", "https://shop.sonapharmacy.com/products/omron-3-series%c2%ae-upper-arm-blood-pressure-monitor")</f>
        <v>https://shop.sonapharmacy.com/products/omron-3-series%c2%ae-upper-arm-blood-pressure-monitor</v>
      </c>
      <c r="C4718" t="s">
        <v>11744</v>
      </c>
      <c r="D4718" t="s">
        <v>13539</v>
      </c>
      <c r="E4718" s="3" t="str">
        <f>HYPERLINK("https://www.amazon.com/Omron-Wireless-Upper-Pressure-Monitor/dp/B01BHA7T0K/ref=sr_1_8?keywords=Omron+3+Series%C2%AE+Upper+Arm+Blood+Pressure+Monitor&amp;qid=1695260613&amp;sr=8-8", "https://www.amazon.com/Omron-Wireless-Upper-Pressure-Monitor/dp/B01BHA7T0K/ref=sr_1_8?keywords=Omron+3+Series%C2%AE+Upper+Arm+Blood+Pressure+Monitor&amp;qid=1695260613&amp;sr=8-8")</f>
        <v>https://www.amazon.com/Omron-Wireless-Upper-Pressure-Monitor/dp/B01BHA7T0K/ref=sr_1_8?keywords=Omron+3+Series%C2%AE+Upper+Arm+Blood+Pressure+Monitor&amp;qid=1695260613&amp;sr=8-8</v>
      </c>
      <c r="F4718" t="s">
        <v>13540</v>
      </c>
      <c r="G4718" t="e">
        <f ca="1">IMAGE("https://shop.sonapharmacy.com/cdn/shop/products/Omron3Series_UpperArmBloodPressureMonitor.png?v=1594217120")</f>
        <v>#NAME?</v>
      </c>
      <c r="H4718" t="e">
        <f ca="1">IMAGE("https://m.media-amazon.com/images/I/51hFZ4eMdNL._AC_UL320_.jpg")</f>
        <v>#NAME?</v>
      </c>
      <c r="I4718" t="s">
        <v>11747</v>
      </c>
      <c r="J4718">
        <v>58.27</v>
      </c>
      <c r="K4718" s="2" t="s">
        <v>13541</v>
      </c>
      <c r="L4718">
        <v>4.5</v>
      </c>
      <c r="M4718">
        <v>1122</v>
      </c>
      <c r="O4718" t="s">
        <v>26</v>
      </c>
      <c r="P4718" t="s">
        <v>39</v>
      </c>
      <c r="Q4718" t="s">
        <v>11749</v>
      </c>
    </row>
    <row r="4719" spans="1:17" ht="15.75" x14ac:dyDescent="0.25">
      <c r="A4719" s="3" t="str">
        <f>HYPERLINK("https://shop.sonapharmacy.com/products/preservision-areds-formula-tablets", "https://shop.sonapharmacy.com/products/preservision-areds-formula-tablets")</f>
        <v>https://shop.sonapharmacy.com/products/preservision-areds-formula-tablets</v>
      </c>
      <c r="B4719" s="3" t="str">
        <f>HYPERLINK("https://shop.sonapharmacy.com/products/preservision-areds-formula-tablets", "https://shop.sonapharmacy.com/products/preservision-areds-formula-tablets")</f>
        <v>https://shop.sonapharmacy.com/products/preservision-areds-formula-tablets</v>
      </c>
      <c r="C4719" t="s">
        <v>12621</v>
      </c>
      <c r="D4719" t="s">
        <v>13542</v>
      </c>
      <c r="E4719" s="3" t="str">
        <f>HYPERLINK("https://www.amazon.com/PreserVision-Vitamin-Mineral-Supplement-Tablets/dp/B0018C7872/ref=sr_1_1?keywords=PreserVision+AREDS+Formula+Tablets&amp;qid=1695260654&amp;sr=8-1", "https://www.amazon.com/PreserVision-Vitamin-Mineral-Supplement-Tablets/dp/B0018C7872/ref=sr_1_1?keywords=PreserVision+AREDS+Formula+Tablets&amp;qid=1695260654&amp;sr=8-1")</f>
        <v>https://www.amazon.com/PreserVision-Vitamin-Mineral-Supplement-Tablets/dp/B0018C7872/ref=sr_1_1?keywords=PreserVision+AREDS+Formula+Tablets&amp;qid=1695260654&amp;sr=8-1</v>
      </c>
      <c r="F4719" t="s">
        <v>13543</v>
      </c>
      <c r="G4719" t="e">
        <f ca="1">IMAGE("https://shop.sonapharmacy.com/cdn/shop/products/3_362f347b-f283-4cc3-9d21-e49b495799a1.jpg?v=1589905823")</f>
        <v>#NAME?</v>
      </c>
      <c r="H4719" t="e">
        <f ca="1">IMAGE("https://m.media-amazon.com/images/I/71ahNQIe8hL._AC_UL320_.jpg")</f>
        <v>#NAME?</v>
      </c>
      <c r="I4719" t="s">
        <v>12624</v>
      </c>
      <c r="J4719">
        <v>20.45</v>
      </c>
      <c r="K4719" s="2" t="s">
        <v>13544</v>
      </c>
      <c r="L4719">
        <v>4.5</v>
      </c>
      <c r="M4719">
        <v>6578</v>
      </c>
      <c r="O4719" t="s">
        <v>26</v>
      </c>
      <c r="P4719" t="s">
        <v>39</v>
      </c>
      <c r="Q4719" t="s">
        <v>12626</v>
      </c>
    </row>
    <row r="4720" spans="1:17" ht="15.75" x14ac:dyDescent="0.25">
      <c r="A4720" s="3" t="str">
        <f>HYPERLINK("https://shop.sonapharmacy.com/products/metagenics-metakids-baby-probiotic", "https://shop.sonapharmacy.com/products/metagenics-metakids-baby-probiotic")</f>
        <v>https://shop.sonapharmacy.com/products/metagenics-metakids-baby-probiotic</v>
      </c>
      <c r="B4720" s="3" t="str">
        <f>HYPERLINK("https://shop.sonapharmacy.com/products/metagenics-metakids-baby-probiotic", "https://shop.sonapharmacy.com/products/metagenics-metakids-baby-probiotic")</f>
        <v>https://shop.sonapharmacy.com/products/metagenics-metakids-baby-probiotic</v>
      </c>
      <c r="C4720" t="s">
        <v>11234</v>
      </c>
      <c r="D4720" t="s">
        <v>13545</v>
      </c>
      <c r="E4720" s="3" t="str">
        <f>HYPERLINK("https://www.amazon.com/Metagenics-MetaKidsTM-Probiotic-60-Count/dp/B07NXWDG43/ref=sr_1_3?keywords=Metagenics+MetaKids+Baby+Probiotic&amp;qid=1695260468&amp;sr=8-3", "https://www.amazon.com/Metagenics-MetaKidsTM-Probiotic-60-Count/dp/B07NXWDG43/ref=sr_1_3?keywords=Metagenics+MetaKids+Baby+Probiotic&amp;qid=1695260468&amp;sr=8-3")</f>
        <v>https://www.amazon.com/Metagenics-MetaKidsTM-Probiotic-60-Count/dp/B07NXWDG43/ref=sr_1_3?keywords=Metagenics+MetaKids+Baby+Probiotic&amp;qid=1695260468&amp;sr=8-3</v>
      </c>
      <c r="F4720" t="s">
        <v>13546</v>
      </c>
      <c r="G4720" t="e">
        <f ca="1">IMAGE("https://shop.sonapharmacy.com/cdn/shop/products/13211.png?v=1676581823")</f>
        <v>#NAME?</v>
      </c>
      <c r="H4720" t="e">
        <f ca="1">IMAGE("https://m.media-amazon.com/images/I/61HFrnfFdnL._AC_UL320_.jpg")</f>
        <v>#NAME?</v>
      </c>
      <c r="I4720" t="s">
        <v>11237</v>
      </c>
      <c r="J4720">
        <v>40.43</v>
      </c>
      <c r="K4720" s="2" t="s">
        <v>13547</v>
      </c>
      <c r="L4720">
        <v>4.5</v>
      </c>
      <c r="M4720">
        <v>120</v>
      </c>
      <c r="O4720" t="s">
        <v>26</v>
      </c>
      <c r="P4720" t="s">
        <v>39</v>
      </c>
      <c r="Q4720" t="s">
        <v>11239</v>
      </c>
    </row>
    <row r="4721" spans="1:17" ht="15.75" x14ac:dyDescent="0.25">
      <c r="A4721" s="3" t="str">
        <f>HYPERLINK("https://shop.sonapharmacy.com/products/duracell%C2%AE-384-392-silver-oxide-button-battery", "https://shop.sonapharmacy.com/products/duracell%C2%AE-384-392-silver-oxide-button-battery")</f>
        <v>https://shop.sonapharmacy.com/products/duracell%C2%AE-384-392-silver-oxide-button-battery</v>
      </c>
      <c r="B4721" s="3" t="str">
        <f>HYPERLINK("https://shop.sonapharmacy.com/products/duracell%c2%ae-384-392-silver-oxide-button-battery", "https://shop.sonapharmacy.com/products/duracell%c2%ae-384-392-silver-oxide-button-battery")</f>
        <v>https://shop.sonapharmacy.com/products/duracell%c2%ae-384-392-silver-oxide-button-battery</v>
      </c>
      <c r="C4721" t="s">
        <v>12412</v>
      </c>
      <c r="D4721" t="s">
        <v>13548</v>
      </c>
      <c r="E4721" s="3" t="str">
        <f>HYPERLINK("https://www.amazon.com/Duracell-Silver-Battery-long-lasting-battery/dp/B07GN291TK/ref=sr_1_1?keywords=Duracell%C2%AE+384%2F392+Silver+Oxide+Button+Battery&amp;qid=1695260213&amp;sr=8-1", "https://www.amazon.com/Duracell-Silver-Battery-long-lasting-battery/dp/B07GN291TK/ref=sr_1_1?keywords=Duracell%C2%AE+384%2F392+Silver+Oxide+Button+Battery&amp;qid=1695260213&amp;sr=8-1")</f>
        <v>https://www.amazon.com/Duracell-Silver-Battery-long-lasting-battery/dp/B07GN291TK/ref=sr_1_1?keywords=Duracell%C2%AE+384%2F392+Silver+Oxide+Button+Battery&amp;qid=1695260213&amp;sr=8-1</v>
      </c>
      <c r="F4721" t="s">
        <v>13549</v>
      </c>
      <c r="G4721" t="e">
        <f ca="1">IMAGE("https://shop.sonapharmacy.com/cdn/shop/products/0b52d5e3-c879-4b57-80be-c3c0fed3d0de_1.7f064c989c6a1bbc7370a5e30f008f85.jpg?v=1610330993")</f>
        <v>#NAME?</v>
      </c>
      <c r="H4721" t="e">
        <f ca="1">IMAGE("https://m.media-amazon.com/images/I/51wvny-J6rL._AC_UL320_.jpg")</f>
        <v>#NAME?</v>
      </c>
      <c r="I4721" t="s">
        <v>11219</v>
      </c>
      <c r="J4721">
        <v>5.0199999999999996</v>
      </c>
      <c r="K4721" s="2" t="s">
        <v>13550</v>
      </c>
      <c r="L4721">
        <v>4.7</v>
      </c>
      <c r="M4721">
        <v>1181</v>
      </c>
      <c r="O4721" t="s">
        <v>26</v>
      </c>
      <c r="P4721" t="s">
        <v>39</v>
      </c>
      <c r="Q4721" t="s">
        <v>12416</v>
      </c>
    </row>
    <row r="4722" spans="1:17" ht="15.75" x14ac:dyDescent="0.25">
      <c r="A4722" s="3" t="str">
        <f>HYPERLINK("https://shop.sonapharmacy.com/products/nexcare-gentle-paper-tape-with-dispenser", "https://shop.sonapharmacy.com/products/nexcare-gentle-paper-tape-with-dispenser")</f>
        <v>https://shop.sonapharmacy.com/products/nexcare-gentle-paper-tape-with-dispenser</v>
      </c>
      <c r="B4722" s="3" t="str">
        <f>HYPERLINK("https://shop.sonapharmacy.com/products/nexcare-gentle-paper-tape-with-dispenser", "https://shop.sonapharmacy.com/products/nexcare-gentle-paper-tape-with-dispenser")</f>
        <v>https://shop.sonapharmacy.com/products/nexcare-gentle-paper-tape-with-dispenser</v>
      </c>
      <c r="C4722" t="s">
        <v>9113</v>
      </c>
      <c r="D4722" t="s">
        <v>13551</v>
      </c>
      <c r="E4722" s="3" t="str">
        <f>HYPERLINK("https://www.amazon.com/Nexcare-First-Gentle-Paper-Tape/dp/B002SV0M3O/ref=sr_1_6?keywords=Nexcare+Gentle+Paper+Tape&amp;qid=1695260585&amp;sr=8-6", "https://www.amazon.com/Nexcare-First-Gentle-Paper-Tape/dp/B002SV0M3O/ref=sr_1_6?keywords=Nexcare+Gentle+Paper+Tape&amp;qid=1695260585&amp;sr=8-6")</f>
        <v>https://www.amazon.com/Nexcare-First-Gentle-Paper-Tape/dp/B002SV0M3O/ref=sr_1_6?keywords=Nexcare+Gentle+Paper+Tape&amp;qid=1695260585&amp;sr=8-6</v>
      </c>
      <c r="F4722" t="s">
        <v>13552</v>
      </c>
      <c r="G4722" t="e">
        <f ca="1">IMAGE("https://shop.sonapharmacy.com/cdn/shop/products/817vSXJ0jlL._AC_SL1500.jpg?v=1607703211")</f>
        <v>#NAME?</v>
      </c>
      <c r="H4722" t="e">
        <f ca="1">IMAGE("https://m.media-amazon.com/images/I/71ZOpvvmTfL._AC_UL320_.jpg")</f>
        <v>#NAME?</v>
      </c>
      <c r="I4722" t="s">
        <v>8760</v>
      </c>
      <c r="J4722">
        <v>6.24</v>
      </c>
      <c r="K4722" s="2" t="s">
        <v>13553</v>
      </c>
      <c r="L4722">
        <v>4.7</v>
      </c>
      <c r="M4722">
        <v>641</v>
      </c>
      <c r="O4722" t="s">
        <v>136</v>
      </c>
      <c r="P4722" t="s">
        <v>39</v>
      </c>
      <c r="Q4722" t="s">
        <v>9117</v>
      </c>
    </row>
    <row r="4723" spans="1:17" ht="15.75" x14ac:dyDescent="0.25">
      <c r="A4723" s="3" t="str">
        <f>HYPERLINK("https://shop.sonapharmacy.com/products/adtemp%C2%AE-temple-touch-thermometer", "https://shop.sonapharmacy.com/products/adtemp%C2%AE-temple-touch-thermometer")</f>
        <v>https://shop.sonapharmacy.com/products/adtemp%C2%AE-temple-touch-thermometer</v>
      </c>
      <c r="B4723" s="3" t="str">
        <f>HYPERLINK("https://shop.sonapharmacy.com/products/adtemp%c2%ae-temple-touch-thermometer", "https://shop.sonapharmacy.com/products/adtemp%c2%ae-temple-touch-thermometer")</f>
        <v>https://shop.sonapharmacy.com/products/adtemp%c2%ae-temple-touch-thermometer</v>
      </c>
      <c r="C4723" t="s">
        <v>13554</v>
      </c>
      <c r="D4723" t="s">
        <v>13555</v>
      </c>
      <c r="E4723" s="3" t="str">
        <f>HYPERLINK("https://www.amazon.com/American-Diagnostic-ADTEMP-Temple-Thermometer/dp/B005PGBN0U/ref=sr_1_3?keywords=Adtemp+Temple+Touch+Thermometer&amp;qid=1695260003&amp;sr=8-3", "https://www.amazon.com/American-Diagnostic-ADTEMP-Temple-Thermometer/dp/B005PGBN0U/ref=sr_1_3?keywords=Adtemp+Temple+Touch+Thermometer&amp;qid=1695260003&amp;sr=8-3")</f>
        <v>https://www.amazon.com/American-Diagnostic-ADTEMP-Temple-Thermometer/dp/B005PGBN0U/ref=sr_1_3?keywords=Adtemp+Temple+Touch+Thermometer&amp;qid=1695260003&amp;sr=8-3</v>
      </c>
      <c r="F4723" t="s">
        <v>13556</v>
      </c>
      <c r="G4723" t="e">
        <f ca="1">IMAGE("https://shop.sonapharmacy.com/cdn/shop/products/51X2vsPGK9L._AC_SL1307.jpg?v=1614791812")</f>
        <v>#NAME?</v>
      </c>
      <c r="H4723" t="e">
        <f ca="1">IMAGE("https://m.media-amazon.com/images/I/51jWma3+PNL._AC_UL320_.jpg")</f>
        <v>#NAME?</v>
      </c>
      <c r="I4723" t="s">
        <v>13557</v>
      </c>
      <c r="J4723">
        <v>15.99</v>
      </c>
      <c r="K4723" s="2" t="s">
        <v>13553</v>
      </c>
      <c r="L4723">
        <v>4.4000000000000004</v>
      </c>
      <c r="M4723">
        <v>112</v>
      </c>
      <c r="O4723" t="s">
        <v>26</v>
      </c>
      <c r="P4723" t="s">
        <v>39</v>
      </c>
      <c r="Q4723" t="s">
        <v>13558</v>
      </c>
    </row>
    <row r="4724" spans="1:17" ht="15.75" x14ac:dyDescent="0.25">
      <c r="A4724" s="3" t="str">
        <f>HYPERLINK("https://shop.sonapharmacy.com/products/adtemp%C2%AE-temple-touch-thermometer", "https://shop.sonapharmacy.com/products/adtemp%C2%AE-temple-touch-thermometer")</f>
        <v>https://shop.sonapharmacy.com/products/adtemp%C2%AE-temple-touch-thermometer</v>
      </c>
      <c r="B4724" s="3" t="str">
        <f>HYPERLINK("https://shop.sonapharmacy.com/products/adtemp%c2%ae-temple-touch-thermometer", "https://shop.sonapharmacy.com/products/adtemp%c2%ae-temple-touch-thermometer")</f>
        <v>https://shop.sonapharmacy.com/products/adtemp%c2%ae-temple-touch-thermometer</v>
      </c>
      <c r="C4724" t="s">
        <v>13554</v>
      </c>
      <c r="D4724" t="s">
        <v>13554</v>
      </c>
      <c r="E4724" s="3" t="str">
        <f>HYPERLINK("https://www.amazon.com/Adtemp-Temple-Touch-Thermometer/dp/B0031LPYYM/ref=sr_1_2?keywords=Adtemp+Temple+Touch+Thermometer&amp;qid=1695260003&amp;sr=8-2", "https://www.amazon.com/Adtemp-Temple-Touch-Thermometer/dp/B0031LPYYM/ref=sr_1_2?keywords=Adtemp+Temple+Touch+Thermometer&amp;qid=1695260003&amp;sr=8-2")</f>
        <v>https://www.amazon.com/Adtemp-Temple-Touch-Thermometer/dp/B0031LPYYM/ref=sr_1_2?keywords=Adtemp+Temple+Touch+Thermometer&amp;qid=1695260003&amp;sr=8-2</v>
      </c>
      <c r="F4724" t="s">
        <v>13559</v>
      </c>
      <c r="G4724" t="e">
        <f ca="1">IMAGE("https://shop.sonapharmacy.com/cdn/shop/products/51X2vsPGK9L._AC_SL1307.jpg?v=1614791812")</f>
        <v>#NAME?</v>
      </c>
      <c r="H4724" t="e">
        <f ca="1">IMAGE("https://m.media-amazon.com/images/I/5140eLdvAHL._AC_UL320_.jpg")</f>
        <v>#NAME?</v>
      </c>
      <c r="I4724" t="s">
        <v>13557</v>
      </c>
      <c r="J4724">
        <v>15.97</v>
      </c>
      <c r="K4724" s="2" t="s">
        <v>13560</v>
      </c>
      <c r="L4724">
        <v>3.9</v>
      </c>
      <c r="M4724">
        <v>101</v>
      </c>
      <c r="O4724" t="s">
        <v>26</v>
      </c>
      <c r="P4724" t="s">
        <v>39</v>
      </c>
      <c r="Q4724" t="s">
        <v>13558</v>
      </c>
    </row>
    <row r="4725" spans="1:17" ht="15.75" x14ac:dyDescent="0.25">
      <c r="A4725" s="3" t="str">
        <f>HYPERLINK("https://shop.sonapharmacy.com/products/bausch-lomb%C2%AE-soothe-xp-lubricant-eye-drops-0-5fl-oz", "https://shop.sonapharmacy.com/products/bausch-lomb%C2%AE-soothe-xp-lubricant-eye-drops-0-5fl-oz")</f>
        <v>https://shop.sonapharmacy.com/products/bausch-lomb%C2%AE-soothe-xp-lubricant-eye-drops-0-5fl-oz</v>
      </c>
      <c r="B4725" s="3" t="str">
        <f>HYPERLINK("https://shop.sonapharmacy.com/products/bausch-lomb%c2%ae-soothe-xp-lubricant-eye-drops-0-5fl-oz", "https://shop.sonapharmacy.com/products/bausch-lomb%c2%ae-soothe-xp-lubricant-eye-drops-0-5fl-oz")</f>
        <v>https://shop.sonapharmacy.com/products/bausch-lomb%c2%ae-soothe-xp-lubricant-eye-drops-0-5fl-oz</v>
      </c>
      <c r="C4725" t="s">
        <v>13561</v>
      </c>
      <c r="D4725" t="s">
        <v>13562</v>
      </c>
      <c r="E4725" s="3" t="str">
        <f>HYPERLINK("https://www.amazon.com/Soothe-Protection-Lubricant-Restoryl-Twinpack/dp/B07BVPRX4T/ref=sr_1_1?keywords=Bausch+%2B+Lomb+Soothe+XP+Lubricant+Eye+Drops+0.5fl.+oz.&amp;qid=1695260072&amp;sr=8-1", "https://www.amazon.com/Soothe-Protection-Lubricant-Restoryl-Twinpack/dp/B07BVPRX4T/ref=sr_1_1?keywords=Bausch+%2B+Lomb+Soothe+XP+Lubricant+Eye+Drops+0.5fl.+oz.&amp;qid=1695260072&amp;sr=8-1")</f>
        <v>https://www.amazon.com/Soothe-Protection-Lubricant-Restoryl-Twinpack/dp/B07BVPRX4T/ref=sr_1_1?keywords=Bausch+%2B+Lomb+Soothe+XP+Lubricant+Eye+Drops+0.5fl.+oz.&amp;qid=1695260072&amp;sr=8-1</v>
      </c>
      <c r="F4725" t="s">
        <v>13563</v>
      </c>
      <c r="G4725" t="e">
        <f ca="1">IMAGE("https://shop.sonapharmacy.com/cdn/shop/products/ed045532-577a-4d6c-ab56-c53cfa2f34d8_1.1d4f3cc8cc29aabd472863a51d52f575.jpg?v=1629236437")</f>
        <v>#NAME?</v>
      </c>
      <c r="H4725" t="e">
        <f ca="1">IMAGE("https://m.media-amazon.com/images/I/81ZctPhZwaL._AC_UL320_.jpg")</f>
        <v>#NAME?</v>
      </c>
      <c r="I4725" t="s">
        <v>13564</v>
      </c>
      <c r="J4725">
        <v>16.23</v>
      </c>
      <c r="K4725" s="2" t="s">
        <v>13565</v>
      </c>
      <c r="L4725">
        <v>4.5999999999999996</v>
      </c>
      <c r="M4725">
        <v>4624</v>
      </c>
      <c r="O4725" t="s">
        <v>26</v>
      </c>
      <c r="P4725" t="s">
        <v>39</v>
      </c>
      <c r="Q4725" t="s">
        <v>13566</v>
      </c>
    </row>
    <row r="4726" spans="1:17" ht="15.75" x14ac:dyDescent="0.25">
      <c r="A4726" s="3" t="str">
        <f>HYPERLINK("https://shop.sonapharmacy.com/products/sundown-vitamin-e-oil-2-5fl", "https://shop.sonapharmacy.com/products/sundown-vitamin-e-oil-2-5fl")</f>
        <v>https://shop.sonapharmacy.com/products/sundown-vitamin-e-oil-2-5fl</v>
      </c>
      <c r="B4726" s="3" t="str">
        <f>HYPERLINK("https://shop.sonapharmacy.com/products/sundown-vitamin-e-oil-2-5fl", "https://shop.sonapharmacy.com/products/sundown-vitamin-e-oil-2-5fl")</f>
        <v>https://shop.sonapharmacy.com/products/sundown-vitamin-e-oil-2-5fl</v>
      </c>
      <c r="C4726" t="s">
        <v>8883</v>
      </c>
      <c r="D4726" t="s">
        <v>13567</v>
      </c>
      <c r="E4726" s="3" t="str">
        <f>HYPERLINK("https://www.amazon.com/Sundown-Naturals-Vitamin-Oil-2-50/dp/B00121PZZG/ref=sr_1_5?keywords=Sundown+Vitamin+E+Oil+2.5fl&amp;qid=1695260741&amp;sr=8-5", "https://www.amazon.com/Sundown-Naturals-Vitamin-Oil-2-50/dp/B00121PZZG/ref=sr_1_5?keywords=Sundown+Vitamin+E+Oil+2.5fl&amp;qid=1695260741&amp;sr=8-5")</f>
        <v>https://www.amazon.com/Sundown-Naturals-Vitamin-Oil-2-50/dp/B00121PZZG/ref=sr_1_5?keywords=Sundown+Vitamin+E+Oil+2.5fl&amp;qid=1695260741&amp;sr=8-5</v>
      </c>
      <c r="F4726" t="s">
        <v>13568</v>
      </c>
      <c r="G4726" t="e">
        <f ca="1">IMAGE("https://shop.sonapharmacy.com/cdn/shop/products/b5528557-4aee-4dfe-a2a2-302b5998af18_1.8e7a790b89db2b249d70e2d54929257f.jpg?v=1608242073")</f>
        <v>#NAME?</v>
      </c>
      <c r="H4726" t="e">
        <f ca="1">IMAGE("https://m.media-amazon.com/images/I/61Gm48R3VOL._AC_UL320_.jpg")</f>
        <v>#NAME?</v>
      </c>
      <c r="I4726" t="s">
        <v>8886</v>
      </c>
      <c r="J4726">
        <v>9.49</v>
      </c>
      <c r="K4726" s="2" t="s">
        <v>13569</v>
      </c>
      <c r="L4726">
        <v>4.5999999999999996</v>
      </c>
      <c r="M4726">
        <v>3885</v>
      </c>
      <c r="O4726" t="s">
        <v>26</v>
      </c>
      <c r="P4726" t="s">
        <v>39</v>
      </c>
      <c r="Q4726" t="s">
        <v>8888</v>
      </c>
    </row>
    <row r="4727" spans="1:17" ht="15.75" x14ac:dyDescent="0.25">
      <c r="A4727" s="3" t="str">
        <f>HYPERLINK("https://shop.sonapharmacy.com/products/cortizone-10%C2%AE-maximum-strength-anti-itch-ointment-1oz", "https://shop.sonapharmacy.com/products/cortizone-10%C2%AE-maximum-strength-anti-itch-ointment-1oz")</f>
        <v>https://shop.sonapharmacy.com/products/cortizone-10%C2%AE-maximum-strength-anti-itch-ointment-1oz</v>
      </c>
      <c r="B4727" s="3" t="str">
        <f>HYPERLINK("https://shop.sonapharmacy.com/products/cortizone-10%c2%ae-maximum-strength-anti-itch-ointment-1oz", "https://shop.sonapharmacy.com/products/cortizone-10%c2%ae-maximum-strength-anti-itch-ointment-1oz")</f>
        <v>https://shop.sonapharmacy.com/products/cortizone-10%c2%ae-maximum-strength-anti-itch-ointment-1oz</v>
      </c>
      <c r="C4727" t="s">
        <v>13570</v>
      </c>
      <c r="D4727" t="s">
        <v>13571</v>
      </c>
      <c r="E4727" s="3" t="str">
        <f>HYPERLINK("https://www.amazon.com/Cortizone-10-Strength-Resistant-Anti-Itch-Hydrocortisone/dp/B0BJMDMDCX/ref=sr_1_2?keywords=Cortizone+10%C2%AE+Maximum+Strength+Anti-Itch+Ointment+1oz&amp;qid=1695260167&amp;sr=8-2", "https://www.amazon.com/Cortizone-10-Strength-Resistant-Anti-Itch-Hydrocortisone/dp/B0BJMDMDCX/ref=sr_1_2?keywords=Cortizone+10%C2%AE+Maximum+Strength+Anti-Itch+Ointment+1oz&amp;qid=1695260167&amp;sr=8-2")</f>
        <v>https://www.amazon.com/Cortizone-10-Strength-Resistant-Anti-Itch-Hydrocortisone/dp/B0BJMDMDCX/ref=sr_1_2?keywords=Cortizone+10%C2%AE+Maximum+Strength+Anti-Itch+Ointment+1oz&amp;qid=1695260167&amp;sr=8-2</v>
      </c>
      <c r="F4727" t="s">
        <v>13572</v>
      </c>
      <c r="G4727" t="e">
        <f ca="1">IMAGE("https://shop.sonapharmacy.com/cdn/shop/products/products-anti-itch-ointment-n.jpg?v=1607801982")</f>
        <v>#NAME?</v>
      </c>
      <c r="H4727" t="e">
        <f ca="1">IMAGE("https://m.media-amazon.com/images/I/71Fir7lFohL._AC_UL320_.jpg")</f>
        <v>#NAME?</v>
      </c>
      <c r="I4727" t="s">
        <v>10059</v>
      </c>
      <c r="J4727">
        <v>8.42</v>
      </c>
      <c r="K4727" s="2" t="s">
        <v>13573</v>
      </c>
      <c r="L4727">
        <v>4.5999999999999996</v>
      </c>
      <c r="M4727">
        <v>124</v>
      </c>
      <c r="O4727" t="s">
        <v>26</v>
      </c>
      <c r="P4727" t="s">
        <v>39</v>
      </c>
      <c r="Q4727" t="s">
        <v>13574</v>
      </c>
    </row>
    <row r="4728" spans="1:17" ht="15.75" x14ac:dyDescent="0.25">
      <c r="A4728" s="3" t="str">
        <f>HYPERLINK("https://shop.sonapharmacy.com/products/buffered-vitamin-c-1000-mg-60-vegcaps", "https://shop.sonapharmacy.com/products/buffered-vitamin-c-1000-mg-60-vegcaps")</f>
        <v>https://shop.sonapharmacy.com/products/buffered-vitamin-c-1000-mg-60-vegcaps</v>
      </c>
      <c r="B4728" s="3" t="str">
        <f>HYPERLINK("https://shop.sonapharmacy.com/products/buffered-vitamin-c-1000-mg-60-vegcaps", "https://shop.sonapharmacy.com/products/buffered-vitamin-c-1000-mg-60-vegcaps")</f>
        <v>https://shop.sonapharmacy.com/products/buffered-vitamin-c-1000-mg-60-vegcaps</v>
      </c>
      <c r="C4728" t="s">
        <v>11310</v>
      </c>
      <c r="D4728" t="s">
        <v>13575</v>
      </c>
      <c r="E4728" s="3" t="str">
        <f>HYPERLINK("https://www.amazon.com/Integrative-Therapeutics-Antioxidant-Supplement-Sensitive/dp/B0031WZBDK/ref=sr_1_5?keywords=Integrative+Therapeutics%C2%AE+Buffered+Vitamin+C+1000mg+Capsule&amp;qid=1695260407&amp;sr=8-5", "https://www.amazon.com/Integrative-Therapeutics-Antioxidant-Supplement-Sensitive/dp/B0031WZBDK/ref=sr_1_5?keywords=Integrative+Therapeutics%C2%AE+Buffered+Vitamin+C+1000mg+Capsule&amp;qid=1695260407&amp;sr=8-5")</f>
        <v>https://www.amazon.com/Integrative-Therapeutics-Antioxidant-Supplement-Sensitive/dp/B0031WZBDK/ref=sr_1_5?keywords=Integrative+Therapeutics%C2%AE+Buffered+Vitamin+C+1000mg+Capsule&amp;qid=1695260407&amp;sr=8-5</v>
      </c>
      <c r="F4728" t="s">
        <v>13576</v>
      </c>
      <c r="G4728" t="e">
        <f ca="1">IMAGE("https://shop.sonapharmacy.com/cdn/shop/products/618C731cXIL._AC_SL1500.jpg?v=1609356444")</f>
        <v>#NAME?</v>
      </c>
      <c r="H4728" t="e">
        <f ca="1">IMAGE("https://m.media-amazon.com/images/I/51cIh+KzCwL._AC_UL320_.jpg")</f>
        <v>#NAME?</v>
      </c>
      <c r="I4728" t="s">
        <v>5229</v>
      </c>
      <c r="J4728">
        <v>14.4</v>
      </c>
      <c r="K4728" s="2" t="s">
        <v>13577</v>
      </c>
      <c r="L4728">
        <v>4.7</v>
      </c>
      <c r="M4728">
        <v>1680</v>
      </c>
      <c r="O4728" t="s">
        <v>39</v>
      </c>
      <c r="P4728" t="s">
        <v>39</v>
      </c>
      <c r="Q4728" t="s">
        <v>11314</v>
      </c>
    </row>
    <row r="4729" spans="1:17" ht="15.75" x14ac:dyDescent="0.25">
      <c r="A4729" s="3" t="str">
        <f>HYPERLINK("https://shop.sonapharmacy.com/products/buffered-vitamin-c-1000-mg-60-vegcaps", "https://shop.sonapharmacy.com/products/buffered-vitamin-c-1000-mg-60-vegcaps")</f>
        <v>https://shop.sonapharmacy.com/products/buffered-vitamin-c-1000-mg-60-vegcaps</v>
      </c>
      <c r="B4729" s="3" t="str">
        <f>HYPERLINK("https://shop.sonapharmacy.com/products/buffered-vitamin-c-1000-mg-60-vegcaps", "https://shop.sonapharmacy.com/products/buffered-vitamin-c-1000-mg-60-vegcaps")</f>
        <v>https://shop.sonapharmacy.com/products/buffered-vitamin-c-1000-mg-60-vegcaps</v>
      </c>
      <c r="C4729" t="s">
        <v>11310</v>
      </c>
      <c r="D4729" t="s">
        <v>13575</v>
      </c>
      <c r="E4729" s="3"/>
      <c r="F4729" t="s">
        <v>13576</v>
      </c>
      <c r="G4729" t="e">
        <f ca="1">IMAGE("https://shop.sonapharmacy.com/cdn/shop/products/618C731cXIL._AC_SL1500.jpg?v=1609356444")</f>
        <v>#NAME?</v>
      </c>
      <c r="H4729" t="e">
        <f ca="1">IMAGE("https://m.media-amazon.com/images/I/51cIh+KzCwL._AC_UL320_.jpg")</f>
        <v>#NAME?</v>
      </c>
      <c r="I4729" t="s">
        <v>5229</v>
      </c>
      <c r="J4729">
        <v>14.4</v>
      </c>
      <c r="K4729" s="2" t="s">
        <v>13577</v>
      </c>
      <c r="L4729">
        <v>4.7</v>
      </c>
      <c r="M4729">
        <v>1680</v>
      </c>
      <c r="O4729" t="s">
        <v>39</v>
      </c>
      <c r="P4729" t="s">
        <v>39</v>
      </c>
      <c r="Q4729" t="s">
        <v>11314</v>
      </c>
    </row>
    <row r="4730" spans="1:17" ht="15.75" x14ac:dyDescent="0.25">
      <c r="A4730" s="3" t="str">
        <f>HYPERLINK("https://shop.sonapharmacy.com/products/citrucel%C2%AE-orange-flavor-sugar-free-fiber-powder-16-9oz", "https://shop.sonapharmacy.com/products/citrucel%C2%AE-orange-flavor-sugar-free-fiber-powder-16-9oz")</f>
        <v>https://shop.sonapharmacy.com/products/citrucel%C2%AE-orange-flavor-sugar-free-fiber-powder-16-9oz</v>
      </c>
      <c r="B4730" s="3" t="str">
        <f>HYPERLINK("https://shop.sonapharmacy.com/products/citrucel%c2%ae-orange-flavor-sugar-free-fiber-powder-16-9oz", "https://shop.sonapharmacy.com/products/citrucel%c2%ae-orange-flavor-sugar-free-fiber-powder-16-9oz")</f>
        <v>https://shop.sonapharmacy.com/products/citrucel%c2%ae-orange-flavor-sugar-free-fiber-powder-16-9oz</v>
      </c>
      <c r="C4730" t="s">
        <v>9539</v>
      </c>
      <c r="D4730" t="s">
        <v>12322</v>
      </c>
      <c r="E4730" s="3" t="str">
        <f>HYPERLINK("https://www.amazon.com/Naturlax-Orange-Flavored-Psyllium-Supplement/dp/B07H8QS2DN/ref=sr_1_4?keywords=Citrucel%C2%AE+Orange+Flavor+Sugar-Free+Fiber+Powder+16.9oz.&amp;qid=1695260135&amp;sr=8-4", "https://www.amazon.com/Naturlax-Orange-Flavored-Psyllium-Supplement/dp/B07H8QS2DN/ref=sr_1_4?keywords=Citrucel%C2%AE+Orange+Flavor+Sugar-Free+Fiber+Powder+16.9oz.&amp;qid=1695260135&amp;sr=8-4")</f>
        <v>https://www.amazon.com/Naturlax-Orange-Flavored-Psyllium-Supplement/dp/B07H8QS2DN/ref=sr_1_4?keywords=Citrucel%C2%AE+Orange+Flavor+Sugar-Free+Fiber+Powder+16.9oz.&amp;qid=1695260135&amp;sr=8-4</v>
      </c>
      <c r="F4730" t="s">
        <v>12323</v>
      </c>
      <c r="G4730" t="e">
        <f ca="1">IMAGE("https://shop.sonapharmacy.com/cdn/shop/products/711W3DclJgL._AC_SL1500.jpg?v=1610982192")</f>
        <v>#NAME?</v>
      </c>
      <c r="H4730" t="e">
        <f ca="1">IMAGE("https://m.media-amazon.com/images/I/61gpHsd1U+L._AC_UL320_.jpg")</f>
        <v>#NAME?</v>
      </c>
      <c r="I4730" t="s">
        <v>9542</v>
      </c>
      <c r="J4730">
        <v>22.6</v>
      </c>
      <c r="K4730" s="2" t="s">
        <v>13578</v>
      </c>
      <c r="L4730">
        <v>3.8</v>
      </c>
      <c r="M4730">
        <v>459</v>
      </c>
      <c r="O4730" t="s">
        <v>26</v>
      </c>
      <c r="P4730" t="s">
        <v>39</v>
      </c>
      <c r="Q4730" t="s">
        <v>9544</v>
      </c>
    </row>
    <row r="4731" spans="1:17" ht="15.75" x14ac:dyDescent="0.25">
      <c r="A4731" s="3" t="str">
        <f>HYPERLINK("https://shop.sonapharmacy.com/products/goodsense%C2%AE-all-day-allergy-relief-tablets", "https://shop.sonapharmacy.com/products/goodsense%C2%AE-all-day-allergy-relief-tablets")</f>
        <v>https://shop.sonapharmacy.com/products/goodsense%C2%AE-all-day-allergy-relief-tablets</v>
      </c>
      <c r="B4731" s="3" t="str">
        <f>HYPERLINK("https://shop.sonapharmacy.com/products/goodsense%c2%ae-all-day-allergy-relief-tablets", "https://shop.sonapharmacy.com/products/goodsense%c2%ae-all-day-allergy-relief-tablets")</f>
        <v>https://shop.sonapharmacy.com/products/goodsense%c2%ae-all-day-allergy-relief-tablets</v>
      </c>
      <c r="C4731" t="s">
        <v>13579</v>
      </c>
      <c r="D4731" t="s">
        <v>13580</v>
      </c>
      <c r="E4731" s="3" t="str">
        <f>HYPERLINK("https://www.amazon.com/HealthCareAisle-Cetirizine-Hydrochloride-Tablets-Count/dp/B07HDC8KLP/ref=sr_1_7?keywords=GoodSense%C2%AE+Cetirizine+Relief+Tablets&amp;qid=1695260308&amp;sr=8-7", "https://www.amazon.com/HealthCareAisle-Cetirizine-Hydrochloride-Tablets-Count/dp/B07HDC8KLP/ref=sr_1_7?keywords=GoodSense%C2%AE+Cetirizine+Relief+Tablets&amp;qid=1695260308&amp;sr=8-7")</f>
        <v>https://www.amazon.com/HealthCareAisle-Cetirizine-Hydrochloride-Tablets-Count/dp/B07HDC8KLP/ref=sr_1_7?keywords=GoodSense%C2%AE+Cetirizine+Relief+Tablets&amp;qid=1695260308&amp;sr=8-7</v>
      </c>
      <c r="F4731" t="s">
        <v>13581</v>
      </c>
      <c r="G4731" t="e">
        <f ca="1">IMAGE("https://shop.sonapharmacy.com/cdn/shop/products/Untitled-178.jpg?v=1593453121")</f>
        <v>#NAME?</v>
      </c>
      <c r="H4731" t="e">
        <f ca="1">IMAGE("https://m.media-amazon.com/images/I/71RTRJ2dgKL._AC_UL320_.jpg")</f>
        <v>#NAME?</v>
      </c>
      <c r="I4731" t="s">
        <v>11738</v>
      </c>
      <c r="J4731">
        <v>13.14</v>
      </c>
      <c r="K4731" s="2" t="s">
        <v>13582</v>
      </c>
      <c r="L4731">
        <v>4.7</v>
      </c>
      <c r="M4731">
        <v>2085</v>
      </c>
      <c r="O4731" t="s">
        <v>26</v>
      </c>
      <c r="P4731" t="s">
        <v>39</v>
      </c>
      <c r="Q4731" t="s">
        <v>13583</v>
      </c>
    </row>
    <row r="4732" spans="1:17" ht="15.75" x14ac:dyDescent="0.25">
      <c r="A4732" s="3" t="str">
        <f>HYPERLINK("https://shop.sonapharmacy.com/products/fergon-high-potency-iron-supplement-tablets", "https://shop.sonapharmacy.com/products/fergon-high-potency-iron-supplement-tablets")</f>
        <v>https://shop.sonapharmacy.com/products/fergon-high-potency-iron-supplement-tablets</v>
      </c>
      <c r="B4732" s="3" t="str">
        <f>HYPERLINK("https://shop.sonapharmacy.com/products/fergon-high-potency-iron-supplement-tablets", "https://shop.sonapharmacy.com/products/fergon-high-potency-iron-supplement-tablets")</f>
        <v>https://shop.sonapharmacy.com/products/fergon-high-potency-iron-supplement-tablets</v>
      </c>
      <c r="C4732" t="s">
        <v>10827</v>
      </c>
      <c r="D4732" t="s">
        <v>13584</v>
      </c>
      <c r="E4732" s="3" t="str">
        <f>HYPERLINK("https://www.amazon.com/Fergon-Potency-Supplement-Tablets-Count/dp/B00XM2M73Q/ref=sr_1_4?keywords=Fergon%C2%AE+High+Potency+Iron+Supplement+Tablets&amp;qid=1695260232&amp;sr=8-4", "https://www.amazon.com/Fergon-Potency-Supplement-Tablets-Count/dp/B00XM2M73Q/ref=sr_1_4?keywords=Fergon%C2%AE+High+Potency+Iron+Supplement+Tablets&amp;qid=1695260232&amp;sr=8-4")</f>
        <v>https://www.amazon.com/Fergon-Potency-Supplement-Tablets-Count/dp/B00XM2M73Q/ref=sr_1_4?keywords=Fergon%C2%AE+High+Potency+Iron+Supplement+Tablets&amp;qid=1695260232&amp;sr=8-4</v>
      </c>
      <c r="F4732" t="s">
        <v>13585</v>
      </c>
      <c r="G4732" t="e">
        <f ca="1">IMAGE("https://shop.sonapharmacy.com/cdn/shop/products/FergonHighPotencyIronSupplementTabletsFergonHighPotencyIronSupplementTablets.jpg?v=1595010428")</f>
        <v>#NAME?</v>
      </c>
      <c r="H4732" t="e">
        <f ca="1">IMAGE("https://m.media-amazon.com/images/I/71zMoFaJ-UL._AC_UL320_.jpg")</f>
        <v>#NAME?</v>
      </c>
      <c r="I4732" t="s">
        <v>9258</v>
      </c>
      <c r="J4732">
        <v>12.77</v>
      </c>
      <c r="K4732" s="2" t="s">
        <v>13586</v>
      </c>
      <c r="L4732">
        <v>4.8</v>
      </c>
      <c r="M4732">
        <v>85</v>
      </c>
      <c r="O4732" t="s">
        <v>26</v>
      </c>
      <c r="P4732" t="s">
        <v>39</v>
      </c>
      <c r="Q4732" t="s">
        <v>10831</v>
      </c>
    </row>
    <row r="4733" spans="1:17" ht="15.75" x14ac:dyDescent="0.25">
      <c r="A4733" s="3" t="str">
        <f>HYPERLINK("https://shop.sonapharmacy.com/products/aveeno%C2%AE-daily-moisturizing-body-wash-12fl-oz", "https://shop.sonapharmacy.com/products/aveeno%C2%AE-daily-moisturizing-body-wash-12fl-oz")</f>
        <v>https://shop.sonapharmacy.com/products/aveeno%C2%AE-daily-moisturizing-body-wash-12fl-oz</v>
      </c>
      <c r="B4733" s="3" t="str">
        <f>HYPERLINK("https://shop.sonapharmacy.com/products/aveeno%c2%ae-daily-moisturizing-body-wash-12fl-oz", "https://shop.sonapharmacy.com/products/aveeno%c2%ae-daily-moisturizing-body-wash-12fl-oz")</f>
        <v>https://shop.sonapharmacy.com/products/aveeno%c2%ae-daily-moisturizing-body-wash-12fl-oz</v>
      </c>
      <c r="C4733" t="s">
        <v>8657</v>
      </c>
      <c r="D4733" t="s">
        <v>13587</v>
      </c>
      <c r="E4733" s="3" t="str">
        <f>HYPERLINK("https://www.amazon.com/Aveeno-Daily-Moisturizing-Body-Wash/dp/B000ODNSR0/ref=sr_1_4?keywords=Aveeno%C2%AE+Daily+Moisturizing+Body+Wash+12fl.+oz.&amp;qid=1695260037&amp;sr=8-4", "https://www.amazon.com/Aveeno-Daily-Moisturizing-Body-Wash/dp/B000ODNSR0/ref=sr_1_4?keywords=Aveeno%C2%AE+Daily+Moisturizing+Body+Wash+12fl.+oz.&amp;qid=1695260037&amp;sr=8-4")</f>
        <v>https://www.amazon.com/Aveeno-Daily-Moisturizing-Body-Wash/dp/B000ODNSR0/ref=sr_1_4?keywords=Aveeno%C2%AE+Daily+Moisturizing+Body+Wash+12fl.+oz.&amp;qid=1695260037&amp;sr=8-4</v>
      </c>
      <c r="F4733" t="s">
        <v>13588</v>
      </c>
      <c r="G4733" t="e">
        <f ca="1">IMAGE("https://shop.sonapharmacy.com/cdn/shop/products/ave_381370014188_dailymoist_bodywash_12oz_00000_1000w_1000h.jpg?v=1611191757")</f>
        <v>#NAME?</v>
      </c>
      <c r="H4733" t="e">
        <f ca="1">IMAGE("https://m.media-amazon.com/images/I/61sntjysx1L._AC_UL320_.jpg")</f>
        <v>#NAME?</v>
      </c>
      <c r="I4733" t="s">
        <v>8660</v>
      </c>
      <c r="J4733">
        <v>9.7799999999999994</v>
      </c>
      <c r="K4733" s="2" t="s">
        <v>13589</v>
      </c>
      <c r="L4733">
        <v>4.7</v>
      </c>
      <c r="M4733">
        <v>20386</v>
      </c>
      <c r="O4733" t="s">
        <v>136</v>
      </c>
      <c r="P4733" t="s">
        <v>39</v>
      </c>
      <c r="Q4733" t="s">
        <v>8662</v>
      </c>
    </row>
    <row r="4734" spans="1:17" ht="15.75" x14ac:dyDescent="0.25">
      <c r="A4734" s="3" t="str">
        <f>HYPERLINK("https://shop.sonapharmacy.com/products/natures-way-sambucus-elderberry-zinc-lozenges", "https://shop.sonapharmacy.com/products/natures-way-sambucus-elderberry-zinc-lozenges")</f>
        <v>https://shop.sonapharmacy.com/products/natures-way-sambucus-elderberry-zinc-lozenges</v>
      </c>
      <c r="B4734" s="3" t="str">
        <f>HYPERLINK("https://shop.sonapharmacy.com/products/natures-way-sambucus-elderberry-zinc-lozenges", "https://shop.sonapharmacy.com/products/natures-way-sambucus-elderberry-zinc-lozenges")</f>
        <v>https://shop.sonapharmacy.com/products/natures-way-sambucus-elderberry-zinc-lozenges</v>
      </c>
      <c r="C4734" t="s">
        <v>11918</v>
      </c>
      <c r="D4734" t="s">
        <v>13590</v>
      </c>
      <c r="E4734" s="3" t="str">
        <f>HYPERLINK("https://www.amazon.com/Natures-Way-Sambucus-Elderberry-Certified/dp/B08D5H23P6/ref=sr_1_5?keywords=Nature%27s+Way%C2%AE+Sambucus+Elderberry+Zinc+Lozenges+24ct.&amp;qid=1695260560&amp;sr=8-5", "https://www.amazon.com/Natures-Way-Sambucus-Elderberry-Certified/dp/B08D5H23P6/ref=sr_1_5?keywords=Nature%27s+Way%C2%AE+Sambucus+Elderberry+Zinc+Lozenges+24ct.&amp;qid=1695260560&amp;sr=8-5")</f>
        <v>https://www.amazon.com/Natures-Way-Sambucus-Elderberry-Certified/dp/B08D5H23P6/ref=sr_1_5?keywords=Nature%27s+Way%C2%AE+Sambucus+Elderberry+Zinc+Lozenges+24ct.&amp;qid=1695260560&amp;sr=8-5</v>
      </c>
      <c r="F4734" t="s">
        <v>13591</v>
      </c>
      <c r="G4734" t="e">
        <f ca="1">IMAGE("https://shop.sonapharmacy.com/cdn/shop/products/12089.png?v=1610116249")</f>
        <v>#NAME?</v>
      </c>
      <c r="H4734" t="e">
        <f ca="1">IMAGE("https://m.media-amazon.com/images/I/713CqMhELkL._AC_UL320_.jpg")</f>
        <v>#NAME?</v>
      </c>
      <c r="I4734" t="s">
        <v>11921</v>
      </c>
      <c r="J4734">
        <v>9.99</v>
      </c>
      <c r="K4734" s="2" t="s">
        <v>13592</v>
      </c>
      <c r="L4734">
        <v>4.4000000000000004</v>
      </c>
      <c r="M4734">
        <v>30</v>
      </c>
      <c r="O4734" t="s">
        <v>26</v>
      </c>
      <c r="P4734" t="s">
        <v>39</v>
      </c>
      <c r="Q4734" t="s">
        <v>11922</v>
      </c>
    </row>
    <row r="4735" spans="1:17" ht="15.75" x14ac:dyDescent="0.25">
      <c r="A4735" s="3" t="str">
        <f>HYPERLINK("https://shop.sonapharmacy.com/products/sunbum%C2%AE-original-spf-30-sunscreen-spray-6oz", "https://shop.sonapharmacy.com/products/sunbum%C2%AE-original-spf-30-sunscreen-spray-6oz")</f>
        <v>https://shop.sonapharmacy.com/products/sunbum%C2%AE-original-spf-30-sunscreen-spray-6oz</v>
      </c>
      <c r="B4735" s="3" t="str">
        <f>HYPERLINK("https://shop.sonapharmacy.com/products/sunbum%c2%ae-original-spf-30-sunscreen-spray-6oz", "https://shop.sonapharmacy.com/products/sunbum%c2%ae-original-spf-30-sunscreen-spray-6oz")</f>
        <v>https://shop.sonapharmacy.com/products/sunbum%c2%ae-original-spf-30-sunscreen-spray-6oz</v>
      </c>
      <c r="C4735" t="s">
        <v>10206</v>
      </c>
      <c r="D4735" t="s">
        <v>12001</v>
      </c>
      <c r="E4735" s="3" t="str">
        <f>HYPERLINK("https://www.amazon.com/Sun-Bum-Moisturizing-Protection-Hypoallergenic/dp/B004XGLE7K/ref=sr_1_1?keywords=Sun+Bum%C2%AE+Original+SPF+30+Sunscreen+Spray+6oz.&amp;qid=1695260749&amp;rdc=1&amp;sr=8-1", "https://www.amazon.com/Sun-Bum-Moisturizing-Protection-Hypoallergenic/dp/B004XGLE7K/ref=sr_1_1?keywords=Sun+Bum%C2%AE+Original+SPF+30+Sunscreen+Spray+6oz.&amp;qid=1695260749&amp;rdc=1&amp;sr=8-1")</f>
        <v>https://www.amazon.com/Sun-Bum-Moisturizing-Protection-Hypoallergenic/dp/B004XGLE7K/ref=sr_1_1?keywords=Sun+Bum%C2%AE+Original+SPF+30+Sunscreen+Spray+6oz.&amp;qid=1695260749&amp;rdc=1&amp;sr=8-1</v>
      </c>
      <c r="F4735" t="s">
        <v>12002</v>
      </c>
      <c r="G4735" t="e">
        <f ca="1">IMAGE("https://shop.sonapharmacy.com/cdn/shop/products/71Z-XuOhvOL._AC_SL1500.jpg?v=1611870033")</f>
        <v>#NAME?</v>
      </c>
      <c r="H4735" t="e">
        <f ca="1">IMAGE("https://m.media-amazon.com/images/I/51vDqka5ZWL._AC_UL320_.jpg")</f>
        <v>#NAME?</v>
      </c>
      <c r="I4735" t="s">
        <v>3394</v>
      </c>
      <c r="J4735">
        <v>16.920000000000002</v>
      </c>
      <c r="K4735" s="2" t="s">
        <v>6174</v>
      </c>
      <c r="L4735">
        <v>4.8</v>
      </c>
      <c r="M4735">
        <v>21217</v>
      </c>
      <c r="O4735" t="s">
        <v>26</v>
      </c>
      <c r="P4735" t="s">
        <v>39</v>
      </c>
      <c r="Q4735" t="s">
        <v>10210</v>
      </c>
    </row>
    <row r="4736" spans="1:17" ht="15.75" x14ac:dyDescent="0.25">
      <c r="A4736" s="3" t="str">
        <f>HYPERLINK("https://shop.sonapharmacy.com/products/rid%C2%AE-lice-treatment-complete-kit", "https://shop.sonapharmacy.com/products/rid%C2%AE-lice-treatment-complete-kit")</f>
        <v>https://shop.sonapharmacy.com/products/rid%C2%AE-lice-treatment-complete-kit</v>
      </c>
      <c r="B4736" s="3" t="str">
        <f>HYPERLINK("https://shop.sonapharmacy.com/products/rid%c2%ae-lice-treatment-complete-kit", "https://shop.sonapharmacy.com/products/rid%c2%ae-lice-treatment-complete-kit")</f>
        <v>https://shop.sonapharmacy.com/products/rid%c2%ae-lice-treatment-complete-kit</v>
      </c>
      <c r="C4736" t="s">
        <v>12957</v>
      </c>
      <c r="D4736" t="s">
        <v>13593</v>
      </c>
      <c r="E4736" s="3" t="str">
        <f>HYPERLINK("https://www.amazon.com/RID-Treatment-Pesticide-Solution-Conditioner/dp/B093P2K33Z/ref=sr_1_2?keywords=RID%C2%AE+Lice+Treatment+Complete+Kit&amp;qid=1695260700&amp;sr=8-2", "https://www.amazon.com/RID-Treatment-Pesticide-Solution-Conditioner/dp/B093P2K33Z/ref=sr_1_2?keywords=RID%C2%AE+Lice+Treatment+Complete+Kit&amp;qid=1695260700&amp;sr=8-2")</f>
        <v>https://www.amazon.com/RID-Treatment-Pesticide-Solution-Conditioner/dp/B093P2K33Z/ref=sr_1_2?keywords=RID%C2%AE+Lice+Treatment+Complete+Kit&amp;qid=1695260700&amp;sr=8-2</v>
      </c>
      <c r="F4736" t="s">
        <v>13594</v>
      </c>
      <c r="G4736" t="e">
        <f ca="1">IMAGE("https://shop.sonapharmacy.com/cdn/shop/products/f85f9910-42b0-4ec1-b8d9-5ec8ecc309b2_3.47326398bc37beb5484605a87a646c1f.jpg?v=1608138919")</f>
        <v>#NAME?</v>
      </c>
      <c r="H4736" t="e">
        <f ca="1">IMAGE("https://m.media-amazon.com/images/I/81opyg00cSL._AC_UL320_.jpg")</f>
        <v>#NAME?</v>
      </c>
      <c r="I4736" t="s">
        <v>12960</v>
      </c>
      <c r="J4736">
        <v>24.98</v>
      </c>
      <c r="K4736" s="2" t="s">
        <v>13595</v>
      </c>
      <c r="L4736">
        <v>4.3</v>
      </c>
      <c r="M4736">
        <v>1316</v>
      </c>
      <c r="O4736" t="s">
        <v>26</v>
      </c>
      <c r="P4736" t="s">
        <v>39</v>
      </c>
      <c r="Q4736" t="s">
        <v>12962</v>
      </c>
    </row>
    <row r="4737" spans="1:17" ht="15.75" x14ac:dyDescent="0.25">
      <c r="A4737" s="3" t="str">
        <f>HYPERLINK("https://shop.sonapharmacy.com/products/dr-scholls%C2%AE-orthotics-for-arthritis-pain-mens-size-8-12", "https://shop.sonapharmacy.com/products/dr-scholls%C2%AE-orthotics-for-arthritis-pain-mens-size-8-12")</f>
        <v>https://shop.sonapharmacy.com/products/dr-scholls%C2%AE-orthotics-for-arthritis-pain-mens-size-8-12</v>
      </c>
      <c r="B4737" s="3" t="str">
        <f>HYPERLINK("https://shop.sonapharmacy.com/products/dr-scholls%c2%ae-orthotics-for-arthritis-pain-mens-size-8-12", "https://shop.sonapharmacy.com/products/dr-scholls%c2%ae-orthotics-for-arthritis-pain-mens-size-8-12")</f>
        <v>https://shop.sonapharmacy.com/products/dr-scholls%c2%ae-orthotics-for-arthritis-pain-mens-size-8-12</v>
      </c>
      <c r="C4737" t="s">
        <v>8052</v>
      </c>
      <c r="D4737" t="s">
        <v>13596</v>
      </c>
      <c r="E4737" s="3" t="str">
        <f>HYPERLINK("https://www.amazon.com/Dr-Scholls-Pain-Relief-Orthotics/dp/B01MG68WY1/ref=sr_1_10?keywords=Dr.+Scholl%27s%C2%AE+Orthotics+for+Arthritis+Pain+Men%27s+Size+8-12&amp;qid=1695260194&amp;sr=8-10", "https://www.amazon.com/Dr-Scholls-Pain-Relief-Orthotics/dp/B01MG68WY1/ref=sr_1_10?keywords=Dr.+Scholl%27s%C2%AE+Orthotics+for+Arthritis+Pain+Men%27s+Size+8-12&amp;qid=1695260194&amp;sr=8-10")</f>
        <v>https://www.amazon.com/Dr-Scholls-Pain-Relief-Orthotics/dp/B01MG68WY1/ref=sr_1_10?keywords=Dr.+Scholl%27s%C2%AE+Orthotics+for+Arthritis+Pain+Men%27s+Size+8-12&amp;qid=1695260194&amp;sr=8-10</v>
      </c>
      <c r="F4737" t="s">
        <v>13597</v>
      </c>
      <c r="G4737" t="e">
        <f ca="1">IMAGE("https://shop.sonapharmacy.com/cdn/shop/products/a1592bf4-ddca-42bd-8534-187b7fa461e8_2.672d67955d9c23b2a33d3276def5fe26_1.jpg?v=1610415946")</f>
        <v>#NAME?</v>
      </c>
      <c r="H4737" t="e">
        <f ca="1">IMAGE("https://m.media-amazon.com/images/I/81NI7asz9jL._AC_UL320_.jpg")</f>
        <v>#NAME?</v>
      </c>
      <c r="I4737" t="s">
        <v>8055</v>
      </c>
      <c r="J4737">
        <v>12.05</v>
      </c>
      <c r="K4737" s="2" t="s">
        <v>13598</v>
      </c>
      <c r="L4737">
        <v>4.3</v>
      </c>
      <c r="M4737">
        <v>17875</v>
      </c>
      <c r="O4737" t="s">
        <v>136</v>
      </c>
      <c r="P4737" t="s">
        <v>39</v>
      </c>
      <c r="Q4737" t="s">
        <v>8057</v>
      </c>
    </row>
    <row r="4738" spans="1:17" ht="15.75" x14ac:dyDescent="0.25">
      <c r="A4738" s="3" t="str">
        <f>HYPERLINK("https://shop.sonapharmacy.com/products/refresh-optive%C2%AE-advanced-triple-action-relief-eye-drops", "https://shop.sonapharmacy.com/products/refresh-optive%C2%AE-advanced-triple-action-relief-eye-drops")</f>
        <v>https://shop.sonapharmacy.com/products/refresh-optive%C2%AE-advanced-triple-action-relief-eye-drops</v>
      </c>
      <c r="B4738" s="3" t="str">
        <f>HYPERLINK("https://shop.sonapharmacy.com/products/refresh-optive%c2%ae-advanced-triple-action-relief-eye-drops", "https://shop.sonapharmacy.com/products/refresh-optive%c2%ae-advanced-triple-action-relief-eye-drops")</f>
        <v>https://shop.sonapharmacy.com/products/refresh-optive%c2%ae-advanced-triple-action-relief-eye-drops</v>
      </c>
      <c r="C4738" t="s">
        <v>10731</v>
      </c>
      <c r="D4738" t="s">
        <v>10732</v>
      </c>
      <c r="E4738" s="3" t="str">
        <f>HYPERLINK("https://www.amazon.com/Refresh-Optive-Advanced-Preservative-Drops/dp/B00HA6GTAW/ref=sr_1_7?keywords=Refresh%C2%AE+Optive%C2%AE+Advanced+Preservative+Free+Eye+Drops&amp;qid=1695260683&amp;sr=8-7", "https://www.amazon.com/Refresh-Optive-Advanced-Preservative-Drops/dp/B00HA6GTAW/ref=sr_1_7?keywords=Refresh%C2%AE+Optive%C2%AE+Advanced+Preservative+Free+Eye+Drops&amp;qid=1695260683&amp;sr=8-7")</f>
        <v>https://www.amazon.com/Refresh-Optive-Advanced-Preservative-Drops/dp/B00HA6GTAW/ref=sr_1_7?keywords=Refresh%C2%AE+Optive%C2%AE+Advanced+Preservative+Free+Eye+Drops&amp;qid=1695260683&amp;sr=8-7</v>
      </c>
      <c r="F4738" t="s">
        <v>13599</v>
      </c>
      <c r="G4738" t="e">
        <f ca="1">IMAGE("https://shop.sonapharmacy.com/cdn/shop/products/refresh-optive-advanced-presfree-hero-packaging.png?v=1608823825")</f>
        <v>#NAME?</v>
      </c>
      <c r="H4738" t="e">
        <f ca="1">IMAGE("https://m.media-amazon.com/images/I/617QcrfNu4L._AC_UL320_.jpg")</f>
        <v>#NAME?</v>
      </c>
      <c r="I4738" t="s">
        <v>4814</v>
      </c>
      <c r="J4738">
        <v>18.989999999999998</v>
      </c>
      <c r="K4738" s="2" t="s">
        <v>7809</v>
      </c>
      <c r="L4738">
        <v>4.8</v>
      </c>
      <c r="M4738">
        <v>9</v>
      </c>
      <c r="O4738" t="s">
        <v>26</v>
      </c>
      <c r="P4738" t="s">
        <v>39</v>
      </c>
      <c r="Q4738" t="s">
        <v>10735</v>
      </c>
    </row>
    <row r="4739" spans="1:17" ht="15.75" x14ac:dyDescent="0.25">
      <c r="A4739" s="3" t="str">
        <f>HYPERLINK("https://shop.sonapharmacy.com/products/sunbum%C2%AE-spf-15-sunscreen-tanning-oil-spray-8-5fl-oz", "https://shop.sonapharmacy.com/products/sunbum%C2%AE-spf-15-sunscreen-tanning-oil-spray-8-5fl-oz")</f>
        <v>https://shop.sonapharmacy.com/products/sunbum%C2%AE-spf-15-sunscreen-tanning-oil-spray-8-5fl-oz</v>
      </c>
      <c r="B4739" s="3" t="str">
        <f>HYPERLINK("https://shop.sonapharmacy.com/products/sunbum%c2%ae-spf-15-sunscreen-tanning-oil-spray-8-5fl-oz", "https://shop.sonapharmacy.com/products/sunbum%c2%ae-spf-15-sunscreen-tanning-oil-spray-8-5fl-oz")</f>
        <v>https://shop.sonapharmacy.com/products/sunbum%c2%ae-spf-15-sunscreen-tanning-oil-spray-8-5fl-oz</v>
      </c>
      <c r="C4739" t="s">
        <v>13600</v>
      </c>
      <c r="D4739" t="s">
        <v>13601</v>
      </c>
      <c r="E4739" s="3" t="str">
        <f>HYPERLINK("https://www.amazon.com/Banana-Boat-Sunscreen-Protective-Spectrum/dp/B002ZNJYSY/ref=sr_1_3?keywords=Sun+Bum%C2%AE+SPF+15+Sunscreen+Tanning+Oil+Spray+8.5fl.+oz.&amp;qid=1695260769&amp;sr=8-3", "https://www.amazon.com/Banana-Boat-Sunscreen-Protective-Spectrum/dp/B002ZNJYSY/ref=sr_1_3?keywords=Sun+Bum%C2%AE+SPF+15+Sunscreen+Tanning+Oil+Spray+8.5fl.+oz.&amp;qid=1695260769&amp;sr=8-3")</f>
        <v>https://www.amazon.com/Banana-Boat-Sunscreen-Protective-Spectrum/dp/B002ZNJYSY/ref=sr_1_3?keywords=Sun+Bum%C2%AE+SPF+15+Sunscreen+Tanning+Oil+Spray+8.5fl.+oz.&amp;qid=1695260769&amp;sr=8-3</v>
      </c>
      <c r="F4739" t="s">
        <v>13602</v>
      </c>
      <c r="G4739" t="e">
        <f ca="1">IMAGE("https://shop.sonapharmacy.com/cdn/shop/products/d36e8230-6e1e-4a43-8ed0-a68e58915490_1.d32c140eecfc38504af30fc1a2f590e7.jpg?v=1611158351")</f>
        <v>#NAME?</v>
      </c>
      <c r="H4739" t="e">
        <f ca="1">IMAGE("https://m.media-amazon.com/images/I/71qR0jBlXkL._AC_UL320_.jpg")</f>
        <v>#NAME?</v>
      </c>
      <c r="I4739" t="s">
        <v>4814</v>
      </c>
      <c r="J4739">
        <v>18.98</v>
      </c>
      <c r="K4739" s="2" t="s">
        <v>13603</v>
      </c>
      <c r="L4739">
        <v>4.7</v>
      </c>
      <c r="M4739">
        <v>261</v>
      </c>
      <c r="O4739" t="s">
        <v>26</v>
      </c>
      <c r="P4739" t="s">
        <v>39</v>
      </c>
      <c r="Q4739" t="s">
        <v>13604</v>
      </c>
    </row>
    <row r="4740" spans="1:17" ht="15.75" x14ac:dyDescent="0.25">
      <c r="A4740" s="3" t="str">
        <f>HYPERLINK("https://shop.sonapharmacy.com/products/prevagen-chewables-dietary-supplement-mixed-berry", "https://shop.sonapharmacy.com/products/prevagen-chewables-dietary-supplement-mixed-berry")</f>
        <v>https://shop.sonapharmacy.com/products/prevagen-chewables-dietary-supplement-mixed-berry</v>
      </c>
      <c r="B4740" s="3" t="str">
        <f>HYPERLINK("https://shop.sonapharmacy.com/products/prevagen-chewables-dietary-supplement-mixed-berry", "https://shop.sonapharmacy.com/products/prevagen-chewables-dietary-supplement-mixed-berry")</f>
        <v>https://shop.sonapharmacy.com/products/prevagen-chewables-dietary-supplement-mixed-berry</v>
      </c>
      <c r="C4740" t="s">
        <v>9410</v>
      </c>
      <c r="D4740" t="s">
        <v>13605</v>
      </c>
      <c r="E4740" s="3" t="str">
        <f>HYPERLINK("https://www.amazon.com/Prevagen-Regular-Chewables-Mixed-Berry/dp/B077GLNQV8/ref=sr_1_4?keywords=Prevagen+Chewables+Dietary+Supplement-+Mixed+Berry&amp;qid=1695260645&amp;sr=8-4", "https://www.amazon.com/Prevagen-Regular-Chewables-Mixed-Berry/dp/B077GLNQV8/ref=sr_1_4?keywords=Prevagen+Chewables+Dietary+Supplement-+Mixed+Berry&amp;qid=1695260645&amp;sr=8-4")</f>
        <v>https://www.amazon.com/Prevagen-Regular-Chewables-Mixed-Berry/dp/B077GLNQV8/ref=sr_1_4?keywords=Prevagen+Chewables+Dietary+Supplement-+Mixed+Berry&amp;qid=1695260645&amp;sr=8-4</v>
      </c>
      <c r="F4740" t="s">
        <v>13606</v>
      </c>
      <c r="G4740" t="e">
        <f ca="1">IMAGE("https://shop.sonapharmacy.com/cdn/shop/products/PrevagenChewablesDietarySupplement-MixedBerry.jpg?v=1594304231")</f>
        <v>#NAME?</v>
      </c>
      <c r="H4740" t="e">
        <f ca="1">IMAGE("https://m.media-amazon.com/images/I/71+46K+L5-L._AC_UL320_.jpg")</f>
        <v>#NAME?</v>
      </c>
      <c r="I4740" t="s">
        <v>3535</v>
      </c>
      <c r="J4740">
        <v>37.950000000000003</v>
      </c>
      <c r="K4740" s="2" t="s">
        <v>13607</v>
      </c>
      <c r="L4740">
        <v>4.3</v>
      </c>
      <c r="M4740">
        <v>6427</v>
      </c>
      <c r="O4740" t="s">
        <v>39</v>
      </c>
      <c r="P4740" t="s">
        <v>39</v>
      </c>
      <c r="Q4740" t="s">
        <v>9414</v>
      </c>
    </row>
    <row r="4741" spans="1:17" ht="15.75" x14ac:dyDescent="0.25">
      <c r="A4741" s="3" t="str">
        <f>HYPERLINK("https://shop.sonapharmacy.com/products/prevagen-chewables-dietary-supplement-mixed-berry", "https://shop.sonapharmacy.com/products/prevagen-chewables-dietary-supplement-mixed-berry")</f>
        <v>https://shop.sonapharmacy.com/products/prevagen-chewables-dietary-supplement-mixed-berry</v>
      </c>
      <c r="B4741" s="3" t="str">
        <f>HYPERLINK("https://shop.sonapharmacy.com/products/prevagen-chewables-dietary-supplement-mixed-berry", "https://shop.sonapharmacy.com/products/prevagen-chewables-dietary-supplement-mixed-berry")</f>
        <v>https://shop.sonapharmacy.com/products/prevagen-chewables-dietary-supplement-mixed-berry</v>
      </c>
      <c r="C4741" t="s">
        <v>9410</v>
      </c>
      <c r="D4741" t="s">
        <v>13608</v>
      </c>
      <c r="E4741" s="3" t="str">
        <f>HYPERLINK("https://www.amazon.com/Prevagen-Memory-Regular-Apoaequorin-Attractive-Supplement/dp/B0BN6YKSN8/ref=sr_1_8?keywords=Prevagen+Chewables+Dietary+Supplement-+Mixed+Berry&amp;qid=1695260645&amp;sr=8-8", "https://www.amazon.com/Prevagen-Memory-Regular-Apoaequorin-Attractive-Supplement/dp/B0BN6YKSN8/ref=sr_1_8?keywords=Prevagen+Chewables+Dietary+Supplement-+Mixed+Berry&amp;qid=1695260645&amp;sr=8-8")</f>
        <v>https://www.amazon.com/Prevagen-Memory-Regular-Apoaequorin-Attractive-Supplement/dp/B0BN6YKSN8/ref=sr_1_8?keywords=Prevagen+Chewables+Dietary+Supplement-+Mixed+Berry&amp;qid=1695260645&amp;sr=8-8</v>
      </c>
      <c r="F4741" t="s">
        <v>13609</v>
      </c>
      <c r="G4741" t="e">
        <f ca="1">IMAGE("https://shop.sonapharmacy.com/cdn/shop/products/PrevagenChewablesDietarySupplement-MixedBerry.jpg?v=1594304231")</f>
        <v>#NAME?</v>
      </c>
      <c r="H4741" t="e">
        <f ca="1">IMAGE("https://m.media-amazon.com/images/I/61ZjRlTT94L._AC_UL320_.jpg")</f>
        <v>#NAME?</v>
      </c>
      <c r="I4741" t="s">
        <v>3535</v>
      </c>
      <c r="J4741">
        <v>37.950000000000003</v>
      </c>
      <c r="K4741" s="2" t="s">
        <v>13607</v>
      </c>
      <c r="L4741">
        <v>4.3</v>
      </c>
      <c r="M4741">
        <v>185</v>
      </c>
      <c r="O4741" t="s">
        <v>39</v>
      </c>
      <c r="P4741" t="s">
        <v>39</v>
      </c>
      <c r="Q4741" t="s">
        <v>9414</v>
      </c>
    </row>
    <row r="4742" spans="1:17" ht="15.75" x14ac:dyDescent="0.25">
      <c r="A4742" s="3" t="str">
        <f>HYPERLINK("https://shop.sonapharmacy.com/products/nexcare-gentle-paper-tape-with-dispenser", "https://shop.sonapharmacy.com/products/nexcare-gentle-paper-tape-with-dispenser")</f>
        <v>https://shop.sonapharmacy.com/products/nexcare-gentle-paper-tape-with-dispenser</v>
      </c>
      <c r="B4742" s="3" t="str">
        <f>HYPERLINK("https://shop.sonapharmacy.com/products/nexcare-gentle-paper-tape-with-dispenser", "https://shop.sonapharmacy.com/products/nexcare-gentle-paper-tape-with-dispenser")</f>
        <v>https://shop.sonapharmacy.com/products/nexcare-gentle-paper-tape-with-dispenser</v>
      </c>
      <c r="C4742" t="s">
        <v>9113</v>
      </c>
      <c r="D4742" t="s">
        <v>13610</v>
      </c>
      <c r="E4742" s="3" t="str">
        <f>HYPERLINK("https://www.amazon.com/Nexcare-Gentle-Paper-Tape-Yards/dp/B01IAI0QY8/ref=sr_1_3?keywords=Nexcare+Gentle+Paper+Tape&amp;qid=1695260585&amp;sr=8-3", "https://www.amazon.com/Nexcare-Gentle-Paper-Tape-Yards/dp/B01IAI0QY8/ref=sr_1_3?keywords=Nexcare+Gentle+Paper+Tape&amp;qid=1695260585&amp;sr=8-3")</f>
        <v>https://www.amazon.com/Nexcare-Gentle-Paper-Tape-Yards/dp/B01IAI0QY8/ref=sr_1_3?keywords=Nexcare+Gentle+Paper+Tape&amp;qid=1695260585&amp;sr=8-3</v>
      </c>
      <c r="F4742" t="s">
        <v>13611</v>
      </c>
      <c r="G4742" t="e">
        <f ca="1">IMAGE("https://shop.sonapharmacy.com/cdn/shop/products/817vSXJ0jlL._AC_SL1500.jpg?v=1607703211")</f>
        <v>#NAME?</v>
      </c>
      <c r="H4742" t="e">
        <f ca="1">IMAGE("https://m.media-amazon.com/images/I/71tDMzcO9gL._AC_UL320_.jpg")</f>
        <v>#NAME?</v>
      </c>
      <c r="I4742" t="s">
        <v>8760</v>
      </c>
      <c r="J4742">
        <v>6.14</v>
      </c>
      <c r="K4742" s="2" t="s">
        <v>13612</v>
      </c>
      <c r="L4742">
        <v>4.5</v>
      </c>
      <c r="M4742">
        <v>59</v>
      </c>
      <c r="O4742" t="s">
        <v>136</v>
      </c>
      <c r="P4742" t="s">
        <v>39</v>
      </c>
      <c r="Q4742" t="s">
        <v>9117</v>
      </c>
    </row>
    <row r="4743" spans="1:17" ht="15.75" x14ac:dyDescent="0.25">
      <c r="A4743" s="3" t="str">
        <f>HYPERLINK("https://shop.sonapharmacy.com/products/duracell%C2%AE-303-357-76-silver-oxide-button-battery", "https://shop.sonapharmacy.com/products/duracell%C2%AE-303-357-76-silver-oxide-button-battery")</f>
        <v>https://shop.sonapharmacy.com/products/duracell%C2%AE-303-357-76-silver-oxide-button-battery</v>
      </c>
      <c r="B4743" s="3" t="str">
        <f>HYPERLINK("https://shop.sonapharmacy.com/products/duracell%c2%ae-303-357-76-silver-oxide-button-battery", "https://shop.sonapharmacy.com/products/duracell%c2%ae-303-357-76-silver-oxide-button-battery")</f>
        <v>https://shop.sonapharmacy.com/products/duracell%c2%ae-303-357-76-silver-oxide-button-battery</v>
      </c>
      <c r="C4743" t="s">
        <v>8329</v>
      </c>
      <c r="D4743" t="s">
        <v>13613</v>
      </c>
      <c r="E4743" s="3" t="str">
        <f>HYPERLINK("https://www.amazon.com/Duracell-Battery-Long-Lasting-Watches-Calculators/dp/B0031W0GZ8/ref=sr_1_1?keywords=Duracell%C2%AE+303%2F357%2F76+Silver+Oxide+Button+Battery&amp;qid=1695260202&amp;sr=8-1", "https://www.amazon.com/Duracell-Battery-Long-Lasting-Watches-Calculators/dp/B0031W0GZ8/ref=sr_1_1?keywords=Duracell%C2%AE+303%2F357%2F76+Silver+Oxide+Button+Battery&amp;qid=1695260202&amp;sr=8-1")</f>
        <v>https://www.amazon.com/Duracell-Battery-Long-Lasting-Watches-Calculators/dp/B0031W0GZ8/ref=sr_1_1?keywords=Duracell%C2%AE+303%2F357%2F76+Silver+Oxide+Button+Battery&amp;qid=1695260202&amp;sr=8-1</v>
      </c>
      <c r="F4743" t="s">
        <v>13614</v>
      </c>
      <c r="G4743" t="e">
        <f ca="1">IMAGE("https://shop.sonapharmacy.com/cdn/shop/products/3099066_A.eps_High_540x_008cc7a8-ba13-4a78-a067-abc0e573a874.jpg?v=1610332687")</f>
        <v>#NAME?</v>
      </c>
      <c r="H4743" t="e">
        <f ca="1">IMAGE("https://m.media-amazon.com/images/I/61QBLGodj-L._AC_UL320_.jpg")</f>
        <v>#NAME?</v>
      </c>
      <c r="I4743" t="s">
        <v>8332</v>
      </c>
      <c r="J4743">
        <v>8.82</v>
      </c>
      <c r="K4743" s="2" t="s">
        <v>13615</v>
      </c>
      <c r="L4743">
        <v>4.7</v>
      </c>
      <c r="M4743">
        <v>7458</v>
      </c>
      <c r="O4743" t="s">
        <v>26</v>
      </c>
      <c r="P4743" t="s">
        <v>39</v>
      </c>
      <c r="Q4743" t="s">
        <v>8334</v>
      </c>
    </row>
    <row r="4744" spans="1:17" ht="15.75" x14ac:dyDescent="0.25">
      <c r="A4744" s="3" t="str">
        <f>HYPERLINK("https://shop.sonapharmacy.com/products/flents%C2%AE-concave-eye-patch", "https://shop.sonapharmacy.com/products/flents%C2%AE-concave-eye-patch")</f>
        <v>https://shop.sonapharmacy.com/products/flents%C2%AE-concave-eye-patch</v>
      </c>
      <c r="B4744" s="3" t="str">
        <f>HYPERLINK("https://shop.sonapharmacy.com/products/flents%c2%ae-concave-eye-patch", "https://shop.sonapharmacy.com/products/flents%c2%ae-concave-eye-patch")</f>
        <v>https://shop.sonapharmacy.com/products/flents%c2%ae-concave-eye-patch</v>
      </c>
      <c r="C4744" t="s">
        <v>13459</v>
      </c>
      <c r="D4744" t="s">
        <v>13616</v>
      </c>
      <c r="E4744" s="3" t="str">
        <f>HYPERLINK("https://www.amazon.com/Eyepatch-Amblyopia-Corrected-Adjustable-Strabismus/dp/B07CFW9Z4N/ref=sr_1_8?keywords=Flents%C2%AE+Concave+Eye+Patch&amp;qid=1695260267&amp;sr=8-8", "https://www.amazon.com/Eyepatch-Amblyopia-Corrected-Adjustable-Strabismus/dp/B07CFW9Z4N/ref=sr_1_8?keywords=Flents%C2%AE+Concave+Eye+Patch&amp;qid=1695260267&amp;sr=8-8")</f>
        <v>https://www.amazon.com/Eyepatch-Amblyopia-Corrected-Adjustable-Strabismus/dp/B07CFW9Z4N/ref=sr_1_8?keywords=Flents%C2%AE+Concave+Eye+Patch&amp;qid=1695260267&amp;sr=8-8</v>
      </c>
      <c r="F4744" t="s">
        <v>13617</v>
      </c>
      <c r="G4744" t="e">
        <f ca="1">IMAGE("https://shop.sonapharmacy.com/cdn/shop/products/61D8Tlok4vL._AC_SL1430.jpg?v=1609179329")</f>
        <v>#NAME?</v>
      </c>
      <c r="H4744" t="e">
        <f ca="1">IMAGE("https://m.media-amazon.com/images/I/51x-hwiEQLL._AC_UL320_.jpg")</f>
        <v>#NAME?</v>
      </c>
      <c r="I4744" t="s">
        <v>8760</v>
      </c>
      <c r="J4744">
        <v>6.11</v>
      </c>
      <c r="K4744" s="2" t="s">
        <v>13618</v>
      </c>
      <c r="L4744">
        <v>3.6</v>
      </c>
      <c r="M4744">
        <v>30</v>
      </c>
      <c r="O4744" t="s">
        <v>26</v>
      </c>
      <c r="P4744" t="s">
        <v>39</v>
      </c>
      <c r="Q4744" t="s">
        <v>13463</v>
      </c>
    </row>
    <row r="4745" spans="1:17" ht="15.75" x14ac:dyDescent="0.25">
      <c r="A4745" s="3" t="str">
        <f>HYPERLINK("https://shop.sonapharmacy.com/products/nature-made-extra-strength-biotin-softgels", "https://shop.sonapharmacy.com/products/nature-made-extra-strength-biotin-softgels")</f>
        <v>https://shop.sonapharmacy.com/products/nature-made-extra-strength-biotin-softgels</v>
      </c>
      <c r="B4745" s="3" t="str">
        <f>HYPERLINK("https://shop.sonapharmacy.com/products/nature-made-extra-strength-biotin-softgels", "https://shop.sonapharmacy.com/products/nature-made-extra-strength-biotin-softgels")</f>
        <v>https://shop.sonapharmacy.com/products/nature-made-extra-strength-biotin-softgels</v>
      </c>
      <c r="C4745" t="s">
        <v>13619</v>
      </c>
      <c r="D4745" t="s">
        <v>13620</v>
      </c>
      <c r="E4745" s="3" t="str">
        <f>HYPERLINK("https://www.amazon.com/Nature-Made-Potency-Biotin-Softgels/dp/B001VWT0BG/ref=sr_1_1?keywords=Nature+Made%C2%AE+Extra+Strength+Biotin+Softgels+90ct.&amp;qid=1695260526&amp;sr=8-1", "https://www.amazon.com/Nature-Made-Potency-Biotin-Softgels/dp/B001VWT0BG/ref=sr_1_1?keywords=Nature+Made%C2%AE+Extra+Strength+Biotin+Softgels+90ct.&amp;qid=1695260526&amp;sr=8-1")</f>
        <v>https://www.amazon.com/Nature-Made-Potency-Biotin-Softgels/dp/B001VWT0BG/ref=sr_1_1?keywords=Nature+Made%C2%AE+Extra+Strength+Biotin+Softgels+90ct.&amp;qid=1695260526&amp;sr=8-1</v>
      </c>
      <c r="F4745" t="s">
        <v>13621</v>
      </c>
      <c r="G4745" t="e">
        <f ca="1">IMAGE("https://shop.sonapharmacy.com/cdn/shop/products/71jgwB3e4xL._AC_SL1500.jpg?v=1610048793")</f>
        <v>#NAME?</v>
      </c>
      <c r="H4745" t="e">
        <f ca="1">IMAGE("https://m.media-amazon.com/images/I/71SjUWdDg0L._AC_UL320_.jpg")</f>
        <v>#NAME?</v>
      </c>
      <c r="I4745" t="s">
        <v>13622</v>
      </c>
      <c r="J4745">
        <v>15</v>
      </c>
      <c r="K4745" s="2" t="s">
        <v>13623</v>
      </c>
      <c r="L4745">
        <v>4.7</v>
      </c>
      <c r="M4745">
        <v>3813</v>
      </c>
      <c r="O4745" t="s">
        <v>26</v>
      </c>
      <c r="P4745" t="s">
        <v>39</v>
      </c>
      <c r="Q4745" t="s">
        <v>13624</v>
      </c>
    </row>
    <row r="4746" spans="1:17" ht="15.75" x14ac:dyDescent="0.25">
      <c r="A4746" s="3" t="str">
        <f>HYPERLINK("https://shop.sonapharmacy.com/products/nature-made-sam-e-complete-supplement-tablets", "https://shop.sonapharmacy.com/products/nature-made-sam-e-complete-supplement-tablets")</f>
        <v>https://shop.sonapharmacy.com/products/nature-made-sam-e-complete-supplement-tablets</v>
      </c>
      <c r="B4746" s="3" t="str">
        <f>HYPERLINK("https://shop.sonapharmacy.com/products/nature-made-sam-e-complete-supplement-tablets", "https://shop.sonapharmacy.com/products/nature-made-sam-e-complete-supplement-tablets")</f>
        <v>https://shop.sonapharmacy.com/products/nature-made-sam-e-complete-supplement-tablets</v>
      </c>
      <c r="C4746" t="s">
        <v>13625</v>
      </c>
      <c r="D4746" t="s">
        <v>13626</v>
      </c>
      <c r="E4746" s="3" t="str">
        <f>HYPERLINK("https://www.amazon.com/Nature-Made-Complete-support-Healthy/dp/B0002D155Y/ref=sr_1_2?keywords=Nature+Made%C2%AE+SAM-E+Complete+Supplement+Tablets+24ct.&amp;qid=1695260558&amp;sr=8-2", "https://www.amazon.com/Nature-Made-Complete-support-Healthy/dp/B0002D155Y/ref=sr_1_2?keywords=Nature+Made%C2%AE+SAM-E+Complete+Supplement+Tablets+24ct.&amp;qid=1695260558&amp;sr=8-2")</f>
        <v>https://www.amazon.com/Nature-Made-Complete-support-Healthy/dp/B0002D155Y/ref=sr_1_2?keywords=Nature+Made%C2%AE+SAM-E+Complete+Supplement+Tablets+24ct.&amp;qid=1695260558&amp;sr=8-2</v>
      </c>
      <c r="F4746" t="s">
        <v>13627</v>
      </c>
      <c r="G4746" t="e">
        <f ca="1">IMAGE("https://shop.sonapharmacy.com/cdn/shop/products/71SjExX9A_L._AC_SL1500.jpg?v=1610038135")</f>
        <v>#NAME?</v>
      </c>
      <c r="H4746" t="e">
        <f ca="1">IMAGE("https://m.media-amazon.com/images/I/71fViSl7RAL._AC_UL320_.jpg")</f>
        <v>#NAME?</v>
      </c>
      <c r="I4746" t="s">
        <v>13628</v>
      </c>
      <c r="J4746">
        <v>26.99</v>
      </c>
      <c r="K4746" s="2" t="s">
        <v>13629</v>
      </c>
      <c r="L4746">
        <v>4.3</v>
      </c>
      <c r="M4746">
        <v>707</v>
      </c>
      <c r="O4746" t="s">
        <v>26</v>
      </c>
      <c r="P4746" t="s">
        <v>39</v>
      </c>
      <c r="Q4746" t="s">
        <v>13630</v>
      </c>
    </row>
    <row r="4747" spans="1:17" ht="15.75" x14ac:dyDescent="0.25">
      <c r="A4747" s="3" t="str">
        <f>HYPERLINK("https://shop.sonapharmacy.com/products/mueller%C2%AE-cold-hot-therapy-wrap-large", "https://shop.sonapharmacy.com/products/mueller%C2%AE-cold-hot-therapy-wrap-large")</f>
        <v>https://shop.sonapharmacy.com/products/mueller%C2%AE-cold-hot-therapy-wrap-large</v>
      </c>
      <c r="B4747" s="3" t="str">
        <f>HYPERLINK("https://shop.sonapharmacy.com/products/mueller%c2%ae-cold-hot-therapy-wrap-large", "https://shop.sonapharmacy.com/products/mueller%c2%ae-cold-hot-therapy-wrap-large")</f>
        <v>https://shop.sonapharmacy.com/products/mueller%c2%ae-cold-hot-therapy-wrap-large</v>
      </c>
      <c r="C4747" t="s">
        <v>12781</v>
      </c>
      <c r="D4747" t="s">
        <v>13631</v>
      </c>
      <c r="E4747" s="3" t="str">
        <f>HYPERLINK("https://www.amazon.com/Reusable-Elastic-Therapy-LotFancy-Injuries/dp/B013FWXKDS/ref=sr_1_7?keywords=Mueller%C2%AE+Cold-Hot+Therapy+Wrap&amp;qid=1695260545&amp;sr=8-7", "https://www.amazon.com/Reusable-Elastic-Therapy-LotFancy-Injuries/dp/B013FWXKDS/ref=sr_1_7?keywords=Mueller%C2%AE+Cold-Hot+Therapy+Wrap&amp;qid=1695260545&amp;sr=8-7")</f>
        <v>https://www.amazon.com/Reusable-Elastic-Therapy-LotFancy-Injuries/dp/B013FWXKDS/ref=sr_1_7?keywords=Mueller%C2%AE+Cold-Hot+Therapy+Wrap&amp;qid=1695260545&amp;sr=8-7</v>
      </c>
      <c r="F4747" t="s">
        <v>13632</v>
      </c>
      <c r="G4747" t="e">
        <f ca="1">IMAGE("https://shop.sonapharmacy.com/cdn/shop/products/31591_1000x1000-pad.jpg?v=1609861202")</f>
        <v>#NAME?</v>
      </c>
      <c r="H4747" t="e">
        <f ca="1">IMAGE("https://m.media-amazon.com/images/I/81EGvi5rXWL._AC_UL320_.jpg")</f>
        <v>#NAME?</v>
      </c>
      <c r="I4747" t="s">
        <v>12784</v>
      </c>
      <c r="J4747">
        <v>13.99</v>
      </c>
      <c r="K4747" s="2" t="s">
        <v>13633</v>
      </c>
      <c r="L4747">
        <v>4.4000000000000004</v>
      </c>
      <c r="M4747">
        <v>1641</v>
      </c>
      <c r="O4747" t="s">
        <v>26</v>
      </c>
      <c r="P4747" t="s">
        <v>39</v>
      </c>
      <c r="Q4747" t="s">
        <v>12786</v>
      </c>
    </row>
    <row r="4748" spans="1:17" ht="15.75" x14ac:dyDescent="0.25">
      <c r="A4748" s="3" t="str">
        <f>HYPERLINK("https://shop.sonapharmacy.com/products/sudafed-sinus-congestion-tablets-18-ct", "https://shop.sonapharmacy.com/products/sudafed-sinus-congestion-tablets-18-ct")</f>
        <v>https://shop.sonapharmacy.com/products/sudafed-sinus-congestion-tablets-18-ct</v>
      </c>
      <c r="B4748" s="3" t="str">
        <f>HYPERLINK("https://shop.sonapharmacy.com/products/sudafed-sinus-congestion-tablets-18-ct", "https://shop.sonapharmacy.com/products/sudafed-sinus-congestion-tablets-18-ct")</f>
        <v>https://shop.sonapharmacy.com/products/sudafed-sinus-congestion-tablets-18-ct</v>
      </c>
      <c r="C4748" t="s">
        <v>11453</v>
      </c>
      <c r="D4748" t="s">
        <v>13634</v>
      </c>
      <c r="E4748" s="3" t="str">
        <f>HYPERLINK("https://www.amazon.com/Sudafed-Congestion-Maximum-Strength-Decongestant/dp/B0758JCJX7/ref=sr_1_7?keywords=Sudafed+Sinus+Congestion+Tablets&amp;qid=1695260731&amp;sr=8-7", "https://www.amazon.com/Sudafed-Congestion-Maximum-Strength-Decongestant/dp/B0758JCJX7/ref=sr_1_7?keywords=Sudafed+Sinus+Congestion+Tablets&amp;qid=1695260731&amp;sr=8-7")</f>
        <v>https://www.amazon.com/Sudafed-Congestion-Maximum-Strength-Decongestant/dp/B0758JCJX7/ref=sr_1_7?keywords=Sudafed+Sinus+Congestion+Tablets&amp;qid=1695260731&amp;sr=8-7</v>
      </c>
      <c r="F4748" t="s">
        <v>13635</v>
      </c>
      <c r="G4748" t="e">
        <f ca="1">IMAGE("https://shop.sonapharmacy.com/cdn/shop/products/SudafedSinusCongestionTablets.jpg?v=1595444685")</f>
        <v>#NAME?</v>
      </c>
      <c r="H4748" t="e">
        <f ca="1">IMAGE("https://m.media-amazon.com/images/I/81JKJGuluqL._AC_UL320_.jpg")</f>
        <v>#NAME?</v>
      </c>
      <c r="I4748" t="s">
        <v>11456</v>
      </c>
      <c r="J4748">
        <v>9.85</v>
      </c>
      <c r="K4748" s="2" t="s">
        <v>13636</v>
      </c>
      <c r="L4748">
        <v>4.5999999999999996</v>
      </c>
      <c r="M4748">
        <v>4235</v>
      </c>
      <c r="O4748" t="s">
        <v>26</v>
      </c>
      <c r="P4748" t="s">
        <v>39</v>
      </c>
      <c r="Q4748" t="s">
        <v>11458</v>
      </c>
    </row>
    <row r="4749" spans="1:17" ht="15.75" x14ac:dyDescent="0.25">
      <c r="A4749" s="3" t="str">
        <f>HYPERLINK("https://shop.sonapharmacy.com/products/compound-w%C2%AE-wart-remover-maximum-strength-fast-acting-gel-0-25oz", "https://shop.sonapharmacy.com/products/compound-w%C2%AE-wart-remover-maximum-strength-fast-acting-gel-0-25oz")</f>
        <v>https://shop.sonapharmacy.com/products/compound-w%C2%AE-wart-remover-maximum-strength-fast-acting-gel-0-25oz</v>
      </c>
      <c r="B4749" s="3" t="str">
        <f>HYPERLINK("https://shop.sonapharmacy.com/products/compound-w%c2%ae-wart-remover-maximum-strength-fast-acting-gel-0-25oz", "https://shop.sonapharmacy.com/products/compound-w%c2%ae-wart-remover-maximum-strength-fast-acting-gel-0-25oz")</f>
        <v>https://shop.sonapharmacy.com/products/compound-w%c2%ae-wart-remover-maximum-strength-fast-acting-gel-0-25oz</v>
      </c>
      <c r="C4749" t="s">
        <v>12101</v>
      </c>
      <c r="D4749" t="s">
        <v>13637</v>
      </c>
      <c r="E4749" s="3" t="str">
        <f>HYPERLINK("https://www.amazon.com/Compound-Remover-Strength-Fast-Acting-0-25-Ounce/dp/B01M5JNFSA/ref=sr_1_2?keywords=Compound+W%C2%AE+Wart+Remover+Maximum+Strength+Fast+Acting+Gel+0.25oz.&amp;qid=1695260161&amp;sr=8-2", "https://www.amazon.com/Compound-Remover-Strength-Fast-Acting-0-25-Ounce/dp/B01M5JNFSA/ref=sr_1_2?keywords=Compound+W%C2%AE+Wart+Remover+Maximum+Strength+Fast+Acting+Gel+0.25oz.&amp;qid=1695260161&amp;sr=8-2")</f>
        <v>https://www.amazon.com/Compound-Remover-Strength-Fast-Acting-0-25-Ounce/dp/B01M5JNFSA/ref=sr_1_2?keywords=Compound+W%C2%AE+Wart+Remover+Maximum+Strength+Fast+Acting+Gel+0.25oz.&amp;qid=1695260161&amp;sr=8-2</v>
      </c>
      <c r="F4749" t="s">
        <v>13638</v>
      </c>
      <c r="G4749" t="e">
        <f ca="1">IMAGE("https://shop.sonapharmacy.com/cdn/shop/products/71dwPZ9ywDL._AC_SL1500.jpg?v=1610313629")</f>
        <v>#NAME?</v>
      </c>
      <c r="H4749" t="e">
        <f ca="1">IMAGE("https://m.media-amazon.com/images/I/614CANaO0QL._AC_UL320_.jpg")</f>
        <v>#NAME?</v>
      </c>
      <c r="I4749" t="s">
        <v>9258</v>
      </c>
      <c r="J4749">
        <v>12.52</v>
      </c>
      <c r="K4749" s="2" t="s">
        <v>13639</v>
      </c>
      <c r="L4749">
        <v>4</v>
      </c>
      <c r="M4749">
        <v>49</v>
      </c>
      <c r="O4749" t="s">
        <v>26</v>
      </c>
      <c r="P4749" t="s">
        <v>39</v>
      </c>
      <c r="Q4749" t="s">
        <v>12103</v>
      </c>
    </row>
    <row r="4750" spans="1:17" ht="15.75" x14ac:dyDescent="0.25">
      <c r="A4750" s="3" t="str">
        <f>HYPERLINK("https://shop.sonapharmacy.com/products/dulcolax%C2%AE-fast-relief-laxative-suppositories", "https://shop.sonapharmacy.com/products/dulcolax%C2%AE-fast-relief-laxative-suppositories")</f>
        <v>https://shop.sonapharmacy.com/products/dulcolax%C2%AE-fast-relief-laxative-suppositories</v>
      </c>
      <c r="B4750" s="3" t="str">
        <f>HYPERLINK("https://shop.sonapharmacy.com/products/dulcolax%c2%ae-fast-relief-laxative-suppositories", "https://shop.sonapharmacy.com/products/dulcolax%c2%ae-fast-relief-laxative-suppositories")</f>
        <v>https://shop.sonapharmacy.com/products/dulcolax%c2%ae-fast-relief-laxative-suppositories</v>
      </c>
      <c r="C4750" t="s">
        <v>10873</v>
      </c>
      <c r="D4750" t="s">
        <v>13640</v>
      </c>
      <c r="E4750" s="3" t="str">
        <f>HYPERLINK("https://www.amazon.com/Rite-Aid-Pharmacy-Bisacodyl-Suppositories/dp/B006533Q2K/ref=sr_1_5?keywords=Dulcolax%C2%AE+Fast+Relief+Laxative+Suppositories&amp;qid=1695260270&amp;sr=8-5", "https://www.amazon.com/Rite-Aid-Pharmacy-Bisacodyl-Suppositories/dp/B006533Q2K/ref=sr_1_5?keywords=Dulcolax%C2%AE+Fast+Relief+Laxative+Suppositories&amp;qid=1695260270&amp;sr=8-5")</f>
        <v>https://www.amazon.com/Rite-Aid-Pharmacy-Bisacodyl-Suppositories/dp/B006533Q2K/ref=sr_1_5?keywords=Dulcolax%C2%AE+Fast+Relief+Laxative+Suppositories&amp;qid=1695260270&amp;sr=8-5</v>
      </c>
      <c r="F4750" t="s">
        <v>13641</v>
      </c>
      <c r="G4750" t="e">
        <f ca="1">IMAGE("https://shop.sonapharmacy.com/cdn/shop/products/DulcolaxFastFront.png?v=1606854844")</f>
        <v>#NAME?</v>
      </c>
      <c r="H4750" t="e">
        <f ca="1">IMAGE("https://m.media-amazon.com/images/I/8197E5DqWVL._AC_UL320_.jpg")</f>
        <v>#NAME?</v>
      </c>
      <c r="I4750" t="s">
        <v>10876</v>
      </c>
      <c r="J4750">
        <v>9.99</v>
      </c>
      <c r="K4750" s="2" t="s">
        <v>5542</v>
      </c>
      <c r="L4750">
        <v>4.4000000000000004</v>
      </c>
      <c r="M4750">
        <v>533</v>
      </c>
      <c r="O4750" t="s">
        <v>26</v>
      </c>
      <c r="P4750" t="s">
        <v>39</v>
      </c>
      <c r="Q4750" t="s">
        <v>10878</v>
      </c>
    </row>
    <row r="4751" spans="1:17" ht="15.75" x14ac:dyDescent="0.25">
      <c r="A4751" s="3" t="str">
        <f>HYPERLINK("https://shop.sonapharmacy.com/products/sun-bum%C2%AE-mineral-spf-50-sunscreen-face-stick-0-45oz", "https://shop.sonapharmacy.com/products/sun-bum%C2%AE-mineral-spf-50-sunscreen-face-stick-0-45oz")</f>
        <v>https://shop.sonapharmacy.com/products/sun-bum%C2%AE-mineral-spf-50-sunscreen-face-stick-0-45oz</v>
      </c>
      <c r="B4751" s="3" t="str">
        <f>HYPERLINK("https://shop.sonapharmacy.com/products/sun-bum%c2%ae-mineral-spf-50-sunscreen-face-stick-0-45oz", "https://shop.sonapharmacy.com/products/sun-bum%c2%ae-mineral-spf-50-sunscreen-face-stick-0-45oz")</f>
        <v>https://shop.sonapharmacy.com/products/sun-bum%c2%ae-mineral-spf-50-sunscreen-face-stick-0-45oz</v>
      </c>
      <c r="C4751" t="s">
        <v>11616</v>
      </c>
      <c r="D4751" t="s">
        <v>13642</v>
      </c>
      <c r="E4751" s="3" t="str">
        <f>HYPERLINK("https://www.amazon.com/Aveeno-Positively-Sensitive-Water-Resistant-Fragrance-Free/dp/B07Z9SYF6N/ref=sr_1_6?keywords=Sun+Bum%C2%AE+Mineral+SPF+50+Sunscreen+Face+Stick+0.45oz&amp;qid=1695260742&amp;sr=8-6", "https://www.amazon.com/Aveeno-Positively-Sensitive-Water-Resistant-Fragrance-Free/dp/B07Z9SYF6N/ref=sr_1_6?keywords=Sun+Bum%C2%AE+Mineral+SPF+50+Sunscreen+Face+Stick+0.45oz&amp;qid=1695260742&amp;sr=8-6")</f>
        <v>https://www.amazon.com/Aveeno-Positively-Sensitive-Water-Resistant-Fragrance-Free/dp/B07Z9SYF6N/ref=sr_1_6?keywords=Sun+Bum%C2%AE+Mineral+SPF+50+Sunscreen+Face+Stick+0.45oz&amp;qid=1695260742&amp;sr=8-6</v>
      </c>
      <c r="F4751" t="s">
        <v>13643</v>
      </c>
      <c r="G4751" t="e">
        <f ca="1">IMAGE("https://shop.sonapharmacy.com/cdn/shop/products/61LGJ0kxSAL._SL1500.jpg?v=1629233959")</f>
        <v>#NAME?</v>
      </c>
      <c r="H4751" t="e">
        <f ca="1">IMAGE("https://m.media-amazon.com/images/I/71bWFjbzAdL._AC_UL320_.jpg")</f>
        <v>#NAME?</v>
      </c>
      <c r="I4751" t="s">
        <v>9258</v>
      </c>
      <c r="J4751">
        <v>12.49</v>
      </c>
      <c r="K4751" s="2" t="s">
        <v>5542</v>
      </c>
      <c r="L4751">
        <v>4.4000000000000004</v>
      </c>
      <c r="M4751">
        <v>1517</v>
      </c>
      <c r="O4751" t="s">
        <v>26</v>
      </c>
      <c r="P4751" t="s">
        <v>39</v>
      </c>
      <c r="Q4751" t="s">
        <v>11620</v>
      </c>
    </row>
    <row r="4752" spans="1:17" ht="15.75" x14ac:dyDescent="0.25">
      <c r="A4752"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B4752"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C4752" t="s">
        <v>9322</v>
      </c>
      <c r="D4752" t="s">
        <v>13644</v>
      </c>
      <c r="E4752" s="3" t="str">
        <f>HYPERLINK("https://www.amazon.com/Osteo-Bi-Flex-Health-Tablets-Strength/dp/B073VVSZJK/ref=sr_1_6?keywords=Osteo+Bi-Flex+Joint+Health+Triple+Strength+Supplement+Tablets&amp;qid=1695260695&amp;sr=8-6", "https://www.amazon.com/Osteo-Bi-Flex-Health-Tablets-Strength/dp/B073VVSZJK/ref=sr_1_6?keywords=Osteo+Bi-Flex+Joint+Health+Triple+Strength+Supplement+Tablets&amp;qid=1695260695&amp;sr=8-6")</f>
        <v>https://www.amazon.com/Osteo-Bi-Flex-Health-Tablets-Strength/dp/B073VVSZJK/ref=sr_1_6?keywords=Osteo+Bi-Flex+Joint+Health+Triple+Strength+Supplement+Tablets&amp;qid=1695260695&amp;sr=8-6</v>
      </c>
      <c r="F4752" t="s">
        <v>13645</v>
      </c>
      <c r="G4752" t="e">
        <f ca="1">IMAGE("https://shop.sonapharmacy.com/cdn/shop/products/osteobiflextriplestrengthresized.jpg?v=1592492653")</f>
        <v>#NAME?</v>
      </c>
      <c r="H4752" t="e">
        <f ca="1">IMAGE("https://m.media-amazon.com/images/I/61JvufRRzvL._AC_UL320_.jpg")</f>
        <v>#NAME?</v>
      </c>
      <c r="I4752" t="s">
        <v>9325</v>
      </c>
      <c r="J4752">
        <v>31.99</v>
      </c>
      <c r="K4752" s="2" t="s">
        <v>5545</v>
      </c>
      <c r="L4752">
        <v>4.5999999999999996</v>
      </c>
      <c r="M4752">
        <v>10</v>
      </c>
      <c r="O4752" t="s">
        <v>26</v>
      </c>
      <c r="P4752" t="s">
        <v>39</v>
      </c>
      <c r="Q4752" t="s">
        <v>9327</v>
      </c>
    </row>
    <row r="4753" spans="1:17" ht="15.75" x14ac:dyDescent="0.25">
      <c r="A4753" s="3" t="str">
        <f>HYPERLINK("https://shop.sonapharmacy.com/products/mucinex-sinus-max-severe-congestion-and-pain-syrup", "https://shop.sonapharmacy.com/products/mucinex-sinus-max-severe-congestion-and-pain-syrup")</f>
        <v>https://shop.sonapharmacy.com/products/mucinex-sinus-max-severe-congestion-and-pain-syrup</v>
      </c>
      <c r="B4753" s="3" t="str">
        <f>HYPERLINK("https://shop.sonapharmacy.com/products/mucinex-sinus-max-severe-congestion-and-pain-syrup", "https://shop.sonapharmacy.com/products/mucinex-sinus-max-severe-congestion-and-pain-syrup")</f>
        <v>https://shop.sonapharmacy.com/products/mucinex-sinus-max-severe-congestion-and-pain-syrup</v>
      </c>
      <c r="C4753" t="s">
        <v>13646</v>
      </c>
      <c r="D4753" t="s">
        <v>13647</v>
      </c>
      <c r="E4753" s="3" t="str">
        <f>HYPERLINK("https://www.amazon.com/Mucinex-Sinus-Max-Maximum-Strength-Congestion/dp/B0897Y76LZ/ref=sr_1_10?keywords=Mucinex%C2%AE+Sinus-Max+Severe+Congestion+and+Pain+Syrup&amp;qid=1695260516&amp;sr=8-10", "https://www.amazon.com/Mucinex-Sinus-Max-Maximum-Strength-Congestion/dp/B0897Y76LZ/ref=sr_1_10?keywords=Mucinex%C2%AE+Sinus-Max+Severe+Congestion+and+Pain+Syrup&amp;qid=1695260516&amp;sr=8-10")</f>
        <v>https://www.amazon.com/Mucinex-Sinus-Max-Maximum-Strength-Congestion/dp/B0897Y76LZ/ref=sr_1_10?keywords=Mucinex%C2%AE+Sinus-Max+Severe+Congestion+and+Pain+Syrup&amp;qid=1695260516&amp;sr=8-10</v>
      </c>
      <c r="F4753" t="s">
        <v>13648</v>
      </c>
      <c r="G4753" t="e">
        <f ca="1">IMAGE("https://shop.sonapharmacy.com/cdn/shop/products/MucinexSinus-MaxSevereCongestionandPainSyrup.jpg?v=1595347569")</f>
        <v>#NAME?</v>
      </c>
      <c r="H4753" t="e">
        <f ca="1">IMAGE("https://m.media-amazon.com/images/I/71HG1CFg6yL._AC_UL320_.jpg")</f>
        <v>#NAME?</v>
      </c>
      <c r="I4753" t="s">
        <v>11952</v>
      </c>
      <c r="J4753">
        <v>18.75</v>
      </c>
      <c r="K4753" s="2" t="s">
        <v>13649</v>
      </c>
      <c r="L4753">
        <v>4.5999999999999996</v>
      </c>
      <c r="M4753">
        <v>46</v>
      </c>
      <c r="O4753" t="s">
        <v>26</v>
      </c>
      <c r="P4753" t="s">
        <v>39</v>
      </c>
      <c r="Q4753" t="s">
        <v>13650</v>
      </c>
    </row>
    <row r="4754" spans="1:17" ht="15.75" x14ac:dyDescent="0.25">
      <c r="A4754" s="3" t="str">
        <f>HYPERLINK("https://shop.sonapharmacy.com/products/cortisol-manager", "https://shop.sonapharmacy.com/products/cortisol-manager")</f>
        <v>https://shop.sonapharmacy.com/products/cortisol-manager</v>
      </c>
      <c r="B4754" s="3" t="str">
        <f>HYPERLINK("https://shop.sonapharmacy.com/products/cortisol-manager", "https://shop.sonapharmacy.com/products/cortisol-manager")</f>
        <v>https://shop.sonapharmacy.com/products/cortisol-manager</v>
      </c>
      <c r="C4754" t="s">
        <v>13386</v>
      </c>
      <c r="D4754" t="s">
        <v>13651</v>
      </c>
      <c r="E4754" s="3" t="str">
        <f>HYPERLINK("https://www.amazon.com/Cortisol-Manager-Integrative-Therapeutics-Ashwagandha/dp/B0031TRUOG/ref=sr_1_1?keywords=Integrative+Therapeutics+Cortisol+Manager+Tablets&amp;qid=1695260403&amp;sr=8-1", "https://www.amazon.com/Cortisol-Manager-Integrative-Therapeutics-Ashwagandha/dp/B0031TRUOG/ref=sr_1_1?keywords=Integrative+Therapeutics+Cortisol+Manager+Tablets&amp;qid=1695260403&amp;sr=8-1")</f>
        <v>https://www.amazon.com/Cortisol-Manager-Integrative-Therapeutics-Ashwagandha/dp/B0031TRUOG/ref=sr_1_1?keywords=Integrative+Therapeutics+Cortisol+Manager+Tablets&amp;qid=1695260403&amp;sr=8-1</v>
      </c>
      <c r="F4754" t="s">
        <v>13652</v>
      </c>
      <c r="G4754" t="e">
        <f ca="1">IMAGE("https://shop.sonapharmacy.com/cdn/shop/products/61W-QTtEX-L._AC_SL1500.jpg?v=1609356736")</f>
        <v>#NAME?</v>
      </c>
      <c r="H4754" t="e">
        <f ca="1">IMAGE("https://m.media-amazon.com/images/I/518SVp5tomL._AC_UL320_.jpg")</f>
        <v>#NAME?</v>
      </c>
      <c r="I4754" t="s">
        <v>13389</v>
      </c>
      <c r="J4754">
        <v>68.5</v>
      </c>
      <c r="K4754" s="2" t="s">
        <v>13653</v>
      </c>
      <c r="L4754">
        <v>4.3</v>
      </c>
      <c r="M4754">
        <v>7029</v>
      </c>
      <c r="O4754" t="s">
        <v>39</v>
      </c>
      <c r="P4754" t="s">
        <v>39</v>
      </c>
      <c r="Q4754" t="s">
        <v>13390</v>
      </c>
    </row>
    <row r="4755" spans="1:17" ht="15.75" x14ac:dyDescent="0.25">
      <c r="A4755" s="3" t="str">
        <f>HYPERLINK("https://shop.sonapharmacy.com/products/duracell%C2%AE-2032-3v-lithium-coin-battery", "https://shop.sonapharmacy.com/products/duracell%C2%AE-2032-3v-lithium-coin-battery")</f>
        <v>https://shop.sonapharmacy.com/products/duracell%C2%AE-2032-3v-lithium-coin-battery</v>
      </c>
      <c r="B4755" s="3" t="str">
        <f>HYPERLINK("https://shop.sonapharmacy.com/products/duracell%c2%ae-2032-3v-lithium-coin-battery", "https://shop.sonapharmacy.com/products/duracell%c2%ae-2032-3v-lithium-coin-battery")</f>
        <v>https://shop.sonapharmacy.com/products/duracell%c2%ae-2032-3v-lithium-coin-battery</v>
      </c>
      <c r="C4755" t="s">
        <v>11767</v>
      </c>
      <c r="D4755" t="s">
        <v>13654</v>
      </c>
      <c r="E4755" s="3" t="str">
        <f>HYPERLINK("https://www.amazon.com/Duracell-Lithium-Battery-Features-Glucose/dp/B0855FD9P2/ref=sr_1_5?keywords=Duracell%C2%AE+2032+3V+Lithium+Coin+Battery&amp;qid=1695260232&amp;sr=8-5", "https://www.amazon.com/Duracell-Lithium-Battery-Features-Glucose/dp/B0855FD9P2/ref=sr_1_5?keywords=Duracell%C2%AE+2032+3V+Lithium+Coin+Battery&amp;qid=1695260232&amp;sr=8-5")</f>
        <v>https://www.amazon.com/Duracell-Lithium-Battery-Features-Glucose/dp/B0855FD9P2/ref=sr_1_5?keywords=Duracell%C2%AE+2032+3V+Lithium+Coin+Battery&amp;qid=1695260232&amp;sr=8-5</v>
      </c>
      <c r="F4755" t="s">
        <v>13655</v>
      </c>
      <c r="G4755" t="e">
        <f ca="1">IMAGE("https://shop.sonapharmacy.com/cdn/shop/products/71rYCdBwUPL._AC_SL1500.jpg?v=1610333437")</f>
        <v>#NAME?</v>
      </c>
      <c r="H4755" t="e">
        <f ca="1">IMAGE("https://m.media-amazon.com/images/I/71JHW52byVL._AC_UL320_.jpg")</f>
        <v>#NAME?</v>
      </c>
      <c r="I4755" t="s">
        <v>8880</v>
      </c>
      <c r="J4755">
        <v>7.95</v>
      </c>
      <c r="K4755" s="2" t="s">
        <v>13656</v>
      </c>
      <c r="L4755">
        <v>4.7</v>
      </c>
      <c r="M4755">
        <v>37787</v>
      </c>
      <c r="O4755" t="s">
        <v>26</v>
      </c>
      <c r="P4755" t="s">
        <v>39</v>
      </c>
      <c r="Q4755" t="s">
        <v>11771</v>
      </c>
    </row>
    <row r="4756" spans="1:17" ht="15.75" x14ac:dyDescent="0.25">
      <c r="A4756" s="3" t="str">
        <f>HYPERLINK("https://shop.sonapharmacy.com/products/prevagen-extra-strength-chewables-20-mg", "https://shop.sonapharmacy.com/products/prevagen-extra-strength-chewables-20-mg")</f>
        <v>https://shop.sonapharmacy.com/products/prevagen-extra-strength-chewables-20-mg</v>
      </c>
      <c r="B4756" s="3" t="str">
        <f>HYPERLINK("https://shop.sonapharmacy.com/products/prevagen-extra-strength-chewables-20-mg", "https://shop.sonapharmacy.com/products/prevagen-extra-strength-chewables-20-mg")</f>
        <v>https://shop.sonapharmacy.com/products/prevagen-extra-strength-chewables-20-mg</v>
      </c>
      <c r="C4756" t="s">
        <v>10264</v>
      </c>
      <c r="D4756" t="s">
        <v>13657</v>
      </c>
      <c r="E4756" s="3" t="str">
        <f>HYPERLINK("https://www.amazon.com/Prevagen-Improves-Strength-Apoaequorin-Supplement/dp/B08HDPMKJ3/ref=sr_1_7?keywords=Prevagen+Extra+Strength+Chewables+20+mg&amp;qid=1695260655&amp;sr=8-7", "https://www.amazon.com/Prevagen-Improves-Strength-Apoaequorin-Supplement/dp/B08HDPMKJ3/ref=sr_1_7?keywords=Prevagen+Extra+Strength+Chewables+20+mg&amp;qid=1695260655&amp;sr=8-7")</f>
        <v>https://www.amazon.com/Prevagen-Improves-Strength-Apoaequorin-Supplement/dp/B08HDPMKJ3/ref=sr_1_7?keywords=Prevagen+Extra+Strength+Chewables+20+mg&amp;qid=1695260655&amp;sr=8-7</v>
      </c>
      <c r="F4756" t="s">
        <v>13658</v>
      </c>
      <c r="G4756" t="e">
        <f ca="1">IMAGE("https://shop.sonapharmacy.com/cdn/shop/products/PrevagenExtraStrengthChewables20mg.jpg?v=1594303828")</f>
        <v>#NAME?</v>
      </c>
      <c r="H4756" t="e">
        <f ca="1">IMAGE("https://m.media-amazon.com/images/I/71+OtNdRmRL._AC_UL320_.jpg")</f>
        <v>#NAME?</v>
      </c>
      <c r="I4756" t="s">
        <v>10267</v>
      </c>
      <c r="J4756">
        <v>52.95</v>
      </c>
      <c r="K4756" s="2" t="s">
        <v>13659</v>
      </c>
      <c r="L4756">
        <v>4.4000000000000004</v>
      </c>
      <c r="M4756">
        <v>2077</v>
      </c>
      <c r="O4756" t="s">
        <v>39</v>
      </c>
      <c r="P4756" t="s">
        <v>39</v>
      </c>
      <c r="Q4756" t="s">
        <v>10269</v>
      </c>
    </row>
    <row r="4757" spans="1:17" ht="15.75" x14ac:dyDescent="0.25">
      <c r="A4757" s="3" t="str">
        <f>HYPERLINK("https://shop.sonapharmacy.com/products/one-touch-ultra-test-strips", "https://shop.sonapharmacy.com/products/one-touch-ultra-test-strips")</f>
        <v>https://shop.sonapharmacy.com/products/one-touch-ultra-test-strips</v>
      </c>
      <c r="B4757" s="3" t="str">
        <f>HYPERLINK("https://shop.sonapharmacy.com/products/one-touch-ultra-test-strips", "https://shop.sonapharmacy.com/products/one-touch-ultra-test-strips")</f>
        <v>https://shop.sonapharmacy.com/products/one-touch-ultra-test-strips</v>
      </c>
      <c r="C4757" t="s">
        <v>13660</v>
      </c>
      <c r="D4757" t="s">
        <v>13661</v>
      </c>
      <c r="E4757" s="3" t="str">
        <f>HYPERLINK("https://www.amazon.com/OneTouch-Ultra-Test-Strips-Diabetes/dp/B0B9HR9M4P/ref=sr_1_2?keywords=One+Touch+Ultra+Test+Strips+50+ct.&amp;qid=1695260626&amp;sr=8-2", "https://www.amazon.com/OneTouch-Ultra-Test-Strips-Diabetes/dp/B0B9HR9M4P/ref=sr_1_2?keywords=One+Touch+Ultra+Test+Strips+50+ct.&amp;qid=1695260626&amp;sr=8-2")</f>
        <v>https://www.amazon.com/OneTouch-Ultra-Test-Strips-Diabetes/dp/B0B9HR9M4P/ref=sr_1_2?keywords=One+Touch+Ultra+Test+Strips+50+ct.&amp;qid=1695260626&amp;sr=8-2</v>
      </c>
      <c r="F4757" t="s">
        <v>13662</v>
      </c>
      <c r="G4757" t="e">
        <f ca="1">IMAGE("https://shop.sonapharmacy.com/cdn/shop/products/OneTouchUltraTestStrips50ct..jpg?v=1594230513")</f>
        <v>#NAME?</v>
      </c>
      <c r="H4757" t="e">
        <f ca="1">IMAGE("https://m.media-amazon.com/images/I/710NXdpr3FL._AC_UL320_.jpg")</f>
        <v>#NAME?</v>
      </c>
      <c r="I4757" t="s">
        <v>13663</v>
      </c>
      <c r="J4757">
        <v>89.99</v>
      </c>
      <c r="K4757" s="2" t="s">
        <v>13664</v>
      </c>
      <c r="L4757">
        <v>4.5999999999999996</v>
      </c>
      <c r="M4757">
        <v>2069</v>
      </c>
      <c r="O4757" t="s">
        <v>26</v>
      </c>
      <c r="P4757" t="s">
        <v>39</v>
      </c>
      <c r="Q4757" t="s">
        <v>13665</v>
      </c>
    </row>
    <row r="4758" spans="1:17" ht="15.75" x14ac:dyDescent="0.25">
      <c r="A4758" s="3" t="str">
        <f>HYPERLINK("https://shop.sonapharmacy.com/products/febreze%C2%AE-air%E2%84%A2-spring-renewal-spray-8-8oz", "https://shop.sonapharmacy.com/products/febreze%C2%AE-air%E2%84%A2-spring-renewal-spray-8-8oz")</f>
        <v>https://shop.sonapharmacy.com/products/febreze%C2%AE-air%E2%84%A2-spring-renewal-spray-8-8oz</v>
      </c>
      <c r="B4758" s="3" t="str">
        <f>HYPERLINK("https://shop.sonapharmacy.com/products/febreze%c2%ae-air%e2%84%a2-spring-renewal-spray-8-8oz", "https://shop.sonapharmacy.com/products/febreze%c2%ae-air%e2%84%a2-spring-renewal-spray-8-8oz")</f>
        <v>https://shop.sonapharmacy.com/products/febreze%c2%ae-air%e2%84%a2-spring-renewal-spray-8-8oz</v>
      </c>
      <c r="C4758" t="s">
        <v>13666</v>
      </c>
      <c r="D4758" t="s">
        <v>13667</v>
      </c>
      <c r="E4758" s="3" t="str">
        <f>HYPERLINK("https://www.amazon.com/Febreze-Effects-Freshener-Spring-Renewal/dp/B01N2GJFP3/ref=sr_1_1?keywords=Febreze%C2%AE+Air%E2%84%A2+Spring+%26+Renewal+Spray+8.8oz.&amp;qid=1695260233&amp;sr=8-1", "https://www.amazon.com/Febreze-Effects-Freshener-Spring-Renewal/dp/B01N2GJFP3/ref=sr_1_1?keywords=Febreze%C2%AE+Air%E2%84%A2+Spring+%26+Renewal+Spray+8.8oz.&amp;qid=1695260233&amp;sr=8-1")</f>
        <v>https://www.amazon.com/Febreze-Effects-Freshener-Spring-Renewal/dp/B01N2GJFP3/ref=sr_1_1?keywords=Febreze%C2%AE+Air%E2%84%A2+Spring+%26+Renewal+Spray+8.8oz.&amp;qid=1695260233&amp;sr=8-1</v>
      </c>
      <c r="F4758" t="s">
        <v>13668</v>
      </c>
      <c r="G4758" t="e">
        <f ca="1">IMAGE("https://shop.sonapharmacy.com/cdn/shop/products/71SJ2tnfywL._AC_SL1500.jpg?v=1610760787")</f>
        <v>#NAME?</v>
      </c>
      <c r="H4758" t="e">
        <f ca="1">IMAGE("https://m.media-amazon.com/images/I/71SJ2tnfywL._AC_UL320_.jpg")</f>
        <v>#NAME?</v>
      </c>
      <c r="I4758" t="s">
        <v>8183</v>
      </c>
      <c r="J4758">
        <v>3.29</v>
      </c>
      <c r="K4758" s="2" t="s">
        <v>13669</v>
      </c>
      <c r="L4758">
        <v>4.7</v>
      </c>
      <c r="M4758">
        <v>50155</v>
      </c>
      <c r="O4758" t="s">
        <v>26</v>
      </c>
      <c r="P4758" t="s">
        <v>39</v>
      </c>
      <c r="Q4758" t="s">
        <v>13670</v>
      </c>
    </row>
    <row r="4759" spans="1:17" ht="15.75" x14ac:dyDescent="0.25">
      <c r="A4759" s="3" t="str">
        <f>HYPERLINK("https://shop.sonapharmacy.com/products/duracell%C2%AE-312-hearing-aid-batteries-with-easy-fit-tab-8ct", "https://shop.sonapharmacy.com/products/duracell%C2%AE-312-hearing-aid-batteries-with-easy-fit-tab-8ct")</f>
        <v>https://shop.sonapharmacy.com/products/duracell%C2%AE-312-hearing-aid-batteries-with-easy-fit-tab-8ct</v>
      </c>
      <c r="B4759" s="3" t="str">
        <f>HYPERLINK("https://shop.sonapharmacy.com/products/duracell%c2%ae-312-hearing-aid-batteries-with-easy-fit-tab-8ct", "https://shop.sonapharmacy.com/products/duracell%c2%ae-312-hearing-aid-batteries-with-easy-fit-tab-8ct")</f>
        <v>https://shop.sonapharmacy.com/products/duracell%c2%ae-312-hearing-aid-batteries-with-easy-fit-tab-8ct</v>
      </c>
      <c r="C4759" t="s">
        <v>13671</v>
      </c>
      <c r="D4759" t="s">
        <v>13672</v>
      </c>
      <c r="E4759" s="3" t="str">
        <f>HYPERLINK("https://www.amazon.com/Duracell-Hearing-Batteries-Long-Lasting-Extra-Long/dp/B0C3GGCS95/ref=sr_1_2?keywords=Duracell%C2%AE+312+Hearing+Aid+Batteries+with+Easy-Fit+Tab+8ct.&amp;qid=1695260211&amp;sr=8-2", "https://www.amazon.com/Duracell-Hearing-Batteries-Long-Lasting-Extra-Long/dp/B0C3GGCS95/ref=sr_1_2?keywords=Duracell%C2%AE+312+Hearing+Aid+Batteries+with+Easy-Fit+Tab+8ct.&amp;qid=1695260211&amp;sr=8-2")</f>
        <v>https://www.amazon.com/Duracell-Hearing-Batteries-Long-Lasting-Extra-Long/dp/B0C3GGCS95/ref=sr_1_2?keywords=Duracell%C2%AE+312+Hearing+Aid+Batteries+with+Easy-Fit+Tab+8ct.&amp;qid=1695260211&amp;sr=8-2</v>
      </c>
      <c r="F4759" t="s">
        <v>13673</v>
      </c>
      <c r="G4759" t="e">
        <f ca="1">IMAGE("https://shop.sonapharmacy.com/cdn/shop/products/6f32ee7b-0772-40af-a08d-ff3e93534977_1.017f822a424da925838bb84047687bed.jpg?v=1610333735")</f>
        <v>#NAME?</v>
      </c>
      <c r="H4759" t="e">
        <f ca="1">IMAGE("https://m.media-amazon.com/images/I/71T11krfscL._AC_UL320_.jpg")</f>
        <v>#NAME?</v>
      </c>
      <c r="I4759" t="s">
        <v>3394</v>
      </c>
      <c r="J4759">
        <v>16.489999999999998</v>
      </c>
      <c r="K4759" s="2" t="s">
        <v>13669</v>
      </c>
      <c r="L4759">
        <v>5</v>
      </c>
      <c r="M4759">
        <v>4</v>
      </c>
      <c r="O4759" t="s">
        <v>26</v>
      </c>
      <c r="P4759" t="s">
        <v>39</v>
      </c>
      <c r="Q4759" t="s">
        <v>13674</v>
      </c>
    </row>
    <row r="4760" spans="1:17" ht="15.75" x14ac:dyDescent="0.25">
      <c r="A4760" s="3" t="str">
        <f>HYPERLINK("https://shop.sonapharmacy.com/products/metamucil%C2%AE-3-in-1-fiber-capsules-100ct", "https://shop.sonapharmacy.com/products/metamucil%C2%AE-3-in-1-fiber-capsules-100ct")</f>
        <v>https://shop.sonapharmacy.com/products/metamucil%C2%AE-3-in-1-fiber-capsules-100ct</v>
      </c>
      <c r="B4760" s="3" t="str">
        <f>HYPERLINK("https://shop.sonapharmacy.com/products/metamucil%c2%ae-3-in-1-fiber-capsules-100ct", "https://shop.sonapharmacy.com/products/metamucil%c2%ae-3-in-1-fiber-capsules-100ct")</f>
        <v>https://shop.sonapharmacy.com/products/metamucil%c2%ae-3-in-1-fiber-capsules-100ct</v>
      </c>
      <c r="C4760" t="s">
        <v>12473</v>
      </c>
      <c r="D4760" t="s">
        <v>13675</v>
      </c>
      <c r="E4760" s="3" t="str">
        <f>HYPERLINK("https://www.amazon.com/NatureBell-Psyllium-Capsules-1500mg-Serving/dp/B0BKR53C6Z/ref=sr_1_8?keywords=Metamucil%C2%AE+3-In-1+Fiber+Capsules+100ct.&amp;qid=1695260484&amp;sr=8-8", "https://www.amazon.com/NatureBell-Psyllium-Capsules-1500mg-Serving/dp/B0BKR53C6Z/ref=sr_1_8?keywords=Metamucil%C2%AE+3-In-1+Fiber+Capsules+100ct.&amp;qid=1695260484&amp;sr=8-8")</f>
        <v>https://www.amazon.com/NatureBell-Psyllium-Capsules-1500mg-Serving/dp/B0BKR53C6Z/ref=sr_1_8?keywords=Metamucil%C2%AE+3-In-1+Fiber+Capsules+100ct.&amp;qid=1695260484&amp;sr=8-8</v>
      </c>
      <c r="F4760" t="s">
        <v>13676</v>
      </c>
      <c r="G4760" t="e">
        <f ca="1">IMAGE("https://shop.sonapharmacy.com/cdn/shop/products/e4c301a8-1a91-42b1-9916-14dcb83a83c8_1.2b9cc66f0650d69ef4e03e8e4070ad8a.jpg?v=1610989075")</f>
        <v>#NAME?</v>
      </c>
      <c r="H4760" t="e">
        <f ca="1">IMAGE("https://m.media-amazon.com/images/I/81UrjXzQxfL._AC_UL320_.jpg")</f>
        <v>#NAME?</v>
      </c>
      <c r="I4760" t="s">
        <v>12476</v>
      </c>
      <c r="J4760">
        <v>18.95</v>
      </c>
      <c r="K4760" s="2" t="s">
        <v>13677</v>
      </c>
      <c r="L4760">
        <v>4.5</v>
      </c>
      <c r="M4760">
        <v>459</v>
      </c>
      <c r="O4760" t="s">
        <v>26</v>
      </c>
      <c r="P4760" t="s">
        <v>39</v>
      </c>
      <c r="Q4760" t="s">
        <v>12478</v>
      </c>
    </row>
    <row r="4761" spans="1:17" ht="15.75" x14ac:dyDescent="0.25">
      <c r="A4761" s="3" t="str">
        <f>HYPERLINK("https://shop.sonapharmacy.com/products/destin%C2%AE-daily-defense-cream", "https://shop.sonapharmacy.com/products/destin%C2%AE-daily-defense-cream")</f>
        <v>https://shop.sonapharmacy.com/products/destin%C2%AE-daily-defense-cream</v>
      </c>
      <c r="B4761" s="3" t="str">
        <f>HYPERLINK("https://shop.sonapharmacy.com/products/destin%c2%ae-daily-defense-cream", "https://shop.sonapharmacy.com/products/destin%c2%ae-daily-defense-cream")</f>
        <v>https://shop.sonapharmacy.com/products/destin%c2%ae-daily-defense-cream</v>
      </c>
      <c r="C4761" t="s">
        <v>9534</v>
      </c>
      <c r="D4761" t="s">
        <v>13678</v>
      </c>
      <c r="E4761" s="3" t="str">
        <f>HYPERLINK("https://www.amazon.com/Desitin-Relief-Diaper-Remedy-Fragrance-Free/dp/B00M0N9J20/ref=sr_1_3?keywords=Desitin%C2%AE+Daily+Defense+Cream&amp;qid=1695260184&amp;sr=8-3", "https://www.amazon.com/Desitin-Relief-Diaper-Remedy-Fragrance-Free/dp/B00M0N9J20/ref=sr_1_3?keywords=Desitin%C2%AE+Daily+Defense+Cream&amp;qid=1695260184&amp;sr=8-3")</f>
        <v>https://www.amazon.com/Desitin-Relief-Diaper-Remedy-Fragrance-Free/dp/B00M0N9J20/ref=sr_1_3?keywords=Desitin%C2%AE+Daily+Defense+Cream&amp;qid=1695260184&amp;sr=8-3</v>
      </c>
      <c r="F4761" t="s">
        <v>13679</v>
      </c>
      <c r="G4761" t="e">
        <f ca="1">IMAGE("https://shop.sonapharmacy.com/cdn/shop/products/b8d255e3-761d-4dc1-bc22-63911aec1a42.339ed60a62d8c105695012d734e4478b.jpg?v=1609270993")</f>
        <v>#NAME?</v>
      </c>
      <c r="H4761" t="e">
        <f ca="1">IMAGE("https://m.media-amazon.com/images/I/713GSDceweL._AC_UL320_.jpg")</f>
        <v>#NAME?</v>
      </c>
      <c r="I4761" t="s">
        <v>9284</v>
      </c>
      <c r="J4761">
        <v>6.68</v>
      </c>
      <c r="K4761" s="2" t="s">
        <v>13680</v>
      </c>
      <c r="L4761">
        <v>4.8</v>
      </c>
      <c r="M4761">
        <v>6674</v>
      </c>
      <c r="O4761" t="s">
        <v>26</v>
      </c>
      <c r="P4761" t="s">
        <v>39</v>
      </c>
      <c r="Q4761" t="s">
        <v>9538</v>
      </c>
    </row>
    <row r="4762" spans="1:17" ht="15.75" x14ac:dyDescent="0.25">
      <c r="A4762" s="3" t="str">
        <f>HYPERLINK("https://shop.sonapharmacy.com/products/destin%C2%AE-daily-defense-cream", "https://shop.sonapharmacy.com/products/destin%C2%AE-daily-defense-cream")</f>
        <v>https://shop.sonapharmacy.com/products/destin%C2%AE-daily-defense-cream</v>
      </c>
      <c r="B4762" s="3" t="str">
        <f>HYPERLINK("https://shop.sonapharmacy.com/products/destin%c2%ae-daily-defense-cream", "https://shop.sonapharmacy.com/products/destin%c2%ae-daily-defense-cream")</f>
        <v>https://shop.sonapharmacy.com/products/destin%c2%ae-daily-defense-cream</v>
      </c>
      <c r="C4762" t="s">
        <v>9534</v>
      </c>
      <c r="D4762" t="s">
        <v>13681</v>
      </c>
      <c r="E4762" s="3" t="str">
        <f>HYPERLINK("https://www.amazon.com/Desitin-Defense-Hypoallergenic-Phthalate-Paraben-Free/dp/B000YM2ED0/ref=sr_1_2?keywords=Desitin%C2%AE+Daily+Defense+Cream&amp;qid=1695260184&amp;sr=8-2", "https://www.amazon.com/Desitin-Defense-Hypoallergenic-Phthalate-Paraben-Free/dp/B000YM2ED0/ref=sr_1_2?keywords=Desitin%C2%AE+Daily+Defense+Cream&amp;qid=1695260184&amp;sr=8-2")</f>
        <v>https://www.amazon.com/Desitin-Defense-Hypoallergenic-Phthalate-Paraben-Free/dp/B000YM2ED0/ref=sr_1_2?keywords=Desitin%C2%AE+Daily+Defense+Cream&amp;qid=1695260184&amp;sr=8-2</v>
      </c>
      <c r="F4762" t="s">
        <v>13682</v>
      </c>
      <c r="G4762" t="e">
        <f ca="1">IMAGE("https://shop.sonapharmacy.com/cdn/shop/products/b8d255e3-761d-4dc1-bc22-63911aec1a42.339ed60a62d8c105695012d734e4478b.jpg?v=1609270993")</f>
        <v>#NAME?</v>
      </c>
      <c r="H4762" t="e">
        <f ca="1">IMAGE("https://m.media-amazon.com/images/I/61+bqf3KzzL._AC_UL320_.jpg")</f>
        <v>#NAME?</v>
      </c>
      <c r="I4762" t="s">
        <v>9284</v>
      </c>
      <c r="J4762">
        <v>6.68</v>
      </c>
      <c r="K4762" s="2" t="s">
        <v>13680</v>
      </c>
      <c r="L4762">
        <v>4.8</v>
      </c>
      <c r="M4762">
        <v>32018</v>
      </c>
      <c r="O4762" t="s">
        <v>26</v>
      </c>
      <c r="P4762" t="s">
        <v>39</v>
      </c>
      <c r="Q4762" t="s">
        <v>9538</v>
      </c>
    </row>
    <row r="4763" spans="1:17" ht="15.75" x14ac:dyDescent="0.25">
      <c r="A4763" s="3" t="str">
        <f>HYPERLINK("https://shop.sonapharmacy.com/products/eucerin%C2%AE-spf-30-daily-protection-face-lotion-4fl-oz", "https://shop.sonapharmacy.com/products/eucerin%C2%AE-spf-30-daily-protection-face-lotion-4fl-oz")</f>
        <v>https://shop.sonapharmacy.com/products/eucerin%C2%AE-spf-30-daily-protection-face-lotion-4fl-oz</v>
      </c>
      <c r="B4763" s="3" t="str">
        <f>HYPERLINK("https://shop.sonapharmacy.com/products/eucerin%c2%ae-spf-30-daily-protection-face-lotion-4fl-oz", "https://shop.sonapharmacy.com/products/eucerin%c2%ae-spf-30-daily-protection-face-lotion-4fl-oz")</f>
        <v>https://shop.sonapharmacy.com/products/eucerin%c2%ae-spf-30-daily-protection-face-lotion-4fl-oz</v>
      </c>
      <c r="C4763" t="s">
        <v>10557</v>
      </c>
      <c r="D4763" t="s">
        <v>13683</v>
      </c>
      <c r="E4763" s="3" t="str">
        <f>HYPERLINK("https://www.amazon.com/Eucerin-Daily-Protection-Face-Lotion/dp/B00008MNZH/ref=sr_1_1?keywords=Eucerin%C2%AE+SPF+30+Daily+Protection+Face+Lotion+4fl.+oz.&amp;qid=1695260234&amp;rdc=1&amp;sr=8-1", "https://www.amazon.com/Eucerin-Daily-Protection-Face-Lotion/dp/B00008MNZH/ref=sr_1_1?keywords=Eucerin%C2%AE+SPF+30+Daily+Protection+Face+Lotion+4fl.+oz.&amp;qid=1695260234&amp;rdc=1&amp;sr=8-1")</f>
        <v>https://www.amazon.com/Eucerin-Daily-Protection-Face-Lotion/dp/B00008MNZH/ref=sr_1_1?keywords=Eucerin%C2%AE+SPF+30+Daily+Protection+Face+Lotion+4fl.+oz.&amp;qid=1695260234&amp;rdc=1&amp;sr=8-1</v>
      </c>
      <c r="F4763" t="s">
        <v>13684</v>
      </c>
      <c r="G4763" t="e">
        <f ca="1">IMAGE("https://shop.sonapharmacy.com/cdn/shop/products/eda2b0f0-3b02-42ee-ad6c-e3ab52ac5d65_1.b223dd35d322ca4c627804613c003ea8.jpg?v=1608414946")</f>
        <v>#NAME?</v>
      </c>
      <c r="H4763" t="e">
        <f ca="1">IMAGE("https://m.media-amazon.com/images/I/51HODnb4NtL._AC_UL320_.jpg")</f>
        <v>#NAME?</v>
      </c>
      <c r="I4763" t="s">
        <v>8781</v>
      </c>
      <c r="J4763">
        <v>9.91</v>
      </c>
      <c r="K4763" s="2" t="s">
        <v>13685</v>
      </c>
      <c r="L4763">
        <v>4.5</v>
      </c>
      <c r="M4763">
        <v>14882</v>
      </c>
      <c r="O4763" t="s">
        <v>26</v>
      </c>
      <c r="P4763" t="s">
        <v>39</v>
      </c>
      <c r="Q4763" t="s">
        <v>10561</v>
      </c>
    </row>
    <row r="4764" spans="1:17" ht="15.75" x14ac:dyDescent="0.25">
      <c r="A4764" s="3" t="str">
        <f>HYPERLINK("https://shop.sonapharmacy.com/products/nexcare-flexible-clear-tape-with-dispenser", "https://shop.sonapharmacy.com/products/nexcare-flexible-clear-tape-with-dispenser")</f>
        <v>https://shop.sonapharmacy.com/products/nexcare-flexible-clear-tape-with-dispenser</v>
      </c>
      <c r="B4764" s="3" t="str">
        <f>HYPERLINK("https://shop.sonapharmacy.com/products/nexcare-flexible-clear-tape-with-dispenser", "https://shop.sonapharmacy.com/products/nexcare-flexible-clear-tape-with-dispenser")</f>
        <v>https://shop.sonapharmacy.com/products/nexcare-flexible-clear-tape-with-dispenser</v>
      </c>
      <c r="C4764" t="s">
        <v>8757</v>
      </c>
      <c r="D4764" t="s">
        <v>13686</v>
      </c>
      <c r="E4764" s="3" t="str">
        <f>HYPERLINK("https://www.amazon.com/3M-Nexcare-Absolute-Flexible-Waterproof/dp/B0096XYQ0M/ref=sr_1_10?keywords=Nexcare+Flexible+Clear+Tape&amp;qid=1695260581&amp;sr=8-10", "https://www.amazon.com/3M-Nexcare-Absolute-Flexible-Waterproof/dp/B0096XYQ0M/ref=sr_1_10?keywords=Nexcare+Flexible+Clear+Tape&amp;qid=1695260581&amp;sr=8-10")</f>
        <v>https://www.amazon.com/3M-Nexcare-Absolute-Flexible-Waterproof/dp/B0096XYQ0M/ref=sr_1_10?keywords=Nexcare+Flexible+Clear+Tape&amp;qid=1695260581&amp;sr=8-10</v>
      </c>
      <c r="F4764" t="s">
        <v>13687</v>
      </c>
      <c r="G4764" t="e">
        <f ca="1">IMAGE("https://shop.sonapharmacy.com/cdn/shop/products/3M-Nexcare-Flexible-Clear-First-Aid-Tape-779.jpg?v=1607704429")</f>
        <v>#NAME?</v>
      </c>
      <c r="H4764" t="e">
        <f ca="1">IMAGE("https://m.media-amazon.com/images/I/71Ya6WfJcAL._AC_UL320_.jpg")</f>
        <v>#NAME?</v>
      </c>
      <c r="I4764" t="s">
        <v>8760</v>
      </c>
      <c r="J4764">
        <v>5.99</v>
      </c>
      <c r="K4764" s="2" t="s">
        <v>13688</v>
      </c>
      <c r="L4764">
        <v>4.5</v>
      </c>
      <c r="M4764">
        <v>925</v>
      </c>
      <c r="O4764" t="s">
        <v>26</v>
      </c>
      <c r="P4764" t="s">
        <v>39</v>
      </c>
      <c r="Q4764" t="s">
        <v>8762</v>
      </c>
    </row>
    <row r="4765" spans="1:17" ht="15.75" x14ac:dyDescent="0.25">
      <c r="A4765" s="3" t="str">
        <f>HYPERLINK("https://shop.sonapharmacy.com/products/miaderm-l-radiation-relief-with-4-lidocaine-4fl-oz", "https://shop.sonapharmacy.com/products/miaderm-l-radiation-relief-with-4-lidocaine-4fl-oz")</f>
        <v>https://shop.sonapharmacy.com/products/miaderm-l-radiation-relief-with-4-lidocaine-4fl-oz</v>
      </c>
      <c r="B4765" s="3" t="str">
        <f>HYPERLINK("https://shop.sonapharmacy.com/products/miaderm-l-radiation-relief-with-4-lidocaine-4fl-oz", "https://shop.sonapharmacy.com/products/miaderm-l-radiation-relief-with-4-lidocaine-4fl-oz")</f>
        <v>https://shop.sonapharmacy.com/products/miaderm-l-radiation-relief-with-4-lidocaine-4fl-oz</v>
      </c>
      <c r="C4765" t="s">
        <v>13689</v>
      </c>
      <c r="D4765" t="s">
        <v>13690</v>
      </c>
      <c r="E4765" s="3" t="str">
        <f>HYPERLINK("https://www.amazon.com/Miaderm-L-Radiation-Relief-Lotion-Lidocaine/dp/B015G8IDOA/ref=sr_1_fkmr0_2?keywords=Miaderm-L+Radiation+Relief+with+4%25+Lidocaine+4fl.+oz.&amp;qid=1695260479&amp;sr=8-2-fkmr0", "https://www.amazon.com/Miaderm-L-Radiation-Relief-Lotion-Lidocaine/dp/B015G8IDOA/ref=sr_1_fkmr0_2?keywords=Miaderm-L+Radiation+Relief+with+4%25+Lidocaine+4fl.+oz.&amp;qid=1695260479&amp;sr=8-2-fkmr0")</f>
        <v>https://www.amazon.com/Miaderm-L-Radiation-Relief-Lotion-Lidocaine/dp/B015G8IDOA/ref=sr_1_fkmr0_2?keywords=Miaderm-L+Radiation+Relief+with+4%25+Lidocaine+4fl.+oz.&amp;qid=1695260479&amp;sr=8-2-fkmr0</v>
      </c>
      <c r="F4765" t="s">
        <v>13691</v>
      </c>
      <c r="G4765" t="e">
        <f ca="1">IMAGE("https://shop.sonapharmacy.com/cdn/shop/products/Miaderm-L-Tube-SMALLER-min.jpg?v=1608315528")</f>
        <v>#NAME?</v>
      </c>
      <c r="H4765" t="e">
        <f ca="1">IMAGE("https://m.media-amazon.com/images/I/61kGgGpsDWL._AC_UL320_.jpg")</f>
        <v>#NAME?</v>
      </c>
      <c r="I4765" t="s">
        <v>13692</v>
      </c>
      <c r="J4765">
        <v>43</v>
      </c>
      <c r="K4765" s="2" t="s">
        <v>13693</v>
      </c>
      <c r="L4765">
        <v>4.7</v>
      </c>
      <c r="M4765">
        <v>630</v>
      </c>
      <c r="O4765" t="s">
        <v>26</v>
      </c>
      <c r="P4765" t="s">
        <v>39</v>
      </c>
      <c r="Q4765" t="s">
        <v>13694</v>
      </c>
    </row>
    <row r="4766" spans="1:17" ht="15.75" x14ac:dyDescent="0.25">
      <c r="A4766" s="3" t="str">
        <f>HYPERLINK("https://shop.sonapharmacy.com/products/goodsense%C2%AE-lansoprazole-delayed-release-acid-reducer-15mg-capsules", "https://shop.sonapharmacy.com/products/goodsense%C2%AE-lansoprazole-delayed-release-acid-reducer-15mg-capsules")</f>
        <v>https://shop.sonapharmacy.com/products/goodsense%C2%AE-lansoprazole-delayed-release-acid-reducer-15mg-capsules</v>
      </c>
      <c r="B4766" s="3" t="str">
        <f>HYPERLINK("https://shop.sonapharmacy.com/products/goodsense%c2%ae-lansoprazole-delayed-release-acid-reducer-15mg-capsules", "https://shop.sonapharmacy.com/products/goodsense%c2%ae-lansoprazole-delayed-release-acid-reducer-15mg-capsules")</f>
        <v>https://shop.sonapharmacy.com/products/goodsense%c2%ae-lansoprazole-delayed-release-acid-reducer-15mg-capsules</v>
      </c>
      <c r="C4766" t="s">
        <v>13695</v>
      </c>
      <c r="D4766" t="s">
        <v>13696</v>
      </c>
      <c r="E4766" s="3" t="str">
        <f>HYPERLINK("https://www.amazon.com/Life-Sciences-Pharmacy-Lansoprazole-Inhibitor/dp/B09YGBPKNH/ref=sr_1_6?keywords=GoodSense%C2%AE+Lansoprazole+Delayed+Release+Acid+Reducer+15mg+Capsules&amp;qid=1695260393&amp;sr=8-6", "https://www.amazon.com/Life-Sciences-Pharmacy-Lansoprazole-Inhibitor/dp/B09YGBPKNH/ref=sr_1_6?keywords=GoodSense%C2%AE+Lansoprazole+Delayed+Release+Acid+Reducer+15mg+Capsules&amp;qid=1695260393&amp;sr=8-6")</f>
        <v>https://www.amazon.com/Life-Sciences-Pharmacy-Lansoprazole-Inhibitor/dp/B09YGBPKNH/ref=sr_1_6?keywords=GoodSense%C2%AE+Lansoprazole+Delayed+Release+Acid+Reducer+15mg+Capsules&amp;qid=1695260393&amp;sr=8-6</v>
      </c>
      <c r="F4766" t="s">
        <v>13697</v>
      </c>
      <c r="G4766" t="e">
        <f ca="1">IMAGE("https://shop.sonapharmacy.com/cdn/shop/products/4735aba1-e73c-4c69-aae8-80f27c792f0c_1.6461f78b5543bd106c3c445cb0ff8dfd.jpg?v=1611091653")</f>
        <v>#NAME?</v>
      </c>
      <c r="H4766" t="e">
        <f ca="1">IMAGE("https://m.media-amazon.com/images/I/51uuA3PCpML._AC_UL320_.jpg")</f>
        <v>#NAME?</v>
      </c>
      <c r="I4766" t="s">
        <v>13698</v>
      </c>
      <c r="J4766">
        <v>17.88</v>
      </c>
      <c r="K4766" s="2" t="s">
        <v>13699</v>
      </c>
      <c r="L4766">
        <v>4.5999999999999996</v>
      </c>
      <c r="M4766">
        <v>235</v>
      </c>
      <c r="O4766" t="s">
        <v>26</v>
      </c>
      <c r="P4766" t="s">
        <v>39</v>
      </c>
      <c r="Q4766" t="s">
        <v>13700</v>
      </c>
    </row>
    <row r="4767" spans="1:17" ht="15.75" x14ac:dyDescent="0.25">
      <c r="A4767" s="3" t="str">
        <f>HYPERLINK("https://shop.sonapharmacy.com/products/arnicare-pain-relief-roll-on", "https://shop.sonapharmacy.com/products/arnicare-pain-relief-roll-on")</f>
        <v>https://shop.sonapharmacy.com/products/arnicare-pain-relief-roll-on</v>
      </c>
      <c r="B4767" s="3" t="str">
        <f>HYPERLINK("https://shop.sonapharmacy.com/products/arnicare-pain-relief-roll-on", "https://shop.sonapharmacy.com/products/arnicare-pain-relief-roll-on")</f>
        <v>https://shop.sonapharmacy.com/products/arnicare-pain-relief-roll-on</v>
      </c>
      <c r="C4767" t="s">
        <v>12767</v>
      </c>
      <c r="D4767" t="s">
        <v>13701</v>
      </c>
      <c r="E4767" s="3" t="str">
        <f>HYPERLINK("https://www.amazon.com/Boiron-Arnicare-Homeopathic-Medicine-Relief/dp/B07HRRS8RZ/ref=sr_1_1?keywords=Arnicare+Pain+Relief+Roll-On+1.5oz.&amp;qid=1695260038&amp;sr=8-1", "https://www.amazon.com/Boiron-Arnicare-Homeopathic-Medicine-Relief/dp/B07HRRS8RZ/ref=sr_1_1?keywords=Arnicare+Pain+Relief+Roll-On+1.5oz.&amp;qid=1695260038&amp;sr=8-1")</f>
        <v>https://www.amazon.com/Boiron-Arnicare-Homeopathic-Medicine-Relief/dp/B07HRRS8RZ/ref=sr_1_1?keywords=Arnicare+Pain+Relief+Roll-On+1.5oz.&amp;qid=1695260038&amp;sr=8-1</v>
      </c>
      <c r="F4767" t="s">
        <v>13702</v>
      </c>
      <c r="G4767" t="e">
        <f ca="1">IMAGE("https://shop.sonapharmacy.com/cdn/shop/products/61LnzeugM2L._AC_SL1000.jpg?v=1609342071")</f>
        <v>#NAME?</v>
      </c>
      <c r="H4767" t="e">
        <f ca="1">IMAGE("https://m.media-amazon.com/images/I/81T5nmG3KBL._AC_UL320_.jpg")</f>
        <v>#NAME?</v>
      </c>
      <c r="I4767" t="s">
        <v>12770</v>
      </c>
      <c r="J4767">
        <v>8.98</v>
      </c>
      <c r="K4767" s="2" t="s">
        <v>13703</v>
      </c>
      <c r="L4767">
        <v>4.3</v>
      </c>
      <c r="M4767">
        <v>259</v>
      </c>
      <c r="O4767" t="s">
        <v>26</v>
      </c>
      <c r="P4767" t="s">
        <v>39</v>
      </c>
      <c r="Q4767" t="s">
        <v>12772</v>
      </c>
    </row>
    <row r="4768" spans="1:17" ht="15.75" x14ac:dyDescent="0.25">
      <c r="A4768" s="3" t="str">
        <f>HYPERLINK("https://shop.sonapharmacy.com/products/hylands-4-kids-cold-cough", "https://shop.sonapharmacy.com/products/hylands-4-kids-cold-cough")</f>
        <v>https://shop.sonapharmacy.com/products/hylands-4-kids-cold-cough</v>
      </c>
      <c r="B4768" s="3" t="str">
        <f>HYPERLINK("https://shop.sonapharmacy.com/products/hylands-4-kids-cold-cough", "https://shop.sonapharmacy.com/products/hylands-4-kids-cold-cough")</f>
        <v>https://shop.sonapharmacy.com/products/hylands-4-kids-cold-cough</v>
      </c>
      <c r="C4768" t="s">
        <v>13704</v>
      </c>
      <c r="D4768" t="s">
        <v>13705</v>
      </c>
      <c r="E4768" s="3"/>
      <c r="F4768" t="s">
        <v>13706</v>
      </c>
      <c r="G4768" t="e">
        <f ca="1">IMAGE("https://shop.sonapharmacy.com/cdn/shop/products/Untitled-144.jpg?v=1593020824")</f>
        <v>#NAME?</v>
      </c>
      <c r="H4768" t="e">
        <f ca="1">IMAGE("https://m.media-amazon.com/images/I/81S2Q6mUb9L._AC_UL320_.jpg")</f>
        <v>#NAME?</v>
      </c>
      <c r="I4768" t="s">
        <v>13707</v>
      </c>
      <c r="J4768">
        <v>12.32</v>
      </c>
      <c r="K4768" s="2" t="s">
        <v>13708</v>
      </c>
      <c r="L4768">
        <v>4.7</v>
      </c>
      <c r="M4768">
        <v>6806</v>
      </c>
      <c r="O4768" t="s">
        <v>26</v>
      </c>
      <c r="P4768" t="s">
        <v>39</v>
      </c>
      <c r="Q4768" t="s">
        <v>13709</v>
      </c>
    </row>
    <row r="4769" spans="1:17" ht="15.75" x14ac:dyDescent="0.25">
      <c r="A4769" s="3" t="str">
        <f>HYPERLINK("https://shop.sonapharmacy.com/products/hylands-4-kids-cold-cough", "https://shop.sonapharmacy.com/products/hylands-4-kids-cold-cough")</f>
        <v>https://shop.sonapharmacy.com/products/hylands-4-kids-cold-cough</v>
      </c>
      <c r="B4769" s="3" t="str">
        <f>HYPERLINK("https://shop.sonapharmacy.com/products/hylands-4-kids-cold-cough", "https://shop.sonapharmacy.com/products/hylands-4-kids-cold-cough")</f>
        <v>https://shop.sonapharmacy.com/products/hylands-4-kids-cold-cough</v>
      </c>
      <c r="C4769" t="s">
        <v>13704</v>
      </c>
      <c r="D4769" t="s">
        <v>13705</v>
      </c>
      <c r="E4769" s="3" t="str">
        <f>HYPERLINK("https://www.amazon.com/Hylands-Natural-Common-Symptom-Relief/dp/B00L3LAK7S/ref=sr_1_5?keywords=Hyland%27s%C2%AE+4+Kids+Cold+%26+Cough&amp;qid=1695260410&amp;sr=8-5", "https://www.amazon.com/Hylands-Natural-Common-Symptom-Relief/dp/B00L3LAK7S/ref=sr_1_5?keywords=Hyland%27s%C2%AE+4+Kids+Cold+%26+Cough&amp;qid=1695260410&amp;sr=8-5")</f>
        <v>https://www.amazon.com/Hylands-Natural-Common-Symptom-Relief/dp/B00L3LAK7S/ref=sr_1_5?keywords=Hyland%27s%C2%AE+4+Kids+Cold+%26+Cough&amp;qid=1695260410&amp;sr=8-5</v>
      </c>
      <c r="F4769" t="s">
        <v>13706</v>
      </c>
      <c r="G4769" t="e">
        <f ca="1">IMAGE("https://shop.sonapharmacy.com/cdn/shop/products/Untitled-144.jpg?v=1593020824")</f>
        <v>#NAME?</v>
      </c>
      <c r="H4769" t="e">
        <f ca="1">IMAGE("https://m.media-amazon.com/images/I/81S2Q6mUb9L._AC_UL320_.jpg")</f>
        <v>#NAME?</v>
      </c>
      <c r="I4769" t="s">
        <v>13707</v>
      </c>
      <c r="J4769">
        <v>12.32</v>
      </c>
      <c r="K4769" s="2" t="s">
        <v>13708</v>
      </c>
      <c r="L4769">
        <v>4.7</v>
      </c>
      <c r="M4769">
        <v>6806</v>
      </c>
      <c r="O4769" t="s">
        <v>26</v>
      </c>
      <c r="P4769" t="s">
        <v>39</v>
      </c>
      <c r="Q4769" t="s">
        <v>13709</v>
      </c>
    </row>
    <row r="4770" spans="1:17" ht="15.75" x14ac:dyDescent="0.25">
      <c r="A4770" s="3" t="str">
        <f>HYPERLINK("https://shop.sonapharmacy.com/products/sudafed-sinus-congestion-tablets-18-ct", "https://shop.sonapharmacy.com/products/sudafed-sinus-congestion-tablets-18-ct")</f>
        <v>https://shop.sonapharmacy.com/products/sudafed-sinus-congestion-tablets-18-ct</v>
      </c>
      <c r="B4770" s="3" t="str">
        <f>HYPERLINK("https://shop.sonapharmacy.com/products/sudafed-sinus-congestion-tablets-18-ct", "https://shop.sonapharmacy.com/products/sudafed-sinus-congestion-tablets-18-ct")</f>
        <v>https://shop.sonapharmacy.com/products/sudafed-sinus-congestion-tablets-18-ct</v>
      </c>
      <c r="C4770" t="s">
        <v>11453</v>
      </c>
      <c r="D4770" t="s">
        <v>13710</v>
      </c>
      <c r="E4770" s="3"/>
      <c r="F4770" t="s">
        <v>13711</v>
      </c>
      <c r="G4770" t="e">
        <f ca="1">IMAGE("https://shop.sonapharmacy.com/cdn/shop/products/SudafedSinusCongestionTablets.jpg?v=1595444685")</f>
        <v>#NAME?</v>
      </c>
      <c r="H4770" t="e">
        <f ca="1">IMAGE("https://m.media-amazon.com/images/I/71FsKj64uCL._AC_UL320_.jpg")</f>
        <v>#NAME?</v>
      </c>
      <c r="I4770" t="s">
        <v>11456</v>
      </c>
      <c r="J4770">
        <v>9.6</v>
      </c>
      <c r="K4770" s="2" t="s">
        <v>13712</v>
      </c>
      <c r="L4770">
        <v>4.4000000000000004</v>
      </c>
      <c r="M4770">
        <v>4768</v>
      </c>
      <c r="O4770" t="s">
        <v>26</v>
      </c>
      <c r="P4770" t="s">
        <v>39</v>
      </c>
      <c r="Q4770" t="s">
        <v>11458</v>
      </c>
    </row>
    <row r="4771" spans="1:17" ht="15.75" x14ac:dyDescent="0.25">
      <c r="A4771" s="3" t="str">
        <f>HYPERLINK("https://shop.sonapharmacy.com/products/sun-bum%C2%AE-mineral-spf-50-sunscreen-face-stick-0-45oz", "https://shop.sonapharmacy.com/products/sun-bum%C2%AE-mineral-spf-50-sunscreen-face-stick-0-45oz")</f>
        <v>https://shop.sonapharmacy.com/products/sun-bum%C2%AE-mineral-spf-50-sunscreen-face-stick-0-45oz</v>
      </c>
      <c r="B4771" s="3" t="str">
        <f>HYPERLINK("https://shop.sonapharmacy.com/products/sun-bum%c2%ae-mineral-spf-50-sunscreen-face-stick-0-45oz", "https://shop.sonapharmacy.com/products/sun-bum%c2%ae-mineral-spf-50-sunscreen-face-stick-0-45oz")</f>
        <v>https://shop.sonapharmacy.com/products/sun-bum%c2%ae-mineral-spf-50-sunscreen-face-stick-0-45oz</v>
      </c>
      <c r="C4771" t="s">
        <v>11616</v>
      </c>
      <c r="D4771" t="s">
        <v>13713</v>
      </c>
      <c r="E4771" s="3" t="str">
        <f>HYPERLINK("https://www.amazon.com/Sun-Bum-Sunscreen-Protection-Hypoallergenic/dp/B0721M83FL/ref=sr_1_1?keywords=Sun+Bum%C2%AE+Mineral+SPF+50+Sunscreen+Face+Stick+0.45oz&amp;qid=1695260742&amp;rdc=1&amp;sr=8-1", "https://www.amazon.com/Sun-Bum-Sunscreen-Protection-Hypoallergenic/dp/B0721M83FL/ref=sr_1_1?keywords=Sun+Bum%C2%AE+Mineral+SPF+50+Sunscreen+Face+Stick+0.45oz&amp;qid=1695260742&amp;rdc=1&amp;sr=8-1")</f>
        <v>https://www.amazon.com/Sun-Bum-Sunscreen-Protection-Hypoallergenic/dp/B0721M83FL/ref=sr_1_1?keywords=Sun+Bum%C2%AE+Mineral+SPF+50+Sunscreen+Face+Stick+0.45oz&amp;qid=1695260742&amp;rdc=1&amp;sr=8-1</v>
      </c>
      <c r="F4771" t="s">
        <v>13714</v>
      </c>
      <c r="G4771" t="e">
        <f ca="1">IMAGE("https://shop.sonapharmacy.com/cdn/shop/products/61LGJ0kxSAL._SL1500.jpg?v=1629233959")</f>
        <v>#NAME?</v>
      </c>
      <c r="H4771" t="e">
        <f ca="1">IMAGE("https://m.media-amazon.com/images/I/41MaTWefaOL._AC_UL320_.jpg")</f>
        <v>#NAME?</v>
      </c>
      <c r="I4771" t="s">
        <v>9258</v>
      </c>
      <c r="J4771">
        <v>12.18</v>
      </c>
      <c r="K4771" s="2" t="s">
        <v>13715</v>
      </c>
      <c r="L4771">
        <v>4.5999999999999996</v>
      </c>
      <c r="M4771">
        <v>13498</v>
      </c>
      <c r="O4771" t="s">
        <v>26</v>
      </c>
      <c r="P4771" t="s">
        <v>39</v>
      </c>
      <c r="Q4771" t="s">
        <v>11620</v>
      </c>
    </row>
    <row r="4772" spans="1:17" ht="15.75" x14ac:dyDescent="0.25">
      <c r="A4772" s="3" t="str">
        <f>HYPERLINK("https://shop.sonapharmacy.com/products/pataday%C2%AE-once-daily-relief-allergy-relief-eye-drop-2-5ml", "https://shop.sonapharmacy.com/products/pataday%C2%AE-once-daily-relief-allergy-relief-eye-drop-2-5ml")</f>
        <v>https://shop.sonapharmacy.com/products/pataday%C2%AE-once-daily-relief-allergy-relief-eye-drop-2-5ml</v>
      </c>
      <c r="B4772" s="3" t="str">
        <f>HYPERLINK("https://shop.sonapharmacy.com/products/pataday%c2%ae-once-daily-relief-allergy-relief-eye-drop-2-5ml", "https://shop.sonapharmacy.com/products/pataday%c2%ae-once-daily-relief-allergy-relief-eye-drop-2-5ml")</f>
        <v>https://shop.sonapharmacy.com/products/pataday%c2%ae-once-daily-relief-allergy-relief-eye-drop-2-5ml</v>
      </c>
      <c r="C4772" t="s">
        <v>11371</v>
      </c>
      <c r="D4772" t="s">
        <v>13716</v>
      </c>
      <c r="E4772" s="3" t="str">
        <f>HYPERLINK("https://www.amazon.com/Alcon-Pataday-Daily-Relief-0-085/dp/B0857X5V2S/ref=sr_1_1?keywords=Pataday%C2%AE+Once+Daily+Relief+Allergy+Relief+Eye+Drop+2.5ml&amp;qid=1695260623&amp;sr=8-1", "https://www.amazon.com/Alcon-Pataday-Daily-Relief-0-085/dp/B0857X5V2S/ref=sr_1_1?keywords=Pataday%C2%AE+Once+Daily+Relief+Allergy+Relief+Eye+Drop+2.5ml&amp;qid=1695260623&amp;sr=8-1")</f>
        <v>https://www.amazon.com/Alcon-Pataday-Daily-Relief-0-085/dp/B0857X5V2S/ref=sr_1_1?keywords=Pataday%C2%AE+Once+Daily+Relief+Allergy+Relief+Eye+Drop+2.5ml&amp;qid=1695260623&amp;sr=8-1</v>
      </c>
      <c r="F4772" t="s">
        <v>13717</v>
      </c>
      <c r="G4772" t="e">
        <f ca="1">IMAGE("https://shop.sonapharmacy.com/cdn/shop/products/99f6ec47-fcf0-48b5-9019-7c897e0f65ea_2.bbe61c9c81b6b47a4e42d3496469a095.png?v=1608662275")</f>
        <v>#NAME?</v>
      </c>
      <c r="H4772" t="e">
        <f ca="1">IMAGE("https://m.media-amazon.com/images/I/71KU7vMIP6L._AC_UL320_.jpg")</f>
        <v>#NAME?</v>
      </c>
      <c r="I4772" t="s">
        <v>11374</v>
      </c>
      <c r="J4772">
        <v>22.32</v>
      </c>
      <c r="K4772" s="2" t="s">
        <v>13718</v>
      </c>
      <c r="L4772">
        <v>4.7</v>
      </c>
      <c r="M4772">
        <v>9338</v>
      </c>
      <c r="O4772" t="s">
        <v>26</v>
      </c>
      <c r="P4772" t="s">
        <v>39</v>
      </c>
      <c r="Q4772" t="s">
        <v>11376</v>
      </c>
    </row>
    <row r="4773" spans="1:17" ht="15.75" x14ac:dyDescent="0.25">
      <c r="A4773"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B4773" s="3" t="str">
        <f>HYPERLINK("https://shop.sonapharmacy.com/products/degree-shower-clean-dry-protection-antiperspirant-deodorant-stick", "https://shop.sonapharmacy.com/products/degree-shower-clean-dry-protection-antiperspirant-deodorant-stick")</f>
        <v>https://shop.sonapharmacy.com/products/degree-shower-clean-dry-protection-antiperspirant-deodorant-stick</v>
      </c>
      <c r="C4773" t="s">
        <v>9018</v>
      </c>
      <c r="D4773" t="s">
        <v>13719</v>
      </c>
      <c r="E4773" s="3" t="str">
        <f>HYPERLINK("https://www.amazon.com/Degree-Shower-Clean-Invisible-Solid/dp/B0046IJG16/ref=sr_1_4?keywords=Degree%C2%AE+Shower+Clean+Dry+Protection+Antiperspirant+Deodorant+Stick&amp;qid=1695260181&amp;sr=8-4", "https://www.amazon.com/Degree-Shower-Clean-Invisible-Solid/dp/B0046IJG16/ref=sr_1_4?keywords=Degree%C2%AE+Shower+Clean+Dry+Protection+Antiperspirant+Deodorant+Stick&amp;qid=1695260181&amp;sr=8-4")</f>
        <v>https://www.amazon.com/Degree-Shower-Clean-Invisible-Solid/dp/B0046IJG16/ref=sr_1_4?keywords=Degree%C2%AE+Shower+Clean+Dry+Protection+Antiperspirant+Deodorant+Stick&amp;qid=1695260181&amp;sr=8-4</v>
      </c>
      <c r="F4773" t="s">
        <v>13720</v>
      </c>
      <c r="G4773" t="e">
        <f ca="1">IMAGE("https://shop.sonapharmacy.com/cdn/shop/products/DegreeShowerFront.png?v=1607052182")</f>
        <v>#NAME?</v>
      </c>
      <c r="H4773" t="e">
        <f ca="1">IMAGE("https://m.media-amazon.com/images/I/71y815gAreS._AC_UL320_.jpg")</f>
        <v>#NAME?</v>
      </c>
      <c r="I4773" t="s">
        <v>8264</v>
      </c>
      <c r="J4773">
        <v>5</v>
      </c>
      <c r="K4773" s="2" t="s">
        <v>13721</v>
      </c>
      <c r="L4773">
        <v>4.5</v>
      </c>
      <c r="M4773">
        <v>395</v>
      </c>
      <c r="O4773" t="s">
        <v>26</v>
      </c>
      <c r="P4773" t="s">
        <v>39</v>
      </c>
      <c r="Q4773" t="s">
        <v>9022</v>
      </c>
    </row>
    <row r="4774" spans="1:17" ht="15.75" x14ac:dyDescent="0.25">
      <c r="A4774" s="3" t="str">
        <f t="shared" ref="A4774:B4776" si="45">HYPERLINK("https://shop.sonapharmacy.com/products/prevagen-extra-strength-chewables-20-mg", "https://shop.sonapharmacy.com/products/prevagen-extra-strength-chewables-20-mg")</f>
        <v>https://shop.sonapharmacy.com/products/prevagen-extra-strength-chewables-20-mg</v>
      </c>
      <c r="B4774" s="3" t="str">
        <f t="shared" si="45"/>
        <v>https://shop.sonapharmacy.com/products/prevagen-extra-strength-chewables-20-mg</v>
      </c>
      <c r="C4774" t="s">
        <v>10264</v>
      </c>
      <c r="D4774" t="s">
        <v>12513</v>
      </c>
      <c r="E4774" s="3" t="str">
        <f>HYPERLINK("https://www.amazon.com/Prevagen-Improves-Memory-Apoaequorin-Supplement/dp/B01EZ64QJU/ref=sr_1_6?keywords=Prevagen+Extra+Strength+Chewables+20+mg&amp;qid=1695260655&amp;sr=8-6", "https://www.amazon.com/Prevagen-Improves-Memory-Apoaequorin-Supplement/dp/B01EZ64QJU/ref=sr_1_6?keywords=Prevagen+Extra+Strength+Chewables+20+mg&amp;qid=1695260655&amp;sr=8-6")</f>
        <v>https://www.amazon.com/Prevagen-Improves-Memory-Apoaequorin-Supplement/dp/B01EZ64QJU/ref=sr_1_6?keywords=Prevagen+Extra+Strength+Chewables+20+mg&amp;qid=1695260655&amp;sr=8-6</v>
      </c>
      <c r="F4774" t="s">
        <v>12514</v>
      </c>
      <c r="G4774" t="e">
        <f ca="1">IMAGE("https://shop.sonapharmacy.com/cdn/shop/products/PrevagenExtraStrengthChewables20mg.jpg?v=1594303828")</f>
        <v>#NAME?</v>
      </c>
      <c r="H4774" t="e">
        <f ca="1">IMAGE("https://m.media-amazon.com/images/I/71VyDap02iL._AC_UL320_.jpg")</f>
        <v>#NAME?</v>
      </c>
      <c r="I4774" t="s">
        <v>10267</v>
      </c>
      <c r="J4774">
        <v>51.95</v>
      </c>
      <c r="K4774" s="2" t="s">
        <v>13722</v>
      </c>
      <c r="L4774">
        <v>4.4000000000000004</v>
      </c>
      <c r="M4774">
        <v>1530</v>
      </c>
      <c r="O4774" t="s">
        <v>39</v>
      </c>
      <c r="P4774" t="s">
        <v>39</v>
      </c>
      <c r="Q4774" t="s">
        <v>10269</v>
      </c>
    </row>
    <row r="4775" spans="1:17" ht="15.75" x14ac:dyDescent="0.25">
      <c r="A4775" s="3" t="str">
        <f t="shared" si="45"/>
        <v>https://shop.sonapharmacy.com/products/prevagen-extra-strength-chewables-20-mg</v>
      </c>
      <c r="B4775" s="3" t="str">
        <f t="shared" si="45"/>
        <v>https://shop.sonapharmacy.com/products/prevagen-extra-strength-chewables-20-mg</v>
      </c>
      <c r="C4775" t="s">
        <v>10264</v>
      </c>
      <c r="D4775" t="s">
        <v>12516</v>
      </c>
      <c r="E4775" s="3" t="str">
        <f>HYPERLINK("https://www.amazon.com/Prevagen-Improves-Memory-Apoaequorin-Attractive/dp/B0BN6Z1PKN/ref=sr_1_5?keywords=Prevagen+Extra+Strength+Chewables+20+mg&amp;qid=1695260655&amp;sr=8-5", "https://www.amazon.com/Prevagen-Improves-Memory-Apoaequorin-Attractive/dp/B0BN6Z1PKN/ref=sr_1_5?keywords=Prevagen+Extra+Strength+Chewables+20+mg&amp;qid=1695260655&amp;sr=8-5")</f>
        <v>https://www.amazon.com/Prevagen-Improves-Memory-Apoaequorin-Attractive/dp/B0BN6Z1PKN/ref=sr_1_5?keywords=Prevagen+Extra+Strength+Chewables+20+mg&amp;qid=1695260655&amp;sr=8-5</v>
      </c>
      <c r="F4775" t="s">
        <v>12517</v>
      </c>
      <c r="G4775" t="e">
        <f ca="1">IMAGE("https://shop.sonapharmacy.com/cdn/shop/products/PrevagenExtraStrengthChewables20mg.jpg?v=1594303828")</f>
        <v>#NAME?</v>
      </c>
      <c r="H4775" t="e">
        <f ca="1">IMAGE("https://m.media-amazon.com/images/I/61vTs6wTZ-L._AC_UL320_.jpg")</f>
        <v>#NAME?</v>
      </c>
      <c r="I4775" t="s">
        <v>10267</v>
      </c>
      <c r="J4775">
        <v>51.95</v>
      </c>
      <c r="K4775" s="2" t="s">
        <v>13722</v>
      </c>
      <c r="L4775">
        <v>4.4000000000000004</v>
      </c>
      <c r="M4775">
        <v>157</v>
      </c>
      <c r="O4775" t="s">
        <v>39</v>
      </c>
      <c r="P4775" t="s">
        <v>39</v>
      </c>
      <c r="Q4775" t="s">
        <v>10269</v>
      </c>
    </row>
    <row r="4776" spans="1:17" ht="15.75" x14ac:dyDescent="0.25">
      <c r="A4776" s="3" t="str">
        <f t="shared" si="45"/>
        <v>https://shop.sonapharmacy.com/products/prevagen-extra-strength-chewables-20-mg</v>
      </c>
      <c r="B4776" s="3" t="str">
        <f t="shared" si="45"/>
        <v>https://shop.sonapharmacy.com/products/prevagen-extra-strength-chewables-20-mg</v>
      </c>
      <c r="C4776" t="s">
        <v>10264</v>
      </c>
      <c r="D4776" t="s">
        <v>12513</v>
      </c>
      <c r="E4776" s="3" t="str">
        <f>HYPERLINK("https://www.amazon.com/Prevagen-Extra-Strength-Chewables-Tablets/dp/B01M6CEO2G/ref=sr_1_1?keywords=Prevagen+Extra+Strength+Chewables+20+mg&amp;qid=1695260655&amp;sr=8-1", "https://www.amazon.com/Prevagen-Extra-Strength-Chewables-Tablets/dp/B01M6CEO2G/ref=sr_1_1?keywords=Prevagen+Extra+Strength+Chewables+20+mg&amp;qid=1695260655&amp;sr=8-1")</f>
        <v>https://www.amazon.com/Prevagen-Extra-Strength-Chewables-Tablets/dp/B01M6CEO2G/ref=sr_1_1?keywords=Prevagen+Extra+Strength+Chewables+20+mg&amp;qid=1695260655&amp;sr=8-1</v>
      </c>
      <c r="F4776" t="s">
        <v>12518</v>
      </c>
      <c r="G4776" t="e">
        <f ca="1">IMAGE("https://shop.sonapharmacy.com/cdn/shop/products/PrevagenExtraStrengthChewables20mg.jpg?v=1594303828")</f>
        <v>#NAME?</v>
      </c>
      <c r="H4776" t="e">
        <f ca="1">IMAGE("https://m.media-amazon.com/images/I/71VyDap02iL._AC_UL320_.jpg")</f>
        <v>#NAME?</v>
      </c>
      <c r="I4776" t="s">
        <v>10267</v>
      </c>
      <c r="J4776">
        <v>51.95</v>
      </c>
      <c r="K4776" s="2" t="s">
        <v>13722</v>
      </c>
      <c r="L4776">
        <v>4.3</v>
      </c>
      <c r="M4776">
        <v>4591</v>
      </c>
      <c r="O4776" t="s">
        <v>39</v>
      </c>
      <c r="P4776" t="s">
        <v>39</v>
      </c>
      <c r="Q4776" t="s">
        <v>10269</v>
      </c>
    </row>
    <row r="4777" spans="1:17" ht="15.75" x14ac:dyDescent="0.25">
      <c r="A4777" s="3" t="str">
        <f>HYPERLINK("https://shop.sonapharmacy.com/products/sona-buffered-c-capsules", "https://shop.sonapharmacy.com/products/sona-buffered-c-capsules")</f>
        <v>https://shop.sonapharmacy.com/products/sona-buffered-c-capsules</v>
      </c>
      <c r="B4777" s="3" t="str">
        <f>HYPERLINK("https://shop.sonapharmacy.com/products/sona-buffered-c-capsules", "https://shop.sonapharmacy.com/products/sona-buffered-c-capsules")</f>
        <v>https://shop.sonapharmacy.com/products/sona-buffered-c-capsules</v>
      </c>
      <c r="C4777" t="s">
        <v>11624</v>
      </c>
      <c r="D4777" t="s">
        <v>13723</v>
      </c>
      <c r="E4777" s="3" t="str">
        <f>HYPERLINK("https://www.amazon.com/Allergy-Research-Group-Antioxidant-Vegetarian/dp/B000M8SL1A/ref=sr_1_1?keywords=Sona+Buffered+C+Capsules&amp;qid=1695260718&amp;sr=8-1", "https://www.amazon.com/Allergy-Research-Group-Antioxidant-Vegetarian/dp/B000M8SL1A/ref=sr_1_1?keywords=Sona+Buffered+C+Capsules&amp;qid=1695260718&amp;sr=8-1")</f>
        <v>https://www.amazon.com/Allergy-Research-Group-Antioxidant-Vegetarian/dp/B000M8SL1A/ref=sr_1_1?keywords=Sona+Buffered+C+Capsules&amp;qid=1695260718&amp;sr=8-1</v>
      </c>
      <c r="F4777" t="s">
        <v>13724</v>
      </c>
      <c r="G4777" t="e">
        <f ca="1">IMAGE("https://shop.sonapharmacy.com/cdn/shop/files/BufferedC_SonaShop.jpg?v=1692370201")</f>
        <v>#NAME?</v>
      </c>
      <c r="H4777" t="e">
        <f ca="1">IMAGE("https://m.media-amazon.com/images/I/71TGN03L5YL._AC_UL320_.jpg")</f>
        <v>#NAME?</v>
      </c>
      <c r="I4777" t="s">
        <v>11627</v>
      </c>
      <c r="J4777">
        <v>19.920000000000002</v>
      </c>
      <c r="K4777" s="2" t="s">
        <v>6237</v>
      </c>
      <c r="L4777">
        <v>4.7</v>
      </c>
      <c r="M4777">
        <v>242</v>
      </c>
      <c r="O4777" t="s">
        <v>26</v>
      </c>
      <c r="P4777" t="s">
        <v>39</v>
      </c>
      <c r="Q4777" t="s">
        <v>11629</v>
      </c>
    </row>
    <row r="4778" spans="1:17" ht="15.75" x14ac:dyDescent="0.25">
      <c r="A4778" s="3" t="str">
        <f>HYPERLINK("https://shop.sonapharmacy.com/products/good-sense-pain-relief-caplets", "https://shop.sonapharmacy.com/products/good-sense-pain-relief-caplets")</f>
        <v>https://shop.sonapharmacy.com/products/good-sense-pain-relief-caplets</v>
      </c>
      <c r="B4778" s="3" t="str">
        <f>HYPERLINK("https://shop.sonapharmacy.com/products/good-sense-pain-relief-caplets", "https://shop.sonapharmacy.com/products/good-sense-pain-relief-caplets")</f>
        <v>https://shop.sonapharmacy.com/products/good-sense-pain-relief-caplets</v>
      </c>
      <c r="C4778" t="s">
        <v>10921</v>
      </c>
      <c r="D4778" t="s">
        <v>13725</v>
      </c>
      <c r="E4778" s="3" t="str">
        <f>HYPERLINK("https://www.amazon.com/Amazon-Basic-Care-Strength-Acetaminophen/dp/B096Y26LYD/ref=sr_1_10?keywords=GoodSense%C2%AE+Pain+Relief+Caplets&amp;qid=1695260361&amp;sr=8-10", "https://www.amazon.com/Amazon-Basic-Care-Strength-Acetaminophen/dp/B096Y26LYD/ref=sr_1_10?keywords=GoodSense%C2%AE+Pain+Relief+Caplets&amp;qid=1695260361&amp;sr=8-10")</f>
        <v>https://www.amazon.com/Amazon-Basic-Care-Strength-Acetaminophen/dp/B096Y26LYD/ref=sr_1_10?keywords=GoodSense%C2%AE+Pain+Relief+Caplets&amp;qid=1695260361&amp;sr=8-10</v>
      </c>
      <c r="F4778" t="s">
        <v>13726</v>
      </c>
      <c r="G4778" t="e">
        <f ca="1">IMAGE("https://shop.sonapharmacy.com/cdn/shop/products/Untitled-11.jpg?v=1592592053")</f>
        <v>#NAME?</v>
      </c>
      <c r="H4778" t="e">
        <f ca="1">IMAGE("https://m.media-amazon.com/images/I/71nw-HKAhkL._AC_UL320_.jpg")</f>
        <v>#NAME?</v>
      </c>
      <c r="I4778" t="s">
        <v>9015</v>
      </c>
      <c r="J4778">
        <v>4.93</v>
      </c>
      <c r="K4778" s="2" t="s">
        <v>13727</v>
      </c>
      <c r="L4778">
        <v>4.8</v>
      </c>
      <c r="M4778">
        <v>64965</v>
      </c>
      <c r="O4778" t="s">
        <v>26</v>
      </c>
      <c r="P4778" t="s">
        <v>39</v>
      </c>
      <c r="Q4778" t="s">
        <v>10925</v>
      </c>
    </row>
    <row r="4779" spans="1:17" ht="15.75" x14ac:dyDescent="0.25">
      <c r="A4779" s="3" t="str">
        <f>HYPERLINK("https://shop.sonapharmacy.com/products/nature-made-sam-e-complete-supplement-tablets", "https://shop.sonapharmacy.com/products/nature-made-sam-e-complete-supplement-tablets")</f>
        <v>https://shop.sonapharmacy.com/products/nature-made-sam-e-complete-supplement-tablets</v>
      </c>
      <c r="B4779" s="3" t="str">
        <f>HYPERLINK("https://shop.sonapharmacy.com/products/nature-made-sam-e-complete-supplement-tablets", "https://shop.sonapharmacy.com/products/nature-made-sam-e-complete-supplement-tablets")</f>
        <v>https://shop.sonapharmacy.com/products/nature-made-sam-e-complete-supplement-tablets</v>
      </c>
      <c r="C4779" t="s">
        <v>13625</v>
      </c>
      <c r="D4779" t="s">
        <v>13728</v>
      </c>
      <c r="E4779" s="3" t="str">
        <f>HYPERLINK("https://www.amazon.com/Nature-Made-Complete-support-Healthy/dp/B0002D150Y/ref=sr_1_1?keywords=Nature+Made%C2%AE+SAM-E+Complete+Supplement+Tablets+24ct.&amp;qid=1695260558&amp;sr=8-1", "https://www.amazon.com/Nature-Made-Complete-support-Healthy/dp/B0002D150Y/ref=sr_1_1?keywords=Nature+Made%C2%AE+SAM-E+Complete+Supplement+Tablets+24ct.&amp;qid=1695260558&amp;sr=8-1")</f>
        <v>https://www.amazon.com/Nature-Made-Complete-support-Healthy/dp/B0002D150Y/ref=sr_1_1?keywords=Nature+Made%C2%AE+SAM-E+Complete+Supplement+Tablets+24ct.&amp;qid=1695260558&amp;sr=8-1</v>
      </c>
      <c r="F4779" t="s">
        <v>13729</v>
      </c>
      <c r="G4779" t="e">
        <f ca="1">IMAGE("https://shop.sonapharmacy.com/cdn/shop/products/71SjExX9A_L._AC_SL1500.jpg?v=1610038135")</f>
        <v>#NAME?</v>
      </c>
      <c r="H4779" t="e">
        <f ca="1">IMAGE("https://m.media-amazon.com/images/I/71o3Z4cNaFL._AC_UL320_.jpg")</f>
        <v>#NAME?</v>
      </c>
      <c r="I4779" t="s">
        <v>13628</v>
      </c>
      <c r="J4779">
        <v>26</v>
      </c>
      <c r="K4779" s="2" t="s">
        <v>13730</v>
      </c>
      <c r="L4779">
        <v>4.4000000000000004</v>
      </c>
      <c r="M4779">
        <v>2139</v>
      </c>
      <c r="O4779" t="s">
        <v>26</v>
      </c>
      <c r="P4779" t="s">
        <v>39</v>
      </c>
      <c r="Q4779" t="s">
        <v>13630</v>
      </c>
    </row>
    <row r="4780" spans="1:17" ht="15.75" x14ac:dyDescent="0.25">
      <c r="A4780" s="3" t="str">
        <f>HYPERLINK("https://shop.sonapharmacy.com/products/mueller%C2%AE-carpal-tunnel-wrist-stabilizer", "https://shop.sonapharmacy.com/products/mueller%C2%AE-carpal-tunnel-wrist-stabilizer")</f>
        <v>https://shop.sonapharmacy.com/products/mueller%C2%AE-carpal-tunnel-wrist-stabilizer</v>
      </c>
      <c r="B4780" s="3" t="str">
        <f>HYPERLINK("https://shop.sonapharmacy.com/products/mueller%c2%ae-carpal-tunnel-wrist-stabilizer", "https://shop.sonapharmacy.com/products/mueller%c2%ae-carpal-tunnel-wrist-stabilizer")</f>
        <v>https://shop.sonapharmacy.com/products/mueller%c2%ae-carpal-tunnel-wrist-stabilizer</v>
      </c>
      <c r="C4780" t="s">
        <v>12273</v>
      </c>
      <c r="D4780" t="s">
        <v>13731</v>
      </c>
      <c r="E4780" s="3" t="str">
        <f>HYPERLINK("https://www.amazon.com/Mueller-Carpal-Tunnel-Wrist-Stabilizer/dp/B00D5Q1G90/ref=sr_1_3?keywords=Mueller%C2%AE+Carpal+Tunnel+Wrist+Stabilizer&amp;qid=1695260516&amp;sr=8-3", "https://www.amazon.com/Mueller-Carpal-Tunnel-Wrist-Stabilizer/dp/B00D5Q1G90/ref=sr_1_3?keywords=Mueller%C2%AE+Carpal+Tunnel+Wrist+Stabilizer&amp;qid=1695260516&amp;sr=8-3")</f>
        <v>https://www.amazon.com/Mueller-Carpal-Tunnel-Wrist-Stabilizer/dp/B00D5Q1G90/ref=sr_1_3?keywords=Mueller%C2%AE+Carpal+Tunnel+Wrist+Stabilizer&amp;qid=1695260516&amp;sr=8-3</v>
      </c>
      <c r="F4780" t="s">
        <v>13732</v>
      </c>
      <c r="G4780" t="e">
        <f ca="1">IMAGE("https://shop.sonapharmacy.com/cdn/shop/products/1136649.jpg?v=1609857294")</f>
        <v>#NAME?</v>
      </c>
      <c r="H4780" t="e">
        <f ca="1">IMAGE("https://m.media-amazon.com/images/I/31XzEgjWvJL._AC_UL320_.jpg")</f>
        <v>#NAME?</v>
      </c>
      <c r="I4780" t="s">
        <v>12276</v>
      </c>
      <c r="J4780">
        <v>21.99</v>
      </c>
      <c r="K4780" s="2" t="s">
        <v>13733</v>
      </c>
      <c r="L4780">
        <v>4.4000000000000004</v>
      </c>
      <c r="M4780">
        <v>21</v>
      </c>
      <c r="O4780" t="s">
        <v>26</v>
      </c>
      <c r="P4780" t="s">
        <v>39</v>
      </c>
      <c r="Q4780" t="s">
        <v>12278</v>
      </c>
    </row>
    <row r="4781" spans="1:17" ht="15.75" x14ac:dyDescent="0.25">
      <c r="A4781" s="3" t="str">
        <f>HYPERLINK("https://shop.sonapharmacy.com/products/cosamin-ds-for-joint-health-dietart-supplement-capsules", "https://shop.sonapharmacy.com/products/cosamin-ds-for-joint-health-dietart-supplement-capsules")</f>
        <v>https://shop.sonapharmacy.com/products/cosamin-ds-for-joint-health-dietart-supplement-capsules</v>
      </c>
      <c r="B4781" s="3" t="str">
        <f>HYPERLINK("https://shop.sonapharmacy.com/products/cosamin-ds-for-joint-health-dietart-supplement-capsules", "https://shop.sonapharmacy.com/products/cosamin-ds-for-joint-health-dietart-supplement-capsules")</f>
        <v>https://shop.sonapharmacy.com/products/cosamin-ds-for-joint-health-dietart-supplement-capsules</v>
      </c>
      <c r="C4781" t="s">
        <v>11027</v>
      </c>
      <c r="D4781" t="s">
        <v>13734</v>
      </c>
      <c r="E4781" s="3" t="str">
        <f>HYPERLINK("https://www.amazon.com/Cosamin-DS-Comfort-Mobility-Capsules/dp/B000H1RPMI/ref=sr_1_9?keywords=Cosamin%C2%AE+DS+for+Joint+Health+Supplement+Capsules&amp;qid=1695260169&amp;sr=8-9", "https://www.amazon.com/Cosamin-DS-Comfort-Mobility-Capsules/dp/B000H1RPMI/ref=sr_1_9?keywords=Cosamin%C2%AE+DS+for+Joint+Health+Supplement+Capsules&amp;qid=1695260169&amp;sr=8-9")</f>
        <v>https://www.amazon.com/Cosamin-DS-Comfort-Mobility-Capsules/dp/B000H1RPMI/ref=sr_1_9?keywords=Cosamin%C2%AE+DS+for+Joint+Health+Supplement+Capsules&amp;qid=1695260169&amp;sr=8-9</v>
      </c>
      <c r="F4781" t="s">
        <v>13735</v>
      </c>
      <c r="G4781" t="e">
        <f ca="1">IMAGE("https://shop.sonapharmacy.com/cdn/shop/products/30c684fe-9527-4269-accf-3de35cb4dfd5_6.58806dd1bafa882a1693a08f8a7031a9.png?v=1609346977")</f>
        <v>#NAME?</v>
      </c>
      <c r="H4781" t="e">
        <f ca="1">IMAGE("https://m.media-amazon.com/images/I/618klbZqZrL._AC_UL320_.jpg")</f>
        <v>#NAME?</v>
      </c>
      <c r="I4781" t="s">
        <v>11030</v>
      </c>
      <c r="J4781">
        <v>52</v>
      </c>
      <c r="K4781" s="2" t="s">
        <v>13736</v>
      </c>
      <c r="L4781">
        <v>4.7</v>
      </c>
      <c r="M4781">
        <v>568</v>
      </c>
      <c r="O4781" t="s">
        <v>26</v>
      </c>
      <c r="P4781" t="s">
        <v>39</v>
      </c>
      <c r="Q4781" t="s">
        <v>11032</v>
      </c>
    </row>
    <row r="4782" spans="1:17" ht="15.75" x14ac:dyDescent="0.25">
      <c r="A4782" s="3" t="str">
        <f>HYPERLINK("https://shop.sonapharmacy.com/products/humco-gentian-violet-topical-solution-1-2fl-oz", "https://shop.sonapharmacy.com/products/humco-gentian-violet-topical-solution-1-2fl-oz")</f>
        <v>https://shop.sonapharmacy.com/products/humco-gentian-violet-topical-solution-1-2fl-oz</v>
      </c>
      <c r="B4782" s="3" t="str">
        <f>HYPERLINK("https://shop.sonapharmacy.com/products/humco-gentian-violet-topical-solution-1-2fl-oz", "https://shop.sonapharmacy.com/products/humco-gentian-violet-topical-solution-1-2fl-oz")</f>
        <v>https://shop.sonapharmacy.com/products/humco-gentian-violet-topical-solution-1-2fl-oz</v>
      </c>
      <c r="C4782" t="s">
        <v>13737</v>
      </c>
      <c r="D4782" t="s">
        <v>13738</v>
      </c>
      <c r="E4782" s="3" t="str">
        <f>HYPERLINK("https://www.amazon.com/Humco-Gentian-Violet/dp/B000QTG3ME/ref=sr_1_1?keywords=Humco+Gentian+Violet+Topical+Solution+1%25+2fl.+oz.&amp;qid=1695260385&amp;sr=8-1", "https://www.amazon.com/Humco-Gentian-Violet/dp/B000QTG3ME/ref=sr_1_1?keywords=Humco+Gentian+Violet+Topical+Solution+1%25+2fl.+oz.&amp;qid=1695260385&amp;sr=8-1")</f>
        <v>https://www.amazon.com/Humco-Gentian-Violet/dp/B000QTG3ME/ref=sr_1_1?keywords=Humco+Gentian+Violet+Topical+Solution+1%25+2fl.+oz.&amp;qid=1695260385&amp;sr=8-1</v>
      </c>
      <c r="F4782" t="s">
        <v>13739</v>
      </c>
      <c r="G4782" t="e">
        <f ca="1">IMAGE("https://shop.sonapharmacy.com/cdn/shop/products/6177LXkvVFL._AC_SL1414.jpg?v=1608140425")</f>
        <v>#NAME?</v>
      </c>
      <c r="H4782" t="e">
        <f ca="1">IMAGE("https://m.media-amazon.com/images/I/6177LXkvVFL._AC_UL320_.jpg")</f>
        <v>#NAME?</v>
      </c>
      <c r="I4782" t="s">
        <v>13740</v>
      </c>
      <c r="J4782">
        <v>11.49</v>
      </c>
      <c r="K4782" s="2" t="s">
        <v>13741</v>
      </c>
      <c r="L4782">
        <v>4.5</v>
      </c>
      <c r="M4782">
        <v>6509</v>
      </c>
      <c r="O4782" t="s">
        <v>26</v>
      </c>
      <c r="P4782" t="s">
        <v>39</v>
      </c>
      <c r="Q4782" t="s">
        <v>13742</v>
      </c>
    </row>
    <row r="4783" spans="1:17" ht="15.75" x14ac:dyDescent="0.25">
      <c r="A4783" s="3" t="str">
        <f>HYPERLINK("https://shop.sonapharmacy.com/products/omega-3-pet-2-oz-for-sm-cats-dogs", "https://shop.sonapharmacy.com/products/omega-3-pet-2-oz-for-sm-cats-dogs")</f>
        <v>https://shop.sonapharmacy.com/products/omega-3-pet-2-oz-for-sm-cats-dogs</v>
      </c>
      <c r="B4783" s="3" t="str">
        <f>HYPERLINK("https://shop.sonapharmacy.com/products/omega-3-pet-2-oz-for-sm-cats-dogs", "https://shop.sonapharmacy.com/products/omega-3-pet-2-oz-for-sm-cats-dogs")</f>
        <v>https://shop.sonapharmacy.com/products/omega-3-pet-2-oz-for-sm-cats-dogs</v>
      </c>
      <c r="C4783" t="s">
        <v>13743</v>
      </c>
      <c r="D4783" t="s">
        <v>13744</v>
      </c>
      <c r="E4783" s="3" t="str">
        <f>HYPERLINK("https://www.amazon.com/Nordic-Naturals-Omega-Pet-Triglyceride/dp/B008OYAZUE/ref=sr_1_1?keywords=Nordic+Naturals%C2%AE+Omega-3+for+Small+Cats+%26+Dogs+2oz.&amp;qid=1695260600&amp;sr=8-1", "https://www.amazon.com/Nordic-Naturals-Omega-Pet-Triglyceride/dp/B008OYAZUE/ref=sr_1_1?keywords=Nordic+Naturals%C2%AE+Omega-3+for+Small+Cats+%26+Dogs+2oz.&amp;qid=1695260600&amp;sr=8-1")</f>
        <v>https://www.amazon.com/Nordic-Naturals-Omega-Pet-Triglyceride/dp/B008OYAZUE/ref=sr_1_1?keywords=Nordic+Naturals%C2%AE+Omega-3+for+Small+Cats+%26+Dogs+2oz.&amp;qid=1695260600&amp;sr=8-1</v>
      </c>
      <c r="F4783" t="s">
        <v>13745</v>
      </c>
      <c r="G4783" t="e">
        <f ca="1">IMAGE("https://shop.sonapharmacy.com/cdn/shop/products/71aBsIp9A-L._AC_SL1500.jpg?v=1610051633")</f>
        <v>#NAME?</v>
      </c>
      <c r="H4783" t="e">
        <f ca="1">IMAGE("https://m.media-amazon.com/images/I/61lcbUpkezL._AC_UL320_.jpg")</f>
        <v>#NAME?</v>
      </c>
      <c r="I4783" t="s">
        <v>13746</v>
      </c>
      <c r="J4783">
        <v>14.41</v>
      </c>
      <c r="K4783" s="2" t="s">
        <v>13741</v>
      </c>
      <c r="L4783">
        <v>4.5999999999999996</v>
      </c>
      <c r="M4783">
        <v>10021</v>
      </c>
      <c r="O4783" t="s">
        <v>39</v>
      </c>
      <c r="P4783" t="s">
        <v>39</v>
      </c>
      <c r="Q4783" t="s">
        <v>13747</v>
      </c>
    </row>
    <row r="4784" spans="1:17" ht="15.75" x14ac:dyDescent="0.25">
      <c r="A4784" s="3" t="str">
        <f>HYPERLINK("https://shop.sonapharmacy.com/products/sunbum%C2%AE-original-spf-50-sunscreen-spray-6oz", "https://shop.sonapharmacy.com/products/sunbum%C2%AE-original-spf-50-sunscreen-spray-6oz")</f>
        <v>https://shop.sonapharmacy.com/products/sunbum%C2%AE-original-spf-50-sunscreen-spray-6oz</v>
      </c>
      <c r="B4784" s="3" t="str">
        <f>HYPERLINK("https://shop.sonapharmacy.com/products/sunbum%c2%ae-original-spf-50-sunscreen-spray-6oz", "https://shop.sonapharmacy.com/products/sunbum%c2%ae-original-spf-50-sunscreen-spray-6oz")</f>
        <v>https://shop.sonapharmacy.com/products/sunbum%c2%ae-original-spf-50-sunscreen-spray-6oz</v>
      </c>
      <c r="C4784" t="s">
        <v>11222</v>
      </c>
      <c r="D4784" t="s">
        <v>12166</v>
      </c>
      <c r="E4784" s="3" t="str">
        <f>HYPERLINK("https://www.amazon.com/Sun-Bum-Moisturizing-Protection-Hypoallergenic/dp/B004XGLDTY/ref=sr_1_1?keywords=Sun+Bum%C2%AE+Original+SPF+50+Sunscreen+Spray+6oz.&amp;qid=1695260740&amp;rdc=1&amp;sr=8-1", "https://www.amazon.com/Sun-Bum-Moisturizing-Protection-Hypoallergenic/dp/B004XGLDTY/ref=sr_1_1?keywords=Sun+Bum%C2%AE+Original+SPF+50+Sunscreen+Spray+6oz.&amp;qid=1695260740&amp;rdc=1&amp;sr=8-1")</f>
        <v>https://www.amazon.com/Sun-Bum-Moisturizing-Protection-Hypoallergenic/dp/B004XGLDTY/ref=sr_1_1?keywords=Sun+Bum%C2%AE+Original+SPF+50+Sunscreen+Spray+6oz.&amp;qid=1695260740&amp;rdc=1&amp;sr=8-1</v>
      </c>
      <c r="F4784" t="s">
        <v>12167</v>
      </c>
      <c r="G4784" t="e">
        <f ca="1">IMAGE("https://shop.sonapharmacy.com/cdn/shop/products/71a9elrSXbL._AC_SL1500.jpg?v=1611869711")</f>
        <v>#NAME?</v>
      </c>
      <c r="H4784" t="e">
        <f ca="1">IMAGE("https://m.media-amazon.com/images/I/51-XGWRSpnL._AC_UL320_.jpg")</f>
        <v>#NAME?</v>
      </c>
      <c r="I4784" t="s">
        <v>3394</v>
      </c>
      <c r="J4784">
        <v>16.04</v>
      </c>
      <c r="K4784" s="2" t="s">
        <v>13748</v>
      </c>
      <c r="L4784">
        <v>4.8</v>
      </c>
      <c r="M4784">
        <v>21217</v>
      </c>
      <c r="O4784" t="s">
        <v>26</v>
      </c>
      <c r="P4784" t="s">
        <v>39</v>
      </c>
      <c r="Q4784" t="s">
        <v>11226</v>
      </c>
    </row>
    <row r="4785" spans="1:17" ht="15.75" x14ac:dyDescent="0.25">
      <c r="A4785" s="3" t="str">
        <f>HYPERLINK("https://shop.sonapharmacy.com/products/mueller%C2%AE-elastic-knee-support", "https://shop.sonapharmacy.com/products/mueller%C2%AE-elastic-knee-support")</f>
        <v>https://shop.sonapharmacy.com/products/mueller%C2%AE-elastic-knee-support</v>
      </c>
      <c r="B4785" s="3" t="str">
        <f>HYPERLINK("https://shop.sonapharmacy.com/products/mueller%c2%ae-elastic-knee-support", "https://shop.sonapharmacy.com/products/mueller%c2%ae-elastic-knee-support")</f>
        <v>https://shop.sonapharmacy.com/products/mueller%c2%ae-elastic-knee-support</v>
      </c>
      <c r="C4785" t="s">
        <v>13214</v>
      </c>
      <c r="D4785" t="s">
        <v>13749</v>
      </c>
      <c r="E4785" s="3" t="str">
        <f>HYPERLINK("https://www.amazon.com/Mueller-427-Elastic-Knee-Stabiliser/dp/B00OB5954M/ref=sr_1_5?keywords=Mueller%C2%AE+Elastic+Knee+Support&amp;qid=1695260506&amp;sr=8-5", "https://www.amazon.com/Mueller-427-Elastic-Knee-Stabiliser/dp/B00OB5954M/ref=sr_1_5?keywords=Mueller%C2%AE+Elastic+Knee+Support&amp;qid=1695260506&amp;sr=8-5")</f>
        <v>https://www.amazon.com/Mueller-427-Elastic-Knee-Stabiliser/dp/B00OB5954M/ref=sr_1_5?keywords=Mueller%C2%AE+Elastic+Knee+Support&amp;qid=1695260506&amp;sr=8-5</v>
      </c>
      <c r="F4785" t="s">
        <v>13750</v>
      </c>
      <c r="G4785" t="e">
        <f ca="1">IMAGE("https://shop.sonapharmacy.com/cdn/shop/products/unnamed_1.jpg?v=1609868967")</f>
        <v>#NAME?</v>
      </c>
      <c r="H4785" t="e">
        <f ca="1">IMAGE("https://m.media-amazon.com/images/I/615yj0m7UZL._AC_UL320_.jpg")</f>
        <v>#NAME?</v>
      </c>
      <c r="I4785" t="s">
        <v>4873</v>
      </c>
      <c r="J4785">
        <v>10</v>
      </c>
      <c r="K4785" s="2" t="s">
        <v>13751</v>
      </c>
      <c r="L4785">
        <v>4</v>
      </c>
      <c r="M4785">
        <v>20</v>
      </c>
      <c r="O4785" t="s">
        <v>26</v>
      </c>
      <c r="P4785" t="s">
        <v>39</v>
      </c>
      <c r="Q4785" t="s">
        <v>13218</v>
      </c>
    </row>
    <row r="4786" spans="1:17" ht="15.75" x14ac:dyDescent="0.25">
      <c r="A4786" s="3" t="str">
        <f>HYPERLINK("https://shop.sonapharmacy.com/products/now%C2%AE-bromelain-2400-gdu-g-500mg-capsules-60ct", "https://shop.sonapharmacy.com/products/now%C2%AE-bromelain-2400-gdu-g-500mg-capsules-60ct")</f>
        <v>https://shop.sonapharmacy.com/products/now%C2%AE-bromelain-2400-gdu-g-500mg-capsules-60ct</v>
      </c>
      <c r="B4786" s="3" t="str">
        <f>HYPERLINK("https://shop.sonapharmacy.com/products/now%c2%ae-bromelain-2400-gdu-g-500mg-capsules-60ct", "https://shop.sonapharmacy.com/products/now%c2%ae-bromelain-2400-gdu-g-500mg-capsules-60ct")</f>
        <v>https://shop.sonapharmacy.com/products/now%c2%ae-bromelain-2400-gdu-g-500mg-capsules-60ct</v>
      </c>
      <c r="C4786" t="s">
        <v>12908</v>
      </c>
      <c r="D4786" t="s">
        <v>13752</v>
      </c>
      <c r="E4786" s="3" t="str">
        <f>HYPERLINK("https://www.amazon.com/Amazing-Formulas-Bromelain-Capsules-Vegetarians/dp/B0BZJY1VNJ/ref=sr_1_6?keywords=NOW%C2%AE+Bromelain+2400+GDU%2Fg+500mg+Capsules+60ct.&amp;qid=1695260583&amp;sr=8-6", "https://www.amazon.com/Amazing-Formulas-Bromelain-Capsules-Vegetarians/dp/B0BZJY1VNJ/ref=sr_1_6?keywords=NOW%C2%AE+Bromelain+2400+GDU%2Fg+500mg+Capsules+60ct.&amp;qid=1695260583&amp;sr=8-6")</f>
        <v>https://www.amazon.com/Amazing-Formulas-Bromelain-Capsules-Vegetarians/dp/B0BZJY1VNJ/ref=sr_1_6?keywords=NOW%C2%AE+Bromelain+2400+GDU%2Fg+500mg+Capsules+60ct.&amp;qid=1695260583&amp;sr=8-6</v>
      </c>
      <c r="F4786" t="s">
        <v>13753</v>
      </c>
      <c r="G4786" t="e">
        <f ca="1">IMAGE("https://shop.sonapharmacy.com/cdn/shop/products/710EkiFhFhL._AC_SL1500.jpg?v=1611019920")</f>
        <v>#NAME?</v>
      </c>
      <c r="H4786" t="e">
        <f ca="1">IMAGE("https://m.media-amazon.com/images/I/61cdqqvkF6L._AC_UL320_.jpg")</f>
        <v>#NAME?</v>
      </c>
      <c r="I4786" t="s">
        <v>4814</v>
      </c>
      <c r="J4786">
        <v>17.989999999999998</v>
      </c>
      <c r="K4786" s="2" t="s">
        <v>3459</v>
      </c>
      <c r="L4786">
        <v>4.7</v>
      </c>
      <c r="M4786">
        <v>45</v>
      </c>
      <c r="O4786" t="s">
        <v>26</v>
      </c>
      <c r="P4786" t="s">
        <v>39</v>
      </c>
      <c r="Q4786" t="s">
        <v>12912</v>
      </c>
    </row>
    <row r="4787" spans="1:17" ht="15.75" x14ac:dyDescent="0.25">
      <c r="A4787" s="3" t="str">
        <f>HYPERLINK("https://shop.sonapharmacy.com/products/sun-bum%C2%AE-mineral-spf-30-sunscreen-face-lotion-1-7oz", "https://shop.sonapharmacy.com/products/sun-bum%C2%AE-mineral-spf-30-sunscreen-face-lotion-1-7oz")</f>
        <v>https://shop.sonapharmacy.com/products/sun-bum%C2%AE-mineral-spf-30-sunscreen-face-lotion-1-7oz</v>
      </c>
      <c r="B4787" s="3" t="str">
        <f>HYPERLINK("https://shop.sonapharmacy.com/products/sun-bum%c2%ae-mineral-spf-30-sunscreen-face-lotion-1-7oz", "https://shop.sonapharmacy.com/products/sun-bum%c2%ae-mineral-spf-30-sunscreen-face-lotion-1-7oz")</f>
        <v>https://shop.sonapharmacy.com/products/sun-bum%c2%ae-mineral-spf-30-sunscreen-face-lotion-1-7oz</v>
      </c>
      <c r="C4787" t="s">
        <v>13754</v>
      </c>
      <c r="D4787" t="s">
        <v>13755</v>
      </c>
      <c r="E4787" s="3" t="str">
        <f>HYPERLINK("https://www.amazon.com/Hawaiian-Tropic-Mineral-Lotion-Ounces/dp/B08Q2XSHLS/ref=sr_1_7?keywords=Sun+Bum%C2%AE+Mineral+SPF+30+Sunscreen+Face+Lotion+1.7oz&amp;qid=1695260737&amp;sr=8-7", "https://www.amazon.com/Hawaiian-Tropic-Mineral-Lotion-Ounces/dp/B08Q2XSHLS/ref=sr_1_7?keywords=Sun+Bum%C2%AE+Mineral+SPF+30+Sunscreen+Face+Lotion+1.7oz&amp;qid=1695260737&amp;sr=8-7")</f>
        <v>https://www.amazon.com/Hawaiian-Tropic-Mineral-Lotion-Ounces/dp/B08Q2XSHLS/ref=sr_1_7?keywords=Sun+Bum%C2%AE+Mineral+SPF+30+Sunscreen+Face+Lotion+1.7oz&amp;qid=1695260737&amp;sr=8-7</v>
      </c>
      <c r="F4787" t="s">
        <v>13756</v>
      </c>
      <c r="G4787" t="e">
        <f ca="1">IMAGE("https://shop.sonapharmacy.com/cdn/shop/products/61DhxwWoJkL._SL1500__1_ce4ad1dc-df2a-4766-bacc-3725f22a517d.jpg?v=1629232942")</f>
        <v>#NAME?</v>
      </c>
      <c r="H4787" t="e">
        <f ca="1">IMAGE("https://m.media-amazon.com/images/I/71Gz1XUG4zL._AC_UL320_.jpg")</f>
        <v>#NAME?</v>
      </c>
      <c r="I4787" t="s">
        <v>4814</v>
      </c>
      <c r="J4787">
        <v>17.989999999999998</v>
      </c>
      <c r="K4787" s="2" t="s">
        <v>3459</v>
      </c>
      <c r="L4787">
        <v>4</v>
      </c>
      <c r="M4787">
        <v>448</v>
      </c>
      <c r="O4787" t="s">
        <v>26</v>
      </c>
      <c r="P4787" t="s">
        <v>39</v>
      </c>
      <c r="Q4787" t="s">
        <v>13757</v>
      </c>
    </row>
    <row r="4788" spans="1:17" ht="15.75" x14ac:dyDescent="0.25">
      <c r="A4788" s="3" t="str">
        <f>HYPERLINK("https://shop.sonapharmacy.com/products/eos%C2%AE-strawberry-sorbet-lip-balm", "https://shop.sonapharmacy.com/products/eos%C2%AE-strawberry-sorbet-lip-balm")</f>
        <v>https://shop.sonapharmacy.com/products/eos%C2%AE-strawberry-sorbet-lip-balm</v>
      </c>
      <c r="B4788" s="3" t="str">
        <f>HYPERLINK("https://shop.sonapharmacy.com/products/eos%c2%ae-strawberry-sorbet-lip-balm", "https://shop.sonapharmacy.com/products/eos%c2%ae-strawberry-sorbet-lip-balm")</f>
        <v>https://shop.sonapharmacy.com/products/eos%c2%ae-strawberry-sorbet-lip-balm</v>
      </c>
      <c r="C4788" t="s">
        <v>8408</v>
      </c>
      <c r="D4788" t="s">
        <v>13758</v>
      </c>
      <c r="E4788" s="3" t="str">
        <f>HYPERLINK("https://www.amazon.com/eos-Organic-Lip-Balm-Sphere/dp/B006WQF3B2/ref=sr_1_3?keywords=EOS%C2%AE+Strawberry+Sorbet+Lip+Balm&amp;qid=1695260249&amp;sr=8-3", "https://www.amazon.com/eos-Organic-Lip-Balm-Sphere/dp/B006WQF3B2/ref=sr_1_3?keywords=EOS%C2%AE+Strawberry+Sorbet+Lip+Balm&amp;qid=1695260249&amp;sr=8-3")</f>
        <v>https://www.amazon.com/eos-Organic-Lip-Balm-Sphere/dp/B006WQF3B2/ref=sr_1_3?keywords=EOS%C2%AE+Strawberry+Sorbet+Lip+Balm&amp;qid=1695260249&amp;sr=8-3</v>
      </c>
      <c r="F4788" t="s">
        <v>13759</v>
      </c>
      <c r="G4788" t="e">
        <f ca="1">IMAGE("https://shop.sonapharmacy.com/cdn/shop/products/892992002847-1a_VB__70684.1610588860.jpg?v=1610642796")</f>
        <v>#NAME?</v>
      </c>
      <c r="H4788" t="e">
        <f ca="1">IMAGE("https://m.media-amazon.com/images/I/71r0Ep8tJKL._AC_UL320_.jpg")</f>
        <v>#NAME?</v>
      </c>
      <c r="I4788" t="s">
        <v>8411</v>
      </c>
      <c r="J4788">
        <v>3.99</v>
      </c>
      <c r="K4788" s="2" t="s">
        <v>3459</v>
      </c>
      <c r="L4788">
        <v>4.5999999999999996</v>
      </c>
      <c r="M4788">
        <v>55428</v>
      </c>
      <c r="O4788" t="s">
        <v>26</v>
      </c>
      <c r="P4788" t="s">
        <v>39</v>
      </c>
      <c r="Q4788" t="s">
        <v>8413</v>
      </c>
    </row>
    <row r="4789" spans="1:17" ht="15.75" x14ac:dyDescent="0.25">
      <c r="A4789" s="3" t="str">
        <f>HYPERLINK("https://shop.sonapharmacy.com/products/sunbum%C2%AE-original-spf-30-sunscreen-spray-6oz", "https://shop.sonapharmacy.com/products/sunbum%C2%AE-original-spf-30-sunscreen-spray-6oz")</f>
        <v>https://shop.sonapharmacy.com/products/sunbum%C2%AE-original-spf-30-sunscreen-spray-6oz</v>
      </c>
      <c r="B4789" s="3" t="str">
        <f>HYPERLINK("https://shop.sonapharmacy.com/products/sunbum%c2%ae-original-spf-30-sunscreen-spray-6oz", "https://shop.sonapharmacy.com/products/sunbum%c2%ae-original-spf-30-sunscreen-spray-6oz")</f>
        <v>https://shop.sonapharmacy.com/products/sunbum%c2%ae-original-spf-30-sunscreen-spray-6oz</v>
      </c>
      <c r="C4789" t="s">
        <v>10206</v>
      </c>
      <c r="D4789" t="s">
        <v>13760</v>
      </c>
      <c r="E4789" s="3" t="str">
        <f>HYPERLINK("https://www.amazon.com/Sun-Bum-Sunscreen-Octinoxate-Oxybenzone/dp/B08PMKDCPN/ref=sr_1_6?keywords=Sun+Bum%C2%AE+Original+SPF+30+Sunscreen+Spray+6oz.&amp;qid=1695260749&amp;sr=8-6", "https://www.amazon.com/Sun-Bum-Sunscreen-Octinoxate-Oxybenzone/dp/B08PMKDCPN/ref=sr_1_6?keywords=Sun+Bum%C2%AE+Original+SPF+30+Sunscreen+Spray+6oz.&amp;qid=1695260749&amp;sr=8-6")</f>
        <v>https://www.amazon.com/Sun-Bum-Sunscreen-Octinoxate-Oxybenzone/dp/B08PMKDCPN/ref=sr_1_6?keywords=Sun+Bum%C2%AE+Original+SPF+30+Sunscreen+Spray+6oz.&amp;qid=1695260749&amp;sr=8-6</v>
      </c>
      <c r="F4789" t="s">
        <v>13761</v>
      </c>
      <c r="G4789" t="e">
        <f ca="1">IMAGE("https://shop.sonapharmacy.com/cdn/shop/products/71Z-XuOhvOL._AC_SL1500.jpg?v=1611870033")</f>
        <v>#NAME?</v>
      </c>
      <c r="H4789" t="e">
        <f ca="1">IMAGE("https://m.media-amazon.com/images/I/41U8xXhNCgL._AC_UL320_.jpg")</f>
        <v>#NAME?</v>
      </c>
      <c r="I4789" t="s">
        <v>3394</v>
      </c>
      <c r="J4789">
        <v>15.99</v>
      </c>
      <c r="K4789" s="2" t="s">
        <v>3459</v>
      </c>
      <c r="L4789">
        <v>4.5999999999999996</v>
      </c>
      <c r="M4789">
        <v>1302</v>
      </c>
      <c r="O4789" t="s">
        <v>26</v>
      </c>
      <c r="P4789" t="s">
        <v>39</v>
      </c>
      <c r="Q4789" t="s">
        <v>10210</v>
      </c>
    </row>
    <row r="4790" spans="1:17" ht="15.75" x14ac:dyDescent="0.25">
      <c r="A4790" s="3" t="str">
        <f>HYPERLINK("https://shop.sonapharmacy.com/products/americaine-benzocaine-topical-anesthetic-spray-2-fl-oz", "https://shop.sonapharmacy.com/products/americaine-benzocaine-topical-anesthetic-spray-2-fl-oz")</f>
        <v>https://shop.sonapharmacy.com/products/americaine-benzocaine-topical-anesthetic-spray-2-fl-oz</v>
      </c>
      <c r="B4790" s="3" t="str">
        <f>HYPERLINK("https://shop.sonapharmacy.com/products/americaine-benzocaine-topical-anesthetic-spray-2-fl-oz", "https://shop.sonapharmacy.com/products/americaine-benzocaine-topical-anesthetic-spray-2-fl-oz")</f>
        <v>https://shop.sonapharmacy.com/products/americaine-benzocaine-topical-anesthetic-spray-2-fl-oz</v>
      </c>
      <c r="C4790" t="s">
        <v>9183</v>
      </c>
      <c r="D4790" t="s">
        <v>13762</v>
      </c>
      <c r="E4790" s="3" t="str">
        <f>HYPERLINK("https://www.amazon.com/Americane-Hospital-Strength-Benzocaine-Anesthetic/dp/B000UDN87E/ref=sr_1_1?keywords=Americaine+Benzocaine+Topical+Anesthetic+Spray+2+fl.+oz.&amp;qid=1695260003&amp;rdc=1&amp;sr=8-1", "https://www.amazon.com/Americane-Hospital-Strength-Benzocaine-Anesthetic/dp/B000UDN87E/ref=sr_1_1?keywords=Americaine+Benzocaine+Topical+Anesthetic+Spray+2+fl.+oz.&amp;qid=1695260003&amp;rdc=1&amp;sr=8-1")</f>
        <v>https://www.amazon.com/Americane-Hospital-Strength-Benzocaine-Anesthetic/dp/B000UDN87E/ref=sr_1_1?keywords=Americaine+Benzocaine+Topical+Anesthetic+Spray+2+fl.+oz.&amp;qid=1695260003&amp;rdc=1&amp;sr=8-1</v>
      </c>
      <c r="F4790" t="s">
        <v>13763</v>
      </c>
      <c r="G4790" t="e">
        <f ca="1">IMAGE("https://shop.sonapharmacy.com/cdn/shop/products/410yvWTaP7L._AC.jpg?v=1607971628")</f>
        <v>#NAME?</v>
      </c>
      <c r="H4790" t="e">
        <f ca="1">IMAGE("https://m.media-amazon.com/images/I/61+WDhFJbpL._AC_UY218_.jpg")</f>
        <v>#NAME?</v>
      </c>
      <c r="I4790" t="s">
        <v>9137</v>
      </c>
      <c r="J4790">
        <v>7.49</v>
      </c>
      <c r="K4790" s="2" t="s">
        <v>3459</v>
      </c>
      <c r="L4790">
        <v>4.5</v>
      </c>
      <c r="M4790">
        <v>2619</v>
      </c>
      <c r="O4790" t="s">
        <v>26</v>
      </c>
      <c r="P4790" t="s">
        <v>39</v>
      </c>
      <c r="Q4790" t="s">
        <v>9187</v>
      </c>
    </row>
    <row r="4791" spans="1:17" ht="15.75" x14ac:dyDescent="0.25">
      <c r="A4791" s="3" t="str">
        <f>HYPERLINK("https://shop.sonapharmacy.com/products/norms-farms-elderberry-wellness-syrup-8oz", "https://shop.sonapharmacy.com/products/norms-farms-elderberry-wellness-syrup-8oz")</f>
        <v>https://shop.sonapharmacy.com/products/norms-farms-elderberry-wellness-syrup-8oz</v>
      </c>
      <c r="B4791" s="3" t="str">
        <f>HYPERLINK("https://shop.sonapharmacy.com/products/norms-farms-elderberry-wellness-syrup-8oz", "https://shop.sonapharmacy.com/products/norms-farms-elderberry-wellness-syrup-8oz")</f>
        <v>https://shop.sonapharmacy.com/products/norms-farms-elderberry-wellness-syrup-8oz</v>
      </c>
      <c r="C4791" t="s">
        <v>11575</v>
      </c>
      <c r="D4791" t="s">
        <v>13764</v>
      </c>
      <c r="E4791" s="3" t="str">
        <f>HYPERLINK("https://www.amazon.com/Norms-Natural-Soothing-Elderberry-Wellness/dp/B01942NPGK/ref=sr_1_1?keywords=Norm%27s+Farms+Elderberry+Wellness+Syrup+8oz&amp;qid=1695260593&amp;sr=8-1", "https://www.amazon.com/Norms-Natural-Soothing-Elderberry-Wellness/dp/B01942NPGK/ref=sr_1_1?keywords=Norm%27s+Farms+Elderberry+Wellness+Syrup+8oz&amp;qid=1695260593&amp;sr=8-1")</f>
        <v>https://www.amazon.com/Norms-Natural-Soothing-Elderberry-Wellness/dp/B01942NPGK/ref=sr_1_1?keywords=Norm%27s+Farms+Elderberry+Wellness+Syrup+8oz&amp;qid=1695260593&amp;sr=8-1</v>
      </c>
      <c r="F4791" t="s">
        <v>13765</v>
      </c>
      <c r="G4791" t="e">
        <f ca="1">IMAGE("https://shop.sonapharmacy.com/cdn/shop/products/NormsFarmsEldWellFront.png?v=1605980347")</f>
        <v>#NAME?</v>
      </c>
      <c r="H4791" t="e">
        <f ca="1">IMAGE("https://m.media-amazon.com/images/I/51EDYbRX6GL._AC_UL320_.jpg")</f>
        <v>#NAME?</v>
      </c>
      <c r="I4791" t="s">
        <v>3458</v>
      </c>
      <c r="J4791">
        <v>19.989999999999998</v>
      </c>
      <c r="K4791" s="2" t="s">
        <v>3459</v>
      </c>
      <c r="L4791">
        <v>4.5999999999999996</v>
      </c>
      <c r="M4791">
        <v>420</v>
      </c>
      <c r="O4791" t="s">
        <v>26</v>
      </c>
      <c r="P4791" t="s">
        <v>39</v>
      </c>
      <c r="Q4791" t="s">
        <v>11578</v>
      </c>
    </row>
    <row r="4792" spans="1:17" ht="15.75" x14ac:dyDescent="0.25">
      <c r="A4792" s="3" t="str">
        <f>HYPERLINK("https://shop.sonapharmacy.com/products/theraslim", "https://shop.sonapharmacy.com/products/theraslim")</f>
        <v>https://shop.sonapharmacy.com/products/theraslim</v>
      </c>
      <c r="B4792" s="3" t="str">
        <f>HYPERLINK("https://shop.sonapharmacy.com/products/theraslim", "https://shop.sonapharmacy.com/products/theraslim")</f>
        <v>https://shop.sonapharmacy.com/products/theraslim</v>
      </c>
      <c r="C4792" t="s">
        <v>9845</v>
      </c>
      <c r="D4792" t="s">
        <v>13766</v>
      </c>
      <c r="E4792" s="3" t="str">
        <f>HYPERLINK("https://www.amazon.com/Klaire-Labs-Vital-Immune-Biotic-Hypoallergenic/dp/B004KQGIXI/ref=sr_1_6?keywords=Klaire+Labs+Theraslim+Capsules&amp;qid=1695260437&amp;sr=8-6", "https://www.amazon.com/Klaire-Labs-Vital-Immune-Biotic-Hypoallergenic/dp/B004KQGIXI/ref=sr_1_6?keywords=Klaire+Labs+Theraslim+Capsules&amp;qid=1695260437&amp;sr=8-6")</f>
        <v>https://www.amazon.com/Klaire-Labs-Vital-Immune-Biotic-Hypoallergenic/dp/B004KQGIXI/ref=sr_1_6?keywords=Klaire+Labs+Theraslim+Capsules&amp;qid=1695260437&amp;sr=8-6</v>
      </c>
      <c r="F4792" t="s">
        <v>13767</v>
      </c>
      <c r="G4792" t="e">
        <f ca="1">IMAGE("https://shop.sonapharmacy.com/cdn/shop/products/61UgGn_O7ML._AC_SL1500.jpg?v=1609358113")</f>
        <v>#NAME?</v>
      </c>
      <c r="H4792" t="e">
        <f ca="1">IMAGE("https://m.media-amazon.com/images/I/61C0QSuUCAL._AC_UL320_.jpg")</f>
        <v>#NAME?</v>
      </c>
      <c r="I4792" t="s">
        <v>3544</v>
      </c>
      <c r="J4792">
        <v>25.99</v>
      </c>
      <c r="K4792" s="2" t="s">
        <v>3459</v>
      </c>
      <c r="L4792">
        <v>4.7</v>
      </c>
      <c r="M4792">
        <v>65</v>
      </c>
      <c r="O4792" t="s">
        <v>26</v>
      </c>
      <c r="P4792" t="s">
        <v>39</v>
      </c>
      <c r="Q4792" t="s">
        <v>9849</v>
      </c>
    </row>
    <row r="4793" spans="1:17" ht="15.75" x14ac:dyDescent="0.25">
      <c r="A4793" s="3" t="str">
        <f>HYPERLINK("https://shop.sonapharmacy.com/products/theraslim", "https://shop.sonapharmacy.com/products/theraslim")</f>
        <v>https://shop.sonapharmacy.com/products/theraslim</v>
      </c>
      <c r="B4793" s="3" t="str">
        <f>HYPERLINK("https://shop.sonapharmacy.com/products/theraslim", "https://shop.sonapharmacy.com/products/theraslim")</f>
        <v>https://shop.sonapharmacy.com/products/theraslim</v>
      </c>
      <c r="C4793" t="s">
        <v>9845</v>
      </c>
      <c r="D4793" t="s">
        <v>13768</v>
      </c>
      <c r="E4793" s="3" t="str">
        <f>HYPERLINK("https://www.amazon.com/Klaire-Labs-ProThera-Theraslim-Vegetarian/dp/B00JVYQY74/ref=sr_1_1?keywords=Klaire+Labs+Theraslim+Capsules&amp;qid=1695260437&amp;sr=8-1", "https://www.amazon.com/Klaire-Labs-ProThera-Theraslim-Vegetarian/dp/B00JVYQY74/ref=sr_1_1?keywords=Klaire+Labs+Theraslim+Capsules&amp;qid=1695260437&amp;sr=8-1")</f>
        <v>https://www.amazon.com/Klaire-Labs-ProThera-Theraslim-Vegetarian/dp/B00JVYQY74/ref=sr_1_1?keywords=Klaire+Labs+Theraslim+Capsules&amp;qid=1695260437&amp;sr=8-1</v>
      </c>
      <c r="F4793" t="s">
        <v>13769</v>
      </c>
      <c r="G4793" t="e">
        <f ca="1">IMAGE("https://shop.sonapharmacy.com/cdn/shop/products/61UgGn_O7ML._AC_SL1500.jpg?v=1609358113")</f>
        <v>#NAME?</v>
      </c>
      <c r="H4793" t="e">
        <f ca="1">IMAGE("https://m.media-amazon.com/images/I/61UgGn+O7ML._AC_UL320_.jpg")</f>
        <v>#NAME?</v>
      </c>
      <c r="I4793" t="s">
        <v>3544</v>
      </c>
      <c r="J4793">
        <v>25.99</v>
      </c>
      <c r="K4793" s="2" t="s">
        <v>3459</v>
      </c>
      <c r="L4793">
        <v>4.2</v>
      </c>
      <c r="M4793">
        <v>40</v>
      </c>
      <c r="O4793" t="s">
        <v>26</v>
      </c>
      <c r="P4793" t="s">
        <v>39</v>
      </c>
      <c r="Q4793" t="s">
        <v>9849</v>
      </c>
    </row>
    <row r="4794" spans="1:17" ht="15.75" x14ac:dyDescent="0.25">
      <c r="A4794" s="3" t="str">
        <f>HYPERLINK("https://shop.sonapharmacy.com/products/sun-bum%C2%AE-mineral-spf-30-tinted-sunscreen-face-lotion-1-7oz", "https://shop.sonapharmacy.com/products/sun-bum%C2%AE-mineral-spf-30-tinted-sunscreen-face-lotion-1-7oz")</f>
        <v>https://shop.sonapharmacy.com/products/sun-bum%C2%AE-mineral-spf-30-tinted-sunscreen-face-lotion-1-7oz</v>
      </c>
      <c r="B4794" s="3" t="str">
        <f>HYPERLINK("https://shop.sonapharmacy.com/products/sun-bum%c2%ae-mineral-spf-30-tinted-sunscreen-face-lotion-1-7oz", "https://shop.sonapharmacy.com/products/sun-bum%c2%ae-mineral-spf-30-tinted-sunscreen-face-lotion-1-7oz")</f>
        <v>https://shop.sonapharmacy.com/products/sun-bum%c2%ae-mineral-spf-30-tinted-sunscreen-face-lotion-1-7oz</v>
      </c>
      <c r="C4794" t="s">
        <v>11258</v>
      </c>
      <c r="D4794" t="s">
        <v>13755</v>
      </c>
      <c r="E4794" s="3" t="str">
        <f>HYPERLINK("https://www.amazon.com/Hawaiian-Tropic-Mineral-Lotion-Ounces/dp/B08Q2XSHLS/ref=sr_1_2?keywords=Sun+Bum%C2%AE+Mineral+SPF+30+Tinted+Sunscreen+Face+Lotion+1.7oz&amp;qid=1695260766&amp;sr=8-2", "https://www.amazon.com/Hawaiian-Tropic-Mineral-Lotion-Ounces/dp/B08Q2XSHLS/ref=sr_1_2?keywords=Sun+Bum%C2%AE+Mineral+SPF+30+Tinted+Sunscreen+Face+Lotion+1.7oz&amp;qid=1695260766&amp;sr=8-2")</f>
        <v>https://www.amazon.com/Hawaiian-Tropic-Mineral-Lotion-Ounces/dp/B08Q2XSHLS/ref=sr_1_2?keywords=Sun+Bum%C2%AE+Mineral+SPF+30+Tinted+Sunscreen+Face+Lotion+1.7oz&amp;qid=1695260766&amp;sr=8-2</v>
      </c>
      <c r="F4794" t="s">
        <v>13756</v>
      </c>
      <c r="G4794" t="e">
        <f ca="1">IMAGE("https://shop.sonapharmacy.com/cdn/shop/products/sunbum12389mineral.jpg?v=1629233395")</f>
        <v>#NAME?</v>
      </c>
      <c r="H4794" t="e">
        <f ca="1">IMAGE("https://m.media-amazon.com/images/I/71Gz1XUG4zL._AC_UL320_.jpg")</f>
        <v>#NAME?</v>
      </c>
      <c r="I4794" t="s">
        <v>4814</v>
      </c>
      <c r="J4794">
        <v>17.989999999999998</v>
      </c>
      <c r="K4794" s="2" t="s">
        <v>3459</v>
      </c>
      <c r="L4794">
        <v>4</v>
      </c>
      <c r="M4794">
        <v>448</v>
      </c>
      <c r="O4794" t="s">
        <v>26</v>
      </c>
      <c r="P4794" t="s">
        <v>39</v>
      </c>
      <c r="Q4794" t="s">
        <v>11262</v>
      </c>
    </row>
    <row r="4795" spans="1:17" ht="15.75" x14ac:dyDescent="0.25">
      <c r="A4795" s="3" t="str">
        <f>HYPERLINK("https://shop.sonapharmacy.com/products/prilosec-otc%C2%AE-delayed-release-acid-reducer-tablets", "https://shop.sonapharmacy.com/products/prilosec-otc%C2%AE-delayed-release-acid-reducer-tablets")</f>
        <v>https://shop.sonapharmacy.com/products/prilosec-otc%C2%AE-delayed-release-acid-reducer-tablets</v>
      </c>
      <c r="B4795" s="3" t="str">
        <f>HYPERLINK("https://shop.sonapharmacy.com/products/prilosec-otc%c2%ae-delayed-release-acid-reducer-tablets", "https://shop.sonapharmacy.com/products/prilosec-otc%c2%ae-delayed-release-acid-reducer-tablets")</f>
        <v>https://shop.sonapharmacy.com/products/prilosec-otc%c2%ae-delayed-release-acid-reducer-tablets</v>
      </c>
      <c r="C4795" t="s">
        <v>9744</v>
      </c>
      <c r="D4795" t="s">
        <v>13770</v>
      </c>
      <c r="E4795" s="3" t="str">
        <f>HYPERLINK("https://www.amazon.com/Omeprazole-Tablets-Delayed-Release-20mg-Reducer/dp/B08F72WMNQ/ref=sr_1_4?keywords=Prilosec+OTC%C2%AE+Delayed+Release+Acid+Reducer+Tablets&amp;qid=1695260683&amp;sr=8-4", "https://www.amazon.com/Omeprazole-Tablets-Delayed-Release-20mg-Reducer/dp/B08F72WMNQ/ref=sr_1_4?keywords=Prilosec+OTC%C2%AE+Delayed+Release+Acid+Reducer+Tablets&amp;qid=1695260683&amp;sr=8-4")</f>
        <v>https://www.amazon.com/Omeprazole-Tablets-Delayed-Release-20mg-Reducer/dp/B08F72WMNQ/ref=sr_1_4?keywords=Prilosec+OTC%C2%AE+Delayed+Release+Acid+Reducer+Tablets&amp;qid=1695260683&amp;sr=8-4</v>
      </c>
      <c r="F4795" t="s">
        <v>13771</v>
      </c>
      <c r="G4795" t="e">
        <f ca="1">IMAGE("https://shop.sonapharmacy.com/cdn/shop/products/81ogWiPVy2L._AC_SL1500.jpg?v=1611026906")</f>
        <v>#NAME?</v>
      </c>
      <c r="H4795" t="e">
        <f ca="1">IMAGE("https://m.media-amazon.com/images/I/71lSQBs5c7S._AC_UL320_.jpg")</f>
        <v>#NAME?</v>
      </c>
      <c r="I4795" t="s">
        <v>9258</v>
      </c>
      <c r="J4795">
        <v>11.99</v>
      </c>
      <c r="K4795" s="2" t="s">
        <v>3459</v>
      </c>
      <c r="L4795">
        <v>4.8</v>
      </c>
      <c r="M4795">
        <v>8871</v>
      </c>
      <c r="O4795" t="s">
        <v>26</v>
      </c>
      <c r="P4795" t="s">
        <v>39</v>
      </c>
      <c r="Q4795" t="s">
        <v>9748</v>
      </c>
    </row>
    <row r="4796" spans="1:17" ht="15.75" x14ac:dyDescent="0.25">
      <c r="A4796" s="3" t="str">
        <f>HYPERLINK("https://shop.sonapharmacy.com/products/differin%C2%AE-gel-adapalene-gel-0-1-acne-treatment", "https://shop.sonapharmacy.com/products/differin%C2%AE-gel-adapalene-gel-0-1-acne-treatment")</f>
        <v>https://shop.sonapharmacy.com/products/differin%C2%AE-gel-adapalene-gel-0-1-acne-treatment</v>
      </c>
      <c r="B4796" s="3" t="str">
        <f>HYPERLINK("https://shop.sonapharmacy.com/products/differin%c2%ae-gel-adapalene-gel-0-1-acne-treatment", "https://shop.sonapharmacy.com/products/differin%c2%ae-gel-adapalene-gel-0-1-acne-treatment")</f>
        <v>https://shop.sonapharmacy.com/products/differin%c2%ae-gel-adapalene-gel-0-1-acne-treatment</v>
      </c>
      <c r="C4796" t="s">
        <v>10863</v>
      </c>
      <c r="D4796" t="s">
        <v>13772</v>
      </c>
      <c r="E4796" s="3" t="str">
        <f>HYPERLINK("https://www.amazon.com/Differin-Adapalene-0-1-Acne-Treatment/dp/B07L1PHSY9/ref=sr_1_1?keywords=Differin%C2%AE+Gel+Adapalene+Gel+0.1%25+Acne+Treatment&amp;qid=1695260198&amp;sr=8-1", "https://www.amazon.com/Differin-Adapalene-0-1-Acne-Treatment/dp/B07L1PHSY9/ref=sr_1_1?keywords=Differin%C2%AE+Gel+Adapalene+Gel+0.1%25+Acne+Treatment&amp;qid=1695260198&amp;sr=8-1")</f>
        <v>https://www.amazon.com/Differin-Adapalene-0-1-Acne-Treatment/dp/B07L1PHSY9/ref=sr_1_1?keywords=Differin%C2%AE+Gel+Adapalene+Gel+0.1%25+Acne+Treatment&amp;qid=1695260198&amp;sr=8-1</v>
      </c>
      <c r="F4796" t="s">
        <v>13773</v>
      </c>
      <c r="G4796" t="e">
        <f ca="1">IMAGE("https://shop.sonapharmacy.com/cdn/shop/products/5oz.jpg?v=1608302260")</f>
        <v>#NAME?</v>
      </c>
      <c r="H4796" t="e">
        <f ca="1">IMAGE("https://m.media-amazon.com/images/I/71PKFdvUWjL._AC_UY218_.jpg")</f>
        <v>#NAME?</v>
      </c>
      <c r="I4796" t="s">
        <v>3419</v>
      </c>
      <c r="J4796">
        <v>14.97</v>
      </c>
      <c r="K4796" s="2" t="s">
        <v>13774</v>
      </c>
      <c r="L4796">
        <v>4.5</v>
      </c>
      <c r="M4796">
        <v>54543</v>
      </c>
      <c r="O4796" t="s">
        <v>26</v>
      </c>
      <c r="P4796" t="s">
        <v>39</v>
      </c>
      <c r="Q4796" t="s">
        <v>10867</v>
      </c>
    </row>
    <row r="4797" spans="1:17" ht="15.75" x14ac:dyDescent="0.25">
      <c r="A4797" s="3" t="str">
        <f>HYPERLINK("https://shop.sonapharmacy.com/products/natural-vitality%C2%AE-calm-magnesium-supplement-raspberry-lemon-powder-8oz", "https://shop.sonapharmacy.com/products/natural-vitality%C2%AE-calm-magnesium-supplement-raspberry-lemon-powder-8oz")</f>
        <v>https://shop.sonapharmacy.com/products/natural-vitality%C2%AE-calm-magnesium-supplement-raspberry-lemon-powder-8oz</v>
      </c>
      <c r="B4797" s="3" t="str">
        <f>HYPERLINK("https://shop.sonapharmacy.com/products/natural-vitality%c2%ae-calm-magnesium-supplement-raspberry-lemon-powder-8oz", "https://shop.sonapharmacy.com/products/natural-vitality%c2%ae-calm-magnesium-supplement-raspberry-lemon-powder-8oz")</f>
        <v>https://shop.sonapharmacy.com/products/natural-vitality%c2%ae-calm-magnesium-supplement-raspberry-lemon-powder-8oz</v>
      </c>
      <c r="C4797" t="s">
        <v>11279</v>
      </c>
      <c r="D4797" t="s">
        <v>13775</v>
      </c>
      <c r="E4797" s="3" t="str">
        <f>HYPERLINK("https://www.amazon.com/Natural-Vitality-Supplement-Raspberry-Lemon/dp/B000OQ2DJQ/ref=sr_1_1?keywords=Natural+Vitality%C2%AE+CALM+Magnesium+Supplement+Raspberry-Lemon+Powder+8oz.&amp;qid=1695260522&amp;sr=8-1", "https://www.amazon.com/Natural-Vitality-Supplement-Raspberry-Lemon/dp/B000OQ2DJQ/ref=sr_1_1?keywords=Natural+Vitality%C2%AE+CALM+Magnesium+Supplement+Raspberry-Lemon+Powder+8oz.&amp;qid=1695260522&amp;sr=8-1")</f>
        <v>https://www.amazon.com/Natural-Vitality-Supplement-Raspberry-Lemon/dp/B000OQ2DJQ/ref=sr_1_1?keywords=Natural+Vitality%C2%AE+CALM+Magnesium+Supplement+Raspberry-Lemon+Powder+8oz.&amp;qid=1695260522&amp;sr=8-1</v>
      </c>
      <c r="F4797" t="s">
        <v>13776</v>
      </c>
      <c r="G4797" t="e">
        <f ca="1">IMAGE("https://shop.sonapharmacy.com/cdn/shop/products/53ba39ee-f0fe-4ad1-987f-3f943ef74b6e.cddadaee066a3c33345682b8472c7f72.jpg?v=1611021342")</f>
        <v>#NAME?</v>
      </c>
      <c r="H4797" t="e">
        <f ca="1">IMAGE("https://m.media-amazon.com/images/I/71aonTwSOmL._AC_UL320_.jpg")</f>
        <v>#NAME?</v>
      </c>
      <c r="I4797" t="s">
        <v>11282</v>
      </c>
      <c r="J4797">
        <v>23.9</v>
      </c>
      <c r="K4797" s="2" t="s">
        <v>13777</v>
      </c>
      <c r="L4797">
        <v>4.5</v>
      </c>
      <c r="M4797">
        <v>3772</v>
      </c>
      <c r="O4797" t="s">
        <v>26</v>
      </c>
      <c r="P4797" t="s">
        <v>39</v>
      </c>
      <c r="Q4797" t="s">
        <v>11284</v>
      </c>
    </row>
    <row r="4798" spans="1:17" ht="15.75" x14ac:dyDescent="0.25">
      <c r="A4798" s="3" t="str">
        <f>HYPERLINK("https://shop.sonapharmacy.com/products/sun-bum%C2%AE-mineral-spf-30-tinted-sunscreen-face-lotion-1-7oz", "https://shop.sonapharmacy.com/products/sun-bum%C2%AE-mineral-spf-30-tinted-sunscreen-face-lotion-1-7oz")</f>
        <v>https://shop.sonapharmacy.com/products/sun-bum%C2%AE-mineral-spf-30-tinted-sunscreen-face-lotion-1-7oz</v>
      </c>
      <c r="B4798" s="3" t="str">
        <f>HYPERLINK("https://shop.sonapharmacy.com/products/sun-bum%c2%ae-mineral-spf-30-tinted-sunscreen-face-lotion-1-7oz", "https://shop.sonapharmacy.com/products/sun-bum%c2%ae-mineral-spf-30-tinted-sunscreen-face-lotion-1-7oz")</f>
        <v>https://shop.sonapharmacy.com/products/sun-bum%c2%ae-mineral-spf-30-tinted-sunscreen-face-lotion-1-7oz</v>
      </c>
      <c r="C4798" t="s">
        <v>11258</v>
      </c>
      <c r="D4798" t="s">
        <v>13778</v>
      </c>
      <c r="E4798" s="3" t="str">
        <f>HYPERLINK("https://www.amazon.com/Sun-Bum-Sunscreen-Protection-Hypoallergenic/dp/B072QYD2P4/ref=sr_1_1?keywords=Sun+Bum%C2%AE+Mineral+SPF+30+Tinted+Sunscreen+Face+Lotion+1.7oz&amp;qid=1695260766&amp;rdc=1&amp;sr=8-1", "https://www.amazon.com/Sun-Bum-Sunscreen-Protection-Hypoallergenic/dp/B072QYD2P4/ref=sr_1_1?keywords=Sun+Bum%C2%AE+Mineral+SPF+30+Tinted+Sunscreen+Face+Lotion+1.7oz&amp;qid=1695260766&amp;rdc=1&amp;sr=8-1")</f>
        <v>https://www.amazon.com/Sun-Bum-Sunscreen-Protection-Hypoallergenic/dp/B072QYD2P4/ref=sr_1_1?keywords=Sun+Bum%C2%AE+Mineral+SPF+30+Tinted+Sunscreen+Face+Lotion+1.7oz&amp;qid=1695260766&amp;rdc=1&amp;sr=8-1</v>
      </c>
      <c r="F4798" t="s">
        <v>13779</v>
      </c>
      <c r="G4798" t="e">
        <f ca="1">IMAGE("https://shop.sonapharmacy.com/cdn/shop/products/sunbum12389mineral.jpg?v=1629233395")</f>
        <v>#NAME?</v>
      </c>
      <c r="H4798" t="e">
        <f ca="1">IMAGE("https://m.media-amazon.com/images/I/51kE2PidvjL._AC_UL320_.jpg")</f>
        <v>#NAME?</v>
      </c>
      <c r="I4798" t="s">
        <v>4814</v>
      </c>
      <c r="J4798">
        <v>17.940000000000001</v>
      </c>
      <c r="K4798" s="2" t="s">
        <v>13780</v>
      </c>
      <c r="L4798">
        <v>4.5</v>
      </c>
      <c r="M4798">
        <v>4809</v>
      </c>
      <c r="O4798" t="s">
        <v>26</v>
      </c>
      <c r="P4798" t="s">
        <v>39</v>
      </c>
      <c r="Q4798" t="s">
        <v>11262</v>
      </c>
    </row>
    <row r="4799" spans="1:17" ht="15.75" x14ac:dyDescent="0.25">
      <c r="A4799" s="3" t="str">
        <f>HYPERLINK("https://shop.sonapharmacy.com/products/palmers-cocoa-butter-formula-body-lotion-8-5fl-oz", "https://shop.sonapharmacy.com/products/palmers-cocoa-butter-formula-body-lotion-8-5fl-oz")</f>
        <v>https://shop.sonapharmacy.com/products/palmers-cocoa-butter-formula-body-lotion-8-5fl-oz</v>
      </c>
      <c r="B4799" s="3" t="str">
        <f>HYPERLINK("https://shop.sonapharmacy.com/products/palmers-cocoa-butter-formula-body-lotion-8-5fl-oz", "https://shop.sonapharmacy.com/products/palmers-cocoa-butter-formula-body-lotion-8-5fl-oz")</f>
        <v>https://shop.sonapharmacy.com/products/palmers-cocoa-butter-formula-body-lotion-8-5fl-oz</v>
      </c>
      <c r="C4799" t="s">
        <v>8586</v>
      </c>
      <c r="D4799" t="s">
        <v>13781</v>
      </c>
      <c r="E4799" s="3" t="str">
        <f>HYPERLINK("https://www.amazon.com/Palmers-Butter-Formula-Therapy-Moisturization/dp/B0009F3O8Q/ref=sr_1_3?keywords=Palmer%27s+Cocoa+Butter+Formula+Body+Lotion+8.5fl.+oz.&amp;qid=1695260626&amp;sr=8-3", "https://www.amazon.com/Palmers-Butter-Formula-Therapy-Moisturization/dp/B0009F3O8Q/ref=sr_1_3?keywords=Palmer%27s+Cocoa+Butter+Formula+Body+Lotion+8.5fl.+oz.&amp;qid=1695260626&amp;sr=8-3")</f>
        <v>https://www.amazon.com/Palmers-Butter-Formula-Therapy-Moisturization/dp/B0009F3O8Q/ref=sr_1_3?keywords=Palmer%27s+Cocoa+Butter+Formula+Body+Lotion+8.5fl.+oz.&amp;qid=1695260626&amp;sr=8-3</v>
      </c>
      <c r="F4799" t="s">
        <v>13782</v>
      </c>
      <c r="G4799" t="e">
        <f ca="1">IMAGE("https://shop.sonapharmacy.com/cdn/shop/products/ab2c73e2-f908-4dea-840b-e0e91ac70d04_1.67192cb5b27856b7415bf3e3a8b7e3dd.png?v=1608489727")</f>
        <v>#NAME?</v>
      </c>
      <c r="H4799" t="e">
        <f ca="1">IMAGE("https://m.media-amazon.com/images/I/61hgqjneDJL._AC_UL320_.jpg")</f>
        <v>#NAME?</v>
      </c>
      <c r="I4799" t="s">
        <v>8498</v>
      </c>
      <c r="J4799">
        <v>6.85</v>
      </c>
      <c r="K4799" s="2" t="s">
        <v>13783</v>
      </c>
      <c r="L4799">
        <v>4.8</v>
      </c>
      <c r="M4799">
        <v>31065</v>
      </c>
      <c r="O4799" t="s">
        <v>26</v>
      </c>
      <c r="P4799" t="s">
        <v>39</v>
      </c>
      <c r="Q4799" t="s">
        <v>8590</v>
      </c>
    </row>
    <row r="4800" spans="1:17" ht="15.75" x14ac:dyDescent="0.25">
      <c r="A4800" s="3" t="str">
        <f>HYPERLINK("https://shop.sonapharmacy.com/products/nature-made-daily-diabetes-health-pack", "https://shop.sonapharmacy.com/products/nature-made-daily-diabetes-health-pack")</f>
        <v>https://shop.sonapharmacy.com/products/nature-made-daily-diabetes-health-pack</v>
      </c>
      <c r="B4800" s="3" t="str">
        <f>HYPERLINK("https://shop.sonapharmacy.com/products/nature-made-daily-diabetes-health-pack", "https://shop.sonapharmacy.com/products/nature-made-daily-diabetes-health-pack")</f>
        <v>https://shop.sonapharmacy.com/products/nature-made-daily-diabetes-health-pack</v>
      </c>
      <c r="C4800" t="s">
        <v>13784</v>
      </c>
      <c r="D4800" t="s">
        <v>13785</v>
      </c>
      <c r="E4800" s="3" t="str">
        <f>HYPERLINK("https://www.amazon.com/Nature-Made-Diabetes-Vitamins-Minerals/dp/B0000DJANS/ref=sr_1_1?keywords=Nature+Made%C2%AE+Daily+Diabetes+Health+Packets+30ct.&amp;qid=1695260528&amp;sr=8-1", "https://www.amazon.com/Nature-Made-Diabetes-Vitamins-Minerals/dp/B0000DJANS/ref=sr_1_1?keywords=Nature+Made%C2%AE+Daily+Diabetes+Health+Packets+30ct.&amp;qid=1695260528&amp;sr=8-1")</f>
        <v>https://www.amazon.com/Nature-Made-Diabetes-Vitamins-Minerals/dp/B0000DJANS/ref=sr_1_1?keywords=Nature+Made%C2%AE+Daily+Diabetes+Health+Packets+30ct.&amp;qid=1695260528&amp;sr=8-1</v>
      </c>
      <c r="F4800" t="s">
        <v>13786</v>
      </c>
      <c r="G4800" t="e">
        <f ca="1">IMAGE("https://shop.sonapharmacy.com/cdn/shop/products/91-YqXQbchL._AC_SL1500.jpg?v=1610047863")</f>
        <v>#NAME?</v>
      </c>
      <c r="H4800" t="e">
        <f ca="1">IMAGE("https://m.media-amazon.com/images/I/81RZFRCr9sL._AC_UL320_.jpg")</f>
        <v>#NAME?</v>
      </c>
      <c r="I4800" t="s">
        <v>9701</v>
      </c>
      <c r="J4800">
        <v>20.99</v>
      </c>
      <c r="K4800" s="2" t="s">
        <v>13787</v>
      </c>
      <c r="L4800">
        <v>4.7</v>
      </c>
      <c r="M4800">
        <v>527</v>
      </c>
      <c r="O4800" t="s">
        <v>26</v>
      </c>
      <c r="P4800" t="s">
        <v>39</v>
      </c>
      <c r="Q4800" t="s">
        <v>13788</v>
      </c>
    </row>
    <row r="4801" spans="1:17" ht="15.75" x14ac:dyDescent="0.25">
      <c r="A4801" s="3" t="str">
        <f>HYPERLINK("https://shop.sonapharmacy.com/products/lil-critter-gummy-vites%E2%84%A2-complete-multivitamin-190-gummies", "https://shop.sonapharmacy.com/products/lil-critter-gummy-vites%E2%84%A2-complete-multivitamin-190-gummies")</f>
        <v>https://shop.sonapharmacy.com/products/lil-critter-gummy-vites%E2%84%A2-complete-multivitamin-190-gummies</v>
      </c>
      <c r="B4801" s="3" t="str">
        <f>HYPERLINK("https://shop.sonapharmacy.com/products/lil-critter-gummy-vites%e2%84%a2-complete-multivitamin-190-gummies", "https://shop.sonapharmacy.com/products/lil-critter-gummy-vites%e2%84%a2-complete-multivitamin-190-gummies")</f>
        <v>https://shop.sonapharmacy.com/products/lil-critter-gummy-vites%e2%84%a2-complete-multivitamin-190-gummies</v>
      </c>
      <c r="C4801" t="s">
        <v>13789</v>
      </c>
      <c r="D4801" t="s">
        <v>13790</v>
      </c>
      <c r="E4801" s="3" t="str">
        <f>HYPERLINK("https://www.amazon.com/Lil-Critters-Surprise-Complete-Multivitamin/dp/B0009DY1SK/ref=sr_1_3?keywords=L%27il+Critters+Gummy+Vites%E2%84%A2+Complete+Multivitamin+190+Gummies&amp;qid=1695260451&amp;sr=8-3", "https://www.amazon.com/Lil-Critters-Surprise-Complete-Multivitamin/dp/B0009DY1SK/ref=sr_1_3?keywords=L%27il+Critters+Gummy+Vites%E2%84%A2+Complete+Multivitamin+190+Gummies&amp;qid=1695260451&amp;sr=8-3")</f>
        <v>https://www.amazon.com/Lil-Critters-Surprise-Complete-Multivitamin/dp/B0009DY1SK/ref=sr_1_3?keywords=L%27il+Critters+Gummy+Vites%E2%84%A2+Complete+Multivitamin+190+Gummies&amp;qid=1695260451&amp;sr=8-3</v>
      </c>
      <c r="F4801" t="s">
        <v>13791</v>
      </c>
      <c r="G4801" t="e">
        <f ca="1">IMAGE("https://shop.sonapharmacy.com/cdn/shop/products/L_ilCritterGummyVites_CompleteMultivitamin190Gummies.png?v=1594928836")</f>
        <v>#NAME?</v>
      </c>
      <c r="H4801" t="e">
        <f ca="1">IMAGE("https://m.media-amazon.com/images/I/81LbeURbqDL._AC_UL320_.jpg")</f>
        <v>#NAME?</v>
      </c>
      <c r="I4801" t="s">
        <v>13792</v>
      </c>
      <c r="J4801">
        <v>19.989999999999998</v>
      </c>
      <c r="K4801" s="2" t="s">
        <v>13793</v>
      </c>
      <c r="L4801">
        <v>4.5999999999999996</v>
      </c>
      <c r="M4801">
        <v>1268</v>
      </c>
      <c r="O4801" t="s">
        <v>26</v>
      </c>
      <c r="P4801" t="s">
        <v>39</v>
      </c>
      <c r="Q4801" t="s">
        <v>13794</v>
      </c>
    </row>
    <row r="4802" spans="1:17" ht="15.75" x14ac:dyDescent="0.25">
      <c r="A4802" s="3" t="str">
        <f>HYPERLINK("https://shop.sonapharmacy.com/products/nature-made-1400-mg-flaxseed-oil-700-mg-omega-3-softgels", "https://shop.sonapharmacy.com/products/nature-made-1400-mg-flaxseed-oil-700-mg-omega-3-softgels")</f>
        <v>https://shop.sonapharmacy.com/products/nature-made-1400-mg-flaxseed-oil-700-mg-omega-3-softgels</v>
      </c>
      <c r="B4802" s="3" t="str">
        <f>HYPERLINK("https://shop.sonapharmacy.com/products/nature-made-1400-mg-flaxseed-oil-700-mg-omega-3-softgels", "https://shop.sonapharmacy.com/products/nature-made-1400-mg-flaxseed-oil-700-mg-omega-3-softgels")</f>
        <v>https://shop.sonapharmacy.com/products/nature-made-1400-mg-flaxseed-oil-700-mg-omega-3-softgels</v>
      </c>
      <c r="C4802" t="s">
        <v>10705</v>
      </c>
      <c r="D4802" t="s">
        <v>13795</v>
      </c>
      <c r="E4802" s="3" t="str">
        <f>HYPERLINK("https://www.amazon.com/Nature-Made-Flaxseed-Softgels-Packaging/dp/B008NC7QQS/ref=sr_1_1?keywords=Nature+Made%C2%AE+Flaxseed+Oil+Omega-3+1400+mg%2F700+mg+Softgels+100ct.&amp;qid=1695260538&amp;rdc=1&amp;sr=8-1", "https://www.amazon.com/Nature-Made-Flaxseed-Softgels-Packaging/dp/B008NC7QQS/ref=sr_1_1?keywords=Nature+Made%C2%AE+Flaxseed+Oil+Omega-3+1400+mg%2F700+mg+Softgels+100ct.&amp;qid=1695260538&amp;rdc=1&amp;sr=8-1")</f>
        <v>https://www.amazon.com/Nature-Made-Flaxseed-Softgels-Packaging/dp/B008NC7QQS/ref=sr_1_1?keywords=Nature+Made%C2%AE+Flaxseed+Oil+Omega-3+1400+mg%2F700+mg+Softgels+100ct.&amp;qid=1695260538&amp;rdc=1&amp;sr=8-1</v>
      </c>
      <c r="F4802" t="s">
        <v>13796</v>
      </c>
      <c r="G4802" t="e">
        <f ca="1">IMAGE("https://shop.sonapharmacy.com/cdn/shop/products/71FBpkInSkL._AC_SL1500.jpg?v=1610046851")</f>
        <v>#NAME?</v>
      </c>
      <c r="H4802" t="e">
        <f ca="1">IMAGE("https://m.media-amazon.com/images/I/71qlsbKfQ7L._AC_UL320_.jpg")</f>
        <v>#NAME?</v>
      </c>
      <c r="I4802" t="s">
        <v>8692</v>
      </c>
      <c r="J4802">
        <v>12.99</v>
      </c>
      <c r="K4802" s="2" t="s">
        <v>13797</v>
      </c>
      <c r="L4802">
        <v>4.7</v>
      </c>
      <c r="M4802">
        <v>10268</v>
      </c>
      <c r="O4802" t="s">
        <v>26</v>
      </c>
      <c r="P4802" t="s">
        <v>39</v>
      </c>
      <c r="Q4802" t="s">
        <v>10709</v>
      </c>
    </row>
    <row r="4803" spans="1:17" ht="15.75" x14ac:dyDescent="0.25">
      <c r="A4803" s="3" t="str">
        <f>HYPERLINK("https://shop.sonapharmacy.com/products/mueller%C2%AE-hinged-wraparound-knee-brace", "https://shop.sonapharmacy.com/products/mueller%C2%AE-hinged-wraparound-knee-brace")</f>
        <v>https://shop.sonapharmacy.com/products/mueller%C2%AE-hinged-wraparound-knee-brace</v>
      </c>
      <c r="B4803" s="3" t="str">
        <f>HYPERLINK("https://shop.sonapharmacy.com/products/mueller%c2%ae-hinged-wraparound-knee-brace", "https://shop.sonapharmacy.com/products/mueller%c2%ae-hinged-wraparound-knee-brace")</f>
        <v>https://shop.sonapharmacy.com/products/mueller%c2%ae-hinged-wraparound-knee-brace</v>
      </c>
      <c r="C4803" t="s">
        <v>12713</v>
      </c>
      <c r="D4803" t="s">
        <v>13798</v>
      </c>
      <c r="E4803" s="3" t="str">
        <f>HYPERLINK("https://www.amazon.com/Hinged-Wraparound-Knee-Brace-EA/dp/B002C31S7M/ref=sr_1_1?keywords=Mueller%C2%AE+Hinged+Wraparound+Knee+Brace&amp;qid=1695260520&amp;sr=8-1", "https://www.amazon.com/Hinged-Wraparound-Knee-Brace-EA/dp/B002C31S7M/ref=sr_1_1?keywords=Mueller%C2%AE+Hinged+Wraparound+Knee+Brace&amp;qid=1695260520&amp;sr=8-1")</f>
        <v>https://www.amazon.com/Hinged-Wraparound-Knee-Brace-EA/dp/B002C31S7M/ref=sr_1_1?keywords=Mueller%C2%AE+Hinged+Wraparound+Knee+Brace&amp;qid=1695260520&amp;sr=8-1</v>
      </c>
      <c r="F4803" t="s">
        <v>13799</v>
      </c>
      <c r="G4803" t="e">
        <f ca="1">IMAGE("https://shop.sonapharmacy.com/cdn/shop/products/91sKAqLfGaL._AC_SL1500.jpg?v=1609870247")</f>
        <v>#NAME?</v>
      </c>
      <c r="H4803" t="e">
        <f ca="1">IMAGE("https://m.media-amazon.com/images/I/51LoRhtBaAL._AC_UL320_.jpg")</f>
        <v>#NAME?</v>
      </c>
      <c r="I4803" t="s">
        <v>12716</v>
      </c>
      <c r="J4803">
        <v>32.99</v>
      </c>
      <c r="K4803" s="2" t="s">
        <v>13800</v>
      </c>
      <c r="L4803">
        <v>4.3</v>
      </c>
      <c r="M4803">
        <v>488</v>
      </c>
      <c r="O4803" t="s">
        <v>136</v>
      </c>
      <c r="P4803" t="s">
        <v>39</v>
      </c>
      <c r="Q4803" t="s">
        <v>12718</v>
      </c>
    </row>
    <row r="4804" spans="1:17" ht="15.75" x14ac:dyDescent="0.25">
      <c r="A4804" s="3" t="str">
        <f>HYPERLINK("https://shop.sonapharmacy.com/products/hylands-4-kids-cold-cough", "https://shop.sonapharmacy.com/products/hylands-4-kids-cold-cough")</f>
        <v>https://shop.sonapharmacy.com/products/hylands-4-kids-cold-cough</v>
      </c>
      <c r="B4804" s="3" t="str">
        <f>HYPERLINK("https://shop.sonapharmacy.com/products/hylands-4-kids-cold-cough", "https://shop.sonapharmacy.com/products/hylands-4-kids-cold-cough")</f>
        <v>https://shop.sonapharmacy.com/products/hylands-4-kids-cold-cough</v>
      </c>
      <c r="C4804" t="s">
        <v>13704</v>
      </c>
      <c r="D4804" t="s">
        <v>13801</v>
      </c>
      <c r="E4804" s="3"/>
      <c r="F4804" t="s">
        <v>13802</v>
      </c>
      <c r="G4804" t="e">
        <f ca="1">IMAGE("https://shop.sonapharmacy.com/cdn/shop/products/Untitled-144.jpg?v=1593020824")</f>
        <v>#NAME?</v>
      </c>
      <c r="H4804" t="e">
        <f ca="1">IMAGE("https://m.media-amazon.com/images/I/81kB78QMY9L._AC_UL320_.jpg")</f>
        <v>#NAME?</v>
      </c>
      <c r="I4804" t="s">
        <v>13707</v>
      </c>
      <c r="J4804">
        <v>11.99</v>
      </c>
      <c r="K4804" s="2" t="s">
        <v>13803</v>
      </c>
      <c r="L4804">
        <v>4.7</v>
      </c>
      <c r="M4804">
        <v>2791</v>
      </c>
      <c r="O4804" t="s">
        <v>26</v>
      </c>
      <c r="P4804" t="s">
        <v>39</v>
      </c>
      <c r="Q4804" t="s">
        <v>13709</v>
      </c>
    </row>
    <row r="4805" spans="1:17" ht="15.75" x14ac:dyDescent="0.25">
      <c r="A4805" s="3" t="str">
        <f>HYPERLINK("https://shop.sonapharmacy.com/products/gelusil%C2%AE-antacid-anti-gas-cool-mint-chewable-tablets-100ct", "https://shop.sonapharmacy.com/products/gelusil%C2%AE-antacid-anti-gas-cool-mint-chewable-tablets-100ct")</f>
        <v>https://shop.sonapharmacy.com/products/gelusil%C2%AE-antacid-anti-gas-cool-mint-chewable-tablets-100ct</v>
      </c>
      <c r="B4805" s="3" t="str">
        <f>HYPERLINK("https://shop.sonapharmacy.com/products/gelusil%c2%ae-antacid-anti-gas-cool-mint-chewable-tablets-100ct", "https://shop.sonapharmacy.com/products/gelusil%c2%ae-antacid-anti-gas-cool-mint-chewable-tablets-100ct")</f>
        <v>https://shop.sonapharmacy.com/products/gelusil%c2%ae-antacid-anti-gas-cool-mint-chewable-tablets-100ct</v>
      </c>
      <c r="C4805" t="s">
        <v>11667</v>
      </c>
      <c r="D4805" t="s">
        <v>13804</v>
      </c>
      <c r="E4805" s="3" t="str">
        <f>HYPERLINK("https://www.amazon.com/Gelusil-Antacid-Tablets-Heartburn-Anti-Gas/dp/B000GCN9DM/ref=sr_1_2?keywords=Gelusil%C2%AE+Antacid+%26+Anti-Gas+Cool+Mint+Chewable+Tablets+100ct.&amp;qid=1695260295&amp;sr=8-2", "https://www.amazon.com/Gelusil-Antacid-Tablets-Heartburn-Anti-Gas/dp/B000GCN9DM/ref=sr_1_2?keywords=Gelusil%C2%AE+Antacid+%26+Anti-Gas+Cool+Mint+Chewable+Tablets+100ct.&amp;qid=1695260295&amp;sr=8-2")</f>
        <v>https://www.amazon.com/Gelusil-Antacid-Tablets-Heartburn-Anti-Gas/dp/B000GCN9DM/ref=sr_1_2?keywords=Gelusil%C2%AE+Antacid+%26+Anti-Gas+Cool+Mint+Chewable+Tablets+100ct.&amp;qid=1695260295&amp;sr=8-2</v>
      </c>
      <c r="F4805" t="s">
        <v>13805</v>
      </c>
      <c r="G4805" t="e">
        <f ca="1">IMAGE("https://shop.sonapharmacy.com/cdn/shop/products/51_tdpqBLL._AC.jpg?v=1610987695")</f>
        <v>#NAME?</v>
      </c>
      <c r="H4805" t="e">
        <f ca="1">IMAGE("https://m.media-amazon.com/images/I/61wYdf4KfwL._AC_UL320_.jpg")</f>
        <v>#NAME?</v>
      </c>
      <c r="I4805" t="s">
        <v>11610</v>
      </c>
      <c r="J4805">
        <v>10.79</v>
      </c>
      <c r="K4805" s="2" t="s">
        <v>13806</v>
      </c>
      <c r="L4805">
        <v>4.5999999999999996</v>
      </c>
      <c r="M4805">
        <v>1168</v>
      </c>
      <c r="O4805" t="s">
        <v>26</v>
      </c>
      <c r="P4805" t="s">
        <v>39</v>
      </c>
      <c r="Q4805" t="s">
        <v>11671</v>
      </c>
    </row>
    <row r="4806" spans="1:17" ht="15.75" x14ac:dyDescent="0.25">
      <c r="A4806" s="3" t="str">
        <f>HYPERLINK("https://shop.sonapharmacy.com/products/crane%C2%AE-humidifier-demineralization-filter", "https://shop.sonapharmacy.com/products/crane%C2%AE-humidifier-demineralization-filter")</f>
        <v>https://shop.sonapharmacy.com/products/crane%C2%AE-humidifier-demineralization-filter</v>
      </c>
      <c r="B4806" s="3" t="str">
        <f>HYPERLINK("https://shop.sonapharmacy.com/products/crane%c2%ae-humidifier-demineralization-filter", "https://shop.sonapharmacy.com/products/crane%c2%ae-humidifier-demineralization-filter")</f>
        <v>https://shop.sonapharmacy.com/products/crane%c2%ae-humidifier-demineralization-filter</v>
      </c>
      <c r="C4806" t="s">
        <v>10585</v>
      </c>
      <c r="D4806" t="s">
        <v>13807</v>
      </c>
      <c r="E4806" s="3" t="str">
        <f>HYPERLINK("https://www.amazon.com/Crane-Accessories-Replacement-Demineralization-Humidifiers/dp/B000V4LEXM/ref=sr_1_5?keywords=Crane%C2%AE+Humidifier+Demineralization+Filter&amp;qid=1695260170&amp;sr=8-5", "https://www.amazon.com/Crane-Accessories-Replacement-Demineralization-Humidifiers/dp/B000V4LEXM/ref=sr_1_5?keywords=Crane%C2%AE+Humidifier+Demineralization+Filter&amp;qid=1695260170&amp;sr=8-5")</f>
        <v>https://www.amazon.com/Crane-Accessories-Replacement-Demineralization-Humidifiers/dp/B000V4LEXM/ref=sr_1_5?keywords=Crane%C2%AE+Humidifier+Demineralization+Filter&amp;qid=1695260170&amp;sr=8-5</v>
      </c>
      <c r="F4806" t="s">
        <v>13808</v>
      </c>
      <c r="G4806" t="e">
        <f ca="1">IMAGE("https://shop.sonapharmacy.com/cdn/shop/products/84614514782834p.jpg?v=1610908808")</f>
        <v>#NAME?</v>
      </c>
      <c r="H4806" t="e">
        <f ca="1">IMAGE("https://m.media-amazon.com/images/I/71yALjzBlJL._AC_UY218_.jpg")</f>
        <v>#NAME?</v>
      </c>
      <c r="I4806" t="s">
        <v>4275</v>
      </c>
      <c r="J4806">
        <v>12.47</v>
      </c>
      <c r="K4806" s="2" t="s">
        <v>13809</v>
      </c>
      <c r="L4806">
        <v>4.0999999999999996</v>
      </c>
      <c r="M4806">
        <v>109</v>
      </c>
      <c r="O4806" t="s">
        <v>136</v>
      </c>
      <c r="P4806" t="s">
        <v>39</v>
      </c>
      <c r="Q4806" t="s">
        <v>10589</v>
      </c>
    </row>
    <row r="4807" spans="1:17" ht="15.75" x14ac:dyDescent="0.25">
      <c r="A4807" s="3" t="str">
        <f>HYPERLINK("https://shop.sonapharmacy.com/products/good-sense-non-drowsy-day-time-cold-flu-softgels", "https://shop.sonapharmacy.com/products/good-sense-non-drowsy-day-time-cold-flu-softgels")</f>
        <v>https://shop.sonapharmacy.com/products/good-sense-non-drowsy-day-time-cold-flu-softgels</v>
      </c>
      <c r="B4807" s="3" t="str">
        <f>HYPERLINK("https://shop.sonapharmacy.com/products/good-sense-non-drowsy-day-time-cold-flu-softgels", "https://shop.sonapharmacy.com/products/good-sense-non-drowsy-day-time-cold-flu-softgels")</f>
        <v>https://shop.sonapharmacy.com/products/good-sense-non-drowsy-day-time-cold-flu-softgels</v>
      </c>
      <c r="C4807" t="s">
        <v>12355</v>
      </c>
      <c r="D4807" t="s">
        <v>13810</v>
      </c>
      <c r="E4807" s="3" t="str">
        <f>HYPERLINK("https://www.amazon.com/Basic-Care-Daytime-Fluid-Ounce/dp/B07JKZBL1F/ref=sr_1_7?keywords=GoodSense%C2%AE+Non-Drowsy+Day+Time+Cold+%26+Flu+Softgels+2&amp;qid=1695260414&amp;sr=8-7", "https://www.amazon.com/Basic-Care-Daytime-Fluid-Ounce/dp/B07JKZBL1F/ref=sr_1_7?keywords=GoodSense%C2%AE+Non-Drowsy+Day+Time+Cold+%26+Flu+Softgels+2&amp;qid=1695260414&amp;sr=8-7")</f>
        <v>https://www.amazon.com/Basic-Care-Daytime-Fluid-Ounce/dp/B07JKZBL1F/ref=sr_1_7?keywords=GoodSense%C2%AE+Non-Drowsy+Day+Time+Cold+%26+Flu+Softgels+2&amp;qid=1695260414&amp;sr=8-7</v>
      </c>
      <c r="F4807" t="s">
        <v>13811</v>
      </c>
      <c r="G4807" t="e">
        <f ca="1">IMAGE("https://shop.sonapharmacy.com/cdn/shop/products/61O4igp2AJL._AC_SL1000.jpg?v=1610132043")</f>
        <v>#NAME?</v>
      </c>
      <c r="H4807" t="e">
        <f ca="1">IMAGE("https://m.media-amazon.com/images/I/71acnpIu0SL._AC_UL320_.jpg")</f>
        <v>#NAME?</v>
      </c>
      <c r="I4807" t="s">
        <v>12358</v>
      </c>
      <c r="J4807">
        <v>7.5</v>
      </c>
      <c r="K4807" s="2" t="s">
        <v>6272</v>
      </c>
      <c r="L4807">
        <v>4.7</v>
      </c>
      <c r="M4807">
        <v>2058</v>
      </c>
      <c r="O4807" t="s">
        <v>26</v>
      </c>
      <c r="P4807" t="s">
        <v>39</v>
      </c>
      <c r="Q4807" t="s">
        <v>12360</v>
      </c>
    </row>
    <row r="4808" spans="1:17" ht="15.75" x14ac:dyDescent="0.25">
      <c r="A4808" s="3" t="str">
        <f>HYPERLINK("https://shop.sonapharmacy.com/products/sona-omega-3-fish-oil", "https://shop.sonapharmacy.com/products/sona-omega-3-fish-oil")</f>
        <v>https://shop.sonapharmacy.com/products/sona-omega-3-fish-oil</v>
      </c>
      <c r="B4808" s="3" t="str">
        <f>HYPERLINK("https://shop.sonapharmacy.com/products/sona-omega-3-fish-oil", "https://shop.sonapharmacy.com/products/sona-omega-3-fish-oil")</f>
        <v>https://shop.sonapharmacy.com/products/sona-omega-3-fish-oil</v>
      </c>
      <c r="C4808" t="s">
        <v>13292</v>
      </c>
      <c r="D4808" t="s">
        <v>13812</v>
      </c>
      <c r="E4808" s="3" t="str">
        <f>HYPERLINK("https://www.amazon.com/Viva-Naturals-Omega-Supplement-Capsules/dp/B014LE31OW/ref=sr_1_9?keywords=Sona+Omega-3+Fish+Oil&amp;qid=1695260728&amp;sr=8-9", "https://www.amazon.com/Viva-Naturals-Omega-Supplement-Capsules/dp/B014LE31OW/ref=sr_1_9?keywords=Sona+Omega-3+Fish+Oil&amp;qid=1695260728&amp;sr=8-9")</f>
        <v>https://www.amazon.com/Viva-Naturals-Omega-Supplement-Capsules/dp/B014LE31OW/ref=sr_1_9?keywords=Sona+Omega-3+Fish+Oil&amp;qid=1695260728&amp;sr=8-9</v>
      </c>
      <c r="F4808" t="s">
        <v>13813</v>
      </c>
      <c r="G4808" t="e">
        <f ca="1">IMAGE("https://shop.sonapharmacy.com/cdn/shop/files/Omega3FishOil_SonaShop.jpg?v=1692368919")</f>
        <v>#NAME?</v>
      </c>
      <c r="H4808" t="e">
        <f ca="1">IMAGE("https://m.media-amazon.com/images/I/81O+WbzfN9L._AC_UL320_.jpg")</f>
        <v>#NAME?</v>
      </c>
      <c r="I4808" t="s">
        <v>5934</v>
      </c>
      <c r="J4808">
        <v>31.99</v>
      </c>
      <c r="K4808" s="2" t="s">
        <v>13814</v>
      </c>
      <c r="L4808">
        <v>4.5999999999999996</v>
      </c>
      <c r="M4808">
        <v>9784</v>
      </c>
      <c r="O4808" t="s">
        <v>26</v>
      </c>
      <c r="P4808" t="s">
        <v>39</v>
      </c>
      <c r="Q4808" t="s">
        <v>13296</v>
      </c>
    </row>
    <row r="4809" spans="1:17" ht="15.75" x14ac:dyDescent="0.25">
      <c r="A4809" s="3" t="str">
        <f>HYPERLINK("https://shop.sonapharmacy.com/products/mueller-kinesiology-tape%C2%AE-i-strips-pre-cut-tape-roll", "https://shop.sonapharmacy.com/products/mueller-kinesiology-tape%C2%AE-i-strips-pre-cut-tape-roll")</f>
        <v>https://shop.sonapharmacy.com/products/mueller-kinesiology-tape%C2%AE-i-strips-pre-cut-tape-roll</v>
      </c>
      <c r="B4809" s="3" t="str">
        <f>HYPERLINK("https://shop.sonapharmacy.com/products/mueller-kinesiology-tape%c2%ae-i-strips-pre-cut-tape-roll", "https://shop.sonapharmacy.com/products/mueller-kinesiology-tape%c2%ae-i-strips-pre-cut-tape-roll")</f>
        <v>https://shop.sonapharmacy.com/products/mueller-kinesiology-tape%c2%ae-i-strips-pre-cut-tape-roll</v>
      </c>
      <c r="C4809" t="s">
        <v>11477</v>
      </c>
      <c r="D4809" t="s">
        <v>13815</v>
      </c>
      <c r="E4809" s="3" t="str">
        <f>HYPERLINK("https://www.amazon.com/MUELLER-Typhoon-Kinesiology-Therapeutic-I-Strips/dp/B08C6H3RKF/ref=sr_1_2?keywords=Mueller+Kinesiology+Tape%C2%AE+I-Strips+Pre-Cut+Tape+Roll&amp;qid=1695260503&amp;sr=8-2", "https://www.amazon.com/MUELLER-Typhoon-Kinesiology-Therapeutic-I-Strips/dp/B08C6H3RKF/ref=sr_1_2?keywords=Mueller+Kinesiology+Tape%C2%AE+I-Strips+Pre-Cut+Tape+Roll&amp;qid=1695260503&amp;sr=8-2")</f>
        <v>https://www.amazon.com/MUELLER-Typhoon-Kinesiology-Therapeutic-I-Strips/dp/B08C6H3RKF/ref=sr_1_2?keywords=Mueller+Kinesiology+Tape%C2%AE+I-Strips+Pre-Cut+Tape+Roll&amp;qid=1695260503&amp;sr=8-2</v>
      </c>
      <c r="F4809" t="s">
        <v>13816</v>
      </c>
      <c r="G4809" t="e">
        <f ca="1">IMAGE("https://shop.sonapharmacy.com/cdn/shop/products/black_fd3353bd-3884-4f87-90b8-1327b7073970.jpg?v=1609944494")</f>
        <v>#NAME?</v>
      </c>
      <c r="H4809" t="e">
        <f ca="1">IMAGE("https://m.media-amazon.com/images/I/71Not45cPBL._AC_UL320_.jpg")</f>
        <v>#NAME?</v>
      </c>
      <c r="I4809" t="s">
        <v>8096</v>
      </c>
      <c r="J4809">
        <v>8.9700000000000006</v>
      </c>
      <c r="K4809" s="2" t="s">
        <v>13817</v>
      </c>
      <c r="L4809">
        <v>4.3</v>
      </c>
      <c r="M4809">
        <v>352</v>
      </c>
      <c r="O4809" t="s">
        <v>26</v>
      </c>
      <c r="P4809" t="s">
        <v>39</v>
      </c>
      <c r="Q4809" t="s">
        <v>11481</v>
      </c>
    </row>
    <row r="4810" spans="1:17" ht="15.75" x14ac:dyDescent="0.25">
      <c r="A4810" s="3" t="str">
        <f>HYPERLINK("https://shop.sonapharmacy.com/products/mueller%C2%AE-tennis-elbow-support-one-size", "https://shop.sonapharmacy.com/products/mueller%C2%AE-tennis-elbow-support-one-size")</f>
        <v>https://shop.sonapharmacy.com/products/mueller%C2%AE-tennis-elbow-support-one-size</v>
      </c>
      <c r="B4810" s="3" t="str">
        <f>HYPERLINK("https://shop.sonapharmacy.com/products/mueller%c2%ae-tennis-elbow-support-one-size", "https://shop.sonapharmacy.com/products/mueller%c2%ae-tennis-elbow-support-one-size")</f>
        <v>https://shop.sonapharmacy.com/products/mueller%c2%ae-tennis-elbow-support-one-size</v>
      </c>
      <c r="C4810" t="s">
        <v>10799</v>
      </c>
      <c r="D4810" t="s">
        <v>13818</v>
      </c>
      <c r="E4810" s="3" t="str">
        <f>HYPERLINK("https://www.amazon.com/LP-Support-ELBLP-OW-WRAP/dp/B07DBZJWKZ/ref=sr_1_8?keywords=Mueller%C2%AE+Tennis+Elbow+Support+One+Size&amp;qid=1695260546&amp;sr=8-8", "https://www.amazon.com/LP-Support-ELBLP-OW-WRAP/dp/B07DBZJWKZ/ref=sr_1_8?keywords=Mueller%C2%AE+Tennis+Elbow+Support+One+Size&amp;qid=1695260546&amp;sr=8-8")</f>
        <v>https://www.amazon.com/LP-Support-ELBLP-OW-WRAP/dp/B07DBZJWKZ/ref=sr_1_8?keywords=Mueller%C2%AE+Tennis+Elbow+Support+One+Size&amp;qid=1695260546&amp;sr=8-8</v>
      </c>
      <c r="F4810" t="s">
        <v>13819</v>
      </c>
      <c r="G4810" t="e">
        <f ca="1">IMAGE("https://shop.sonapharmacy.com/cdn/shop/products/e185fb8e-8c56-567a-8c68-978b95b8d194_800x_864b98f0-5feb-4d46-84fd-45e380a93c55.png?v=1609866379")</f>
        <v>#NAME?</v>
      </c>
      <c r="H4810" t="e">
        <f ca="1">IMAGE("https://m.media-amazon.com/images/I/61P1UcJ-3GL._AC_UL320_.jpg")</f>
        <v>#NAME?</v>
      </c>
      <c r="I4810" t="s">
        <v>10802</v>
      </c>
      <c r="J4810">
        <v>11.17</v>
      </c>
      <c r="K4810" s="2" t="s">
        <v>13820</v>
      </c>
      <c r="L4810">
        <v>3.8</v>
      </c>
      <c r="M4810">
        <v>59</v>
      </c>
      <c r="O4810" t="s">
        <v>26</v>
      </c>
      <c r="P4810" t="s">
        <v>39</v>
      </c>
      <c r="Q4810" t="s">
        <v>10804</v>
      </c>
    </row>
    <row r="4811" spans="1:17" ht="15.75" x14ac:dyDescent="0.25">
      <c r="A4811" s="3" t="str">
        <f>HYPERLINK("https://shop.sonapharmacy.com/products/align-probiotic-24-7-digestive-support", "https://shop.sonapharmacy.com/products/align-probiotic-24-7-digestive-support")</f>
        <v>https://shop.sonapharmacy.com/products/align-probiotic-24-7-digestive-support</v>
      </c>
      <c r="B4811" s="3" t="str">
        <f>HYPERLINK("https://shop.sonapharmacy.com/products/align-probiotic-24-7-digestive-support", "https://shop.sonapharmacy.com/products/align-probiotic-24-7-digestive-support")</f>
        <v>https://shop.sonapharmacy.com/products/align-probiotic-24-7-digestive-support</v>
      </c>
      <c r="C4811" t="s">
        <v>9464</v>
      </c>
      <c r="D4811" t="s">
        <v>13821</v>
      </c>
      <c r="E4811" s="3" t="str">
        <f>HYPERLINK("https://www.amazon.com/Align-Chewables-Probiotic-Supplement-Strawberry/dp/B01FV02YWA/ref=sr_1_5?keywords=Align+Probiotic+24%2F7+Digestive+Support+Capsules&amp;qid=1695260004&amp;sr=8-5", "https://www.amazon.com/Align-Chewables-Probiotic-Supplement-Strawberry/dp/B01FV02YWA/ref=sr_1_5?keywords=Align+Probiotic+24%2F7+Digestive+Support+Capsules&amp;qid=1695260004&amp;sr=8-5")</f>
        <v>https://www.amazon.com/Align-Chewables-Probiotic-Supplement-Strawberry/dp/B01FV02YWA/ref=sr_1_5?keywords=Align+Probiotic+24%2F7+Digestive+Support+Capsules&amp;qid=1695260004&amp;sr=8-5</v>
      </c>
      <c r="F4811" t="s">
        <v>13822</v>
      </c>
      <c r="G4811" t="e">
        <f ca="1">IMAGE("https://shop.sonapharmacy.com/cdn/shop/products/a1ba3294-73b6-45cf-906d-9cbc4c9cb26f_1.8812d9b99c0fb270ad843db24db916b4.jpg?v=1611188868")</f>
        <v>#NAME?</v>
      </c>
      <c r="H4811" t="e">
        <f ca="1">IMAGE("https://m.media-amazon.com/images/I/81jKwYabYJL._AC_UL320_.jpg")</f>
        <v>#NAME?</v>
      </c>
      <c r="I4811" t="s">
        <v>9467</v>
      </c>
      <c r="J4811">
        <v>29.99</v>
      </c>
      <c r="K4811" s="2" t="s">
        <v>13823</v>
      </c>
      <c r="L4811">
        <v>4.5999999999999996</v>
      </c>
      <c r="M4811">
        <v>650</v>
      </c>
      <c r="O4811" t="s">
        <v>26</v>
      </c>
      <c r="P4811" t="s">
        <v>39</v>
      </c>
      <c r="Q4811" t="s">
        <v>9469</v>
      </c>
    </row>
    <row r="4812" spans="1:17" ht="15.75" x14ac:dyDescent="0.25">
      <c r="A4812" s="3" t="str">
        <f>HYPERLINK("https://shop.sonapharmacy.com/products/align-probiotic-24-7-digestive-support", "https://shop.sonapharmacy.com/products/align-probiotic-24-7-digestive-support")</f>
        <v>https://shop.sonapharmacy.com/products/align-probiotic-24-7-digestive-support</v>
      </c>
      <c r="B4812" s="3" t="str">
        <f>HYPERLINK("https://shop.sonapharmacy.com/products/align-probiotic-24-7-digestive-support", "https://shop.sonapharmacy.com/products/align-probiotic-24-7-digestive-support")</f>
        <v>https://shop.sonapharmacy.com/products/align-probiotic-24-7-digestive-support</v>
      </c>
      <c r="C4812" t="s">
        <v>9464</v>
      </c>
      <c r="D4812" t="s">
        <v>13824</v>
      </c>
      <c r="E4812" s="3" t="str">
        <f>HYPERLINK("https://www.amazon.com/Align-Probiotic-Probiotics-Recommended-Metabolism/dp/B0BS5L5JBH/ref=sr_1_10?keywords=Align+Probiotic+24%2F7+Digestive+Support+Capsules&amp;qid=1695260004&amp;sr=8-10", "https://www.amazon.com/Align-Probiotic-Probiotics-Recommended-Metabolism/dp/B0BS5L5JBH/ref=sr_1_10?keywords=Align+Probiotic+24%2F7+Digestive+Support+Capsules&amp;qid=1695260004&amp;sr=8-10")</f>
        <v>https://www.amazon.com/Align-Probiotic-Probiotics-Recommended-Metabolism/dp/B0BS5L5JBH/ref=sr_1_10?keywords=Align+Probiotic+24%2F7+Digestive+Support+Capsules&amp;qid=1695260004&amp;sr=8-10</v>
      </c>
      <c r="F4812" t="s">
        <v>13825</v>
      </c>
      <c r="G4812" t="e">
        <f ca="1">IMAGE("https://shop.sonapharmacy.com/cdn/shop/products/a1ba3294-73b6-45cf-906d-9cbc4c9cb26f_1.8812d9b99c0fb270ad843db24db916b4.jpg?v=1611188868")</f>
        <v>#NAME?</v>
      </c>
      <c r="H4812" t="e">
        <f ca="1">IMAGE("https://m.media-amazon.com/images/I/61jYme135kL._AC_UL320_.jpg")</f>
        <v>#NAME?</v>
      </c>
      <c r="I4812" t="s">
        <v>9467</v>
      </c>
      <c r="J4812">
        <v>29.98</v>
      </c>
      <c r="K4812" s="2" t="s">
        <v>13826</v>
      </c>
      <c r="L4812">
        <v>4.4000000000000004</v>
      </c>
      <c r="M4812">
        <v>75</v>
      </c>
      <c r="O4812" t="s">
        <v>26</v>
      </c>
      <c r="P4812" t="s">
        <v>39</v>
      </c>
      <c r="Q4812" t="s">
        <v>9469</v>
      </c>
    </row>
    <row r="4813" spans="1:17" ht="15.75" x14ac:dyDescent="0.25">
      <c r="A4813" s="3" t="str">
        <f>HYPERLINK("https://shop.sonapharmacy.com/products/carex%E2%84%A2-ultra-grip-12in-bath-suction-grab-bar", "https://shop.sonapharmacy.com/products/carex%E2%84%A2-ultra-grip-12in-bath-suction-grab-bar")</f>
        <v>https://shop.sonapharmacy.com/products/carex%E2%84%A2-ultra-grip-12in-bath-suction-grab-bar</v>
      </c>
      <c r="B4813" s="3" t="str">
        <f>HYPERLINK("https://shop.sonapharmacy.com/products/carex%e2%84%a2-ultra-grip-12in-bath-suction-grab-bar", "https://shop.sonapharmacy.com/products/carex%e2%84%a2-ultra-grip-12in-bath-suction-grab-bar")</f>
        <v>https://shop.sonapharmacy.com/products/carex%e2%84%a2-ultra-grip-12in-bath-suction-grab-bar</v>
      </c>
      <c r="C4813" t="s">
        <v>13827</v>
      </c>
      <c r="D4813" t="s">
        <v>13828</v>
      </c>
      <c r="E4813" s="3" t="str">
        <f>HYPERLINK("https://www.amazon.com/Carex-Locking-Suction-Assistance-Entering/dp/B004SI98XA/ref=sr_1_2?keywords=Carex%E2%84%A2+Ultra+Grip+12in+Bath+Suction+Grab+Bar&amp;qid=1695260131&amp;sr=8-2", "https://www.amazon.com/Carex-Locking-Suction-Assistance-Entering/dp/B004SI98XA/ref=sr_1_2?keywords=Carex%E2%84%A2+Ultra+Grip+12in+Bath+Suction+Grab+Bar&amp;qid=1695260131&amp;sr=8-2")</f>
        <v>https://www.amazon.com/Carex-Locking-Suction-Assistance-Entering/dp/B004SI98XA/ref=sr_1_2?keywords=Carex%E2%84%A2+Ultra+Grip+12in+Bath+Suction+Grab+Bar&amp;qid=1695260131&amp;sr=8-2</v>
      </c>
      <c r="F4813" t="s">
        <v>13829</v>
      </c>
      <c r="G4813" t="e">
        <f ca="1">IMAGE("https://shop.sonapharmacy.com/cdn/shop/products/CarexUltraGripGrabBar_2_720x_b850e390-3f2a-4ca2-9cc8-712e9868e1e2.png?v=1609946070")</f>
        <v>#NAME?</v>
      </c>
      <c r="H4813" t="e">
        <f ca="1">IMAGE("https://m.media-amazon.com/images/I/71+R-O54WrL._AC_UL320_.jpg")</f>
        <v>#NAME?</v>
      </c>
      <c r="I4813" t="s">
        <v>13830</v>
      </c>
      <c r="J4813">
        <v>15.84</v>
      </c>
      <c r="K4813" s="2" t="s">
        <v>13831</v>
      </c>
      <c r="L4813">
        <v>3.9</v>
      </c>
      <c r="M4813">
        <v>7504</v>
      </c>
      <c r="O4813" t="s">
        <v>26</v>
      </c>
      <c r="P4813" t="s">
        <v>39</v>
      </c>
      <c r="Q4813" t="s">
        <v>13832</v>
      </c>
    </row>
    <row r="4814" spans="1:17" ht="15.75" x14ac:dyDescent="0.25">
      <c r="A4814" s="3" t="str">
        <f>HYPERLINK("https://shop.sonapharmacy.com/products/prevagen-extra-strength-capsules-20-mg", "https://shop.sonapharmacy.com/products/prevagen-extra-strength-capsules-20-mg")</f>
        <v>https://shop.sonapharmacy.com/products/prevagen-extra-strength-capsules-20-mg</v>
      </c>
      <c r="B4814" s="3" t="str">
        <f>HYPERLINK("https://shop.sonapharmacy.com/products/prevagen-extra-strength-capsules-20-mg", "https://shop.sonapharmacy.com/products/prevagen-extra-strength-capsules-20-mg")</f>
        <v>https://shop.sonapharmacy.com/products/prevagen-extra-strength-capsules-20-mg</v>
      </c>
      <c r="C4814" t="s">
        <v>9057</v>
      </c>
      <c r="D4814" t="s">
        <v>13833</v>
      </c>
      <c r="E4814" s="3" t="str">
        <f>HYPERLINK("https://www.amazon.com/Prevagen-Improves-Memory-Apoaequorin-Attractive/dp/B0BN6TDQV6/ref=sr_1_2?keywords=Prevagen+Extra+Strength+Capsules+20+mg&amp;qid=1695260651&amp;sr=8-2", "https://www.amazon.com/Prevagen-Improves-Memory-Apoaequorin-Attractive/dp/B0BN6TDQV6/ref=sr_1_2?keywords=Prevagen+Extra+Strength+Capsules+20+mg&amp;qid=1695260651&amp;sr=8-2")</f>
        <v>https://www.amazon.com/Prevagen-Improves-Memory-Apoaequorin-Attractive/dp/B0BN6TDQV6/ref=sr_1_2?keywords=Prevagen+Extra+Strength+Capsules+20+mg&amp;qid=1695260651&amp;sr=8-2</v>
      </c>
      <c r="F4814" t="s">
        <v>13834</v>
      </c>
      <c r="G4814" t="e">
        <f ca="1">IMAGE("https://shop.sonapharmacy.com/cdn/shop/products/PrevagenExtraStrengthCapsules20mg.jpg?v=1594304097")</f>
        <v>#NAME?</v>
      </c>
      <c r="H4814" t="e">
        <f ca="1">IMAGE("https://m.media-amazon.com/images/I/61WqeJ8xTUL._AC_UL320_.jpg")</f>
        <v>#NAME?</v>
      </c>
      <c r="I4814" t="s">
        <v>9060</v>
      </c>
      <c r="J4814">
        <v>52.95</v>
      </c>
      <c r="K4814" s="2" t="s">
        <v>13835</v>
      </c>
      <c r="L4814">
        <v>4.3</v>
      </c>
      <c r="M4814">
        <v>347</v>
      </c>
      <c r="O4814" t="s">
        <v>39</v>
      </c>
      <c r="P4814" t="s">
        <v>39</v>
      </c>
      <c r="Q4814" t="s">
        <v>9062</v>
      </c>
    </row>
    <row r="4815" spans="1:17" ht="15.75" x14ac:dyDescent="0.25">
      <c r="A4815" s="3" t="str">
        <f>HYPERLINK("https://shop.sonapharmacy.com/products/prevagen-extra-strength-capsules-20-mg", "https://shop.sonapharmacy.com/products/prevagen-extra-strength-capsules-20-mg")</f>
        <v>https://shop.sonapharmacy.com/products/prevagen-extra-strength-capsules-20-mg</v>
      </c>
      <c r="B4815" s="3" t="str">
        <f>HYPERLINK("https://shop.sonapharmacy.com/products/prevagen-extra-strength-capsules-20-mg", "https://shop.sonapharmacy.com/products/prevagen-extra-strength-capsules-20-mg")</f>
        <v>https://shop.sonapharmacy.com/products/prevagen-extra-strength-capsules-20-mg</v>
      </c>
      <c r="C4815" t="s">
        <v>9057</v>
      </c>
      <c r="D4815" t="s">
        <v>13657</v>
      </c>
      <c r="E4815" s="3" t="str">
        <f>HYPERLINK("https://www.amazon.com/Prevagen-Improves-Strength-Apoaequorin-Supplement/dp/B08HDPMKJ3/ref=sr_1_6?keywords=Prevagen+Extra+Strength+Capsules+20+mg&amp;qid=1695260651&amp;sr=8-6", "https://www.amazon.com/Prevagen-Improves-Strength-Apoaequorin-Supplement/dp/B08HDPMKJ3/ref=sr_1_6?keywords=Prevagen+Extra+Strength+Capsules+20+mg&amp;qid=1695260651&amp;sr=8-6")</f>
        <v>https://www.amazon.com/Prevagen-Improves-Strength-Apoaequorin-Supplement/dp/B08HDPMKJ3/ref=sr_1_6?keywords=Prevagen+Extra+Strength+Capsules+20+mg&amp;qid=1695260651&amp;sr=8-6</v>
      </c>
      <c r="F4815" t="s">
        <v>13658</v>
      </c>
      <c r="G4815" t="e">
        <f ca="1">IMAGE("https://shop.sonapharmacy.com/cdn/shop/products/PrevagenExtraStrengthCapsules20mg.jpg?v=1594304097")</f>
        <v>#NAME?</v>
      </c>
      <c r="H4815" t="e">
        <f ca="1">IMAGE("https://m.media-amazon.com/images/I/71+OtNdRmRL._AC_UL320_.jpg")</f>
        <v>#NAME?</v>
      </c>
      <c r="I4815" t="s">
        <v>9060</v>
      </c>
      <c r="J4815">
        <v>52.95</v>
      </c>
      <c r="K4815" s="2" t="s">
        <v>13835</v>
      </c>
      <c r="L4815">
        <v>4.4000000000000004</v>
      </c>
      <c r="M4815">
        <v>2077</v>
      </c>
      <c r="O4815" t="s">
        <v>39</v>
      </c>
      <c r="P4815" t="s">
        <v>39</v>
      </c>
      <c r="Q4815" t="s">
        <v>9062</v>
      </c>
    </row>
    <row r="4816" spans="1:17" ht="15.75" x14ac:dyDescent="0.25">
      <c r="A4816" s="3" t="str">
        <f>HYPERLINK("https://shop.sonapharmacy.com/products/curad-stainless-steel-bandage-scissors", "https://shop.sonapharmacy.com/products/curad-stainless-steel-bandage-scissors")</f>
        <v>https://shop.sonapharmacy.com/products/curad-stainless-steel-bandage-scissors</v>
      </c>
      <c r="B4816" s="3" t="str">
        <f>HYPERLINK("https://shop.sonapharmacy.com/products/curad-stainless-steel-bandage-scissors", "https://shop.sonapharmacy.com/products/curad-stainless-steel-bandage-scissors")</f>
        <v>https://shop.sonapharmacy.com/products/curad-stainless-steel-bandage-scissors</v>
      </c>
      <c r="C4816" t="s">
        <v>9578</v>
      </c>
      <c r="D4816" t="s">
        <v>13836</v>
      </c>
      <c r="E4816" s="3" t="str">
        <f>HYPERLINK("https://www.amazon.com/Ever-Ready-First-Aid-Scissors/dp/B082VL63CX/ref=sr_1_3?keywords=Curad%C2%AE+Stainless+Steel+Bandage+Scissors&amp;qid=1695260182&amp;sr=8-3", "https://www.amazon.com/Ever-Ready-First-Aid-Scissors/dp/B082VL63CX/ref=sr_1_3?keywords=Curad%C2%AE+Stainless+Steel+Bandage+Scissors&amp;qid=1695260182&amp;sr=8-3")</f>
        <v>https://www.amazon.com/Ever-Ready-First-Aid-Scissors/dp/B082VL63CX/ref=sr_1_3?keywords=Curad%C2%AE+Stainless+Steel+Bandage+Scissors&amp;qid=1695260182&amp;sr=8-3</v>
      </c>
      <c r="F4816" t="s">
        <v>13837</v>
      </c>
      <c r="G4816" t="e">
        <f ca="1">IMAGE("https://shop.sonapharmacy.com/cdn/shop/products/scissors.png?v=1607716795")</f>
        <v>#NAME?</v>
      </c>
      <c r="H4816" t="e">
        <f ca="1">IMAGE("https://m.media-amazon.com/images/I/51rv5wt1S7L._AC_UY218_.jpg")</f>
        <v>#NAME?</v>
      </c>
      <c r="I4816" t="s">
        <v>8728</v>
      </c>
      <c r="J4816">
        <v>4.99</v>
      </c>
      <c r="K4816" s="2" t="s">
        <v>13838</v>
      </c>
      <c r="L4816">
        <v>5</v>
      </c>
      <c r="M4816">
        <v>2</v>
      </c>
      <c r="O4816" t="s">
        <v>26</v>
      </c>
      <c r="P4816" t="s">
        <v>39</v>
      </c>
      <c r="Q4816" t="s">
        <v>9582</v>
      </c>
    </row>
    <row r="4817" spans="1:17" ht="15.75" x14ac:dyDescent="0.25">
      <c r="A4817" s="3" t="str">
        <f>HYPERLINK("https://shop.sonapharmacy.com/products/norms-farms-elderberry-organic-gummies", "https://shop.sonapharmacy.com/products/norms-farms-elderberry-organic-gummies")</f>
        <v>https://shop.sonapharmacy.com/products/norms-farms-elderberry-organic-gummies</v>
      </c>
      <c r="B4817" s="3" t="str">
        <f>HYPERLINK("https://shop.sonapharmacy.com/products/norms-farms-elderberry-organic-gummies", "https://shop.sonapharmacy.com/products/norms-farms-elderberry-organic-gummies")</f>
        <v>https://shop.sonapharmacy.com/products/norms-farms-elderberry-organic-gummies</v>
      </c>
      <c r="C4817" t="s">
        <v>10347</v>
      </c>
      <c r="D4817" t="s">
        <v>13839</v>
      </c>
      <c r="E4817" s="3" t="str">
        <f>HYPERLINK("https://www.amazon.com/Norms-Farms-Gummy-Elderberry-Organic/dp/B086QKMQTZ/ref=sr_1_1?keywords=Norms+Farms+Elderberry+Organic+Gummies&amp;qid=1695260576&amp;sr=8-1", "https://www.amazon.com/Norms-Farms-Gummy-Elderberry-Organic/dp/B086QKMQTZ/ref=sr_1_1?keywords=Norms+Farms+Elderberry+Organic+Gummies&amp;qid=1695260576&amp;sr=8-1")</f>
        <v>https://www.amazon.com/Norms-Farms-Gummy-Elderberry-Organic/dp/B086QKMQTZ/ref=sr_1_1?keywords=Norms+Farms+Elderberry+Organic+Gummies&amp;qid=1695260576&amp;sr=8-1</v>
      </c>
      <c r="F4817" t="s">
        <v>13840</v>
      </c>
      <c r="G4817" t="e">
        <f ca="1">IMAGE("https://shop.sonapharmacy.com/cdn/shop/products/NormsFarmsGummyFront.png?v=1605978541")</f>
        <v>#NAME?</v>
      </c>
      <c r="H4817" t="e">
        <f ca="1">IMAGE("https://m.media-amazon.com/images/I/61cauq9dZQL._AC_UL320_.jpg")</f>
        <v>#NAME?</v>
      </c>
      <c r="I4817" t="s">
        <v>6011</v>
      </c>
      <c r="J4817">
        <v>21.99</v>
      </c>
      <c r="K4817" s="2" t="s">
        <v>13841</v>
      </c>
      <c r="L4817">
        <v>4.5</v>
      </c>
      <c r="M4817">
        <v>79</v>
      </c>
      <c r="O4817" t="s">
        <v>26</v>
      </c>
      <c r="P4817" t="s">
        <v>39</v>
      </c>
      <c r="Q4817" t="s">
        <v>10351</v>
      </c>
    </row>
    <row r="4818" spans="1:17" ht="15.75" x14ac:dyDescent="0.25">
      <c r="A4818" s="3" t="str">
        <f>HYPERLINK("https://shop.sonapharmacy.com/products/pond-s%C2%AE-cold-cream-make-up-remover-6-1oz", "https://shop.sonapharmacy.com/products/pond-s%C2%AE-cold-cream-make-up-remover-6-1oz")</f>
        <v>https://shop.sonapharmacy.com/products/pond-s%C2%AE-cold-cream-make-up-remover-6-1oz</v>
      </c>
      <c r="B4818" s="3" t="str">
        <f>HYPERLINK("https://shop.sonapharmacy.com/products/pond-s%c2%ae-cold-cream-make-up-remover-6-1oz", "https://shop.sonapharmacy.com/products/pond-s%c2%ae-cold-cream-make-up-remover-6-1oz")</f>
        <v>https://shop.sonapharmacy.com/products/pond-s%c2%ae-cold-cream-make-up-remover-6-1oz</v>
      </c>
      <c r="C4818" t="s">
        <v>10150</v>
      </c>
      <c r="D4818" t="s">
        <v>13842</v>
      </c>
      <c r="E4818" s="3" t="str">
        <f>HYPERLINK("https://www.amazon.com/Ponds-Cream-Make-Up-Remover-Fragrance-Free/dp/B07T6XJLB4/ref=sr_1_6?keywords=POND%E2%80%99S%C2%AE+Cold+Cream+Make-Up+Remover+6.1oz&amp;qid=1695260696&amp;sr=8-6", "https://www.amazon.com/Ponds-Cream-Make-Up-Remover-Fragrance-Free/dp/B07T6XJLB4/ref=sr_1_6?keywords=POND%E2%80%99S%C2%AE+Cold+Cream+Make-Up+Remover+6.1oz&amp;qid=1695260696&amp;sr=8-6")</f>
        <v>https://www.amazon.com/Ponds-Cream-Make-Up-Remover-Fragrance-Free/dp/B07T6XJLB4/ref=sr_1_6?keywords=POND%E2%80%99S%C2%AE+Cold+Cream+Make-Up+Remover+6.1oz&amp;qid=1695260696&amp;sr=8-6</v>
      </c>
      <c r="F4818" t="s">
        <v>13843</v>
      </c>
      <c r="G4818" t="e">
        <f ca="1">IMAGE("https://shop.sonapharmacy.com/cdn/shop/products/233bad93-6828-42d1-806b-ff164795663f_1.53afe850e33b153fa5a01ac3ceadfd71.jpg?v=1608241660")</f>
        <v>#NAME?</v>
      </c>
      <c r="H4818" t="e">
        <f ca="1">IMAGE("https://m.media-amazon.com/images/I/51QaGxrPLEL._AC_UL320_.jpg")</f>
        <v>#NAME?</v>
      </c>
      <c r="I4818" t="s">
        <v>10153</v>
      </c>
      <c r="J4818">
        <v>9.2899999999999991</v>
      </c>
      <c r="K4818" s="2" t="s">
        <v>13844</v>
      </c>
      <c r="L4818">
        <v>4.5999999999999996</v>
      </c>
      <c r="M4818">
        <v>441</v>
      </c>
      <c r="O4818" t="s">
        <v>26</v>
      </c>
      <c r="P4818" t="s">
        <v>39</v>
      </c>
      <c r="Q4818" t="s">
        <v>10155</v>
      </c>
    </row>
    <row r="4819" spans="1:17" ht="15.75" x14ac:dyDescent="0.25">
      <c r="A4819" s="3" t="str">
        <f>HYPERLINK("https://shop.sonapharmacy.com/products/major%C2%AE-original-strength-heartburn-relief-10mg-famotidine-tablets-30ct", "https://shop.sonapharmacy.com/products/major%C2%AE-original-strength-heartburn-relief-10mg-famotidine-tablets-30ct")</f>
        <v>https://shop.sonapharmacy.com/products/major%C2%AE-original-strength-heartburn-relief-10mg-famotidine-tablets-30ct</v>
      </c>
      <c r="B4819" s="3" t="str">
        <f>HYPERLINK("https://shop.sonapharmacy.com/products/major%c2%ae-original-strength-heartburn-relief-10mg-famotidine-tablets-30ct", "https://shop.sonapharmacy.com/products/major%c2%ae-original-strength-heartburn-relief-10mg-famotidine-tablets-30ct")</f>
        <v>https://shop.sonapharmacy.com/products/major%c2%ae-original-strength-heartburn-relief-10mg-famotidine-tablets-30ct</v>
      </c>
      <c r="C4819" t="s">
        <v>13845</v>
      </c>
      <c r="D4819" t="s">
        <v>13846</v>
      </c>
      <c r="E4819" s="3" t="str">
        <f>HYPERLINK("https://www.amazon.com/Pepcid-Famotidine-10mg-30ct/dp/B004FMCN2C/ref=sr_1_1?keywords=Major%C2%AE+Original+Strength+Heartburn+Relief+10mg+Famotidine+Tablets+30ct.&amp;qid=1695260458&amp;sr=8-1", "https://www.amazon.com/Pepcid-Famotidine-10mg-30ct/dp/B004FMCN2C/ref=sr_1_1?keywords=Major%C2%AE+Original+Strength+Heartburn+Relief+10mg+Famotidine+Tablets+30ct.&amp;qid=1695260458&amp;sr=8-1")</f>
        <v>https://www.amazon.com/Pepcid-Famotidine-10mg-30ct/dp/B004FMCN2C/ref=sr_1_1?keywords=Major%C2%AE+Original+Strength+Heartburn+Relief+10mg+Famotidine+Tablets+30ct.&amp;qid=1695260458&amp;sr=8-1</v>
      </c>
      <c r="F4819" t="s">
        <v>13847</v>
      </c>
      <c r="G4819" t="e">
        <f ca="1">IMAGE("https://shop.sonapharmacy.com/cdn/shop/products/famotidine-oral-otc552987.jpg?v=1610912129")</f>
        <v>#NAME?</v>
      </c>
      <c r="H4819" t="e">
        <f ca="1">IMAGE("https://m.media-amazon.com/images/I/61Pdtyti-OL._AC_UL320_.jpg")</f>
        <v>#NAME?</v>
      </c>
      <c r="I4819" t="s">
        <v>8880</v>
      </c>
      <c r="J4819">
        <v>7.49</v>
      </c>
      <c r="K4819" s="2" t="s">
        <v>13848</v>
      </c>
      <c r="L4819">
        <v>4.5999999999999996</v>
      </c>
      <c r="M4819">
        <v>529</v>
      </c>
      <c r="O4819" t="s">
        <v>26</v>
      </c>
      <c r="P4819" t="s">
        <v>39</v>
      </c>
      <c r="Q4819" t="s">
        <v>13849</v>
      </c>
    </row>
    <row r="4820" spans="1:17" ht="15.75" x14ac:dyDescent="0.25">
      <c r="A4820" s="3" t="str">
        <f>HYPERLINK("https://shop.sonapharmacy.com/products/flonase-allergy-relief-spray", "https://shop.sonapharmacy.com/products/flonase-allergy-relief-spray")</f>
        <v>https://shop.sonapharmacy.com/products/flonase-allergy-relief-spray</v>
      </c>
      <c r="B4820" s="3" t="str">
        <f>HYPERLINK("https://shop.sonapharmacy.com/products/flonase-allergy-relief-spray", "https://shop.sonapharmacy.com/products/flonase-allergy-relief-spray")</f>
        <v>https://shop.sonapharmacy.com/products/flonase-allergy-relief-spray</v>
      </c>
      <c r="C4820" t="s">
        <v>12108</v>
      </c>
      <c r="D4820" t="s">
        <v>13850</v>
      </c>
      <c r="E4820" s="3"/>
      <c r="F4820" t="s">
        <v>13851</v>
      </c>
      <c r="G4820" t="e">
        <f ca="1">IMAGE("https://shop.sonapharmacy.com/cdn/shop/products/81W9dcRd7bL._AC_SL1500.jpg?v=1611864793")</f>
        <v>#NAME?</v>
      </c>
      <c r="H4820" t="e">
        <f ca="1">IMAGE("https://m.media-amazon.com/images/I/81kxdJxxHjL._AC_UL320_.jpg")</f>
        <v>#NAME?</v>
      </c>
      <c r="I4820" t="s">
        <v>11894</v>
      </c>
      <c r="J4820">
        <v>18.920000000000002</v>
      </c>
      <c r="K4820" s="2" t="s">
        <v>13852</v>
      </c>
      <c r="L4820">
        <v>4.5999999999999996</v>
      </c>
      <c r="M4820">
        <v>359</v>
      </c>
      <c r="O4820" t="s">
        <v>26</v>
      </c>
      <c r="P4820" t="s">
        <v>39</v>
      </c>
      <c r="Q4820" t="s">
        <v>12111</v>
      </c>
    </row>
    <row r="4821" spans="1:17" ht="15.75" x14ac:dyDescent="0.25">
      <c r="A4821" s="3" t="str">
        <f>HYPERLINK("https://shop.sonapharmacy.com/products/metabolic-maintenance%C2%AE-l-methylfolate-5mg-capsules-90ct", "https://shop.sonapharmacy.com/products/metabolic-maintenance%C2%AE-l-methylfolate-5mg-capsules-90ct")</f>
        <v>https://shop.sonapharmacy.com/products/metabolic-maintenance%C2%AE-l-methylfolate-5mg-capsules-90ct</v>
      </c>
      <c r="B4821" s="3" t="str">
        <f>HYPERLINK("https://shop.sonapharmacy.com/products/metabolic-maintenance%c2%ae-l-methylfolate-5mg-capsules-90ct", "https://shop.sonapharmacy.com/products/metabolic-maintenance%c2%ae-l-methylfolate-5mg-capsules-90ct")</f>
        <v>https://shop.sonapharmacy.com/products/metabolic-maintenance%c2%ae-l-methylfolate-5mg-capsules-90ct</v>
      </c>
      <c r="C4821" t="s">
        <v>13853</v>
      </c>
      <c r="D4821" t="s">
        <v>13854</v>
      </c>
      <c r="E4821" s="3" t="str">
        <f>HYPERLINK("https://www.amazon.com/Metabolic-Maintenance-L-Methylfolate-Active-Capsules/dp/B0083UXH22/ref=sr_1_5?keywords=Metabolic+Maintenance%C2%AE+L-Methylfolate+5mg+Capsules+90ct.&amp;qid=1695260469&amp;sr=8-5", "https://www.amazon.com/Metabolic-Maintenance-L-Methylfolate-Active-Capsules/dp/B0083UXH22/ref=sr_1_5?keywords=Metabolic+Maintenance%C2%AE+L-Methylfolate+5mg+Capsules+90ct.&amp;qid=1695260469&amp;sr=8-5")</f>
        <v>https://www.amazon.com/Metabolic-Maintenance-L-Methylfolate-Active-Capsules/dp/B0083UXH22/ref=sr_1_5?keywords=Metabolic+Maintenance%C2%AE+L-Methylfolate+5mg+Capsules+90ct.&amp;qid=1695260469&amp;sr=8-5</v>
      </c>
      <c r="F4821" t="s">
        <v>13855</v>
      </c>
      <c r="G4821" t="e">
        <f ca="1">IMAGE("https://shop.sonapharmacy.com/cdn/shop/products/61iDNUXDh2L._AC_SL1500.jpg?v=1618329104")</f>
        <v>#NAME?</v>
      </c>
      <c r="H4821" t="e">
        <f ca="1">IMAGE("https://m.media-amazon.com/images/I/61U3YNtYl8L._AC_UL320_.jpg")</f>
        <v>#NAME?</v>
      </c>
      <c r="I4821" t="s">
        <v>3986</v>
      </c>
      <c r="J4821">
        <v>55.5</v>
      </c>
      <c r="K4821" s="2" t="s">
        <v>13856</v>
      </c>
      <c r="L4821">
        <v>4.7</v>
      </c>
      <c r="M4821">
        <v>356</v>
      </c>
      <c r="O4821" t="s">
        <v>26</v>
      </c>
      <c r="P4821" t="s">
        <v>39</v>
      </c>
      <c r="Q4821" t="s">
        <v>13857</v>
      </c>
    </row>
    <row r="4822" spans="1:17" ht="15.75" x14ac:dyDescent="0.25">
      <c r="A4822"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B4822" s="3" t="str">
        <f>HYPERLINK("https://shop.sonapharmacy.com/products/osteo-bi-flex-joint-health-triple-strength-supplement-tablets", "https://shop.sonapharmacy.com/products/osteo-bi-flex-joint-health-triple-strength-supplement-tablets")</f>
        <v>https://shop.sonapharmacy.com/products/osteo-bi-flex-joint-health-triple-strength-supplement-tablets</v>
      </c>
      <c r="C4822" t="s">
        <v>9322</v>
      </c>
      <c r="D4822" t="s">
        <v>12750</v>
      </c>
      <c r="E4822" s="3" t="str">
        <f>HYPERLINK("https://www.amazon.com/Osteo-Bi-Flex%C2%AE-Triple-Strength-Tablets/dp/B00N8ALEEK/ref=sr_1_3?keywords=Osteo+Bi-Flex+Joint+Health+Triple+Strength+Supplement+Tablets&amp;qid=1695260695&amp;sr=8-3", "https://www.amazon.com/Osteo-Bi-Flex%C2%AE-Triple-Strength-Tablets/dp/B00N8ALEEK/ref=sr_1_3?keywords=Osteo+Bi-Flex+Joint+Health+Triple+Strength+Supplement+Tablets&amp;qid=1695260695&amp;sr=8-3")</f>
        <v>https://www.amazon.com/Osteo-Bi-Flex%C2%AE-Triple-Strength-Tablets/dp/B00N8ALEEK/ref=sr_1_3?keywords=Osteo+Bi-Flex+Joint+Health+Triple+Strength+Supplement+Tablets&amp;qid=1695260695&amp;sr=8-3</v>
      </c>
      <c r="F4822" t="s">
        <v>12751</v>
      </c>
      <c r="G4822" t="e">
        <f ca="1">IMAGE("https://shop.sonapharmacy.com/cdn/shop/products/osteobiflextriplestrengthresized.jpg?v=1592492653")</f>
        <v>#NAME?</v>
      </c>
      <c r="H4822" t="e">
        <f ca="1">IMAGE("https://m.media-amazon.com/images/I/81PvEK-C6fL._AC_UL320_.jpg")</f>
        <v>#NAME?</v>
      </c>
      <c r="I4822" t="s">
        <v>9325</v>
      </c>
      <c r="J4822">
        <v>29.9</v>
      </c>
      <c r="K4822" s="2" t="s">
        <v>7461</v>
      </c>
      <c r="L4822">
        <v>4.5</v>
      </c>
      <c r="M4822">
        <v>1122</v>
      </c>
      <c r="O4822" t="s">
        <v>26</v>
      </c>
      <c r="P4822" t="s">
        <v>39</v>
      </c>
      <c r="Q4822" t="s">
        <v>9327</v>
      </c>
    </row>
    <row r="4823" spans="1:17" ht="15.75" x14ac:dyDescent="0.25">
      <c r="A4823" s="3" t="str">
        <f>HYPERLINK("https://shop.sonapharmacy.com/products/mueller%C2%AE-cold-hot-therapy-wrap-large", "https://shop.sonapharmacy.com/products/mueller%C2%AE-cold-hot-therapy-wrap-large")</f>
        <v>https://shop.sonapharmacy.com/products/mueller%C2%AE-cold-hot-therapy-wrap-large</v>
      </c>
      <c r="B4823" s="3" t="str">
        <f>HYPERLINK("https://shop.sonapharmacy.com/products/mueller%c2%ae-cold-hot-therapy-wrap-large", "https://shop.sonapharmacy.com/products/mueller%c2%ae-cold-hot-therapy-wrap-large")</f>
        <v>https://shop.sonapharmacy.com/products/mueller%c2%ae-cold-hot-therapy-wrap-large</v>
      </c>
      <c r="C4823" t="s">
        <v>12781</v>
      </c>
      <c r="D4823" t="s">
        <v>13858</v>
      </c>
      <c r="E4823" s="3" t="str">
        <f>HYPERLINK("https://www.amazon.com/Mueller-Cold-Therapy-Black-Small/dp/B000U0EUVU/ref=sr_1_1?keywords=Mueller%C2%AE+Cold-Hot+Therapy+Wrap&amp;qid=1695260545&amp;sr=8-1", "https://www.amazon.com/Mueller-Cold-Therapy-Black-Small/dp/B000U0EUVU/ref=sr_1_1?keywords=Mueller%C2%AE+Cold-Hot+Therapy+Wrap&amp;qid=1695260545&amp;sr=8-1")</f>
        <v>https://www.amazon.com/Mueller-Cold-Therapy-Black-Small/dp/B000U0EUVU/ref=sr_1_1?keywords=Mueller%C2%AE+Cold-Hot+Therapy+Wrap&amp;qid=1695260545&amp;sr=8-1</v>
      </c>
      <c r="F4823" t="s">
        <v>13859</v>
      </c>
      <c r="G4823" t="e">
        <f ca="1">IMAGE("https://shop.sonapharmacy.com/cdn/shop/products/31591_1000x1000-pad.jpg?v=1609861202")</f>
        <v>#NAME?</v>
      </c>
      <c r="H4823" t="e">
        <f ca="1">IMAGE("https://m.media-amazon.com/images/I/81XYevbn7dL._AC_UL320_.jpg")</f>
        <v>#NAME?</v>
      </c>
      <c r="I4823" t="s">
        <v>12784</v>
      </c>
      <c r="J4823">
        <v>13.02</v>
      </c>
      <c r="K4823" s="2" t="s">
        <v>13860</v>
      </c>
      <c r="L4823">
        <v>4.2</v>
      </c>
      <c r="M4823">
        <v>57</v>
      </c>
      <c r="O4823" t="s">
        <v>26</v>
      </c>
      <c r="P4823" t="s">
        <v>39</v>
      </c>
      <c r="Q4823" t="s">
        <v>12786</v>
      </c>
    </row>
    <row r="4824" spans="1:17" ht="15.75" x14ac:dyDescent="0.25">
      <c r="A4824" s="3" t="str">
        <f>HYPERLINK("https://shop.sonapharmacy.com/products/natures-truth-e-cream-complex-4oz", "https://shop.sonapharmacy.com/products/natures-truth-e-cream-complex-4oz")</f>
        <v>https://shop.sonapharmacy.com/products/natures-truth-e-cream-complex-4oz</v>
      </c>
      <c r="B4824" s="3" t="str">
        <f>HYPERLINK("https://shop.sonapharmacy.com/products/natures-truth-e-cream-complex-4oz", "https://shop.sonapharmacy.com/products/natures-truth-e-cream-complex-4oz")</f>
        <v>https://shop.sonapharmacy.com/products/natures-truth-e-cream-complex-4oz</v>
      </c>
      <c r="C4824" t="s">
        <v>13861</v>
      </c>
      <c r="D4824" t="s">
        <v>13862</v>
      </c>
      <c r="E4824" s="3" t="str">
        <f>HYPERLINK("https://www.amazon.com/Natures-Truth-Vitamin-Cream-Ounce/dp/B06X931RJL/ref=sr_1_1?keywords=Nature%27s+Truth+E-Cream+Complex+4oz.&amp;qid=1695260558&amp;sr=8-1", "https://www.amazon.com/Natures-Truth-Vitamin-Cream-Ounce/dp/B06X931RJL/ref=sr_1_1?keywords=Nature%27s+Truth+E-Cream+Complex+4oz.&amp;qid=1695260558&amp;sr=8-1")</f>
        <v>https://www.amazon.com/Natures-Truth-Vitamin-Cream-Ounce/dp/B06X931RJL/ref=sr_1_1?keywords=Nature%27s+Truth+E-Cream+Complex+4oz.&amp;qid=1695260558&amp;sr=8-1</v>
      </c>
      <c r="F4824" t="s">
        <v>13863</v>
      </c>
      <c r="G4824" t="e">
        <f ca="1">IMAGE("https://shop.sonapharmacy.com/cdn/shop/products/NT4923.png?v=1608317056")</f>
        <v>#NAME?</v>
      </c>
      <c r="H4824" t="e">
        <f ca="1">IMAGE("https://m.media-amazon.com/images/I/71IqqUqlYWL._AC_UL320_.jpg")</f>
        <v>#NAME?</v>
      </c>
      <c r="I4824" t="s">
        <v>10105</v>
      </c>
      <c r="J4824">
        <v>8.39</v>
      </c>
      <c r="K4824" s="2" t="s">
        <v>7047</v>
      </c>
      <c r="L4824">
        <v>4.5999999999999996</v>
      </c>
      <c r="M4824">
        <v>85</v>
      </c>
      <c r="O4824" t="s">
        <v>26</v>
      </c>
      <c r="P4824" t="s">
        <v>39</v>
      </c>
      <c r="Q4824" t="s">
        <v>13864</v>
      </c>
    </row>
    <row r="4825" spans="1:17" ht="15.75" x14ac:dyDescent="0.25">
      <c r="A4825" s="3" t="str">
        <f>HYPERLINK("https://shop.sonapharmacy.com/products/dripdrop-ors-dehydration-relief-electrolyte-powder", "https://shop.sonapharmacy.com/products/dripdrop-ors-dehydration-relief-electrolyte-powder")</f>
        <v>https://shop.sonapharmacy.com/products/dripdrop-ors-dehydration-relief-electrolyte-powder</v>
      </c>
      <c r="B4825" s="3" t="str">
        <f>HYPERLINK("https://shop.sonapharmacy.com/products/dripdrop-ors-dehydration-relief-electrolyte-powder", "https://shop.sonapharmacy.com/products/dripdrop-ors-dehydration-relief-electrolyte-powder")</f>
        <v>https://shop.sonapharmacy.com/products/dripdrop-ors-dehydration-relief-electrolyte-powder</v>
      </c>
      <c r="C4825" t="s">
        <v>8743</v>
      </c>
      <c r="D4825" t="s">
        <v>13865</v>
      </c>
      <c r="E4825" s="3" t="str">
        <f>HYPERLINK("https://www.amazon.com/DripDrop-Electrolyte-Powder-Dehydration-Relief/dp/B0BX6L3B3V/ref=sr_1_2?keywords=DripDrop%C2%AE+ORS+Dehydration+Relief+Electrolyte+Powder&amp;qid=1695260197&amp;sr=8-2", "https://www.amazon.com/DripDrop-Electrolyte-Powder-Dehydration-Relief/dp/B0BX6L3B3V/ref=sr_1_2?keywords=DripDrop%C2%AE+ORS+Dehydration+Relief+Electrolyte+Powder&amp;qid=1695260197&amp;sr=8-2")</f>
        <v>https://www.amazon.com/DripDrop-Electrolyte-Powder-Dehydration-Relief/dp/B0BX6L3B3V/ref=sr_1_2?keywords=DripDrop%C2%AE+ORS+Dehydration+Relief+Electrolyte+Powder&amp;qid=1695260197&amp;sr=8-2</v>
      </c>
      <c r="F4825" t="s">
        <v>13866</v>
      </c>
      <c r="G4825" t="e">
        <f ca="1">IMAGE("https://shop.sonapharmacy.com/cdn/shop/products/DripDropORSDehydrationReliefElectrolytePowder.jpg?v=1594836732")</f>
        <v>#NAME?</v>
      </c>
      <c r="H4825" t="e">
        <f ca="1">IMAGE("https://m.media-amazon.com/images/I/81koi3qVTkL._AC_UL320_.jpg")</f>
        <v>#NAME?</v>
      </c>
      <c r="I4825" t="s">
        <v>4873</v>
      </c>
      <c r="J4825">
        <v>9.6999999999999993</v>
      </c>
      <c r="K4825" s="2" t="s">
        <v>13867</v>
      </c>
      <c r="L4825">
        <v>1</v>
      </c>
      <c r="M4825">
        <v>1</v>
      </c>
      <c r="O4825" t="s">
        <v>26</v>
      </c>
      <c r="P4825" t="s">
        <v>39</v>
      </c>
      <c r="Q4825" t="s">
        <v>8747</v>
      </c>
    </row>
    <row r="4826" spans="1:17" ht="15.75" x14ac:dyDescent="0.25">
      <c r="A4826" s="3" t="str">
        <f>HYPERLINK("https://shop.sonapharmacy.com/products/drive-deluxe-automatic-blood-pressure-monitor", "https://shop.sonapharmacy.com/products/drive-deluxe-automatic-blood-pressure-monitor")</f>
        <v>https://shop.sonapharmacy.com/products/drive-deluxe-automatic-blood-pressure-monitor</v>
      </c>
      <c r="B4826" s="3" t="str">
        <f>HYPERLINK("https://shop.sonapharmacy.com/products/drive-deluxe-automatic-blood-pressure-monitor", "https://shop.sonapharmacy.com/products/drive-deluxe-automatic-blood-pressure-monitor")</f>
        <v>https://shop.sonapharmacy.com/products/drive-deluxe-automatic-blood-pressure-monitor</v>
      </c>
      <c r="C4826" t="s">
        <v>13868</v>
      </c>
      <c r="D4826" t="s">
        <v>13869</v>
      </c>
      <c r="E4826" s="3" t="str">
        <f>HYPERLINK("https://www.amazon.com/Drive-Medical-Automatic-Pressure-Monitor/dp/B06XBP65N9/ref=sr_1_1?keywords=Drive%C2%AE+Deluxe+Automatic+Blood+Pressure+Monitor&amp;qid=1695260221&amp;sr=8-1", "https://www.amazon.com/Drive-Medical-Automatic-Pressure-Monitor/dp/B06XBP65N9/ref=sr_1_1?keywords=Drive%C2%AE+Deluxe+Automatic+Blood+Pressure+Monitor&amp;qid=1695260221&amp;sr=8-1")</f>
        <v>https://www.amazon.com/Drive-Medical-Automatic-Pressure-Monitor/dp/B06XBP65N9/ref=sr_1_1?keywords=Drive%C2%AE+Deluxe+Automatic+Blood+Pressure+Monitor&amp;qid=1695260221&amp;sr=8-1</v>
      </c>
      <c r="F4826" t="s">
        <v>13870</v>
      </c>
      <c r="G4826" t="e">
        <f ca="1">IMAGE("https://shop.sonapharmacy.com/cdn/shop/products/DriveDeluxeAutomaticBloodPressureMonitor.jpg?v=1594216543")</f>
        <v>#NAME?</v>
      </c>
      <c r="H4826" t="e">
        <f ca="1">IMAGE("https://m.media-amazon.com/images/I/81AaQnqlKGL._AC_UL320_.jpg")</f>
        <v>#NAME?</v>
      </c>
      <c r="I4826" t="s">
        <v>13871</v>
      </c>
      <c r="J4826">
        <v>33.07</v>
      </c>
      <c r="K4826" s="2" t="s">
        <v>13872</v>
      </c>
      <c r="L4826">
        <v>4.3</v>
      </c>
      <c r="M4826">
        <v>185</v>
      </c>
      <c r="O4826" t="s">
        <v>26</v>
      </c>
      <c r="P4826" t="s">
        <v>39</v>
      </c>
      <c r="Q4826" t="s">
        <v>13873</v>
      </c>
    </row>
    <row r="4827" spans="1:17" ht="15.75" x14ac:dyDescent="0.25">
      <c r="A4827" s="3" t="str">
        <f>HYPERLINK("https://shop.sonapharmacy.com/products/mueller%C2%AE-cold-hot-therapy-wrap-large", "https://shop.sonapharmacy.com/products/mueller%C2%AE-cold-hot-therapy-wrap-large")</f>
        <v>https://shop.sonapharmacy.com/products/mueller%C2%AE-cold-hot-therapy-wrap-large</v>
      </c>
      <c r="B4827" s="3" t="str">
        <f>HYPERLINK("https://shop.sonapharmacy.com/products/mueller%c2%ae-cold-hot-therapy-wrap-large", "https://shop.sonapharmacy.com/products/mueller%c2%ae-cold-hot-therapy-wrap-large")</f>
        <v>https://shop.sonapharmacy.com/products/mueller%c2%ae-cold-hot-therapy-wrap-large</v>
      </c>
      <c r="C4827" t="s">
        <v>12781</v>
      </c>
      <c r="D4827" t="s">
        <v>13874</v>
      </c>
      <c r="E4827" s="3" t="str">
        <f>HYPERLINK("https://www.amazon.com/HEALSTOK-Therapy-Reusable-Compression-Flexible/dp/B0BKSZW516/ref=sr_1_8?keywords=Mueller%C2%AE+Cold-Hot+Therapy+Wrap&amp;qid=1695260545&amp;sr=8-8", "https://www.amazon.com/HEALSTOK-Therapy-Reusable-Compression-Flexible/dp/B0BKSZW516/ref=sr_1_8?keywords=Mueller%C2%AE+Cold-Hot+Therapy+Wrap&amp;qid=1695260545&amp;sr=8-8")</f>
        <v>https://www.amazon.com/HEALSTOK-Therapy-Reusable-Compression-Flexible/dp/B0BKSZW516/ref=sr_1_8?keywords=Mueller%C2%AE+Cold-Hot+Therapy+Wrap&amp;qid=1695260545&amp;sr=8-8</v>
      </c>
      <c r="F4827" t="s">
        <v>13875</v>
      </c>
      <c r="G4827" t="e">
        <f ca="1">IMAGE("https://shop.sonapharmacy.com/cdn/shop/products/31591_1000x1000-pad.jpg?v=1609861202")</f>
        <v>#NAME?</v>
      </c>
      <c r="H4827" t="e">
        <f ca="1">IMAGE("https://m.media-amazon.com/images/I/616J0eFXcWL._AC_UL320_.jpg")</f>
        <v>#NAME?</v>
      </c>
      <c r="I4827" t="s">
        <v>12784</v>
      </c>
      <c r="J4827">
        <v>12.99</v>
      </c>
      <c r="K4827" s="2" t="s">
        <v>13876</v>
      </c>
      <c r="L4827">
        <v>4.7</v>
      </c>
      <c r="M4827">
        <v>300</v>
      </c>
      <c r="O4827" t="s">
        <v>26</v>
      </c>
      <c r="P4827" t="s">
        <v>39</v>
      </c>
      <c r="Q4827" t="s">
        <v>12786</v>
      </c>
    </row>
    <row r="4828" spans="1:17" ht="15.75" x14ac:dyDescent="0.25">
      <c r="A4828" s="3" t="str">
        <f>HYPERLINK("https://shop.sonapharmacy.com/products/imodium%C2%AE-a-d-anti-diarrheal-caplets-24ct", "https://shop.sonapharmacy.com/products/imodium%C2%AE-a-d-anti-diarrheal-caplets-24ct")</f>
        <v>https://shop.sonapharmacy.com/products/imodium%C2%AE-a-d-anti-diarrheal-caplets-24ct</v>
      </c>
      <c r="B4828" s="3" t="str">
        <f>HYPERLINK("https://shop.sonapharmacy.com/products/imodium%c2%ae-a-d-anti-diarrheal-caplets-24ct", "https://shop.sonapharmacy.com/products/imodium%c2%ae-a-d-anti-diarrheal-caplets-24ct")</f>
        <v>https://shop.sonapharmacy.com/products/imodium%c2%ae-a-d-anti-diarrheal-caplets-24ct</v>
      </c>
      <c r="C4828" t="s">
        <v>13877</v>
      </c>
      <c r="D4828" t="s">
        <v>12776</v>
      </c>
      <c r="E4828" s="3" t="str">
        <f>HYPERLINK("https://www.amazon.com/Imodium-Multi-Symptom-Anti-Diarrheal-Hydrochloride-Simethicone/dp/B084K8F821/ref=sr_1_7?keywords=Imodium%C2%AE+A-D+Anti-Diarrheal+Caplets+24ct.&amp;qid=1695260398&amp;sr=8-7", "https://www.amazon.com/Imodium-Multi-Symptom-Anti-Diarrheal-Hydrochloride-Simethicone/dp/B084K8F821/ref=sr_1_7?keywords=Imodium%C2%AE+A-D+Anti-Diarrheal+Caplets+24ct.&amp;qid=1695260398&amp;sr=8-7")</f>
        <v>https://www.amazon.com/Imodium-Multi-Symptom-Anti-Diarrheal-Hydrochloride-Simethicone/dp/B084K8F821/ref=sr_1_7?keywords=Imodium%C2%AE+A-D+Anti-Diarrheal+Caplets+24ct.&amp;qid=1695260398&amp;sr=8-7</v>
      </c>
      <c r="F4828" t="s">
        <v>12777</v>
      </c>
      <c r="G4828" t="e">
        <f ca="1">IMAGE("https://shop.sonapharmacy.com/cdn/shop/products/81PW9gKpa0L._AC_SL1500.jpg?v=1610672783")</f>
        <v>#NAME?</v>
      </c>
      <c r="H4828" t="e">
        <f ca="1">IMAGE("https://m.media-amazon.com/images/I/71KWjeNWsxL._AC_UL320_.jpg")</f>
        <v>#NAME?</v>
      </c>
      <c r="I4828" t="s">
        <v>13878</v>
      </c>
      <c r="J4828">
        <v>14.28</v>
      </c>
      <c r="K4828" s="2" t="s">
        <v>13879</v>
      </c>
      <c r="L4828">
        <v>4.8</v>
      </c>
      <c r="M4828">
        <v>16318</v>
      </c>
      <c r="O4828" t="s">
        <v>26</v>
      </c>
      <c r="P4828" t="s">
        <v>39</v>
      </c>
      <c r="Q4828" t="s">
        <v>13880</v>
      </c>
    </row>
    <row r="4829" spans="1:17" ht="15.75" x14ac:dyDescent="0.25">
      <c r="A4829" s="3" t="str">
        <f>HYPERLINK("https://shop.sonapharmacy.com/products/cosamin-ds-for-joint-health-dietart-supplement-capsules", "https://shop.sonapharmacy.com/products/cosamin-ds-for-joint-health-dietart-supplement-capsules")</f>
        <v>https://shop.sonapharmacy.com/products/cosamin-ds-for-joint-health-dietart-supplement-capsules</v>
      </c>
      <c r="B4829" s="3" t="str">
        <f>HYPERLINK("https://shop.sonapharmacy.com/products/cosamin-ds-for-joint-health-dietart-supplement-capsules", "https://shop.sonapharmacy.com/products/cosamin-ds-for-joint-health-dietart-supplement-capsules")</f>
        <v>https://shop.sonapharmacy.com/products/cosamin-ds-for-joint-health-dietart-supplement-capsules</v>
      </c>
      <c r="C4829" t="s">
        <v>11027</v>
      </c>
      <c r="D4829" t="s">
        <v>13881</v>
      </c>
      <c r="E4829" s="3" t="str">
        <f>HYPERLINK("https://www.amazon.com/Cosamin-DS-Dietary-Supplement-Capsules/dp/B0000537O8/ref=sr_1_1?keywords=Cosamin%C2%AE+DS+for+Joint+Health+Supplement+Capsules&amp;qid=1695260169&amp;sr=8-1", "https://www.amazon.com/Cosamin-DS-Dietary-Supplement-Capsules/dp/B0000537O8/ref=sr_1_1?keywords=Cosamin%C2%AE+DS+for+Joint+Health+Supplement+Capsules&amp;qid=1695260169&amp;sr=8-1")</f>
        <v>https://www.amazon.com/Cosamin-DS-Dietary-Supplement-Capsules/dp/B0000537O8/ref=sr_1_1?keywords=Cosamin%C2%AE+DS+for+Joint+Health+Supplement+Capsules&amp;qid=1695260169&amp;sr=8-1</v>
      </c>
      <c r="F4829" t="s">
        <v>13882</v>
      </c>
      <c r="G4829" t="e">
        <f ca="1">IMAGE("https://shop.sonapharmacy.com/cdn/shop/products/30c684fe-9527-4269-accf-3de35cb4dfd5_6.58806dd1bafa882a1693a08f8a7031a9.png?v=1609346977")</f>
        <v>#NAME?</v>
      </c>
      <c r="H4829" t="e">
        <f ca="1">IMAGE("https://m.media-amazon.com/images/I/71F-YqXB6gL._AC_UL320_.jpg")</f>
        <v>#NAME?</v>
      </c>
      <c r="I4829" t="s">
        <v>11030</v>
      </c>
      <c r="J4829">
        <v>50.2</v>
      </c>
      <c r="K4829" s="2" t="s">
        <v>13883</v>
      </c>
      <c r="L4829">
        <v>4.5999999999999996</v>
      </c>
      <c r="M4829">
        <v>3337</v>
      </c>
      <c r="O4829" t="s">
        <v>26</v>
      </c>
      <c r="P4829" t="s">
        <v>39</v>
      </c>
      <c r="Q4829" t="s">
        <v>11032</v>
      </c>
    </row>
    <row r="4830" spans="1:17" ht="15.75" x14ac:dyDescent="0.25">
      <c r="A4830" s="3" t="str">
        <f>HYPERLINK("https://shop.sonapharmacy.com/products/aspercreme-pain-relieving-creme-with-lidocaine", "https://shop.sonapharmacy.com/products/aspercreme-pain-relieving-creme-with-lidocaine")</f>
        <v>https://shop.sonapharmacy.com/products/aspercreme-pain-relieving-creme-with-lidocaine</v>
      </c>
      <c r="B4830" s="3" t="str">
        <f>HYPERLINK("https://shop.sonapharmacy.com/products/aspercreme-pain-relieving-creme-with-lidocaine", "https://shop.sonapharmacy.com/products/aspercreme-pain-relieving-creme-with-lidocaine")</f>
        <v>https://shop.sonapharmacy.com/products/aspercreme-pain-relieving-creme-with-lidocaine</v>
      </c>
      <c r="C4830" t="s">
        <v>13884</v>
      </c>
      <c r="D4830" t="s">
        <v>13885</v>
      </c>
      <c r="E4830" s="3" t="str">
        <f>HYPERLINK("https://www.amazon.com/Aspercreme-Lidocaine-Maximum-Strength-Relief/dp/B08WHLTGZN/ref=sr_1_1?keywords=aspercreme+pain+relieving+cream+with+lidocaine&amp;qid=1695260026&amp;sr=8-1", "https://www.amazon.com/Aspercreme-Lidocaine-Maximum-Strength-Relief/dp/B08WHLTGZN/ref=sr_1_1?keywords=aspercreme+pain+relieving+cream+with+lidocaine&amp;qid=1695260026&amp;sr=8-1")</f>
        <v>https://www.amazon.com/Aspercreme-Lidocaine-Maximum-Strength-Relief/dp/B08WHLTGZN/ref=sr_1_1?keywords=aspercreme+pain+relieving+cream+with+lidocaine&amp;qid=1695260026&amp;sr=8-1</v>
      </c>
      <c r="F4830" t="s">
        <v>13886</v>
      </c>
      <c r="G4830" t="e">
        <f ca="1">IMAGE("https://shop.sonapharmacy.com/cdn/shop/products/71N53FLTCxL._AC_SL1500_478b887a-8e87-47fa-996e-600fe87f6b1a.jpg?v=1611193210")</f>
        <v>#NAME?</v>
      </c>
      <c r="H4830" t="e">
        <f ca="1">IMAGE("https://m.media-amazon.com/images/I/61bicIYv5aL._AC_UL320_.jpg")</f>
        <v>#NAME?</v>
      </c>
      <c r="I4830" t="s">
        <v>13887</v>
      </c>
      <c r="J4830">
        <v>10.48</v>
      </c>
      <c r="K4830" s="2" t="s">
        <v>2549</v>
      </c>
      <c r="L4830">
        <v>4.5</v>
      </c>
      <c r="M4830">
        <v>7901</v>
      </c>
      <c r="O4830" t="s">
        <v>26</v>
      </c>
      <c r="P4830" t="s">
        <v>39</v>
      </c>
      <c r="Q4830" t="s">
        <v>13888</v>
      </c>
    </row>
    <row r="4831" spans="1:17" ht="15.75" x14ac:dyDescent="0.25">
      <c r="A4831" s="3" t="str">
        <f>HYPERLINK("https://shop.sonapharmacy.com/products/prevagen-extra-strength-capsules-20-mg", "https://shop.sonapharmacy.com/products/prevagen-extra-strength-capsules-20-mg")</f>
        <v>https://shop.sonapharmacy.com/products/prevagen-extra-strength-capsules-20-mg</v>
      </c>
      <c r="B4831" s="3" t="str">
        <f>HYPERLINK("https://shop.sonapharmacy.com/products/prevagen-extra-strength-capsules-20-mg", "https://shop.sonapharmacy.com/products/prevagen-extra-strength-capsules-20-mg")</f>
        <v>https://shop.sonapharmacy.com/products/prevagen-extra-strength-capsules-20-mg</v>
      </c>
      <c r="C4831" t="s">
        <v>9057</v>
      </c>
      <c r="D4831" t="s">
        <v>12513</v>
      </c>
      <c r="E4831" s="3" t="str">
        <f>HYPERLINK("https://www.amazon.com/Prevagen-Extra-Strength-Chewables-Tablets/dp/B01M6CEO2G/ref=sr_1_9?keywords=Prevagen+Extra+Strength+Capsules+20+mg&amp;qid=1695260651&amp;sr=8-9", "https://www.amazon.com/Prevagen-Extra-Strength-Chewables-Tablets/dp/B01M6CEO2G/ref=sr_1_9?keywords=Prevagen+Extra+Strength+Capsules+20+mg&amp;qid=1695260651&amp;sr=8-9")</f>
        <v>https://www.amazon.com/Prevagen-Extra-Strength-Chewables-Tablets/dp/B01M6CEO2G/ref=sr_1_9?keywords=Prevagen+Extra+Strength+Capsules+20+mg&amp;qid=1695260651&amp;sr=8-9</v>
      </c>
      <c r="F4831" t="s">
        <v>12518</v>
      </c>
      <c r="G4831" t="e">
        <f ca="1">IMAGE("https://shop.sonapharmacy.com/cdn/shop/products/PrevagenExtraStrengthCapsules20mg.jpg?v=1594304097")</f>
        <v>#NAME?</v>
      </c>
      <c r="H4831" t="e">
        <f ca="1">IMAGE("https://m.media-amazon.com/images/I/71VyDap02iL._AC_UL320_.jpg")</f>
        <v>#NAME?</v>
      </c>
      <c r="I4831" t="s">
        <v>9060</v>
      </c>
      <c r="J4831">
        <v>51.95</v>
      </c>
      <c r="K4831" s="2" t="s">
        <v>13889</v>
      </c>
      <c r="L4831">
        <v>4.3</v>
      </c>
      <c r="M4831">
        <v>4591</v>
      </c>
      <c r="O4831" t="s">
        <v>39</v>
      </c>
      <c r="P4831" t="s">
        <v>39</v>
      </c>
      <c r="Q4831" t="s">
        <v>9062</v>
      </c>
    </row>
    <row r="4832" spans="1:17" ht="15.75" x14ac:dyDescent="0.25">
      <c r="A4832" s="3" t="str">
        <f>HYPERLINK("https://shop.sonapharmacy.com/products/theraslim", "https://shop.sonapharmacy.com/products/theraslim")</f>
        <v>https://shop.sonapharmacy.com/products/theraslim</v>
      </c>
      <c r="B4832" s="3" t="str">
        <f>HYPERLINK("https://shop.sonapharmacy.com/products/theraslim", "https://shop.sonapharmacy.com/products/theraslim")</f>
        <v>https://shop.sonapharmacy.com/products/theraslim</v>
      </c>
      <c r="C4832" t="s">
        <v>9845</v>
      </c>
      <c r="D4832" t="s">
        <v>13890</v>
      </c>
      <c r="E4832" s="3" t="str">
        <f>HYPERLINK("https://www.amazon.com/Klaire-Labs-L-Glutamine-Hypoallergenic-Gluten-Free/dp/B001PYXL3I/ref=sr_1_10?keywords=Klaire+Labs+Theraslim+Capsules&amp;qid=1695260437&amp;sr=8-10", "https://www.amazon.com/Klaire-Labs-L-Glutamine-Hypoallergenic-Gluten-Free/dp/B001PYXL3I/ref=sr_1_10?keywords=Klaire+Labs+Theraslim+Capsules&amp;qid=1695260437&amp;sr=8-10")</f>
        <v>https://www.amazon.com/Klaire-Labs-L-Glutamine-Hypoallergenic-Gluten-Free/dp/B001PYXL3I/ref=sr_1_10?keywords=Klaire+Labs+Theraslim+Capsules&amp;qid=1695260437&amp;sr=8-10</v>
      </c>
      <c r="F4832" t="s">
        <v>13891</v>
      </c>
      <c r="G4832" t="e">
        <f ca="1">IMAGE("https://shop.sonapharmacy.com/cdn/shop/products/61UgGn_O7ML._AC_SL1500.jpg?v=1609358113")</f>
        <v>#NAME?</v>
      </c>
      <c r="H4832" t="e">
        <f ca="1">IMAGE("https://m.media-amazon.com/images/I/61HTeloCJDL._AC_UL320_.jpg")</f>
        <v>#NAME?</v>
      </c>
      <c r="I4832" t="s">
        <v>3544</v>
      </c>
      <c r="J4832">
        <v>24.99</v>
      </c>
      <c r="K4832" s="2" t="s">
        <v>13892</v>
      </c>
      <c r="L4832">
        <v>4.5</v>
      </c>
      <c r="M4832">
        <v>58</v>
      </c>
      <c r="O4832" t="s">
        <v>26</v>
      </c>
      <c r="P4832" t="s">
        <v>39</v>
      </c>
      <c r="Q4832" t="s">
        <v>9849</v>
      </c>
    </row>
    <row r="4833" spans="1:17" ht="15.75" x14ac:dyDescent="0.25">
      <c r="A4833"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B4833"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C4833" t="s">
        <v>11756</v>
      </c>
      <c r="D4833" t="s">
        <v>13893</v>
      </c>
      <c r="E4833" s="3" t="str">
        <f>HYPERLINK("https://www.amazon.com/GoodSense-Omeprazole-Delayed-Frequent-Heartburn/dp/B09SMWHS5Y/ref=sr_1_5?keywords=GoodSense%C2%AE+Omeprazole+Delayed+Release+Acid+Reducer+Tablets&amp;qid=1695260366&amp;sr=8-5", "https://www.amazon.com/GoodSense-Omeprazole-Delayed-Frequent-Heartburn/dp/B09SMWHS5Y/ref=sr_1_5?keywords=GoodSense%C2%AE+Omeprazole+Delayed+Release+Acid+Reducer+Tablets&amp;qid=1695260366&amp;sr=8-5")</f>
        <v>https://www.amazon.com/GoodSense-Omeprazole-Delayed-Frequent-Heartburn/dp/B09SMWHS5Y/ref=sr_1_5?keywords=GoodSense%C2%AE+Omeprazole+Delayed+Release+Acid+Reducer+Tablets&amp;qid=1695260366&amp;sr=8-5</v>
      </c>
      <c r="F4833" t="s">
        <v>13894</v>
      </c>
      <c r="G4833" t="e">
        <f ca="1">IMAGE("https://shop.sonapharmacy.com/cdn/shop/products/61mXugZtvTL._AC_SL1000_1a51445e-2089-4814-b7ea-c9463c6da8ef.jpg?v=1611027744")</f>
        <v>#NAME?</v>
      </c>
      <c r="H4833" t="e">
        <f ca="1">IMAGE("https://m.media-amazon.com/images/I/71SJQJjYABL._AC_UL320_.jpg")</f>
        <v>#NAME?</v>
      </c>
      <c r="I4833" t="s">
        <v>10716</v>
      </c>
      <c r="J4833">
        <v>15.99</v>
      </c>
      <c r="K4833" s="2" t="s">
        <v>13892</v>
      </c>
      <c r="L4833">
        <v>4.7</v>
      </c>
      <c r="M4833">
        <v>104</v>
      </c>
      <c r="O4833" t="s">
        <v>26</v>
      </c>
      <c r="P4833" t="s">
        <v>39</v>
      </c>
      <c r="Q4833" t="s">
        <v>11760</v>
      </c>
    </row>
    <row r="4834" spans="1:17" ht="15.75" x14ac:dyDescent="0.25">
      <c r="A4834"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B4834"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C4834" t="s">
        <v>11756</v>
      </c>
      <c r="D4834" t="s">
        <v>13895</v>
      </c>
      <c r="E4834" s="3" t="str">
        <f>HYPERLINK("https://www.amazon.com/Goodsense-Omeprazole-Delayed-Release-Tablets/dp/B01M7565RL/ref=sr_1_3?keywords=GoodSense%C2%AE+Omeprazole+Delayed+Release+Acid+Reducer+Tablets&amp;qid=1695260366&amp;sr=8-3", "https://www.amazon.com/Goodsense-Omeprazole-Delayed-Release-Tablets/dp/B01M7565RL/ref=sr_1_3?keywords=GoodSense%C2%AE+Omeprazole+Delayed+Release+Acid+Reducer+Tablets&amp;qid=1695260366&amp;sr=8-3")</f>
        <v>https://www.amazon.com/Goodsense-Omeprazole-Delayed-Release-Tablets/dp/B01M7565RL/ref=sr_1_3?keywords=GoodSense%C2%AE+Omeprazole+Delayed+Release+Acid+Reducer+Tablets&amp;qid=1695260366&amp;sr=8-3</v>
      </c>
      <c r="F4834" t="s">
        <v>13896</v>
      </c>
      <c r="G4834" t="e">
        <f ca="1">IMAGE("https://shop.sonapharmacy.com/cdn/shop/products/61mXugZtvTL._AC_SL1000_1a51445e-2089-4814-b7ea-c9463c6da8ef.jpg?v=1611027744")</f>
        <v>#NAME?</v>
      </c>
      <c r="H4834" t="e">
        <f ca="1">IMAGE("https://m.media-amazon.com/images/I/614WCt6UeWL._AC_UL320_.jpg")</f>
        <v>#NAME?</v>
      </c>
      <c r="I4834" t="s">
        <v>10716</v>
      </c>
      <c r="J4834">
        <v>15.99</v>
      </c>
      <c r="K4834" s="2" t="s">
        <v>13892</v>
      </c>
      <c r="L4834">
        <v>4.8</v>
      </c>
      <c r="M4834">
        <v>10611</v>
      </c>
      <c r="O4834" t="s">
        <v>26</v>
      </c>
      <c r="P4834" t="s">
        <v>39</v>
      </c>
      <c r="Q4834" t="s">
        <v>11760</v>
      </c>
    </row>
    <row r="4835" spans="1:17" ht="15.75" x14ac:dyDescent="0.25">
      <c r="A4835" s="3" t="str">
        <f>HYPERLINK("https://shop.sonapharmacy.com/products/carex%E2%84%A2-ultra-grip-12in-bath-suction-grab-bar", "https://shop.sonapharmacy.com/products/carex%E2%84%A2-ultra-grip-12in-bath-suction-grab-bar")</f>
        <v>https://shop.sonapharmacy.com/products/carex%E2%84%A2-ultra-grip-12in-bath-suction-grab-bar</v>
      </c>
      <c r="B4835" s="3" t="str">
        <f>HYPERLINK("https://shop.sonapharmacy.com/products/carex%e2%84%a2-ultra-grip-12in-bath-suction-grab-bar", "https://shop.sonapharmacy.com/products/carex%e2%84%a2-ultra-grip-12in-bath-suction-grab-bar")</f>
        <v>https://shop.sonapharmacy.com/products/carex%e2%84%a2-ultra-grip-12in-bath-suction-grab-bar</v>
      </c>
      <c r="C4835" t="s">
        <v>13827</v>
      </c>
      <c r="D4835" t="s">
        <v>13897</v>
      </c>
      <c r="E4835" s="3" t="str">
        <f>HYPERLINK("https://www.amazon.com/Carex-Ultra-Grip-Shower-Grab/dp/B00K2M66TK/ref=sr_1_1?keywords=Carex%E2%84%A2+Ultra+Grip+12in+Bath+Suction+Grab+Bar&amp;qid=1695260131&amp;sr=8-1", "https://www.amazon.com/Carex-Ultra-Grip-Shower-Grab/dp/B00K2M66TK/ref=sr_1_1?keywords=Carex%E2%84%A2+Ultra+Grip+12in+Bath+Suction+Grab+Bar&amp;qid=1695260131&amp;sr=8-1")</f>
        <v>https://www.amazon.com/Carex-Ultra-Grip-Shower-Grab/dp/B00K2M66TK/ref=sr_1_1?keywords=Carex%E2%84%A2+Ultra+Grip+12in+Bath+Suction+Grab+Bar&amp;qid=1695260131&amp;sr=8-1</v>
      </c>
      <c r="F4835" t="s">
        <v>13898</v>
      </c>
      <c r="G4835" t="e">
        <f ca="1">IMAGE("https://shop.sonapharmacy.com/cdn/shop/products/CarexUltraGripGrabBar_2_720x_b850e390-3f2a-4ca2-9cc8-712e9868e1e2.png?v=1609946070")</f>
        <v>#NAME?</v>
      </c>
      <c r="H4835" t="e">
        <f ca="1">IMAGE("https://m.media-amazon.com/images/I/71C9+wxl0qL._AC_UL320_.jpg")</f>
        <v>#NAME?</v>
      </c>
      <c r="I4835" t="s">
        <v>13830</v>
      </c>
      <c r="J4835">
        <v>15.52</v>
      </c>
      <c r="K4835" s="2" t="s">
        <v>13899</v>
      </c>
      <c r="L4835">
        <v>3.8</v>
      </c>
      <c r="M4835">
        <v>1447</v>
      </c>
      <c r="O4835" t="s">
        <v>26</v>
      </c>
      <c r="P4835" t="s">
        <v>39</v>
      </c>
      <c r="Q4835" t="s">
        <v>13832</v>
      </c>
    </row>
    <row r="4836" spans="1:17" ht="15.75" x14ac:dyDescent="0.25">
      <c r="A4836" s="3" t="str">
        <f>HYPERLINK("https://shop.sonapharmacy.com/products/duracell%C2%AE-384-392-silver-oxide-button-battery", "https://shop.sonapharmacy.com/products/duracell%C2%AE-384-392-silver-oxide-button-battery")</f>
        <v>https://shop.sonapharmacy.com/products/duracell%C2%AE-384-392-silver-oxide-button-battery</v>
      </c>
      <c r="B4836" s="3" t="str">
        <f>HYPERLINK("https://shop.sonapharmacy.com/products/duracell%c2%ae-384-392-silver-oxide-button-battery", "https://shop.sonapharmacy.com/products/duracell%c2%ae-384-392-silver-oxide-button-battery")</f>
        <v>https://shop.sonapharmacy.com/products/duracell%c2%ae-384-392-silver-oxide-button-battery</v>
      </c>
      <c r="C4836" t="s">
        <v>12412</v>
      </c>
      <c r="D4836" t="s">
        <v>13900</v>
      </c>
      <c r="E4836" s="3" t="str">
        <f>HYPERLINK("https://www.amazon.com/LOOPACELL-392-Silver-Oxide-Battery/dp/B074F2DXT1/ref=sr_1_7?keywords=Duracell%C2%AE+384%2F392+Silver+Oxide+Button+Battery&amp;qid=1695260213&amp;sr=8-7", "https://www.amazon.com/LOOPACELL-392-Silver-Oxide-Battery/dp/B074F2DXT1/ref=sr_1_7?keywords=Duracell%C2%AE+384%2F392+Silver+Oxide+Button+Battery&amp;qid=1695260213&amp;sr=8-7")</f>
        <v>https://www.amazon.com/LOOPACELL-392-Silver-Oxide-Battery/dp/B074F2DXT1/ref=sr_1_7?keywords=Duracell%C2%AE+384%2F392+Silver+Oxide+Button+Battery&amp;qid=1695260213&amp;sr=8-7</v>
      </c>
      <c r="F4836" t="s">
        <v>13901</v>
      </c>
      <c r="G4836" t="e">
        <f ca="1">IMAGE("https://shop.sonapharmacy.com/cdn/shop/products/0b52d5e3-c879-4b57-80be-c3c0fed3d0de_1.7f064c989c6a1bbc7370a5e30f008f85.jpg?v=1610330993")</f>
        <v>#NAME?</v>
      </c>
      <c r="H4836" t="e">
        <f ca="1">IMAGE("https://m.media-amazon.com/images/I/41N58CVvXvL._AC_UL320_.jpg")</f>
        <v>#NAME?</v>
      </c>
      <c r="I4836" t="s">
        <v>11219</v>
      </c>
      <c r="J4836">
        <v>4.49</v>
      </c>
      <c r="K4836" s="2" t="s">
        <v>13902</v>
      </c>
      <c r="L4836">
        <v>4.3</v>
      </c>
      <c r="M4836">
        <v>159</v>
      </c>
      <c r="O4836" t="s">
        <v>26</v>
      </c>
      <c r="P4836" t="s">
        <v>39</v>
      </c>
      <c r="Q4836" t="s">
        <v>12416</v>
      </c>
    </row>
    <row r="4837" spans="1:17" ht="15.75" x14ac:dyDescent="0.25">
      <c r="A4837" s="3" t="str">
        <f>HYPERLINK("https://shop.sonapharmacy.com/products/osteo-bi-flex-tumeric-joint-health-dietary-supplement-tablets", "https://shop.sonapharmacy.com/products/osteo-bi-flex-tumeric-joint-health-dietary-supplement-tablets")</f>
        <v>https://shop.sonapharmacy.com/products/osteo-bi-flex-tumeric-joint-health-dietary-supplement-tablets</v>
      </c>
      <c r="B4837" s="3" t="str">
        <f>HYPERLINK("https://shop.sonapharmacy.com/products/osteo-bi-flex-tumeric-joint-health-dietary-supplement-tablets", "https://shop.sonapharmacy.com/products/osteo-bi-flex-tumeric-joint-health-dietary-supplement-tablets")</f>
        <v>https://shop.sonapharmacy.com/products/osteo-bi-flex-tumeric-joint-health-dietary-supplement-tablets</v>
      </c>
      <c r="C4837" t="s">
        <v>13903</v>
      </c>
      <c r="D4837" t="s">
        <v>12438</v>
      </c>
      <c r="E4837" s="3" t="str">
        <f>HYPERLINK("https://www.amazon.com/Osteo-Bi-Flex-Supplements-Glucosamine-Supplement/dp/B06WRP5FYD/ref=sr_1_1?keywords=Osteo+Bi-Flex+Tumeric+Joint+Health+Dietary+Supplement+Tablets&amp;qid=1695260628&amp;sr=8-1", "https://www.amazon.com/Osteo-Bi-Flex-Supplements-Glucosamine-Supplement/dp/B06WRP5FYD/ref=sr_1_1?keywords=Osteo+Bi-Flex+Tumeric+Joint+Health+Dietary+Supplement+Tablets&amp;qid=1695260628&amp;sr=8-1")</f>
        <v>https://www.amazon.com/Osteo-Bi-Flex-Supplements-Glucosamine-Supplement/dp/B06WRP5FYD/ref=sr_1_1?keywords=Osteo+Bi-Flex+Tumeric+Joint+Health+Dietary+Supplement+Tablets&amp;qid=1695260628&amp;sr=8-1</v>
      </c>
      <c r="F4837" t="s">
        <v>12439</v>
      </c>
      <c r="G4837" t="e">
        <f ca="1">IMAGE("https://shop.sonapharmacy.com/cdn/shop/products/osteobiflextumericresized.jpg?v=1592492939")</f>
        <v>#NAME?</v>
      </c>
      <c r="H4837" t="e">
        <f ca="1">IMAGE("https://m.media-amazon.com/images/I/811twmbt0KL._AC_UL320_.jpg")</f>
        <v>#NAME?</v>
      </c>
      <c r="I4837" t="s">
        <v>13904</v>
      </c>
      <c r="J4837">
        <v>32.979999999999997</v>
      </c>
      <c r="K4837" s="2" t="s">
        <v>13905</v>
      </c>
      <c r="L4837">
        <v>4.5</v>
      </c>
      <c r="M4837">
        <v>7612</v>
      </c>
      <c r="O4837" t="s">
        <v>136</v>
      </c>
      <c r="P4837" t="s">
        <v>39</v>
      </c>
      <c r="Q4837" t="s">
        <v>13906</v>
      </c>
    </row>
    <row r="4838" spans="1:17" ht="15.75" x14ac:dyDescent="0.25">
      <c r="A4838" s="3" t="str">
        <f>HYPERLINK("https://shop.sonapharmacy.com/products/hair-skin-nail-support", "https://shop.sonapharmacy.com/products/hair-skin-nail-support")</f>
        <v>https://shop.sonapharmacy.com/products/hair-skin-nail-support</v>
      </c>
      <c r="B4838" s="3" t="str">
        <f>HYPERLINK("https://shop.sonapharmacy.com/products/hair-skin-nail-support", "https://shop.sonapharmacy.com/products/hair-skin-nail-support")</f>
        <v>https://shop.sonapharmacy.com/products/hair-skin-nail-support</v>
      </c>
      <c r="C4838" t="s">
        <v>13907</v>
      </c>
      <c r="D4838" t="s">
        <v>13908</v>
      </c>
      <c r="E4838" s="3" t="str">
        <f>HYPERLINK("https://www.amazon.com/Gaia-Herbs-Support-Liquid-Phyto-Capsules/dp/B0036THM8A/ref=sr_1_1?keywords=Gaia%C2%AE+Herbs+Hair%2C+Skin+%26+Nail+Support+Capsules+60ct.&amp;qid=1695260288&amp;sr=8-1", "https://www.amazon.com/Gaia-Herbs-Support-Liquid-Phyto-Capsules/dp/B0036THM8A/ref=sr_1_1?keywords=Gaia%C2%AE+Herbs+Hair%2C+Skin+%26+Nail+Support+Capsules+60ct.&amp;qid=1695260288&amp;sr=8-1")</f>
        <v>https://www.amazon.com/Gaia-Herbs-Support-Liquid-Phyto-Capsules/dp/B0036THM8A/ref=sr_1_1?keywords=Gaia%C2%AE+Herbs+Hair%2C+Skin+%26+Nail+Support+Capsules+60ct.&amp;qid=1695260288&amp;sr=8-1</v>
      </c>
      <c r="F4838" t="s">
        <v>13909</v>
      </c>
      <c r="G4838" t="e">
        <f ca="1">IMAGE("https://shop.sonapharmacy.com/cdn/shop/products/Hairskinandnailscapsules.png?v=1594735886")</f>
        <v>#NAME?</v>
      </c>
      <c r="H4838" t="e">
        <f ca="1">IMAGE("https://m.media-amazon.com/images/I/81BmmAL+gJS._AC_UL320_.jpg")</f>
        <v>#NAME?</v>
      </c>
      <c r="I4838" t="s">
        <v>3404</v>
      </c>
      <c r="J4838">
        <v>28.67</v>
      </c>
      <c r="K4838" s="2" t="s">
        <v>13910</v>
      </c>
      <c r="L4838">
        <v>4.7</v>
      </c>
      <c r="M4838">
        <v>259</v>
      </c>
      <c r="O4838" t="s">
        <v>26</v>
      </c>
      <c r="P4838" t="s">
        <v>39</v>
      </c>
      <c r="Q4838" t="s">
        <v>13911</v>
      </c>
    </row>
    <row r="4839" spans="1:17" ht="15.75" x14ac:dyDescent="0.25">
      <c r="A4839"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B4839"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C4839" t="s">
        <v>11756</v>
      </c>
      <c r="D4839" t="s">
        <v>12800</v>
      </c>
      <c r="E4839" s="3" t="str">
        <f>HYPERLINK("https://www.amazon.com/Goodsense-Omeprazole-Delayed-Release-Strawberry/dp/B07J2ZZTK6/ref=sr_1_4?keywords=GoodSense%C2%AE+Omeprazole+Delayed+Release+Acid+Reducer+Tablets&amp;qid=1695260366&amp;sr=8-4", "https://www.amazon.com/Goodsense-Omeprazole-Delayed-Release-Strawberry/dp/B07J2ZZTK6/ref=sr_1_4?keywords=GoodSense%C2%AE+Omeprazole+Delayed+Release+Acid+Reducer+Tablets&amp;qid=1695260366&amp;sr=8-4")</f>
        <v>https://www.amazon.com/Goodsense-Omeprazole-Delayed-Release-Strawberry/dp/B07J2ZZTK6/ref=sr_1_4?keywords=GoodSense%C2%AE+Omeprazole+Delayed+Release+Acid+Reducer+Tablets&amp;qid=1695260366&amp;sr=8-4</v>
      </c>
      <c r="F4839" t="s">
        <v>12801</v>
      </c>
      <c r="G4839" t="e">
        <f ca="1">IMAGE("https://shop.sonapharmacy.com/cdn/shop/products/61mXugZtvTL._AC_SL1000_1a51445e-2089-4814-b7ea-c9463c6da8ef.jpg?v=1611027744")</f>
        <v>#NAME?</v>
      </c>
      <c r="H4839" t="e">
        <f ca="1">IMAGE("https://m.media-amazon.com/images/I/81BqipafiFL._AC_UL320_.jpg")</f>
        <v>#NAME?</v>
      </c>
      <c r="I4839" t="s">
        <v>10716</v>
      </c>
      <c r="J4839">
        <v>15.89</v>
      </c>
      <c r="K4839" s="2" t="s">
        <v>13912</v>
      </c>
      <c r="L4839">
        <v>4.7</v>
      </c>
      <c r="M4839">
        <v>1353</v>
      </c>
      <c r="O4839" t="s">
        <v>26</v>
      </c>
      <c r="P4839" t="s">
        <v>39</v>
      </c>
      <c r="Q4839" t="s">
        <v>11760</v>
      </c>
    </row>
    <row r="4840" spans="1:17" ht="15.75" x14ac:dyDescent="0.25">
      <c r="A4840" s="3" t="str">
        <f>HYPERLINK("https://shop.sonapharmacy.com/products/senokot-s%C2%AE-dual-action-laxative-stool-softener", "https://shop.sonapharmacy.com/products/senokot-s%C2%AE-dual-action-laxative-stool-softener")</f>
        <v>https://shop.sonapharmacy.com/products/senokot-s%C2%AE-dual-action-laxative-stool-softener</v>
      </c>
      <c r="B4840" s="3" t="str">
        <f>HYPERLINK("https://shop.sonapharmacy.com/products/senokot-s%c2%ae-dual-action-laxative-stool-softener", "https://shop.sonapharmacy.com/products/senokot-s%c2%ae-dual-action-laxative-stool-softener")</f>
        <v>https://shop.sonapharmacy.com/products/senokot-s%c2%ae-dual-action-laxative-stool-softener</v>
      </c>
      <c r="C4840" t="s">
        <v>13913</v>
      </c>
      <c r="D4840" t="s">
        <v>13914</v>
      </c>
      <c r="E4840" s="3" t="str">
        <f>HYPERLINK("https://www.amazon.com/Senokot-S-Ingredient-Dependable-Occasional-constipation/dp/B000IMLSQK/ref=sr_1_1?keywords=Senokot-S%C2%AE+Dual+Action+Laxative+%26+Stool+Softener&amp;qid=1695260770&amp;sr=8-1", "https://www.amazon.com/Senokot-S-Ingredient-Dependable-Occasional-constipation/dp/B000IMLSQK/ref=sr_1_1?keywords=Senokot-S%C2%AE+Dual+Action+Laxative+%26+Stool+Softener&amp;qid=1695260770&amp;sr=8-1")</f>
        <v>https://www.amazon.com/Senokot-S-Ingredient-Dependable-Occasional-constipation/dp/B000IMLSQK/ref=sr_1_1?keywords=Senokot-S%C2%AE+Dual+Action+Laxative+%26+Stool+Softener&amp;qid=1695260770&amp;sr=8-1</v>
      </c>
      <c r="F4840" t="s">
        <v>13915</v>
      </c>
      <c r="G4840" t="e">
        <f ca="1">IMAGE("https://shop.sonapharmacy.com/cdn/shop/products/Senokot-sDualFront.png?v=1606918598")</f>
        <v>#NAME?</v>
      </c>
      <c r="H4840" t="e">
        <f ca="1">IMAGE("https://m.media-amazon.com/images/I/81DoXvPU69L._AC_UL320_.jpg")</f>
        <v>#NAME?</v>
      </c>
      <c r="I4840" t="s">
        <v>3631</v>
      </c>
      <c r="J4840">
        <v>20.05</v>
      </c>
      <c r="K4840" s="2" t="s">
        <v>13916</v>
      </c>
      <c r="L4840">
        <v>4.5999999999999996</v>
      </c>
      <c r="M4840">
        <v>4313</v>
      </c>
      <c r="O4840" t="s">
        <v>26</v>
      </c>
      <c r="P4840" t="s">
        <v>39</v>
      </c>
      <c r="Q4840" t="s">
        <v>13917</v>
      </c>
    </row>
    <row r="4841" spans="1:17" ht="15.75" x14ac:dyDescent="0.25">
      <c r="A4841" s="3" t="str">
        <f>HYPERLINK("https://shop.sonapharmacy.com/products/accu-chek-glucose-guide-control-solution", "https://shop.sonapharmacy.com/products/accu-chek-glucose-guide-control-solution")</f>
        <v>https://shop.sonapharmacy.com/products/accu-chek-glucose-guide-control-solution</v>
      </c>
      <c r="B4841" s="3" t="str">
        <f>HYPERLINK("https://shop.sonapharmacy.com/products/accu-chek-glucose-guide-control-solution", "https://shop.sonapharmacy.com/products/accu-chek-glucose-guide-control-solution")</f>
        <v>https://shop.sonapharmacy.com/products/accu-chek-glucose-guide-control-solution</v>
      </c>
      <c r="C4841" t="s">
        <v>8186</v>
      </c>
      <c r="D4841" t="s">
        <v>13918</v>
      </c>
      <c r="E4841" s="3" t="str">
        <f>HYPERLINK("https://www.amazon.com/Accu-Chek-Diabetes-Control-Solution-Monitoring/dp/B07Z9N3HV2/ref=sr_1_1?keywords=Accu-Chek+Glucose+Guide+Control+Solution&amp;qid=1695260010&amp;sr=8-1", "https://www.amazon.com/Accu-Chek-Diabetes-Control-Solution-Monitoring/dp/B07Z9N3HV2/ref=sr_1_1?keywords=Accu-Chek+Glucose+Guide+Control+Solution&amp;qid=1695260010&amp;sr=8-1")</f>
        <v>https://www.amazon.com/Accu-Chek-Diabetes-Control-Solution-Monitoring/dp/B07Z9N3HV2/ref=sr_1_1?keywords=Accu-Chek+Glucose+Guide+Control+Solution&amp;qid=1695260010&amp;sr=8-1</v>
      </c>
      <c r="F4841" t="s">
        <v>13919</v>
      </c>
      <c r="G4841" t="e">
        <f ca="1">IMAGE("https://shop.sonapharmacy.com/cdn/shop/products/Accu-ChekGlucoseGuideControlSolution.jpg?v=1594224961")</f>
        <v>#NAME?</v>
      </c>
      <c r="H4841" t="e">
        <f ca="1">IMAGE("https://m.media-amazon.com/images/I/416epnPfQJL._AC_UL320_.jpg")</f>
        <v>#NAME?</v>
      </c>
      <c r="I4841" t="s">
        <v>8189</v>
      </c>
      <c r="J4841">
        <v>10</v>
      </c>
      <c r="K4841" s="2" t="s">
        <v>13920</v>
      </c>
      <c r="L4841">
        <v>4.5999999999999996</v>
      </c>
      <c r="M4841">
        <v>1467</v>
      </c>
      <c r="O4841" t="s">
        <v>26</v>
      </c>
      <c r="P4841" t="s">
        <v>39</v>
      </c>
      <c r="Q4841" t="s">
        <v>8191</v>
      </c>
    </row>
    <row r="4842" spans="1:17" ht="15.75" x14ac:dyDescent="0.25">
      <c r="A4842" s="3" t="str">
        <f>HYPERLINK("https://shop.sonapharmacy.com/products/crane%C2%AE-humidifier-demineralization-filter", "https://shop.sonapharmacy.com/products/crane%C2%AE-humidifier-demineralization-filter")</f>
        <v>https://shop.sonapharmacy.com/products/crane%C2%AE-humidifier-demineralization-filter</v>
      </c>
      <c r="B4842" s="3" t="str">
        <f>HYPERLINK("https://shop.sonapharmacy.com/products/crane%c2%ae-humidifier-demineralization-filter", "https://shop.sonapharmacy.com/products/crane%c2%ae-humidifier-demineralization-filter")</f>
        <v>https://shop.sonapharmacy.com/products/crane%c2%ae-humidifier-demineralization-filter</v>
      </c>
      <c r="C4842" t="s">
        <v>10585</v>
      </c>
      <c r="D4842" t="s">
        <v>13921</v>
      </c>
      <c r="E4842" s="3" t="str">
        <f>HYPERLINK("https://www.amazon.com/Demineralization-Ultrasonic-Humidifiers-Decalcification-Replacement/dp/B08R8GMRD3/ref=sr_1_6?keywords=Crane%C2%AE+Humidifier+Demineralization+Filter&amp;qid=1695260170&amp;sr=8-6", "https://www.amazon.com/Demineralization-Ultrasonic-Humidifiers-Decalcification-Replacement/dp/B08R8GMRD3/ref=sr_1_6?keywords=Crane%C2%AE+Humidifier+Demineralization+Filter&amp;qid=1695260170&amp;sr=8-6")</f>
        <v>https://www.amazon.com/Demineralization-Ultrasonic-Humidifiers-Decalcification-Replacement/dp/B08R8GMRD3/ref=sr_1_6?keywords=Crane%C2%AE+Humidifier+Demineralization+Filter&amp;qid=1695260170&amp;sr=8-6</v>
      </c>
      <c r="F4842" t="s">
        <v>13922</v>
      </c>
      <c r="G4842" t="e">
        <f ca="1">IMAGE("https://shop.sonapharmacy.com/cdn/shop/products/84614514782834p.jpg?v=1610908808")</f>
        <v>#NAME?</v>
      </c>
      <c r="H4842" t="e">
        <f ca="1">IMAGE("https://m.media-amazon.com/images/I/81lyU12IcGL._AC_UY218_.jpg")</f>
        <v>#NAME?</v>
      </c>
      <c r="I4842" t="s">
        <v>4275</v>
      </c>
      <c r="J4842">
        <v>11.99</v>
      </c>
      <c r="K4842" s="2" t="s">
        <v>2550</v>
      </c>
      <c r="L4842">
        <v>4.5</v>
      </c>
      <c r="M4842">
        <v>588</v>
      </c>
      <c r="O4842" t="s">
        <v>136</v>
      </c>
      <c r="P4842" t="s">
        <v>39</v>
      </c>
      <c r="Q4842" t="s">
        <v>10589</v>
      </c>
    </row>
    <row r="4843" spans="1:17" ht="15.75" x14ac:dyDescent="0.25">
      <c r="A4843" s="3" t="str">
        <f>HYPERLINK("https://shop.sonapharmacy.com/products/nexcare-gentle-paper-tape-with-dispenser", "https://shop.sonapharmacy.com/products/nexcare-gentle-paper-tape-with-dispenser")</f>
        <v>https://shop.sonapharmacy.com/products/nexcare-gentle-paper-tape-with-dispenser</v>
      </c>
      <c r="B4843" s="3" t="str">
        <f>HYPERLINK("https://shop.sonapharmacy.com/products/nexcare-gentle-paper-tape-with-dispenser", "https://shop.sonapharmacy.com/products/nexcare-gentle-paper-tape-with-dispenser")</f>
        <v>https://shop.sonapharmacy.com/products/nexcare-gentle-paper-tape-with-dispenser</v>
      </c>
      <c r="C4843" t="s">
        <v>9113</v>
      </c>
      <c r="D4843" t="s">
        <v>13923</v>
      </c>
      <c r="E4843" s="3" t="str">
        <f>HYPERLINK("https://www.amazon.com/Nexcare-Tape-Gentle-Paper-x10yd/dp/B004XC6UQO/ref=sr_1_5?keywords=Nexcare+Gentle+Paper+Tape&amp;qid=1695260585&amp;sr=8-5", "https://www.amazon.com/Nexcare-Tape-Gentle-Paper-x10yd/dp/B004XC6UQO/ref=sr_1_5?keywords=Nexcare+Gentle+Paper+Tape&amp;qid=1695260585&amp;sr=8-5")</f>
        <v>https://www.amazon.com/Nexcare-Tape-Gentle-Paper-x10yd/dp/B004XC6UQO/ref=sr_1_5?keywords=Nexcare+Gentle+Paper+Tape&amp;qid=1695260585&amp;sr=8-5</v>
      </c>
      <c r="F4843" t="s">
        <v>13924</v>
      </c>
      <c r="G4843" t="e">
        <f ca="1">IMAGE("https://shop.sonapharmacy.com/cdn/shop/products/817vSXJ0jlL._AC_SL1500.jpg?v=1607703211")</f>
        <v>#NAME?</v>
      </c>
      <c r="H4843" t="e">
        <f ca="1">IMAGE("https://m.media-amazon.com/images/I/71ZOpvvmTfL._AC_UL320_.jpg")</f>
        <v>#NAME?</v>
      </c>
      <c r="I4843" t="s">
        <v>8760</v>
      </c>
      <c r="J4843">
        <v>5.55</v>
      </c>
      <c r="K4843" s="2" t="s">
        <v>13925</v>
      </c>
      <c r="L4843">
        <v>4.2</v>
      </c>
      <c r="M4843">
        <v>39</v>
      </c>
      <c r="O4843" t="s">
        <v>136</v>
      </c>
      <c r="P4843" t="s">
        <v>39</v>
      </c>
      <c r="Q4843" t="s">
        <v>9117</v>
      </c>
    </row>
    <row r="4844" spans="1:17" ht="15.75" x14ac:dyDescent="0.25">
      <c r="A4844" s="3" t="str">
        <f>HYPERLINK("https://shop.sonapharmacy.com/products/coricidin-hbp-cough-cold-relief-tablets", "https://shop.sonapharmacy.com/products/coricidin-hbp-cough-cold-relief-tablets")</f>
        <v>https://shop.sonapharmacy.com/products/coricidin-hbp-cough-cold-relief-tablets</v>
      </c>
      <c r="B4844" s="3" t="str">
        <f>HYPERLINK("https://shop.sonapharmacy.com/products/coricidin-hbp-cough-cold-relief-tablets", "https://shop.sonapharmacy.com/products/coricidin-hbp-cough-cold-relief-tablets")</f>
        <v>https://shop.sonapharmacy.com/products/coricidin-hbp-cough-cold-relief-tablets</v>
      </c>
      <c r="C4844" t="s">
        <v>9663</v>
      </c>
      <c r="D4844" t="s">
        <v>13926</v>
      </c>
      <c r="E4844" s="3" t="str">
        <f>HYPERLINK("https://www.amazon.com/Coricidin-Decongestant-Free-Maximum-Strength-Multi-Symptom/dp/B088Z2GNQ3/ref=sr_1_1?keywords=Coricidin%C2%AE+HBP+Cough+%26+Cold+Relief+Tablets&amp;qid=1695260160&amp;rdc=1&amp;sr=8-1", "https://www.amazon.com/Coricidin-Decongestant-Free-Maximum-Strength-Multi-Symptom/dp/B088Z2GNQ3/ref=sr_1_1?keywords=Coricidin%C2%AE+HBP+Cough+%26+Cold+Relief+Tablets&amp;qid=1695260160&amp;rdc=1&amp;sr=8-1")</f>
        <v>https://www.amazon.com/Coricidin-Decongestant-Free-Maximum-Strength-Multi-Symptom/dp/B088Z2GNQ3/ref=sr_1_1?keywords=Coricidin%C2%AE+HBP+Cough+%26+Cold+Relief+Tablets&amp;qid=1695260160&amp;rdc=1&amp;sr=8-1</v>
      </c>
      <c r="F4844" t="s">
        <v>13927</v>
      </c>
      <c r="G4844" t="e">
        <f ca="1">IMAGE("https://shop.sonapharmacy.com/cdn/shop/products/CoricidinHBPCough_ColdReliefTablets.png?v=1595523273")</f>
        <v>#NAME?</v>
      </c>
      <c r="H4844" t="e">
        <f ca="1">IMAGE("https://m.media-amazon.com/images/I/813Oxv75e2L._AC_UL320_.jpg")</f>
        <v>#NAME?</v>
      </c>
      <c r="I4844" t="s">
        <v>8231</v>
      </c>
      <c r="J4844">
        <v>10.46</v>
      </c>
      <c r="K4844" s="2" t="s">
        <v>13928</v>
      </c>
      <c r="L4844">
        <v>4.7</v>
      </c>
      <c r="M4844">
        <v>2205</v>
      </c>
      <c r="O4844" t="s">
        <v>26</v>
      </c>
      <c r="P4844" t="s">
        <v>39</v>
      </c>
      <c r="Q4844" t="s">
        <v>9667</v>
      </c>
    </row>
    <row r="4845" spans="1:17" ht="15.75" x14ac:dyDescent="0.25">
      <c r="A4845" s="3" t="str">
        <f>HYPERLINK("https://shop.sonapharmacy.com/products/coricidin-hbp-cold-flu-relief-tablets", "https://shop.sonapharmacy.com/products/coricidin-hbp-cold-flu-relief-tablets")</f>
        <v>https://shop.sonapharmacy.com/products/coricidin-hbp-cold-flu-relief-tablets</v>
      </c>
      <c r="B4845" s="3" t="str">
        <f>HYPERLINK("https://shop.sonapharmacy.com/products/coricidin-hbp-cold-flu-relief-tablets", "https://shop.sonapharmacy.com/products/coricidin-hbp-cold-flu-relief-tablets")</f>
        <v>https://shop.sonapharmacy.com/products/coricidin-hbp-cold-flu-relief-tablets</v>
      </c>
      <c r="C4845" t="s">
        <v>8228</v>
      </c>
      <c r="D4845" t="s">
        <v>13926</v>
      </c>
      <c r="E4845" s="3" t="str">
        <f>HYPERLINK("https://www.amazon.com/Coricidin-Decongestant-Free-Maximum-Strength-Multi-Symptom/dp/B088Z2GNQ3/ref=sr_1_1?keywords=Coricidin%C2%AE+HBP+Cold+%26+Flu+Relief+Tablets&amp;qid=1695260159&amp;rdc=1&amp;sr=8-1", "https://www.amazon.com/Coricidin-Decongestant-Free-Maximum-Strength-Multi-Symptom/dp/B088Z2GNQ3/ref=sr_1_1?keywords=Coricidin%C2%AE+HBP+Cold+%26+Flu+Relief+Tablets&amp;qid=1695260159&amp;rdc=1&amp;sr=8-1")</f>
        <v>https://www.amazon.com/Coricidin-Decongestant-Free-Maximum-Strength-Multi-Symptom/dp/B088Z2GNQ3/ref=sr_1_1?keywords=Coricidin%C2%AE+HBP+Cold+%26+Flu+Relief+Tablets&amp;qid=1695260159&amp;rdc=1&amp;sr=8-1</v>
      </c>
      <c r="F4845" t="s">
        <v>13927</v>
      </c>
      <c r="G4845" t="e">
        <f ca="1">IMAGE("https://shop.sonapharmacy.com/cdn/shop/products/CoricidinHBPCold_FluReliefTablets.png?v=1595528416")</f>
        <v>#NAME?</v>
      </c>
      <c r="H4845" t="e">
        <f ca="1">IMAGE("https://m.media-amazon.com/images/I/813Oxv75e2L._AC_UL320_.jpg")</f>
        <v>#NAME?</v>
      </c>
      <c r="I4845" t="s">
        <v>8231</v>
      </c>
      <c r="J4845">
        <v>10.46</v>
      </c>
      <c r="K4845" s="2" t="s">
        <v>13928</v>
      </c>
      <c r="L4845">
        <v>4.7</v>
      </c>
      <c r="M4845">
        <v>2205</v>
      </c>
      <c r="O4845" t="s">
        <v>26</v>
      </c>
      <c r="P4845" t="s">
        <v>39</v>
      </c>
      <c r="Q4845" t="s">
        <v>8233</v>
      </c>
    </row>
    <row r="4846" spans="1:17" ht="15.75" x14ac:dyDescent="0.25">
      <c r="A4846" s="3" t="str">
        <f>HYPERLINK("https://shop.sonapharmacy.com/products/liquid-i-v-hydration-multiplier-8pck", "https://shop.sonapharmacy.com/products/liquid-i-v-hydration-multiplier-8pck")</f>
        <v>https://shop.sonapharmacy.com/products/liquid-i-v-hydration-multiplier-8pck</v>
      </c>
      <c r="B4846" s="3" t="str">
        <f>HYPERLINK("https://shop.sonapharmacy.com/products/liquid-i-v-hydration-multiplier-8pck", "https://shop.sonapharmacy.com/products/liquid-i-v-hydration-multiplier-8pck")</f>
        <v>https://shop.sonapharmacy.com/products/liquid-i-v-hydration-multiplier-8pck</v>
      </c>
      <c r="C4846" t="s">
        <v>9679</v>
      </c>
      <c r="D4846" t="s">
        <v>13929</v>
      </c>
      <c r="E4846" s="3" t="str">
        <f>HYPERLINK("https://www.amazon.com/Liquid-I-V-Multiplier-Electrolyte-Supplement/dp/B07HCLQZF7/ref=sr_1_4?keywords=Liquid+I.V%C2%AE+Hydration+Multiplier+Electrolyte+Mix+8pck&amp;qid=1695260452&amp;sr=8-4", "https://www.amazon.com/Liquid-I-V-Multiplier-Electrolyte-Supplement/dp/B07HCLQZF7/ref=sr_1_4?keywords=Liquid+I.V%C2%AE+Hydration+Multiplier+Electrolyte+Mix+8pck&amp;qid=1695260452&amp;sr=8-4")</f>
        <v>https://www.amazon.com/Liquid-I-V-Multiplier-Electrolyte-Supplement/dp/B07HCLQZF7/ref=sr_1_4?keywords=Liquid+I.V%C2%AE+Hydration+Multiplier+Electrolyte+Mix+8pck&amp;qid=1695260452&amp;sr=8-4</v>
      </c>
      <c r="F4846" t="s">
        <v>13930</v>
      </c>
      <c r="G4846" t="e">
        <f ca="1">IMAGE("https://shop.sonapharmacy.com/cdn/shop/products/passionfruit.jpg?v=1610031991")</f>
        <v>#NAME?</v>
      </c>
      <c r="H4846" t="e">
        <f ca="1">IMAGE("https://m.media-amazon.com/images/I/71N4DD1NKpL._AC_UL320_.jpg")</f>
        <v>#NAME?</v>
      </c>
      <c r="I4846" t="s">
        <v>3458</v>
      </c>
      <c r="J4846">
        <v>18.989999999999998</v>
      </c>
      <c r="K4846" s="2" t="s">
        <v>7880</v>
      </c>
      <c r="L4846">
        <v>4.3</v>
      </c>
      <c r="M4846">
        <v>1856</v>
      </c>
      <c r="O4846" t="s">
        <v>26</v>
      </c>
      <c r="P4846" t="s">
        <v>39</v>
      </c>
      <c r="Q4846" t="s">
        <v>9683</v>
      </c>
    </row>
    <row r="4847" spans="1:17" ht="15.75" x14ac:dyDescent="0.25">
      <c r="A4847" s="3" t="str">
        <f>HYPERLINK("https://shop.sonapharmacy.com/products/colace-regular-strength-stool-softener", "https://shop.sonapharmacy.com/products/colace-regular-strength-stool-softener")</f>
        <v>https://shop.sonapharmacy.com/products/colace-regular-strength-stool-softener</v>
      </c>
      <c r="B4847" s="3" t="str">
        <f>HYPERLINK("https://shop.sonapharmacy.com/products/colace-regular-strength-stool-softener", "https://shop.sonapharmacy.com/products/colace-regular-strength-stool-softener")</f>
        <v>https://shop.sonapharmacy.com/products/colace-regular-strength-stool-softener</v>
      </c>
      <c r="C4847" t="s">
        <v>12744</v>
      </c>
      <c r="D4847" t="s">
        <v>13931</v>
      </c>
      <c r="E4847" s="3" t="str">
        <f>HYPERLINK("https://www.amazon.com/Strength-Softener-Capsules-Docusate-Dependable/dp/B07M7ZXJLZ/ref=sr_1_3?keywords=Colace%C2%AE+Regular+Strength+Stool+Softener&amp;qid=1695260146&amp;sr=8-3", "https://www.amazon.com/Strength-Softener-Capsules-Docusate-Dependable/dp/B07M7ZXJLZ/ref=sr_1_3?keywords=Colace%C2%AE+Regular+Strength+Stool+Softener&amp;qid=1695260146&amp;sr=8-3")</f>
        <v>https://www.amazon.com/Strength-Softener-Capsules-Docusate-Dependable/dp/B07M7ZXJLZ/ref=sr_1_3?keywords=Colace%C2%AE+Regular+Strength+Stool+Softener&amp;qid=1695260146&amp;sr=8-3</v>
      </c>
      <c r="F4847" t="s">
        <v>13932</v>
      </c>
      <c r="G4847" t="e">
        <f ca="1">IMAGE("https://shop.sonapharmacy.com/cdn/shop/products/ColaceRSFront.png?v=1606925161")</f>
        <v>#NAME?</v>
      </c>
      <c r="H4847" t="e">
        <f ca="1">IMAGE("https://m.media-amazon.com/images/I/41pDBqO6hRL._AC_UL320_.jpg")</f>
        <v>#NAME?</v>
      </c>
      <c r="I4847" t="s">
        <v>12747</v>
      </c>
      <c r="J4847">
        <v>24</v>
      </c>
      <c r="K4847" s="2" t="s">
        <v>13933</v>
      </c>
      <c r="L4847">
        <v>4.5</v>
      </c>
      <c r="M4847">
        <v>191</v>
      </c>
      <c r="O4847" t="s">
        <v>26</v>
      </c>
      <c r="P4847" t="s">
        <v>39</v>
      </c>
      <c r="Q4847" t="s">
        <v>12749</v>
      </c>
    </row>
    <row r="4848" spans="1:17" ht="15.75" x14ac:dyDescent="0.25">
      <c r="A4848" s="3" t="str">
        <f>HYPERLINK("https://shop.sonapharmacy.com/products/amlactin%C2%AE-daily-moisturizing-body-lotion", "https://shop.sonapharmacy.com/products/amlactin%C2%AE-daily-moisturizing-body-lotion")</f>
        <v>https://shop.sonapharmacy.com/products/amlactin%C2%AE-daily-moisturizing-body-lotion</v>
      </c>
      <c r="B4848" s="3" t="str">
        <f>HYPERLINK("https://shop.sonapharmacy.com/products/amlactin%c2%ae-daily-moisturizing-body-lotion", "https://shop.sonapharmacy.com/products/amlactin%c2%ae-daily-moisturizing-body-lotion")</f>
        <v>https://shop.sonapharmacy.com/products/amlactin%c2%ae-daily-moisturizing-body-lotion</v>
      </c>
      <c r="C4848" t="s">
        <v>11054</v>
      </c>
      <c r="D4848" t="s">
        <v>13934</v>
      </c>
      <c r="E4848" s="3" t="str">
        <f>HYPERLINK("https://www.amazon.com/AmLactin-Daily-Vitamin-Lotion-Skin-Brightening/dp/B0C3K3PQLB/ref=sr_1_4?keywords=AmLactin+Daily+Moisturizing+Body+Lotion&amp;qid=1695260004&amp;sr=8-4", "https://www.amazon.com/AmLactin-Daily-Vitamin-Lotion-Skin-Brightening/dp/B0C3K3PQLB/ref=sr_1_4?keywords=AmLactin+Daily+Moisturizing+Body+Lotion&amp;qid=1695260004&amp;sr=8-4")</f>
        <v>https://www.amazon.com/AmLactin-Daily-Vitamin-Lotion-Skin-Brightening/dp/B0C3K3PQLB/ref=sr_1_4?keywords=AmLactin+Daily+Moisturizing+Body+Lotion&amp;qid=1695260004&amp;sr=8-4</v>
      </c>
      <c r="F4848" t="s">
        <v>13935</v>
      </c>
      <c r="G4848" t="e">
        <f ca="1">IMAGE("https://shop.sonapharmacy.com/cdn/shop/products/043dc7fe-a480-4655-88db-8b40c338edbb_1.8cd1d0af8c994bebf80e2e186559c036.jpg?v=1611169026")</f>
        <v>#NAME?</v>
      </c>
      <c r="H4848" t="e">
        <f ca="1">IMAGE("https://m.media-amazon.com/images/I/61n-AxqRQYL._AC_UL320_.jpg")</f>
        <v>#NAME?</v>
      </c>
      <c r="I4848" t="s">
        <v>9290</v>
      </c>
      <c r="J4848">
        <v>16.07</v>
      </c>
      <c r="K4848" s="2" t="s">
        <v>13936</v>
      </c>
      <c r="L4848">
        <v>4.4000000000000004</v>
      </c>
      <c r="M4848">
        <v>88</v>
      </c>
      <c r="O4848" t="s">
        <v>26</v>
      </c>
      <c r="P4848" t="s">
        <v>39</v>
      </c>
      <c r="Q4848" t="s">
        <v>11058</v>
      </c>
    </row>
    <row r="4849" spans="1:17" ht="15.75" x14ac:dyDescent="0.25">
      <c r="A4849" s="3" t="str">
        <f>HYPERLINK("https://shop.sonapharmacy.com/products/citrucel%C2%AE-orange-flavor-sugar-free-fiber-powder-16-9oz", "https://shop.sonapharmacy.com/products/citrucel%C2%AE-orange-flavor-sugar-free-fiber-powder-16-9oz")</f>
        <v>https://shop.sonapharmacy.com/products/citrucel%C2%AE-orange-flavor-sugar-free-fiber-powder-16-9oz</v>
      </c>
      <c r="B4849" s="3" t="str">
        <f>HYPERLINK("https://shop.sonapharmacy.com/products/citrucel%c2%ae-orange-flavor-sugar-free-fiber-powder-16-9oz", "https://shop.sonapharmacy.com/products/citrucel%c2%ae-orange-flavor-sugar-free-fiber-powder-16-9oz")</f>
        <v>https://shop.sonapharmacy.com/products/citrucel%c2%ae-orange-flavor-sugar-free-fiber-powder-16-9oz</v>
      </c>
      <c r="C4849" t="s">
        <v>9539</v>
      </c>
      <c r="D4849" t="s">
        <v>13937</v>
      </c>
      <c r="E4849" s="3" t="str">
        <f>HYPERLINK("https://www.amazon.com/Citrucel-Orange-Methylcellulose-Therapy-Regularity/dp/B001F0QZBC/ref=sr_1_1?keywords=Citrucel%C2%AE+Orange+Flavor+Sugar-Free+Fiber+Powder+16.9oz.&amp;qid=1695260135&amp;rdc=1&amp;sr=8-1", "https://www.amazon.com/Citrucel-Orange-Methylcellulose-Therapy-Regularity/dp/B001F0QZBC/ref=sr_1_1?keywords=Citrucel%C2%AE+Orange+Flavor+Sugar-Free+Fiber+Powder+16.9oz.&amp;qid=1695260135&amp;rdc=1&amp;sr=8-1")</f>
        <v>https://www.amazon.com/Citrucel-Orange-Methylcellulose-Therapy-Regularity/dp/B001F0QZBC/ref=sr_1_1?keywords=Citrucel%C2%AE+Orange+Flavor+Sugar-Free+Fiber+Powder+16.9oz.&amp;qid=1695260135&amp;rdc=1&amp;sr=8-1</v>
      </c>
      <c r="F4849" t="s">
        <v>13938</v>
      </c>
      <c r="G4849" t="e">
        <f ca="1">IMAGE("https://shop.sonapharmacy.com/cdn/shop/products/711W3DclJgL._AC_SL1500.jpg?v=1610982192")</f>
        <v>#NAME?</v>
      </c>
      <c r="H4849" t="e">
        <f ca="1">IMAGE("https://m.media-amazon.com/images/I/812H-FhhzHS._AC_UL320_.jpg")</f>
        <v>#NAME?</v>
      </c>
      <c r="I4849" t="s">
        <v>9542</v>
      </c>
      <c r="J4849">
        <v>19.989999999999998</v>
      </c>
      <c r="K4849" s="2" t="s">
        <v>5614</v>
      </c>
      <c r="L4849">
        <v>4.5999999999999996</v>
      </c>
      <c r="M4849">
        <v>7409</v>
      </c>
      <c r="O4849" t="s">
        <v>26</v>
      </c>
      <c r="P4849" t="s">
        <v>39</v>
      </c>
      <c r="Q4849" t="s">
        <v>9544</v>
      </c>
    </row>
    <row r="4850" spans="1:17" ht="15.75" x14ac:dyDescent="0.25">
      <c r="A4850" s="3" t="str">
        <f>HYPERLINK("https://shop.sonapharmacy.com/products/lotrimin%C2%AE-daily-sweat-odor-control-medicated-foot-powder-6-25oz", "https://shop.sonapharmacy.com/products/lotrimin%C2%AE-daily-sweat-odor-control-medicated-foot-powder-6-25oz")</f>
        <v>https://shop.sonapharmacy.com/products/lotrimin%C2%AE-daily-sweat-odor-control-medicated-foot-powder-6-25oz</v>
      </c>
      <c r="B4850" s="3" t="str">
        <f>HYPERLINK("https://shop.sonapharmacy.com/products/lotrimin%c2%ae-daily-sweat-odor-control-medicated-foot-powder-6-25oz", "https://shop.sonapharmacy.com/products/lotrimin%c2%ae-daily-sweat-odor-control-medicated-foot-powder-6-25oz")</f>
        <v>https://shop.sonapharmacy.com/products/lotrimin%c2%ae-daily-sweat-odor-control-medicated-foot-powder-6-25oz</v>
      </c>
      <c r="C4850" t="s">
        <v>13939</v>
      </c>
      <c r="D4850" t="s">
        <v>13940</v>
      </c>
      <c r="E4850" s="3" t="str">
        <f>HYPERLINK("https://www.amazon.com/Lotrimin-Daily-Control-Medicated-Powder/dp/B08DK3YN33/ref=sr_1_1?keywords=Lotrimin%C2%AE+Daily+Sweat+%26+Odor+Control+Medicated+Foot+Powder+6.25oz.&amp;qid=1695260486&amp;rdc=1&amp;sr=8-1", "https://www.amazon.com/Lotrimin-Daily-Control-Medicated-Powder/dp/B08DK3YN33/ref=sr_1_1?keywords=Lotrimin%C2%AE+Daily+Sweat+%26+Odor+Control+Medicated+Foot+Powder+6.25oz.&amp;qid=1695260486&amp;rdc=1&amp;sr=8-1")</f>
        <v>https://www.amazon.com/Lotrimin-Daily-Control-Medicated-Powder/dp/B08DK3YN33/ref=sr_1_1?keywords=Lotrimin%C2%AE+Daily+Sweat+%26+Odor+Control+Medicated+Foot+Powder+6.25oz.&amp;qid=1695260486&amp;rdc=1&amp;sr=8-1</v>
      </c>
      <c r="F4850" t="s">
        <v>13941</v>
      </c>
      <c r="G4850" t="e">
        <f ca="1">IMAGE("https://shop.sonapharmacy.com/cdn/shop/products/71hwp1q27IL._AC_SL1500.jpg?v=1610336750")</f>
        <v>#NAME?</v>
      </c>
      <c r="H4850" t="e">
        <f ca="1">IMAGE("https://m.media-amazon.com/images/I/71iW-60ZzML._AC_UL320_.jpg")</f>
        <v>#NAME?</v>
      </c>
      <c r="I4850" t="s">
        <v>8487</v>
      </c>
      <c r="J4850">
        <v>6.97</v>
      </c>
      <c r="K4850" s="2" t="s">
        <v>13942</v>
      </c>
      <c r="L4850">
        <v>4.5999999999999996</v>
      </c>
      <c r="M4850">
        <v>4144</v>
      </c>
      <c r="O4850" t="s">
        <v>26</v>
      </c>
      <c r="P4850" t="s">
        <v>39</v>
      </c>
      <c r="Q4850" t="s">
        <v>13943</v>
      </c>
    </row>
    <row r="4851" spans="1:17" ht="15.75" x14ac:dyDescent="0.25">
      <c r="A4851" s="3" t="str">
        <f>HYPERLINK("https://shop.sonapharmacy.com/products/duracell%C2%AE-2025-3v-lithium-coin-battery-1", "https://shop.sonapharmacy.com/products/duracell%C2%AE-2025-3v-lithium-coin-battery-1")</f>
        <v>https://shop.sonapharmacy.com/products/duracell%C2%AE-2025-3v-lithium-coin-battery-1</v>
      </c>
      <c r="B4851" s="3" t="str">
        <f>HYPERLINK("https://shop.sonapharmacy.com/products/duracell%c2%ae-2025-3v-lithium-coin-battery-1", "https://shop.sonapharmacy.com/products/duracell%c2%ae-2025-3v-lithium-coin-battery-1")</f>
        <v>https://shop.sonapharmacy.com/products/duracell%c2%ae-2025-3v-lithium-coin-battery-1</v>
      </c>
      <c r="C4851" t="s">
        <v>13944</v>
      </c>
      <c r="D4851" t="s">
        <v>13945</v>
      </c>
      <c r="E4851" s="3" t="str">
        <f>HYPERLINK("https://www.amazon.com/Procter-Gamble-66389-DURA4PK-Battery/dp/B00QJD13OE/ref=sr_1_1?keywords=Duracell%C2%AE+2016+3V+Lithium+Coin+Battery&amp;qid=1695260213&amp;sr=8-1", "https://www.amazon.com/Procter-Gamble-66389-DURA4PK-Battery/dp/B00QJD13OE/ref=sr_1_1?keywords=Duracell%C2%AE+2016+3V+Lithium+Coin+Battery&amp;qid=1695260213&amp;sr=8-1")</f>
        <v>https://www.amazon.com/Procter-Gamble-66389-DURA4PK-Battery/dp/B00QJD13OE/ref=sr_1_1?keywords=Duracell%C2%AE+2016+3V+Lithium+Coin+Battery&amp;qid=1695260213&amp;sr=8-1</v>
      </c>
      <c r="F4851" t="s">
        <v>13946</v>
      </c>
      <c r="G4851" t="e">
        <f ca="1">IMAGE("https://shop.sonapharmacy.com/cdn/shop/products/sp35505472_sc7.jpg?v=1610333256")</f>
        <v>#NAME?</v>
      </c>
      <c r="H4851" t="e">
        <f ca="1">IMAGE("https://m.media-amazon.com/images/I/71ODcJ5z4yL._AC_UL320_.jpg")</f>
        <v>#NAME?</v>
      </c>
      <c r="I4851" t="s">
        <v>9072</v>
      </c>
      <c r="J4851">
        <v>7.1</v>
      </c>
      <c r="K4851" s="2" t="s">
        <v>13947</v>
      </c>
      <c r="L4851">
        <v>4.5</v>
      </c>
      <c r="M4851">
        <v>5042</v>
      </c>
      <c r="O4851" t="s">
        <v>26</v>
      </c>
      <c r="P4851" t="s">
        <v>39</v>
      </c>
      <c r="Q4851" t="s">
        <v>13948</v>
      </c>
    </row>
    <row r="4852" spans="1:17" ht="15.75" x14ac:dyDescent="0.25">
      <c r="A4852" s="3" t="str">
        <f>HYPERLINK("https://shop.sonapharmacy.com/products/battle-creek-ice-it-%C2%AE-maxcomfort%E2%84%A2-system", "https://shop.sonapharmacy.com/products/battle-creek-ice-it-%C2%AE-maxcomfort%E2%84%A2-system")</f>
        <v>https://shop.sonapharmacy.com/products/battle-creek-ice-it-%C2%AE-maxcomfort%E2%84%A2-system</v>
      </c>
      <c r="B4852" s="3" t="str">
        <f>HYPERLINK("https://shop.sonapharmacy.com/products/battle-creek-ice-it-%c2%ae-maxcomfort%e2%84%a2-system", "https://shop.sonapharmacy.com/products/battle-creek-ice-it-%c2%ae-maxcomfort%e2%84%a2-system")</f>
        <v>https://shop.sonapharmacy.com/products/battle-creek-ice-it-%c2%ae-maxcomfort%e2%84%a2-system</v>
      </c>
      <c r="C4852" t="s">
        <v>12341</v>
      </c>
      <c r="D4852" t="s">
        <v>13949</v>
      </c>
      <c r="E4852" s="3" t="str">
        <f>HYPERLINK("https://www.amazon.com/Cold-Therapy-System-Ice-Wrist/dp/B01FXJN2KC/ref=sr_1_3?keywords=Battle+Creek+Ice+It%21%C2%AE+MaxComfort%E2%84%A2+System&amp;qid=1695260067&amp;sr=8-3", "https://www.amazon.com/Cold-Therapy-System-Ice-Wrist/dp/B01FXJN2KC/ref=sr_1_3?keywords=Battle+Creek+Ice+It%21%C2%AE+MaxComfort%E2%84%A2+System&amp;qid=1695260067&amp;sr=8-3")</f>
        <v>https://www.amazon.com/Cold-Therapy-System-Ice-Wrist/dp/B01FXJN2KC/ref=sr_1_3?keywords=Battle+Creek+Ice+It%21%C2%AE+MaxComfort%E2%84%A2+System&amp;qid=1695260067&amp;sr=8-3</v>
      </c>
      <c r="F4852" t="s">
        <v>13950</v>
      </c>
      <c r="G4852" t="e">
        <f ca="1">IMAGE("https://shop.sonapharmacy.com/cdn/shop/products/291896.jpg?v=1609940503")</f>
        <v>#NAME?</v>
      </c>
      <c r="H4852" t="e">
        <f ca="1">IMAGE("https://m.media-amazon.com/images/I/51gVVw4609L._AC_UY218_.jpg")</f>
        <v>#NAME?</v>
      </c>
      <c r="I4852" t="s">
        <v>12344</v>
      </c>
      <c r="J4852">
        <v>23.99</v>
      </c>
      <c r="K4852" s="2" t="s">
        <v>7065</v>
      </c>
      <c r="L4852">
        <v>4</v>
      </c>
      <c r="M4852">
        <v>34</v>
      </c>
      <c r="O4852" t="s">
        <v>26</v>
      </c>
      <c r="P4852" t="s">
        <v>39</v>
      </c>
      <c r="Q4852" t="s">
        <v>12346</v>
      </c>
    </row>
    <row r="4853" spans="1:17" ht="15.75" x14ac:dyDescent="0.25">
      <c r="A4853" s="3" t="str">
        <f>HYPERLINK("https://shop.sonapharmacy.com/products/liquid-i-v-hydration-multiplier-8pck", "https://shop.sonapharmacy.com/products/liquid-i-v-hydration-multiplier-8pck")</f>
        <v>https://shop.sonapharmacy.com/products/liquid-i-v-hydration-multiplier-8pck</v>
      </c>
      <c r="B4853" s="3" t="str">
        <f>HYPERLINK("https://shop.sonapharmacy.com/products/liquid-i-v-hydration-multiplier-8pck", "https://shop.sonapharmacy.com/products/liquid-i-v-hydration-multiplier-8pck")</f>
        <v>https://shop.sonapharmacy.com/products/liquid-i-v-hydration-multiplier-8pck</v>
      </c>
      <c r="C4853" t="s">
        <v>9679</v>
      </c>
      <c r="D4853" t="s">
        <v>13951</v>
      </c>
      <c r="E4853" s="3" t="str">
        <f>HYPERLINK("https://www.amazon.com/Liquid-I-V-Multiplier-Electrolyte-Supplement/dp/B072FPHDBM/ref=sr_1_9?keywords=Liquid+I.V%C2%AE+Hydration+Multiplier+Electrolyte+Mix+8pck&amp;qid=1695260452&amp;sr=8-9", "https://www.amazon.com/Liquid-I-V-Multiplier-Electrolyte-Supplement/dp/B072FPHDBM/ref=sr_1_9?keywords=Liquid+I.V%C2%AE+Hydration+Multiplier+Electrolyte+Mix+8pck&amp;qid=1695260452&amp;sr=8-9")</f>
        <v>https://www.amazon.com/Liquid-I-V-Multiplier-Electrolyte-Supplement/dp/B072FPHDBM/ref=sr_1_9?keywords=Liquid+I.V%C2%AE+Hydration+Multiplier+Electrolyte+Mix+8pck&amp;qid=1695260452&amp;sr=8-9</v>
      </c>
      <c r="F4853" t="s">
        <v>13952</v>
      </c>
      <c r="G4853" t="e">
        <f ca="1">IMAGE("https://shop.sonapharmacy.com/cdn/shop/products/passionfruit.jpg?v=1610031991")</f>
        <v>#NAME?</v>
      </c>
      <c r="H4853" t="e">
        <f ca="1">IMAGE("https://m.media-amazon.com/images/I/81LYz8LtjzL._AC_UL320_.jpg")</f>
        <v>#NAME?</v>
      </c>
      <c r="I4853" t="s">
        <v>3458</v>
      </c>
      <c r="J4853">
        <v>18.8</v>
      </c>
      <c r="K4853" s="2" t="s">
        <v>13953</v>
      </c>
      <c r="L4853">
        <v>4.4000000000000004</v>
      </c>
      <c r="M4853">
        <v>4460</v>
      </c>
      <c r="O4853" t="s">
        <v>26</v>
      </c>
      <c r="P4853" t="s">
        <v>39</v>
      </c>
      <c r="Q4853" t="s">
        <v>9683</v>
      </c>
    </row>
    <row r="4854" spans="1:17" ht="15.75" x14ac:dyDescent="0.25">
      <c r="A4854" s="3" t="str">
        <f>HYPERLINK("https://shop.sonapharmacy.com/products/sona-methyl-b-complex", "https://shop.sonapharmacy.com/products/sona-methyl-b-complex")</f>
        <v>https://shop.sonapharmacy.com/products/sona-methyl-b-complex</v>
      </c>
      <c r="B4854" s="3" t="str">
        <f>HYPERLINK("https://shop.sonapharmacy.com/products/sona-methyl-b-complex", "https://shop.sonapharmacy.com/products/sona-methyl-b-complex")</f>
        <v>https://shop.sonapharmacy.com/products/sona-methyl-b-complex</v>
      </c>
      <c r="C4854" t="s">
        <v>10084</v>
      </c>
      <c r="D4854" t="s">
        <v>13954</v>
      </c>
      <c r="E4854" s="3" t="str">
        <f>HYPERLINK("https://www.amazon.com/Ortho-Molecular-Methyl-Complex-Capsules/dp/B00VVHCHES/ref=sr_1_2?keywords=Sona+Methyl+B+Complex&amp;qid=1695260722&amp;sr=8-2", "https://www.amazon.com/Ortho-Molecular-Methyl-Complex-Capsules/dp/B00VVHCHES/ref=sr_1_2?keywords=Sona+Methyl+B+Complex&amp;qid=1695260722&amp;sr=8-2")</f>
        <v>https://www.amazon.com/Ortho-Molecular-Methyl-Complex-Capsules/dp/B00VVHCHES/ref=sr_1_2?keywords=Sona+Methyl+B+Complex&amp;qid=1695260722&amp;sr=8-2</v>
      </c>
      <c r="F4854" t="s">
        <v>13955</v>
      </c>
      <c r="G4854" t="e">
        <f ca="1">IMAGE("https://shop.sonapharmacy.com/cdn/shop/files/MethylBComplex_SonaShop.jpg?v=1692302519")</f>
        <v>#NAME?</v>
      </c>
      <c r="H4854" t="e">
        <f ca="1">IMAGE("https://m.media-amazon.com/images/I/81+7Bx9CHpL._AC_UL320_.jpg")</f>
        <v>#NAME?</v>
      </c>
      <c r="I4854" t="s">
        <v>10087</v>
      </c>
      <c r="J4854">
        <v>29.95</v>
      </c>
      <c r="K4854" s="2" t="s">
        <v>13956</v>
      </c>
      <c r="L4854">
        <v>4.5999999999999996</v>
      </c>
      <c r="M4854">
        <v>609</v>
      </c>
      <c r="O4854" t="s">
        <v>26</v>
      </c>
      <c r="P4854" t="s">
        <v>39</v>
      </c>
      <c r="Q4854" t="s">
        <v>10089</v>
      </c>
    </row>
    <row r="4855" spans="1:17" ht="15.75" x14ac:dyDescent="0.25">
      <c r="A4855" s="3" t="str">
        <f>HYPERLINK("https://shop.sonapharmacy.com/products/mueller%C2%AE-fitted-right-wrist-brace", "https://shop.sonapharmacy.com/products/mueller%C2%AE-fitted-right-wrist-brace")</f>
        <v>https://shop.sonapharmacy.com/products/mueller%C2%AE-fitted-right-wrist-brace</v>
      </c>
      <c r="B4855" s="3" t="str">
        <f>HYPERLINK("https://shop.sonapharmacy.com/products/mueller%c2%ae-fitted-right-wrist-brace", "https://shop.sonapharmacy.com/products/mueller%c2%ae-fitted-right-wrist-brace")</f>
        <v>https://shop.sonapharmacy.com/products/mueller%c2%ae-fitted-right-wrist-brace</v>
      </c>
      <c r="C4855" t="s">
        <v>12154</v>
      </c>
      <c r="D4855" t="s">
        <v>13957</v>
      </c>
      <c r="E4855" s="3" t="str">
        <f>HYPERLINK("https://www.amazon.com/Mueller-Fitted-Wrist-Brace-Green/dp/B00RR2JO1K/ref=sr_1_9?keywords=Mueller%C2%AE+Fitted+Right+Wrist+Brace&amp;qid=1695260520&amp;sr=8-9", "https://www.amazon.com/Mueller-Fitted-Wrist-Brace-Green/dp/B00RR2JO1K/ref=sr_1_9?keywords=Mueller%C2%AE+Fitted+Right+Wrist+Brace&amp;qid=1695260520&amp;sr=8-9")</f>
        <v>https://www.amazon.com/Mueller-Fitted-Wrist-Brace-Green/dp/B00RR2JO1K/ref=sr_1_9?keywords=Mueller%C2%AE+Fitted+Right+Wrist+Brace&amp;qid=1695260520&amp;sr=8-9</v>
      </c>
      <c r="F4855" t="s">
        <v>13958</v>
      </c>
      <c r="G4855" t="e">
        <f ca="1">IMAGE("https://shop.sonapharmacy.com/cdn/shop/products/images_1_1d5ad19f-de63-41e5-876d-5ccb48d4d692.jpg?v=1609862929")</f>
        <v>#NAME?</v>
      </c>
      <c r="H4855" t="e">
        <f ca="1">IMAGE("https://m.media-amazon.com/images/I/41VuZRTeU7L._AC_UL320_.jpg")</f>
        <v>#NAME?</v>
      </c>
      <c r="I4855" t="s">
        <v>12157</v>
      </c>
      <c r="J4855">
        <v>19.54</v>
      </c>
      <c r="K4855" s="2" t="s">
        <v>13959</v>
      </c>
      <c r="L4855">
        <v>4.8</v>
      </c>
      <c r="M4855">
        <v>38</v>
      </c>
      <c r="O4855" t="s">
        <v>26</v>
      </c>
      <c r="P4855" t="s">
        <v>39</v>
      </c>
      <c r="Q4855" t="s">
        <v>12159</v>
      </c>
    </row>
    <row r="4856" spans="1:17" ht="15.75" x14ac:dyDescent="0.25">
      <c r="A4856" s="3" t="str">
        <f>HYPERLINK("https://shop.sonapharmacy.com/products/major-cough-dm-12-hour-cough-relief-cough-suppressant-liquid", "https://shop.sonapharmacy.com/products/major-cough-dm-12-hour-cough-relief-cough-suppressant-liquid")</f>
        <v>https://shop.sonapharmacy.com/products/major-cough-dm-12-hour-cough-relief-cough-suppressant-liquid</v>
      </c>
      <c r="B4856" s="3" t="str">
        <f>HYPERLINK("https://shop.sonapharmacy.com/products/major-cough-dm-12-hour-cough-relief-cough-suppressant-liquid", "https://shop.sonapharmacy.com/products/major-cough-dm-12-hour-cough-relief-cough-suppressant-liquid")</f>
        <v>https://shop.sonapharmacy.com/products/major-cough-dm-12-hour-cough-relief-cough-suppressant-liquid</v>
      </c>
      <c r="C4856" t="s">
        <v>11630</v>
      </c>
      <c r="D4856" t="s">
        <v>13960</v>
      </c>
      <c r="E4856" s="3" t="str">
        <f>HYPERLINK("https://www.amazon.com/Dextromethorphan-Polistirex-Extended-Release-Relief-Suppressant/dp/B01MS8UZFK/ref=sr_1_1?keywords=Major%C2%AE+Cough+DM+12+Hour+Cough+Relief+Cough+Suppressant+Liquid&amp;qid=1695260458&amp;sr=8-1", "https://www.amazon.com/Dextromethorphan-Polistirex-Extended-Release-Relief-Suppressant/dp/B01MS8UZFK/ref=sr_1_1?keywords=Major%C2%AE+Cough+DM+12+Hour+Cough+Relief+Cough+Suppressant+Liquid&amp;qid=1695260458&amp;sr=8-1")</f>
        <v>https://www.amazon.com/Dextromethorphan-Polistirex-Extended-Release-Relief-Suppressant/dp/B01MS8UZFK/ref=sr_1_1?keywords=Major%C2%AE+Cough+DM+12+Hour+Cough+Relief+Cough+Suppressant+Liquid&amp;qid=1695260458&amp;sr=8-1</v>
      </c>
      <c r="F4856" t="s">
        <v>13961</v>
      </c>
      <c r="G4856" t="e">
        <f ca="1">IMAGE("https://shop.sonapharmacy.com/cdn/shop/products/MajorCoughDM12HourCoughReliefCoughSuppressantLiquid.jpg?v=1595356959")</f>
        <v>#NAME?</v>
      </c>
      <c r="H4856" t="e">
        <f ca="1">IMAGE("https://m.media-amazon.com/images/I/51LksHLYyRL._AC_UL320_.jpg")</f>
        <v>#NAME?</v>
      </c>
      <c r="I4856" t="s">
        <v>11633</v>
      </c>
      <c r="J4856">
        <v>11.99</v>
      </c>
      <c r="K4856" s="2" t="s">
        <v>13962</v>
      </c>
      <c r="L4856">
        <v>4.2</v>
      </c>
      <c r="M4856">
        <v>16</v>
      </c>
      <c r="O4856" t="s">
        <v>136</v>
      </c>
      <c r="P4856" t="s">
        <v>39</v>
      </c>
      <c r="Q4856" t="s">
        <v>11635</v>
      </c>
    </row>
    <row r="4857" spans="1:17" ht="15.75" x14ac:dyDescent="0.25">
      <c r="A4857" s="3" t="str">
        <f>HYPERLINK("https://shop.sonapharmacy.com/products/schiff-megared-superior-omega-3-krill-oil", "https://shop.sonapharmacy.com/products/schiff-megared-superior-omega-3-krill-oil")</f>
        <v>https://shop.sonapharmacy.com/products/schiff-megared-superior-omega-3-krill-oil</v>
      </c>
      <c r="B4857" s="3" t="str">
        <f>HYPERLINK("https://shop.sonapharmacy.com/products/schiff-megared-superior-omega-3-krill-oil", "https://shop.sonapharmacy.com/products/schiff-megared-superior-omega-3-krill-oil")</f>
        <v>https://shop.sonapharmacy.com/products/schiff-megared-superior-omega-3-krill-oil</v>
      </c>
      <c r="C4857" t="s">
        <v>12128</v>
      </c>
      <c r="D4857" t="s">
        <v>13963</v>
      </c>
      <c r="E4857" s="3" t="str">
        <f>HYPERLINK("https://www.amazon.com/MegaRed-Omega-3-Krill-Supplement-1000mg/dp/B07B6HMNYD/ref=sr_1_4?keywords=Schiff+MegaRed+Superior+Omega-3+Krill+Oil&amp;qid=1695260726&amp;sr=8-4", "https://www.amazon.com/MegaRed-Omega-3-Krill-Supplement-1000mg/dp/B07B6HMNYD/ref=sr_1_4?keywords=Schiff+MegaRed+Superior+Omega-3+Krill+Oil&amp;qid=1695260726&amp;sr=8-4")</f>
        <v>https://www.amazon.com/MegaRed-Omega-3-Krill-Supplement-1000mg/dp/B07B6HMNYD/ref=sr_1_4?keywords=Schiff+MegaRed+Superior+Omega-3+Krill+Oil&amp;qid=1695260726&amp;sr=8-4</v>
      </c>
      <c r="F4857" t="s">
        <v>13964</v>
      </c>
      <c r="G4857" t="e">
        <f ca="1">IMAGE("https://shop.sonapharmacy.com/cdn/shop/products/SchiffMegaRedSuperiorOmega-3KrillOil.jpg?v=1594994428")</f>
        <v>#NAME?</v>
      </c>
      <c r="H4857" t="e">
        <f ca="1">IMAGE("https://m.media-amazon.com/images/I/81-PC46t9YL._AC_UL320_.jpg")</f>
        <v>#NAME?</v>
      </c>
      <c r="I4857" t="s">
        <v>12131</v>
      </c>
      <c r="J4857">
        <v>33</v>
      </c>
      <c r="K4857" s="2" t="s">
        <v>13965</v>
      </c>
      <c r="L4857">
        <v>4.5</v>
      </c>
      <c r="M4857">
        <v>3518</v>
      </c>
      <c r="O4857" t="s">
        <v>26</v>
      </c>
      <c r="P4857" t="s">
        <v>39</v>
      </c>
      <c r="Q4857" t="s">
        <v>12133</v>
      </c>
    </row>
    <row r="4858" spans="1:17" ht="15.75" x14ac:dyDescent="0.25">
      <c r="A4858" s="3" t="str">
        <f>HYPERLINK("https://shop.sonapharmacy.com/products/mueller%C2%AE-plantar-fasciitis", "https://shop.sonapharmacy.com/products/mueller%C2%AE-plantar-fasciitis")</f>
        <v>https://shop.sonapharmacy.com/products/mueller%C2%AE-plantar-fasciitis</v>
      </c>
      <c r="B4858" s="3" t="str">
        <f>HYPERLINK("https://shop.sonapharmacy.com/products/mueller%c2%ae-plantar-fasciitis", "https://shop.sonapharmacy.com/products/mueller%c2%ae-plantar-fasciitis")</f>
        <v>https://shop.sonapharmacy.com/products/mueller%c2%ae-plantar-fasciitis</v>
      </c>
      <c r="C4858" t="s">
        <v>13966</v>
      </c>
      <c r="D4858" t="s">
        <v>13967</v>
      </c>
      <c r="E4858" s="3" t="str">
        <f>HYPERLINK("https://www.amazon.com/FunisFun-Fasciitis-Orthotic-Compression-Adjustable/dp/B0B4RR6819/ref=sr_1_8?keywords=Mueller%C2%AE+Plantar+Fasciitis+Arch+Support+One+Size&amp;qid=1695260514&amp;sr=8-8", "https://www.amazon.com/FunisFun-Fasciitis-Orthotic-Compression-Adjustable/dp/B0B4RR6819/ref=sr_1_8?keywords=Mueller%C2%AE+Plantar+Fasciitis+Arch+Support+One+Size&amp;qid=1695260514&amp;sr=8-8")</f>
        <v>https://www.amazon.com/FunisFun-Fasciitis-Orthotic-Compression-Adjustable/dp/B0B4RR6819/ref=sr_1_8?keywords=Mueller%C2%AE+Plantar+Fasciitis+Arch+Support+One+Size&amp;qid=1695260514&amp;sr=8-8</v>
      </c>
      <c r="F4858" t="s">
        <v>13968</v>
      </c>
      <c r="G4858" t="e">
        <f ca="1">IMAGE("https://shop.sonapharmacy.com/cdn/shop/products/22695b8a-a1f4-4a09-ba29-ccc8aeb7d56e_1.3d66cdd382bd55b1a3e2c632f521a846.jpg?v=1609871463")</f>
        <v>#NAME?</v>
      </c>
      <c r="H4858" t="e">
        <f ca="1">IMAGE("https://m.media-amazon.com/images/I/61RRMpqmJYL._AC_UL320_.jpg")</f>
        <v>#NAME?</v>
      </c>
      <c r="I4858" t="s">
        <v>13969</v>
      </c>
      <c r="J4858">
        <v>11.99</v>
      </c>
      <c r="K4858" s="2" t="s">
        <v>5618</v>
      </c>
      <c r="L4858">
        <v>3.8</v>
      </c>
      <c r="M4858">
        <v>116</v>
      </c>
      <c r="O4858" t="s">
        <v>26</v>
      </c>
      <c r="P4858" t="s">
        <v>39</v>
      </c>
      <c r="Q4858" t="s">
        <v>13970</v>
      </c>
    </row>
    <row r="4859" spans="1:17" ht="15.75" x14ac:dyDescent="0.25">
      <c r="A4859" s="3" t="str">
        <f>HYPERLINK("https://shop.sonapharmacy.com/products/gaia-black-seed-oil", "https://shop.sonapharmacy.com/products/gaia-black-seed-oil")</f>
        <v>https://shop.sonapharmacy.com/products/gaia-black-seed-oil</v>
      </c>
      <c r="B4859" s="3" t="str">
        <f>HYPERLINK("https://shop.sonapharmacy.com/products/gaia-black-seed-oil", "https://shop.sonapharmacy.com/products/gaia-black-seed-oil")</f>
        <v>https://shop.sonapharmacy.com/products/gaia-black-seed-oil</v>
      </c>
      <c r="C4859" t="s">
        <v>12207</v>
      </c>
      <c r="D4859" t="s">
        <v>13971</v>
      </c>
      <c r="E4859" s="3" t="str">
        <f>HYPERLINK("https://www.amazon.com/Gaia-Herbs-Pressed-Respiratory-Capsules/dp/B08NYHVHZ6/ref=sr_1_1?keywords=Gaia%C2%AE+Herbs+Black+Seed+Oil+Capsules+60ct.&amp;qid=1695260261&amp;sr=8-1", "https://www.amazon.com/Gaia-Herbs-Pressed-Respiratory-Capsules/dp/B08NYHVHZ6/ref=sr_1_1?keywords=Gaia%C2%AE+Herbs+Black+Seed+Oil+Capsules+60ct.&amp;qid=1695260261&amp;sr=8-1")</f>
        <v>https://www.amazon.com/Gaia-Herbs-Pressed-Respiratory-Capsules/dp/B08NYHVHZ6/ref=sr_1_1?keywords=Gaia%C2%AE+Herbs+Black+Seed+Oil+Capsules+60ct.&amp;qid=1695260261&amp;sr=8-1</v>
      </c>
      <c r="F4859" t="s">
        <v>13972</v>
      </c>
      <c r="G4859" t="e">
        <f ca="1">IMAGE("https://shop.sonapharmacy.com/cdn/shop/products/Gaia-Herbs-BlackSeedOilFront.png?v=1606235568")</f>
        <v>#NAME?</v>
      </c>
      <c r="H4859" t="e">
        <f ca="1">IMAGE("https://m.media-amazon.com/images/I/81uwcKaZoeL._AC_UL320_.jpg")</f>
        <v>#NAME?</v>
      </c>
      <c r="I4859" t="s">
        <v>3404</v>
      </c>
      <c r="J4859">
        <v>28.1</v>
      </c>
      <c r="K4859" s="2" t="s">
        <v>13973</v>
      </c>
      <c r="L4859">
        <v>4.4000000000000004</v>
      </c>
      <c r="M4859">
        <v>237</v>
      </c>
      <c r="O4859" t="s">
        <v>26</v>
      </c>
      <c r="P4859" t="s">
        <v>39</v>
      </c>
      <c r="Q4859" t="s">
        <v>12211</v>
      </c>
    </row>
    <row r="4860" spans="1:17" ht="15.75" x14ac:dyDescent="0.25">
      <c r="A4860" s="3" t="str">
        <f>HYPERLINK("https://shop.sonapharmacy.com/products/duracell%C2%AE-13-hearing-aid-batteries-with-easy-fit-tab-8ct", "https://shop.sonapharmacy.com/products/duracell%C2%AE-13-hearing-aid-batteries-with-easy-fit-tab-8ct")</f>
        <v>https://shop.sonapharmacy.com/products/duracell%C2%AE-13-hearing-aid-batteries-with-easy-fit-tab-8ct</v>
      </c>
      <c r="B4860" s="3" t="str">
        <f>HYPERLINK("https://shop.sonapharmacy.com/products/duracell%c2%ae-13-hearing-aid-batteries-with-easy-fit-tab-8ct", "https://shop.sonapharmacy.com/products/duracell%c2%ae-13-hearing-aid-batteries-with-easy-fit-tab-8ct")</f>
        <v>https://shop.sonapharmacy.com/products/duracell%c2%ae-13-hearing-aid-batteries-with-easy-fit-tab-8ct</v>
      </c>
      <c r="C4860" t="s">
        <v>13974</v>
      </c>
      <c r="D4860" t="s">
        <v>13975</v>
      </c>
      <c r="E4860" s="3" t="str">
        <f>HYPERLINK("https://www.amazon.com/Duracell-Hearing-Batteries-Long-Lasting-Extra-Long/dp/B0BSB44WX4/ref=sr_1_7?keywords=Duracell%C2%AE+13+Hearing+Aid+Batteries+with+Easy-Fit+Tab+8ct.&amp;qid=1695260209&amp;sr=8-7", "https://www.amazon.com/Duracell-Hearing-Batteries-Long-Lasting-Extra-Long/dp/B0BSB44WX4/ref=sr_1_7?keywords=Duracell%C2%AE+13+Hearing+Aid+Batteries+with+Easy-Fit+Tab+8ct.&amp;qid=1695260209&amp;sr=8-7")</f>
        <v>https://www.amazon.com/Duracell-Hearing-Batteries-Long-Lasting-Extra-Long/dp/B0BSB44WX4/ref=sr_1_7?keywords=Duracell%C2%AE+13+Hearing+Aid+Batteries+with+Easy-Fit+Tab+8ct.&amp;qid=1695260209&amp;sr=8-7</v>
      </c>
      <c r="F4860" t="s">
        <v>13976</v>
      </c>
      <c r="G4860" t="e">
        <f ca="1">IMAGE("https://shop.sonapharmacy.com/cdn/shop/products/b1686891-aa7e-4321-86fd-2977395e798f_1.c8127d97584cbb5aa81c730d35462b1a.png?v=1610334264")</f>
        <v>#NAME?</v>
      </c>
      <c r="H4860" t="e">
        <f ca="1">IMAGE("https://m.media-amazon.com/images/I/817Y+S-3nrL._AC_UL320_.jpg")</f>
        <v>#NAME?</v>
      </c>
      <c r="I4860" t="s">
        <v>3394</v>
      </c>
      <c r="J4860">
        <v>14.98</v>
      </c>
      <c r="K4860" s="2" t="s">
        <v>13977</v>
      </c>
      <c r="L4860">
        <v>3.3</v>
      </c>
      <c r="M4860">
        <v>5</v>
      </c>
      <c r="O4860" t="s">
        <v>26</v>
      </c>
      <c r="P4860" t="s">
        <v>39</v>
      </c>
      <c r="Q4860" t="s">
        <v>13978</v>
      </c>
    </row>
    <row r="4861" spans="1:17" ht="15.75" x14ac:dyDescent="0.25">
      <c r="A4861" s="3" t="str">
        <f>HYPERLINK("https://shop.sonapharmacy.com/products/children-s-benadryl%C2%AE-allergy-liquid", "https://shop.sonapharmacy.com/products/children-s-benadryl%C2%AE-allergy-liquid")</f>
        <v>https://shop.sonapharmacy.com/products/children-s-benadryl%C2%AE-allergy-liquid</v>
      </c>
      <c r="B4861" s="3" t="str">
        <f>HYPERLINK("https://shop.sonapharmacy.com/products/children-s-benadryl%c2%ae-allergy-liquid", "https://shop.sonapharmacy.com/products/children-s-benadryl%c2%ae-allergy-liquid")</f>
        <v>https://shop.sonapharmacy.com/products/children-s-benadryl%c2%ae-allergy-liquid</v>
      </c>
      <c r="C4861" t="s">
        <v>13979</v>
      </c>
      <c r="D4861" t="s">
        <v>13980</v>
      </c>
      <c r="E4861" s="3" t="str">
        <f>HYPERLINK("https://www.amazon.com/Childrens-Benadryl-Dye-Free-Allergy-Diphenhydramine/dp/B004DGO3WS/ref=sr_1_1?keywords=Children%E2%80%99s+BENADRYL%C2%AE+Allergy+Liquid&amp;qid=1695260138&amp;sr=8-1", "https://www.amazon.com/Childrens-Benadryl-Dye-Free-Allergy-Diphenhydramine/dp/B004DGO3WS/ref=sr_1_1?keywords=Children%E2%80%99s+BENADRYL%C2%AE+Allergy+Liquid&amp;qid=1695260138&amp;sr=8-1")</f>
        <v>https://www.amazon.com/Childrens-Benadryl-Dye-Free-Allergy-Diphenhydramine/dp/B004DGO3WS/ref=sr_1_1?keywords=Children%E2%80%99s+BENADRYL%C2%AE+Allergy+Liquid&amp;qid=1695260138&amp;sr=8-1</v>
      </c>
      <c r="F4861" t="s">
        <v>13981</v>
      </c>
      <c r="G4861" t="e">
        <f ca="1">IMAGE("https://shop.sonapharmacy.com/cdn/shop/products/81cLM8-K8oL._AC_SL1500.jpg?v=1609855374")</f>
        <v>#NAME?</v>
      </c>
      <c r="H4861" t="e">
        <f ca="1">IMAGE("https://m.media-amazon.com/images/I/719dvl5MngL._AC_UL320_.jpg")</f>
        <v>#NAME?</v>
      </c>
      <c r="I4861" t="s">
        <v>8644</v>
      </c>
      <c r="J4861">
        <v>7.98</v>
      </c>
      <c r="K4861" s="2" t="s">
        <v>13982</v>
      </c>
      <c r="L4861">
        <v>4.8</v>
      </c>
      <c r="M4861">
        <v>20802</v>
      </c>
      <c r="O4861" t="s">
        <v>26</v>
      </c>
      <c r="P4861" t="s">
        <v>39</v>
      </c>
      <c r="Q4861" t="s">
        <v>13983</v>
      </c>
    </row>
    <row r="4862" spans="1:17" ht="15.75" x14ac:dyDescent="0.25">
      <c r="A4862" s="3" t="str">
        <f>HYPERLINK("https://shop.sonapharmacy.com/products/schiff-move-free-joint-health-advanced-plus-msm-tablets", "https://shop.sonapharmacy.com/products/schiff-move-free-joint-health-advanced-plus-msm-tablets")</f>
        <v>https://shop.sonapharmacy.com/products/schiff-move-free-joint-health-advanced-plus-msm-tablets</v>
      </c>
      <c r="B4862" s="3" t="str">
        <f>HYPERLINK("https://shop.sonapharmacy.com/products/schiff-move-free-joint-health-advanced-plus-msm-tablets", "https://shop.sonapharmacy.com/products/schiff-move-free-joint-health-advanced-plus-msm-tablets")</f>
        <v>https://shop.sonapharmacy.com/products/schiff-move-free-joint-health-advanced-plus-msm-tablets</v>
      </c>
      <c r="C4862" t="s">
        <v>8905</v>
      </c>
      <c r="D4862" t="s">
        <v>13984</v>
      </c>
      <c r="E4862" s="3" t="str">
        <f>HYPERLINK("https://www.amazon.com/Move-Free-Advanced-Plus-tablets/dp/B00IMVOY8I/ref=sr_1_1?keywords=Schiff+Move+Free+joint+Health+Advanced+Plus+MSM+Tablets&amp;qid=1695260725&amp;sr=8-1", "https://www.amazon.com/Move-Free-Advanced-Plus-tablets/dp/B00IMVOY8I/ref=sr_1_1?keywords=Schiff+Move+Free+joint+Health+Advanced+Plus+MSM+Tablets&amp;qid=1695260725&amp;sr=8-1")</f>
        <v>https://www.amazon.com/Move-Free-Advanced-Plus-tablets/dp/B00IMVOY8I/ref=sr_1_1?keywords=Schiff+Move+Free+joint+Health+Advanced+Plus+MSM+Tablets&amp;qid=1695260725&amp;sr=8-1</v>
      </c>
      <c r="F4862" t="s">
        <v>13985</v>
      </c>
      <c r="G4862" t="e">
        <f ca="1">IMAGE("https://shop.sonapharmacy.com/cdn/shop/products/movefreehealthresized.jpg?v=1592492207")</f>
        <v>#NAME?</v>
      </c>
      <c r="H4862" t="e">
        <f ca="1">IMAGE("https://m.media-amazon.com/images/I/81GrIWAyqQL._AC_UL320_.jpg")</f>
        <v>#NAME?</v>
      </c>
      <c r="I4862" t="s">
        <v>8908</v>
      </c>
      <c r="J4862">
        <v>28.99</v>
      </c>
      <c r="K4862" s="2" t="s">
        <v>13982</v>
      </c>
      <c r="L4862">
        <v>4.3</v>
      </c>
      <c r="M4862">
        <v>34</v>
      </c>
      <c r="O4862" t="s">
        <v>26</v>
      </c>
      <c r="P4862" t="s">
        <v>39</v>
      </c>
      <c r="Q4862" t="s">
        <v>8910</v>
      </c>
    </row>
    <row r="4863" spans="1:17" ht="15.75" x14ac:dyDescent="0.25">
      <c r="A4863" s="3" t="str">
        <f>HYPERLINK("https://shop.sonapharmacy.com/products/depend%C2%AE-for-women-fit-flex-underwear-maximum-absorbency-medium-30ct", "https://shop.sonapharmacy.com/products/depend%C2%AE-for-women-fit-flex-underwear-maximum-absorbency-medium-30ct")</f>
        <v>https://shop.sonapharmacy.com/products/depend%C2%AE-for-women-fit-flex-underwear-maximum-absorbency-medium-30ct</v>
      </c>
      <c r="B4863" s="3" t="str">
        <f>HYPERLINK("https://shop.sonapharmacy.com/products/depend%c2%ae-for-women-fit-flex-underwear-maximum-absorbency-medium-30ct", "https://shop.sonapharmacy.com/products/depend%c2%ae-for-women-fit-flex-underwear-maximum-absorbency-medium-30ct")</f>
        <v>https://shop.sonapharmacy.com/products/depend%c2%ae-for-women-fit-flex-underwear-maximum-absorbency-medium-30ct</v>
      </c>
      <c r="C4863" t="s">
        <v>11211</v>
      </c>
      <c r="D4863" t="s">
        <v>13986</v>
      </c>
      <c r="E4863" s="3" t="str">
        <f>HYPERLINK("https://www.amazon.com/Depend-Incontinence-Underwear-Absorbency-Packaging/dp/B0792P353P/ref=sr_1_1?keywords=Depend%C2%AE+For+Women+Fit-Flex+Underwear+Maximum+Absorbency+Medium+30ct.&amp;qid=1695260227&amp;sr=8-1", "https://www.amazon.com/Depend-Incontinence-Underwear-Absorbency-Packaging/dp/B0792P353P/ref=sr_1_1?keywords=Depend%C2%AE+For+Women+Fit-Flex+Underwear+Maximum+Absorbency+Medium+30ct.&amp;qid=1695260227&amp;sr=8-1")</f>
        <v>https://www.amazon.com/Depend-Incontinence-Underwear-Absorbency-Packaging/dp/B0792P353P/ref=sr_1_1?keywords=Depend%C2%AE+For+Women+Fit-Flex+Underwear+Maximum+Absorbency+Medium+30ct.&amp;qid=1695260227&amp;sr=8-1</v>
      </c>
      <c r="F4863" t="s">
        <v>13987</v>
      </c>
      <c r="G4863" t="e">
        <f ca="1">IMAGE("https://shop.sonapharmacy.com/cdn/shop/products/08770e46-2f46-4215-998c-05afa1fdc016.e9af13c99efa4da29c4ba783018d0a20.jpg?v=1611076535")</f>
        <v>#NAME?</v>
      </c>
      <c r="H4863" t="e">
        <f ca="1">IMAGE("https://m.media-amazon.com/images/I/81D2ev2t48L._AC_UL320_.jpg")</f>
        <v>#NAME?</v>
      </c>
      <c r="I4863" t="s">
        <v>3367</v>
      </c>
      <c r="J4863">
        <v>23.34</v>
      </c>
      <c r="K4863" s="2" t="s">
        <v>3463</v>
      </c>
      <c r="L4863">
        <v>4.5999999999999996</v>
      </c>
      <c r="M4863">
        <v>13247</v>
      </c>
      <c r="O4863" t="s">
        <v>26</v>
      </c>
      <c r="P4863" t="s">
        <v>39</v>
      </c>
      <c r="Q4863" t="s">
        <v>11215</v>
      </c>
    </row>
    <row r="4864" spans="1:17" ht="15.75" x14ac:dyDescent="0.25">
      <c r="A4864" s="3" t="str">
        <f>HYPERLINK("https://shop.sonapharmacy.com/products/biofreeze-topical-pain-relief-roll-on", "https://shop.sonapharmacy.com/products/biofreeze-topical-pain-relief-roll-on")</f>
        <v>https://shop.sonapharmacy.com/products/biofreeze-topical-pain-relief-roll-on</v>
      </c>
      <c r="B4864" s="3" t="str">
        <f>HYPERLINK("https://shop.sonapharmacy.com/products/biofreeze-topical-pain-relief-roll-on", "https://shop.sonapharmacy.com/products/biofreeze-topical-pain-relief-roll-on")</f>
        <v>https://shop.sonapharmacy.com/products/biofreeze-topical-pain-relief-roll-on</v>
      </c>
      <c r="C4864" t="s">
        <v>10680</v>
      </c>
      <c r="D4864" t="s">
        <v>13988</v>
      </c>
      <c r="E4864" s="3" t="str">
        <f>HYPERLINK("https://www.amazon.com/Medline-ActivICE-Cooling-Topical-Arthritis/dp/B091FWT9RN/ref=sr_1_7?keywords=Biofreeze%C2%AE+Topical+Pain+Relief+Roll-On&amp;qid=1695260097&amp;sr=8-7", "https://www.amazon.com/Medline-ActivICE-Cooling-Topical-Arthritis/dp/B091FWT9RN/ref=sr_1_7?keywords=Biofreeze%C2%AE+Topical+Pain+Relief+Roll-On&amp;qid=1695260097&amp;sr=8-7")</f>
        <v>https://www.amazon.com/Medline-ActivICE-Cooling-Topical-Arthritis/dp/B091FWT9RN/ref=sr_1_7?keywords=Biofreeze%C2%AE+Topical+Pain+Relief+Roll-On&amp;qid=1695260097&amp;sr=8-7</v>
      </c>
      <c r="F4864" t="s">
        <v>13989</v>
      </c>
      <c r="G4864" t="e">
        <f ca="1">IMAGE("https://shop.sonapharmacy.com/cdn/shop/products/61drbtKQFuL._SL1500.jpg?v=1609344589")</f>
        <v>#NAME?</v>
      </c>
      <c r="H4864" t="e">
        <f ca="1">IMAGE("https://m.media-amazon.com/images/I/616BeMrYi5L._AC_UL320_.jpg")</f>
        <v>#NAME?</v>
      </c>
      <c r="I4864" t="s">
        <v>3419</v>
      </c>
      <c r="J4864">
        <v>13.99</v>
      </c>
      <c r="K4864" s="2" t="s">
        <v>3466</v>
      </c>
      <c r="L4864">
        <v>4.5999999999999996</v>
      </c>
      <c r="M4864">
        <v>551</v>
      </c>
      <c r="O4864" t="s">
        <v>26</v>
      </c>
      <c r="P4864" t="s">
        <v>39</v>
      </c>
      <c r="Q4864" t="s">
        <v>10684</v>
      </c>
    </row>
    <row r="4865" spans="1:17" ht="15.75" x14ac:dyDescent="0.25">
      <c r="A4865" s="3" t="str">
        <f>HYPERLINK("https://shop.sonapharmacy.com/products/biofreeze-topical-pain-relief-roll-on", "https://shop.sonapharmacy.com/products/biofreeze-topical-pain-relief-roll-on")</f>
        <v>https://shop.sonapharmacy.com/products/biofreeze-topical-pain-relief-roll-on</v>
      </c>
      <c r="B4865" s="3" t="str">
        <f>HYPERLINK("https://shop.sonapharmacy.com/products/biofreeze-topical-pain-relief-roll-on", "https://shop.sonapharmacy.com/products/biofreeze-topical-pain-relief-roll-on")</f>
        <v>https://shop.sonapharmacy.com/products/biofreeze-topical-pain-relief-roll-on</v>
      </c>
      <c r="C4865" t="s">
        <v>10680</v>
      </c>
      <c r="D4865" t="s">
        <v>13990</v>
      </c>
      <c r="E4865" s="3" t="str">
        <f>HYPERLINK("https://www.amazon.com/Biofreeze-Overnight-Relieving-Lavender-Arthritis/dp/B0BWK7N9NG/ref=sr_1_1?keywords=Biofreeze%C2%AE+Topical+Pain+Relief+Roll-On&amp;qid=1695260097&amp;sr=8-1", "https://www.amazon.com/Biofreeze-Overnight-Relieving-Lavender-Arthritis/dp/B0BWK7N9NG/ref=sr_1_1?keywords=Biofreeze%C2%AE+Topical+Pain+Relief+Roll-On&amp;qid=1695260097&amp;sr=8-1")</f>
        <v>https://www.amazon.com/Biofreeze-Overnight-Relieving-Lavender-Arthritis/dp/B0BWK7N9NG/ref=sr_1_1?keywords=Biofreeze%C2%AE+Topical+Pain+Relief+Roll-On&amp;qid=1695260097&amp;sr=8-1</v>
      </c>
      <c r="F4865" t="s">
        <v>13991</v>
      </c>
      <c r="G4865" t="e">
        <f ca="1">IMAGE("https://shop.sonapharmacy.com/cdn/shop/products/61drbtKQFuL._SL1500.jpg?v=1609344589")</f>
        <v>#NAME?</v>
      </c>
      <c r="H4865" t="e">
        <f ca="1">IMAGE("https://m.media-amazon.com/images/I/61i23GREVuL._AC_UL320_.jpg")</f>
        <v>#NAME?</v>
      </c>
      <c r="I4865" t="s">
        <v>3419</v>
      </c>
      <c r="J4865">
        <v>13.98</v>
      </c>
      <c r="K4865" s="2" t="s">
        <v>13992</v>
      </c>
      <c r="L4865">
        <v>4.5</v>
      </c>
      <c r="M4865">
        <v>63</v>
      </c>
      <c r="O4865" t="s">
        <v>26</v>
      </c>
      <c r="P4865" t="s">
        <v>39</v>
      </c>
      <c r="Q4865" t="s">
        <v>10684</v>
      </c>
    </row>
    <row r="4866" spans="1:17" ht="15.75" x14ac:dyDescent="0.25">
      <c r="A4866" s="3" t="str">
        <f>HYPERLINK("https://shop.sonapharmacy.com/products/biofreeze-topical-pain-relief-gel", "https://shop.sonapharmacy.com/products/biofreeze-topical-pain-relief-gel")</f>
        <v>https://shop.sonapharmacy.com/products/biofreeze-topical-pain-relief-gel</v>
      </c>
      <c r="B4866" s="3" t="str">
        <f>HYPERLINK("https://shop.sonapharmacy.com/products/biofreeze-topical-pain-relief-gel", "https://shop.sonapharmacy.com/products/biofreeze-topical-pain-relief-gel")</f>
        <v>https://shop.sonapharmacy.com/products/biofreeze-topical-pain-relief-gel</v>
      </c>
      <c r="C4866" t="s">
        <v>11845</v>
      </c>
      <c r="D4866" t="s">
        <v>13990</v>
      </c>
      <c r="E4866" s="3" t="str">
        <f>HYPERLINK("https://www.amazon.com/Biofreeze-Overnight-Relieving-Lavender-Arthritis/dp/B0BWK7N9NG/ref=sr_1_2?keywords=Biofreeze%C2%AE+Topical+Pain+Relief+Gel&amp;qid=1695260090&amp;sr=8-2", "https://www.amazon.com/Biofreeze-Overnight-Relieving-Lavender-Arthritis/dp/B0BWK7N9NG/ref=sr_1_2?keywords=Biofreeze%C2%AE+Topical+Pain+Relief+Gel&amp;qid=1695260090&amp;sr=8-2")</f>
        <v>https://www.amazon.com/Biofreeze-Overnight-Relieving-Lavender-Arthritis/dp/B0BWK7N9NG/ref=sr_1_2?keywords=Biofreeze%C2%AE+Topical+Pain+Relief+Gel&amp;qid=1695260090&amp;sr=8-2</v>
      </c>
      <c r="F4866" t="s">
        <v>13991</v>
      </c>
      <c r="G4866" t="e">
        <f ca="1">IMAGE("https://shop.sonapharmacy.com/cdn/shop/products/BiofreezeGel.png?v=1606962058")</f>
        <v>#NAME?</v>
      </c>
      <c r="H4866" t="e">
        <f ca="1">IMAGE("https://m.media-amazon.com/images/I/61i23GREVuL._AC_UL320_.jpg")</f>
        <v>#NAME?</v>
      </c>
      <c r="I4866" t="s">
        <v>3419</v>
      </c>
      <c r="J4866">
        <v>13.98</v>
      </c>
      <c r="K4866" s="2" t="s">
        <v>13992</v>
      </c>
      <c r="L4866">
        <v>4.5</v>
      </c>
      <c r="M4866">
        <v>63</v>
      </c>
      <c r="O4866" t="s">
        <v>26</v>
      </c>
      <c r="P4866" t="s">
        <v>39</v>
      </c>
      <c r="Q4866" t="s">
        <v>11849</v>
      </c>
    </row>
    <row r="4867" spans="1:17" ht="15.75" x14ac:dyDescent="0.25">
      <c r="A4867" s="3" t="str">
        <f>HYPERLINK("https://shop.sonapharmacy.com/products/biofreeze-topical-pain-relief-gel", "https://shop.sonapharmacy.com/products/biofreeze-topical-pain-relief-gel")</f>
        <v>https://shop.sonapharmacy.com/products/biofreeze-topical-pain-relief-gel</v>
      </c>
      <c r="B4867" s="3" t="str">
        <f>HYPERLINK("https://shop.sonapharmacy.com/products/biofreeze-topical-pain-relief-gel", "https://shop.sonapharmacy.com/products/biofreeze-topical-pain-relief-gel")</f>
        <v>https://shop.sonapharmacy.com/products/biofreeze-topical-pain-relief-gel</v>
      </c>
      <c r="C4867" t="s">
        <v>11845</v>
      </c>
      <c r="D4867" t="s">
        <v>13993</v>
      </c>
      <c r="E4867" s="3" t="str">
        <f>HYPERLINK("https://www.amazon.com/Biofreeze-Overnight-Relieving-Arthritis-Backaches/dp/B0BWK5ZZK5/ref=sr_1_1?keywords=Biofreeze%C2%AE+Topical+Pain+Relief+Gel&amp;qid=1695260090&amp;sr=8-1", "https://www.amazon.com/Biofreeze-Overnight-Relieving-Arthritis-Backaches/dp/B0BWK5ZZK5/ref=sr_1_1?keywords=Biofreeze%C2%AE+Topical+Pain+Relief+Gel&amp;qid=1695260090&amp;sr=8-1")</f>
        <v>https://www.amazon.com/Biofreeze-Overnight-Relieving-Arthritis-Backaches/dp/B0BWK5ZZK5/ref=sr_1_1?keywords=Biofreeze%C2%AE+Topical+Pain+Relief+Gel&amp;qid=1695260090&amp;sr=8-1</v>
      </c>
      <c r="F4867" t="s">
        <v>13994</v>
      </c>
      <c r="G4867" t="e">
        <f ca="1">IMAGE("https://shop.sonapharmacy.com/cdn/shop/products/BiofreezeGel.png?v=1606962058")</f>
        <v>#NAME?</v>
      </c>
      <c r="H4867" t="e">
        <f ca="1">IMAGE("https://m.media-amazon.com/images/I/71EHdvOsjpL._AC_UL320_.jpg")</f>
        <v>#NAME?</v>
      </c>
      <c r="I4867" t="s">
        <v>3419</v>
      </c>
      <c r="J4867">
        <v>13.98</v>
      </c>
      <c r="K4867" s="2" t="s">
        <v>13992</v>
      </c>
      <c r="L4867">
        <v>4.5</v>
      </c>
      <c r="M4867">
        <v>85</v>
      </c>
      <c r="O4867" t="s">
        <v>26</v>
      </c>
      <c r="P4867" t="s">
        <v>39</v>
      </c>
      <c r="Q4867" t="s">
        <v>11849</v>
      </c>
    </row>
    <row r="4868" spans="1:17" ht="15.75" x14ac:dyDescent="0.25">
      <c r="A4868" s="3" t="str">
        <f>HYPERLINK("https://shop.sonapharmacy.com/products/lactaid%C2%AE-fast-act-lactase-enzyme-caplets-60ct", "https://shop.sonapharmacy.com/products/lactaid%C2%AE-fast-act-lactase-enzyme-caplets-60ct")</f>
        <v>https://shop.sonapharmacy.com/products/lactaid%C2%AE-fast-act-lactase-enzyme-caplets-60ct</v>
      </c>
      <c r="B4868" s="3" t="str">
        <f>HYPERLINK("https://shop.sonapharmacy.com/products/lactaid%c2%ae-fast-act-lactase-enzyme-caplets-60ct", "https://shop.sonapharmacy.com/products/lactaid%c2%ae-fast-act-lactase-enzyme-caplets-60ct")</f>
        <v>https://shop.sonapharmacy.com/products/lactaid%c2%ae-fast-act-lactase-enzyme-caplets-60ct</v>
      </c>
      <c r="C4868" t="s">
        <v>11873</v>
      </c>
      <c r="D4868" t="s">
        <v>13088</v>
      </c>
      <c r="E4868" s="3" t="str">
        <f>HYPERLINK("https://www.amazon.com/Rite-Aid-Dairy-125/dp/B0030HSCUU/ref=sr_1_10?keywords=Lactaid%C2%AE+Fast+Act+Lactase+Enzyme+Caplets+60ct.&amp;qid=1695260472&amp;sr=8-10", "https://www.amazon.com/Rite-Aid-Dairy-125/dp/B0030HSCUU/ref=sr_1_10?keywords=Lactaid%C2%AE+Fast+Act+Lactase+Enzyme+Caplets+60ct.&amp;qid=1695260472&amp;sr=8-10")</f>
        <v>https://www.amazon.com/Rite-Aid-Dairy-125/dp/B0030HSCUU/ref=sr_1_10?keywords=Lactaid%C2%AE+Fast+Act+Lactase+Enzyme+Caplets+60ct.&amp;qid=1695260472&amp;sr=8-10</v>
      </c>
      <c r="F4868" t="s">
        <v>13089</v>
      </c>
      <c r="G4868" t="e">
        <f ca="1">IMAGE("https://shop.sonapharmacy.com/cdn/shop/products/46208c60-00c3-4dad-92a8-9e7168f0b83f.4ac6c75c3d69059101e9e1a9b10c2e01.jpg?v=1610985551")</f>
        <v>#NAME?</v>
      </c>
      <c r="H4868" t="e">
        <f ca="1">IMAGE("https://m.media-amazon.com/images/I/81VHaSE99yL._AC_UL320_.jpg")</f>
        <v>#NAME?</v>
      </c>
      <c r="I4868" t="s">
        <v>11876</v>
      </c>
      <c r="J4868">
        <v>17.989999999999998</v>
      </c>
      <c r="K4868" s="2" t="s">
        <v>13995</v>
      </c>
      <c r="L4868">
        <v>4.5999999999999996</v>
      </c>
      <c r="M4868">
        <v>530</v>
      </c>
      <c r="O4868" t="s">
        <v>26</v>
      </c>
      <c r="P4868" t="s">
        <v>39</v>
      </c>
      <c r="Q4868" t="s">
        <v>11878</v>
      </c>
    </row>
    <row r="4869" spans="1:17" ht="15.75" x14ac:dyDescent="0.25">
      <c r="A4869"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B4869" s="3" t="str">
        <f>HYPERLINK("https://shop.sonapharmacy.com/products/always%c2%ae-discreet-maximum-absorbency-xl-underwear-for-women-15ct", "https://shop.sonapharmacy.com/products/always%c2%ae-discreet-maximum-absorbency-xl-underwear-for-women-15ct")</f>
        <v>https://shop.sonapharmacy.com/products/always%c2%ae-discreet-maximum-absorbency-xl-underwear-for-women-15ct</v>
      </c>
      <c r="C4869" t="s">
        <v>9351</v>
      </c>
      <c r="D4869" t="s">
        <v>13996</v>
      </c>
      <c r="E4869" s="3" t="str">
        <f>HYPERLINK("https://www.amazon.com/Always-Discreet-Incontinence-Underwear-Extra-Large/dp/B00NAK3URM/ref=sr_1_1?keywords=Always+Discreet+Maximum+Absorbency+XL+Underwear+for+Women+15ct.&amp;qid=1695260003&amp;sr=8-1", "https://www.amazon.com/Always-Discreet-Incontinence-Underwear-Extra-Large/dp/B00NAK3URM/ref=sr_1_1?keywords=Always+Discreet+Maximum+Absorbency+XL+Underwear+for+Women+15ct.&amp;qid=1695260003&amp;sr=8-1")</f>
        <v>https://www.amazon.com/Always-Discreet-Incontinence-Underwear-Extra-Large/dp/B00NAK3URM/ref=sr_1_1?keywords=Always+Discreet+Maximum+Absorbency+XL+Underwear+for+Women+15ct.&amp;qid=1695260003&amp;sr=8-1</v>
      </c>
      <c r="F4869" t="s">
        <v>13997</v>
      </c>
      <c r="G4869" t="e">
        <f ca="1">IMAGE("https://shop.sonapharmacy.com/cdn/shop/products/338639f2-0083-468e-b2eb-218450a0aa4f_1.a078bb5a3baa7563816301e343b7d24b.jpg?v=1611074803")</f>
        <v>#NAME?</v>
      </c>
      <c r="H4869" t="e">
        <f ca="1">IMAGE("https://m.media-amazon.com/images/I/71X507raEFL._AC_UL320_.jpg")</f>
        <v>#NAME?</v>
      </c>
      <c r="I4869" t="s">
        <v>3419</v>
      </c>
      <c r="J4869">
        <v>13.88</v>
      </c>
      <c r="K4869" s="2" t="s">
        <v>13998</v>
      </c>
      <c r="L4869">
        <v>4.5</v>
      </c>
      <c r="M4869">
        <v>9732</v>
      </c>
      <c r="O4869" t="s">
        <v>26</v>
      </c>
      <c r="P4869" t="s">
        <v>39</v>
      </c>
      <c r="Q4869" t="s">
        <v>9355</v>
      </c>
    </row>
    <row r="4870" spans="1:17" ht="15.75" x14ac:dyDescent="0.25">
      <c r="A4870" s="3" t="str">
        <f>HYPERLINK("https://shop.sonapharmacy.com/products/nova%C2%AE-adjustable-drink-holder", "https://shop.sonapharmacy.com/products/nova%C2%AE-adjustable-drink-holder")</f>
        <v>https://shop.sonapharmacy.com/products/nova%C2%AE-adjustable-drink-holder</v>
      </c>
      <c r="B4870" s="3" t="str">
        <f>HYPERLINK("https://shop.sonapharmacy.com/products/nova%c2%ae-adjustable-drink-holder", "https://shop.sonapharmacy.com/products/nova%c2%ae-adjustable-drink-holder")</f>
        <v>https://shop.sonapharmacy.com/products/nova%c2%ae-adjustable-drink-holder</v>
      </c>
      <c r="C4870" t="s">
        <v>12479</v>
      </c>
      <c r="D4870" t="s">
        <v>13999</v>
      </c>
      <c r="E4870" s="3" t="str">
        <f>HYPERLINK("https://www.amazon.com/Holder-Folding-Adjustable-Plastic-Accessories/dp/B09XWK9NVD/ref=sr_1_10?keywords=Nova%C2%AE+Adjustable+Drink+Holder&amp;qid=1695260585&amp;sr=8-10", "https://www.amazon.com/Holder-Folding-Adjustable-Plastic-Accessories/dp/B09XWK9NVD/ref=sr_1_10?keywords=Nova%C2%AE+Adjustable+Drink+Holder&amp;qid=1695260585&amp;sr=8-10")</f>
        <v>https://www.amazon.com/Holder-Folding-Adjustable-Plastic-Accessories/dp/B09XWK9NVD/ref=sr_1_10?keywords=Nova%C2%AE+Adjustable+Drink+Holder&amp;qid=1695260585&amp;sr=8-10</v>
      </c>
      <c r="F4870" t="s">
        <v>14000</v>
      </c>
      <c r="G4870" t="e">
        <f ca="1">IMAGE("https://shop.sonapharmacy.com/cdn/shop/products/710LaqBowdL._AC_SL1500.jpg?v=1611083025")</f>
        <v>#NAME?</v>
      </c>
      <c r="H4870" t="e">
        <f ca="1">IMAGE("https://m.media-amazon.com/images/I/71vJsCfAOyL._AC_UY218_.jpg")</f>
        <v>#NAME?</v>
      </c>
      <c r="I4870" t="s">
        <v>12482</v>
      </c>
      <c r="J4870">
        <v>18.989999999999998</v>
      </c>
      <c r="K4870" s="2" t="s">
        <v>14001</v>
      </c>
      <c r="L4870">
        <v>4</v>
      </c>
      <c r="M4870">
        <v>51</v>
      </c>
      <c r="O4870" t="s">
        <v>26</v>
      </c>
      <c r="P4870" t="s">
        <v>39</v>
      </c>
      <c r="Q4870" t="s">
        <v>12484</v>
      </c>
    </row>
    <row r="4871" spans="1:17" ht="15.75" x14ac:dyDescent="0.25">
      <c r="A4871" s="3" t="str">
        <f>HYPERLINK("https://shop.sonapharmacy.com/products/accu-chek-guide-test-strips-50-ct", "https://shop.sonapharmacy.com/products/accu-chek-guide-test-strips-50-ct")</f>
        <v>https://shop.sonapharmacy.com/products/accu-chek-guide-test-strips-50-ct</v>
      </c>
      <c r="B4871" s="3" t="str">
        <f>HYPERLINK("https://shop.sonapharmacy.com/products/accu-chek-guide-test-strips-50-ct", "https://shop.sonapharmacy.com/products/accu-chek-guide-test-strips-50-ct")</f>
        <v>https://shop.sonapharmacy.com/products/accu-chek-guide-test-strips-50-ct</v>
      </c>
      <c r="C4871" t="s">
        <v>8734</v>
      </c>
      <c r="D4871" t="s">
        <v>14002</v>
      </c>
      <c r="E4871" s="3" t="str">
        <f>HYPERLINK("https://www.amazon.com/Accu-Chek-Guide-Test-Strips-Pack/dp/B07LCYGXB1/ref=sr_1_2?keywords=Accu-Chek+Guide+Test+Strips&amp;qid=1695260023&amp;sr=8-2", "https://www.amazon.com/Accu-Chek-Guide-Test-Strips-Pack/dp/B07LCYGXB1/ref=sr_1_2?keywords=Accu-Chek+Guide+Test+Strips&amp;qid=1695260023&amp;sr=8-2")</f>
        <v>https://www.amazon.com/Accu-Chek-Guide-Test-Strips-Pack/dp/B07LCYGXB1/ref=sr_1_2?keywords=Accu-Chek+Guide+Test+Strips&amp;qid=1695260023&amp;sr=8-2</v>
      </c>
      <c r="F4871" t="s">
        <v>14003</v>
      </c>
      <c r="G4871" t="e">
        <f ca="1">IMAGE("https://shop.sonapharmacy.com/cdn/shop/products/Accu-ChekGuideTestStrips50ct.yyy.jpg?v=1594217683")</f>
        <v>#NAME?</v>
      </c>
      <c r="H4871" t="e">
        <f ca="1">IMAGE("https://m.media-amazon.com/images/I/41TXPsbKpJL._AC_UL320_.jpg")</f>
        <v>#NAME?</v>
      </c>
      <c r="I4871" t="s">
        <v>8737</v>
      </c>
      <c r="J4871">
        <v>24.49</v>
      </c>
      <c r="K4871" s="2" t="s">
        <v>14004</v>
      </c>
      <c r="L4871">
        <v>4.4000000000000004</v>
      </c>
      <c r="M4871">
        <v>107</v>
      </c>
      <c r="O4871" t="s">
        <v>26</v>
      </c>
      <c r="P4871" t="s">
        <v>39</v>
      </c>
      <c r="Q4871" t="s">
        <v>8739</v>
      </c>
    </row>
    <row r="4872" spans="1:17" ht="15.75" x14ac:dyDescent="0.25">
      <c r="A4872" s="3" t="str">
        <f>HYPERLINK("https://shop.sonapharmacy.com/products/duracell%C2%AE-10-hearing-aid-batteries-with-easy-fit-tab-6ct", "https://shop.sonapharmacy.com/products/duracell%C2%AE-10-hearing-aid-batteries-with-easy-fit-tab-6ct")</f>
        <v>https://shop.sonapharmacy.com/products/duracell%C2%AE-10-hearing-aid-batteries-with-easy-fit-tab-6ct</v>
      </c>
      <c r="B4872" s="3" t="str">
        <f>HYPERLINK("https://shop.sonapharmacy.com/products/duracell%c2%ae-10-hearing-aid-batteries-with-easy-fit-tab-6ct", "https://shop.sonapharmacy.com/products/duracell%c2%ae-10-hearing-aid-batteries-with-easy-fit-tab-6ct")</f>
        <v>https://shop.sonapharmacy.com/products/duracell%c2%ae-10-hearing-aid-batteries-with-easy-fit-tab-6ct</v>
      </c>
      <c r="C4872" t="s">
        <v>14005</v>
      </c>
      <c r="D4872" t="s">
        <v>14006</v>
      </c>
      <c r="E4872" s="3" t="str">
        <f>HYPERLINK("https://www.amazon.com/Duracell-Hearing-Batteries-Long-Lasting-Extra-Long/dp/B0BSB4W7N3/ref=sr_1_5?keywords=Duracell%C2%AE+10+Hearing+Aid+Batteries+with+Easy-Fit+Tab+8ct.&amp;qid=1695260199&amp;sr=8-5", "https://www.amazon.com/Duracell-Hearing-Batteries-Long-Lasting-Extra-Long/dp/B0BSB4W7N3/ref=sr_1_5?keywords=Duracell%C2%AE+10+Hearing+Aid+Batteries+with+Easy-Fit+Tab+8ct.&amp;qid=1695260199&amp;sr=8-5")</f>
        <v>https://www.amazon.com/Duracell-Hearing-Batteries-Long-Lasting-Extra-Long/dp/B0BSB4W7N3/ref=sr_1_5?keywords=Duracell%C2%AE+10+Hearing+Aid+Batteries+with+Easy-Fit+Tab+8ct.&amp;qid=1695260199&amp;sr=8-5</v>
      </c>
      <c r="F4872" t="s">
        <v>14007</v>
      </c>
      <c r="G4872" t="e">
        <f ca="1">IMAGE("https://shop.sonapharmacy.com/cdn/shop/products/8d94b69b-8728-4de9-ba13-de0698706da8_1.7b8fe2750b5b0715211e30deb317b4ff.png?v=1610334183")</f>
        <v>#NAME?</v>
      </c>
      <c r="H4872" t="e">
        <f ca="1">IMAGE("https://m.media-amazon.com/images/I/71+C6Jv70JL._AC_UL320_.jpg")</f>
        <v>#NAME?</v>
      </c>
      <c r="I4872" t="s">
        <v>3394</v>
      </c>
      <c r="J4872">
        <v>14.77</v>
      </c>
      <c r="K4872" s="2" t="s">
        <v>14008</v>
      </c>
      <c r="L4872">
        <v>5</v>
      </c>
      <c r="M4872">
        <v>2</v>
      </c>
      <c r="O4872" t="s">
        <v>26</v>
      </c>
      <c r="P4872" t="s">
        <v>39</v>
      </c>
      <c r="Q4872" t="s">
        <v>14009</v>
      </c>
    </row>
    <row r="4873" spans="1:17" ht="15.75" x14ac:dyDescent="0.25">
      <c r="A4873" s="3" t="str">
        <f>HYPERLINK("https://shop.sonapharmacy.com/products/cepacol-extra-strength-sore-throat-and-cough-lozenges", "https://shop.sonapharmacy.com/products/cepacol-extra-strength-sore-throat-and-cough-lozenges")</f>
        <v>https://shop.sonapharmacy.com/products/cepacol-extra-strength-sore-throat-and-cough-lozenges</v>
      </c>
      <c r="B4873" s="3" t="str">
        <f>HYPERLINK("https://shop.sonapharmacy.com/products/cepacol-extra-strength-sore-throat-and-cough-lozenges", "https://shop.sonapharmacy.com/products/cepacol-extra-strength-sore-throat-and-cough-lozenges")</f>
        <v>https://shop.sonapharmacy.com/products/cepacol-extra-strength-sore-throat-and-cough-lozenges</v>
      </c>
      <c r="C4873" t="s">
        <v>13268</v>
      </c>
      <c r="D4873" t="s">
        <v>14010</v>
      </c>
      <c r="E4873" s="3" t="str">
        <f>HYPERLINK("https://www.amazon.com/Cepacol-Strength-Throat-Lozenges-Cherry/dp/B00XQFJXK4/ref=sr_1_2?keywords=Cepacol%C2%AE+Extra+Strength+Sore+Throat+Lozenges&amp;qid=1695260123&amp;sr=8-2", "https://www.amazon.com/Cepacol-Strength-Throat-Lozenges-Cherry/dp/B00XQFJXK4/ref=sr_1_2?keywords=Cepacol%C2%AE+Extra+Strength+Sore+Throat+Lozenges&amp;qid=1695260123&amp;sr=8-2")</f>
        <v>https://www.amazon.com/Cepacol-Strength-Throat-Lozenges-Cherry/dp/B00XQFJXK4/ref=sr_1_2?keywords=Cepacol%C2%AE+Extra+Strength+Sore+Throat+Lozenges&amp;qid=1695260123&amp;sr=8-2</v>
      </c>
      <c r="F4873" t="s">
        <v>14011</v>
      </c>
      <c r="G4873" t="e">
        <f ca="1">IMAGE("https://shop.sonapharmacy.com/cdn/shop/products/CepacolExtraStrengthSoreThroatLozenges.jpg?v=1595274775")</f>
        <v>#NAME?</v>
      </c>
      <c r="H4873" t="e">
        <f ca="1">IMAGE("https://m.media-amazon.com/images/I/61BwFCccpwL._AC_UL320_.jpg")</f>
        <v>#NAME?</v>
      </c>
      <c r="I4873" t="s">
        <v>9284</v>
      </c>
      <c r="J4873">
        <v>5.99</v>
      </c>
      <c r="K4873" s="2" t="s">
        <v>14012</v>
      </c>
      <c r="L4873">
        <v>4.7</v>
      </c>
      <c r="M4873">
        <v>1634</v>
      </c>
      <c r="O4873" t="s">
        <v>136</v>
      </c>
      <c r="P4873" t="s">
        <v>39</v>
      </c>
      <c r="Q4873" t="s">
        <v>13272</v>
      </c>
    </row>
    <row r="4874" spans="1:17" ht="15.75" x14ac:dyDescent="0.25">
      <c r="A4874" s="3" t="str">
        <f>HYPERLINK("https://shop.sonapharmacy.com/products/cepacol-extra-strength-sore-throat-and-cough-lozenges", "https://shop.sonapharmacy.com/products/cepacol-extra-strength-sore-throat-and-cough-lozenges")</f>
        <v>https://shop.sonapharmacy.com/products/cepacol-extra-strength-sore-throat-and-cough-lozenges</v>
      </c>
      <c r="B4874" s="3" t="str">
        <f>HYPERLINK("https://shop.sonapharmacy.com/products/cepacol-extra-strength-sore-throat-and-cough-lozenges", "https://shop.sonapharmacy.com/products/cepacol-extra-strength-sore-throat-and-cough-lozenges")</f>
        <v>https://shop.sonapharmacy.com/products/cepacol-extra-strength-sore-throat-and-cough-lozenges</v>
      </c>
      <c r="C4874" t="s">
        <v>13268</v>
      </c>
      <c r="D4874" t="s">
        <v>14013</v>
      </c>
      <c r="E4874" s="3" t="str">
        <f>HYPERLINK("https://www.amazon.com/Cepacol-Maximum-Strength-Throat-Lozenges/dp/B00DORUVLO/ref=sr_1_1?keywords=Cepacol%C2%AE+Extra+Strength+Sore+Throat+Lozenges&amp;qid=1695260123&amp;sr=8-1", "https://www.amazon.com/Cepacol-Maximum-Strength-Throat-Lozenges/dp/B00DORUVLO/ref=sr_1_1?keywords=Cepacol%C2%AE+Extra+Strength+Sore+Throat+Lozenges&amp;qid=1695260123&amp;sr=8-1")</f>
        <v>https://www.amazon.com/Cepacol-Maximum-Strength-Throat-Lozenges/dp/B00DORUVLO/ref=sr_1_1?keywords=Cepacol%C2%AE+Extra+Strength+Sore+Throat+Lozenges&amp;qid=1695260123&amp;sr=8-1</v>
      </c>
      <c r="F4874" t="s">
        <v>14014</v>
      </c>
      <c r="G4874" t="e">
        <f ca="1">IMAGE("https://shop.sonapharmacy.com/cdn/shop/products/CepacolExtraStrengthSoreThroatLozenges.jpg?v=1595274775")</f>
        <v>#NAME?</v>
      </c>
      <c r="H4874" t="e">
        <f ca="1">IMAGE("https://m.media-amazon.com/images/I/61V-1fn60VL._AC_UL320_.jpg")</f>
        <v>#NAME?</v>
      </c>
      <c r="I4874" t="s">
        <v>9284</v>
      </c>
      <c r="J4874">
        <v>5.99</v>
      </c>
      <c r="K4874" s="2" t="s">
        <v>14012</v>
      </c>
      <c r="L4874">
        <v>4.7</v>
      </c>
      <c r="M4874">
        <v>1120</v>
      </c>
      <c r="O4874" t="s">
        <v>136</v>
      </c>
      <c r="P4874" t="s">
        <v>39</v>
      </c>
      <c r="Q4874" t="s">
        <v>13272</v>
      </c>
    </row>
    <row r="4875" spans="1:17" ht="15.75" x14ac:dyDescent="0.25">
      <c r="A4875" s="3" t="str">
        <f>HYPERLINK("https://shop.sonapharmacy.com/products/adtemp%C2%AE-temple-touch-thermometer", "https://shop.sonapharmacy.com/products/adtemp%C2%AE-temple-touch-thermometer")</f>
        <v>https://shop.sonapharmacy.com/products/adtemp%C2%AE-temple-touch-thermometer</v>
      </c>
      <c r="B4875" s="3" t="str">
        <f>HYPERLINK("https://shop.sonapharmacy.com/products/adtemp%c2%ae-temple-touch-thermometer", "https://shop.sonapharmacy.com/products/adtemp%c2%ae-temple-touch-thermometer")</f>
        <v>https://shop.sonapharmacy.com/products/adtemp%c2%ae-temple-touch-thermometer</v>
      </c>
      <c r="C4875" t="s">
        <v>13554</v>
      </c>
      <c r="D4875" t="s">
        <v>14015</v>
      </c>
      <c r="E4875" s="3" t="str">
        <f>HYPERLINK("https://www.amazon.com/ADC-Thermometer-Invasive-Suitable-427/dp/B003AGV8RU/ref=sr_1_1?keywords=Adtemp+Temple+Touch+Thermometer&amp;qid=1695260003&amp;sr=8-1", "https://www.amazon.com/ADC-Thermometer-Invasive-Suitable-427/dp/B003AGV8RU/ref=sr_1_1?keywords=Adtemp+Temple+Touch+Thermometer&amp;qid=1695260003&amp;sr=8-1")</f>
        <v>https://www.amazon.com/ADC-Thermometer-Invasive-Suitable-427/dp/B003AGV8RU/ref=sr_1_1?keywords=Adtemp+Temple+Touch+Thermometer&amp;qid=1695260003&amp;sr=8-1</v>
      </c>
      <c r="F4875" t="s">
        <v>14016</v>
      </c>
      <c r="G4875" t="e">
        <f ca="1">IMAGE("https://shop.sonapharmacy.com/cdn/shop/products/51X2vsPGK9L._AC_SL1307.jpg?v=1614791812")</f>
        <v>#NAME?</v>
      </c>
      <c r="H4875" t="e">
        <f ca="1">IMAGE("https://m.media-amazon.com/images/I/51v6wp-X38L._AC_UL320_.jpg")</f>
        <v>#NAME?</v>
      </c>
      <c r="I4875" t="s">
        <v>13557</v>
      </c>
      <c r="J4875">
        <v>13.78</v>
      </c>
      <c r="K4875" s="2" t="s">
        <v>14017</v>
      </c>
      <c r="L4875">
        <v>4.3</v>
      </c>
      <c r="M4875">
        <v>13432</v>
      </c>
      <c r="O4875" t="s">
        <v>26</v>
      </c>
      <c r="P4875" t="s">
        <v>39</v>
      </c>
      <c r="Q4875" t="s">
        <v>13558</v>
      </c>
    </row>
    <row r="4876" spans="1:17" ht="15.75" x14ac:dyDescent="0.25">
      <c r="A4876" s="3" t="str">
        <f t="shared" ref="A4876:B4878" si="46">HYPERLINK("https://shop.sonapharmacy.com/products/aspercreme-pain-relieving-creme-with-lidocaine", "https://shop.sonapharmacy.com/products/aspercreme-pain-relieving-creme-with-lidocaine")</f>
        <v>https://shop.sonapharmacy.com/products/aspercreme-pain-relieving-creme-with-lidocaine</v>
      </c>
      <c r="B4876" s="3" t="str">
        <f t="shared" si="46"/>
        <v>https://shop.sonapharmacy.com/products/aspercreme-pain-relieving-creme-with-lidocaine</v>
      </c>
      <c r="C4876" t="s">
        <v>13884</v>
      </c>
      <c r="D4876" t="s">
        <v>14018</v>
      </c>
      <c r="E4876" s="3" t="str">
        <f>HYPERLINK("https://www.amazon.com/Aspercreme-Essential-Lidocaine-Lavender-Applicator/dp/B0815H293N/ref=sr_1_9?keywords=aspercreme+pain+relieving+cream+with+lidocaine&amp;qid=1695260026&amp;sr=8-9", "https://www.amazon.com/Aspercreme-Essential-Lidocaine-Lavender-Applicator/dp/B0815H293N/ref=sr_1_9?keywords=aspercreme+pain+relieving+cream+with+lidocaine&amp;qid=1695260026&amp;sr=8-9")</f>
        <v>https://www.amazon.com/Aspercreme-Essential-Lidocaine-Lavender-Applicator/dp/B0815H293N/ref=sr_1_9?keywords=aspercreme+pain+relieving+cream+with+lidocaine&amp;qid=1695260026&amp;sr=8-9</v>
      </c>
      <c r="F4876" t="s">
        <v>14019</v>
      </c>
      <c r="G4876" t="e">
        <f ca="1">IMAGE("https://shop.sonapharmacy.com/cdn/shop/products/71N53FLTCxL._AC_SL1500_478b887a-8e87-47fa-996e-600fe87f6b1a.jpg?v=1611193210")</f>
        <v>#NAME?</v>
      </c>
      <c r="H4876" t="e">
        <f ca="1">IMAGE("https://m.media-amazon.com/images/I/61NvsgdVqhL._AC_UL320_.jpg")</f>
        <v>#NAME?</v>
      </c>
      <c r="I4876" t="s">
        <v>13887</v>
      </c>
      <c r="J4876">
        <v>9.98</v>
      </c>
      <c r="K4876" s="2" t="s">
        <v>4234</v>
      </c>
      <c r="L4876">
        <v>4.5</v>
      </c>
      <c r="M4876">
        <v>11255</v>
      </c>
      <c r="O4876" t="s">
        <v>26</v>
      </c>
      <c r="P4876" t="s">
        <v>39</v>
      </c>
      <c r="Q4876" t="s">
        <v>13888</v>
      </c>
    </row>
    <row r="4877" spans="1:17" ht="15.75" x14ac:dyDescent="0.25">
      <c r="A4877" s="3" t="str">
        <f t="shared" si="46"/>
        <v>https://shop.sonapharmacy.com/products/aspercreme-pain-relieving-creme-with-lidocaine</v>
      </c>
      <c r="B4877" s="3" t="str">
        <f t="shared" si="46"/>
        <v>https://shop.sonapharmacy.com/products/aspercreme-pain-relieving-creme-with-lidocaine</v>
      </c>
      <c r="C4877" t="s">
        <v>13884</v>
      </c>
      <c r="D4877" t="s">
        <v>14020</v>
      </c>
      <c r="E4877" s="3" t="str">
        <f>HYPERLINK("https://www.amazon.com/Aspercreme-Essential-Lidocaine-Rejuvenating-Eucalyptus/dp/B0BJLDKNZ3/ref=sr_1_7?keywords=aspercreme+pain+relieving+cream+with+lidocaine&amp;qid=1695260026&amp;sr=8-7", "https://www.amazon.com/Aspercreme-Essential-Lidocaine-Rejuvenating-Eucalyptus/dp/B0BJLDKNZ3/ref=sr_1_7?keywords=aspercreme+pain+relieving+cream+with+lidocaine&amp;qid=1695260026&amp;sr=8-7")</f>
        <v>https://www.amazon.com/Aspercreme-Essential-Lidocaine-Rejuvenating-Eucalyptus/dp/B0BJLDKNZ3/ref=sr_1_7?keywords=aspercreme+pain+relieving+cream+with+lidocaine&amp;qid=1695260026&amp;sr=8-7</v>
      </c>
      <c r="F4877" t="s">
        <v>14021</v>
      </c>
      <c r="G4877" t="e">
        <f ca="1">IMAGE("https://shop.sonapharmacy.com/cdn/shop/products/71N53FLTCxL._AC_SL1500_478b887a-8e87-47fa-996e-600fe87f6b1a.jpg?v=1611193210")</f>
        <v>#NAME?</v>
      </c>
      <c r="H4877" t="e">
        <f ca="1">IMAGE("https://m.media-amazon.com/images/I/61cwUMrkM-L._AC_UL320_.jpg")</f>
        <v>#NAME?</v>
      </c>
      <c r="I4877" t="s">
        <v>13887</v>
      </c>
      <c r="J4877">
        <v>9.98</v>
      </c>
      <c r="K4877" s="2" t="s">
        <v>4234</v>
      </c>
      <c r="L4877">
        <v>4.3</v>
      </c>
      <c r="M4877">
        <v>71</v>
      </c>
      <c r="O4877" t="s">
        <v>26</v>
      </c>
      <c r="P4877" t="s">
        <v>39</v>
      </c>
      <c r="Q4877" t="s">
        <v>13888</v>
      </c>
    </row>
    <row r="4878" spans="1:17" ht="15.75" x14ac:dyDescent="0.25">
      <c r="A4878" s="3" t="str">
        <f t="shared" si="46"/>
        <v>https://shop.sonapharmacy.com/products/aspercreme-pain-relieving-creme-with-lidocaine</v>
      </c>
      <c r="B4878" s="3" t="str">
        <f t="shared" si="46"/>
        <v>https://shop.sonapharmacy.com/products/aspercreme-pain-relieving-creme-with-lidocaine</v>
      </c>
      <c r="C4878" t="s">
        <v>13884</v>
      </c>
      <c r="D4878" t="s">
        <v>14022</v>
      </c>
      <c r="E4878" s="3" t="str">
        <f>HYPERLINK("https://www.amazon.com/Aspercreme-Essential-Lidocaine-Rosemary-Applicator/dp/B08TFMP5LX/ref=sr_1_6?keywords=aspercreme+pain+relieving+cream+with+lidocaine&amp;qid=1695260026&amp;sr=8-6", "https://www.amazon.com/Aspercreme-Essential-Lidocaine-Rosemary-Applicator/dp/B08TFMP5LX/ref=sr_1_6?keywords=aspercreme+pain+relieving+cream+with+lidocaine&amp;qid=1695260026&amp;sr=8-6")</f>
        <v>https://www.amazon.com/Aspercreme-Essential-Lidocaine-Rosemary-Applicator/dp/B08TFMP5LX/ref=sr_1_6?keywords=aspercreme+pain+relieving+cream+with+lidocaine&amp;qid=1695260026&amp;sr=8-6</v>
      </c>
      <c r="F4878" t="s">
        <v>14023</v>
      </c>
      <c r="G4878" t="e">
        <f ca="1">IMAGE("https://shop.sonapharmacy.com/cdn/shop/products/71N53FLTCxL._AC_SL1500_478b887a-8e87-47fa-996e-600fe87f6b1a.jpg?v=1611193210")</f>
        <v>#NAME?</v>
      </c>
      <c r="H4878" t="e">
        <f ca="1">IMAGE("https://m.media-amazon.com/images/I/71ICtQbPLIL._AC_UL320_.jpg")</f>
        <v>#NAME?</v>
      </c>
      <c r="I4878" t="s">
        <v>13887</v>
      </c>
      <c r="J4878">
        <v>9.98</v>
      </c>
      <c r="K4878" s="2" t="s">
        <v>4234</v>
      </c>
      <c r="L4878">
        <v>4.5999999999999996</v>
      </c>
      <c r="M4878">
        <v>731</v>
      </c>
      <c r="O4878" t="s">
        <v>26</v>
      </c>
      <c r="P4878" t="s">
        <v>39</v>
      </c>
      <c r="Q4878" t="s">
        <v>13888</v>
      </c>
    </row>
    <row r="4879" spans="1:17" ht="15.75" x14ac:dyDescent="0.25">
      <c r="A4879" s="3" t="str">
        <f>HYPERLINK("https://shop.sonapharmacy.com/products/rid%C2%AE-lice-treatment-complete-kit", "https://shop.sonapharmacy.com/products/rid%C2%AE-lice-treatment-complete-kit")</f>
        <v>https://shop.sonapharmacy.com/products/rid%C2%AE-lice-treatment-complete-kit</v>
      </c>
      <c r="B4879" s="3" t="str">
        <f>HYPERLINK("https://shop.sonapharmacy.com/products/rid%c2%ae-lice-treatment-complete-kit", "https://shop.sonapharmacy.com/products/rid%c2%ae-lice-treatment-complete-kit")</f>
        <v>https://shop.sonapharmacy.com/products/rid%c2%ae-lice-treatment-complete-kit</v>
      </c>
      <c r="C4879" t="s">
        <v>12957</v>
      </c>
      <c r="D4879" t="s">
        <v>14024</v>
      </c>
      <c r="E4879" s="3" t="str">
        <f>HYPERLINK("https://www.amazon.com/RID-Lice-Treatment-Complete-Killing-Comb-Out/dp/B0045XF6AM/ref=sr_1_1?keywords=RID%C2%AE+Lice+Treatment+Complete+Kit&amp;qid=1695260700&amp;sr=8-1", "https://www.amazon.com/RID-Lice-Treatment-Complete-Killing-Comb-Out/dp/B0045XF6AM/ref=sr_1_1?keywords=RID%C2%AE+Lice+Treatment+Complete+Kit&amp;qid=1695260700&amp;sr=8-1")</f>
        <v>https://www.amazon.com/RID-Lice-Treatment-Complete-Killing-Comb-Out/dp/B0045XF6AM/ref=sr_1_1?keywords=RID%C2%AE+Lice+Treatment+Complete+Kit&amp;qid=1695260700&amp;sr=8-1</v>
      </c>
      <c r="F4879" t="s">
        <v>14025</v>
      </c>
      <c r="G4879" t="e">
        <f ca="1">IMAGE("https://shop.sonapharmacy.com/cdn/shop/products/f85f9910-42b0-4ec1-b8d9-5ec8ecc309b2_3.47326398bc37beb5484605a87a646c1f.jpg?v=1608138919")</f>
        <v>#NAME?</v>
      </c>
      <c r="H4879" t="e">
        <f ca="1">IMAGE("https://m.media-amazon.com/images/I/71RhQdgHB4L._AC_UL320_.jpg")</f>
        <v>#NAME?</v>
      </c>
      <c r="I4879" t="s">
        <v>12960</v>
      </c>
      <c r="J4879">
        <v>21.76</v>
      </c>
      <c r="K4879" s="2" t="s">
        <v>14026</v>
      </c>
      <c r="L4879">
        <v>4.3</v>
      </c>
      <c r="M4879">
        <v>1434</v>
      </c>
      <c r="O4879" t="s">
        <v>26</v>
      </c>
      <c r="P4879" t="s">
        <v>39</v>
      </c>
      <c r="Q4879" t="s">
        <v>12962</v>
      </c>
    </row>
    <row r="4880" spans="1:17" ht="15.75" x14ac:dyDescent="0.25">
      <c r="A4880" s="3" t="str">
        <f>HYPERLINK("https://shop.sonapharmacy.com/products/good-sense-350-mg-krill-oil-90-mg-omega-3-softgels", "https://shop.sonapharmacy.com/products/good-sense-350-mg-krill-oil-90-mg-omega-3-softgels")</f>
        <v>https://shop.sonapharmacy.com/products/good-sense-350-mg-krill-oil-90-mg-omega-3-softgels</v>
      </c>
      <c r="B4880" s="3" t="str">
        <f>HYPERLINK("https://shop.sonapharmacy.com/products/good-sense-350-mg-krill-oil-90-mg-omega-3-softgels", "https://shop.sonapharmacy.com/products/good-sense-350-mg-krill-oil-90-mg-omega-3-softgels")</f>
        <v>https://shop.sonapharmacy.com/products/good-sense-350-mg-krill-oil-90-mg-omega-3-softgels</v>
      </c>
      <c r="C4880" t="s">
        <v>14027</v>
      </c>
      <c r="D4880" t="s">
        <v>14028</v>
      </c>
      <c r="E4880" s="3" t="str">
        <f>HYPERLINK("https://www.amazon.com/Softgels-Aftertaste-Contains-Antioxidant-Astaxanthin/dp/B0020MMBWQ/ref=sr_1_5?keywords=GoodSense%C2%AE+350+mg+Krill+Oil+90+mg+Omega-3+Softgels+60ct.&amp;qid=1695260372&amp;sr=8-5", "https://www.amazon.com/Softgels-Aftertaste-Contains-Antioxidant-Astaxanthin/dp/B0020MMBWQ/ref=sr_1_5?keywords=GoodSense%C2%AE+350+mg+Krill+Oil+90+mg+Omega-3+Softgels+60ct.&amp;qid=1695260372&amp;sr=8-5")</f>
        <v>https://www.amazon.com/Softgels-Aftertaste-Contains-Antioxidant-Astaxanthin/dp/B0020MMBWQ/ref=sr_1_5?keywords=GoodSense%C2%AE+350+mg+Krill+Oil+90+mg+Omega-3+Softgels+60ct.&amp;qid=1695260372&amp;sr=8-5</v>
      </c>
      <c r="F4880" t="s">
        <v>14029</v>
      </c>
      <c r="G4880" t="e">
        <f ca="1">IMAGE("https://shop.sonapharmacy.com/cdn/shop/products/GoodSense350mgKrillOil90mgOmega-3Softgels.jpg?v=1594931107")</f>
        <v>#NAME?</v>
      </c>
      <c r="H4880" t="e">
        <f ca="1">IMAGE("https://m.media-amazon.com/images/I/81OkQ2QcKxL._AC_UL320_.jpg")</f>
        <v>#NAME?</v>
      </c>
      <c r="I4880" t="s">
        <v>14030</v>
      </c>
      <c r="J4880">
        <v>24.75</v>
      </c>
      <c r="K4880" s="2" t="s">
        <v>14031</v>
      </c>
      <c r="L4880">
        <v>4.7</v>
      </c>
      <c r="M4880">
        <v>654</v>
      </c>
      <c r="O4880" t="s">
        <v>26</v>
      </c>
      <c r="P4880" t="s">
        <v>39</v>
      </c>
      <c r="Q4880" t="s">
        <v>14032</v>
      </c>
    </row>
    <row r="4881" spans="1:17" ht="15.75" x14ac:dyDescent="0.25">
      <c r="A4881" s="3" t="str">
        <f>HYPERLINK("https://shop.sonapharmacy.com/products/biofreeze-topical-pain-relief-gel", "https://shop.sonapharmacy.com/products/biofreeze-topical-pain-relief-gel")</f>
        <v>https://shop.sonapharmacy.com/products/biofreeze-topical-pain-relief-gel</v>
      </c>
      <c r="B4881" s="3" t="str">
        <f>HYPERLINK("https://shop.sonapharmacy.com/products/biofreeze-topical-pain-relief-gel", "https://shop.sonapharmacy.com/products/biofreeze-topical-pain-relief-gel")</f>
        <v>https://shop.sonapharmacy.com/products/biofreeze-topical-pain-relief-gel</v>
      </c>
      <c r="C4881" t="s">
        <v>11845</v>
      </c>
      <c r="D4881" t="s">
        <v>14033</v>
      </c>
      <c r="E4881" s="3" t="str">
        <f>HYPERLINK("https://www.amazon.com/Biofreeze-Pain-Relief-Hands-Free-Applicator/dp/B0032K1RUC/ref=sr_1_3?keywords=Biofreeze%C2%AE+Topical+Pain+Relief+Gel&amp;qid=1695260090&amp;sr=8-3", "https://www.amazon.com/Biofreeze-Pain-Relief-Hands-Free-Applicator/dp/B0032K1RUC/ref=sr_1_3?keywords=Biofreeze%C2%AE+Topical+Pain+Relief+Gel&amp;qid=1695260090&amp;sr=8-3")</f>
        <v>https://www.amazon.com/Biofreeze-Pain-Relief-Hands-Free-Applicator/dp/B0032K1RUC/ref=sr_1_3?keywords=Biofreeze%C2%AE+Topical+Pain+Relief+Gel&amp;qid=1695260090&amp;sr=8-3</v>
      </c>
      <c r="F4881" t="s">
        <v>14034</v>
      </c>
      <c r="G4881" t="e">
        <f ca="1">IMAGE("https://shop.sonapharmacy.com/cdn/shop/products/BiofreezeGel.png?v=1606962058")</f>
        <v>#NAME?</v>
      </c>
      <c r="H4881" t="e">
        <f ca="1">IMAGE("https://m.media-amazon.com/images/I/612aYRP1VQL._AC_UL320_.jpg")</f>
        <v>#NAME?</v>
      </c>
      <c r="I4881" t="s">
        <v>3419</v>
      </c>
      <c r="J4881">
        <v>13.78</v>
      </c>
      <c r="K4881" s="2" t="s">
        <v>14035</v>
      </c>
      <c r="L4881">
        <v>4.5999999999999996</v>
      </c>
      <c r="M4881">
        <v>170</v>
      </c>
      <c r="O4881" t="s">
        <v>26</v>
      </c>
      <c r="P4881" t="s">
        <v>39</v>
      </c>
      <c r="Q4881" t="s">
        <v>11849</v>
      </c>
    </row>
    <row r="4882" spans="1:17" ht="15.75" x14ac:dyDescent="0.25">
      <c r="A4882" s="3" t="str">
        <f>HYPERLINK("https://shop.sonapharmacy.com/products/benadryl%C2%AE-original-strength-itch-stopping-cream-1oz", "https://shop.sonapharmacy.com/products/benadryl%C2%AE-original-strength-itch-stopping-cream-1oz")</f>
        <v>https://shop.sonapharmacy.com/products/benadryl%C2%AE-original-strength-itch-stopping-cream-1oz</v>
      </c>
      <c r="B4882" s="3" t="str">
        <f>HYPERLINK("https://shop.sonapharmacy.com/products/benadryl%c2%ae-original-strength-itch-stopping-cream-1oz", "https://shop.sonapharmacy.com/products/benadryl%c2%ae-original-strength-itch-stopping-cream-1oz")</f>
        <v>https://shop.sonapharmacy.com/products/benadryl%c2%ae-original-strength-itch-stopping-cream-1oz</v>
      </c>
      <c r="C4882" t="s">
        <v>8484</v>
      </c>
      <c r="D4882" t="s">
        <v>14036</v>
      </c>
      <c r="E4882" s="3" t="str">
        <f>HYPERLINK("https://www.amazon.com/Benadryl-Original-Strength-Anti-Itch-Analgesic/dp/B005CPGODU/ref=sr_1_1?keywords=Benadryl%C2%AE+Original+Strength+Itch+Stopping+Cream+1oz&amp;qid=1695260112&amp;sr=8-1", "https://www.amazon.com/Benadryl-Original-Strength-Anti-Itch-Analgesic/dp/B005CPGODU/ref=sr_1_1?keywords=Benadryl%C2%AE+Original+Strength+Itch+Stopping+Cream+1oz&amp;qid=1695260112&amp;sr=8-1")</f>
        <v>https://www.amazon.com/Benadryl-Original-Strength-Anti-Itch-Analgesic/dp/B005CPGODU/ref=sr_1_1?keywords=Benadryl%C2%AE+Original+Strength+Itch+Stopping+Cream+1oz&amp;qid=1695260112&amp;sr=8-1</v>
      </c>
      <c r="F4882" t="s">
        <v>14037</v>
      </c>
      <c r="G4882" t="e">
        <f ca="1">IMAGE("https://shop.sonapharmacy.com/cdn/shop/products/44103667-6875-436e-b776-cf3d6402ef0d_1.65737eb7090c77f7aa9709f0319524eb.jpg?v=1611255561")</f>
        <v>#NAME?</v>
      </c>
      <c r="H4882" t="e">
        <f ca="1">IMAGE("https://m.media-amazon.com/images/I/81W-tAlzkmL._AC_UL320_.jpg")</f>
        <v>#NAME?</v>
      </c>
      <c r="I4882" t="s">
        <v>8487</v>
      </c>
      <c r="J4882">
        <v>6.78</v>
      </c>
      <c r="K4882" s="2" t="s">
        <v>14038</v>
      </c>
      <c r="L4882">
        <v>4.7</v>
      </c>
      <c r="M4882">
        <v>6590</v>
      </c>
      <c r="O4882" t="s">
        <v>26</v>
      </c>
      <c r="P4882" t="s">
        <v>39</v>
      </c>
      <c r="Q4882" t="s">
        <v>8489</v>
      </c>
    </row>
    <row r="4883" spans="1:17" ht="15.75" x14ac:dyDescent="0.25">
      <c r="A4883" s="3" t="str">
        <f>HYPERLINK("https://shop.sonapharmacy.com/products/attends%C2%AE-advanced-underwear-extra-absorbency-large-18ct", "https://shop.sonapharmacy.com/products/attends%C2%AE-advanced-underwear-extra-absorbency-large-18ct")</f>
        <v>https://shop.sonapharmacy.com/products/attends%C2%AE-advanced-underwear-extra-absorbency-large-18ct</v>
      </c>
      <c r="B4883" s="3" t="str">
        <f>HYPERLINK("https://shop.sonapharmacy.com/products/attends%c2%ae-advanced-underwear-extra-absorbency-large-18ct", "https://shop.sonapharmacy.com/products/attends%c2%ae-advanced-underwear-extra-absorbency-large-18ct")</f>
        <v>https://shop.sonapharmacy.com/products/attends%c2%ae-advanced-underwear-extra-absorbency-large-18ct</v>
      </c>
      <c r="C4883" t="s">
        <v>12149</v>
      </c>
      <c r="D4883" t="s">
        <v>14039</v>
      </c>
      <c r="E4883" s="3" t="str">
        <f>HYPERLINK("https://www.amazon.com/Attends-Underwear-Large-Absorbency-AP0730/dp/B000TVOW36/ref=sr_1_6?keywords=Attends+Advanced+Underwear+Extra+Absorbency+Large+18ct.&amp;qid=1695260030&amp;sr=8-6", "https://www.amazon.com/Attends-Underwear-Large-Absorbency-AP0730/dp/B000TVOW36/ref=sr_1_6?keywords=Attends+Advanced+Underwear+Extra+Absorbency+Large+18ct.&amp;qid=1695260030&amp;sr=8-6")</f>
        <v>https://www.amazon.com/Attends-Underwear-Large-Absorbency-AP0730/dp/B000TVOW36/ref=sr_1_6?keywords=Attends+Advanced+Underwear+Extra+Absorbency+Large+18ct.&amp;qid=1695260030&amp;sr=8-6</v>
      </c>
      <c r="F4883" t="s">
        <v>14040</v>
      </c>
      <c r="G4883" t="e">
        <f ca="1">IMAGE("https://shop.sonapharmacy.com/cdn/shop/products/76123c3a-2b78-49c6-8437-aa68caa99352_1.eab0c01c02484f7ee0d6e4a34b37ba19.png?v=1611078396")</f>
        <v>#NAME?</v>
      </c>
      <c r="H4883" t="e">
        <f ca="1">IMAGE("https://m.media-amazon.com/images/I/81J69TOMDcL._AC_UL320_.jpg")</f>
        <v>#NAME?</v>
      </c>
      <c r="I4883" t="s">
        <v>9258</v>
      </c>
      <c r="J4883">
        <v>10.99</v>
      </c>
      <c r="K4883" s="2" t="s">
        <v>14041</v>
      </c>
      <c r="L4883">
        <v>3.2</v>
      </c>
      <c r="M4883">
        <v>21</v>
      </c>
      <c r="O4883" t="s">
        <v>26</v>
      </c>
      <c r="P4883" t="s">
        <v>39</v>
      </c>
      <c r="Q4883" t="s">
        <v>12153</v>
      </c>
    </row>
    <row r="4884" spans="1:17" ht="15.75" x14ac:dyDescent="0.25">
      <c r="A4884" s="3" t="str">
        <f>HYPERLINK("https://shop.sonapharmacy.com/products/goodsense%C2%AE-lansoprazole-delayed-release-acid-reducer-15mg-capsules", "https://shop.sonapharmacy.com/products/goodsense%C2%AE-lansoprazole-delayed-release-acid-reducer-15mg-capsules")</f>
        <v>https://shop.sonapharmacy.com/products/goodsense%C2%AE-lansoprazole-delayed-release-acid-reducer-15mg-capsules</v>
      </c>
      <c r="B4884" s="3" t="str">
        <f>HYPERLINK("https://shop.sonapharmacy.com/products/goodsense%c2%ae-lansoprazole-delayed-release-acid-reducer-15mg-capsules", "https://shop.sonapharmacy.com/products/goodsense%c2%ae-lansoprazole-delayed-release-acid-reducer-15mg-capsules")</f>
        <v>https://shop.sonapharmacy.com/products/goodsense%c2%ae-lansoprazole-delayed-release-acid-reducer-15mg-capsules</v>
      </c>
      <c r="C4884" t="s">
        <v>13695</v>
      </c>
      <c r="D4884" t="s">
        <v>14042</v>
      </c>
      <c r="E4884" s="3" t="str">
        <f>HYPERLINK("https://www.amazon.com/GoodSense-Reducer-Lansoprazole-Delayed-Capsules/dp/B008Y656V0/ref=sr_1_1?keywords=GoodSense%C2%AE+Lansoprazole+Delayed+Release+Acid+Reducer+15mg+Capsules&amp;qid=1695260393&amp;sr=8-1", "https://www.amazon.com/GoodSense-Reducer-Lansoprazole-Delayed-Capsules/dp/B008Y656V0/ref=sr_1_1?keywords=GoodSense%C2%AE+Lansoprazole+Delayed+Release+Acid+Reducer+15mg+Capsules&amp;qid=1695260393&amp;sr=8-1")</f>
        <v>https://www.amazon.com/GoodSense-Reducer-Lansoprazole-Delayed-Capsules/dp/B008Y656V0/ref=sr_1_1?keywords=GoodSense%C2%AE+Lansoprazole+Delayed+Release+Acid+Reducer+15mg+Capsules&amp;qid=1695260393&amp;sr=8-1</v>
      </c>
      <c r="F4884" t="s">
        <v>14043</v>
      </c>
      <c r="G4884" t="e">
        <f ca="1">IMAGE("https://shop.sonapharmacy.com/cdn/shop/products/4735aba1-e73c-4c69-aae8-80f27c792f0c_1.6461f78b5543bd106c3c445cb0ff8dfd.jpg?v=1611091653")</f>
        <v>#NAME?</v>
      </c>
      <c r="H4884" t="e">
        <f ca="1">IMAGE("https://m.media-amazon.com/images/I/61YPtlqtPJL._AC_UL320_.jpg")</f>
        <v>#NAME?</v>
      </c>
      <c r="I4884" t="s">
        <v>13698</v>
      </c>
      <c r="J4884">
        <v>16.02</v>
      </c>
      <c r="K4884" s="2" t="s">
        <v>14044</v>
      </c>
      <c r="L4884">
        <v>4.7</v>
      </c>
      <c r="M4884">
        <v>2397</v>
      </c>
      <c r="O4884" t="s">
        <v>26</v>
      </c>
      <c r="P4884" t="s">
        <v>39</v>
      </c>
      <c r="Q4884" t="s">
        <v>13700</v>
      </c>
    </row>
    <row r="4885" spans="1:17" ht="15.75" x14ac:dyDescent="0.25">
      <c r="A4885" s="3" t="str">
        <f>HYPERLINK("https://shop.sonapharmacy.com/products/aquaphor%C2%AE-lip-repair-tube-10ml", "https://shop.sonapharmacy.com/products/aquaphor%C2%AE-lip-repair-tube-10ml")</f>
        <v>https://shop.sonapharmacy.com/products/aquaphor%C2%AE-lip-repair-tube-10ml</v>
      </c>
      <c r="B4885" s="3" t="str">
        <f>HYPERLINK("https://shop.sonapharmacy.com/products/aquaphor%c2%ae-lip-repair-tube-10ml", "https://shop.sonapharmacy.com/products/aquaphor%c2%ae-lip-repair-tube-10ml")</f>
        <v>https://shop.sonapharmacy.com/products/aquaphor%c2%ae-lip-repair-tube-10ml</v>
      </c>
      <c r="C4885" t="s">
        <v>8831</v>
      </c>
      <c r="D4885" t="s">
        <v>14045</v>
      </c>
      <c r="E4885" s="3" t="str">
        <f>HYPERLINK("https://www.amazon.com/Aquaphor-Lip-Protectant-Sunscreen-Ointment/dp/B008SQSBJK/ref=sr_1_7?keywords=Aquaphor+Lip+Repair+Tube+10ml&amp;qid=1695260018&amp;sr=8-7", "https://www.amazon.com/Aquaphor-Lip-Protectant-Sunscreen-Ointment/dp/B008SQSBJK/ref=sr_1_7?keywords=Aquaphor+Lip+Repair+Tube+10ml&amp;qid=1695260018&amp;sr=8-7")</f>
        <v>https://www.amazon.com/Aquaphor-Lip-Protectant-Sunscreen-Ointment/dp/B008SQSBJK/ref=sr_1_7?keywords=Aquaphor+Lip+Repair+Tube+10ml&amp;qid=1695260018&amp;sr=8-7</v>
      </c>
      <c r="F4885" t="s">
        <v>14046</v>
      </c>
      <c r="G4885" t="e">
        <f ca="1">IMAGE("https://shop.sonapharmacy.com/cdn/shop/products/a9273c19-1d53-4858-abb8-43a4ce27b9d6_1.52617476fb0deabe5812834a044fdaec.jpg?v=1608231857")</f>
        <v>#NAME?</v>
      </c>
      <c r="H4885" t="e">
        <f ca="1">IMAGE("https://m.media-amazon.com/images/I/61mSL0htB6L._AC_UL320_.jpg")</f>
        <v>#NAME?</v>
      </c>
      <c r="I4885" t="s">
        <v>8834</v>
      </c>
      <c r="J4885">
        <v>4.79</v>
      </c>
      <c r="K4885" s="2" t="s">
        <v>14047</v>
      </c>
      <c r="L4885">
        <v>4.5999999999999996</v>
      </c>
      <c r="M4885">
        <v>13563</v>
      </c>
      <c r="O4885" t="s">
        <v>26</v>
      </c>
      <c r="P4885" t="s">
        <v>39</v>
      </c>
      <c r="Q4885" t="s">
        <v>8836</v>
      </c>
    </row>
    <row r="4886" spans="1:17" ht="15.75" x14ac:dyDescent="0.25">
      <c r="A4886"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B4886"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C4886" t="s">
        <v>11756</v>
      </c>
      <c r="D4886" t="s">
        <v>12930</v>
      </c>
      <c r="E4886" s="3" t="str">
        <f>HYPERLINK("https://www.amazon.com/GoodSense-Omeprazole-Delayed-Release-Reducer/dp/B00CM2FLWG/ref=sr_1_2?keywords=GoodSense%C2%AE+Omeprazole+Delayed+Release+Acid+Reducer+Tablets&amp;qid=1695260366&amp;sr=8-2", "https://www.amazon.com/GoodSense-Omeprazole-Delayed-Release-Reducer/dp/B00CM2FLWG/ref=sr_1_2?keywords=GoodSense%C2%AE+Omeprazole+Delayed+Release+Acid+Reducer+Tablets&amp;qid=1695260366&amp;sr=8-2")</f>
        <v>https://www.amazon.com/GoodSense-Omeprazole-Delayed-Release-Reducer/dp/B00CM2FLWG/ref=sr_1_2?keywords=GoodSense%C2%AE+Omeprazole+Delayed+Release+Acid+Reducer+Tablets&amp;qid=1695260366&amp;sr=8-2</v>
      </c>
      <c r="F4886" t="s">
        <v>12931</v>
      </c>
      <c r="G4886" t="e">
        <f ca="1">IMAGE("https://shop.sonapharmacy.com/cdn/shop/products/61mXugZtvTL._AC_SL1000_1a51445e-2089-4814-b7ea-c9463c6da8ef.jpg?v=1611027744")</f>
        <v>#NAME?</v>
      </c>
      <c r="H4886" t="e">
        <f ca="1">IMAGE("https://m.media-amazon.com/images/I/61QFgOl6xpL._AC_UL320_.jpg")</f>
        <v>#NAME?</v>
      </c>
      <c r="I4886" t="s">
        <v>10716</v>
      </c>
      <c r="J4886">
        <v>15.23</v>
      </c>
      <c r="K4886" s="2" t="s">
        <v>14048</v>
      </c>
      <c r="L4886">
        <v>4.7</v>
      </c>
      <c r="M4886">
        <v>11169</v>
      </c>
      <c r="O4886" t="s">
        <v>26</v>
      </c>
      <c r="P4886" t="s">
        <v>39</v>
      </c>
      <c r="Q4886" t="s">
        <v>11760</v>
      </c>
    </row>
    <row r="4887" spans="1:17" ht="15.75" x14ac:dyDescent="0.25">
      <c r="A4887" s="3" t="str">
        <f>HYPERLINK("https://shop.sonapharmacy.com/products/sun-bum%C2%AE-mineral-spf-30-sunscreen-lotion-3", "https://shop.sonapharmacy.com/products/sun-bum%C2%AE-mineral-spf-30-sunscreen-lotion-3")</f>
        <v>https://shop.sonapharmacy.com/products/sun-bum%C2%AE-mineral-spf-30-sunscreen-lotion-3</v>
      </c>
      <c r="B4887" s="3" t="str">
        <f>HYPERLINK("https://shop.sonapharmacy.com/products/sun-bum%c2%ae-mineral-spf-30-sunscreen-lotion-3", "https://shop.sonapharmacy.com/products/sun-bum%c2%ae-mineral-spf-30-sunscreen-lotion-3")</f>
        <v>https://shop.sonapharmacy.com/products/sun-bum%c2%ae-mineral-spf-30-sunscreen-lotion-3</v>
      </c>
      <c r="C4887" t="s">
        <v>10741</v>
      </c>
      <c r="D4887" t="s">
        <v>14049</v>
      </c>
      <c r="E4887" s="3" t="str">
        <f>HYPERLINK("https://www.amazon.com/Bum-Sunscreen-Octinoxate-Oxybenzone-Moisturizing/dp/B09JHM7NGJ/ref=sr_1_6?keywords=Sun+Bum%C2%AE+Mineral+SPF+50+Sunscreen+Lotion+3oz&amp;qid=1695260735&amp;sr=8-6", "https://www.amazon.com/Bum-Sunscreen-Octinoxate-Oxybenzone-Moisturizing/dp/B09JHM7NGJ/ref=sr_1_6?keywords=Sun+Bum%C2%AE+Mineral+SPF+50+Sunscreen+Lotion+3oz&amp;qid=1695260735&amp;sr=8-6")</f>
        <v>https://www.amazon.com/Bum-Sunscreen-Octinoxate-Oxybenzone-Moisturizing/dp/B09JHM7NGJ/ref=sr_1_6?keywords=Sun+Bum%C2%AE+Mineral+SPF+50+Sunscreen+Lotion+3oz&amp;qid=1695260735&amp;sr=8-6</v>
      </c>
      <c r="F4887" t="s">
        <v>14050</v>
      </c>
      <c r="G4887" t="e">
        <f ca="1">IMAGE("https://shop.sonapharmacy.com/cdn/shop/products/61BXE36gB1L._SL1500.jpg?v=1629233300")</f>
        <v>#NAME?</v>
      </c>
      <c r="H4887" t="e">
        <f ca="1">IMAGE("https://m.media-amazon.com/images/I/51PE9tpSO6L._AC_UL320_.jpg")</f>
        <v>#NAME?</v>
      </c>
      <c r="I4887" t="s">
        <v>3419</v>
      </c>
      <c r="J4887">
        <v>13.69</v>
      </c>
      <c r="K4887" s="2" t="s">
        <v>14051</v>
      </c>
      <c r="L4887">
        <v>4.7</v>
      </c>
      <c r="M4887">
        <v>128</v>
      </c>
      <c r="O4887" t="s">
        <v>26</v>
      </c>
      <c r="P4887" t="s">
        <v>39</v>
      </c>
      <c r="Q4887" t="s">
        <v>10742</v>
      </c>
    </row>
    <row r="4888" spans="1:17" ht="15.75" x14ac:dyDescent="0.25">
      <c r="A4888" s="3" t="str">
        <f>HYPERLINK("https://shop.sonapharmacy.com/products/sudafed-sinus-pressure-pain-relief-tablets", "https://shop.sonapharmacy.com/products/sudafed-sinus-pressure-pain-relief-tablets")</f>
        <v>https://shop.sonapharmacy.com/products/sudafed-sinus-pressure-pain-relief-tablets</v>
      </c>
      <c r="B4888" s="3" t="str">
        <f>HYPERLINK("https://shop.sonapharmacy.com/products/sudafed-sinus-pressure-pain-relief-tablets", "https://shop.sonapharmacy.com/products/sudafed-sinus-pressure-pain-relief-tablets")</f>
        <v>https://shop.sonapharmacy.com/products/sudafed-sinus-pressure-pain-relief-tablets</v>
      </c>
      <c r="C4888" t="s">
        <v>10102</v>
      </c>
      <c r="D4888" t="s">
        <v>14052</v>
      </c>
      <c r="E4888" s="3" t="str">
        <f>HYPERLINK("https://www.amazon.com/Sudafed-Pressure-Strength-Non-Drowsy-Decongestant/dp/B009ITQYYA/ref=sr_1_1?keywords=Sudafed+Sinus+Pressure+Pain+Relief+Tablets&amp;qid=1695260732&amp;sr=8-1", "https://www.amazon.com/Sudafed-Pressure-Strength-Non-Drowsy-Decongestant/dp/B009ITQYYA/ref=sr_1_1?keywords=Sudafed+Sinus+Pressure+Pain+Relief+Tablets&amp;qid=1695260732&amp;sr=8-1")</f>
        <v>https://www.amazon.com/Sudafed-Pressure-Strength-Non-Drowsy-Decongestant/dp/B009ITQYYA/ref=sr_1_1?keywords=Sudafed+Sinus+Pressure+Pain+Relief+Tablets&amp;qid=1695260732&amp;sr=8-1</v>
      </c>
      <c r="F4888" t="s">
        <v>14053</v>
      </c>
      <c r="G4888" t="e">
        <f ca="1">IMAGE("https://shop.sonapharmacy.com/cdn/shop/products/SudafedSinusPressure_PainReliefTablets.jpg?v=1595445751")</f>
        <v>#NAME?</v>
      </c>
      <c r="H4888" t="e">
        <f ca="1">IMAGE("https://m.media-amazon.com/images/I/81ZZn7hh5BL._AC_UL320_.jpg")</f>
        <v>#NAME?</v>
      </c>
      <c r="I4888" t="s">
        <v>10105</v>
      </c>
      <c r="J4888">
        <v>7.88</v>
      </c>
      <c r="K4888" s="2" t="s">
        <v>14054</v>
      </c>
      <c r="L4888">
        <v>4.5999999999999996</v>
      </c>
      <c r="M4888">
        <v>15542</v>
      </c>
      <c r="O4888" t="s">
        <v>26</v>
      </c>
      <c r="P4888" t="s">
        <v>39</v>
      </c>
      <c r="Q4888" t="s">
        <v>10107</v>
      </c>
    </row>
    <row r="4889" spans="1:17" ht="15.75" x14ac:dyDescent="0.25">
      <c r="A4889" s="3" t="str">
        <f>HYPERLINK("https://shop.sonapharmacy.com/products/sun-bum%C2%AE-mineral-spf-50-sunscreen-lotion-3oz", "https://shop.sonapharmacy.com/products/sun-bum%C2%AE-mineral-spf-50-sunscreen-lotion-3oz")</f>
        <v>https://shop.sonapharmacy.com/products/sun-bum%C2%AE-mineral-spf-50-sunscreen-lotion-3oz</v>
      </c>
      <c r="B4889" s="3" t="str">
        <f>HYPERLINK("https://shop.sonapharmacy.com/products/sun-bum%c2%ae-mineral-spf-50-sunscreen-lotion-3oz", "https://shop.sonapharmacy.com/products/sun-bum%c2%ae-mineral-spf-50-sunscreen-lotion-3oz")</f>
        <v>https://shop.sonapharmacy.com/products/sun-bum%c2%ae-mineral-spf-50-sunscreen-lotion-3oz</v>
      </c>
      <c r="C4889" t="s">
        <v>10736</v>
      </c>
      <c r="D4889" t="s">
        <v>14049</v>
      </c>
      <c r="E4889" s="3" t="str">
        <f>HYPERLINK("https://www.amazon.com/Bum-Sunscreen-Octinoxate-Oxybenzone-Moisturizing/dp/B09JHM7NGJ/ref=sr_1_9?keywords=Sun+Bum%C2%AE+Mineral+SPF+50+Sunscreen+Lotion+3oz.&amp;qid=1695260736&amp;sr=8-9", "https://www.amazon.com/Bum-Sunscreen-Octinoxate-Oxybenzone-Moisturizing/dp/B09JHM7NGJ/ref=sr_1_9?keywords=Sun+Bum%C2%AE+Mineral+SPF+50+Sunscreen+Lotion+3oz.&amp;qid=1695260736&amp;sr=8-9")</f>
        <v>https://www.amazon.com/Bum-Sunscreen-Octinoxate-Oxybenzone-Moisturizing/dp/B09JHM7NGJ/ref=sr_1_9?keywords=Sun+Bum%C2%AE+Mineral+SPF+50+Sunscreen+Lotion+3oz.&amp;qid=1695260736&amp;sr=8-9</v>
      </c>
      <c r="F4889" t="s">
        <v>14050</v>
      </c>
      <c r="G4889" t="e">
        <f ca="1">IMAGE("https://shop.sonapharmacy.com/cdn/shop/products/61BXE36gB1L._SL1500__1.jpg?v=1629233458")</f>
        <v>#NAME?</v>
      </c>
      <c r="H4889" t="e">
        <f ca="1">IMAGE("https://m.media-amazon.com/images/I/51PE9tpSO6L._AC_UL320_.jpg")</f>
        <v>#NAME?</v>
      </c>
      <c r="I4889" t="s">
        <v>3419</v>
      </c>
      <c r="J4889">
        <v>13.68</v>
      </c>
      <c r="K4889" s="2" t="s">
        <v>14055</v>
      </c>
      <c r="L4889">
        <v>4.7</v>
      </c>
      <c r="M4889">
        <v>128</v>
      </c>
      <c r="O4889" t="s">
        <v>26</v>
      </c>
      <c r="P4889" t="s">
        <v>39</v>
      </c>
      <c r="Q4889" t="s">
        <v>10740</v>
      </c>
    </row>
    <row r="4890" spans="1:17" ht="15.75" x14ac:dyDescent="0.25">
      <c r="A4890" s="3" t="str">
        <f>HYPERLINK("https://shop.sonapharmacy.com/products/sun-bum%C2%AE-mineral-spf-30-sunscreen-lotion-3", "https://shop.sonapharmacy.com/products/sun-bum%C2%AE-mineral-spf-30-sunscreen-lotion-3")</f>
        <v>https://shop.sonapharmacy.com/products/sun-bum%C2%AE-mineral-spf-30-sunscreen-lotion-3</v>
      </c>
      <c r="B4890" s="3" t="str">
        <f>HYPERLINK("https://shop.sonapharmacy.com/products/sun-bum%c2%ae-mineral-spf-30-sunscreen-lotion-3", "https://shop.sonapharmacy.com/products/sun-bum%c2%ae-mineral-spf-30-sunscreen-lotion-3")</f>
        <v>https://shop.sonapharmacy.com/products/sun-bum%c2%ae-mineral-spf-30-sunscreen-lotion-3</v>
      </c>
      <c r="C4890" t="s">
        <v>10741</v>
      </c>
      <c r="D4890" t="s">
        <v>14056</v>
      </c>
      <c r="E4890" s="3" t="str">
        <f>HYPERLINK("https://www.amazon.com/Sun-Bum-Sunscreen-Protection-Hypoallergenic/dp/B072KGPSYP/ref=sr_1_1?keywords=Sun+Bum%C2%AE+Mineral+SPF+50+Sunscreen+Lotion+3oz&amp;qid=1695260735&amp;rdc=1&amp;sr=8-1", "https://www.amazon.com/Sun-Bum-Sunscreen-Protection-Hypoallergenic/dp/B072KGPSYP/ref=sr_1_1?keywords=Sun+Bum%C2%AE+Mineral+SPF+50+Sunscreen+Lotion+3oz&amp;qid=1695260735&amp;rdc=1&amp;sr=8-1")</f>
        <v>https://www.amazon.com/Sun-Bum-Sunscreen-Protection-Hypoallergenic/dp/B072KGPSYP/ref=sr_1_1?keywords=Sun+Bum%C2%AE+Mineral+SPF+50+Sunscreen+Lotion+3oz&amp;qid=1695260735&amp;rdc=1&amp;sr=8-1</v>
      </c>
      <c r="F4890" t="s">
        <v>14057</v>
      </c>
      <c r="G4890" t="e">
        <f ca="1">IMAGE("https://shop.sonapharmacy.com/cdn/shop/products/61BXE36gB1L._SL1500.jpg?v=1629233300")</f>
        <v>#NAME?</v>
      </c>
      <c r="H4890" t="e">
        <f ca="1">IMAGE("https://m.media-amazon.com/images/I/41o00Y6NQhL._AC_UL320_.jpg")</f>
        <v>#NAME?</v>
      </c>
      <c r="I4890" t="s">
        <v>3419</v>
      </c>
      <c r="J4890">
        <v>13.66</v>
      </c>
      <c r="K4890" s="2" t="s">
        <v>14058</v>
      </c>
      <c r="L4890">
        <v>4.5</v>
      </c>
      <c r="M4890">
        <v>3393</v>
      </c>
      <c r="O4890" t="s">
        <v>26</v>
      </c>
      <c r="P4890" t="s">
        <v>39</v>
      </c>
      <c r="Q4890" t="s">
        <v>10742</v>
      </c>
    </row>
    <row r="4891" spans="1:17" ht="15.75" x14ac:dyDescent="0.25">
      <c r="A4891" s="3" t="str">
        <f>HYPERLINK("https://shop.sonapharmacy.com/products/coricidin-hbp-chest-congestion-cough-liquid-gels", "https://shop.sonapharmacy.com/products/coricidin-hbp-chest-congestion-cough-liquid-gels")</f>
        <v>https://shop.sonapharmacy.com/products/coricidin-hbp-chest-congestion-cough-liquid-gels</v>
      </c>
      <c r="B4891" s="3" t="str">
        <f>HYPERLINK("https://shop.sonapharmacy.com/products/coricidin-hbp-chest-congestion-cough-liquid-gels", "https://shop.sonapharmacy.com/products/coricidin-hbp-chest-congestion-cough-liquid-gels")</f>
        <v>https://shop.sonapharmacy.com/products/coricidin-hbp-chest-congestion-cough-liquid-gels</v>
      </c>
      <c r="C4891" t="s">
        <v>9766</v>
      </c>
      <c r="D4891" t="s">
        <v>14059</v>
      </c>
      <c r="E4891" s="3" t="str">
        <f>HYPERLINK("https://www.amazon.com/Coricidin-Decongestant-Free-Pressure-Strength-Congestion/dp/B0B63WW9H4/ref=sr_1_1?keywords=Coricidin%C2%AE+HBP+Chest+Congestion+%26+Cough+Liquid+Gels&amp;qid=1695260160&amp;rdc=1&amp;sr=8-1", "https://www.amazon.com/Coricidin-Decongestant-Free-Pressure-Strength-Congestion/dp/B0B63WW9H4/ref=sr_1_1?keywords=Coricidin%C2%AE+HBP+Chest+Congestion+%26+Cough+Liquid+Gels&amp;qid=1695260160&amp;rdc=1&amp;sr=8-1")</f>
        <v>https://www.amazon.com/Coricidin-Decongestant-Free-Pressure-Strength-Congestion/dp/B0B63WW9H4/ref=sr_1_1?keywords=Coricidin%C2%AE+HBP+Chest+Congestion+%26+Cough+Liquid+Gels&amp;qid=1695260160&amp;rdc=1&amp;sr=8-1</v>
      </c>
      <c r="F4891" t="s">
        <v>14060</v>
      </c>
      <c r="G4891" t="e">
        <f ca="1">IMAGE("https://shop.sonapharmacy.com/cdn/shop/products/CoricidinHBPChestCongestion_CoughLiquidGels.png?v=1595528319")</f>
        <v>#NAME?</v>
      </c>
      <c r="H4891" t="e">
        <f ca="1">IMAGE("https://m.media-amazon.com/images/I/81dL36BHYTL._AC_UL320_.jpg")</f>
        <v>#NAME?</v>
      </c>
      <c r="I4891" t="s">
        <v>9769</v>
      </c>
      <c r="J4891">
        <v>10.46</v>
      </c>
      <c r="K4891" s="2" t="s">
        <v>14061</v>
      </c>
      <c r="L4891">
        <v>4.7</v>
      </c>
      <c r="M4891">
        <v>3584</v>
      </c>
      <c r="O4891" t="s">
        <v>26</v>
      </c>
      <c r="P4891" t="s">
        <v>39</v>
      </c>
      <c r="Q4891" t="s">
        <v>9771</v>
      </c>
    </row>
    <row r="4892" spans="1:17" ht="15.75" x14ac:dyDescent="0.25">
      <c r="A4892" s="3" t="str">
        <f>HYPERLINK("https://shop.sonapharmacy.com/products/cara%C2%AE-king-size-deluxe-moist-dry-heating-pad", "https://shop.sonapharmacy.com/products/cara%C2%AE-king-size-deluxe-moist-dry-heating-pad")</f>
        <v>https://shop.sonapharmacy.com/products/cara%C2%AE-king-size-deluxe-moist-dry-heating-pad</v>
      </c>
      <c r="B4892" s="3" t="str">
        <f>HYPERLINK("https://shop.sonapharmacy.com/products/cara%c2%ae-king-size-deluxe-moist-dry-heating-pad", "https://shop.sonapharmacy.com/products/cara%c2%ae-king-size-deluxe-moist-dry-heating-pad")</f>
        <v>https://shop.sonapharmacy.com/products/cara%c2%ae-king-size-deluxe-moist-dry-heating-pad</v>
      </c>
      <c r="C4892" t="s">
        <v>9482</v>
      </c>
      <c r="D4892" t="s">
        <v>14062</v>
      </c>
      <c r="E4892" s="3" t="str">
        <f>HYPERLINK("https://www.amazon.com/CARA-Deluxe-Washable-Heating-Moist/dp/B001BKS09Q/ref=sr_1_1?keywords=Cara%C2%AE+King+Size+Deluxe+Moist%2FDry+Heating+Pad&amp;qid=1695260153&amp;sr=8-1", "https://www.amazon.com/CARA-Deluxe-Washable-Heating-Moist/dp/B001BKS09Q/ref=sr_1_1?keywords=Cara%C2%AE+King+Size+Deluxe+Moist%2FDry+Heating+Pad&amp;qid=1695260153&amp;sr=8-1")</f>
        <v>https://www.amazon.com/CARA-Deluxe-Washable-Heating-Moist/dp/B001BKS09Q/ref=sr_1_1?keywords=Cara%C2%AE+King+Size+Deluxe+Moist%2FDry+Heating+Pad&amp;qid=1695260153&amp;sr=8-1</v>
      </c>
      <c r="F4892" t="s">
        <v>14063</v>
      </c>
      <c r="G4892" t="e">
        <f ca="1">IMAGE("https://shop.sonapharmacy.com/cdn/shop/products/1ddc6c39-9558-443b-8666-5d044b86491e_1.2f7c00ca9379c03e7ab8a9340435a608.jpg?v=1611153613")</f>
        <v>#NAME?</v>
      </c>
      <c r="H4892" t="e">
        <f ca="1">IMAGE("https://m.media-amazon.com/images/I/71A-9355k8L._AC_UL320_.jpg")</f>
        <v>#NAME?</v>
      </c>
      <c r="I4892" t="s">
        <v>9483</v>
      </c>
      <c r="J4892">
        <v>29.99</v>
      </c>
      <c r="K4892" s="2" t="s">
        <v>7077</v>
      </c>
      <c r="L4892">
        <v>3.6</v>
      </c>
      <c r="M4892">
        <v>52</v>
      </c>
      <c r="O4892" t="s">
        <v>26</v>
      </c>
      <c r="P4892" t="s">
        <v>39</v>
      </c>
      <c r="Q4892" t="s">
        <v>9485</v>
      </c>
    </row>
    <row r="4893" spans="1:17" ht="15.75" x14ac:dyDescent="0.25">
      <c r="A4893" s="3" t="str">
        <f>HYPERLINK("https://shop.sonapharmacy.com/products/sunbum%C2%AE-original-spf-30-sunscreen-lotion", "https://shop.sonapharmacy.com/products/sunbum%C2%AE-original-spf-30-sunscreen-lotion")</f>
        <v>https://shop.sonapharmacy.com/products/sunbum%C2%AE-original-spf-30-sunscreen-lotion</v>
      </c>
      <c r="B4893" s="3" t="str">
        <f>HYPERLINK("https://shop.sonapharmacy.com/products/sunbum%c2%ae-original-spf-30-sunscreen-lotion", "https://shop.sonapharmacy.com/products/sunbum%c2%ae-original-spf-30-sunscreen-lotion")</f>
        <v>https://shop.sonapharmacy.com/products/sunbum%c2%ae-original-spf-30-sunscreen-lotion</v>
      </c>
      <c r="C4893" t="s">
        <v>10325</v>
      </c>
      <c r="D4893" t="s">
        <v>14064</v>
      </c>
      <c r="E4893" s="3" t="str">
        <f>HYPERLINK("https://www.amazon.com/Sun-Bum-Sunscreen-Spectrum-Protection/dp/B007MV4BQY/ref=sr_1_6?keywords=Sun+Bum%C2%AE+Original+SPF+30+Sunscreen+Lotion&amp;qid=1695260773&amp;sr=8-6", "https://www.amazon.com/Sun-Bum-Sunscreen-Spectrum-Protection/dp/B007MV4BQY/ref=sr_1_6?keywords=Sun+Bum%C2%AE+Original+SPF+30+Sunscreen+Lotion&amp;qid=1695260773&amp;sr=8-6")</f>
        <v>https://www.amazon.com/Sun-Bum-Sunscreen-Spectrum-Protection/dp/B007MV4BQY/ref=sr_1_6?keywords=Sun+Bum%C2%AE+Original+SPF+30+Sunscreen+Lotion&amp;qid=1695260773&amp;sr=8-6</v>
      </c>
      <c r="F4893" t="s">
        <v>14065</v>
      </c>
      <c r="G4893" t="e">
        <f ca="1">IMAGE("https://shop.sonapharmacy.com/cdn/shop/products/7112Mn16XDL._SL1500.jpg?v=1611869378")</f>
        <v>#NAME?</v>
      </c>
      <c r="H4893" t="e">
        <f ca="1">IMAGE("https://m.media-amazon.com/images/I/717AaifipcL._AC_UL320_.jpg")</f>
        <v>#NAME?</v>
      </c>
      <c r="I4893" t="s">
        <v>4873</v>
      </c>
      <c r="J4893">
        <v>9.07</v>
      </c>
      <c r="K4893" s="2" t="s">
        <v>14066</v>
      </c>
      <c r="L4893">
        <v>4.5999999999999996</v>
      </c>
      <c r="M4893">
        <v>13498</v>
      </c>
      <c r="O4893" t="s">
        <v>26</v>
      </c>
      <c r="P4893" t="s">
        <v>39</v>
      </c>
      <c r="Q4893" t="s">
        <v>10329</v>
      </c>
    </row>
    <row r="4894" spans="1:17" ht="15.75" x14ac:dyDescent="0.25">
      <c r="A4894" s="3" t="str">
        <f>HYPERLINK("https://shop.sonapharmacy.com/products/refresh-optive%C2%AE-advanced-triple-action-relief-eye-drops", "https://shop.sonapharmacy.com/products/refresh-optive%C2%AE-advanced-triple-action-relief-eye-drops")</f>
        <v>https://shop.sonapharmacy.com/products/refresh-optive%C2%AE-advanced-triple-action-relief-eye-drops</v>
      </c>
      <c r="B4894" s="3" t="str">
        <f>HYPERLINK("https://shop.sonapharmacy.com/products/refresh-optive%c2%ae-advanced-triple-action-relief-eye-drops", "https://shop.sonapharmacy.com/products/refresh-optive%c2%ae-advanced-triple-action-relief-eye-drops")</f>
        <v>https://shop.sonapharmacy.com/products/refresh-optive%c2%ae-advanced-triple-action-relief-eye-drops</v>
      </c>
      <c r="C4894" t="s">
        <v>10731</v>
      </c>
      <c r="D4894" t="s">
        <v>14067</v>
      </c>
      <c r="E4894" s="3" t="str">
        <f>HYPERLINK("https://www.amazon.com/Refresh-Advanced-Lubricant-Single-Use-Containers/dp/B00B5SEJEY/ref=sr_1_5?keywords=Refresh%C2%AE+Optive%C2%AE+Advanced+Preservative+Free+Eye+Drops&amp;qid=1695260683&amp;sr=8-5", "https://www.amazon.com/Refresh-Advanced-Lubricant-Single-Use-Containers/dp/B00B5SEJEY/ref=sr_1_5?keywords=Refresh%C2%AE+Optive%C2%AE+Advanced+Preservative+Free+Eye+Drops&amp;qid=1695260683&amp;sr=8-5")</f>
        <v>https://www.amazon.com/Refresh-Advanced-Lubricant-Single-Use-Containers/dp/B00B5SEJEY/ref=sr_1_5?keywords=Refresh%C2%AE+Optive%C2%AE+Advanced+Preservative+Free+Eye+Drops&amp;qid=1695260683&amp;sr=8-5</v>
      </c>
      <c r="F4894" t="s">
        <v>14068</v>
      </c>
      <c r="G4894" t="e">
        <f ca="1">IMAGE("https://shop.sonapharmacy.com/cdn/shop/products/refresh-optive-advanced-presfree-hero-packaging.png?v=1608823825")</f>
        <v>#NAME?</v>
      </c>
      <c r="H4894" t="e">
        <f ca="1">IMAGE("https://m.media-amazon.com/images/I/716Js3YgQEL._AC_UL320_.jpg")</f>
        <v>#NAME?</v>
      </c>
      <c r="I4894" t="s">
        <v>4814</v>
      </c>
      <c r="J4894">
        <v>16.329999999999998</v>
      </c>
      <c r="K4894" s="2" t="s">
        <v>14069</v>
      </c>
      <c r="L4894">
        <v>4.7</v>
      </c>
      <c r="M4894">
        <v>5405</v>
      </c>
      <c r="O4894" t="s">
        <v>26</v>
      </c>
      <c r="P4894" t="s">
        <v>39</v>
      </c>
      <c r="Q4894" t="s">
        <v>10735</v>
      </c>
    </row>
    <row r="4895" spans="1:17" ht="15.75" x14ac:dyDescent="0.25">
      <c r="A4895" s="3" t="str">
        <f>HYPERLINK("https://shop.sonapharmacy.com/products/nexcare-opticlude", "https://shop.sonapharmacy.com/products/nexcare-opticlude")</f>
        <v>https://shop.sonapharmacy.com/products/nexcare-opticlude</v>
      </c>
      <c r="B4895" s="3" t="str">
        <f>HYPERLINK("https://shop.sonapharmacy.com/products/nexcare-opticlude", "https://shop.sonapharmacy.com/products/nexcare-opticlude")</f>
        <v>https://shop.sonapharmacy.com/products/nexcare-opticlude</v>
      </c>
      <c r="C4895" t="s">
        <v>8566</v>
      </c>
      <c r="D4895" t="s">
        <v>14070</v>
      </c>
      <c r="E4895" s="3" t="str">
        <f>HYPERLINK("https://www.amazon.com/Nexcare-Opticlude-Orthopic-Patches-Junior/dp/B000052XFU/ref=sr_1_2?keywords=Nexcare+Opticlude+Eye+Patch&amp;qid=1695260565&amp;sr=8-2", "https://www.amazon.com/Nexcare-Opticlude-Orthopic-Patches-Junior/dp/B000052XFU/ref=sr_1_2?keywords=Nexcare+Opticlude+Eye+Patch&amp;qid=1695260565&amp;sr=8-2")</f>
        <v>https://www.amazon.com/Nexcare-Opticlude-Orthopic-Patches-Junior/dp/B000052XFU/ref=sr_1_2?keywords=Nexcare+Opticlude+Eye+Patch&amp;qid=1695260565&amp;sr=8-2</v>
      </c>
      <c r="F4895" t="s">
        <v>14071</v>
      </c>
      <c r="G4895" t="e">
        <f ca="1">IMAGE("https://shop.sonapharmacy.com/cdn/shop/products/us-1539-opticlude-eyepatch.jpg?v=1607704873")</f>
        <v>#NAME?</v>
      </c>
      <c r="H4895" t="e">
        <f ca="1">IMAGE("https://m.media-amazon.com/images/I/81Z1VbGm+pL._AC_UL320_.jpg")</f>
        <v>#NAME?</v>
      </c>
      <c r="I4895" t="s">
        <v>4296</v>
      </c>
      <c r="J4895">
        <v>9.7899999999999991</v>
      </c>
      <c r="K4895" s="2" t="s">
        <v>14072</v>
      </c>
      <c r="L4895">
        <v>4.2</v>
      </c>
      <c r="M4895">
        <v>458</v>
      </c>
      <c r="O4895" t="s">
        <v>26</v>
      </c>
      <c r="P4895" t="s">
        <v>39</v>
      </c>
      <c r="Q4895" t="s">
        <v>8570</v>
      </c>
    </row>
    <row r="4896" spans="1:17" ht="15.75" x14ac:dyDescent="0.25">
      <c r="A4896" s="3" t="str">
        <f>HYPERLINK("https://shop.sonapharmacy.com/products/lotrimin%C2%AE-af-jock-itch-antifungal-cream", "https://shop.sonapharmacy.com/products/lotrimin%C2%AE-af-jock-itch-antifungal-cream")</f>
        <v>https://shop.sonapharmacy.com/products/lotrimin%C2%AE-af-jock-itch-antifungal-cream</v>
      </c>
      <c r="B4896" s="3" t="str">
        <f>HYPERLINK("https://shop.sonapharmacy.com/products/lotrimin%c2%ae-af-jock-itch-antifungal-cream", "https://shop.sonapharmacy.com/products/lotrimin%c2%ae-af-jock-itch-antifungal-cream")</f>
        <v>https://shop.sonapharmacy.com/products/lotrimin%c2%ae-af-jock-itch-antifungal-cream</v>
      </c>
      <c r="C4896" t="s">
        <v>11976</v>
      </c>
      <c r="D4896" t="s">
        <v>14073</v>
      </c>
      <c r="E4896" s="3" t="str">
        <f>HYPERLINK("https://www.amazon.com/Lotrimin-Antifungal-Prescription-Butenafine-Hydrochloride/dp/B00O2ZU4HS/ref=sr_1_2?keywords=Lotrimin%C2%AE+AF+Jock+Itch+Antifungal+Cream&amp;qid=1695260464&amp;rdc=1&amp;sr=8-2", "https://www.amazon.com/Lotrimin-Antifungal-Prescription-Butenafine-Hydrochloride/dp/B00O2ZU4HS/ref=sr_1_2?keywords=Lotrimin%C2%AE+AF+Jock+Itch+Antifungal+Cream&amp;qid=1695260464&amp;rdc=1&amp;sr=8-2")</f>
        <v>https://www.amazon.com/Lotrimin-Antifungal-Prescription-Butenafine-Hydrochloride/dp/B00O2ZU4HS/ref=sr_1_2?keywords=Lotrimin%C2%AE+AF+Jock+Itch+Antifungal+Cream&amp;qid=1695260464&amp;rdc=1&amp;sr=8-2</v>
      </c>
      <c r="F4896" t="s">
        <v>14074</v>
      </c>
      <c r="G4896" t="e">
        <f ca="1">IMAGE("https://shop.sonapharmacy.com/cdn/shop/products/lotrimincream.jpg?v=1607963126")</f>
        <v>#NAME?</v>
      </c>
      <c r="H4896" t="e">
        <f ca="1">IMAGE("https://m.media-amazon.com/images/I/71XpAzDHtLL._AC_UL320_.jpg")</f>
        <v>#NAME?</v>
      </c>
      <c r="I4896" t="s">
        <v>3373</v>
      </c>
      <c r="J4896">
        <v>12.69</v>
      </c>
      <c r="K4896" s="2" t="s">
        <v>14075</v>
      </c>
      <c r="L4896">
        <v>4.5</v>
      </c>
      <c r="M4896">
        <v>21276</v>
      </c>
      <c r="O4896" t="s">
        <v>26</v>
      </c>
      <c r="P4896" t="s">
        <v>39</v>
      </c>
      <c r="Q4896" t="s">
        <v>11980</v>
      </c>
    </row>
    <row r="4897" spans="1:17" ht="15.75" x14ac:dyDescent="0.25">
      <c r="A4897" s="3" t="str">
        <f>HYPERLINK("https://shop.sonapharmacy.com/products/nexcare-gentle-paper-tape-with-dispenser", "https://shop.sonapharmacy.com/products/nexcare-gentle-paper-tape-with-dispenser")</f>
        <v>https://shop.sonapharmacy.com/products/nexcare-gentle-paper-tape-with-dispenser</v>
      </c>
      <c r="B4897" s="3" t="str">
        <f>HYPERLINK("https://shop.sonapharmacy.com/products/nexcare-gentle-paper-tape-with-dispenser", "https://shop.sonapharmacy.com/products/nexcare-gentle-paper-tape-with-dispenser")</f>
        <v>https://shop.sonapharmacy.com/products/nexcare-gentle-paper-tape-with-dispenser</v>
      </c>
      <c r="C4897" t="s">
        <v>9113</v>
      </c>
      <c r="D4897" t="s">
        <v>14076</v>
      </c>
      <c r="E4897" s="3" t="str">
        <f>HYPERLINK("https://www.amazon.com/Nexcare-Gentle-Paper-Leader-Hospital/dp/B000GCRWQM/ref=sr_1_9?keywords=Nexcare+Gentle+Paper+Tape&amp;qid=1695260585&amp;sr=8-9", "https://www.amazon.com/Nexcare-Gentle-Paper-Leader-Hospital/dp/B000GCRWQM/ref=sr_1_9?keywords=Nexcare+Gentle+Paper+Tape&amp;qid=1695260585&amp;sr=8-9")</f>
        <v>https://www.amazon.com/Nexcare-Gentle-Paper-Leader-Hospital/dp/B000GCRWQM/ref=sr_1_9?keywords=Nexcare+Gentle+Paper+Tape&amp;qid=1695260585&amp;sr=8-9</v>
      </c>
      <c r="F4897" t="s">
        <v>14077</v>
      </c>
      <c r="G4897" t="e">
        <f ca="1">IMAGE("https://shop.sonapharmacy.com/cdn/shop/products/817vSXJ0jlL._AC_SL1500.jpg?v=1607703211")</f>
        <v>#NAME?</v>
      </c>
      <c r="H4897" t="e">
        <f ca="1">IMAGE("https://m.media-amazon.com/images/I/71fnjeip+iL._AC_UL320_.jpg")</f>
        <v>#NAME?</v>
      </c>
      <c r="I4897" t="s">
        <v>8760</v>
      </c>
      <c r="J4897">
        <v>5.28</v>
      </c>
      <c r="K4897" s="2" t="s">
        <v>14078</v>
      </c>
      <c r="L4897">
        <v>3.7</v>
      </c>
      <c r="M4897">
        <v>101</v>
      </c>
      <c r="O4897" t="s">
        <v>136</v>
      </c>
      <c r="P4897" t="s">
        <v>39</v>
      </c>
      <c r="Q4897" t="s">
        <v>9117</v>
      </c>
    </row>
    <row r="4898" spans="1:17" ht="15.75" x14ac:dyDescent="0.25">
      <c r="A4898" s="3" t="str">
        <f>HYPERLINK("https://shop.sonapharmacy.com/products/good-sense-nighttime-cold-flu-multi-symptom-relief-tablets", "https://shop.sonapharmacy.com/products/good-sense-nighttime-cold-flu-multi-symptom-relief-tablets")</f>
        <v>https://shop.sonapharmacy.com/products/good-sense-nighttime-cold-flu-multi-symptom-relief-tablets</v>
      </c>
      <c r="B4898" s="3" t="str">
        <f>HYPERLINK("https://shop.sonapharmacy.com/products/good-sense-nighttime-cold-flu-multi-symptom-relief-tablets", "https://shop.sonapharmacy.com/products/good-sense-nighttime-cold-flu-multi-symptom-relief-tablets")</f>
        <v>https://shop.sonapharmacy.com/products/good-sense-nighttime-cold-flu-multi-symptom-relief-tablets</v>
      </c>
      <c r="C4898" t="s">
        <v>12852</v>
      </c>
      <c r="D4898" t="s">
        <v>14079</v>
      </c>
      <c r="E4898" s="3"/>
      <c r="F4898" t="s">
        <v>14080</v>
      </c>
      <c r="G4898" t="e">
        <f ca="1">IMAGE("https://shop.sonapharmacy.com/cdn/shop/products/Untitled-122.jpg?v=1592931277")</f>
        <v>#NAME?</v>
      </c>
      <c r="H4898" t="e">
        <f ca="1">IMAGE("https://m.media-amazon.com/images/I/61iyslBwaHL._AC_UL320_.jpg")</f>
        <v>#NAME?</v>
      </c>
      <c r="I4898" t="s">
        <v>8880</v>
      </c>
      <c r="J4898">
        <v>6.95</v>
      </c>
      <c r="K4898" s="2" t="s">
        <v>14081</v>
      </c>
      <c r="L4898">
        <v>4.7</v>
      </c>
      <c r="M4898">
        <v>287</v>
      </c>
      <c r="O4898" t="s">
        <v>26</v>
      </c>
      <c r="P4898" t="s">
        <v>39</v>
      </c>
      <c r="Q4898" t="s">
        <v>12856</v>
      </c>
    </row>
    <row r="4899" spans="1:17" ht="15.75" x14ac:dyDescent="0.25">
      <c r="A4899" s="3" t="str">
        <f>HYPERLINK("https://shop.sonapharmacy.com/products/delsym-12-hour-cough-relief-liquid", "https://shop.sonapharmacy.com/products/delsym-12-hour-cough-relief-liquid")</f>
        <v>https://shop.sonapharmacy.com/products/delsym-12-hour-cough-relief-liquid</v>
      </c>
      <c r="B4899" s="3" t="str">
        <f>HYPERLINK("https://shop.sonapharmacy.com/products/delsym-12-hour-cough-relief-liquid", "https://shop.sonapharmacy.com/products/delsym-12-hour-cough-relief-liquid")</f>
        <v>https://shop.sonapharmacy.com/products/delsym-12-hour-cough-relief-liquid</v>
      </c>
      <c r="C4899" t="s">
        <v>14082</v>
      </c>
      <c r="D4899" t="s">
        <v>13471</v>
      </c>
      <c r="E4899" s="3" t="str">
        <f>HYPERLINK("https://www.amazon.com/Delsym-Childrens-Cough-Relief-Liquid/dp/B002CQUFWS/ref=sr_1_4?keywords=DELSYM%C2%AE+12+Hour+Cough+Relief+Liquid&amp;qid=1695260179&amp;sr=8-4", "https://www.amazon.com/Delsym-Childrens-Cough-Relief-Liquid/dp/B002CQUFWS/ref=sr_1_4?keywords=DELSYM%C2%AE+12+Hour+Cough+Relief+Liquid&amp;qid=1695260179&amp;sr=8-4")</f>
        <v>https://www.amazon.com/Delsym-Childrens-Cough-Relief-Liquid/dp/B002CQUFWS/ref=sr_1_4?keywords=DELSYM%C2%AE+12+Hour+Cough+Relief+Liquid&amp;qid=1695260179&amp;sr=8-4</v>
      </c>
      <c r="F4899" t="s">
        <v>13472</v>
      </c>
      <c r="G4899" t="e">
        <f ca="1">IMAGE("https://shop.sonapharmacy.com/cdn/shop/products/DELSYM_12HourCoughReliefLiquid.jpg?v=1621970145")</f>
        <v>#NAME?</v>
      </c>
      <c r="H4899" t="e">
        <f ca="1">IMAGE("https://m.media-amazon.com/images/I/81KOpG7EsoL._AC_UL320_.jpg")</f>
        <v>#NAME?</v>
      </c>
      <c r="I4899" t="s">
        <v>14083</v>
      </c>
      <c r="J4899">
        <v>13.89</v>
      </c>
      <c r="K4899" s="2" t="s">
        <v>14084</v>
      </c>
      <c r="L4899">
        <v>4.7</v>
      </c>
      <c r="M4899">
        <v>1322</v>
      </c>
      <c r="O4899" t="s">
        <v>26</v>
      </c>
      <c r="P4899" t="s">
        <v>39</v>
      </c>
      <c r="Q4899" t="s">
        <v>14085</v>
      </c>
    </row>
    <row r="4900" spans="1:17" ht="15.75" x14ac:dyDescent="0.25">
      <c r="A4900" s="3" t="str">
        <f>HYPERLINK("https://shop.sonapharmacy.com/products/omron-3-series%C2%AE-upper-arm-blood-pressure-monitor", "https://shop.sonapharmacy.com/products/omron-3-series%C2%AE-upper-arm-blood-pressure-monitor")</f>
        <v>https://shop.sonapharmacy.com/products/omron-3-series%C2%AE-upper-arm-blood-pressure-monitor</v>
      </c>
      <c r="B4900" s="3" t="str">
        <f>HYPERLINK("https://shop.sonapharmacy.com/products/omron-3-series%c2%ae-upper-arm-blood-pressure-monitor", "https://shop.sonapharmacy.com/products/omron-3-series%c2%ae-upper-arm-blood-pressure-monitor")</f>
        <v>https://shop.sonapharmacy.com/products/omron-3-series%c2%ae-upper-arm-blood-pressure-monitor</v>
      </c>
      <c r="C4900" t="s">
        <v>11744</v>
      </c>
      <c r="D4900" t="s">
        <v>14086</v>
      </c>
      <c r="E4900" s="3" t="str">
        <f>HYPERLINK("https://www.amazon.com/Omron-Wireless-Upper-Pressure-Monitor/dp/B07RXL4ZPS/ref=sr_1_6?keywords=Omron+3+Series%C2%AE+Upper+Arm+Blood+Pressure+Monitor&amp;qid=1695260613&amp;sr=8-6", "https://www.amazon.com/Omron-Wireless-Upper-Pressure-Monitor/dp/B07RXL4ZPS/ref=sr_1_6?keywords=Omron+3+Series%C2%AE+Upper+Arm+Blood+Pressure+Monitor&amp;qid=1695260613&amp;sr=8-6")</f>
        <v>https://www.amazon.com/Omron-Wireless-Upper-Pressure-Monitor/dp/B07RXL4ZPS/ref=sr_1_6?keywords=Omron+3+Series%C2%AE+Upper+Arm+Blood+Pressure+Monitor&amp;qid=1695260613&amp;sr=8-6</v>
      </c>
      <c r="F4900" t="s">
        <v>14087</v>
      </c>
      <c r="G4900" t="e">
        <f ca="1">IMAGE("https://shop.sonapharmacy.com/cdn/shop/products/Omron3Series_UpperArmBloodPressureMonitor.png?v=1594217120")</f>
        <v>#NAME?</v>
      </c>
      <c r="H4900" t="e">
        <f ca="1">IMAGE("https://m.media-amazon.com/images/I/61QSlL3BCNL._AC_UL320_.jpg")</f>
        <v>#NAME?</v>
      </c>
      <c r="I4900" t="s">
        <v>11747</v>
      </c>
      <c r="J4900">
        <v>48.99</v>
      </c>
      <c r="K4900" s="2" t="s">
        <v>14088</v>
      </c>
      <c r="L4900">
        <v>4.5</v>
      </c>
      <c r="M4900">
        <v>2067</v>
      </c>
      <c r="O4900" t="s">
        <v>26</v>
      </c>
      <c r="P4900" t="s">
        <v>39</v>
      </c>
      <c r="Q4900" t="s">
        <v>11749</v>
      </c>
    </row>
    <row r="4901" spans="1:17" ht="15.75" x14ac:dyDescent="0.25">
      <c r="A4901" s="3" t="str">
        <f>HYPERLINK("https://shop.sonapharmacy.com/products/nature-made-1200-mg-fish-oil-with-720-mg-omega-3", "https://shop.sonapharmacy.com/products/nature-made-1200-mg-fish-oil-with-720-mg-omega-3")</f>
        <v>https://shop.sonapharmacy.com/products/nature-made-1200-mg-fish-oil-with-720-mg-omega-3</v>
      </c>
      <c r="B4901" s="3" t="str">
        <f>HYPERLINK("https://shop.sonapharmacy.com/products/nature-made-1200-mg-fish-oil-with-720-mg-omega-3", "https://shop.sonapharmacy.com/products/nature-made-1200-mg-fish-oil-with-720-mg-omega-3")</f>
        <v>https://shop.sonapharmacy.com/products/nature-made-1200-mg-fish-oil-with-720-mg-omega-3</v>
      </c>
      <c r="C4901" t="s">
        <v>11494</v>
      </c>
      <c r="D4901" t="s">
        <v>14089</v>
      </c>
      <c r="E4901" s="3" t="str">
        <f>HYPERLINK("https://www.amazon.com/Nature-Made-Softgels-Count-Omega-3/dp/B0714CYKXR/ref=sr_1_1?keywords=Nature+Made%C2%AE+Fish+Oil+with+Omega-3+1200+mg%2F720+mg+Softgels+100ct.&amp;qid=1695260558&amp;sr=8-1", "https://www.amazon.com/Nature-Made-Softgels-Count-Omega-3/dp/B0714CYKXR/ref=sr_1_1?keywords=Nature+Made%C2%AE+Fish+Oil+with+Omega-3+1200+mg%2F720+mg+Softgels+100ct.&amp;qid=1695260558&amp;sr=8-1")</f>
        <v>https://www.amazon.com/Nature-Made-Softgels-Count-Omega-3/dp/B0714CYKXR/ref=sr_1_1?keywords=Nature+Made%C2%AE+Fish+Oil+with+Omega-3+1200+mg%2F720+mg+Softgels+100ct.&amp;qid=1695260558&amp;sr=8-1</v>
      </c>
      <c r="F4901" t="s">
        <v>14090</v>
      </c>
      <c r="G4901" t="e">
        <f ca="1">IMAGE("https://shop.sonapharmacy.com/cdn/shop/products/7151vaVLcoL._AC_SL1500__2.jpg?v=1610049528")</f>
        <v>#NAME?</v>
      </c>
      <c r="H4901" t="e">
        <f ca="1">IMAGE("https://m.media-amazon.com/images/I/71o89lR0vYL._AC_UL320_.jpg")</f>
        <v>#NAME?</v>
      </c>
      <c r="I4901" t="s">
        <v>3458</v>
      </c>
      <c r="J4901">
        <v>17.989999999999998</v>
      </c>
      <c r="K4901" s="2" t="s">
        <v>4986</v>
      </c>
      <c r="L4901">
        <v>4.7</v>
      </c>
      <c r="M4901">
        <v>43178</v>
      </c>
      <c r="O4901" t="s">
        <v>26</v>
      </c>
      <c r="P4901" t="s">
        <v>39</v>
      </c>
      <c r="Q4901" t="s">
        <v>11496</v>
      </c>
    </row>
    <row r="4902" spans="1:17" ht="15.75" x14ac:dyDescent="0.25">
      <c r="A4902" s="3" t="str">
        <f>HYPERLINK("https://shop.sonapharmacy.com/products/eos%C2%AE-sweet-mint-lip-balm", "https://shop.sonapharmacy.com/products/eos%C2%AE-sweet-mint-lip-balm")</f>
        <v>https://shop.sonapharmacy.com/products/eos%C2%AE-sweet-mint-lip-balm</v>
      </c>
      <c r="B4902" s="3" t="str">
        <f>HYPERLINK("https://shop.sonapharmacy.com/products/eos%c2%ae-sweet-mint-lip-balm", "https://shop.sonapharmacy.com/products/eos%c2%ae-sweet-mint-lip-balm")</f>
        <v>https://shop.sonapharmacy.com/products/eos%c2%ae-sweet-mint-lip-balm</v>
      </c>
      <c r="C4902" t="s">
        <v>8435</v>
      </c>
      <c r="D4902" t="s">
        <v>14091</v>
      </c>
      <c r="E4902" s="3" t="str">
        <f>HYPERLINK("https://www.amazon.com/eos-Stick-Organic-Lasting-Hydration/dp/B07SN8CFT2/ref=sr_1_3?keywords=EOS%C2%AE+Sweet+Mint+Lip+Balm&amp;qid=1695260226&amp;sr=8-3", "https://www.amazon.com/eos-Stick-Organic-Lasting-Hydration/dp/B07SN8CFT2/ref=sr_1_3?keywords=EOS%C2%AE+Sweet+Mint+Lip+Balm&amp;qid=1695260226&amp;sr=8-3")</f>
        <v>https://www.amazon.com/eos-Stick-Organic-Lasting-Hydration/dp/B07SN8CFT2/ref=sr_1_3?keywords=EOS%C2%AE+Sweet+Mint+Lip+Balm&amp;qid=1695260226&amp;sr=8-3</v>
      </c>
      <c r="F4902" t="s">
        <v>14092</v>
      </c>
      <c r="G4902" t="e">
        <f ca="1">IMAGE("https://shop.sonapharmacy.com/cdn/shop/products/GUEST_b0fdc7d4-45d7-4d76-93a9-fe22762c8990.jpg?v=1610643893")</f>
        <v>#NAME?</v>
      </c>
      <c r="H4902" t="e">
        <f ca="1">IMAGE("https://m.media-amazon.com/images/I/718ynMNIvxL._AC_UL320_.jpg")</f>
        <v>#NAME?</v>
      </c>
      <c r="I4902" t="s">
        <v>8411</v>
      </c>
      <c r="J4902">
        <v>3.59</v>
      </c>
      <c r="K4902" s="2" t="s">
        <v>14093</v>
      </c>
      <c r="L4902">
        <v>4.7</v>
      </c>
      <c r="M4902">
        <v>47</v>
      </c>
      <c r="O4902" t="s">
        <v>26</v>
      </c>
      <c r="P4902" t="s">
        <v>39</v>
      </c>
      <c r="Q4902" t="s">
        <v>8439</v>
      </c>
    </row>
    <row r="4903" spans="1:17" ht="15.75" x14ac:dyDescent="0.25">
      <c r="A4903" s="3" t="str">
        <f>HYPERLINK("https://shop.sonapharmacy.com/products/smith-nephew-uni-solve%C2%AE-adhesive-remover-8oz", "https://shop.sonapharmacy.com/products/smith-nephew-uni-solve%C2%AE-adhesive-remover-8oz")</f>
        <v>https://shop.sonapharmacy.com/products/smith-nephew-uni-solve%C2%AE-adhesive-remover-8oz</v>
      </c>
      <c r="B4903" s="3" t="str">
        <f>HYPERLINK("https://shop.sonapharmacy.com/products/smith-nephew-uni-solve%c2%ae-adhesive-remover-8oz", "https://shop.sonapharmacy.com/products/smith-nephew-uni-solve%c2%ae-adhesive-remover-8oz")</f>
        <v>https://shop.sonapharmacy.com/products/smith-nephew-uni-solve%c2%ae-adhesive-remover-8oz</v>
      </c>
      <c r="C4903" t="s">
        <v>13356</v>
      </c>
      <c r="D4903" t="s">
        <v>14094</v>
      </c>
      <c r="E4903" s="3" t="str">
        <f>HYPERLINK("https://www.amazon.com/Smith-Nephew-Remove-Adhesive-Remover/dp/B00JWSCIGK/ref=sr_1_9?keywords=Smith+%26+Nephew+Uni-Solve%C2%AE+Adhesive+Remover+8oz&amp;qid=1695260736&amp;sr=8-9", "https://www.amazon.com/Smith-Nephew-Remove-Adhesive-Remover/dp/B00JWSCIGK/ref=sr_1_9?keywords=Smith+%26+Nephew+Uni-Solve%C2%AE+Adhesive+Remover+8oz&amp;qid=1695260736&amp;sr=8-9")</f>
        <v>https://www.amazon.com/Smith-Nephew-Remove-Adhesive-Remover/dp/B00JWSCIGK/ref=sr_1_9?keywords=Smith+%26+Nephew+Uni-Solve%C2%AE+Adhesive+Remover+8oz&amp;qid=1695260736&amp;sr=8-9</v>
      </c>
      <c r="F4903" t="s">
        <v>14095</v>
      </c>
      <c r="G4903" t="e">
        <f ca="1">IMAGE("https://shop.sonapharmacy.com/cdn/shop/products/71DuqmH49JL._AC_SL1500.jpg?v=1607970033")</f>
        <v>#NAME?</v>
      </c>
      <c r="H4903" t="e">
        <f ca="1">IMAGE("https://m.media-amazon.com/images/I/61LYI8ZrKmL._AC_UL320_.jpg")</f>
        <v>#NAME?</v>
      </c>
      <c r="I4903" t="s">
        <v>13359</v>
      </c>
      <c r="J4903">
        <v>15.42</v>
      </c>
      <c r="K4903" s="2" t="s">
        <v>14096</v>
      </c>
      <c r="L4903">
        <v>4.9000000000000004</v>
      </c>
      <c r="M4903">
        <v>16</v>
      </c>
      <c r="O4903" t="s">
        <v>26</v>
      </c>
      <c r="P4903" t="s">
        <v>39</v>
      </c>
      <c r="Q4903" t="s">
        <v>13360</v>
      </c>
    </row>
    <row r="4904" spans="1:17" ht="15.75" x14ac:dyDescent="0.25">
      <c r="A4904" s="3" t="str">
        <f>HYPERLINK("https://shop.sonapharmacy.com/products/goodsense%C2%AE-double-edge-stainless-steel-razor-10ct", "https://shop.sonapharmacy.com/products/goodsense%C2%AE-double-edge-stainless-steel-razor-10ct")</f>
        <v>https://shop.sonapharmacy.com/products/goodsense%C2%AE-double-edge-stainless-steel-razor-10ct</v>
      </c>
      <c r="B4904" s="3" t="str">
        <f>HYPERLINK("https://shop.sonapharmacy.com/products/goodsense%c2%ae-double-edge-stainless-steel-razor-10ct", "https://shop.sonapharmacy.com/products/goodsense%c2%ae-double-edge-stainless-steel-razor-10ct")</f>
        <v>https://shop.sonapharmacy.com/products/goodsense%c2%ae-double-edge-stainless-steel-razor-10ct</v>
      </c>
      <c r="C4904" t="s">
        <v>10996</v>
      </c>
      <c r="D4904" t="s">
        <v>14097</v>
      </c>
      <c r="E4904" s="3" t="str">
        <f>HYPERLINK("https://www.amazon.com/King-C-Gillette-Stainless-Platinum/dp/B08FNBT968/ref=sr_1_1?keywords=GoodSense%C2%AE+Double+Edge+Stainless+Steel+Razor+10ct.&amp;qid=1695260322&amp;sr=8-1", "https://www.amazon.com/King-C-Gillette-Stainless-Platinum/dp/B08FNBT968/ref=sr_1_1?keywords=GoodSense%C2%AE+Double+Edge+Stainless+Steel+Razor+10ct.&amp;qid=1695260322&amp;sr=8-1")</f>
        <v>https://www.amazon.com/King-C-Gillette-Stainless-Platinum/dp/B08FNBT968/ref=sr_1_1?keywords=GoodSense%C2%AE+Double+Edge+Stainless+Steel+Razor+10ct.&amp;qid=1695260322&amp;sr=8-1</v>
      </c>
      <c r="F4904" t="s">
        <v>14098</v>
      </c>
      <c r="G4904" t="e">
        <f ca="1">IMAGE("https://shop.sonapharmacy.com/cdn/shop/products/337121.jpg?v=1610904297")</f>
        <v>#NAME?</v>
      </c>
      <c r="H4904" t="e">
        <f ca="1">IMAGE("https://m.media-amazon.com/images/I/81LeGG2FFIL._AC_UL320_.jpg")</f>
        <v>#NAME?</v>
      </c>
      <c r="I4904" t="s">
        <v>10999</v>
      </c>
      <c r="J4904">
        <v>6.99</v>
      </c>
      <c r="K4904" s="2" t="s">
        <v>14099</v>
      </c>
      <c r="L4904">
        <v>4.4000000000000004</v>
      </c>
      <c r="M4904">
        <v>6068</v>
      </c>
      <c r="O4904" t="s">
        <v>26</v>
      </c>
      <c r="P4904" t="s">
        <v>39</v>
      </c>
      <c r="Q4904" t="s">
        <v>11001</v>
      </c>
    </row>
    <row r="4905" spans="1:17" ht="15.75" x14ac:dyDescent="0.25">
      <c r="A4905" s="3" t="str">
        <f>HYPERLINK("https://shop.sonapharmacy.com/products/goodsense%C2%AE-esomeprazole-magnesium-delayed-release-acid-reducer-capsules-42ct", "https://shop.sonapharmacy.com/products/goodsense%C2%AE-esomeprazole-magnesium-delayed-release-acid-reducer-capsules-42ct")</f>
        <v>https://shop.sonapharmacy.com/products/goodsense%C2%AE-esomeprazole-magnesium-delayed-release-acid-reducer-capsules-42ct</v>
      </c>
      <c r="B4905" s="3" t="str">
        <f>HYPERLINK("https://shop.sonapharmacy.com/products/goodsense%c2%ae-esomeprazole-magnesium-delayed-release-acid-reducer-capsules-42ct", "https://shop.sonapharmacy.com/products/goodsense%c2%ae-esomeprazole-magnesium-delayed-release-acid-reducer-capsules-42ct")</f>
        <v>https://shop.sonapharmacy.com/products/goodsense%c2%ae-esomeprazole-magnesium-delayed-release-acid-reducer-capsules-42ct</v>
      </c>
      <c r="C4905" t="s">
        <v>14100</v>
      </c>
      <c r="D4905" t="s">
        <v>14101</v>
      </c>
      <c r="E4905" s="3" t="str">
        <f>HYPERLINK("https://www.amazon.com/Good-Sense-Esomeprazole-Magnesium-Delayed-Release/dp/B08698FDT9/ref=sr_1_3?keywords=GoodSense%C2%AE+Esomeprazole+Magnesium+Delayed+Release+Acid+Reducer+Capsules+42ct.&amp;qid=1695260323&amp;sr=8-3", "https://www.amazon.com/Good-Sense-Esomeprazole-Magnesium-Delayed-Release/dp/B08698FDT9/ref=sr_1_3?keywords=GoodSense%C2%AE+Esomeprazole+Magnesium+Delayed+Release+Acid+Reducer+Capsules+42ct.&amp;qid=1695260323&amp;sr=8-3")</f>
        <v>https://www.amazon.com/Good-Sense-Esomeprazole-Magnesium-Delayed-Release/dp/B08698FDT9/ref=sr_1_3?keywords=GoodSense%C2%AE+Esomeprazole+Magnesium+Delayed+Release+Acid+Reducer+Capsules+42ct.&amp;qid=1695260323&amp;sr=8-3</v>
      </c>
      <c r="F4905" t="s">
        <v>14102</v>
      </c>
      <c r="G4905" t="e">
        <f ca="1">IMAGE("https://shop.sonapharmacy.com/cdn/shop/products/81xpPJ8MxCL._AC_SL1500.jpg?v=1611028041")</f>
        <v>#NAME?</v>
      </c>
      <c r="H4905" t="e">
        <f ca="1">IMAGE("https://m.media-amazon.com/images/I/81+ms0j8g1L._AC_UL320_.jpg")</f>
        <v>#NAME?</v>
      </c>
      <c r="I4905" t="s">
        <v>3413</v>
      </c>
      <c r="J4905">
        <v>21.5</v>
      </c>
      <c r="K4905" s="2" t="s">
        <v>14103</v>
      </c>
      <c r="L4905">
        <v>4.8</v>
      </c>
      <c r="M4905">
        <v>588</v>
      </c>
      <c r="O4905" t="s">
        <v>26</v>
      </c>
      <c r="P4905" t="s">
        <v>39</v>
      </c>
      <c r="Q4905" t="s">
        <v>14104</v>
      </c>
    </row>
    <row r="4906" spans="1:17" ht="15.75" x14ac:dyDescent="0.25">
      <c r="A4906" s="3" t="str">
        <f>HYPERLINK("https://shop.sonapharmacy.com/products/metamucil%C2%AE-3-in-1-fiber-capsules-100ct", "https://shop.sonapharmacy.com/products/metamucil%C2%AE-3-in-1-fiber-capsules-100ct")</f>
        <v>https://shop.sonapharmacy.com/products/metamucil%C2%AE-3-in-1-fiber-capsules-100ct</v>
      </c>
      <c r="B4906" s="3" t="str">
        <f>HYPERLINK("https://shop.sonapharmacy.com/products/metamucil%c2%ae-3-in-1-fiber-capsules-100ct", "https://shop.sonapharmacy.com/products/metamucil%c2%ae-3-in-1-fiber-capsules-100ct")</f>
        <v>https://shop.sonapharmacy.com/products/metamucil%c2%ae-3-in-1-fiber-capsules-100ct</v>
      </c>
      <c r="C4906" t="s">
        <v>12473</v>
      </c>
      <c r="D4906" t="s">
        <v>14105</v>
      </c>
      <c r="E4906" s="3" t="str">
        <f>HYPERLINK("https://www.amazon.com/Metamucil-Daily-Fiber-Supplement-Capsules/dp/B001G7QVPE/ref=sr_1_2?keywords=Metamucil%C2%AE+3-In-1+Fiber+Capsules+100ct.&amp;qid=1695260484&amp;sr=8-2", "https://www.amazon.com/Metamucil-Daily-Fiber-Supplement-Capsules/dp/B001G7QVPE/ref=sr_1_2?keywords=Metamucil%C2%AE+3-In-1+Fiber+Capsules+100ct.&amp;qid=1695260484&amp;sr=8-2")</f>
        <v>https://www.amazon.com/Metamucil-Daily-Fiber-Supplement-Capsules/dp/B001G7QVPE/ref=sr_1_2?keywords=Metamucil%C2%AE+3-In-1+Fiber+Capsules+100ct.&amp;qid=1695260484&amp;sr=8-2</v>
      </c>
      <c r="F4906" t="s">
        <v>14106</v>
      </c>
      <c r="G4906" t="e">
        <f ca="1">IMAGE("https://shop.sonapharmacy.com/cdn/shop/products/e4c301a8-1a91-42b1-9916-14dcb83a83c8_1.2b9cc66f0650d69ef4e03e8e4070ad8a.jpg?v=1610989075")</f>
        <v>#NAME?</v>
      </c>
      <c r="H4906" t="e">
        <f ca="1">IMAGE("https://m.media-amazon.com/images/I/81JSh+GP1KL._AC_UL320_.jpg")</f>
        <v>#NAME?</v>
      </c>
      <c r="I4906" t="s">
        <v>12476</v>
      </c>
      <c r="J4906">
        <v>16.48</v>
      </c>
      <c r="K4906" s="2" t="s">
        <v>14107</v>
      </c>
      <c r="L4906">
        <v>4.5</v>
      </c>
      <c r="M4906">
        <v>4858</v>
      </c>
      <c r="O4906" t="s">
        <v>26</v>
      </c>
      <c r="P4906" t="s">
        <v>39</v>
      </c>
      <c r="Q4906" t="s">
        <v>12478</v>
      </c>
    </row>
    <row r="4907" spans="1:17" ht="15.75" x14ac:dyDescent="0.25">
      <c r="A4907" s="3" t="str">
        <f>HYPERLINK("https://shop.sonapharmacy.com/products/flonase-allergy-relief-spray", "https://shop.sonapharmacy.com/products/flonase-allergy-relief-spray")</f>
        <v>https://shop.sonapharmacy.com/products/flonase-allergy-relief-spray</v>
      </c>
      <c r="B4907" s="3" t="str">
        <f>HYPERLINK("https://shop.sonapharmacy.com/products/flonase-allergy-relief-spray", "https://shop.sonapharmacy.com/products/flonase-allergy-relief-spray")</f>
        <v>https://shop.sonapharmacy.com/products/flonase-allergy-relief-spray</v>
      </c>
      <c r="C4907" t="s">
        <v>12108</v>
      </c>
      <c r="D4907" t="s">
        <v>14108</v>
      </c>
      <c r="E4907" s="3" t="str">
        <f>HYPERLINK("https://www.amazon.com/Flonase-Allergy-Relief-Medicine-Metered/dp/B088WKBSP7/ref=sr_1_6?keywords=Flonase%C2%AE+Allergy+Relief+Spray&amp;qid=1695260276&amp;rdc=1&amp;sr=8-6", "https://www.amazon.com/Flonase-Allergy-Relief-Medicine-Metered/dp/B088WKBSP7/ref=sr_1_6?keywords=Flonase%C2%AE+Allergy+Relief+Spray&amp;qid=1695260276&amp;rdc=1&amp;sr=8-6")</f>
        <v>https://www.amazon.com/Flonase-Allergy-Relief-Medicine-Metered/dp/B088WKBSP7/ref=sr_1_6?keywords=Flonase%C2%AE+Allergy+Relief+Spray&amp;qid=1695260276&amp;rdc=1&amp;sr=8-6</v>
      </c>
      <c r="F4907" t="s">
        <v>14109</v>
      </c>
      <c r="G4907" t="e">
        <f ca="1">IMAGE("https://shop.sonapharmacy.com/cdn/shop/products/81W9dcRd7bL._AC_SL1500.jpg?v=1611864793")</f>
        <v>#NAME?</v>
      </c>
      <c r="H4907" t="e">
        <f ca="1">IMAGE("https://m.media-amazon.com/images/I/81gBwKnJ7IL._AC_UL320_.jpg")</f>
        <v>#NAME?</v>
      </c>
      <c r="I4907" t="s">
        <v>11894</v>
      </c>
      <c r="J4907">
        <v>17.37</v>
      </c>
      <c r="K4907" s="2" t="s">
        <v>14110</v>
      </c>
      <c r="L4907">
        <v>4.8</v>
      </c>
      <c r="M4907">
        <v>8130</v>
      </c>
      <c r="O4907" t="s">
        <v>26</v>
      </c>
      <c r="P4907" t="s">
        <v>39</v>
      </c>
      <c r="Q4907" t="s">
        <v>12111</v>
      </c>
    </row>
    <row r="4908" spans="1:17" ht="15.75" x14ac:dyDescent="0.25">
      <c r="A4908" s="3" t="str">
        <f>HYPERLINK("https://shop.sonapharmacy.com/products/natural-factors-20-mg-easy-iron-chewable-tablets", "https://shop.sonapharmacy.com/products/natural-factors-20-mg-easy-iron-chewable-tablets")</f>
        <v>https://shop.sonapharmacy.com/products/natural-factors-20-mg-easy-iron-chewable-tablets</v>
      </c>
      <c r="B4908" s="3" t="str">
        <f>HYPERLINK("https://shop.sonapharmacy.com/products/natural-factors-20-mg-easy-iron-chewable-tablets", "https://shop.sonapharmacy.com/products/natural-factors-20-mg-easy-iron-chewable-tablets")</f>
        <v>https://shop.sonapharmacy.com/products/natural-factors-20-mg-easy-iron-chewable-tablets</v>
      </c>
      <c r="C4908" t="s">
        <v>14111</v>
      </c>
      <c r="D4908" t="s">
        <v>14112</v>
      </c>
      <c r="E4908" s="3" t="str">
        <f>HYPERLINK("https://www.amazon.com/Carlson-Chewable-Strawberry-Superior-Absorption/dp/B07JH154HM/ref=sr_1_4?keywords=Natural+Factors+20+mg+Easy+Iron+Chewable+Tablets&amp;qid=1695260526&amp;sr=8-4", "https://www.amazon.com/Carlson-Chewable-Strawberry-Superior-Absorption/dp/B07JH154HM/ref=sr_1_4?keywords=Natural+Factors+20+mg+Easy+Iron+Chewable+Tablets&amp;qid=1695260526&amp;sr=8-4")</f>
        <v>https://www.amazon.com/Carlson-Chewable-Strawberry-Superior-Absorption/dp/B07JH154HM/ref=sr_1_4?keywords=Natural+Factors+20+mg+Easy+Iron+Chewable+Tablets&amp;qid=1695260526&amp;sr=8-4</v>
      </c>
      <c r="F4908" t="s">
        <v>14113</v>
      </c>
      <c r="G4908" t="e">
        <f ca="1">IMAGE("https://shop.sonapharmacy.com/cdn/shop/products/NaturalFactors20mgEasyIronChewableTablets.jpg?v=1595002594")</f>
        <v>#NAME?</v>
      </c>
      <c r="H4908" t="e">
        <f ca="1">IMAGE("https://m.media-amazon.com/images/I/61LC4DiqizL._AC_UL320_.jpg")</f>
        <v>#NAME?</v>
      </c>
      <c r="I4908" t="s">
        <v>3458</v>
      </c>
      <c r="J4908">
        <v>17.850000000000001</v>
      </c>
      <c r="K4908" s="2" t="s">
        <v>14114</v>
      </c>
      <c r="L4908">
        <v>4.5999999999999996</v>
      </c>
      <c r="M4908">
        <v>564</v>
      </c>
      <c r="O4908" t="s">
        <v>26</v>
      </c>
      <c r="P4908" t="s">
        <v>39</v>
      </c>
      <c r="Q4908" t="s">
        <v>14115</v>
      </c>
    </row>
    <row r="4909" spans="1:17" ht="15.75" x14ac:dyDescent="0.25">
      <c r="A4909" s="3" t="str">
        <f>HYPERLINK("https://shop.sonapharmacy.com/products/mommys-bliss-original-gripe-water", "https://shop.sonapharmacy.com/products/mommys-bliss-original-gripe-water")</f>
        <v>https://shop.sonapharmacy.com/products/mommys-bliss-original-gripe-water</v>
      </c>
      <c r="B4909" s="3" t="str">
        <f>HYPERLINK("https://shop.sonapharmacy.com/products/mommys-bliss-original-gripe-water", "https://shop.sonapharmacy.com/products/mommys-bliss-original-gripe-water")</f>
        <v>https://shop.sonapharmacy.com/products/mommys-bliss-original-gripe-water</v>
      </c>
      <c r="C4909" t="s">
        <v>10605</v>
      </c>
      <c r="D4909" t="s">
        <v>14116</v>
      </c>
      <c r="E4909" s="3" t="str">
        <f>HYPERLINK("https://www.amazon.com/Mommys-Bliss-Gripe-Water-Bottle/dp/B00R42HKGO/ref=sr_1_10?keywords=Mommy%27s+Bliss+Original+Gripe+Water&amp;qid=1695260479&amp;sr=8-10", "https://www.amazon.com/Mommys-Bliss-Gripe-Water-Bottle/dp/B00R42HKGO/ref=sr_1_10?keywords=Mommy%27s+Bliss+Original+Gripe+Water&amp;qid=1695260479&amp;sr=8-10")</f>
        <v>https://www.amazon.com/Mommys-Bliss-Gripe-Water-Bottle/dp/B00R42HKGO/ref=sr_1_10?keywords=Mommy%27s+Bliss+Original+Gripe+Water&amp;qid=1695260479&amp;sr=8-10</v>
      </c>
      <c r="F4909" t="s">
        <v>14117</v>
      </c>
      <c r="G4909" t="e">
        <f ca="1">IMAGE("https://shop.sonapharmacy.com/cdn/shop/products/Untitled-47.jpg?v=1592848167")</f>
        <v>#NAME?</v>
      </c>
      <c r="H4909" t="e">
        <f ca="1">IMAGE("https://m.media-amazon.com/images/I/81VNVlt7MvL._AC_UL320_.jpg")</f>
        <v>#NAME?</v>
      </c>
      <c r="I4909" t="s">
        <v>10608</v>
      </c>
      <c r="J4909">
        <v>12.12</v>
      </c>
      <c r="K4909" s="2" t="s">
        <v>14118</v>
      </c>
      <c r="L4909">
        <v>4.5999999999999996</v>
      </c>
      <c r="M4909">
        <v>4693</v>
      </c>
      <c r="O4909" t="s">
        <v>26</v>
      </c>
      <c r="P4909" t="s">
        <v>39</v>
      </c>
      <c r="Q4909" t="s">
        <v>10610</v>
      </c>
    </row>
    <row r="4910" spans="1:17" ht="15.75" x14ac:dyDescent="0.25">
      <c r="A4910" s="3" t="str">
        <f>HYPERLINK("https://shop.sonapharmacy.com/products/apex%C2%AE-copper-wrist-band", "https://shop.sonapharmacy.com/products/apex%C2%AE-copper-wrist-band")</f>
        <v>https://shop.sonapharmacy.com/products/apex%C2%AE-copper-wrist-band</v>
      </c>
      <c r="B4910" s="3" t="str">
        <f>HYPERLINK("https://shop.sonapharmacy.com/products/apex%c2%ae-copper-wrist-band", "https://shop.sonapharmacy.com/products/apex%c2%ae-copper-wrist-band")</f>
        <v>https://shop.sonapharmacy.com/products/apex%c2%ae-copper-wrist-band</v>
      </c>
      <c r="C4910" t="s">
        <v>14119</v>
      </c>
      <c r="D4910" t="s">
        <v>14120</v>
      </c>
      <c r="E4910" s="3" t="str">
        <f>HYPERLINK("https://www.amazon.com/CopperJoint-Copper-Infused-Compression-Ergonomic-Circulation/dp/B076ZS1BJL/ref=sr_1_2?keywords=Apex+Copper+Wrist+Band&amp;qid=1695260004&amp;sr=8-2", "https://www.amazon.com/CopperJoint-Copper-Infused-Compression-Ergonomic-Circulation/dp/B076ZS1BJL/ref=sr_1_2?keywords=Apex+Copper+Wrist+Band&amp;qid=1695260004&amp;sr=8-2")</f>
        <v>https://www.amazon.com/CopperJoint-Copper-Infused-Compression-Ergonomic-Circulation/dp/B076ZS1BJL/ref=sr_1_2?keywords=Apex+Copper+Wrist+Band&amp;qid=1695260004&amp;sr=8-2</v>
      </c>
      <c r="F4910" t="s">
        <v>14121</v>
      </c>
      <c r="G4910" t="e">
        <f ca="1">IMAGE("https://shop.sonapharmacy.com/cdn/shop/products/apex-copper-wristband.jpg?v=1644936299")</f>
        <v>#NAME?</v>
      </c>
      <c r="H4910" t="e">
        <f ca="1">IMAGE("https://m.media-amazon.com/images/I/71nb2d56cJL._AC_UL320_.jpg")</f>
        <v>#NAME?</v>
      </c>
      <c r="I4910" t="s">
        <v>10460</v>
      </c>
      <c r="J4910">
        <v>16.239999999999998</v>
      </c>
      <c r="K4910" s="2" t="s">
        <v>14122</v>
      </c>
      <c r="L4910">
        <v>4.2</v>
      </c>
      <c r="M4910">
        <v>809</v>
      </c>
      <c r="O4910" t="s">
        <v>26</v>
      </c>
      <c r="P4910" t="s">
        <v>39</v>
      </c>
      <c r="Q4910" t="s">
        <v>14123</v>
      </c>
    </row>
    <row r="4911" spans="1:17" ht="15.75" x14ac:dyDescent="0.25">
      <c r="A4911" s="3" t="str">
        <f>HYPERLINK("https://shop.sonapharmacy.com/products/monistat%C2%AE-1-dose-yeast-infection-treatment-1-ovule-insert-external-itch-cream", "https://shop.sonapharmacy.com/products/monistat%C2%AE-1-dose-yeast-infection-treatment-1-ovule-insert-external-itch-cream")</f>
        <v>https://shop.sonapharmacy.com/products/monistat%C2%AE-1-dose-yeast-infection-treatment-1-ovule-insert-external-itch-cream</v>
      </c>
      <c r="B4911" s="3" t="str">
        <f>HYPERLINK("https://shop.sonapharmacy.com/products/monistat%c2%ae-1-dose-yeast-infection-treatment-1-ovule-insert-external-itch-cream", "https://shop.sonapharmacy.com/products/monistat%c2%ae-1-dose-yeast-infection-treatment-1-ovule-insert-external-itch-cream")</f>
        <v>https://shop.sonapharmacy.com/products/monistat%c2%ae-1-dose-yeast-infection-treatment-1-ovule-insert-external-itch-cream</v>
      </c>
      <c r="C4911" t="s">
        <v>14124</v>
      </c>
      <c r="D4911" t="s">
        <v>14125</v>
      </c>
      <c r="E4911" s="3" t="str">
        <f>HYPERLINK("https://www.amazon.com/Monistat-Infection-Treatment-Prefilled-Maintain/dp/B08W6CKYCT/ref=sr_1_4?keywords=MONISTAT%C2%AE+1-Dose+Yeast+Infection+Treatment%2C+1+Ovule+Insert+%26+External+Itch+Cream&amp;qid=1695260513&amp;sr=8-4", "https://www.amazon.com/Monistat-Infection-Treatment-Prefilled-Maintain/dp/B08W6CKYCT/ref=sr_1_4?keywords=MONISTAT%C2%AE+1-Dose+Yeast+Infection+Treatment%2C+1+Ovule+Insert+%26+External+Itch+Cream&amp;qid=1695260513&amp;sr=8-4")</f>
        <v>https://www.amazon.com/Monistat-Infection-Treatment-Prefilled-Maintain/dp/B08W6CKYCT/ref=sr_1_4?keywords=MONISTAT%C2%AE+1-Dose+Yeast+Infection+Treatment%2C+1+Ovule+Insert+%26+External+Itch+Cream&amp;qid=1695260513&amp;sr=8-4</v>
      </c>
      <c r="F4911" t="s">
        <v>14126</v>
      </c>
      <c r="G4911" t="e">
        <f ca="1">IMAGE("https://shop.sonapharmacy.com/cdn/shop/products/1ab390c6-24aa-41a6-98d0-3082cd407978.d7cb509395fb087457c77a0209b0b71d.jpg?v=1609175303")</f>
        <v>#NAME?</v>
      </c>
      <c r="H4911" t="e">
        <f ca="1">IMAGE("https://m.media-amazon.com/images/I/71ALNVW3bwL._AC_UL320_.jpg")</f>
        <v>#NAME?</v>
      </c>
      <c r="I4911" t="s">
        <v>14127</v>
      </c>
      <c r="J4911">
        <v>21.89</v>
      </c>
      <c r="K4911" s="2" t="s">
        <v>14128</v>
      </c>
      <c r="L4911">
        <v>4.5999999999999996</v>
      </c>
      <c r="M4911">
        <v>336</v>
      </c>
      <c r="O4911" t="s">
        <v>26</v>
      </c>
      <c r="P4911" t="s">
        <v>39</v>
      </c>
      <c r="Q4911" t="s">
        <v>14129</v>
      </c>
    </row>
    <row r="4912" spans="1:17" ht="15.75" x14ac:dyDescent="0.25">
      <c r="A4912" s="3" t="str">
        <f>HYPERLINK("https://shop.sonapharmacy.com/products/lipo-flavonoid-plus-ear-ringing-reduction-tablets", "https://shop.sonapharmacy.com/products/lipo-flavonoid-plus-ear-ringing-reduction-tablets")</f>
        <v>https://shop.sonapharmacy.com/products/lipo-flavonoid-plus-ear-ringing-reduction-tablets</v>
      </c>
      <c r="B4912" s="3" t="str">
        <f>HYPERLINK("https://shop.sonapharmacy.com/products/lipo-flavonoid-plus-ear-ringing-reduction-tablets", "https://shop.sonapharmacy.com/products/lipo-flavonoid-plus-ear-ringing-reduction-tablets")</f>
        <v>https://shop.sonapharmacy.com/products/lipo-flavonoid-plus-ear-ringing-reduction-tablets</v>
      </c>
      <c r="C4912" t="s">
        <v>10396</v>
      </c>
      <c r="D4912" t="s">
        <v>14130</v>
      </c>
      <c r="E4912" s="3" t="str">
        <f>HYPERLINK("https://www.amazon.com/Lipo-Flavonoid-Supplement-Recommended-Effective-Treatment/dp/B07GTHKNC6/ref=sr_1_2?keywords=Lipo+Flavonoid+Plus+Ear+Ringing+Reduction+Tablets&amp;qid=1695260442&amp;sr=8-2", "https://www.amazon.com/Lipo-Flavonoid-Supplement-Recommended-Effective-Treatment/dp/B07GTHKNC6/ref=sr_1_2?keywords=Lipo+Flavonoid+Plus+Ear+Ringing+Reduction+Tablets&amp;qid=1695260442&amp;sr=8-2")</f>
        <v>https://www.amazon.com/Lipo-Flavonoid-Supplement-Recommended-Effective-Treatment/dp/B07GTHKNC6/ref=sr_1_2?keywords=Lipo+Flavonoid+Plus+Ear+Ringing+Reduction+Tablets&amp;qid=1695260442&amp;sr=8-2</v>
      </c>
      <c r="F4912" t="s">
        <v>14131</v>
      </c>
      <c r="G4912" t="e">
        <f ca="1">IMAGE("https://shop.sonapharmacy.com/cdn/shop/products/LipoFlavonoidPlusEarRingingReductionTablets.jpg?v=1594930866")</f>
        <v>#NAME?</v>
      </c>
      <c r="H4912" t="e">
        <f ca="1">IMAGE("https://m.media-amazon.com/images/I/71Yf01mTT5L._AC_UL320_.jpg")</f>
        <v>#NAME?</v>
      </c>
      <c r="I4912" t="s">
        <v>10399</v>
      </c>
      <c r="J4912">
        <v>29.99</v>
      </c>
      <c r="K4912" s="2" t="s">
        <v>14132</v>
      </c>
      <c r="L4912">
        <v>3.6</v>
      </c>
      <c r="M4912">
        <v>5082</v>
      </c>
      <c r="O4912" t="s">
        <v>26</v>
      </c>
      <c r="P4912" t="s">
        <v>39</v>
      </c>
      <c r="Q4912" t="s">
        <v>10401</v>
      </c>
    </row>
    <row r="4913" spans="1:17" ht="15.75" x14ac:dyDescent="0.25">
      <c r="A4913" s="3" t="str">
        <f>HYPERLINK("https://shop.sonapharmacy.com/products/eos%C2%AE-watermelon-frose-lip-balm", "https://shop.sonapharmacy.com/products/eos%C2%AE-watermelon-frose-lip-balm")</f>
        <v>https://shop.sonapharmacy.com/products/eos%C2%AE-watermelon-frose-lip-balm</v>
      </c>
      <c r="B4913" s="3" t="str">
        <f>HYPERLINK("https://shop.sonapharmacy.com/products/eos%c2%ae-watermelon-frose-lip-balm", "https://shop.sonapharmacy.com/products/eos%c2%ae-watermelon-frose-lip-balm")</f>
        <v>https://shop.sonapharmacy.com/products/eos%c2%ae-watermelon-frose-lip-balm</v>
      </c>
      <c r="C4913" t="s">
        <v>9487</v>
      </c>
      <c r="D4913" t="s">
        <v>14133</v>
      </c>
      <c r="E4913" s="3" t="str">
        <f>HYPERLINK("https://www.amazon.com/eos-Watermelon-Dermatologist-Recommended-Sensitive/dp/B0B2TXG3LR/ref=sr_1_1?keywords=EOS%C2%AE+Watermelon+Fros%C3%A9+Lip+Balm&amp;qid=1695260219&amp;rdc=1&amp;sr=8-1", "https://www.amazon.com/eos-Watermelon-Dermatologist-Recommended-Sensitive/dp/B0B2TXG3LR/ref=sr_1_1?keywords=EOS%C2%AE+Watermelon+Fros%C3%A9+Lip+Balm&amp;qid=1695260219&amp;rdc=1&amp;sr=8-1")</f>
        <v>https://www.amazon.com/eos-Watermelon-Dermatologist-Recommended-Sensitive/dp/B0B2TXG3LR/ref=sr_1_1?keywords=EOS%C2%AE+Watermelon+Fros%C3%A9+Lip+Balm&amp;qid=1695260219&amp;rdc=1&amp;sr=8-1</v>
      </c>
      <c r="F4913" t="s">
        <v>14134</v>
      </c>
      <c r="G4913" t="e">
        <f ca="1">IMAGE("https://shop.sonapharmacy.com/cdn/shop/products/61gAMrKDRrL._AC_SL1400.jpg?v=1613747996")</f>
        <v>#NAME?</v>
      </c>
      <c r="H4913" t="e">
        <f ca="1">IMAGE("https://m.media-amazon.com/images/I/71VbIu3FRNL._AC_UL320_.jpg")</f>
        <v>#NAME?</v>
      </c>
      <c r="I4913" t="s">
        <v>9490</v>
      </c>
      <c r="J4913">
        <v>3.19</v>
      </c>
      <c r="K4913" s="2" t="s">
        <v>14135</v>
      </c>
      <c r="L4913">
        <v>4.5999999999999996</v>
      </c>
      <c r="M4913">
        <v>55428</v>
      </c>
      <c r="O4913" t="s">
        <v>26</v>
      </c>
      <c r="P4913" t="s">
        <v>39</v>
      </c>
      <c r="Q4913" t="s">
        <v>9492</v>
      </c>
    </row>
    <row r="4914" spans="1:17" ht="15.75" x14ac:dyDescent="0.25">
      <c r="A4914" s="3" t="str">
        <f>HYPERLINK("https://shop.sonapharmacy.com/products/now%C2%AE-bromelain-2400-gdu-g-500mg-capsules-60ct", "https://shop.sonapharmacy.com/products/now%C2%AE-bromelain-2400-gdu-g-500mg-capsules-60ct")</f>
        <v>https://shop.sonapharmacy.com/products/now%C2%AE-bromelain-2400-gdu-g-500mg-capsules-60ct</v>
      </c>
      <c r="B4914" s="3" t="str">
        <f>HYPERLINK("https://shop.sonapharmacy.com/products/now%c2%ae-bromelain-2400-gdu-g-500mg-capsules-60ct", "https://shop.sonapharmacy.com/products/now%c2%ae-bromelain-2400-gdu-g-500mg-capsules-60ct")</f>
        <v>https://shop.sonapharmacy.com/products/now%c2%ae-bromelain-2400-gdu-g-500mg-capsules-60ct</v>
      </c>
      <c r="C4914" t="s">
        <v>12908</v>
      </c>
      <c r="D4914" t="s">
        <v>14136</v>
      </c>
      <c r="E4914" s="3" t="str">
        <f>HYPERLINK("https://www.amazon.com/Nutricost-Bromelain-500mg-Veggie-Capsules/dp/B07TK4ZTLP/ref=sr_1_1?keywords=NOW%C2%AE+Bromelain+2400+GDU%2Fg+500mg+Capsules+60ct.&amp;qid=1695260583&amp;sr=8-1", "https://www.amazon.com/Nutricost-Bromelain-500mg-Veggie-Capsules/dp/B07TK4ZTLP/ref=sr_1_1?keywords=NOW%C2%AE+Bromelain+2400+GDU%2Fg+500mg+Capsules+60ct.&amp;qid=1695260583&amp;sr=8-1")</f>
        <v>https://www.amazon.com/Nutricost-Bromelain-500mg-Veggie-Capsules/dp/B07TK4ZTLP/ref=sr_1_1?keywords=NOW%C2%AE+Bromelain+2400+GDU%2Fg+500mg+Capsules+60ct.&amp;qid=1695260583&amp;sr=8-1</v>
      </c>
      <c r="F4914" t="s">
        <v>14137</v>
      </c>
      <c r="G4914" t="e">
        <f ca="1">IMAGE("https://shop.sonapharmacy.com/cdn/shop/products/710EkiFhFhL._AC_SL1500.jpg?v=1611019920")</f>
        <v>#NAME?</v>
      </c>
      <c r="H4914" t="e">
        <f ca="1">IMAGE("https://m.media-amazon.com/images/I/61CCL2C0uIL._AC_UL320_.jpg")</f>
        <v>#NAME?</v>
      </c>
      <c r="I4914" t="s">
        <v>4814</v>
      </c>
      <c r="J4914">
        <v>15.95</v>
      </c>
      <c r="K4914" s="2" t="s">
        <v>14138</v>
      </c>
      <c r="L4914">
        <v>4.2</v>
      </c>
      <c r="M4914">
        <v>515</v>
      </c>
      <c r="O4914" t="s">
        <v>26</v>
      </c>
      <c r="P4914" t="s">
        <v>39</v>
      </c>
      <c r="Q4914" t="s">
        <v>12912</v>
      </c>
    </row>
    <row r="4915" spans="1:17" ht="15.75" x14ac:dyDescent="0.25">
      <c r="A4915" s="3" t="str">
        <f>HYPERLINK("https://shop.sonapharmacy.com/products/d3-50-100-vegcaps", "https://shop.sonapharmacy.com/products/d3-50-100-vegcaps")</f>
        <v>https://shop.sonapharmacy.com/products/d3-50-100-vegcaps</v>
      </c>
      <c r="B4915" s="3" t="str">
        <f>HYPERLINK("https://shop.sonapharmacy.com/products/d3-50-100-vegcaps", "https://shop.sonapharmacy.com/products/d3-50-100-vegcaps")</f>
        <v>https://shop.sonapharmacy.com/products/d3-50-100-vegcaps</v>
      </c>
      <c r="C4915" t="s">
        <v>12390</v>
      </c>
      <c r="D4915" t="s">
        <v>14139</v>
      </c>
      <c r="E4915" s="3" t="str">
        <f>HYPERLINK("https://www.amazon.com/VITAMIN-D3-50-100-CAPSULES-BIO-TECH/dp/B004N11UYM/ref=sr_1_5?keywords=Bio-Tech%C2%AE+D3-50+Capsules&amp;qid=1695260103&amp;sr=8-5", "https://www.amazon.com/VITAMIN-D3-50-100-CAPSULES-BIO-TECH/dp/B004N11UYM/ref=sr_1_5?keywords=Bio-Tech%C2%AE+D3-50+Capsules&amp;qid=1695260103&amp;sr=8-5")</f>
        <v>https://www.amazon.com/VITAMIN-D3-50-100-CAPSULES-BIO-TECH/dp/B004N11UYM/ref=sr_1_5?keywords=Bio-Tech%C2%AE+D3-50+Capsules&amp;qid=1695260103&amp;sr=8-5</v>
      </c>
      <c r="F4915" t="s">
        <v>14140</v>
      </c>
      <c r="G4915" t="e">
        <f ca="1">IMAGE("https://shop.sonapharmacy.com/cdn/shop/products/s-l640_1.jpg?v=1609344718")</f>
        <v>#NAME?</v>
      </c>
      <c r="H4915" t="e">
        <f ca="1">IMAGE("https://m.media-amazon.com/images/I/51elOJAVMeL._AC_UL320_.jpg")</f>
        <v>#NAME?</v>
      </c>
      <c r="I4915" t="s">
        <v>12393</v>
      </c>
      <c r="J4915">
        <v>27.19</v>
      </c>
      <c r="K4915" s="2" t="s">
        <v>14141</v>
      </c>
      <c r="L4915">
        <v>4.8</v>
      </c>
      <c r="M4915">
        <v>8</v>
      </c>
      <c r="O4915" t="s">
        <v>26</v>
      </c>
      <c r="P4915" t="s">
        <v>39</v>
      </c>
      <c r="Q4915" t="s">
        <v>12395</v>
      </c>
    </row>
    <row r="4916" spans="1:17" ht="15.75" x14ac:dyDescent="0.25">
      <c r="A4916" s="3" t="str">
        <f>HYPERLINK("https://shop.sonapharmacy.com/products/replesta-nx-once-weekly-vitamin-d-supplement", "https://shop.sonapharmacy.com/products/replesta-nx-once-weekly-vitamin-d-supplement")</f>
        <v>https://shop.sonapharmacy.com/products/replesta-nx-once-weekly-vitamin-d-supplement</v>
      </c>
      <c r="B4916" s="3" t="str">
        <f>HYPERLINK("https://shop.sonapharmacy.com/products/replesta-nx-once-weekly-vitamin-d-supplement", "https://shop.sonapharmacy.com/products/replesta-nx-once-weekly-vitamin-d-supplement")</f>
        <v>https://shop.sonapharmacy.com/products/replesta-nx-once-weekly-vitamin-d-supplement</v>
      </c>
      <c r="C4916" t="s">
        <v>12231</v>
      </c>
      <c r="D4916" t="s">
        <v>14142</v>
      </c>
      <c r="E4916" s="3" t="str">
        <f>HYPERLINK("https://www.amazon.com/Replesta-NX-Vitamin-Supplement-Count/dp/B00A9BH602/ref=sr_1_1?keywords=Replesta+NX+Once-Weekly+Vitamin+D+Supplement&amp;qid=1695260681&amp;sr=8-1", "https://www.amazon.com/Replesta-NX-Vitamin-Supplement-Count/dp/B00A9BH602/ref=sr_1_1?keywords=Replesta+NX+Once-Weekly+Vitamin+D+Supplement&amp;qid=1695260681&amp;sr=8-1")</f>
        <v>https://www.amazon.com/Replesta-NX-Vitamin-Supplement-Count/dp/B00A9BH602/ref=sr_1_1?keywords=Replesta+NX+Once-Weekly+Vitamin+D+Supplement&amp;qid=1695260681&amp;sr=8-1</v>
      </c>
      <c r="F4916" t="s">
        <v>14143</v>
      </c>
      <c r="G4916" t="e">
        <f ca="1">IMAGE("https://shop.sonapharmacy.com/cdn/shop/products/resize_2.png?v=1596639333")</f>
        <v>#NAME?</v>
      </c>
      <c r="H4916" t="e">
        <f ca="1">IMAGE("https://m.media-amazon.com/images/I/71aZ1leMgRL._AC_UL320_.jpg")</f>
        <v>#NAME?</v>
      </c>
      <c r="I4916" t="s">
        <v>12234</v>
      </c>
      <c r="J4916">
        <v>17.989999999999998</v>
      </c>
      <c r="K4916" s="2" t="s">
        <v>14144</v>
      </c>
      <c r="L4916">
        <v>4.7</v>
      </c>
      <c r="M4916">
        <v>418</v>
      </c>
      <c r="O4916" t="s">
        <v>26</v>
      </c>
      <c r="P4916" t="s">
        <v>39</v>
      </c>
      <c r="Q4916" t="s">
        <v>12236</v>
      </c>
    </row>
    <row r="4917" spans="1:17" ht="15.75" x14ac:dyDescent="0.25">
      <c r="A4917" s="3" t="str">
        <f>HYPERLINK("https://shop.sonapharmacy.com/products/mueller%C2%AE-adjustable-wrist-brace-with-splint-one-size", "https://shop.sonapharmacy.com/products/mueller%C2%AE-adjustable-wrist-brace-with-splint-one-size")</f>
        <v>https://shop.sonapharmacy.com/products/mueller%C2%AE-adjustable-wrist-brace-with-splint-one-size</v>
      </c>
      <c r="B4917" s="3" t="str">
        <f>HYPERLINK("https://shop.sonapharmacy.com/products/mueller%c2%ae-adjustable-wrist-brace-with-splint-one-size", "https://shop.sonapharmacy.com/products/mueller%c2%ae-adjustable-wrist-brace-with-splint-one-size")</f>
        <v>https://shop.sonapharmacy.com/products/mueller%c2%ae-adjustable-wrist-brace-with-splint-one-size</v>
      </c>
      <c r="C4917" t="s">
        <v>14145</v>
      </c>
      <c r="D4917" t="s">
        <v>14146</v>
      </c>
      <c r="E4917" s="3" t="str">
        <f>HYPERLINK("https://www.amazon.com/MUELLER-Reversible-Wrist-Brace-OSFM/dp/B08C6M6QRV/ref=sr_1_7?keywords=Mueller%C2%AE+Adjustable+Wrist+Brace+With+Splint+One+Size&amp;qid=1695260500&amp;sr=8-7", "https://www.amazon.com/MUELLER-Reversible-Wrist-Brace-OSFM/dp/B08C6M6QRV/ref=sr_1_7?keywords=Mueller%C2%AE+Adjustable+Wrist+Brace+With+Splint+One+Size&amp;qid=1695260500&amp;sr=8-7")</f>
        <v>https://www.amazon.com/MUELLER-Reversible-Wrist-Brace-OSFM/dp/B08C6M6QRV/ref=sr_1_7?keywords=Mueller%C2%AE+Adjustable+Wrist+Brace+With+Splint+One+Size&amp;qid=1695260500&amp;sr=8-7</v>
      </c>
      <c r="F4917" t="s">
        <v>14147</v>
      </c>
      <c r="G4917" t="e">
        <f ca="1">IMAGE("https://shop.sonapharmacy.com/cdn/shop/products/GUEST_3f439812-68bd-4f72-aefb-8e593e400b68.jpg?v=1609859869")</f>
        <v>#NAME?</v>
      </c>
      <c r="H4917" t="e">
        <f ca="1">IMAGE("https://m.media-amazon.com/images/I/61ZKGJpTCNL._AC_UL320_.jpg")</f>
        <v>#NAME?</v>
      </c>
      <c r="I4917" t="s">
        <v>14148</v>
      </c>
      <c r="J4917">
        <v>16.989999999999998</v>
      </c>
      <c r="K4917" s="2" t="s">
        <v>14149</v>
      </c>
      <c r="L4917">
        <v>3.8</v>
      </c>
      <c r="M4917">
        <v>30</v>
      </c>
      <c r="O4917" t="s">
        <v>26</v>
      </c>
      <c r="P4917" t="s">
        <v>39</v>
      </c>
      <c r="Q4917" t="s">
        <v>14150</v>
      </c>
    </row>
    <row r="4918" spans="1:17" ht="15.75" x14ac:dyDescent="0.25">
      <c r="A4918" s="3" t="str">
        <f>HYPERLINK("https://shop.sonapharmacy.com/products/bell-horn%C2%AE-abdominal-support", "https://shop.sonapharmacy.com/products/bell-horn%C2%AE-abdominal-support")</f>
        <v>https://shop.sonapharmacy.com/products/bell-horn%C2%AE-abdominal-support</v>
      </c>
      <c r="B4918" s="3" t="str">
        <f>HYPERLINK("https://shop.sonapharmacy.com/products/bell-horn%c2%ae-abdominal-support", "https://shop.sonapharmacy.com/products/bell-horn%c2%ae-abdominal-support")</f>
        <v>https://shop.sonapharmacy.com/products/bell-horn%c2%ae-abdominal-support</v>
      </c>
      <c r="C4918" t="s">
        <v>14151</v>
      </c>
      <c r="D4918" t="s">
        <v>14152</v>
      </c>
      <c r="E4918" s="3" t="str">
        <f>HYPERLINK("https://www.amazon.com/Bell-Horn-Maternity-Abdominal-Pregnancy-Support/dp/B0039VQG8C/ref=sr_1_5?keywords=Bell-Horn%C2%AE+Abdominal+Support&amp;qid=1695260080&amp;sr=8-5", "https://www.amazon.com/Bell-Horn-Maternity-Abdominal-Pregnancy-Support/dp/B0039VQG8C/ref=sr_1_5?keywords=Bell-Horn%C2%AE+Abdominal+Support&amp;qid=1695260080&amp;sr=8-5")</f>
        <v>https://www.amazon.com/Bell-Horn-Maternity-Abdominal-Pregnancy-Support/dp/B0039VQG8C/ref=sr_1_5?keywords=Bell-Horn%C2%AE+Abdominal+Support&amp;qid=1695260080&amp;sr=8-5</v>
      </c>
      <c r="F4918" t="s">
        <v>14153</v>
      </c>
      <c r="G4918" t="e">
        <f ca="1">IMAGE("https://shop.sonapharmacy.com/cdn/shop/products/1534804.jpg?v=1609874994")</f>
        <v>#NAME?</v>
      </c>
      <c r="H4918" t="e">
        <f ca="1">IMAGE("https://m.media-amazon.com/images/I/41jsVQ8fa+L._AC_UL320_.jpg")</f>
        <v>#NAME?</v>
      </c>
      <c r="I4918" t="s">
        <v>14154</v>
      </c>
      <c r="J4918">
        <v>39.99</v>
      </c>
      <c r="K4918" s="2" t="s">
        <v>14155</v>
      </c>
      <c r="L4918">
        <v>4.3</v>
      </c>
      <c r="M4918">
        <v>27</v>
      </c>
      <c r="O4918" t="s">
        <v>26</v>
      </c>
      <c r="P4918" t="s">
        <v>39</v>
      </c>
      <c r="Q4918" t="s">
        <v>14156</v>
      </c>
    </row>
    <row r="4919" spans="1:17" ht="15.75" x14ac:dyDescent="0.25">
      <c r="A4919" s="3" t="str">
        <f>HYPERLINK("https://shop.sonapharmacy.com/products/miralax%C2%AE-osmotic-laxative-powder", "https://shop.sonapharmacy.com/products/miralax%C2%AE-osmotic-laxative-powder")</f>
        <v>https://shop.sonapharmacy.com/products/miralax%C2%AE-osmotic-laxative-powder</v>
      </c>
      <c r="B4919" s="3" t="str">
        <f>HYPERLINK("https://shop.sonapharmacy.com/products/miralax%c2%ae-osmotic-laxative-powder", "https://shop.sonapharmacy.com/products/miralax%c2%ae-osmotic-laxative-powder")</f>
        <v>https://shop.sonapharmacy.com/products/miralax%c2%ae-osmotic-laxative-powder</v>
      </c>
      <c r="C4919" t="s">
        <v>9337</v>
      </c>
      <c r="D4919" t="s">
        <v>14157</v>
      </c>
      <c r="E4919" s="3" t="str">
        <f>HYPERLINK("https://www.amazon.com/Basic-Care-ClearLax-Polyethylene-Laxative/dp/B074F2X43S/ref=sr_1_6?keywords=MiraLAX%C2%AE+Osmotic+Laxative+Powder&amp;qid=1695260489&amp;sr=8-6", "https://www.amazon.com/Basic-Care-ClearLax-Polyethylene-Laxative/dp/B074F2X43S/ref=sr_1_6?keywords=MiraLAX%C2%AE+Osmotic+Laxative+Powder&amp;qid=1695260489&amp;sr=8-6")</f>
        <v>https://www.amazon.com/Basic-Care-ClearLax-Polyethylene-Laxative/dp/B074F2X43S/ref=sr_1_6?keywords=MiraLAX%C2%AE+Osmotic+Laxative+Powder&amp;qid=1695260489&amp;sr=8-6</v>
      </c>
      <c r="F4919" t="s">
        <v>14158</v>
      </c>
      <c r="G4919" t="e">
        <f ca="1">IMAGE("https://shop.sonapharmacy.com/cdn/shop/products/81f6hF9NoSL._AC_SL1500.jpg?v=1611083511")</f>
        <v>#NAME?</v>
      </c>
      <c r="H4919" t="e">
        <f ca="1">IMAGE("https://m.media-amazon.com/images/I/61E2+veEAjL._AC_UL320_.jpg")</f>
        <v>#NAME?</v>
      </c>
      <c r="I4919" t="s">
        <v>8886</v>
      </c>
      <c r="J4919">
        <v>7.86</v>
      </c>
      <c r="K4919" s="2" t="s">
        <v>14155</v>
      </c>
      <c r="L4919">
        <v>4.7</v>
      </c>
      <c r="M4919">
        <v>29374</v>
      </c>
      <c r="O4919" t="s">
        <v>26</v>
      </c>
      <c r="P4919" t="s">
        <v>39</v>
      </c>
      <c r="Q4919" t="s">
        <v>9339</v>
      </c>
    </row>
    <row r="4920" spans="1:17" ht="15.75" x14ac:dyDescent="0.25">
      <c r="A4920" s="3" t="str">
        <f>HYPERLINK("https://shop.sonapharmacy.com/products/gold-bond%C2%AE-medicated-extra-strength-body-powder", "https://shop.sonapharmacy.com/products/gold-bond%C2%AE-medicated-extra-strength-body-powder")</f>
        <v>https://shop.sonapharmacy.com/products/gold-bond%C2%AE-medicated-extra-strength-body-powder</v>
      </c>
      <c r="B4920" s="3" t="str">
        <f>HYPERLINK("https://shop.sonapharmacy.com/products/gold-bond%c2%ae-medicated-extra-strength-body-powder", "https://shop.sonapharmacy.com/products/gold-bond%c2%ae-medicated-extra-strength-body-powder")</f>
        <v>https://shop.sonapharmacy.com/products/gold-bond%c2%ae-medicated-extra-strength-body-powder</v>
      </c>
      <c r="C4920" t="s">
        <v>8789</v>
      </c>
      <c r="D4920" t="s">
        <v>14159</v>
      </c>
      <c r="E4920" s="3" t="str">
        <f>HYPERLINK("https://www.amazon.com/Gold-Bond-Medicated-Talc-Free-Absorbing/dp/B08W5F5X6Z/ref=sr_1_1?keywords=Gold+Bond%C2%AE+Medicated+Extra+Strength+Body+Powder&amp;qid=1695260345&amp;sr=8-1", "https://www.amazon.com/Gold-Bond-Medicated-Talc-Free-Absorbing/dp/B08W5F5X6Z/ref=sr_1_1?keywords=Gold+Bond%C2%AE+Medicated+Extra+Strength+Body+Powder&amp;qid=1695260345&amp;sr=8-1")</f>
        <v>https://www.amazon.com/Gold-Bond-Medicated-Talc-Free-Absorbing/dp/B08W5F5X6Z/ref=sr_1_1?keywords=Gold+Bond%C2%AE+Medicated+Extra+Strength+Body+Powder&amp;qid=1695260345&amp;sr=8-1</v>
      </c>
      <c r="F4920" t="s">
        <v>14160</v>
      </c>
      <c r="G4920" t="e">
        <f ca="1">IMAGE("https://shop.sonapharmacy.com/cdn/shop/products/large_a047ca99-d384-45ca-bfaf-e8e86c00ee6b.jpg?v=1608488454")</f>
        <v>#NAME?</v>
      </c>
      <c r="H4920" t="e">
        <f ca="1">IMAGE("https://m.media-amazon.com/images/I/81vu3aEFEDL._AC_UL320_.jpg")</f>
        <v>#NAME?</v>
      </c>
      <c r="I4920" t="s">
        <v>8792</v>
      </c>
      <c r="J4920">
        <v>9.1199999999999992</v>
      </c>
      <c r="K4920" s="2" t="s">
        <v>14161</v>
      </c>
      <c r="L4920">
        <v>4.7</v>
      </c>
      <c r="M4920">
        <v>4609</v>
      </c>
      <c r="O4920" t="s">
        <v>26</v>
      </c>
      <c r="P4920" t="s">
        <v>39</v>
      </c>
      <c r="Q4920" t="s">
        <v>8794</v>
      </c>
    </row>
    <row r="4921" spans="1:17" ht="15.75" x14ac:dyDescent="0.25">
      <c r="A4921" s="3" t="str">
        <f>HYPERLINK("https://shop.sonapharmacy.com/products/pedia-lax-liquid-glycerin-suppositories", "https://shop.sonapharmacy.com/products/pedia-lax-liquid-glycerin-suppositories")</f>
        <v>https://shop.sonapharmacy.com/products/pedia-lax-liquid-glycerin-suppositories</v>
      </c>
      <c r="B4921" s="3" t="str">
        <f>HYPERLINK("https://shop.sonapharmacy.com/products/pedia-lax-liquid-glycerin-suppositories", "https://shop.sonapharmacy.com/products/pedia-lax-liquid-glycerin-suppositories")</f>
        <v>https://shop.sonapharmacy.com/products/pedia-lax-liquid-glycerin-suppositories</v>
      </c>
      <c r="C4921" t="s">
        <v>8340</v>
      </c>
      <c r="D4921" t="s">
        <v>10477</v>
      </c>
      <c r="E4921" s="3" t="str">
        <f>HYPERLINK("https://www.amazon.com/Pedia-Lax-Liquid-Glycerin-Suppositories-Applicators/dp/B017WRYEH8/ref=sr_1_4?keywords=Pedia-Lax%C2%AE+Liquid+Glycerin+Suppositories&amp;qid=1695260624&amp;sr=8-4", "https://www.amazon.com/Pedia-Lax-Liquid-Glycerin-Suppositories-Applicators/dp/B017WRYEH8/ref=sr_1_4?keywords=Pedia-Lax%C2%AE+Liquid+Glycerin+Suppositories&amp;qid=1695260624&amp;sr=8-4")</f>
        <v>https://www.amazon.com/Pedia-Lax-Liquid-Glycerin-Suppositories-Applicators/dp/B017WRYEH8/ref=sr_1_4?keywords=Pedia-Lax%C2%AE+Liquid+Glycerin+Suppositories&amp;qid=1695260624&amp;sr=8-4</v>
      </c>
      <c r="F4921" t="s">
        <v>10478</v>
      </c>
      <c r="G4921" t="e">
        <f ca="1">IMAGE("https://shop.sonapharmacy.com/cdn/shop/products/PediaLaxSuppository.png?v=1606852444")</f>
        <v>#NAME?</v>
      </c>
      <c r="H4921" t="e">
        <f ca="1">IMAGE("https://m.media-amazon.com/images/I/61ieXwe7H0S._AC_UL320_.jpg")</f>
        <v>#NAME?</v>
      </c>
      <c r="I4921" t="s">
        <v>8341</v>
      </c>
      <c r="J4921">
        <v>7.49</v>
      </c>
      <c r="K4921" s="2" t="s">
        <v>14162</v>
      </c>
      <c r="L4921">
        <v>4.7</v>
      </c>
      <c r="M4921">
        <v>1175</v>
      </c>
      <c r="O4921" t="s">
        <v>26</v>
      </c>
      <c r="P4921" t="s">
        <v>39</v>
      </c>
      <c r="Q4921" t="s">
        <v>8343</v>
      </c>
    </row>
    <row r="4922" spans="1:17" ht="15.75" x14ac:dyDescent="0.25">
      <c r="A4922" s="3" t="str">
        <f>HYPERLINK("https://shop.sonapharmacy.com/products/d3-50-100-vegcaps", "https://shop.sonapharmacy.com/products/d3-50-100-vegcaps")</f>
        <v>https://shop.sonapharmacy.com/products/d3-50-100-vegcaps</v>
      </c>
      <c r="B4922" s="3" t="str">
        <f>HYPERLINK("https://shop.sonapharmacy.com/products/d3-50-100-vegcaps", "https://shop.sonapharmacy.com/products/d3-50-100-vegcaps")</f>
        <v>https://shop.sonapharmacy.com/products/d3-50-100-vegcaps</v>
      </c>
      <c r="C4922" t="s">
        <v>12390</v>
      </c>
      <c r="D4922" t="s">
        <v>14163</v>
      </c>
      <c r="E4922" s="3" t="str">
        <f>HYPERLINK("https://www.amazon.com/Bio-Tech-Pharmacal-D3-50-100-Count/dp/B000A0F2B2/ref=sr_1_1?keywords=Bio-Tech%C2%AE+D3-50+Capsules&amp;qid=1695260103&amp;sr=8-1", "https://www.amazon.com/Bio-Tech-Pharmacal-D3-50-100-Count/dp/B000A0F2B2/ref=sr_1_1?keywords=Bio-Tech%C2%AE+D3-50+Capsules&amp;qid=1695260103&amp;sr=8-1")</f>
        <v>https://www.amazon.com/Bio-Tech-Pharmacal-D3-50-100-Count/dp/B000A0F2B2/ref=sr_1_1?keywords=Bio-Tech%C2%AE+D3-50+Capsules&amp;qid=1695260103&amp;sr=8-1</v>
      </c>
      <c r="F4922" t="s">
        <v>14164</v>
      </c>
      <c r="G4922" t="e">
        <f ca="1">IMAGE("https://shop.sonapharmacy.com/cdn/shop/products/s-l640_1.jpg?v=1609344718")</f>
        <v>#NAME?</v>
      </c>
      <c r="H4922" t="e">
        <f ca="1">IMAGE("https://m.media-amazon.com/images/I/61v9J2Lo57L._AC_UL320_.jpg")</f>
        <v>#NAME?</v>
      </c>
      <c r="I4922" t="s">
        <v>12393</v>
      </c>
      <c r="J4922">
        <v>27</v>
      </c>
      <c r="K4922" s="2" t="s">
        <v>14165</v>
      </c>
      <c r="L4922">
        <v>4.8</v>
      </c>
      <c r="M4922">
        <v>2804</v>
      </c>
      <c r="O4922" t="s">
        <v>26</v>
      </c>
      <c r="P4922" t="s">
        <v>39</v>
      </c>
      <c r="Q4922" t="s">
        <v>12395</v>
      </c>
    </row>
    <row r="4923" spans="1:17" ht="15.75" x14ac:dyDescent="0.25">
      <c r="A4923" s="3" t="str">
        <f>HYPERLINK("https://shop.sonapharmacy.com/products/crane-ultrasonic-cool-mist-humidifier", "https://shop.sonapharmacy.com/products/crane-ultrasonic-cool-mist-humidifier")</f>
        <v>https://shop.sonapharmacy.com/products/crane-ultrasonic-cool-mist-humidifier</v>
      </c>
      <c r="B4923" s="3" t="str">
        <f>HYPERLINK("https://shop.sonapharmacy.com/products/crane-ultrasonic-cool-mist-humidifier", "https://shop.sonapharmacy.com/products/crane-ultrasonic-cool-mist-humidifier")</f>
        <v>https://shop.sonapharmacy.com/products/crane-ultrasonic-cool-mist-humidifier</v>
      </c>
      <c r="C4923" t="s">
        <v>14166</v>
      </c>
      <c r="D4923" t="s">
        <v>14167</v>
      </c>
      <c r="E4923" s="3" t="str">
        <f>HYPERLINK("https://www.amazon.com/Crane-Humidifier-Optional-Function-Essential/dp/B07X279GWZ/ref=sr_1_6?keywords=Crane%C2%AE+Ultrasonic+Cool+Mist+Humidifier&amp;qid=1695260158&amp;sr=8-6", "https://www.amazon.com/Crane-Humidifier-Optional-Function-Essential/dp/B07X279GWZ/ref=sr_1_6?keywords=Crane%C2%AE+Ultrasonic+Cool+Mist+Humidifier&amp;qid=1695260158&amp;sr=8-6")</f>
        <v>https://www.amazon.com/Crane-Humidifier-Optional-Function-Essential/dp/B07X279GWZ/ref=sr_1_6?keywords=Crane%C2%AE+Ultrasonic+Cool+Mist+Humidifier&amp;qid=1695260158&amp;sr=8-6</v>
      </c>
      <c r="F4923" t="s">
        <v>14168</v>
      </c>
      <c r="G4923" t="e">
        <f ca="1">IMAGE("https://shop.sonapharmacy.com/cdn/shop/products/EE-5301-2000x2000-300ppi-2020-1-1-470x470.jpg?v=1607181139")</f>
        <v>#NAME?</v>
      </c>
      <c r="H4923" t="e">
        <f ca="1">IMAGE("https://m.media-amazon.com/images/I/61KmC0UiSUL._AC_UL320_.jpg")</f>
        <v>#NAME?</v>
      </c>
      <c r="I4923" t="s">
        <v>14169</v>
      </c>
      <c r="J4923">
        <v>57.99</v>
      </c>
      <c r="K4923" s="2" t="s">
        <v>14170</v>
      </c>
      <c r="L4923">
        <v>4.4000000000000004</v>
      </c>
      <c r="M4923">
        <v>1229</v>
      </c>
      <c r="O4923" t="s">
        <v>26</v>
      </c>
      <c r="P4923" t="s">
        <v>39</v>
      </c>
      <c r="Q4923" t="s">
        <v>14171</v>
      </c>
    </row>
    <row r="4924" spans="1:17" ht="15.75" x14ac:dyDescent="0.25">
      <c r="A4924" s="3" t="str">
        <f>HYPERLINK("https://shop.sonapharmacy.com/products/poise%C2%AE-pads-moderate-absorbency-regular-length-66ct", "https://shop.sonapharmacy.com/products/poise%C2%AE-pads-moderate-absorbency-regular-length-66ct")</f>
        <v>https://shop.sonapharmacy.com/products/poise%C2%AE-pads-moderate-absorbency-regular-length-66ct</v>
      </c>
      <c r="B4924" s="3" t="str">
        <f>HYPERLINK("https://shop.sonapharmacy.com/products/poise%c2%ae-pads-moderate-absorbency-regular-length-66ct", "https://shop.sonapharmacy.com/products/poise%c2%ae-pads-moderate-absorbency-regular-length-66ct")</f>
        <v>https://shop.sonapharmacy.com/products/poise%c2%ae-pads-moderate-absorbency-regular-length-66ct</v>
      </c>
      <c r="C4924" t="s">
        <v>12332</v>
      </c>
      <c r="D4924" t="s">
        <v>14172</v>
      </c>
      <c r="E4924" s="3" t="str">
        <f>HYPERLINK("https://www.amazon.com/Poise-Incontinence-Moderate-Absorbency-Regular/dp/B007E4ZZPU/ref=sr_1_1?keywords=Poise%C2%AE+Pads+Moderate+Absorbency+Regular+Length+66ct.&amp;qid=1695260640&amp;sr=8-1", "https://www.amazon.com/Poise-Incontinence-Moderate-Absorbency-Regular/dp/B007E4ZZPU/ref=sr_1_1?keywords=Poise%C2%AE+Pads+Moderate+Absorbency+Regular+Length+66ct.&amp;qid=1695260640&amp;sr=8-1")</f>
        <v>https://www.amazon.com/Poise-Incontinence-Moderate-Absorbency-Regular/dp/B007E4ZZPU/ref=sr_1_1?keywords=Poise%C2%AE+Pads+Moderate+Absorbency+Regular+Length+66ct.&amp;qid=1695260640&amp;sr=8-1</v>
      </c>
      <c r="F4924" t="s">
        <v>14173</v>
      </c>
      <c r="G4924" t="e">
        <f ca="1">IMAGE("https://shop.sonapharmacy.com/cdn/shop/products/71C22tI0qsL._AC_SL1244.jpg?v=1611072543")</f>
        <v>#NAME?</v>
      </c>
      <c r="H4924" t="e">
        <f ca="1">IMAGE("https://m.media-amazon.com/images/I/81I2CTM1oML._AC_UL320_.jpg")</f>
        <v>#NAME?</v>
      </c>
      <c r="I4924" t="s">
        <v>9290</v>
      </c>
      <c r="J4924">
        <v>14.88</v>
      </c>
      <c r="K4924" s="2" t="s">
        <v>14174</v>
      </c>
      <c r="L4924">
        <v>4.5999999999999996</v>
      </c>
      <c r="M4924">
        <v>24924</v>
      </c>
      <c r="O4924" t="s">
        <v>26</v>
      </c>
      <c r="P4924" t="s">
        <v>39</v>
      </c>
      <c r="Q4924" t="s">
        <v>12336</v>
      </c>
    </row>
    <row r="4925" spans="1:17" ht="15.75" x14ac:dyDescent="0.25">
      <c r="A4925" s="3" t="str">
        <f>HYPERLINK("https://shop.sonapharmacy.com/products/sudafed-sinus-pressure-pain-relief-tablets", "https://shop.sonapharmacy.com/products/sudafed-sinus-pressure-pain-relief-tablets")</f>
        <v>https://shop.sonapharmacy.com/products/sudafed-sinus-pressure-pain-relief-tablets</v>
      </c>
      <c r="B4925" s="3" t="str">
        <f>HYPERLINK("https://shop.sonapharmacy.com/products/sudafed-sinus-pressure-pain-relief-tablets", "https://shop.sonapharmacy.com/products/sudafed-sinus-pressure-pain-relief-tablets")</f>
        <v>https://shop.sonapharmacy.com/products/sudafed-sinus-pressure-pain-relief-tablets</v>
      </c>
      <c r="C4925" t="s">
        <v>10102</v>
      </c>
      <c r="D4925" t="s">
        <v>14175</v>
      </c>
      <c r="E4925" s="3" t="str">
        <f>HYPERLINK("https://www.amazon.com/Sudafed-Congestion-Mucus-Tablets-Pressure/dp/B01EMZB43K/ref=sr_1_2?keywords=Sudafed+Sinus+Pressure+Pain+Relief+Tablets&amp;qid=1695260732&amp;sr=8-2", "https://www.amazon.com/Sudafed-Congestion-Mucus-Tablets-Pressure/dp/B01EMZB43K/ref=sr_1_2?keywords=Sudafed+Sinus+Pressure+Pain+Relief+Tablets&amp;qid=1695260732&amp;sr=8-2")</f>
        <v>https://www.amazon.com/Sudafed-Congestion-Mucus-Tablets-Pressure/dp/B01EMZB43K/ref=sr_1_2?keywords=Sudafed+Sinus+Pressure+Pain+Relief+Tablets&amp;qid=1695260732&amp;sr=8-2</v>
      </c>
      <c r="F4925" t="s">
        <v>14176</v>
      </c>
      <c r="G4925" t="e">
        <f ca="1">IMAGE("https://shop.sonapharmacy.com/cdn/shop/products/SudafedSinusPressure_PainReliefTablets.jpg?v=1595445751")</f>
        <v>#NAME?</v>
      </c>
      <c r="H4925" t="e">
        <f ca="1">IMAGE("https://m.media-amazon.com/images/I/81vEhyKZiYL._AC_UL320_.jpg")</f>
        <v>#NAME?</v>
      </c>
      <c r="I4925" t="s">
        <v>10105</v>
      </c>
      <c r="J4925">
        <v>7.55</v>
      </c>
      <c r="K4925" s="2" t="s">
        <v>14177</v>
      </c>
      <c r="L4925">
        <v>4.7</v>
      </c>
      <c r="M4925">
        <v>558</v>
      </c>
      <c r="O4925" t="s">
        <v>26</v>
      </c>
      <c r="P4925" t="s">
        <v>39</v>
      </c>
      <c r="Q4925" t="s">
        <v>10107</v>
      </c>
    </row>
    <row r="4926" spans="1:17" ht="15.75" x14ac:dyDescent="0.25">
      <c r="A4926" s="3" t="str">
        <f>HYPERLINK("https://shop.sonapharmacy.com/products/biofreeze-topical-pain-relief-gel", "https://shop.sonapharmacy.com/products/biofreeze-topical-pain-relief-gel")</f>
        <v>https://shop.sonapharmacy.com/products/biofreeze-topical-pain-relief-gel</v>
      </c>
      <c r="B4926" s="3" t="str">
        <f>HYPERLINK("https://shop.sonapharmacy.com/products/biofreeze-topical-pain-relief-gel", "https://shop.sonapharmacy.com/products/biofreeze-topical-pain-relief-gel")</f>
        <v>https://shop.sonapharmacy.com/products/biofreeze-topical-pain-relief-gel</v>
      </c>
      <c r="C4926" t="s">
        <v>11845</v>
      </c>
      <c r="D4926" t="s">
        <v>14178</v>
      </c>
      <c r="E4926" s="3" t="str">
        <f>HYPERLINK("https://www.amazon.com/Biofreeze-Pain-Relief-Gel-Tube/dp/B0056PTKY6/ref=sr_1_5?keywords=Biofreeze%C2%AE+Topical+Pain+Relief+Gel&amp;qid=1695260090&amp;sr=8-5", "https://www.amazon.com/Biofreeze-Pain-Relief-Gel-Tube/dp/B0056PTKY6/ref=sr_1_5?keywords=Biofreeze%C2%AE+Topical+Pain+Relief+Gel&amp;qid=1695260090&amp;sr=8-5")</f>
        <v>https://www.amazon.com/Biofreeze-Pain-Relief-Gel-Tube/dp/B0056PTKY6/ref=sr_1_5?keywords=Biofreeze%C2%AE+Topical+Pain+Relief+Gel&amp;qid=1695260090&amp;sr=8-5</v>
      </c>
      <c r="F4926" t="s">
        <v>14179</v>
      </c>
      <c r="G4926" t="e">
        <f ca="1">IMAGE("https://shop.sonapharmacy.com/cdn/shop/products/BiofreezeGel.png?v=1606962058")</f>
        <v>#NAME?</v>
      </c>
      <c r="H4926" t="e">
        <f ca="1">IMAGE("https://m.media-amazon.com/images/I/71Xfy6QSPYL._AC_UL320_.jpg")</f>
        <v>#NAME?</v>
      </c>
      <c r="I4926" t="s">
        <v>3419</v>
      </c>
      <c r="J4926">
        <v>13.11</v>
      </c>
      <c r="K4926" s="2" t="s">
        <v>14180</v>
      </c>
      <c r="L4926">
        <v>4.5999999999999996</v>
      </c>
      <c r="M4926">
        <v>3367</v>
      </c>
      <c r="O4926" t="s">
        <v>26</v>
      </c>
      <c r="P4926" t="s">
        <v>39</v>
      </c>
      <c r="Q4926" t="s">
        <v>11849</v>
      </c>
    </row>
    <row r="4927" spans="1:17" ht="15.75" x14ac:dyDescent="0.25">
      <c r="A4927" s="3" t="str">
        <f>HYPERLINK("https://shop.sonapharmacy.com/products/flonase-allergy-relief-spray", "https://shop.sonapharmacy.com/products/flonase-allergy-relief-spray")</f>
        <v>https://shop.sonapharmacy.com/products/flonase-allergy-relief-spray</v>
      </c>
      <c r="B4927" s="3" t="str">
        <f>HYPERLINK("https://shop.sonapharmacy.com/products/flonase-allergy-relief-spray", "https://shop.sonapharmacy.com/products/flonase-allergy-relief-spray")</f>
        <v>https://shop.sonapharmacy.com/products/flonase-allergy-relief-spray</v>
      </c>
      <c r="C4927" t="s">
        <v>12108</v>
      </c>
      <c r="D4927" t="s">
        <v>14181</v>
      </c>
      <c r="E4927" s="3"/>
      <c r="F4927" t="s">
        <v>14182</v>
      </c>
      <c r="G4927" t="e">
        <f ca="1">IMAGE("https://shop.sonapharmacy.com/cdn/shop/products/81W9dcRd7bL._AC_SL1500.jpg?v=1611864793")</f>
        <v>#NAME?</v>
      </c>
      <c r="H4927" t="e">
        <f ca="1">IMAGE("https://m.media-amazon.com/images/I/81rlJ2CV2bL._AC_UL320_.jpg")</f>
        <v>#NAME?</v>
      </c>
      <c r="I4927" t="s">
        <v>11894</v>
      </c>
      <c r="J4927">
        <v>16.989999999999998</v>
      </c>
      <c r="K4927" s="2" t="s">
        <v>7886</v>
      </c>
      <c r="L4927">
        <v>4.7</v>
      </c>
      <c r="M4927">
        <v>2452</v>
      </c>
      <c r="O4927" t="s">
        <v>26</v>
      </c>
      <c r="P4927" t="s">
        <v>39</v>
      </c>
      <c r="Q4927" t="s">
        <v>12111</v>
      </c>
    </row>
    <row r="4928" spans="1:17" ht="15.75" x14ac:dyDescent="0.25">
      <c r="A4928" s="3" t="str">
        <f>HYPERLINK("https://shop.sonapharmacy.com/products/listerine%C2%AE-original-antiseptic-mouthwash-1-0l", "https://shop.sonapharmacy.com/products/listerine%C2%AE-original-antiseptic-mouthwash-1-0l")</f>
        <v>https://shop.sonapharmacy.com/products/listerine%C2%AE-original-antiseptic-mouthwash-1-0l</v>
      </c>
      <c r="B4928" s="3" t="str">
        <f>HYPERLINK("https://shop.sonapharmacy.com/products/listerine%c2%ae-original-antiseptic-mouthwash-1-0l", "https://shop.sonapharmacy.com/products/listerine%c2%ae-original-antiseptic-mouthwash-1-0l")</f>
        <v>https://shop.sonapharmacy.com/products/listerine%c2%ae-original-antiseptic-mouthwash-1-0l</v>
      </c>
      <c r="C4928" t="s">
        <v>8715</v>
      </c>
      <c r="D4928" t="s">
        <v>14183</v>
      </c>
      <c r="E4928" s="3" t="str">
        <f>HYPERLINK("https://www.amazon.com/Listerine-Antiseptic-Mouthwash-Germ-Killing-Gingivitis/dp/B005IHSM32/ref=sr_1_1?keywords=Listerine%C2%AE+Original+Antiseptic+Mouthwash&amp;qid=1695260455&amp;sr=8-1", "https://www.amazon.com/Listerine-Antiseptic-Mouthwash-Germ-Killing-Gingivitis/dp/B005IHSM32/ref=sr_1_1?keywords=Listerine%C2%AE+Original+Antiseptic+Mouthwash&amp;qid=1695260455&amp;sr=8-1")</f>
        <v>https://www.amazon.com/Listerine-Antiseptic-Mouthwash-Germ-Killing-Gingivitis/dp/B005IHSM32/ref=sr_1_1?keywords=Listerine%C2%AE+Original+Antiseptic+Mouthwash&amp;qid=1695260455&amp;sr=8-1</v>
      </c>
      <c r="F4928" t="s">
        <v>14184</v>
      </c>
      <c r="G4928" t="e">
        <f ca="1">IMAGE("https://shop.sonapharmacy.com/cdn/shop/products/a70058ff-41fb-4d2a-b64c-cf59a2256d21.d9285f50277c821f45fbb40b10febc43.jpg?v=1608657131")</f>
        <v>#NAME?</v>
      </c>
      <c r="H4928" t="e">
        <f ca="1">IMAGE("https://m.media-amazon.com/images/I/71EMTRFtoVL._AC_UL320_.jpg")</f>
        <v>#NAME?</v>
      </c>
      <c r="I4928" t="s">
        <v>3392</v>
      </c>
      <c r="J4928">
        <v>6.98</v>
      </c>
      <c r="K4928" s="2" t="s">
        <v>14185</v>
      </c>
      <c r="L4928">
        <v>4.7</v>
      </c>
      <c r="M4928">
        <v>58589</v>
      </c>
      <c r="O4928" t="s">
        <v>26</v>
      </c>
      <c r="P4928" t="s">
        <v>39</v>
      </c>
      <c r="Q4928" t="s">
        <v>8719</v>
      </c>
    </row>
    <row r="4929" spans="1:17" ht="15.75" x14ac:dyDescent="0.25">
      <c r="A4929" s="3" t="str">
        <f>HYPERLINK("https://shop.sonapharmacy.com/products/sun-bum%C2%AE-mineral-spf-50-sunscreen-lotion-3oz", "https://shop.sonapharmacy.com/products/sun-bum%C2%AE-mineral-spf-50-sunscreen-lotion-3oz")</f>
        <v>https://shop.sonapharmacy.com/products/sun-bum%C2%AE-mineral-spf-50-sunscreen-lotion-3oz</v>
      </c>
      <c r="B4929" s="3" t="str">
        <f>HYPERLINK("https://shop.sonapharmacy.com/products/sun-bum%c2%ae-mineral-spf-50-sunscreen-lotion-3oz", "https://shop.sonapharmacy.com/products/sun-bum%c2%ae-mineral-spf-50-sunscreen-lotion-3oz")</f>
        <v>https://shop.sonapharmacy.com/products/sun-bum%c2%ae-mineral-spf-50-sunscreen-lotion-3oz</v>
      </c>
      <c r="C4929" t="s">
        <v>10736</v>
      </c>
      <c r="D4929" t="s">
        <v>14056</v>
      </c>
      <c r="E4929" s="3" t="str">
        <f>HYPERLINK("https://www.amazon.com/Sun-Bum-Sunscreen-Protection-Hypoallergenic/dp/B072KGPSYP/ref=sr_1_1?keywords=Sun+Bum%C2%AE+Mineral+SPF+50+Sunscreen+Lotion+3oz.&amp;qid=1695260736&amp;sr=8-1", "https://www.amazon.com/Sun-Bum-Sunscreen-Protection-Hypoallergenic/dp/B072KGPSYP/ref=sr_1_1?keywords=Sun+Bum%C2%AE+Mineral+SPF+50+Sunscreen+Lotion+3oz.&amp;qid=1695260736&amp;sr=8-1")</f>
        <v>https://www.amazon.com/Sun-Bum-Sunscreen-Protection-Hypoallergenic/dp/B072KGPSYP/ref=sr_1_1?keywords=Sun+Bum%C2%AE+Mineral+SPF+50+Sunscreen+Lotion+3oz.&amp;qid=1695260736&amp;sr=8-1</v>
      </c>
      <c r="F4929" t="s">
        <v>14057</v>
      </c>
      <c r="G4929" t="e">
        <f ca="1">IMAGE("https://shop.sonapharmacy.com/cdn/shop/products/61BXE36gB1L._SL1500__1.jpg?v=1629233458")</f>
        <v>#NAME?</v>
      </c>
      <c r="H4929" t="e">
        <f ca="1">IMAGE("https://m.media-amazon.com/images/I/41o00Y6NQhL._AC_UL320_.jpg")</f>
        <v>#NAME?</v>
      </c>
      <c r="I4929" t="s">
        <v>3419</v>
      </c>
      <c r="J4929">
        <v>13.09</v>
      </c>
      <c r="K4929" s="2" t="s">
        <v>14186</v>
      </c>
      <c r="L4929">
        <v>4.5</v>
      </c>
      <c r="M4929">
        <v>3393</v>
      </c>
      <c r="O4929" t="s">
        <v>26</v>
      </c>
      <c r="P4929" t="s">
        <v>39</v>
      </c>
      <c r="Q4929" t="s">
        <v>10740</v>
      </c>
    </row>
    <row r="4930" spans="1:17" ht="15.75" x14ac:dyDescent="0.25">
      <c r="A4930" s="3" t="str">
        <f>HYPERLINK("https://shop.sonapharmacy.com/products/flonase-sensimist-allergy-relief-spray", "https://shop.sonapharmacy.com/products/flonase-sensimist-allergy-relief-spray")</f>
        <v>https://shop.sonapharmacy.com/products/flonase-sensimist-allergy-relief-spray</v>
      </c>
      <c r="B4930" s="3" t="str">
        <f>HYPERLINK("https://shop.sonapharmacy.com/products/flonase-sensimist-allergy-relief-spray", "https://shop.sonapharmacy.com/products/flonase-sensimist-allergy-relief-spray")</f>
        <v>https://shop.sonapharmacy.com/products/flonase-sensimist-allergy-relief-spray</v>
      </c>
      <c r="C4930" t="s">
        <v>11891</v>
      </c>
      <c r="D4930" t="s">
        <v>14187</v>
      </c>
      <c r="E4930" s="3" t="str">
        <f>HYPERLINK("https://www.amazon.com/Flonase-345199-Null/dp/B01NBHYT1N/ref=sr_1_1?keywords=Flonase%C2%AE+Sensimist+Allergy+Relief+Spray&amp;qid=1695260252&amp;sr=8-1", "https://www.amazon.com/Flonase-345199-Null/dp/B01NBHYT1N/ref=sr_1_1?keywords=Flonase%C2%AE+Sensimist+Allergy+Relief+Spray&amp;qid=1695260252&amp;sr=8-1")</f>
        <v>https://www.amazon.com/Flonase-345199-Null/dp/B01NBHYT1N/ref=sr_1_1?keywords=Flonase%C2%AE+Sensimist+Allergy+Relief+Spray&amp;qid=1695260252&amp;sr=8-1</v>
      </c>
      <c r="F4930" t="s">
        <v>14188</v>
      </c>
      <c r="G4930" t="e">
        <f ca="1">IMAGE("https://shop.sonapharmacy.com/cdn/shop/products/FlonaseSensimistAllergyReliefSpray.jpg?v=1595345172")</f>
        <v>#NAME?</v>
      </c>
      <c r="H4930" t="e">
        <f ca="1">IMAGE("https://m.media-amazon.com/images/I/71BlNObEe1L._AC_UL320_.jpg")</f>
        <v>#NAME?</v>
      </c>
      <c r="I4930" t="s">
        <v>11894</v>
      </c>
      <c r="J4930">
        <v>16.920000000000002</v>
      </c>
      <c r="K4930" s="2" t="s">
        <v>14189</v>
      </c>
      <c r="L4930">
        <v>4.7</v>
      </c>
      <c r="M4930">
        <v>7002</v>
      </c>
      <c r="O4930" t="s">
        <v>26</v>
      </c>
      <c r="P4930" t="s">
        <v>39</v>
      </c>
      <c r="Q4930" t="s">
        <v>11896</v>
      </c>
    </row>
    <row r="4931" spans="1:17" ht="15.75" x14ac:dyDescent="0.25">
      <c r="A4931" s="3" t="str">
        <f>HYPERLINK("https://shop.sonapharmacy.com/products/flonase-allergy-relief-spray", "https://shop.sonapharmacy.com/products/flonase-allergy-relief-spray")</f>
        <v>https://shop.sonapharmacy.com/products/flonase-allergy-relief-spray</v>
      </c>
      <c r="B4931" s="3" t="str">
        <f>HYPERLINK("https://shop.sonapharmacy.com/products/flonase-allergy-relief-spray", "https://shop.sonapharmacy.com/products/flonase-allergy-relief-spray")</f>
        <v>https://shop.sonapharmacy.com/products/flonase-allergy-relief-spray</v>
      </c>
      <c r="C4931" t="s">
        <v>12108</v>
      </c>
      <c r="D4931" t="s">
        <v>14187</v>
      </c>
      <c r="E4931" s="3" t="str">
        <f>HYPERLINK("https://www.amazon.com/Flonase-345199-Null/dp/B01NBHYT1N/ref=sr_1_10?keywords=Flonase%C2%AE+Allergy+Relief+Spray&amp;qid=1695260276&amp;sr=8-10", "https://www.amazon.com/Flonase-345199-Null/dp/B01NBHYT1N/ref=sr_1_10?keywords=Flonase%C2%AE+Allergy+Relief+Spray&amp;qid=1695260276&amp;sr=8-10")</f>
        <v>https://www.amazon.com/Flonase-345199-Null/dp/B01NBHYT1N/ref=sr_1_10?keywords=Flonase%C2%AE+Allergy+Relief+Spray&amp;qid=1695260276&amp;sr=8-10</v>
      </c>
      <c r="F4931" t="s">
        <v>14188</v>
      </c>
      <c r="G4931" t="e">
        <f ca="1">IMAGE("https://shop.sonapharmacy.com/cdn/shop/products/81W9dcRd7bL._AC_SL1500.jpg?v=1611864793")</f>
        <v>#NAME?</v>
      </c>
      <c r="H4931" t="e">
        <f ca="1">IMAGE("https://m.media-amazon.com/images/I/71BlNObEe1L._AC_UL320_.jpg")</f>
        <v>#NAME?</v>
      </c>
      <c r="I4931" t="s">
        <v>11894</v>
      </c>
      <c r="J4931">
        <v>16.920000000000002</v>
      </c>
      <c r="K4931" s="2" t="s">
        <v>14189</v>
      </c>
      <c r="L4931">
        <v>4.7</v>
      </c>
      <c r="M4931">
        <v>7002</v>
      </c>
      <c r="O4931" t="s">
        <v>26</v>
      </c>
      <c r="P4931" t="s">
        <v>39</v>
      </c>
      <c r="Q4931" t="s">
        <v>12111</v>
      </c>
    </row>
    <row r="4932" spans="1:17" ht="15.75" x14ac:dyDescent="0.25">
      <c r="A4932" s="3" t="str">
        <f>HYPERLINK("https://shop.sonapharmacy.com/products/band-aid-skin-flex-bandage", "https://shop.sonapharmacy.com/products/band-aid-skin-flex-bandage")</f>
        <v>https://shop.sonapharmacy.com/products/band-aid-skin-flex-bandage</v>
      </c>
      <c r="B4932" s="3" t="str">
        <f>HYPERLINK("https://shop.sonapharmacy.com/products/band-aid-skin-flex-bandage", "https://shop.sonapharmacy.com/products/band-aid-skin-flex-bandage")</f>
        <v>https://shop.sonapharmacy.com/products/band-aid-skin-flex-bandage</v>
      </c>
      <c r="C4932" t="s">
        <v>8323</v>
      </c>
      <c r="D4932" t="s">
        <v>14190</v>
      </c>
      <c r="E4932" s="3" t="str">
        <f>HYPERLINK("https://www.amazon.com/BAND-AID%C2%AE-Brand-SKIN-FLEX%C2%AE-Bandages-ASSORTED/dp/B07F88H6W9/ref=sr_1_5?keywords=BAND-AID%C2%AE+Skin+Flex+Bandage&amp;qid=1695260066&amp;sr=8-5", "https://www.amazon.com/BAND-AID%C2%AE-Brand-SKIN-FLEX%C2%AE-Bandages-ASSORTED/dp/B07F88H6W9/ref=sr_1_5?keywords=BAND-AID%C2%AE+Skin+Flex+Bandage&amp;qid=1695260066&amp;sr=8-5")</f>
        <v>https://www.amazon.com/BAND-AID%C2%AE-Brand-SKIN-FLEX%C2%AE-Bandages-ASSORTED/dp/B07F88H6W9/ref=sr_1_5?keywords=BAND-AID%C2%AE+Skin+Flex+Bandage&amp;qid=1695260066&amp;sr=8-5</v>
      </c>
      <c r="F4932" t="s">
        <v>14191</v>
      </c>
      <c r="G4932" t="e">
        <f ca="1">IMAGE("https://shop.sonapharmacy.com/cdn/shop/products/bab_381371183470_band_aid_band-aid_skin-flex_aos_25ct_007.jpg?v=1627748646")</f>
        <v>#NAME?</v>
      </c>
      <c r="H4932" t="e">
        <f ca="1">IMAGE("https://m.media-amazon.com/images/I/6195Se8klwL._AC_UL320_.jpg")</f>
        <v>#NAME?</v>
      </c>
      <c r="I4932" t="s">
        <v>8326</v>
      </c>
      <c r="J4932">
        <v>5.49</v>
      </c>
      <c r="K4932" s="2" t="s">
        <v>14192</v>
      </c>
      <c r="L4932">
        <v>4.5</v>
      </c>
      <c r="M4932">
        <v>53</v>
      </c>
      <c r="O4932" t="s">
        <v>26</v>
      </c>
      <c r="P4932" t="s">
        <v>39</v>
      </c>
      <c r="Q4932" t="s">
        <v>8328</v>
      </c>
    </row>
    <row r="4933" spans="1:17" ht="15.75" x14ac:dyDescent="0.25">
      <c r="A4933" s="3" t="str">
        <f>HYPERLINK("https://shop.sonapharmacy.com/products/osteo-bi-flex-tumeric-joint-health-dietary-supplement-tablets", "https://shop.sonapharmacy.com/products/osteo-bi-flex-tumeric-joint-health-dietary-supplement-tablets")</f>
        <v>https://shop.sonapharmacy.com/products/osteo-bi-flex-tumeric-joint-health-dietary-supplement-tablets</v>
      </c>
      <c r="B4933" s="3" t="str">
        <f>HYPERLINK("https://shop.sonapharmacy.com/products/osteo-bi-flex-tumeric-joint-health-dietary-supplement-tablets", "https://shop.sonapharmacy.com/products/osteo-bi-flex-tumeric-joint-health-dietary-supplement-tablets")</f>
        <v>https://shop.sonapharmacy.com/products/osteo-bi-flex-tumeric-joint-health-dietary-supplement-tablets</v>
      </c>
      <c r="C4933" t="s">
        <v>13903</v>
      </c>
      <c r="D4933" t="s">
        <v>12750</v>
      </c>
      <c r="E4933" s="3" t="str">
        <f>HYPERLINK("https://www.amazon.com/Osteo-Bi-Flex%C2%AE-Triple-Strength-Tablets/dp/B00N8ALEEK/ref=sr_1_5?keywords=Osteo+Bi-Flex+Tumeric+Joint+Health+Dietary+Supplement+Tablets&amp;qid=1695260628&amp;sr=8-5", "https://www.amazon.com/Osteo-Bi-Flex%C2%AE-Triple-Strength-Tablets/dp/B00N8ALEEK/ref=sr_1_5?keywords=Osteo+Bi-Flex+Tumeric+Joint+Health+Dietary+Supplement+Tablets&amp;qid=1695260628&amp;sr=8-5")</f>
        <v>https://www.amazon.com/Osteo-Bi-Flex%C2%AE-Triple-Strength-Tablets/dp/B00N8ALEEK/ref=sr_1_5?keywords=Osteo+Bi-Flex+Tumeric+Joint+Health+Dietary+Supplement+Tablets&amp;qid=1695260628&amp;sr=8-5</v>
      </c>
      <c r="F4933" t="s">
        <v>12751</v>
      </c>
      <c r="G4933" t="e">
        <f ca="1">IMAGE("https://shop.sonapharmacy.com/cdn/shop/products/osteobiflextumericresized.jpg?v=1592492939")</f>
        <v>#NAME?</v>
      </c>
      <c r="H4933" t="e">
        <f ca="1">IMAGE("https://m.media-amazon.com/images/I/81PvEK-C6fL._AC_UL320_.jpg")</f>
        <v>#NAME?</v>
      </c>
      <c r="I4933" t="s">
        <v>13904</v>
      </c>
      <c r="J4933">
        <v>29.9</v>
      </c>
      <c r="K4933" s="2" t="s">
        <v>14193</v>
      </c>
      <c r="L4933">
        <v>4.5</v>
      </c>
      <c r="M4933">
        <v>1122</v>
      </c>
      <c r="O4933" t="s">
        <v>136</v>
      </c>
      <c r="P4933" t="s">
        <v>39</v>
      </c>
      <c r="Q4933" t="s">
        <v>13906</v>
      </c>
    </row>
    <row r="4934" spans="1:17" ht="15.75" x14ac:dyDescent="0.25">
      <c r="A4934" s="3" t="str">
        <f>HYPERLINK("https://shop.sonapharmacy.com/products/carex%E2%84%A2-aluminum-adult-crutches", "https://shop.sonapharmacy.com/products/carex%E2%84%A2-aluminum-adult-crutches")</f>
        <v>https://shop.sonapharmacy.com/products/carex%E2%84%A2-aluminum-adult-crutches</v>
      </c>
      <c r="B4934" s="3" t="str">
        <f>HYPERLINK("https://shop.sonapharmacy.com/products/carex%e2%84%a2-aluminum-adult-crutches", "https://shop.sonapharmacy.com/products/carex%e2%84%a2-aluminum-adult-crutches")</f>
        <v>https://shop.sonapharmacy.com/products/carex%e2%84%a2-aluminum-adult-crutches</v>
      </c>
      <c r="C4934" t="s">
        <v>11801</v>
      </c>
      <c r="D4934" t="s">
        <v>14194</v>
      </c>
      <c r="E4934" s="3" t="str">
        <f>HYPERLINK("https://www.amazon.com/Carex-Folding-Crutches-Aluminum-Lightweight/dp/B00F6656D4/ref=sr_1_5?keywords=Carex%E2%84%A2+Aluminum+Adult+Crutches&amp;qid=1695260112&amp;sr=8-5", "https://www.amazon.com/Carex-Folding-Crutches-Aluminum-Lightweight/dp/B00F6656D4/ref=sr_1_5?keywords=Carex%E2%84%A2+Aluminum+Adult+Crutches&amp;qid=1695260112&amp;sr=8-5")</f>
        <v>https://www.amazon.com/Carex-Folding-Crutches-Aluminum-Lightweight/dp/B00F6656D4/ref=sr_1_5?keywords=Carex%E2%84%A2+Aluminum+Adult+Crutches&amp;qid=1695260112&amp;sr=8-5</v>
      </c>
      <c r="F4934" t="s">
        <v>14195</v>
      </c>
      <c r="G4934" t="e">
        <f ca="1">IMAGE("https://shop.sonapharmacy.com/cdn/shop/products/CarexAluminumCrutchesYouth_AdultandTall_1_720x_17f8688a-06ff-4271-84a2-9e898ae6a65a.png?v=1609953352")</f>
        <v>#NAME?</v>
      </c>
      <c r="H4934" t="e">
        <f ca="1">IMAGE("https://m.media-amazon.com/images/I/71DCqvcBI8L._AC_UL320_.jpg")</f>
        <v>#NAME?</v>
      </c>
      <c r="I4934" t="s">
        <v>11804</v>
      </c>
      <c r="J4934">
        <v>38.75</v>
      </c>
      <c r="K4934" s="2" t="s">
        <v>14196</v>
      </c>
      <c r="L4934">
        <v>4.4000000000000004</v>
      </c>
      <c r="M4934">
        <v>3415</v>
      </c>
      <c r="O4934" t="s">
        <v>26</v>
      </c>
      <c r="P4934" t="s">
        <v>39</v>
      </c>
      <c r="Q4934" t="s">
        <v>11805</v>
      </c>
    </row>
    <row r="4935" spans="1:17" ht="15.75" x14ac:dyDescent="0.25">
      <c r="A4935" s="3" t="str">
        <f>HYPERLINK("https://shop.sonapharmacy.com/products/nature-made-100-mg-coq10-softgels", "https://shop.sonapharmacy.com/products/nature-made-100-mg-coq10-softgels")</f>
        <v>https://shop.sonapharmacy.com/products/nature-made-100-mg-coq10-softgels</v>
      </c>
      <c r="B4935" s="3" t="str">
        <f>HYPERLINK("https://shop.sonapharmacy.com/products/nature-made-100-mg-coq10-softgels", "https://shop.sonapharmacy.com/products/nature-made-100-mg-coq10-softgels")</f>
        <v>https://shop.sonapharmacy.com/products/nature-made-100-mg-coq10-softgels</v>
      </c>
      <c r="C4935" t="s">
        <v>14197</v>
      </c>
      <c r="D4935" t="s">
        <v>14198</v>
      </c>
      <c r="E4935" s="3" t="str">
        <f>HYPERLINK("https://www.amazon.com/Natures-Bounty-Supplement-Supports-Cardiovascular/dp/B0040T9XOG/ref=sr_1_8?keywords=Nature+Made%C2%AE+CoQ10+100mg+Softgels&amp;qid=1695260528&amp;sr=8-8", "https://www.amazon.com/Natures-Bounty-Supplement-Supports-Cardiovascular/dp/B0040T9XOG/ref=sr_1_8?keywords=Nature+Made%C2%AE+CoQ10+100mg+Softgels&amp;qid=1695260528&amp;sr=8-8")</f>
        <v>https://www.amazon.com/Natures-Bounty-Supplement-Supports-Cardiovascular/dp/B0040T9XOG/ref=sr_1_8?keywords=Nature+Made%C2%AE+CoQ10+100mg+Softgels&amp;qid=1695260528&amp;sr=8-8</v>
      </c>
      <c r="F4935" t="s">
        <v>14199</v>
      </c>
      <c r="G4935" t="e">
        <f ca="1">IMAGE("https://shop.sonapharmacy.com/cdn/shop/products/40.jpg?v=1610044938")</f>
        <v>#NAME?</v>
      </c>
      <c r="H4935" t="e">
        <f ca="1">IMAGE("https://m.media-amazon.com/images/I/81l8bmm-cFL._AC_UL320_.jpg")</f>
        <v>#NAME?</v>
      </c>
      <c r="I4935" t="s">
        <v>14200</v>
      </c>
      <c r="J4935">
        <v>24.29</v>
      </c>
      <c r="K4935" s="2" t="s">
        <v>14201</v>
      </c>
      <c r="L4935">
        <v>4.7</v>
      </c>
      <c r="M4935">
        <v>2367</v>
      </c>
      <c r="O4935" t="s">
        <v>26</v>
      </c>
      <c r="P4935" t="s">
        <v>39</v>
      </c>
      <c r="Q4935" t="s">
        <v>14202</v>
      </c>
    </row>
    <row r="4936" spans="1:17" ht="15.75" x14ac:dyDescent="0.25">
      <c r="A4936"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B4936" s="3" t="str">
        <f>HYPERLINK("https://shop.sonapharmacy.com/products/goodsense%c2%ae-omeprazole-delayed-release-acid-reducer-tablets", "https://shop.sonapharmacy.com/products/goodsense%c2%ae-omeprazole-delayed-release-acid-reducer-tablets")</f>
        <v>https://shop.sonapharmacy.com/products/goodsense%c2%ae-omeprazole-delayed-release-acid-reducer-tablets</v>
      </c>
      <c r="C4936" t="s">
        <v>11756</v>
      </c>
      <c r="D4936" t="s">
        <v>14203</v>
      </c>
      <c r="E4936" s="3" t="str">
        <f>HYPERLINK("https://www.amazon.com/Basic-Care-Omeprazole-Delayed-Release/dp/B074F2TF71/ref=sr_1_10?keywords=GoodSense%C2%AE+Omeprazole+Delayed+Release+Acid+Reducer+Tablets&amp;qid=1695260366&amp;sr=8-10", "https://www.amazon.com/Basic-Care-Omeprazole-Delayed-Release/dp/B074F2TF71/ref=sr_1_10?keywords=GoodSense%C2%AE+Omeprazole+Delayed+Release+Acid+Reducer+Tablets&amp;qid=1695260366&amp;sr=8-10")</f>
        <v>https://www.amazon.com/Basic-Care-Omeprazole-Delayed-Release/dp/B074F2TF71/ref=sr_1_10?keywords=GoodSense%C2%AE+Omeprazole+Delayed+Release+Acid+Reducer+Tablets&amp;qid=1695260366&amp;sr=8-10</v>
      </c>
      <c r="F4936" t="s">
        <v>14204</v>
      </c>
      <c r="G4936" t="e">
        <f ca="1">IMAGE("https://shop.sonapharmacy.com/cdn/shop/products/61mXugZtvTL._AC_SL1000_1a51445e-2089-4814-b7ea-c9463c6da8ef.jpg?v=1611027744")</f>
        <v>#NAME?</v>
      </c>
      <c r="H4936" t="e">
        <f ca="1">IMAGE("https://m.media-amazon.com/images/I/61eofjyeO2L._AC_UL320_.jpg")</f>
        <v>#NAME?</v>
      </c>
      <c r="I4936" t="s">
        <v>10716</v>
      </c>
      <c r="J4936">
        <v>14.39</v>
      </c>
      <c r="K4936" s="2" t="s">
        <v>14205</v>
      </c>
      <c r="L4936">
        <v>4.8</v>
      </c>
      <c r="M4936">
        <v>9094</v>
      </c>
      <c r="O4936" t="s">
        <v>26</v>
      </c>
      <c r="P4936" t="s">
        <v>39</v>
      </c>
      <c r="Q4936" t="s">
        <v>11760</v>
      </c>
    </row>
    <row r="4937" spans="1:17" ht="15.75" x14ac:dyDescent="0.25">
      <c r="A4937" s="3" t="str">
        <f>HYPERLINK("https://shop.sonapharmacy.com/products/gaia-black-seed-oil", "https://shop.sonapharmacy.com/products/gaia-black-seed-oil")</f>
        <v>https://shop.sonapharmacy.com/products/gaia-black-seed-oil</v>
      </c>
      <c r="B4937" s="3" t="str">
        <f>HYPERLINK("https://shop.sonapharmacy.com/products/gaia-black-seed-oil", "https://shop.sonapharmacy.com/products/gaia-black-seed-oil")</f>
        <v>https://shop.sonapharmacy.com/products/gaia-black-seed-oil</v>
      </c>
      <c r="C4937" t="s">
        <v>12207</v>
      </c>
      <c r="D4937" t="s">
        <v>14206</v>
      </c>
      <c r="E4937" s="3" t="str">
        <f>HYPERLINK("https://www.amazon.com/Amazing-Herbs-Premium-Black-Soft-Gels/dp/B017KQZC6I/ref=sr_1_2?keywords=Gaia%C2%AE+Herbs+Black+Seed+Oil+Capsules+60ct.&amp;qid=1695260261&amp;sr=8-2", "https://www.amazon.com/Amazing-Herbs-Premium-Black-Soft-Gels/dp/B017KQZC6I/ref=sr_1_2?keywords=Gaia%C2%AE+Herbs+Black+Seed+Oil+Capsules+60ct.&amp;qid=1695260261&amp;sr=8-2")</f>
        <v>https://www.amazon.com/Amazing-Herbs-Premium-Black-Soft-Gels/dp/B017KQZC6I/ref=sr_1_2?keywords=Gaia%C2%AE+Herbs+Black+Seed+Oil+Capsules+60ct.&amp;qid=1695260261&amp;sr=8-2</v>
      </c>
      <c r="F4937" t="s">
        <v>14207</v>
      </c>
      <c r="G4937" t="e">
        <f ca="1">IMAGE("https://shop.sonapharmacy.com/cdn/shop/products/Gaia-Herbs-BlackSeedOilFront.png?v=1606235568")</f>
        <v>#NAME?</v>
      </c>
      <c r="H4937" t="e">
        <f ca="1">IMAGE("https://m.media-amazon.com/images/I/71jHKOf8oOL._AC_UL320_.jpg")</f>
        <v>#NAME?</v>
      </c>
      <c r="I4937" t="s">
        <v>3404</v>
      </c>
      <c r="J4937">
        <v>25.95</v>
      </c>
      <c r="K4937" s="2" t="s">
        <v>14205</v>
      </c>
      <c r="L4937">
        <v>4.5999999999999996</v>
      </c>
      <c r="M4937">
        <v>19823</v>
      </c>
      <c r="O4937" t="s">
        <v>26</v>
      </c>
      <c r="P4937" t="s">
        <v>39</v>
      </c>
      <c r="Q4937" t="s">
        <v>12211</v>
      </c>
    </row>
    <row r="4938" spans="1:17" ht="15.75" x14ac:dyDescent="0.25">
      <c r="A4938" s="3" t="str">
        <f>HYPERLINK("https://shop.sonapharmacy.com/products/21st-century-acidophilus-probiotic-blend", "https://shop.sonapharmacy.com/products/21st-century-acidophilus-probiotic-blend")</f>
        <v>https://shop.sonapharmacy.com/products/21st-century-acidophilus-probiotic-blend</v>
      </c>
      <c r="B4938" s="3" t="str">
        <f>HYPERLINK("https://shop.sonapharmacy.com/products/21st-century-acidophilus-probiotic-blend", "https://shop.sonapharmacy.com/products/21st-century-acidophilus-probiotic-blend")</f>
        <v>https://shop.sonapharmacy.com/products/21st-century-acidophilus-probiotic-blend</v>
      </c>
      <c r="C4938" t="s">
        <v>10846</v>
      </c>
      <c r="D4938" t="s">
        <v>14208</v>
      </c>
      <c r="E4938" s="3" t="str">
        <f>HYPERLINK("https://www.amazon.com/21st-Century-Acidophilus-Probiotic-Capsules/dp/B0016OHSJ0/ref=sr_1_1?keywords=21st+Century+Acidophilus+Probiotic+Blend+150ct&amp;qid=1695260009&amp;sr=8-1", "https://www.amazon.com/21st-Century-Acidophilus-Probiotic-Capsules/dp/B0016OHSJ0/ref=sr_1_1?keywords=21st+Century+Acidophilus+Probiotic+Blend+150ct&amp;qid=1695260009&amp;sr=8-1")</f>
        <v>https://www.amazon.com/21st-Century-Acidophilus-Probiotic-Capsules/dp/B0016OHSJ0/ref=sr_1_1?keywords=21st+Century+Acidophilus+Probiotic+Blend+150ct&amp;qid=1695260009&amp;sr=8-1</v>
      </c>
      <c r="F4938" t="s">
        <v>14209</v>
      </c>
      <c r="G4938" t="e">
        <f ca="1">IMAGE("https://shop.sonapharmacy.com/cdn/shop/products/71xPW58Oz3L._AC_SL1500.jpg?v=1611182548")</f>
        <v>#NAME?</v>
      </c>
      <c r="H4938" t="e">
        <f ca="1">IMAGE("https://m.media-amazon.com/images/I/61Y+GOwMwsL._AC_UL320_.jpg")</f>
        <v>#NAME?</v>
      </c>
      <c r="I4938" t="s">
        <v>8792</v>
      </c>
      <c r="J4938">
        <v>8.91</v>
      </c>
      <c r="K4938" s="2" t="s">
        <v>14210</v>
      </c>
      <c r="L4938">
        <v>4.5999999999999996</v>
      </c>
      <c r="M4938">
        <v>2035</v>
      </c>
      <c r="O4938" t="s">
        <v>26</v>
      </c>
      <c r="P4938" t="s">
        <v>39</v>
      </c>
      <c r="Q4938" t="s">
        <v>10850</v>
      </c>
    </row>
    <row r="4939" spans="1:17" ht="15.75" x14ac:dyDescent="0.25">
      <c r="A4939" s="3" t="str">
        <f>HYPERLINK("https://shop.sonapharmacy.com/products/gaia%C2%AE-herbs-professional-solutions-ashwagandha-liquid-phyto-caps-60ct", "https://shop.sonapharmacy.com/products/gaia%C2%AE-herbs-professional-solutions-ashwagandha-liquid-phyto-caps-60ct")</f>
        <v>https://shop.sonapharmacy.com/products/gaia%C2%AE-herbs-professional-solutions-ashwagandha-liquid-phyto-caps-60ct</v>
      </c>
      <c r="B4939" s="3" t="str">
        <f>HYPERLINK("https://shop.sonapharmacy.com/products/gaia%c2%ae-herbs-professional-solutions-ashwagandha-liquid-phyto-caps-60ct", "https://shop.sonapharmacy.com/products/gaia%c2%ae-herbs-professional-solutions-ashwagandha-liquid-phyto-caps-60ct")</f>
        <v>https://shop.sonapharmacy.com/products/gaia%c2%ae-herbs-professional-solutions-ashwagandha-liquid-phyto-caps-60ct</v>
      </c>
      <c r="C4939" t="s">
        <v>12382</v>
      </c>
      <c r="D4939" t="s">
        <v>14211</v>
      </c>
      <c r="E4939" s="3" t="str">
        <f>HYPERLINK("https://www.amazon.com/Gaia-Herbs-Ashwagandha-Liquid-Capsules/dp/B003HD9H0G/ref=sr_1_1?keywords=Gaia%C2%AE+Herbs+Ashwagandha+Liquid+Phyto-Caps+60ct.&amp;qid=1695260287&amp;sr=8-1", "https://www.amazon.com/Gaia-Herbs-Ashwagandha-Liquid-Capsules/dp/B003HD9H0G/ref=sr_1_1?keywords=Gaia%C2%AE+Herbs+Ashwagandha+Liquid+Phyto-Caps+60ct.&amp;qid=1695260287&amp;sr=8-1")</f>
        <v>https://www.amazon.com/Gaia-Herbs-Ashwagandha-Liquid-Capsules/dp/B003HD9H0G/ref=sr_1_1?keywords=Gaia%C2%AE+Herbs+Ashwagandha+Liquid+Phyto-Caps+60ct.&amp;qid=1695260287&amp;sr=8-1</v>
      </c>
      <c r="F4939" t="s">
        <v>14212</v>
      </c>
      <c r="G4939" t="e">
        <f ca="1">IMAGE("https://shop.sonapharmacy.com/cdn/shop/products/Gaia_Herbs_Professional_Solutions_Ashwagandha_Full_2000x_b2250b75-b98f-4e07-beec-e55b42c97520.jpg?v=1610558704")</f>
        <v>#NAME?</v>
      </c>
      <c r="H4939" t="e">
        <f ca="1">IMAGE("https://m.media-amazon.com/images/I/814OQaozHuL._AC_UL320_.jpg")</f>
        <v>#NAME?</v>
      </c>
      <c r="I4939" t="s">
        <v>3367</v>
      </c>
      <c r="J4939">
        <v>21.54</v>
      </c>
      <c r="K4939" s="2" t="s">
        <v>14213</v>
      </c>
      <c r="L4939">
        <v>4.5</v>
      </c>
      <c r="M4939">
        <v>999</v>
      </c>
      <c r="O4939" t="s">
        <v>26</v>
      </c>
      <c r="P4939" t="s">
        <v>39</v>
      </c>
      <c r="Q4939" t="s">
        <v>12385</v>
      </c>
    </row>
    <row r="4940" spans="1:17" ht="15.75" x14ac:dyDescent="0.25">
      <c r="A4940" s="3" t="str">
        <f>HYPERLINK("https://shop.sonapharmacy.com/products/childrens-motrin-oral-suspension-ibuprofen", "https://shop.sonapharmacy.com/products/childrens-motrin-oral-suspension-ibuprofen")</f>
        <v>https://shop.sonapharmacy.com/products/childrens-motrin-oral-suspension-ibuprofen</v>
      </c>
      <c r="B4940" s="3" t="str">
        <f>HYPERLINK("https://shop.sonapharmacy.com/products/childrens-motrin-oral-suspension-ibuprofen", "https://shop.sonapharmacy.com/products/childrens-motrin-oral-suspension-ibuprofen")</f>
        <v>https://shop.sonapharmacy.com/products/childrens-motrin-oral-suspension-ibuprofen</v>
      </c>
      <c r="C4940" t="s">
        <v>13336</v>
      </c>
      <c r="D4940" t="s">
        <v>14214</v>
      </c>
      <c r="E4940" s="3" t="str">
        <f>HYPERLINK("https://www.amazon.com/Basic-Care-Childrens-Ibuprofen-Suspension/dp/B074F2X581/ref=sr_1_5?keywords=Children%27s+Motrin%C2%AE+Oral+Suspension+Ibuprofen&amp;qid=1695260126&amp;sr=8-5", "https://www.amazon.com/Basic-Care-Childrens-Ibuprofen-Suspension/dp/B074F2X581/ref=sr_1_5?keywords=Children%27s+Motrin%C2%AE+Oral+Suspension+Ibuprofen&amp;qid=1695260126&amp;sr=8-5")</f>
        <v>https://www.amazon.com/Basic-Care-Childrens-Ibuprofen-Suspension/dp/B074F2X581/ref=sr_1_5?keywords=Children%27s+Motrin%C2%AE+Oral+Suspension+Ibuprofen&amp;qid=1695260126&amp;sr=8-5</v>
      </c>
      <c r="F4940" t="s">
        <v>14215</v>
      </c>
      <c r="G4940" t="e">
        <f ca="1">IMAGE("https://shop.sonapharmacy.com/cdn/shop/products/Untitled-61.jpg?v=1592853363")</f>
        <v>#NAME?</v>
      </c>
      <c r="H4940" t="e">
        <f ca="1">IMAGE("https://m.media-amazon.com/images/I/61bTWmwFbeL._AC_UL320_.jpg")</f>
        <v>#NAME?</v>
      </c>
      <c r="I4940" t="s">
        <v>13339</v>
      </c>
      <c r="J4940">
        <v>8</v>
      </c>
      <c r="K4940" s="2" t="s">
        <v>14216</v>
      </c>
      <c r="L4940">
        <v>4.8</v>
      </c>
      <c r="M4940">
        <v>5771</v>
      </c>
      <c r="O4940" t="s">
        <v>26</v>
      </c>
      <c r="P4940" t="s">
        <v>39</v>
      </c>
      <c r="Q4940" t="s">
        <v>13340</v>
      </c>
    </row>
    <row r="4941" spans="1:17" ht="15.75" x14ac:dyDescent="0.25">
      <c r="A4941" s="3" t="str">
        <f>HYPERLINK("https://shop.sonapharmacy.com/products/bayer-chewable-81-mg-low-dose-aspirin", "https://shop.sonapharmacy.com/products/bayer-chewable-81-mg-low-dose-aspirin")</f>
        <v>https://shop.sonapharmacy.com/products/bayer-chewable-81-mg-low-dose-aspirin</v>
      </c>
      <c r="B4941" s="3" t="str">
        <f>HYPERLINK("https://shop.sonapharmacy.com/products/bayer-chewable-81-mg-low-dose-aspirin", "https://shop.sonapharmacy.com/products/bayer-chewable-81-mg-low-dose-aspirin")</f>
        <v>https://shop.sonapharmacy.com/products/bayer-chewable-81-mg-low-dose-aspirin</v>
      </c>
      <c r="C4941" t="s">
        <v>8629</v>
      </c>
      <c r="D4941" t="s">
        <v>14217</v>
      </c>
      <c r="E4941" s="3" t="str">
        <f>HYPERLINK("https://www.amazon.com/Basic-Care-Aspirin-Chewable-Tablets/dp/B07VQTYRTX/ref=sr_1_7?keywords=Bayer%C2%AE+Chewable+81+mg+Low+Dose+Aspirin&amp;qid=1695260078&amp;sr=8-7", "https://www.amazon.com/Basic-Care-Aspirin-Chewable-Tablets/dp/B07VQTYRTX/ref=sr_1_7?keywords=Bayer%C2%AE+Chewable+81+mg+Low+Dose+Aspirin&amp;qid=1695260078&amp;sr=8-7")</f>
        <v>https://www.amazon.com/Basic-Care-Aspirin-Chewable-Tablets/dp/B07VQTYRTX/ref=sr_1_7?keywords=Bayer%C2%AE+Chewable+81+mg+Low+Dose+Aspirin&amp;qid=1695260078&amp;sr=8-7</v>
      </c>
      <c r="F4941" t="s">
        <v>14218</v>
      </c>
      <c r="G4941" t="e">
        <f ca="1">IMAGE("https://shop.sonapharmacy.com/cdn/shop/products/Untitled-22.jpg?v=1592598310")</f>
        <v>#NAME?</v>
      </c>
      <c r="H4941" t="e">
        <f ca="1">IMAGE("https://m.media-amazon.com/images/I/719ORSX3ZsL._AC_UL320_.jpg")</f>
        <v>#NAME?</v>
      </c>
      <c r="I4941" t="s">
        <v>8632</v>
      </c>
      <c r="J4941">
        <v>3.26</v>
      </c>
      <c r="K4941" s="2" t="s">
        <v>2563</v>
      </c>
      <c r="L4941">
        <v>4.7</v>
      </c>
      <c r="M4941">
        <v>25024</v>
      </c>
      <c r="O4941" t="s">
        <v>26</v>
      </c>
      <c r="P4941" t="s">
        <v>39</v>
      </c>
      <c r="Q4941" t="s">
        <v>8634</v>
      </c>
    </row>
    <row r="4942" spans="1:17" ht="15.75" x14ac:dyDescent="0.25">
      <c r="A4942" s="3" t="str">
        <f>HYPERLINK("https://shop.sonapharmacy.com/products/duracell%C2%AE-675-hearing-aid-batteries-with-easy-fit-tab-6ct", "https://shop.sonapharmacy.com/products/duracell%C2%AE-675-hearing-aid-batteries-with-easy-fit-tab-6ct")</f>
        <v>https://shop.sonapharmacy.com/products/duracell%C2%AE-675-hearing-aid-batteries-with-easy-fit-tab-6ct</v>
      </c>
      <c r="B4942" s="3" t="str">
        <f>HYPERLINK("https://shop.sonapharmacy.com/products/duracell%c2%ae-675-hearing-aid-batteries-with-easy-fit-tab-6ct", "https://shop.sonapharmacy.com/products/duracell%c2%ae-675-hearing-aid-batteries-with-easy-fit-tab-6ct")</f>
        <v>https://shop.sonapharmacy.com/products/duracell%c2%ae-675-hearing-aid-batteries-with-easy-fit-tab-6ct</v>
      </c>
      <c r="C4942" t="s">
        <v>14219</v>
      </c>
      <c r="D4942" t="s">
        <v>14220</v>
      </c>
      <c r="E4942" s="3" t="str">
        <f>HYPERLINK("https://www.amazon.com/Duracell-Hearing-Aid-Batteries-Size/dp/B005MI8UOS/ref=sr_1_4?keywords=Duracell%C2%AE+675+Hearing+Aid+Batteries+with+Easy-Fit+Tab+6ct.&amp;qid=1695260224&amp;sr=8-4", "https://www.amazon.com/Duracell-Hearing-Aid-Batteries-Size/dp/B005MI8UOS/ref=sr_1_4?keywords=Duracell%C2%AE+675+Hearing+Aid+Batteries+with+Easy-Fit+Tab+6ct.&amp;qid=1695260224&amp;sr=8-4")</f>
        <v>https://www.amazon.com/Duracell-Hearing-Aid-Batteries-Size/dp/B005MI8UOS/ref=sr_1_4?keywords=Duracell%C2%AE+675+Hearing+Aid+Batteries+with+Easy-Fit+Tab+6ct.&amp;qid=1695260224&amp;sr=8-4</v>
      </c>
      <c r="F4942" t="s">
        <v>14221</v>
      </c>
      <c r="G4942" t="e">
        <f ca="1">IMAGE("https://shop.sonapharmacy.com/cdn/shop/products/71ma017qH4L._AC_SL1500.jpg?v=1610333960")</f>
        <v>#NAME?</v>
      </c>
      <c r="H4942" t="e">
        <f ca="1">IMAGE("https://m.media-amazon.com/images/I/71MkEb0nnhL._AC_UL320_.jpg")</f>
        <v>#NAME?</v>
      </c>
      <c r="I4942" t="s">
        <v>11318</v>
      </c>
      <c r="J4942">
        <v>10.25</v>
      </c>
      <c r="K4942" s="2" t="s">
        <v>14222</v>
      </c>
      <c r="L4942">
        <v>4.5999999999999996</v>
      </c>
      <c r="M4942">
        <v>626</v>
      </c>
      <c r="O4942" t="s">
        <v>26</v>
      </c>
      <c r="P4942" t="s">
        <v>39</v>
      </c>
      <c r="Q4942" t="s">
        <v>14223</v>
      </c>
    </row>
    <row r="4943" spans="1:17" ht="15.75" x14ac:dyDescent="0.25">
      <c r="A4943" s="3" t="str">
        <f>HYPERLINK("https://shop.sonapharmacy.com/products/nexcare-flexible-clear-tape-with-dispenser", "https://shop.sonapharmacy.com/products/nexcare-flexible-clear-tape-with-dispenser")</f>
        <v>https://shop.sonapharmacy.com/products/nexcare-flexible-clear-tape-with-dispenser</v>
      </c>
      <c r="B4943" s="3" t="str">
        <f>HYPERLINK("https://shop.sonapharmacy.com/products/nexcare-flexible-clear-tape-with-dispenser", "https://shop.sonapharmacy.com/products/nexcare-flexible-clear-tape-with-dispenser")</f>
        <v>https://shop.sonapharmacy.com/products/nexcare-flexible-clear-tape-with-dispenser</v>
      </c>
      <c r="C4943" t="s">
        <v>8757</v>
      </c>
      <c r="D4943" t="s">
        <v>14224</v>
      </c>
      <c r="E4943" s="3" t="str">
        <f>HYPERLINK("https://www.amazon.com/Nexcare-Flexible-Clear-1-Inch-10-Yards/dp/B001G7R9YQ/ref=sr_1_2?keywords=Nexcare+Flexible+Clear+Tape&amp;qid=1695260581&amp;sr=8-2", "https://www.amazon.com/Nexcare-Flexible-Clear-1-Inch-10-Yards/dp/B001G7R9YQ/ref=sr_1_2?keywords=Nexcare+Flexible+Clear+Tape&amp;qid=1695260581&amp;sr=8-2")</f>
        <v>https://www.amazon.com/Nexcare-Flexible-Clear-1-Inch-10-Yards/dp/B001G7R9YQ/ref=sr_1_2?keywords=Nexcare+Flexible+Clear+Tape&amp;qid=1695260581&amp;sr=8-2</v>
      </c>
      <c r="F4943" t="s">
        <v>14225</v>
      </c>
      <c r="G4943" t="e">
        <f ca="1">IMAGE("https://shop.sonapharmacy.com/cdn/shop/products/3M-Nexcare-Flexible-Clear-First-Aid-Tape-779.jpg?v=1607704429")</f>
        <v>#NAME?</v>
      </c>
      <c r="H4943" t="e">
        <f ca="1">IMAGE("https://m.media-amazon.com/images/I/41IW0emML4L._AC_UL320_.jpg")</f>
        <v>#NAME?</v>
      </c>
      <c r="I4943" t="s">
        <v>8760</v>
      </c>
      <c r="J4943">
        <v>4.99</v>
      </c>
      <c r="K4943" s="2" t="s">
        <v>14226</v>
      </c>
      <c r="L4943">
        <v>4.5999999999999996</v>
      </c>
      <c r="M4943">
        <v>5618</v>
      </c>
      <c r="O4943" t="s">
        <v>26</v>
      </c>
      <c r="P4943" t="s">
        <v>39</v>
      </c>
      <c r="Q4943" t="s">
        <v>8762</v>
      </c>
    </row>
    <row r="4944" spans="1:17" ht="15.75" x14ac:dyDescent="0.25">
      <c r="A4944" s="3" t="str">
        <f>HYPERLINK("https://shop.sonapharmacy.com/products/good-sense-non-drowsy-day-time-cold-flu-softgels", "https://shop.sonapharmacy.com/products/good-sense-non-drowsy-day-time-cold-flu-softgels")</f>
        <v>https://shop.sonapharmacy.com/products/good-sense-non-drowsy-day-time-cold-flu-softgels</v>
      </c>
      <c r="B4944" s="3" t="str">
        <f>HYPERLINK("https://shop.sonapharmacy.com/products/good-sense-non-drowsy-day-time-cold-flu-softgels", "https://shop.sonapharmacy.com/products/good-sense-non-drowsy-day-time-cold-flu-softgels")</f>
        <v>https://shop.sonapharmacy.com/products/good-sense-non-drowsy-day-time-cold-flu-softgels</v>
      </c>
      <c r="C4944" t="s">
        <v>12355</v>
      </c>
      <c r="D4944" t="s">
        <v>14227</v>
      </c>
      <c r="E4944" s="3" t="str">
        <f>HYPERLINK("https://www.amazon.com/HealthA2Z%C2%AE-Nighttime-Medicine-Powerful-Multi-Symptom/dp/B01MXS5I2P/ref=sr_1_9?keywords=GoodSense%C2%AE+Non-Drowsy+Day+Time+Cold+%26+Flu+Softgels+2&amp;qid=1695260414&amp;sr=8-9", "https://www.amazon.com/HealthA2Z%C2%AE-Nighttime-Medicine-Powerful-Multi-Symptom/dp/B01MXS5I2P/ref=sr_1_9?keywords=GoodSense%C2%AE+Non-Drowsy+Day+Time+Cold+%26+Flu+Softgels+2&amp;qid=1695260414&amp;sr=8-9")</f>
        <v>https://www.amazon.com/HealthA2Z%C2%AE-Nighttime-Medicine-Powerful-Multi-Symptom/dp/B01MXS5I2P/ref=sr_1_9?keywords=GoodSense%C2%AE+Non-Drowsy+Day+Time+Cold+%26+Flu+Softgels+2&amp;qid=1695260414&amp;sr=8-9</v>
      </c>
      <c r="F4944" t="s">
        <v>14228</v>
      </c>
      <c r="G4944" t="e">
        <f ca="1">IMAGE("https://shop.sonapharmacy.com/cdn/shop/products/61O4igp2AJL._AC_SL1000.jpg?v=1610132043")</f>
        <v>#NAME?</v>
      </c>
      <c r="H4944" t="e">
        <f ca="1">IMAGE("https://m.media-amazon.com/images/I/61PwbNvMWxL._AC_UL320_.jpg")</f>
        <v>#NAME?</v>
      </c>
      <c r="I4944" t="s">
        <v>12358</v>
      </c>
      <c r="J4944">
        <v>6.49</v>
      </c>
      <c r="K4944" s="2" t="s">
        <v>14229</v>
      </c>
      <c r="L4944">
        <v>4.7</v>
      </c>
      <c r="M4944">
        <v>263</v>
      </c>
      <c r="O4944" t="s">
        <v>26</v>
      </c>
      <c r="P4944" t="s">
        <v>39</v>
      </c>
      <c r="Q4944" t="s">
        <v>12360</v>
      </c>
    </row>
    <row r="4945" spans="1:17" ht="15.75" x14ac:dyDescent="0.25">
      <c r="A4945" s="3" t="str">
        <f>HYPERLINK("https://shop.sonapharmacy.com/products/breathe-right-original-nasal-strips", "https://shop.sonapharmacy.com/products/breathe-right-original-nasal-strips")</f>
        <v>https://shop.sonapharmacy.com/products/breathe-right-original-nasal-strips</v>
      </c>
      <c r="B4945" s="3" t="str">
        <f>HYPERLINK("https://shop.sonapharmacy.com/products/breathe-right-original-nasal-strips", "https://shop.sonapharmacy.com/products/breathe-right-original-nasal-strips")</f>
        <v>https://shop.sonapharmacy.com/products/breathe-right-original-nasal-strips</v>
      </c>
      <c r="C4945" t="s">
        <v>8894</v>
      </c>
      <c r="D4945" t="s">
        <v>14230</v>
      </c>
      <c r="E4945" s="3" t="str">
        <f>HYPERLINK("https://www.amazon.com/Breathe-Right-Drug-Free-Congestion-Allergies/dp/B01JH15SOU/ref=sr_1_3?keywords=Breathe+Right%C2%AE+Original+Nasal+Strips+Large%2FTan&amp;qid=1695260103&amp;rdc=1&amp;sr=8-3", "https://www.amazon.com/Breathe-Right-Drug-Free-Congestion-Allergies/dp/B01JH15SOU/ref=sr_1_3?keywords=Breathe+Right%C2%AE+Original+Nasal+Strips+Large%2FTan&amp;qid=1695260103&amp;rdc=1&amp;sr=8-3")</f>
        <v>https://www.amazon.com/Breathe-Right-Drug-Free-Congestion-Allergies/dp/B01JH15SOU/ref=sr_1_3?keywords=Breathe+Right%C2%AE+Original+Nasal+Strips+Large%2FTan&amp;qid=1695260103&amp;rdc=1&amp;sr=8-3</v>
      </c>
      <c r="F4945" t="s">
        <v>14231</v>
      </c>
      <c r="G4945" t="e">
        <f ca="1">IMAGE("https://shop.sonapharmacy.com/cdn/shop/files/Sona-Shop-banner2_0c7162f3-c367-451d-8193-c2967a0e8d8e.jpg?v=1614290083")</f>
        <v>#NAME?</v>
      </c>
      <c r="H4945" t="e">
        <f ca="1">IMAGE("https://m.media-amazon.com/images/I/71NxmQ7tRWL._AC_UL320_.jpg")</f>
        <v>#NAME?</v>
      </c>
      <c r="I4945" t="s">
        <v>5295</v>
      </c>
      <c r="J4945">
        <v>11.49</v>
      </c>
      <c r="K4945" s="2" t="s">
        <v>6413</v>
      </c>
      <c r="L4945">
        <v>4.5</v>
      </c>
      <c r="M4945">
        <v>76</v>
      </c>
      <c r="O4945" t="s">
        <v>26</v>
      </c>
      <c r="P4945" t="s">
        <v>39</v>
      </c>
      <c r="Q4945" t="s">
        <v>8898</v>
      </c>
    </row>
    <row r="4946" spans="1:17" ht="15.75" x14ac:dyDescent="0.25">
      <c r="A4946" s="3" t="str">
        <f>HYPERLINK("https://shop.sonapharmacy.com/products/sudafed-sinus-congestion-tablets-18-ct", "https://shop.sonapharmacy.com/products/sudafed-sinus-congestion-tablets-18-ct")</f>
        <v>https://shop.sonapharmacy.com/products/sudafed-sinus-congestion-tablets-18-ct</v>
      </c>
      <c r="B4946" s="3" t="str">
        <f>HYPERLINK("https://shop.sonapharmacy.com/products/sudafed-sinus-congestion-tablets-18-ct", "https://shop.sonapharmacy.com/products/sudafed-sinus-congestion-tablets-18-ct")</f>
        <v>https://shop.sonapharmacy.com/products/sudafed-sinus-congestion-tablets-18-ct</v>
      </c>
      <c r="C4946" t="s">
        <v>11453</v>
      </c>
      <c r="D4946" t="s">
        <v>14232</v>
      </c>
      <c r="E4946" s="3" t="str">
        <f>HYPERLINK("https://www.amazon.com/Sudafed-Pressure-Caplets-Congestion-Medicine/dp/B00M0N0ZCS/ref=sr_1_8?keywords=Sudafed+Sinus+Congestion+Tablets&amp;qid=1695260731&amp;sr=8-8", "https://www.amazon.com/Sudafed-Pressure-Caplets-Congestion-Medicine/dp/B00M0N0ZCS/ref=sr_1_8?keywords=Sudafed+Sinus+Congestion+Tablets&amp;qid=1695260731&amp;sr=8-8")</f>
        <v>https://www.amazon.com/Sudafed-Pressure-Caplets-Congestion-Medicine/dp/B00M0N0ZCS/ref=sr_1_8?keywords=Sudafed+Sinus+Congestion+Tablets&amp;qid=1695260731&amp;sr=8-8</v>
      </c>
      <c r="F4946" t="s">
        <v>14233</v>
      </c>
      <c r="G4946" t="e">
        <f ca="1">IMAGE("https://shop.sonapharmacy.com/cdn/shop/products/SudafedSinusCongestionTablets.jpg?v=1595444685")</f>
        <v>#NAME?</v>
      </c>
      <c r="H4946" t="e">
        <f ca="1">IMAGE("https://m.media-amazon.com/images/I/814SHJ7QgEL._AC_UL320_.jpg")</f>
        <v>#NAME?</v>
      </c>
      <c r="I4946" t="s">
        <v>11456</v>
      </c>
      <c r="J4946">
        <v>7.99</v>
      </c>
      <c r="K4946" s="2" t="s">
        <v>14234</v>
      </c>
      <c r="L4946">
        <v>4.5999999999999996</v>
      </c>
      <c r="M4946">
        <v>689</v>
      </c>
      <c r="O4946" t="s">
        <v>26</v>
      </c>
      <c r="P4946" t="s">
        <v>39</v>
      </c>
      <c r="Q4946" t="s">
        <v>11458</v>
      </c>
    </row>
    <row r="4947" spans="1:17" ht="15.75" x14ac:dyDescent="0.25">
      <c r="A4947" s="3" t="str">
        <f>HYPERLINK("https://shop.sonapharmacy.com/products/good-sense-pain-relief-caplets", "https://shop.sonapharmacy.com/products/good-sense-pain-relief-caplets")</f>
        <v>https://shop.sonapharmacy.com/products/good-sense-pain-relief-caplets</v>
      </c>
      <c r="B4947" s="3" t="str">
        <f>HYPERLINK("https://shop.sonapharmacy.com/products/good-sense-pain-relief-caplets", "https://shop.sonapharmacy.com/products/good-sense-pain-relief-caplets")</f>
        <v>https://shop.sonapharmacy.com/products/good-sense-pain-relief-caplets</v>
      </c>
      <c r="C4947" t="s">
        <v>10921</v>
      </c>
      <c r="D4947" t="s">
        <v>14235</v>
      </c>
      <c r="E4947" s="3" t="str">
        <f>HYPERLINK("https://www.amazon.com/GoodSense-Acetaminophen-Strength-Reliever-50-Count/dp/B00D2PAQEU/ref=sr_1_2?keywords=GoodSense%C2%AE+Pain+Relief+Caplets&amp;qid=1695260361&amp;sr=8-2", "https://www.amazon.com/GoodSense-Acetaminophen-Strength-Reliever-50-Count/dp/B00D2PAQEU/ref=sr_1_2?keywords=GoodSense%C2%AE+Pain+Relief+Caplets&amp;qid=1695260361&amp;sr=8-2")</f>
        <v>https://www.amazon.com/GoodSense-Acetaminophen-Strength-Reliever-50-Count/dp/B00D2PAQEU/ref=sr_1_2?keywords=GoodSense%C2%AE+Pain+Relief+Caplets&amp;qid=1695260361&amp;sr=8-2</v>
      </c>
      <c r="F4947" t="s">
        <v>14236</v>
      </c>
      <c r="G4947" t="e">
        <f ca="1">IMAGE("https://shop.sonapharmacy.com/cdn/shop/products/Untitled-11.jpg?v=1592592053")</f>
        <v>#NAME?</v>
      </c>
      <c r="H4947" t="e">
        <f ca="1">IMAGE("https://m.media-amazon.com/images/I/61MGQSCzu7L._AC_UL320_.jpg")</f>
        <v>#NAME?</v>
      </c>
      <c r="I4947" t="s">
        <v>9015</v>
      </c>
      <c r="J4947">
        <v>4.1399999999999997</v>
      </c>
      <c r="K4947" s="2" t="s">
        <v>14237</v>
      </c>
      <c r="L4947">
        <v>4.7</v>
      </c>
      <c r="M4947">
        <v>211</v>
      </c>
      <c r="O4947" t="s">
        <v>26</v>
      </c>
      <c r="P4947" t="s">
        <v>39</v>
      </c>
      <c r="Q4947" t="s">
        <v>10925</v>
      </c>
    </row>
    <row r="4948" spans="1:17" ht="15.75" x14ac:dyDescent="0.25">
      <c r="A4948" s="3" t="str">
        <f>HYPERLINK("https://shop.sonapharmacy.com/products/apex%C2%AE-deluxe-pill-splitter", "https://shop.sonapharmacy.com/products/apex%C2%AE-deluxe-pill-splitter")</f>
        <v>https://shop.sonapharmacy.com/products/apex%C2%AE-deluxe-pill-splitter</v>
      </c>
      <c r="B4948" s="3" t="str">
        <f>HYPERLINK("https://shop.sonapharmacy.com/products/apex%c2%ae-deluxe-pill-splitter", "https://shop.sonapharmacy.com/products/apex%c2%ae-deluxe-pill-splitter")</f>
        <v>https://shop.sonapharmacy.com/products/apex%c2%ae-deluxe-pill-splitter</v>
      </c>
      <c r="C4948" t="s">
        <v>12046</v>
      </c>
      <c r="D4948" t="s">
        <v>14238</v>
      </c>
      <c r="E4948" s="3" t="str">
        <f>HYPERLINK("https://www.amazon.com/Apex-Ultra-Pill-Cutter-Retracting/dp/B000EGKTGK/ref=sr_1_7?keywords=Apex+Deluxe+Pill+Splitter&amp;qid=1695260012&amp;sr=8-7", "https://www.amazon.com/Apex-Ultra-Pill-Cutter-Retracting/dp/B000EGKTGK/ref=sr_1_7?keywords=Apex+Deluxe+Pill+Splitter&amp;qid=1695260012&amp;sr=8-7")</f>
        <v>https://www.amazon.com/Apex-Ultra-Pill-Cutter-Retracting/dp/B000EGKTGK/ref=sr_1_7?keywords=Apex+Deluxe+Pill+Splitter&amp;qid=1695260012&amp;sr=8-7</v>
      </c>
      <c r="F4948" t="s">
        <v>14239</v>
      </c>
      <c r="G4948" t="e">
        <f ca="1">IMAGE("https://shop.sonapharmacy.com/cdn/shop/products/71YkvKgibmL._AC_SL1500.jpg?v=1609958940")</f>
        <v>#NAME?</v>
      </c>
      <c r="H4948" t="e">
        <f ca="1">IMAGE("https://m.media-amazon.com/images/I/71odCm+guoL._AC_UL320_.jpg")</f>
        <v>#NAME?</v>
      </c>
      <c r="I4948" t="s">
        <v>8963</v>
      </c>
      <c r="J4948">
        <v>5.07</v>
      </c>
      <c r="K4948" s="2" t="s">
        <v>14240</v>
      </c>
      <c r="L4948">
        <v>4.0999999999999996</v>
      </c>
      <c r="M4948">
        <v>34770</v>
      </c>
      <c r="O4948" t="s">
        <v>26</v>
      </c>
      <c r="P4948" t="s">
        <v>39</v>
      </c>
      <c r="Q4948" t="s">
        <v>12050</v>
      </c>
    </row>
    <row r="4949" spans="1:17" ht="15.75" x14ac:dyDescent="0.25">
      <c r="A4949" s="3" t="str">
        <f>HYPERLINK("https://shop.sonapharmacy.com/products/nova-folding-walker-with-5-inch-wheels", "https://shop.sonapharmacy.com/products/nova-folding-walker-with-5-inch-wheels")</f>
        <v>https://shop.sonapharmacy.com/products/nova-folding-walker-with-5-inch-wheels</v>
      </c>
      <c r="B4949" s="3" t="str">
        <f>HYPERLINK("https://shop.sonapharmacy.com/products/nova-folding-walker-with-5-inch-wheels", "https://shop.sonapharmacy.com/products/nova-folding-walker-with-5-inch-wheels")</f>
        <v>https://shop.sonapharmacy.com/products/nova-folding-walker-with-5-inch-wheels</v>
      </c>
      <c r="C4949" t="s">
        <v>9668</v>
      </c>
      <c r="D4949" t="s">
        <v>14241</v>
      </c>
      <c r="E4949" s="3" t="str">
        <f>HYPERLINK("https://www.amazon.com/Folding-Seniors-Trigger-Lightweight-Supports/dp/B08RRS34VP/ref=sr_1_6?keywords=Nova+Folding+Walker+with+5+Inch+Wheels&amp;qid=1695260588&amp;sr=8-6", "https://www.amazon.com/Folding-Seniors-Trigger-Lightweight-Supports/dp/B08RRS34VP/ref=sr_1_6?keywords=Nova+Folding+Walker+with+5+Inch+Wheels&amp;qid=1695260588&amp;sr=8-6")</f>
        <v>https://www.amazon.com/Folding-Seniors-Trigger-Lightweight-Supports/dp/B08RRS34VP/ref=sr_1_6?keywords=Nova+Folding+Walker+with+5+Inch+Wheels&amp;qid=1695260588&amp;sr=8-6</v>
      </c>
      <c r="F4949" t="s">
        <v>14242</v>
      </c>
      <c r="G4949" t="e">
        <f ca="1">IMAGE("https://shop.sonapharmacy.com/cdn/shop/products/Walker.jpg?v=1607191001")</f>
        <v>#NAME?</v>
      </c>
      <c r="H4949" t="e">
        <f ca="1">IMAGE("https://m.media-amazon.com/images/I/51-RzLhvQSL._AC_UL320_.jpg")</f>
        <v>#NAME?</v>
      </c>
      <c r="I4949" t="s">
        <v>9671</v>
      </c>
      <c r="J4949">
        <v>68.989999999999995</v>
      </c>
      <c r="K4949" s="2" t="s">
        <v>14243</v>
      </c>
      <c r="L4949">
        <v>4.2</v>
      </c>
      <c r="M4949">
        <v>489</v>
      </c>
      <c r="O4949" t="s">
        <v>26</v>
      </c>
      <c r="P4949" t="s">
        <v>39</v>
      </c>
      <c r="Q4949" t="s">
        <v>9673</v>
      </c>
    </row>
    <row r="4950" spans="1:17" ht="15.75" x14ac:dyDescent="0.25">
      <c r="A4950" s="3" t="str">
        <f>HYPERLINK("https://shop.sonapharmacy.com/products/sona-methyl-b-complex", "https://shop.sonapharmacy.com/products/sona-methyl-b-complex")</f>
        <v>https://shop.sonapharmacy.com/products/sona-methyl-b-complex</v>
      </c>
      <c r="B4950" s="3" t="str">
        <f>HYPERLINK("https://shop.sonapharmacy.com/products/sona-methyl-b-complex", "https://shop.sonapharmacy.com/products/sona-methyl-b-complex")</f>
        <v>https://shop.sonapharmacy.com/products/sona-methyl-b-complex</v>
      </c>
      <c r="C4950" t="s">
        <v>10084</v>
      </c>
      <c r="D4950" t="s">
        <v>14244</v>
      </c>
      <c r="E4950" s="3" t="str">
        <f>HYPERLINK("https://www.amazon.com/NATURELO-Complex-Vegetarian-Supplement-Capsules/dp/B078V2VLCT/ref=sr_1_9?keywords=Sona+Methyl+B+Complex&amp;qid=1695260722&amp;rdc=1&amp;sr=8-9", "https://www.amazon.com/NATURELO-Complex-Vegetarian-Supplement-Capsules/dp/B078V2VLCT/ref=sr_1_9?keywords=Sona+Methyl+B+Complex&amp;qid=1695260722&amp;rdc=1&amp;sr=8-9")</f>
        <v>https://www.amazon.com/NATURELO-Complex-Vegetarian-Supplement-Capsules/dp/B078V2VLCT/ref=sr_1_9?keywords=Sona+Methyl+B+Complex&amp;qid=1695260722&amp;rdc=1&amp;sr=8-9</v>
      </c>
      <c r="F4950" t="s">
        <v>14245</v>
      </c>
      <c r="G4950" t="e">
        <f ca="1">IMAGE("https://shop.sonapharmacy.com/cdn/shop/files/MethylBComplex_SonaShop.jpg?v=1692302519")</f>
        <v>#NAME?</v>
      </c>
      <c r="H4950" t="e">
        <f ca="1">IMAGE("https://m.media-amazon.com/images/I/71ASGEHy6KL._AC_UL320_.jpg")</f>
        <v>#NAME?</v>
      </c>
      <c r="I4950" t="s">
        <v>10087</v>
      </c>
      <c r="J4950">
        <v>26.95</v>
      </c>
      <c r="K4950" s="2" t="s">
        <v>14246</v>
      </c>
      <c r="L4950">
        <v>4.5999999999999996</v>
      </c>
      <c r="M4950">
        <v>10480</v>
      </c>
      <c r="O4950" t="s">
        <v>26</v>
      </c>
      <c r="P4950" t="s">
        <v>39</v>
      </c>
      <c r="Q4950" t="s">
        <v>10089</v>
      </c>
    </row>
    <row r="4951" spans="1:17" ht="15.75" x14ac:dyDescent="0.25">
      <c r="A4951" s="3" t="str">
        <f>HYPERLINK("https://shop.sonapharmacy.com/products/nova%C2%AE-male-urinal-with-cover", "https://shop.sonapharmacy.com/products/nova%C2%AE-male-urinal-with-cover")</f>
        <v>https://shop.sonapharmacy.com/products/nova%C2%AE-male-urinal-with-cover</v>
      </c>
      <c r="B4951" s="3" t="str">
        <f>HYPERLINK("https://shop.sonapharmacy.com/products/nova%c2%ae-male-urinal-with-cover", "https://shop.sonapharmacy.com/products/nova%c2%ae-male-urinal-with-cover")</f>
        <v>https://shop.sonapharmacy.com/products/nova%c2%ae-male-urinal-with-cover</v>
      </c>
      <c r="C4951" t="s">
        <v>9545</v>
      </c>
      <c r="D4951" t="s">
        <v>14247</v>
      </c>
      <c r="E4951" s="3" t="str">
        <f>HYPERLINK("https://www.amazon.com/Global-Deluxe-Urinal-Incontinence-Bottle/dp/B08HH8CDZ4/ref=sr_1_8?keywords=Nova%C2%AE+Male+Urinal+with+Cover&amp;qid=1695260595&amp;sr=8-8", "https://www.amazon.com/Global-Deluxe-Urinal-Incontinence-Bottle/dp/B08HH8CDZ4/ref=sr_1_8?keywords=Nova%C2%AE+Male+Urinal+with+Cover&amp;qid=1695260595&amp;sr=8-8")</f>
        <v>https://www.amazon.com/Global-Deluxe-Urinal-Incontinence-Bottle/dp/B08HH8CDZ4/ref=sr_1_8?keywords=Nova%C2%AE+Male+Urinal+with+Cover&amp;qid=1695260595&amp;sr=8-8</v>
      </c>
      <c r="F4951" t="s">
        <v>14248</v>
      </c>
      <c r="G4951" t="e">
        <f ca="1">IMAGE("https://shop.sonapharmacy.com/cdn/shop/products/51W9mKzt_KL._AC_SL1500.jpg?v=1611079643")</f>
        <v>#NAME?</v>
      </c>
      <c r="H4951" t="e">
        <f ca="1">IMAGE("https://m.media-amazon.com/images/I/51n1zoNnF3L._AC_UL320_.jpg")</f>
        <v>#NAME?</v>
      </c>
      <c r="I4951" t="s">
        <v>9548</v>
      </c>
      <c r="J4951">
        <v>7.99</v>
      </c>
      <c r="K4951" s="2" t="s">
        <v>14249</v>
      </c>
      <c r="L4951">
        <v>4.4000000000000004</v>
      </c>
      <c r="M4951">
        <v>87</v>
      </c>
      <c r="O4951" t="s">
        <v>26</v>
      </c>
      <c r="P4951" t="s">
        <v>39</v>
      </c>
      <c r="Q4951" t="s">
        <v>9550</v>
      </c>
    </row>
    <row r="4952" spans="1:17" ht="15.75" x14ac:dyDescent="0.25">
      <c r="A4952" s="3" t="str">
        <f>HYPERLINK("https://shop.sonapharmacy.com/products/mueller%C2%AE-adjustable-back-brace-one-size", "https://shop.sonapharmacy.com/products/mueller%C2%AE-adjustable-back-brace-one-size")</f>
        <v>https://shop.sonapharmacy.com/products/mueller%C2%AE-adjustable-back-brace-one-size</v>
      </c>
      <c r="B4952" s="3" t="str">
        <f>HYPERLINK("https://shop.sonapharmacy.com/products/mueller%c2%ae-adjustable-back-brace-one-size", "https://shop.sonapharmacy.com/products/mueller%c2%ae-adjustable-back-brace-one-size")</f>
        <v>https://shop.sonapharmacy.com/products/mueller%c2%ae-adjustable-back-brace-one-size</v>
      </c>
      <c r="C4952" t="s">
        <v>12735</v>
      </c>
      <c r="D4952" t="s">
        <v>14250</v>
      </c>
      <c r="E4952" s="3" t="str">
        <f>HYPERLINK("https://www.amazon.com/Mueller-Adjustable-Back-Brace-Black/dp/B001OAXE0S/ref=sr_1_2?keywords=Mueller%C2%AE+Adjustable+Back+Brace+One+Size&amp;qid=1695260530&amp;sr=8-2", "https://www.amazon.com/Mueller-Adjustable-Back-Brace-Black/dp/B001OAXE0S/ref=sr_1_2?keywords=Mueller%C2%AE+Adjustable+Back+Brace+One+Size&amp;qid=1695260530&amp;sr=8-2")</f>
        <v>https://www.amazon.com/Mueller-Adjustable-Back-Brace-Black/dp/B001OAXE0S/ref=sr_1_2?keywords=Mueller%C2%AE+Adjustable+Back+Brace+One+Size&amp;qid=1695260530&amp;sr=8-2</v>
      </c>
      <c r="F4952" t="s">
        <v>14251</v>
      </c>
      <c r="G4952" t="e">
        <f ca="1">IMAGE("https://shop.sonapharmacy.com/cdn/shop/products/mueller-sports-medicine-adjustable-back-brace.jpg?v=1609867441")</f>
        <v>#NAME?</v>
      </c>
      <c r="H4952" t="e">
        <f ca="1">IMAGE("https://m.media-amazon.com/images/I/A1fUisWBZML._AC_UL320_.jpg")</f>
        <v>#NAME?</v>
      </c>
      <c r="I4952" t="s">
        <v>12738</v>
      </c>
      <c r="J4952">
        <v>16.97</v>
      </c>
      <c r="K4952" s="2" t="s">
        <v>14252</v>
      </c>
      <c r="L4952">
        <v>4.4000000000000004</v>
      </c>
      <c r="M4952">
        <v>9194</v>
      </c>
      <c r="O4952" t="s">
        <v>26</v>
      </c>
      <c r="P4952" t="s">
        <v>39</v>
      </c>
      <c r="Q4952" t="s">
        <v>12740</v>
      </c>
    </row>
    <row r="4953" spans="1:17" ht="15.75" x14ac:dyDescent="0.25">
      <c r="A4953" s="3" t="str">
        <f>HYPERLINK("https://shop.sonapharmacy.com/products/good-sense-nighttime-cold-flu-multi-symptom-relief-tablets", "https://shop.sonapharmacy.com/products/good-sense-nighttime-cold-flu-multi-symptom-relief-tablets")</f>
        <v>https://shop.sonapharmacy.com/products/good-sense-nighttime-cold-flu-multi-symptom-relief-tablets</v>
      </c>
      <c r="B4953" s="3" t="str">
        <f>HYPERLINK("https://shop.sonapharmacy.com/products/good-sense-nighttime-cold-flu-multi-symptom-relief-tablets", "https://shop.sonapharmacy.com/products/good-sense-nighttime-cold-flu-multi-symptom-relief-tablets")</f>
        <v>https://shop.sonapharmacy.com/products/good-sense-nighttime-cold-flu-multi-symptom-relief-tablets</v>
      </c>
      <c r="C4953" t="s">
        <v>12852</v>
      </c>
      <c r="D4953" t="s">
        <v>14227</v>
      </c>
      <c r="E4953" s="3" t="str">
        <f>HYPERLINK("https://www.amazon.com/HealthA2Z%C2%AE-Nighttime-Medicine-Powerful-Multi-Symptom/dp/B01MXS5I2P/ref=sr_1_7?keywords=GoodSense%C2%AE+Nighttime+Cold+%26+Flu+Multi-Symptom+Relief+Softgels&amp;qid=1695260348&amp;sr=8-7", "https://www.amazon.com/HealthA2Z%C2%AE-Nighttime-Medicine-Powerful-Multi-Symptom/dp/B01MXS5I2P/ref=sr_1_7?keywords=GoodSense%C2%AE+Nighttime+Cold+%26+Flu+Multi-Symptom+Relief+Softgels&amp;qid=1695260348&amp;sr=8-7")</f>
        <v>https://www.amazon.com/HealthA2Z%C2%AE-Nighttime-Medicine-Powerful-Multi-Symptom/dp/B01MXS5I2P/ref=sr_1_7?keywords=GoodSense%C2%AE+Nighttime+Cold+%26+Flu+Multi-Symptom+Relief+Softgels&amp;qid=1695260348&amp;sr=8-7</v>
      </c>
      <c r="F4953" t="s">
        <v>14228</v>
      </c>
      <c r="G4953" t="e">
        <f ca="1">IMAGE("https://shop.sonapharmacy.com/cdn/shop/products/Untitled-122.jpg?v=1592931277")</f>
        <v>#NAME?</v>
      </c>
      <c r="H4953" t="e">
        <f ca="1">IMAGE("https://m.media-amazon.com/images/I/61PwbNvMWxL._AC_UL320_.jpg")</f>
        <v>#NAME?</v>
      </c>
      <c r="I4953" t="s">
        <v>8880</v>
      </c>
      <c r="J4953">
        <v>6.49</v>
      </c>
      <c r="K4953" s="2" t="s">
        <v>6420</v>
      </c>
      <c r="L4953">
        <v>4.7</v>
      </c>
      <c r="M4953">
        <v>263</v>
      </c>
      <c r="O4953" t="s">
        <v>26</v>
      </c>
      <c r="P4953" t="s">
        <v>39</v>
      </c>
      <c r="Q4953" t="s">
        <v>12856</v>
      </c>
    </row>
    <row r="4954" spans="1:17" ht="15.75" x14ac:dyDescent="0.25">
      <c r="A4954" s="3" t="str">
        <f>HYPERLINK("https://shop.sonapharmacy.com/products/good-sense-nighttime-cold-flu-multi-symptom-relief-tablets", "https://shop.sonapharmacy.com/products/good-sense-nighttime-cold-flu-multi-symptom-relief-tablets")</f>
        <v>https://shop.sonapharmacy.com/products/good-sense-nighttime-cold-flu-multi-symptom-relief-tablets</v>
      </c>
      <c r="B4954" s="3" t="str">
        <f>HYPERLINK("https://shop.sonapharmacy.com/products/good-sense-nighttime-cold-flu-multi-symptom-relief-tablets", "https://shop.sonapharmacy.com/products/good-sense-nighttime-cold-flu-multi-symptom-relief-tablets")</f>
        <v>https://shop.sonapharmacy.com/products/good-sense-nighttime-cold-flu-multi-symptom-relief-tablets</v>
      </c>
      <c r="C4954" t="s">
        <v>12852</v>
      </c>
      <c r="D4954" t="s">
        <v>14227</v>
      </c>
      <c r="E4954" s="3"/>
      <c r="F4954" t="s">
        <v>14228</v>
      </c>
      <c r="G4954" t="e">
        <f ca="1">IMAGE("https://shop.sonapharmacy.com/cdn/shop/products/Untitled-122.jpg?v=1592931277")</f>
        <v>#NAME?</v>
      </c>
      <c r="H4954" t="e">
        <f ca="1">IMAGE("https://m.media-amazon.com/images/I/61PwbNvMWxL._AC_UL320_.jpg")</f>
        <v>#NAME?</v>
      </c>
      <c r="I4954" t="s">
        <v>8880</v>
      </c>
      <c r="J4954">
        <v>6.49</v>
      </c>
      <c r="K4954" s="2" t="s">
        <v>6420</v>
      </c>
      <c r="L4954">
        <v>4.7</v>
      </c>
      <c r="M4954">
        <v>263</v>
      </c>
      <c r="O4954" t="s">
        <v>26</v>
      </c>
      <c r="P4954" t="s">
        <v>39</v>
      </c>
      <c r="Q4954" t="s">
        <v>12856</v>
      </c>
    </row>
    <row r="4955" spans="1:17" ht="15.75" x14ac:dyDescent="0.25">
      <c r="A4955" s="3" t="str">
        <f>HYPERLINK("https://shop.sonapharmacy.com/products/sudafed-sinus-congestion-tablets-18-ct", "https://shop.sonapharmacy.com/products/sudafed-sinus-congestion-tablets-18-ct")</f>
        <v>https://shop.sonapharmacy.com/products/sudafed-sinus-congestion-tablets-18-ct</v>
      </c>
      <c r="B4955" s="3" t="str">
        <f>HYPERLINK("https://shop.sonapharmacy.com/products/sudafed-sinus-congestion-tablets-18-ct", "https://shop.sonapharmacy.com/products/sudafed-sinus-congestion-tablets-18-ct")</f>
        <v>https://shop.sonapharmacy.com/products/sudafed-sinus-congestion-tablets-18-ct</v>
      </c>
      <c r="C4955" t="s">
        <v>11453</v>
      </c>
      <c r="D4955" t="s">
        <v>14253</v>
      </c>
      <c r="E4955" s="3"/>
      <c r="F4955" t="s">
        <v>14254</v>
      </c>
      <c r="G4955" t="e">
        <f ca="1">IMAGE("https://shop.sonapharmacy.com/cdn/shop/products/SudafedSinusCongestionTablets.jpg?v=1595444685")</f>
        <v>#NAME?</v>
      </c>
      <c r="H4955" t="e">
        <f ca="1">IMAGE("https://m.media-amazon.com/images/I/51UiKA5qQLL._AC_UL320_.jpg")</f>
        <v>#NAME?</v>
      </c>
      <c r="I4955" t="s">
        <v>11456</v>
      </c>
      <c r="J4955">
        <v>7.95</v>
      </c>
      <c r="K4955" s="2" t="s">
        <v>14255</v>
      </c>
      <c r="L4955">
        <v>4.4000000000000004</v>
      </c>
      <c r="M4955">
        <v>128</v>
      </c>
      <c r="O4955" t="s">
        <v>26</v>
      </c>
      <c r="P4955" t="s">
        <v>39</v>
      </c>
      <c r="Q4955" t="s">
        <v>11458</v>
      </c>
    </row>
    <row r="4956" spans="1:17" ht="15.75" x14ac:dyDescent="0.25">
      <c r="A4956" s="3" t="str">
        <f>HYPERLINK("https://shop.sonapharmacy.com/products/mommys-bliss-original-gripe-water", "https://shop.sonapharmacy.com/products/mommys-bliss-original-gripe-water")</f>
        <v>https://shop.sonapharmacy.com/products/mommys-bliss-original-gripe-water</v>
      </c>
      <c r="B4956" s="3" t="str">
        <f>HYPERLINK("https://shop.sonapharmacy.com/products/mommys-bliss-original-gripe-water", "https://shop.sonapharmacy.com/products/mommys-bliss-original-gripe-water")</f>
        <v>https://shop.sonapharmacy.com/products/mommys-bliss-original-gripe-water</v>
      </c>
      <c r="C4956" t="s">
        <v>10605</v>
      </c>
      <c r="D4956" t="s">
        <v>14256</v>
      </c>
      <c r="E4956" s="3" t="str">
        <f>HYPERLINK("https://www.amazon.com/Mommys-Bliss-MOM052-Gripe-Water/dp/B000R3BJA0/ref=sr_1_1?keywords=Mommy%27s+Bliss+Original+Gripe+Water&amp;qid=1695260479&amp;sr=8-1", "https://www.amazon.com/Mommys-Bliss-MOM052-Gripe-Water/dp/B000R3BJA0/ref=sr_1_1?keywords=Mommy%27s+Bliss+Original+Gripe+Water&amp;qid=1695260479&amp;sr=8-1")</f>
        <v>https://www.amazon.com/Mommys-Bliss-MOM052-Gripe-Water/dp/B000R3BJA0/ref=sr_1_1?keywords=Mommy%27s+Bliss+Original+Gripe+Water&amp;qid=1695260479&amp;sr=8-1</v>
      </c>
      <c r="F4956" t="s">
        <v>14257</v>
      </c>
      <c r="G4956" t="e">
        <f ca="1">IMAGE("https://shop.sonapharmacy.com/cdn/shop/products/Untitled-47.jpg?v=1592848167")</f>
        <v>#NAME?</v>
      </c>
      <c r="H4956" t="e">
        <f ca="1">IMAGE("https://m.media-amazon.com/images/I/81ZzsfGgDlL._AC_UL320_.jpg")</f>
        <v>#NAME?</v>
      </c>
      <c r="I4956" t="s">
        <v>10608</v>
      </c>
      <c r="J4956">
        <v>11.45</v>
      </c>
      <c r="K4956" s="2" t="s">
        <v>14258</v>
      </c>
      <c r="L4956">
        <v>4.5999999999999996</v>
      </c>
      <c r="M4956">
        <v>2137</v>
      </c>
      <c r="O4956" t="s">
        <v>26</v>
      </c>
      <c r="P4956" t="s">
        <v>39</v>
      </c>
      <c r="Q4956" t="s">
        <v>10610</v>
      </c>
    </row>
    <row r="4957" spans="1:17" ht="15.75" x14ac:dyDescent="0.25">
      <c r="A4957" s="3" t="str">
        <f>HYPERLINK("https://shop.sonapharmacy.com/products/mueller%C2%AE-carpal-tunnel-wrist-stabilizer", "https://shop.sonapharmacy.com/products/mueller%C2%AE-carpal-tunnel-wrist-stabilizer")</f>
        <v>https://shop.sonapharmacy.com/products/mueller%C2%AE-carpal-tunnel-wrist-stabilizer</v>
      </c>
      <c r="B4957" s="3" t="str">
        <f>HYPERLINK("https://shop.sonapharmacy.com/products/mueller%c2%ae-carpal-tunnel-wrist-stabilizer", "https://shop.sonapharmacy.com/products/mueller%c2%ae-carpal-tunnel-wrist-stabilizer")</f>
        <v>https://shop.sonapharmacy.com/products/mueller%c2%ae-carpal-tunnel-wrist-stabilizer</v>
      </c>
      <c r="C4957" t="s">
        <v>12273</v>
      </c>
      <c r="D4957" t="s">
        <v>14259</v>
      </c>
      <c r="E4957" s="3" t="str">
        <f>HYPERLINK("https://www.amazon.com/Mueller-Carpal-Tunnel-Stabilizer-Medium/dp/B004X8PQL8/ref=sr_1_1?keywords=Mueller%C2%AE+Carpal+Tunnel+Wrist+Stabilizer&amp;qid=1695260516&amp;sr=8-1", "https://www.amazon.com/Mueller-Carpal-Tunnel-Stabilizer-Medium/dp/B004X8PQL8/ref=sr_1_1?keywords=Mueller%C2%AE+Carpal+Tunnel+Wrist+Stabilizer&amp;qid=1695260516&amp;sr=8-1")</f>
        <v>https://www.amazon.com/Mueller-Carpal-Tunnel-Stabilizer-Medium/dp/B004X8PQL8/ref=sr_1_1?keywords=Mueller%C2%AE+Carpal+Tunnel+Wrist+Stabilizer&amp;qid=1695260516&amp;sr=8-1</v>
      </c>
      <c r="F4957" t="s">
        <v>14260</v>
      </c>
      <c r="G4957" t="e">
        <f ca="1">IMAGE("https://shop.sonapharmacy.com/cdn/shop/products/1136649.jpg?v=1609857294")</f>
        <v>#NAME?</v>
      </c>
      <c r="H4957" t="e">
        <f ca="1">IMAGE("https://m.media-amazon.com/images/I/61wsLJDI2LL._AC_UL320_.jpg")</f>
        <v>#NAME?</v>
      </c>
      <c r="I4957" t="s">
        <v>12276</v>
      </c>
      <c r="J4957">
        <v>18.43</v>
      </c>
      <c r="K4957" s="2" t="s">
        <v>14261</v>
      </c>
      <c r="L4957">
        <v>4.7</v>
      </c>
      <c r="M4957">
        <v>808</v>
      </c>
      <c r="O4957" t="s">
        <v>26</v>
      </c>
      <c r="P4957" t="s">
        <v>39</v>
      </c>
      <c r="Q4957" t="s">
        <v>12278</v>
      </c>
    </row>
    <row r="4958" spans="1:17" ht="15.75" x14ac:dyDescent="0.25">
      <c r="A4958" s="3" t="str">
        <f>HYPERLINK("https://shop.sonapharmacy.com/products/one-a-day%C2%AE-prenatal-advanced-complete-multivitamin-30-softgels-30-tablets", "https://shop.sonapharmacy.com/products/one-a-day%C2%AE-prenatal-advanced-complete-multivitamin-30-softgels-30-tablets")</f>
        <v>https://shop.sonapharmacy.com/products/one-a-day%C2%AE-prenatal-advanced-complete-multivitamin-30-softgels-30-tablets</v>
      </c>
      <c r="B4958" s="3" t="str">
        <f>HYPERLINK("https://shop.sonapharmacy.com/products/one-a-day%c2%ae-prenatal-advanced-complete-multivitamin-30-softgels-30-tablets", "https://shop.sonapharmacy.com/products/one-a-day%c2%ae-prenatal-advanced-complete-multivitamin-30-softgels-30-tablets")</f>
        <v>https://shop.sonapharmacy.com/products/one-a-day%c2%ae-prenatal-advanced-complete-multivitamin-30-softgels-30-tablets</v>
      </c>
      <c r="C4958" t="s">
        <v>14262</v>
      </c>
      <c r="D4958" t="s">
        <v>14263</v>
      </c>
      <c r="E4958" s="3" t="str">
        <f>HYPERLINK("https://www.amazon.com/Prenatal-Advanced-Complete-Multivitamin-Pregnancy/dp/B084PHGYSX/ref=sr_1_2?keywords=ONE+A+DAY%C2%AE+Prenatal+Advanced+Complete+Multivitamin+30+Softgels+%26+30+Tablets&amp;qid=1695260626&amp;sr=8-2", "https://www.amazon.com/Prenatal-Advanced-Complete-Multivitamin-Pregnancy/dp/B084PHGYSX/ref=sr_1_2?keywords=ONE+A+DAY%C2%AE+Prenatal+Advanced+Complete+Multivitamin+30+Softgels+%26+30+Tablets&amp;qid=1695260626&amp;sr=8-2")</f>
        <v>https://www.amazon.com/Prenatal-Advanced-Complete-Multivitamin-Pregnancy/dp/B084PHGYSX/ref=sr_1_2?keywords=ONE+A+DAY%C2%AE+Prenatal+Advanced+Complete+Multivitamin+30+Softgels+%26+30+Tablets&amp;qid=1695260626&amp;sr=8-2</v>
      </c>
      <c r="F4958" t="s">
        <v>14264</v>
      </c>
      <c r="G4958" t="e">
        <f ca="1">IMAGE("https://shop.sonapharmacy.com/cdn/shop/products/81Jo5PwfZZL._AC_SL1500.jpg?v=1611028901")</f>
        <v>#NAME?</v>
      </c>
      <c r="H4958" t="e">
        <f ca="1">IMAGE("https://m.media-amazon.com/images/I/81jq1Z9DLLL._AC_UL320_.jpg")</f>
        <v>#NAME?</v>
      </c>
      <c r="I4958" t="s">
        <v>12276</v>
      </c>
      <c r="J4958">
        <v>18.39</v>
      </c>
      <c r="K4958" s="2" t="s">
        <v>14265</v>
      </c>
      <c r="L4958">
        <v>4.7</v>
      </c>
      <c r="M4958">
        <v>2555</v>
      </c>
      <c r="O4958" t="s">
        <v>26</v>
      </c>
      <c r="P4958" t="s">
        <v>39</v>
      </c>
      <c r="Q4958" t="s">
        <v>14266</v>
      </c>
    </row>
    <row r="4959" spans="1:17" ht="15.75" x14ac:dyDescent="0.25">
      <c r="A4959" s="3" t="str">
        <f>HYPERLINK("https://shop.sonapharmacy.com/products/nasaflo%C2%AE-neti-pot", "https://shop.sonapharmacy.com/products/nasaflo%C2%AE-neti-pot")</f>
        <v>https://shop.sonapharmacy.com/products/nasaflo%C2%AE-neti-pot</v>
      </c>
      <c r="B4959" s="3" t="str">
        <f>HYPERLINK("https://shop.sonapharmacy.com/products/nasaflo%c2%ae-neti-pot", "https://shop.sonapharmacy.com/products/nasaflo%c2%ae-neti-pot")</f>
        <v>https://shop.sonapharmacy.com/products/nasaflo%c2%ae-neti-pot</v>
      </c>
      <c r="C4959" t="s">
        <v>14267</v>
      </c>
      <c r="D4959" t="s">
        <v>14268</v>
      </c>
      <c r="E4959" s="3" t="str">
        <f>HYPERLINK("https://www.amazon.com/NeilMed-Nasaflo-Porcelain-Neti-Count/dp/B004W7F6DI/ref=sr_1_3?keywords=NeilMed+NasaFlo%C2%AE+Neti+Pot&amp;qid=1695260546&amp;sr=8-3", "https://www.amazon.com/NeilMed-Nasaflo-Porcelain-Neti-Count/dp/B004W7F6DI/ref=sr_1_3?keywords=NeilMed+NasaFlo%C2%AE+Neti+Pot&amp;qid=1695260546&amp;sr=8-3")</f>
        <v>https://www.amazon.com/NeilMed-Nasaflo-Porcelain-Neti-Count/dp/B004W7F6DI/ref=sr_1_3?keywords=NeilMed+NasaFlo%C2%AE+Neti+Pot&amp;qid=1695260546&amp;sr=8-3</v>
      </c>
      <c r="F4959" t="s">
        <v>14269</v>
      </c>
      <c r="G4959" t="e">
        <f ca="1">IMAGE("https://shop.sonapharmacy.com/cdn/shop/products/Neti-Pot-Clear-Blue-FRONT.png?v=1589998287")</f>
        <v>#NAME?</v>
      </c>
      <c r="H4959" t="e">
        <f ca="1">IMAGE("https://m.media-amazon.com/images/I/91X9W3+lfRL._AC_UL320_.jpg")</f>
        <v>#NAME?</v>
      </c>
      <c r="I4959" t="s">
        <v>13698</v>
      </c>
      <c r="J4959">
        <v>14.67</v>
      </c>
      <c r="K4959" s="2" t="s">
        <v>14270</v>
      </c>
      <c r="L4959">
        <v>4.4000000000000004</v>
      </c>
      <c r="M4959">
        <v>3221</v>
      </c>
      <c r="O4959" t="s">
        <v>26</v>
      </c>
      <c r="P4959" t="s">
        <v>39</v>
      </c>
      <c r="Q4959" t="s">
        <v>14271</v>
      </c>
    </row>
    <row r="4960" spans="1:17" ht="15.75" x14ac:dyDescent="0.25">
      <c r="A4960" s="3" t="str">
        <f>HYPERLINK("https://shop.sonapharmacy.com/products/nasaflo%C2%AE-neti-pot", "https://shop.sonapharmacy.com/products/nasaflo%C2%AE-neti-pot")</f>
        <v>https://shop.sonapharmacy.com/products/nasaflo%C2%AE-neti-pot</v>
      </c>
      <c r="B4960" s="3" t="str">
        <f>HYPERLINK("https://shop.sonapharmacy.com/products/nasaflo%c2%ae-neti-pot", "https://shop.sonapharmacy.com/products/nasaflo%c2%ae-neti-pot")</f>
        <v>https://shop.sonapharmacy.com/products/nasaflo%c2%ae-neti-pot</v>
      </c>
      <c r="C4960" t="s">
        <v>14267</v>
      </c>
      <c r="D4960" t="s">
        <v>14272</v>
      </c>
      <c r="E4960" s="3" t="str">
        <f>HYPERLINK("https://www.amazon.com/NeilMed-NasaFlo-Unbreakable-Premixed-Packets/dp/B000ITHH86/ref=sr_1_2?keywords=NeilMed+NasaFlo%C2%AE+Neti+Pot&amp;qid=1695260546&amp;sr=8-2", "https://www.amazon.com/NeilMed-NasaFlo-Unbreakable-Premixed-Packets/dp/B000ITHH86/ref=sr_1_2?keywords=NeilMed+NasaFlo%C2%AE+Neti+Pot&amp;qid=1695260546&amp;sr=8-2")</f>
        <v>https://www.amazon.com/NeilMed-NasaFlo-Unbreakable-Premixed-Packets/dp/B000ITHH86/ref=sr_1_2?keywords=NeilMed+NasaFlo%C2%AE+Neti+Pot&amp;qid=1695260546&amp;sr=8-2</v>
      </c>
      <c r="F4960" t="s">
        <v>14273</v>
      </c>
      <c r="G4960" t="e">
        <f ca="1">IMAGE("https://shop.sonapharmacy.com/cdn/shop/products/Neti-Pot-Clear-Blue-FRONT.png?v=1589998287")</f>
        <v>#NAME?</v>
      </c>
      <c r="H4960" t="e">
        <f ca="1">IMAGE("https://m.media-amazon.com/images/I/71yrk1nTR9L._AC_UL320_.jpg")</f>
        <v>#NAME?</v>
      </c>
      <c r="I4960" t="s">
        <v>13698</v>
      </c>
      <c r="J4960">
        <v>14.67</v>
      </c>
      <c r="K4960" s="2" t="s">
        <v>14270</v>
      </c>
      <c r="L4960">
        <v>4.5999999999999996</v>
      </c>
      <c r="M4960">
        <v>5703</v>
      </c>
      <c r="O4960" t="s">
        <v>26</v>
      </c>
      <c r="P4960" t="s">
        <v>39</v>
      </c>
      <c r="Q4960" t="s">
        <v>14271</v>
      </c>
    </row>
    <row r="4961" spans="1:17" ht="15.75" x14ac:dyDescent="0.25">
      <c r="A4961" s="3" t="str">
        <f>HYPERLINK("https://shop.sonapharmacy.com/products/nasaflo%C2%AE-neti-pot", "https://shop.sonapharmacy.com/products/nasaflo%C2%AE-neti-pot")</f>
        <v>https://shop.sonapharmacy.com/products/nasaflo%C2%AE-neti-pot</v>
      </c>
      <c r="B4961" s="3" t="str">
        <f>HYPERLINK("https://shop.sonapharmacy.com/products/nasaflo%c2%ae-neti-pot", "https://shop.sonapharmacy.com/products/nasaflo%c2%ae-neti-pot")</f>
        <v>https://shop.sonapharmacy.com/products/nasaflo%c2%ae-neti-pot</v>
      </c>
      <c r="C4961" t="s">
        <v>14267</v>
      </c>
      <c r="D4961" t="s">
        <v>14272</v>
      </c>
      <c r="E4961" s="3"/>
      <c r="F4961" t="s">
        <v>14273</v>
      </c>
      <c r="G4961" t="e">
        <f ca="1">IMAGE("https://shop.sonapharmacy.com/cdn/shop/products/Neti-Pot-Clear-Blue-FRONT.png?v=1589998287")</f>
        <v>#NAME?</v>
      </c>
      <c r="H4961" t="e">
        <f ca="1">IMAGE("https://m.media-amazon.com/images/I/71yrk1nTR9L._AC_UL320_.jpg")</f>
        <v>#NAME?</v>
      </c>
      <c r="I4961" t="s">
        <v>13698</v>
      </c>
      <c r="J4961">
        <v>14.67</v>
      </c>
      <c r="K4961" s="2" t="s">
        <v>14270</v>
      </c>
      <c r="L4961">
        <v>4.5999999999999996</v>
      </c>
      <c r="M4961">
        <v>5703</v>
      </c>
      <c r="O4961" t="s">
        <v>26</v>
      </c>
      <c r="P4961" t="s">
        <v>39</v>
      </c>
      <c r="Q4961" t="s">
        <v>14271</v>
      </c>
    </row>
    <row r="4962" spans="1:17" ht="15.75" x14ac:dyDescent="0.25">
      <c r="A4962" s="3" t="str">
        <f>HYPERLINK("https://shop.sonapharmacy.com/products/pedia-lax-liquid-glycerin-suppositories", "https://shop.sonapharmacy.com/products/pedia-lax-liquid-glycerin-suppositories")</f>
        <v>https://shop.sonapharmacy.com/products/pedia-lax-liquid-glycerin-suppositories</v>
      </c>
      <c r="B4962" s="3" t="str">
        <f>HYPERLINK("https://shop.sonapharmacy.com/products/pedia-lax-liquid-glycerin-suppositories", "https://shop.sonapharmacy.com/products/pedia-lax-liquid-glycerin-suppositories")</f>
        <v>https://shop.sonapharmacy.com/products/pedia-lax-liquid-glycerin-suppositories</v>
      </c>
      <c r="C4962" t="s">
        <v>8340</v>
      </c>
      <c r="D4962" t="s">
        <v>10599</v>
      </c>
      <c r="E4962" s="3" t="str">
        <f>HYPERLINK("https://www.amazon.com/Fleet-Childrens-Pedia-Lax-Glycerin-Suppositories/dp/B000SD6BS4/ref=sr_1_2?keywords=Pedia-Lax%C2%AE+Liquid+Glycerin+Suppositories&amp;qid=1695260624&amp;sr=8-2", "https://www.amazon.com/Fleet-Childrens-Pedia-Lax-Glycerin-Suppositories/dp/B000SD6BS4/ref=sr_1_2?keywords=Pedia-Lax%C2%AE+Liquid+Glycerin+Suppositories&amp;qid=1695260624&amp;sr=8-2")</f>
        <v>https://www.amazon.com/Fleet-Childrens-Pedia-Lax-Glycerin-Suppositories/dp/B000SD6BS4/ref=sr_1_2?keywords=Pedia-Lax%C2%AE+Liquid+Glycerin+Suppositories&amp;qid=1695260624&amp;sr=8-2</v>
      </c>
      <c r="F4962" t="s">
        <v>10600</v>
      </c>
      <c r="G4962" t="e">
        <f ca="1">IMAGE("https://shop.sonapharmacy.com/cdn/shop/products/PediaLaxSuppository.png?v=1606852444")</f>
        <v>#NAME?</v>
      </c>
      <c r="H4962" t="e">
        <f ca="1">IMAGE("https://m.media-amazon.com/images/I/413GkSgiQzL._AC_UL320_.jpg")</f>
        <v>#NAME?</v>
      </c>
      <c r="I4962" t="s">
        <v>8341</v>
      </c>
      <c r="J4962">
        <v>7.12</v>
      </c>
      <c r="K4962" s="2" t="s">
        <v>14274</v>
      </c>
      <c r="L4962">
        <v>4.8</v>
      </c>
      <c r="M4962">
        <v>1765</v>
      </c>
      <c r="O4962" t="s">
        <v>26</v>
      </c>
      <c r="P4962" t="s">
        <v>39</v>
      </c>
      <c r="Q4962" t="s">
        <v>8343</v>
      </c>
    </row>
    <row r="4963" spans="1:17" ht="15.75" x14ac:dyDescent="0.25">
      <c r="A4963" s="3" t="str">
        <f>HYPERLINK("https://shop.sonapharmacy.com/products/prilosec-otc%C2%AE-delayed-release-acid-reducer-tablets", "https://shop.sonapharmacy.com/products/prilosec-otc%C2%AE-delayed-release-acid-reducer-tablets")</f>
        <v>https://shop.sonapharmacy.com/products/prilosec-otc%C2%AE-delayed-release-acid-reducer-tablets</v>
      </c>
      <c r="B4963" s="3" t="str">
        <f>HYPERLINK("https://shop.sonapharmacy.com/products/prilosec-otc%c2%ae-delayed-release-acid-reducer-tablets", "https://shop.sonapharmacy.com/products/prilosec-otc%c2%ae-delayed-release-acid-reducer-tablets")</f>
        <v>https://shop.sonapharmacy.com/products/prilosec-otc%c2%ae-delayed-release-acid-reducer-tablets</v>
      </c>
      <c r="C4963" t="s">
        <v>9744</v>
      </c>
      <c r="D4963" t="s">
        <v>14275</v>
      </c>
      <c r="E4963" s="3" t="str">
        <f>HYPERLINK("https://www.amazon.com/Heartburn-Medicine-Reducer-Tablets-Count/dp/B00861STV2/ref=sr_1_8?keywords=Prilosec+OTC%C2%AE+Delayed+Release+Acid+Reducer+Tablets&amp;qid=1695260683&amp;sr=8-8", "https://www.amazon.com/Heartburn-Medicine-Reducer-Tablets-Count/dp/B00861STV2/ref=sr_1_8?keywords=Prilosec+OTC%C2%AE+Delayed+Release+Acid+Reducer+Tablets&amp;qid=1695260683&amp;sr=8-8")</f>
        <v>https://www.amazon.com/Heartburn-Medicine-Reducer-Tablets-Count/dp/B00861STV2/ref=sr_1_8?keywords=Prilosec+OTC%C2%AE+Delayed+Release+Acid+Reducer+Tablets&amp;qid=1695260683&amp;sr=8-8</v>
      </c>
      <c r="F4963" t="s">
        <v>14276</v>
      </c>
      <c r="G4963" t="e">
        <f ca="1">IMAGE("https://shop.sonapharmacy.com/cdn/shop/products/81ogWiPVy2L._AC_SL1500.jpg?v=1611026906")</f>
        <v>#NAME?</v>
      </c>
      <c r="H4963" t="e">
        <f ca="1">IMAGE("https://m.media-amazon.com/images/I/71XBakgqmhL._AC_UL320_.jpg")</f>
        <v>#NAME?</v>
      </c>
      <c r="I4963" t="s">
        <v>9258</v>
      </c>
      <c r="J4963">
        <v>9.99</v>
      </c>
      <c r="K4963" s="2" t="s">
        <v>14277</v>
      </c>
      <c r="L4963">
        <v>4.7</v>
      </c>
      <c r="M4963">
        <v>750</v>
      </c>
      <c r="O4963" t="s">
        <v>26</v>
      </c>
      <c r="P4963" t="s">
        <v>39</v>
      </c>
      <c r="Q4963" t="s">
        <v>9748</v>
      </c>
    </row>
    <row r="4964" spans="1:17" ht="15.75" x14ac:dyDescent="0.25">
      <c r="A4964" s="3" t="str">
        <f>HYPERLINK("https://shop.sonapharmacy.com/products/curad-flex-fabric-bandages", "https://shop.sonapharmacy.com/products/curad-flex-fabric-bandages")</f>
        <v>https://shop.sonapharmacy.com/products/curad-flex-fabric-bandages</v>
      </c>
      <c r="B4964" s="3" t="str">
        <f>HYPERLINK("https://shop.sonapharmacy.com/products/curad-flex-fabric-bandages", "https://shop.sonapharmacy.com/products/curad-flex-fabric-bandages")</f>
        <v>https://shop.sonapharmacy.com/products/curad-flex-fabric-bandages</v>
      </c>
      <c r="C4964" t="s">
        <v>10355</v>
      </c>
      <c r="D4964" t="s">
        <v>14278</v>
      </c>
      <c r="E4964" s="3" t="str">
        <f>HYPERLINK("https://www.amazon.com/Curad-Flex-Fabric-Bandages-Assorted-Sizes/dp/B003YP28G2/ref=sr_1_3?keywords=Curad%C2%AE+Flex-Fabric+Bandages&amp;qid=1695260173&amp;sr=8-3", "https://www.amazon.com/Curad-Flex-Fabric-Bandages-Assorted-Sizes/dp/B003YP28G2/ref=sr_1_3?keywords=Curad%C2%AE+Flex-Fabric+Bandages&amp;qid=1695260173&amp;sr=8-3")</f>
        <v>https://www.amazon.com/Curad-Flex-Fabric-Bandages-Assorted-Sizes/dp/B003YP28G2/ref=sr_1_3?keywords=Curad%C2%AE+Flex-Fabric+Bandages&amp;qid=1695260173&amp;sr=8-3</v>
      </c>
      <c r="F4964" t="s">
        <v>14279</v>
      </c>
      <c r="G4964" t="e">
        <f ca="1">IMAGE("https://shop.sonapharmacy.com/cdn/shop/products/flexstrip.png?v=1607709917")</f>
        <v>#NAME?</v>
      </c>
      <c r="H4964" t="e">
        <f ca="1">IMAGE("https://m.media-amazon.com/images/I/41YP12-CqRL._AC_UL320_.jpg")</f>
        <v>#NAME?</v>
      </c>
      <c r="I4964" t="s">
        <v>8680</v>
      </c>
      <c r="J4964">
        <v>3.74</v>
      </c>
      <c r="K4964" s="2" t="s">
        <v>14280</v>
      </c>
      <c r="L4964">
        <v>4.5999999999999996</v>
      </c>
      <c r="M4964">
        <v>648</v>
      </c>
      <c r="O4964" t="s">
        <v>26</v>
      </c>
      <c r="P4964" t="s">
        <v>39</v>
      </c>
      <c r="Q4964" t="s">
        <v>10359</v>
      </c>
    </row>
    <row r="4965" spans="1:17" ht="15.75" x14ac:dyDescent="0.25">
      <c r="A4965" s="3" t="str">
        <f>HYPERLINK("https://shop.sonapharmacy.com/products/cetaphil%C2%AE-moisturizing-cream-for-dry-sensitive-skin-3-oz-tube", "https://shop.sonapharmacy.com/products/cetaphil%C2%AE-moisturizing-cream-for-dry-sensitive-skin-3-oz-tube")</f>
        <v>https://shop.sonapharmacy.com/products/cetaphil%C2%AE-moisturizing-cream-for-dry-sensitive-skin-3-oz-tube</v>
      </c>
      <c r="B4965" s="3" t="str">
        <f>HYPERLINK("https://shop.sonapharmacy.com/products/cetaphil%c2%ae-moisturizing-cream-for-dry-sensitive-skin-3-oz-tube", "https://shop.sonapharmacy.com/products/cetaphil%c2%ae-moisturizing-cream-for-dry-sensitive-skin-3-oz-tube")</f>
        <v>https://shop.sonapharmacy.com/products/cetaphil%c2%ae-moisturizing-cream-for-dry-sensitive-skin-3-oz-tube</v>
      </c>
      <c r="C4965" t="s">
        <v>10237</v>
      </c>
      <c r="D4965" t="s">
        <v>14281</v>
      </c>
      <c r="E4965" s="3" t="str">
        <f>HYPERLINK("https://www.amazon.com/Cetaphil-Fragrance-Moisturizing-Cream-Sensitive/dp/B07GF34ZVF/ref=sr_1_7?keywords=Cetaphil%C2%AE+Moisturizing+Cream+for+Very+Dry%2C+Sensitive+Skin&amp;qid=1695260122&amp;sr=8-7", "https://www.amazon.com/Cetaphil-Fragrance-Moisturizing-Cream-Sensitive/dp/B07GF34ZVF/ref=sr_1_7?keywords=Cetaphil%C2%AE+Moisturizing+Cream+for+Very+Dry%2C+Sensitive+Skin&amp;qid=1695260122&amp;sr=8-7")</f>
        <v>https://www.amazon.com/Cetaphil-Fragrance-Moisturizing-Cream-Sensitive/dp/B07GF34ZVF/ref=sr_1_7?keywords=Cetaphil%C2%AE+Moisturizing+Cream+for+Very+Dry%2C+Sensitive+Skin&amp;qid=1695260122&amp;sr=8-7</v>
      </c>
      <c r="F4965" t="s">
        <v>14282</v>
      </c>
      <c r="G4965" t="e">
        <f ca="1">IMAGE("https://shop.sonapharmacy.com/cdn/shop/products/0287a847-b7a0-4280-bd41-731df3f8db66_1.ebd8a2e7f6d3f5a00be3e2559e5614de.jpg?v=1608312157")</f>
        <v>#NAME?</v>
      </c>
      <c r="H4965" t="e">
        <f ca="1">IMAGE("https://m.media-amazon.com/images/I/71Bu-KWFMNL._AC_UL320_.jpg")</f>
        <v>#NAME?</v>
      </c>
      <c r="I4965" t="s">
        <v>10240</v>
      </c>
      <c r="J4965">
        <v>5.47</v>
      </c>
      <c r="K4965" s="2" t="s">
        <v>14283</v>
      </c>
      <c r="L4965">
        <v>5</v>
      </c>
      <c r="M4965">
        <v>2</v>
      </c>
      <c r="O4965" t="s">
        <v>26</v>
      </c>
      <c r="P4965" t="s">
        <v>39</v>
      </c>
      <c r="Q4965" t="s">
        <v>10242</v>
      </c>
    </row>
    <row r="4966" spans="1:17" ht="15.75" x14ac:dyDescent="0.25">
      <c r="A4966" s="3" t="str">
        <f>HYPERLINK("https://shop.sonapharmacy.com/products/nature-made-1200-mg-fish-oil-with-vitamin-d-softgels", "https://shop.sonapharmacy.com/products/nature-made-1200-mg-fish-oil-with-vitamin-d-softgels")</f>
        <v>https://shop.sonapharmacy.com/products/nature-made-1200-mg-fish-oil-with-vitamin-d-softgels</v>
      </c>
      <c r="B4966" s="3" t="str">
        <f>HYPERLINK("https://shop.sonapharmacy.com/products/nature-made-1200-mg-fish-oil-with-vitamin-d-softgels", "https://shop.sonapharmacy.com/products/nature-made-1200-mg-fish-oil-with-vitamin-d-softgels")</f>
        <v>https://shop.sonapharmacy.com/products/nature-made-1200-mg-fish-oil-with-vitamin-d-softgels</v>
      </c>
      <c r="C4966" t="s">
        <v>10987</v>
      </c>
      <c r="D4966" t="s">
        <v>14284</v>
      </c>
      <c r="E4966" s="3" t="str">
        <f>HYPERLINK("https://www.amazon.com/Natures-Bounty-Fish-1200-Softgels/dp/B0021A8KRM/ref=sr_1_2?keywords=Nature+Made%C2%AE+Fish+Oil+With+Vitamin+D+1000IU+Softgels+90ct.&amp;qid=1695260532&amp;rdc=1&amp;sr=8-2", "https://www.amazon.com/Natures-Bounty-Fish-1200-Softgels/dp/B0021A8KRM/ref=sr_1_2?keywords=Nature+Made%C2%AE+Fish+Oil+With+Vitamin+D+1000IU+Softgels+90ct.&amp;qid=1695260532&amp;rdc=1&amp;sr=8-2")</f>
        <v>https://www.amazon.com/Natures-Bounty-Fish-1200-Softgels/dp/B0021A8KRM/ref=sr_1_2?keywords=Nature+Made%C2%AE+Fish+Oil+With+Vitamin+D+1000IU+Softgels+90ct.&amp;qid=1695260532&amp;rdc=1&amp;sr=8-2</v>
      </c>
      <c r="F4966" t="s">
        <v>14285</v>
      </c>
      <c r="G4966" t="e">
        <f ca="1">IMAGE("https://shop.sonapharmacy.com/cdn/shop/products/51_VoT57JNL._AC.jpg?v=1610049471")</f>
        <v>#NAME?</v>
      </c>
      <c r="H4966" t="e">
        <f ca="1">IMAGE("https://m.media-amazon.com/images/I/81mihrK+uhL._AC_UL320_.jpg")</f>
        <v>#NAME?</v>
      </c>
      <c r="I4966" t="s">
        <v>10990</v>
      </c>
      <c r="J4966">
        <v>15.87</v>
      </c>
      <c r="K4966" s="2" t="s">
        <v>14286</v>
      </c>
      <c r="L4966">
        <v>4.7</v>
      </c>
      <c r="M4966">
        <v>3326</v>
      </c>
      <c r="O4966" t="s">
        <v>26</v>
      </c>
      <c r="P4966" t="s">
        <v>39</v>
      </c>
      <c r="Q4966" t="s">
        <v>10992</v>
      </c>
    </row>
    <row r="4967" spans="1:17" ht="15.75" x14ac:dyDescent="0.25">
      <c r="A4967" s="3" t="str">
        <f>HYPERLINK("https://shop.sonapharmacy.com/products/emergen-c-1000mg-vitamin-c", "https://shop.sonapharmacy.com/products/emergen-c-1000mg-vitamin-c")</f>
        <v>https://shop.sonapharmacy.com/products/emergen-c-1000mg-vitamin-c</v>
      </c>
      <c r="B4967" s="3" t="str">
        <f>HYPERLINK("https://shop.sonapharmacy.com/products/emergen-c-1000mg-vitamin-c", "https://shop.sonapharmacy.com/products/emergen-c-1000mg-vitamin-c")</f>
        <v>https://shop.sonapharmacy.com/products/emergen-c-1000mg-vitamin-c</v>
      </c>
      <c r="C4967" t="s">
        <v>14287</v>
      </c>
      <c r="D4967" t="s">
        <v>14288</v>
      </c>
      <c r="E4967" s="3" t="str">
        <f>HYPERLINK("https://www.amazon.com/Emergen-C-26595-242723-Raspbry/dp/B07D47RFBH/ref=sr_1_7?keywords=Emergen-C%C2%AE+1000mg+Vitamin+C+Packets+30ct.&amp;qid=1695260231&amp;sr=8-7", "https://www.amazon.com/Emergen-C-26595-242723-Raspbry/dp/B07D47RFBH/ref=sr_1_7?keywords=Emergen-C%C2%AE+1000mg+Vitamin+C+Packets+30ct.&amp;qid=1695260231&amp;sr=8-7")</f>
        <v>https://www.amazon.com/Emergen-C-26595-242723-Raspbry/dp/B07D47RFBH/ref=sr_1_7?keywords=Emergen-C%C2%AE+1000mg+Vitamin+C+Packets+30ct.&amp;qid=1695260231&amp;sr=8-7</v>
      </c>
      <c r="F4967" t="s">
        <v>14289</v>
      </c>
      <c r="G4967" t="e">
        <f ca="1">IMAGE("https://shop.sonapharmacy.com/cdn/shop/products/812Rxl8QpDL._AC_SL1500.jpg?v=1607458366")</f>
        <v>#NAME?</v>
      </c>
      <c r="H4967" t="e">
        <f ca="1">IMAGE("https://m.media-amazon.com/images/I/81avnh9NX6L._AC_UL320_.jpg")</f>
        <v>#NAME?</v>
      </c>
      <c r="I4967" t="s">
        <v>14290</v>
      </c>
      <c r="J4967">
        <v>11.99</v>
      </c>
      <c r="K4967" s="2" t="s">
        <v>14291</v>
      </c>
      <c r="L4967">
        <v>4.8</v>
      </c>
      <c r="M4967">
        <v>970</v>
      </c>
      <c r="O4967" t="s">
        <v>26</v>
      </c>
      <c r="P4967" t="s">
        <v>39</v>
      </c>
      <c r="Q4967" t="s">
        <v>14292</v>
      </c>
    </row>
    <row r="4968" spans="1:17" ht="15.75" x14ac:dyDescent="0.25">
      <c r="A4968" s="3" t="str">
        <f>HYPERLINK("https://shop.sonapharmacy.com/products/accu-chek-guide-test-strips-50-ct", "https://shop.sonapharmacy.com/products/accu-chek-guide-test-strips-50-ct")</f>
        <v>https://shop.sonapharmacy.com/products/accu-chek-guide-test-strips-50-ct</v>
      </c>
      <c r="B4968" s="3" t="str">
        <f>HYPERLINK("https://shop.sonapharmacy.com/products/accu-chek-guide-test-strips-50-ct", "https://shop.sonapharmacy.com/products/accu-chek-guide-test-strips-50-ct")</f>
        <v>https://shop.sonapharmacy.com/products/accu-chek-guide-test-strips-50-ct</v>
      </c>
      <c r="C4968" t="s">
        <v>8734</v>
      </c>
      <c r="D4968" t="s">
        <v>14293</v>
      </c>
      <c r="E4968" s="3" t="str">
        <f>HYPERLINK("https://www.amazon.com/Accu-chek-Guide-50-Strips-Reta/dp/B072DZXBSS/ref=sr_1_3?keywords=Accu-Chek+Guide+Test+Strips&amp;qid=1695260023&amp;sr=8-3", "https://www.amazon.com/Accu-chek-Guide-50-Strips-Reta/dp/B072DZXBSS/ref=sr_1_3?keywords=Accu-Chek+Guide+Test+Strips&amp;qid=1695260023&amp;sr=8-3")</f>
        <v>https://www.amazon.com/Accu-chek-Guide-50-Strips-Reta/dp/B072DZXBSS/ref=sr_1_3?keywords=Accu-Chek+Guide+Test+Strips&amp;qid=1695260023&amp;sr=8-3</v>
      </c>
      <c r="F4968" t="s">
        <v>14294</v>
      </c>
      <c r="G4968" t="e">
        <f ca="1">IMAGE("https://shop.sonapharmacy.com/cdn/shop/products/Accu-ChekGuideTestStrips50ct.yyy.jpg?v=1594217683")</f>
        <v>#NAME?</v>
      </c>
      <c r="H4968" t="e">
        <f ca="1">IMAGE("https://m.media-amazon.com/images/I/61JAXOg88rL._AC_UL320_.jpg")</f>
        <v>#NAME?</v>
      </c>
      <c r="I4968" t="s">
        <v>8737</v>
      </c>
      <c r="J4968">
        <v>21.91</v>
      </c>
      <c r="K4968" s="2" t="s">
        <v>14295</v>
      </c>
      <c r="L4968">
        <v>4.5999999999999996</v>
      </c>
      <c r="M4968">
        <v>846</v>
      </c>
      <c r="O4968" t="s">
        <v>26</v>
      </c>
      <c r="P4968" t="s">
        <v>39</v>
      </c>
      <c r="Q4968" t="s">
        <v>8739</v>
      </c>
    </row>
    <row r="4969" spans="1:17" ht="15.75" x14ac:dyDescent="0.25">
      <c r="A4969" s="3" t="str">
        <f>HYPERLINK("https://shop.sonapharmacy.com/products/hylands-4-kids-cold-cough", "https://shop.sonapharmacy.com/products/hylands-4-kids-cold-cough")</f>
        <v>https://shop.sonapharmacy.com/products/hylands-4-kids-cold-cough</v>
      </c>
      <c r="B4969" s="3" t="str">
        <f>HYPERLINK("https://shop.sonapharmacy.com/products/hylands-4-kids-cold-cough", "https://shop.sonapharmacy.com/products/hylands-4-kids-cold-cough")</f>
        <v>https://shop.sonapharmacy.com/products/hylands-4-kids-cold-cough</v>
      </c>
      <c r="C4969" t="s">
        <v>13704</v>
      </c>
      <c r="D4969" t="s">
        <v>14296</v>
      </c>
      <c r="E4969" s="3" t="str">
        <f>HYPERLINK("https://www.amazon.com/Hylands-Relief-Liquid-Natural-Congestion/dp/B00NNR2JD8/ref=sr_1_10?keywords=Hyland%27s%C2%AE+4+Kids+Cold+%26+Cough&amp;qid=1695260410&amp;sr=8-10", "https://www.amazon.com/Hylands-Relief-Liquid-Natural-Congestion/dp/B00NNR2JD8/ref=sr_1_10?keywords=Hyland%27s%C2%AE+4+Kids+Cold+%26+Cough&amp;qid=1695260410&amp;sr=8-10")</f>
        <v>https://www.amazon.com/Hylands-Relief-Liquid-Natural-Congestion/dp/B00NNR2JD8/ref=sr_1_10?keywords=Hyland%27s%C2%AE+4+Kids+Cold+%26+Cough&amp;qid=1695260410&amp;sr=8-10</v>
      </c>
      <c r="F4969" t="s">
        <v>14297</v>
      </c>
      <c r="G4969" t="e">
        <f ca="1">IMAGE("https://shop.sonapharmacy.com/cdn/shop/products/Untitled-144.jpg?v=1593020824")</f>
        <v>#NAME?</v>
      </c>
      <c r="H4969" t="e">
        <f ca="1">IMAGE("https://m.media-amazon.com/images/I/61-He-SSDwL._AC_UL320_.jpg")</f>
        <v>#NAME?</v>
      </c>
      <c r="I4969" t="s">
        <v>13707</v>
      </c>
      <c r="J4969">
        <v>9.99</v>
      </c>
      <c r="K4969" s="2" t="s">
        <v>14298</v>
      </c>
      <c r="L4969">
        <v>4.7</v>
      </c>
      <c r="M4969">
        <v>1212</v>
      </c>
      <c r="O4969" t="s">
        <v>26</v>
      </c>
      <c r="P4969" t="s">
        <v>39</v>
      </c>
      <c r="Q4969" t="s">
        <v>13709</v>
      </c>
    </row>
    <row r="4970" spans="1:17" ht="15.75" x14ac:dyDescent="0.25">
      <c r="A4970" s="3" t="str">
        <f>HYPERLINK("https://shop.sonapharmacy.com/products/oracoat-xylimelts%C2%AE-dry-mouth-stick-on-melts-for-moisturizing-40ct", "https://shop.sonapharmacy.com/products/oracoat-xylimelts%C2%AE-dry-mouth-stick-on-melts-for-moisturizing-40ct")</f>
        <v>https://shop.sonapharmacy.com/products/oracoat-xylimelts%C2%AE-dry-mouth-stick-on-melts-for-moisturizing-40ct</v>
      </c>
      <c r="B4970" s="3" t="str">
        <f>HYPERLINK("https://shop.sonapharmacy.com/products/oracoat-xylimelts%c2%ae-dry-mouth-stick-on-melts-for-moisturizing-40ct", "https://shop.sonapharmacy.com/products/oracoat-xylimelts%c2%ae-dry-mouth-stick-on-melts-for-moisturizing-40ct")</f>
        <v>https://shop.sonapharmacy.com/products/oracoat-xylimelts%c2%ae-dry-mouth-stick-on-melts-for-moisturizing-40ct</v>
      </c>
      <c r="C4970" t="s">
        <v>14299</v>
      </c>
      <c r="D4970" t="s">
        <v>14300</v>
      </c>
      <c r="E4970" s="3" t="str">
        <f>HYPERLINK("https://www.amazon.com/XyliMelts-Stick-onTM-Moisturizing-Stimulates-Non-Acidic/dp/B0BX75YX42/ref=sr_1_1?keywords=OraCoat+Xylimelts%C2%AE+Dry+Mouth+Stick-On+Melts+for+Moisturizing+40ct.&amp;qid=1695260612&amp;sr=8-1", "https://www.amazon.com/XyliMelts-Stick-onTM-Moisturizing-Stimulates-Non-Acidic/dp/B0BX75YX42/ref=sr_1_1?keywords=OraCoat+Xylimelts%C2%AE+Dry+Mouth+Stick-On+Melts+for+Moisturizing+40ct.&amp;qid=1695260612&amp;sr=8-1")</f>
        <v>https://www.amazon.com/XyliMelts-Stick-onTM-Moisturizing-Stimulates-Non-Acidic/dp/B0BX75YX42/ref=sr_1_1?keywords=OraCoat+Xylimelts%C2%AE+Dry+Mouth+Stick-On+Melts+for+Moisturizing+40ct.&amp;qid=1695260612&amp;sr=8-1</v>
      </c>
      <c r="F4970" t="s">
        <v>14301</v>
      </c>
      <c r="G4970" t="e">
        <f ca="1">IMAGE("https://shop.sonapharmacy.com/cdn/shop/products/71DpMPYOswL._SL1500.jpg?v=1608567647")</f>
        <v>#NAME?</v>
      </c>
      <c r="H4970" t="e">
        <f ca="1">IMAGE("https://m.media-amazon.com/images/I/71r-QwAg18L._AC_UL320_.jpg")</f>
        <v>#NAME?</v>
      </c>
      <c r="I4970" t="s">
        <v>13707</v>
      </c>
      <c r="J4970">
        <v>9.99</v>
      </c>
      <c r="K4970" s="2" t="s">
        <v>14298</v>
      </c>
      <c r="L4970">
        <v>4.0999999999999996</v>
      </c>
      <c r="M4970">
        <v>104</v>
      </c>
      <c r="O4970" t="s">
        <v>26</v>
      </c>
      <c r="P4970" t="s">
        <v>39</v>
      </c>
      <c r="Q4970" t="s">
        <v>14302</v>
      </c>
    </row>
    <row r="4971" spans="1:17" ht="15.75" x14ac:dyDescent="0.25">
      <c r="A4971" s="3" t="str">
        <f>HYPERLINK("https://shop.sonapharmacy.com/products/mueller%C2%AE-adjustable-back-brace-with-lumbar-pad-regular", "https://shop.sonapharmacy.com/products/mueller%C2%AE-adjustable-back-brace-with-lumbar-pad-regular")</f>
        <v>https://shop.sonapharmacy.com/products/mueller%C2%AE-adjustable-back-brace-with-lumbar-pad-regular</v>
      </c>
      <c r="B4971" s="3" t="str">
        <f>HYPERLINK("https://shop.sonapharmacy.com/products/mueller%c2%ae-adjustable-back-brace-with-lumbar-pad-regular", "https://shop.sonapharmacy.com/products/mueller%c2%ae-adjustable-back-brace-with-lumbar-pad-regular")</f>
        <v>https://shop.sonapharmacy.com/products/mueller%c2%ae-adjustable-back-brace-with-lumbar-pad-regular</v>
      </c>
      <c r="C4971" t="s">
        <v>11252</v>
      </c>
      <c r="D4971" t="s">
        <v>14303</v>
      </c>
      <c r="E4971" s="3" t="str">
        <f>HYPERLINK("https://www.amazon.com/Mueller-Lumbar-Support-Removable-Regular/dp/B00267SFKC/ref=sr_1_1?keywords=Mueller%C2%AE+Adjustable+Back+Brace+with+Lumbar+Pad+Regular&amp;qid=1695260513&amp;sr=8-1", "https://www.amazon.com/Mueller-Lumbar-Support-Removable-Regular/dp/B00267SFKC/ref=sr_1_1?keywords=Mueller%C2%AE+Adjustable+Back+Brace+with+Lumbar+Pad+Regular&amp;qid=1695260513&amp;sr=8-1")</f>
        <v>https://www.amazon.com/Mueller-Lumbar-Support-Removable-Regular/dp/B00267SFKC/ref=sr_1_1?keywords=Mueller%C2%AE+Adjustable+Back+Brace+with+Lumbar+Pad+Regular&amp;qid=1695260513&amp;sr=8-1</v>
      </c>
      <c r="F4971" t="s">
        <v>14304</v>
      </c>
      <c r="G4971" t="e">
        <f ca="1">IMAGE("https://shop.sonapharmacy.com/cdn/shop/products/3aa38238-1758-478a-9587-ade8e0fa6948_1.c46fc68f18453e999b2cf9a0edf5b2c3.jpg?v=1609873447")</f>
        <v>#NAME?</v>
      </c>
      <c r="H4971" t="e">
        <f ca="1">IMAGE("https://m.media-amazon.com/images/I/91H-WDen81L._AC_UL320_.jpg")</f>
        <v>#NAME?</v>
      </c>
      <c r="I4971" t="s">
        <v>11255</v>
      </c>
      <c r="J4971">
        <v>29.31</v>
      </c>
      <c r="K4971" s="2" t="s">
        <v>6452</v>
      </c>
      <c r="L4971">
        <v>4.5</v>
      </c>
      <c r="M4971">
        <v>23495</v>
      </c>
      <c r="O4971" t="s">
        <v>26</v>
      </c>
      <c r="P4971" t="s">
        <v>39</v>
      </c>
      <c r="Q4971" t="s">
        <v>11257</v>
      </c>
    </row>
    <row r="4972" spans="1:17" ht="15.75" x14ac:dyDescent="0.25">
      <c r="A4972" s="3" t="str">
        <f>HYPERLINK("https://shop.sonapharmacy.com/products/hylands-leg-cramps-relief-ointment", "https://shop.sonapharmacy.com/products/hylands-leg-cramps-relief-ointment")</f>
        <v>https://shop.sonapharmacy.com/products/hylands-leg-cramps-relief-ointment</v>
      </c>
      <c r="B4972" s="3" t="str">
        <f>HYPERLINK("https://shop.sonapharmacy.com/products/hylands-leg-cramps-relief-ointment", "https://shop.sonapharmacy.com/products/hylands-leg-cramps-relief-ointment")</f>
        <v>https://shop.sonapharmacy.com/products/hylands-leg-cramps-relief-ointment</v>
      </c>
      <c r="C4972" t="s">
        <v>14305</v>
      </c>
      <c r="D4972" t="s">
        <v>14306</v>
      </c>
      <c r="E4972" s="3" t="str">
        <f>HYPERLINK("https://www.amazon.com/Arnica-Muscle-Soreness-Ointment-Hylands/dp/B0001VKXM8/ref=sr_1_1?keywords=Hyland%27s%C2%AE+Leg+Cramps+Relief+Ointment&amp;qid=1695260393&amp;sr=8-1", "https://www.amazon.com/Arnica-Muscle-Soreness-Ointment-Hylands/dp/B0001VKXM8/ref=sr_1_1?keywords=Hyland%27s%C2%AE+Leg+Cramps+Relief+Ointment&amp;qid=1695260393&amp;sr=8-1")</f>
        <v>https://www.amazon.com/Arnica-Muscle-Soreness-Ointment-Hylands/dp/B0001VKXM8/ref=sr_1_1?keywords=Hyland%27s%C2%AE+Leg+Cramps+Relief+Ointment&amp;qid=1695260393&amp;sr=8-1</v>
      </c>
      <c r="F4972" t="s">
        <v>14307</v>
      </c>
      <c r="G4972" t="e">
        <f ca="1">IMAGE("https://shop.sonapharmacy.com/cdn/shop/products/a35474c2-4024-42c2-8bab-08f04755778c_1.3f2df9e52314c7083063a42200a8e4ae.jpg?v=1609355036")</f>
        <v>#NAME?</v>
      </c>
      <c r="H4972" t="e">
        <f ca="1">IMAGE("https://m.media-amazon.com/images/I/61o2B8FAo1L._AC_UL320_.jpg")</f>
        <v>#NAME?</v>
      </c>
      <c r="I4972" t="s">
        <v>11359</v>
      </c>
      <c r="J4972">
        <v>11.47</v>
      </c>
      <c r="K4972" s="2" t="s">
        <v>14308</v>
      </c>
      <c r="L4972">
        <v>4.3</v>
      </c>
      <c r="M4972">
        <v>5564</v>
      </c>
      <c r="O4972" t="s">
        <v>26</v>
      </c>
      <c r="P4972" t="s">
        <v>39</v>
      </c>
      <c r="Q4972" t="s">
        <v>14309</v>
      </c>
    </row>
    <row r="4973" spans="1:17" ht="15.75" x14ac:dyDescent="0.25">
      <c r="A4973" s="3" t="str">
        <f>HYPERLINK("https://shop.sonapharmacy.com/products/goodsense%C2%AE-esomeprazole-magnesium-delayed-release-acid-reducer-capsules-42ct", "https://shop.sonapharmacy.com/products/goodsense%C2%AE-esomeprazole-magnesium-delayed-release-acid-reducer-capsules-42ct")</f>
        <v>https://shop.sonapharmacy.com/products/goodsense%C2%AE-esomeprazole-magnesium-delayed-release-acid-reducer-capsules-42ct</v>
      </c>
      <c r="B4973" s="3" t="str">
        <f>HYPERLINK("https://shop.sonapharmacy.com/products/goodsense%c2%ae-esomeprazole-magnesium-delayed-release-acid-reducer-capsules-42ct", "https://shop.sonapharmacy.com/products/goodsense%c2%ae-esomeprazole-magnesium-delayed-release-acid-reducer-capsules-42ct")</f>
        <v>https://shop.sonapharmacy.com/products/goodsense%c2%ae-esomeprazole-magnesium-delayed-release-acid-reducer-capsules-42ct</v>
      </c>
      <c r="C4973" t="s">
        <v>14100</v>
      </c>
      <c r="D4973" t="s">
        <v>14310</v>
      </c>
      <c r="E4973" s="3" t="str">
        <f>HYPERLINK("https://www.amazon.com/GoodSense-Esomeprazole-Magnesium-Delayed-Release-Capsules/dp/B01N194J52/ref=sr_1_7?keywords=GoodSense%C2%AE+Esomeprazole+Magnesium+Delayed+Release+Acid+Reducer+Capsules+42ct.&amp;qid=1695260323&amp;sr=8-7", "https://www.amazon.com/GoodSense-Esomeprazole-Magnesium-Delayed-Release-Capsules/dp/B01N194J52/ref=sr_1_7?keywords=GoodSense%C2%AE+Esomeprazole+Magnesium+Delayed+Release+Acid+Reducer+Capsules+42ct.&amp;qid=1695260323&amp;sr=8-7")</f>
        <v>https://www.amazon.com/GoodSense-Esomeprazole-Magnesium-Delayed-Release-Capsules/dp/B01N194J52/ref=sr_1_7?keywords=GoodSense%C2%AE+Esomeprazole+Magnesium+Delayed+Release+Acid+Reducer+Capsules+42ct.&amp;qid=1695260323&amp;sr=8-7</v>
      </c>
      <c r="F4973" t="s">
        <v>14311</v>
      </c>
      <c r="G4973" t="e">
        <f ca="1">IMAGE("https://shop.sonapharmacy.com/cdn/shop/products/81xpPJ8MxCL._AC_SL1500.jpg?v=1611028041")</f>
        <v>#NAME?</v>
      </c>
      <c r="H4973" t="e">
        <f ca="1">IMAGE("https://m.media-amazon.com/images/I/61G7QDxEaPL._AC_UL320_.jpg")</f>
        <v>#NAME?</v>
      </c>
      <c r="I4973" t="s">
        <v>3413</v>
      </c>
      <c r="J4973">
        <v>19.79</v>
      </c>
      <c r="K4973" s="2" t="s">
        <v>14312</v>
      </c>
      <c r="L4973">
        <v>4.4000000000000004</v>
      </c>
      <c r="M4973">
        <v>57</v>
      </c>
      <c r="O4973" t="s">
        <v>26</v>
      </c>
      <c r="P4973" t="s">
        <v>39</v>
      </c>
      <c r="Q4973" t="s">
        <v>14104</v>
      </c>
    </row>
    <row r="4974" spans="1:17" ht="15.75" x14ac:dyDescent="0.25">
      <c r="A4974" s="3" t="str">
        <f>HYPERLINK("https://shop.sonapharmacy.com/products/slow-fe%C2%AE-slow-release-iron-supplement-30-tablets", "https://shop.sonapharmacy.com/products/slow-fe%C2%AE-slow-release-iron-supplement-30-tablets")</f>
        <v>https://shop.sonapharmacy.com/products/slow-fe%C2%AE-slow-release-iron-supplement-30-tablets</v>
      </c>
      <c r="B4974" s="3" t="str">
        <f>HYPERLINK("https://shop.sonapharmacy.com/products/slow-fe%c2%ae-slow-release-iron-supplement-30-tablets", "https://shop.sonapharmacy.com/products/slow-fe%c2%ae-slow-release-iron-supplement-30-tablets")</f>
        <v>https://shop.sonapharmacy.com/products/slow-fe%c2%ae-slow-release-iron-supplement-30-tablets</v>
      </c>
      <c r="C4974" t="s">
        <v>9006</v>
      </c>
      <c r="D4974" t="s">
        <v>14313</v>
      </c>
      <c r="E4974" s="3" t="str">
        <f>HYPERLINK("https://www.amazon.com/Release-Tablets-Vegetarian-Supplement-Carlyle/dp/B09HMZRZSF/ref=sr_1_9?keywords=Slow+Fe%C2%AE+Slow+Release+Iron+Supplement+30+Tablets&amp;qid=1695260722&amp;sr=8-9", "https://www.amazon.com/Release-Tablets-Vegetarian-Supplement-Carlyle/dp/B09HMZRZSF/ref=sr_1_9?keywords=Slow+Fe%C2%AE+Slow+Release+Iron+Supplement+30+Tablets&amp;qid=1695260722&amp;sr=8-9")</f>
        <v>https://www.amazon.com/Release-Tablets-Vegetarian-Supplement-Carlyle/dp/B09HMZRZSF/ref=sr_1_9?keywords=Slow+Fe%C2%AE+Slow+Release+Iron+Supplement+30+Tablets&amp;qid=1695260722&amp;sr=8-9</v>
      </c>
      <c r="F4974" t="s">
        <v>14314</v>
      </c>
      <c r="G4974" t="e">
        <f ca="1">IMAGE("https://shop.sonapharmacy.com/cdn/shop/products/large_2369b63c-764b-4743-88e5-a412e342b294.jpg?v=1589921168")</f>
        <v>#NAME?</v>
      </c>
      <c r="H4974" t="e">
        <f ca="1">IMAGE("https://m.media-amazon.com/images/I/71buPAuzTLL._AC_UL320_.jpg")</f>
        <v>#NAME?</v>
      </c>
      <c r="I4974" t="s">
        <v>9009</v>
      </c>
      <c r="J4974">
        <v>9.99</v>
      </c>
      <c r="K4974" s="2" t="s">
        <v>14315</v>
      </c>
      <c r="L4974">
        <v>4.7</v>
      </c>
      <c r="M4974">
        <v>430</v>
      </c>
      <c r="O4974" t="s">
        <v>26</v>
      </c>
      <c r="P4974" t="s">
        <v>39</v>
      </c>
      <c r="Q4974" t="s">
        <v>9011</v>
      </c>
    </row>
    <row r="4975" spans="1:17" ht="15.75" x14ac:dyDescent="0.25">
      <c r="A4975" s="3" t="str">
        <f>HYPERLINK("https://shop.sonapharmacy.com/products/first-response%E2%84%A2-early-result-pregnancy-test-2ct", "https://shop.sonapharmacy.com/products/first-response%E2%84%A2-early-result-pregnancy-test-2ct")</f>
        <v>https://shop.sonapharmacy.com/products/first-response%E2%84%A2-early-result-pregnancy-test-2ct</v>
      </c>
      <c r="B4975" s="3" t="str">
        <f>HYPERLINK("https://shop.sonapharmacy.com/products/first-response%e2%84%a2-early-result-pregnancy-test-2ct", "https://shop.sonapharmacy.com/products/first-response%e2%84%a2-early-result-pregnancy-test-2ct")</f>
        <v>https://shop.sonapharmacy.com/products/first-response%e2%84%a2-early-result-pregnancy-test-2ct</v>
      </c>
      <c r="C4975" t="s">
        <v>14316</v>
      </c>
      <c r="D4975" t="s">
        <v>14317</v>
      </c>
      <c r="E4975" s="3" t="str">
        <f>HYPERLINK("https://www.amazon.com/First-Response-Result-Pregnancy-Packaging/dp/B001E96NBQ/ref=sr_1_1?keywords=First+Response%E2%84%A2+Early+Result+Pregnancy+Test+2ct.&amp;qid=1695260268&amp;sr=8-1", "https://www.amazon.com/First-Response-Result-Pregnancy-Packaging/dp/B001E96NBQ/ref=sr_1_1?keywords=First+Response%E2%84%A2+Early+Result+Pregnancy+Test+2ct.&amp;qid=1695260268&amp;sr=8-1")</f>
        <v>https://www.amazon.com/First-Response-Result-Pregnancy-Packaging/dp/B001E96NBQ/ref=sr_1_1?keywords=First+Response%E2%84%A2+Early+Result+Pregnancy+Test+2ct.&amp;qid=1695260268&amp;sr=8-1</v>
      </c>
      <c r="F4975" t="s">
        <v>14318</v>
      </c>
      <c r="G4975" t="e">
        <f ca="1">IMAGE("https://shop.sonapharmacy.com/cdn/shop/products/package-front-old.png?v=1609170194")</f>
        <v>#NAME?</v>
      </c>
      <c r="H4975" t="e">
        <f ca="1">IMAGE("https://m.media-amazon.com/images/I/71i4HZ-dZuL._AC_UL320_.jpg")</f>
        <v>#NAME?</v>
      </c>
      <c r="I4975" t="s">
        <v>9290</v>
      </c>
      <c r="J4975">
        <v>13.99</v>
      </c>
      <c r="K4975" s="2" t="s">
        <v>14319</v>
      </c>
      <c r="L4975">
        <v>4.7</v>
      </c>
      <c r="M4975">
        <v>31649</v>
      </c>
      <c r="O4975" t="s">
        <v>26</v>
      </c>
      <c r="P4975" t="s">
        <v>39</v>
      </c>
      <c r="Q4975" t="s">
        <v>14320</v>
      </c>
    </row>
    <row r="4976" spans="1:17" ht="15.75" x14ac:dyDescent="0.25">
      <c r="A4976" s="3" t="str">
        <f>HYPERLINK("https://shop.sonapharmacy.com/products/dr-scholl-s%C2%AE-stylish-step%C2%AE-ball-of-foot-cushions-for-high-heels", "https://shop.sonapharmacy.com/products/dr-scholl-s%C2%AE-stylish-step%C2%AE-ball-of-foot-cushions-for-high-heels")</f>
        <v>https://shop.sonapharmacy.com/products/dr-scholl-s%C2%AE-stylish-step%C2%AE-ball-of-foot-cushions-for-high-heels</v>
      </c>
      <c r="B4976" s="3" t="str">
        <f>HYPERLINK("https://shop.sonapharmacy.com/products/dr-scholl-s%c2%ae-stylish-step%c2%ae-ball-of-foot-cushions-for-high-heels", "https://shop.sonapharmacy.com/products/dr-scholl-s%c2%ae-stylish-step%c2%ae-ball-of-foot-cushions-for-high-heels")</f>
        <v>https://shop.sonapharmacy.com/products/dr-scholl-s%c2%ae-stylish-step%c2%ae-ball-of-foot-cushions-for-high-heels</v>
      </c>
      <c r="C4976" t="s">
        <v>9772</v>
      </c>
      <c r="D4976" t="s">
        <v>14321</v>
      </c>
      <c r="E4976" s="3" t="str">
        <f>HYPERLINK("https://www.amazon.com/Dr-Scholls-Cushions-Comfortable-Packaging/dp/B0862RD2NQ/ref=sr_1_5?keywords=Dr.+Scholl%E2%80%99s%C2%AE+Stylish+Step%C2%AE+Ball+of+Foot+Cushions+for+High+Heels&amp;qid=1695260216&amp;rdc=1&amp;sr=8-5", "https://www.amazon.com/Dr-Scholls-Cushions-Comfortable-Packaging/dp/B0862RD2NQ/ref=sr_1_5?keywords=Dr.+Scholl%E2%80%99s%C2%AE+Stylish+Step%C2%AE+Ball+of+Foot+Cushions+for+High+Heels&amp;qid=1695260216&amp;rdc=1&amp;sr=8-5")</f>
        <v>https://www.amazon.com/Dr-Scholls-Cushions-Comfortable-Packaging/dp/B0862RD2NQ/ref=sr_1_5?keywords=Dr.+Scholl%E2%80%99s%C2%AE+Stylish+Step%C2%AE+Ball+of+Foot+Cushions+for+High+Heels&amp;qid=1695260216&amp;rdc=1&amp;sr=8-5</v>
      </c>
      <c r="F4976" t="s">
        <v>14322</v>
      </c>
      <c r="G4976" t="e">
        <f ca="1">IMAGE("https://shop.sonapharmacy.com/cdn/shop/products/2e45621c-3f2c-429b-9891-4c2961212334_2.ed3f78703faf1f19358da5492ae0a025.jpg?v=1610419107")</f>
        <v>#NAME?</v>
      </c>
      <c r="H4976" t="e">
        <f ca="1">IMAGE("https://m.media-amazon.com/images/I/81H-x9qGwPL._AC_UL320_.jpg")</f>
        <v>#NAME?</v>
      </c>
      <c r="I4976" t="s">
        <v>8341</v>
      </c>
      <c r="J4976">
        <v>6.99</v>
      </c>
      <c r="K4976" s="2" t="s">
        <v>6468</v>
      </c>
      <c r="L4976">
        <v>4.2</v>
      </c>
      <c r="M4976">
        <v>6308</v>
      </c>
      <c r="O4976" t="s">
        <v>26</v>
      </c>
      <c r="P4976" t="s">
        <v>39</v>
      </c>
      <c r="Q4976" t="s">
        <v>9776</v>
      </c>
    </row>
    <row r="4977" spans="1:17" ht="15.75" x14ac:dyDescent="0.25">
      <c r="A4977" s="3" t="str">
        <f>HYPERLINK("https://shop.sonapharmacy.com/products/flonase-allergy-relief-spray", "https://shop.sonapharmacy.com/products/flonase-allergy-relief-spray")</f>
        <v>https://shop.sonapharmacy.com/products/flonase-allergy-relief-spray</v>
      </c>
      <c r="B4977" s="3" t="str">
        <f>HYPERLINK("https://shop.sonapharmacy.com/products/flonase-allergy-relief-spray", "https://shop.sonapharmacy.com/products/flonase-allergy-relief-spray")</f>
        <v>https://shop.sonapharmacy.com/products/flonase-allergy-relief-spray</v>
      </c>
      <c r="C4977" t="s">
        <v>12108</v>
      </c>
      <c r="D4977" t="s">
        <v>14323</v>
      </c>
      <c r="E4977" s="3" t="str">
        <f>HYPERLINK("https://www.amazon.com/Flonase-Allergy-Metered-Medicine-Tissues/dp/B09J19Q189/ref=sr_1_9?keywords=Flonase%C2%AE+Allergy+Relief+Spray&amp;qid=1695260276&amp;rdc=1&amp;sr=8-9", "https://www.amazon.com/Flonase-Allergy-Metered-Medicine-Tissues/dp/B09J19Q189/ref=sr_1_9?keywords=Flonase%C2%AE+Allergy+Relief+Spray&amp;qid=1695260276&amp;rdc=1&amp;sr=8-9")</f>
        <v>https://www.amazon.com/Flonase-Allergy-Metered-Medicine-Tissues/dp/B09J19Q189/ref=sr_1_9?keywords=Flonase%C2%AE+Allergy+Relief+Spray&amp;qid=1695260276&amp;rdc=1&amp;sr=8-9</v>
      </c>
      <c r="F4977" t="s">
        <v>14324</v>
      </c>
      <c r="G4977" t="e">
        <f ca="1">IMAGE("https://shop.sonapharmacy.com/cdn/shop/products/81W9dcRd7bL._AC_SL1500.jpg?v=1611864793")</f>
        <v>#NAME?</v>
      </c>
      <c r="H4977" t="e">
        <f ca="1">IMAGE("https://m.media-amazon.com/images/I/810h+o+XOFL._AC_UL320_.jpg")</f>
        <v>#NAME?</v>
      </c>
      <c r="I4977" t="s">
        <v>11894</v>
      </c>
      <c r="J4977">
        <v>15.99</v>
      </c>
      <c r="K4977" s="2" t="s">
        <v>14325</v>
      </c>
      <c r="L4977">
        <v>4.7</v>
      </c>
      <c r="M4977">
        <v>3123</v>
      </c>
      <c r="O4977" t="s">
        <v>26</v>
      </c>
      <c r="P4977" t="s">
        <v>39</v>
      </c>
      <c r="Q4977" t="s">
        <v>12111</v>
      </c>
    </row>
    <row r="4978" spans="1:17" ht="15.75" x14ac:dyDescent="0.25">
      <c r="A4978" s="3" t="str">
        <f>HYPERLINK("https://shop.sonapharmacy.com/products/slow-fe%C2%AE-slow-release-iron-supplement-30-tablets", "https://shop.sonapharmacy.com/products/slow-fe%C2%AE-slow-release-iron-supplement-30-tablets")</f>
        <v>https://shop.sonapharmacy.com/products/slow-fe%C2%AE-slow-release-iron-supplement-30-tablets</v>
      </c>
      <c r="B4978" s="3" t="str">
        <f>HYPERLINK("https://shop.sonapharmacy.com/products/slow-fe%c2%ae-slow-release-iron-supplement-30-tablets", "https://shop.sonapharmacy.com/products/slow-fe%c2%ae-slow-release-iron-supplement-30-tablets")</f>
        <v>https://shop.sonapharmacy.com/products/slow-fe%c2%ae-slow-release-iron-supplement-30-tablets</v>
      </c>
      <c r="C4978" t="s">
        <v>9006</v>
      </c>
      <c r="D4978" t="s">
        <v>14326</v>
      </c>
      <c r="E4978" s="3" t="str">
        <f>HYPERLINK("https://www.amazon.com/Spring-Slow-Release-Tablets-Dietary-Supplement/dp/B0BLRCTPRW/ref=sr_1_6?keywords=Slow+Fe%C2%AE+Slow+Release+Iron+Supplement+30+Tablets&amp;qid=1695260722&amp;sr=8-6", "https://www.amazon.com/Spring-Slow-Release-Tablets-Dietary-Supplement/dp/B0BLRCTPRW/ref=sr_1_6?keywords=Slow+Fe%C2%AE+Slow+Release+Iron+Supplement+30+Tablets&amp;qid=1695260722&amp;sr=8-6")</f>
        <v>https://www.amazon.com/Spring-Slow-Release-Tablets-Dietary-Supplement/dp/B0BLRCTPRW/ref=sr_1_6?keywords=Slow+Fe%C2%AE+Slow+Release+Iron+Supplement+30+Tablets&amp;qid=1695260722&amp;sr=8-6</v>
      </c>
      <c r="F4978" t="s">
        <v>14327</v>
      </c>
      <c r="G4978" t="e">
        <f ca="1">IMAGE("https://shop.sonapharmacy.com/cdn/shop/products/large_2369b63c-764b-4743-88e5-a412e342b294.jpg?v=1589921168")</f>
        <v>#NAME?</v>
      </c>
      <c r="H4978" t="e">
        <f ca="1">IMAGE("https://m.media-amazon.com/images/I/51cbdlgG+vL._AC_UL320_.jpg")</f>
        <v>#NAME?</v>
      </c>
      <c r="I4978" t="s">
        <v>9009</v>
      </c>
      <c r="J4978">
        <v>9.9700000000000006</v>
      </c>
      <c r="K4978" s="2" t="s">
        <v>14328</v>
      </c>
      <c r="L4978">
        <v>5</v>
      </c>
      <c r="M4978">
        <v>6</v>
      </c>
      <c r="O4978" t="s">
        <v>26</v>
      </c>
      <c r="P4978" t="s">
        <v>39</v>
      </c>
      <c r="Q4978" t="s">
        <v>9011</v>
      </c>
    </row>
    <row r="4979" spans="1:17" ht="15.75" x14ac:dyDescent="0.25">
      <c r="A4979" s="3" t="str">
        <f>HYPERLINK("https://shop.sonapharmacy.com/products/contour-next-blood-glucose-test-strips", "https://shop.sonapharmacy.com/products/contour-next-blood-glucose-test-strips")</f>
        <v>https://shop.sonapharmacy.com/products/contour-next-blood-glucose-test-strips</v>
      </c>
      <c r="B4979" s="3" t="str">
        <f>HYPERLINK("https://shop.sonapharmacy.com/products/contour-next-blood-glucose-test-strips", "https://shop.sonapharmacy.com/products/contour-next-blood-glucose-test-strips")</f>
        <v>https://shop.sonapharmacy.com/products/contour-next-blood-glucose-test-strips</v>
      </c>
      <c r="C4979" t="s">
        <v>14329</v>
      </c>
      <c r="D4979" t="s">
        <v>10182</v>
      </c>
      <c r="E4979" s="3" t="str">
        <f>HYPERLINK("https://www.amazon.com/Contour-Diabetes-Testing-Lancets-Solution/dp/B00NG0MSPQ/ref=sr_1_4?keywords=Contour%C2%AE+Next+Blood+Glucose+Test+Strips&amp;qid=1695260162&amp;sr=8-4", "https://www.amazon.com/Contour-Diabetes-Testing-Lancets-Solution/dp/B00NG0MSPQ/ref=sr_1_4?keywords=Contour%C2%AE+Next+Blood+Glucose+Test+Strips&amp;qid=1695260162&amp;sr=8-4")</f>
        <v>https://www.amazon.com/Contour-Diabetes-Testing-Lancets-Solution/dp/B00NG0MSPQ/ref=sr_1_4?keywords=Contour%C2%AE+Next+Blood+Glucose+Test+Strips&amp;qid=1695260162&amp;sr=8-4</v>
      </c>
      <c r="F4979" t="s">
        <v>10183</v>
      </c>
      <c r="G4979" t="e">
        <f ca="1">IMAGE("https://shop.sonapharmacy.com/cdn/shop/products/ContourNextBloodGlucoseTestStrips.jpg?v=1594301735")</f>
        <v>#NAME?</v>
      </c>
      <c r="H4979" t="e">
        <f ca="1">IMAGE("https://m.media-amazon.com/images/I/71VxBax5LyL._AC_UL320_.jpg")</f>
        <v>#NAME?</v>
      </c>
      <c r="I4979" t="s">
        <v>14330</v>
      </c>
      <c r="J4979">
        <v>59.99</v>
      </c>
      <c r="K4979" s="2" t="s">
        <v>14328</v>
      </c>
      <c r="L4979">
        <v>4.5999999999999996</v>
      </c>
      <c r="M4979">
        <v>3401</v>
      </c>
      <c r="O4979" t="s">
        <v>26</v>
      </c>
      <c r="P4979" t="s">
        <v>39</v>
      </c>
      <c r="Q4979" t="s">
        <v>14331</v>
      </c>
    </row>
    <row r="4980" spans="1:17" ht="15.75" x14ac:dyDescent="0.25">
      <c r="A4980" s="3" t="str">
        <f>HYPERLINK("https://shop.sonapharmacy.com/products/contour-blood-glucose-test-strips", "https://shop.sonapharmacy.com/products/contour-blood-glucose-test-strips")</f>
        <v>https://shop.sonapharmacy.com/products/contour-blood-glucose-test-strips</v>
      </c>
      <c r="B4980" s="3" t="str">
        <f>HYPERLINK("https://shop.sonapharmacy.com/products/contour-blood-glucose-test-strips", "https://shop.sonapharmacy.com/products/contour-blood-glucose-test-strips")</f>
        <v>https://shop.sonapharmacy.com/products/contour-blood-glucose-test-strips</v>
      </c>
      <c r="C4980" t="s">
        <v>14332</v>
      </c>
      <c r="D4980" t="s">
        <v>10182</v>
      </c>
      <c r="E4980" s="3" t="str">
        <f>HYPERLINK("https://www.amazon.com/Contour-Diabetes-Testing-Lancets-Solution/dp/B00NG0MSPQ/ref=sr_1_8?keywords=Contour%C2%AE+Blood+Glucose+Test+Strips&amp;qid=1695260152&amp;sr=8-8", "https://www.amazon.com/Contour-Diabetes-Testing-Lancets-Solution/dp/B00NG0MSPQ/ref=sr_1_8?keywords=Contour%C2%AE+Blood+Glucose+Test+Strips&amp;qid=1695260152&amp;sr=8-8")</f>
        <v>https://www.amazon.com/Contour-Diabetes-Testing-Lancets-Solution/dp/B00NG0MSPQ/ref=sr_1_8?keywords=Contour%C2%AE+Blood+Glucose+Test+Strips&amp;qid=1695260152&amp;sr=8-8</v>
      </c>
      <c r="F4980" t="s">
        <v>10183</v>
      </c>
      <c r="G4980" t="e">
        <f ca="1">IMAGE("https://shop.sonapharmacy.com/cdn/shop/products/ContourBloodGlucoseTestStrips.jpg?v=1594302305")</f>
        <v>#NAME?</v>
      </c>
      <c r="H4980" t="e">
        <f ca="1">IMAGE("https://m.media-amazon.com/images/I/71VxBax5LyL._AC_UL320_.jpg")</f>
        <v>#NAME?</v>
      </c>
      <c r="I4980" t="s">
        <v>14330</v>
      </c>
      <c r="J4980">
        <v>59.99</v>
      </c>
      <c r="K4980" s="2" t="s">
        <v>14328</v>
      </c>
      <c r="L4980">
        <v>4.5999999999999996</v>
      </c>
      <c r="M4980">
        <v>3401</v>
      </c>
      <c r="O4980" t="s">
        <v>26</v>
      </c>
      <c r="P4980" t="s">
        <v>39</v>
      </c>
      <c r="Q4980" t="s">
        <v>14333</v>
      </c>
    </row>
    <row r="4981" spans="1:17" ht="15.75" x14ac:dyDescent="0.25">
      <c r="A4981" s="3" t="str">
        <f>HYPERLINK("https://shop.sonapharmacy.com/products/philips-sonicare-g2-optimal-gum-care-brush-heads-3ct", "https://shop.sonapharmacy.com/products/philips-sonicare-g2-optimal-gum-care-brush-heads-3ct")</f>
        <v>https://shop.sonapharmacy.com/products/philips-sonicare-g2-optimal-gum-care-brush-heads-3ct</v>
      </c>
      <c r="B4981" s="3" t="str">
        <f>HYPERLINK("https://shop.sonapharmacy.com/products/philips-sonicare-g2-optimal-gum-care-brush-heads-3ct", "https://shop.sonapharmacy.com/products/philips-sonicare-g2-optimal-gum-care-brush-heads-3ct")</f>
        <v>https://shop.sonapharmacy.com/products/philips-sonicare-g2-optimal-gum-care-brush-heads-3ct</v>
      </c>
      <c r="C4981" t="s">
        <v>14334</v>
      </c>
      <c r="D4981" t="s">
        <v>14335</v>
      </c>
      <c r="E4981" s="3" t="str">
        <f>HYPERLINK("https://www.amazon.com/Philips-Sonicare-replacement-toothbrush-HX9033/dp/B078BF2BGN/ref=sr_1_1?keywords=Philips%C2%AE+Sonicare+G2+Optimal+Gum+Care+Brush+Heads+3ct&amp;qid=1695260662&amp;sr=8-1", "https://www.amazon.com/Philips-Sonicare-replacement-toothbrush-HX9033/dp/B078BF2BGN/ref=sr_1_1?keywords=Philips%C2%AE+Sonicare+G2+Optimal+Gum+Care+Brush+Heads+3ct&amp;qid=1695260662&amp;sr=8-1")</f>
        <v>https://www.amazon.com/Philips-Sonicare-replacement-toothbrush-HX9033/dp/B078BF2BGN/ref=sr_1_1?keywords=Philips%C2%AE+Sonicare+G2+Optimal+Gum+Care+Brush+Heads+3ct&amp;qid=1695260662&amp;sr=8-1</v>
      </c>
      <c r="F4981" t="s">
        <v>14336</v>
      </c>
      <c r="G4981" t="e">
        <f ca="1">IMAGE("https://shop.sonapharmacy.com/cdn/shop/products/51PpvYBjSKL._SL1099.jpg?v=1608583091")</f>
        <v>#NAME?</v>
      </c>
      <c r="H4981" t="e">
        <f ca="1">IMAGE("https://m.media-amazon.com/images/I/71WUalUDzfL._AC_UL320_.jpg")</f>
        <v>#NAME?</v>
      </c>
      <c r="I4981" t="s">
        <v>14337</v>
      </c>
      <c r="J4981">
        <v>31.96</v>
      </c>
      <c r="K4981" s="2" t="s">
        <v>14338</v>
      </c>
      <c r="L4981">
        <v>4.8</v>
      </c>
      <c r="M4981">
        <v>12984</v>
      </c>
      <c r="O4981" t="s">
        <v>136</v>
      </c>
      <c r="P4981" t="s">
        <v>39</v>
      </c>
      <c r="Q4981" t="s">
        <v>14339</v>
      </c>
    </row>
    <row r="4982" spans="1:17" ht="15.75" x14ac:dyDescent="0.25">
      <c r="A4982" s="3" t="str">
        <f>HYPERLINK("https://shop.sonapharmacy.com/products/fingertip-pulse-oximeter", "https://shop.sonapharmacy.com/products/fingertip-pulse-oximeter")</f>
        <v>https://shop.sonapharmacy.com/products/fingertip-pulse-oximeter</v>
      </c>
      <c r="B4982" s="3" t="str">
        <f>HYPERLINK("https://shop.sonapharmacy.com/products/fingertip-pulse-oximeter", "https://shop.sonapharmacy.com/products/fingertip-pulse-oximeter")</f>
        <v>https://shop.sonapharmacy.com/products/fingertip-pulse-oximeter</v>
      </c>
      <c r="C4982" t="s">
        <v>14340</v>
      </c>
      <c r="D4982" t="s">
        <v>14341</v>
      </c>
      <c r="E4982" s="3" t="str">
        <f>HYPERLINK("https://www.amazon.com/Innovo-Fingertip-Oximeter-Plethysmograph-Perfusion/dp/B07YVGZPRZ/ref=sr_1_4?keywords=Fingertip+Pulse+Oximeter&amp;qid=1695260249&amp;sr=8-4", "https://www.amazon.com/Innovo-Fingertip-Oximeter-Plethysmograph-Perfusion/dp/B07YVGZPRZ/ref=sr_1_4?keywords=Fingertip+Pulse+Oximeter&amp;qid=1695260249&amp;sr=8-4")</f>
        <v>https://www.amazon.com/Innovo-Fingertip-Oximeter-Plethysmograph-Perfusion/dp/B07YVGZPRZ/ref=sr_1_4?keywords=Fingertip+Pulse+Oximeter&amp;qid=1695260249&amp;sr=8-4</v>
      </c>
      <c r="F4982" t="s">
        <v>14342</v>
      </c>
      <c r="G4982" t="e">
        <f ca="1">IMAGE("https://shop.sonapharmacy.com/cdn/shop/products/PulseOxDrive.png?v=1605994866")</f>
        <v>#NAME?</v>
      </c>
      <c r="H4982" t="e">
        <f ca="1">IMAGE("https://m.media-amazon.com/images/I/61ocxQH0q4L._AC_UL320_.jpg")</f>
        <v>#NAME?</v>
      </c>
      <c r="I4982" t="s">
        <v>14343</v>
      </c>
      <c r="J4982">
        <v>34.99</v>
      </c>
      <c r="K4982" s="2" t="s">
        <v>14344</v>
      </c>
      <c r="L4982">
        <v>4.7</v>
      </c>
      <c r="M4982">
        <v>44645</v>
      </c>
      <c r="O4982" t="s">
        <v>26</v>
      </c>
      <c r="P4982" t="s">
        <v>39</v>
      </c>
      <c r="Q4982" t="s">
        <v>14345</v>
      </c>
    </row>
    <row r="4983" spans="1:17" ht="15.75" x14ac:dyDescent="0.25">
      <c r="A4983" s="3" t="str">
        <f>HYPERLINK("https://shop.sonapharmacy.com/products/schiff-megared-superior-omega-3-krill-oil", "https://shop.sonapharmacy.com/products/schiff-megared-superior-omega-3-krill-oil")</f>
        <v>https://shop.sonapharmacy.com/products/schiff-megared-superior-omega-3-krill-oil</v>
      </c>
      <c r="B4983" s="3" t="str">
        <f>HYPERLINK("https://shop.sonapharmacy.com/products/schiff-megared-superior-omega-3-krill-oil", "https://shop.sonapharmacy.com/products/schiff-megared-superior-omega-3-krill-oil")</f>
        <v>https://shop.sonapharmacy.com/products/schiff-megared-superior-omega-3-krill-oil</v>
      </c>
      <c r="C4983" t="s">
        <v>12128</v>
      </c>
      <c r="D4983" t="s">
        <v>14346</v>
      </c>
      <c r="E4983" s="3" t="str">
        <f>HYPERLINK("https://www.amazon.com/Megared-Supplement-Aftertaste-Antioxidant-Astaxanthin/dp/B07B6HTHDB/ref=sr_1_1?keywords=Schiff+MegaRed+Superior+Omega-3+Krill+Oil&amp;qid=1695260726&amp;sr=8-1", "https://www.amazon.com/Megared-Supplement-Aftertaste-Antioxidant-Astaxanthin/dp/B07B6HTHDB/ref=sr_1_1?keywords=Schiff+MegaRed+Superior+Omega-3+Krill+Oil&amp;qid=1695260726&amp;sr=8-1")</f>
        <v>https://www.amazon.com/Megared-Supplement-Aftertaste-Antioxidant-Astaxanthin/dp/B07B6HTHDB/ref=sr_1_1?keywords=Schiff+MegaRed+Superior+Omega-3+Krill+Oil&amp;qid=1695260726&amp;sr=8-1</v>
      </c>
      <c r="F4983" t="s">
        <v>14347</v>
      </c>
      <c r="G4983" t="e">
        <f ca="1">IMAGE("https://shop.sonapharmacy.com/cdn/shop/products/SchiffMegaRedSuperiorOmega-3KrillOil.jpg?v=1594994428")</f>
        <v>#NAME?</v>
      </c>
      <c r="H4983" t="e">
        <f ca="1">IMAGE("https://m.media-amazon.com/images/I/7125VuSgLxL._AC_UL320_.jpg")</f>
        <v>#NAME?</v>
      </c>
      <c r="I4983" t="s">
        <v>12131</v>
      </c>
      <c r="J4983">
        <v>28.88</v>
      </c>
      <c r="K4983" s="2" t="s">
        <v>14348</v>
      </c>
      <c r="L4983">
        <v>4.7</v>
      </c>
      <c r="M4983">
        <v>2803</v>
      </c>
      <c r="O4983" t="s">
        <v>26</v>
      </c>
      <c r="P4983" t="s">
        <v>39</v>
      </c>
      <c r="Q4983" t="s">
        <v>12133</v>
      </c>
    </row>
    <row r="4984" spans="1:17" ht="15.75" x14ac:dyDescent="0.25">
      <c r="A4984" s="3" t="str">
        <f>HYPERLINK("https://shop.sonapharmacy.com/products/florastor-daily-probiotic-supplement", "https://shop.sonapharmacy.com/products/florastor-daily-probiotic-supplement")</f>
        <v>https://shop.sonapharmacy.com/products/florastor-daily-probiotic-supplement</v>
      </c>
      <c r="B4984" s="3" t="str">
        <f>HYPERLINK("https://shop.sonapharmacy.com/products/florastor-daily-probiotic-supplement", "https://shop.sonapharmacy.com/products/florastor-daily-probiotic-supplement")</f>
        <v>https://shop.sonapharmacy.com/products/florastor-daily-probiotic-supplement</v>
      </c>
      <c r="C4984" t="s">
        <v>14349</v>
      </c>
      <c r="D4984" t="s">
        <v>14350</v>
      </c>
      <c r="E4984" s="3" t="str">
        <f>HYPERLINK("https://www.amazon.com/Florastor-Probiotic-250mg-Capsules-20/dp/B01KCJ99DW/ref=sr_1_6?keywords=Florastor+Daily+Probiotic+Supplement&amp;qid=1695260241&amp;sr=8-6", "https://www.amazon.com/Florastor-Probiotic-250mg-Capsules-20/dp/B01KCJ99DW/ref=sr_1_6?keywords=Florastor+Daily+Probiotic+Supplement&amp;qid=1695260241&amp;sr=8-6")</f>
        <v>https://www.amazon.com/Florastor-Probiotic-250mg-Capsules-20/dp/B01KCJ99DW/ref=sr_1_6?keywords=Florastor+Daily+Probiotic+Supplement&amp;qid=1695260241&amp;sr=8-6</v>
      </c>
      <c r="F4984" t="s">
        <v>14351</v>
      </c>
      <c r="G4984" t="e">
        <f ca="1">IMAGE("https://shop.sonapharmacy.com/cdn/shop/products/florastorfront.png?v=1606931159")</f>
        <v>#NAME?</v>
      </c>
      <c r="H4984" t="e">
        <f ca="1">IMAGE("https://m.media-amazon.com/images/I/71HRw4ktUuL._AC_UL320_.jpg")</f>
        <v>#NAME?</v>
      </c>
      <c r="I4984" t="s">
        <v>4346</v>
      </c>
      <c r="J4984">
        <v>40.98</v>
      </c>
      <c r="K4984" s="2" t="s">
        <v>14352</v>
      </c>
      <c r="L4984">
        <v>4.7</v>
      </c>
      <c r="M4984">
        <v>99</v>
      </c>
      <c r="O4984" t="s">
        <v>26</v>
      </c>
      <c r="P4984" t="s">
        <v>39</v>
      </c>
      <c r="Q4984" t="s">
        <v>14353</v>
      </c>
    </row>
    <row r="4985" spans="1:17" ht="15.75" x14ac:dyDescent="0.25">
      <c r="A4985" s="3" t="str">
        <f>HYPERLINK("https://shop.sonapharmacy.com/products/nature-made-550-mg-potassium-gluconate-tablets", "https://shop.sonapharmacy.com/products/nature-made-550-mg-potassium-gluconate-tablets")</f>
        <v>https://shop.sonapharmacy.com/products/nature-made-550-mg-potassium-gluconate-tablets</v>
      </c>
      <c r="B4985" s="3" t="str">
        <f>HYPERLINK("https://shop.sonapharmacy.com/products/nature-made-550-mg-potassium-gluconate-tablets", "https://shop.sonapharmacy.com/products/nature-made-550-mg-potassium-gluconate-tablets")</f>
        <v>https://shop.sonapharmacy.com/products/nature-made-550-mg-potassium-gluconate-tablets</v>
      </c>
      <c r="C4985" t="s">
        <v>8772</v>
      </c>
      <c r="D4985" t="s">
        <v>14354</v>
      </c>
      <c r="E4985" s="3" t="str">
        <f>HYPERLINK("https://www.amazon.com/Nature-Made-Potassium-Gluconate-tablets/dp/B00EYC4D62/ref=sr_1_1?keywords=Nature+Made%C2%AE+Potassium+Gluconate+550mg+Tablets+100ct.&amp;qid=1695260548&amp;sr=8-1", "https://www.amazon.com/Nature-Made-Potassium-Gluconate-tablets/dp/B00EYC4D62/ref=sr_1_1?keywords=Nature+Made%C2%AE+Potassium+Gluconate+550mg+Tablets+100ct.&amp;qid=1695260548&amp;sr=8-1")</f>
        <v>https://www.amazon.com/Nature-Made-Potassium-Gluconate-tablets/dp/B00EYC4D62/ref=sr_1_1?keywords=Nature+Made%C2%AE+Potassium+Gluconate+550mg+Tablets+100ct.&amp;qid=1695260548&amp;sr=8-1</v>
      </c>
      <c r="F4985" t="s">
        <v>14355</v>
      </c>
      <c r="G4985" t="e">
        <f ca="1">IMAGE("https://shop.sonapharmacy.com/cdn/shop/products/71BiS35R4VL._AC_SL1500.jpg?v=1610047926")</f>
        <v>#NAME?</v>
      </c>
      <c r="H4985" t="e">
        <f ca="1">IMAGE("https://m.media-amazon.com/images/I/71Kj+0vzijL._AC_UL320_.jpg")</f>
        <v>#NAME?</v>
      </c>
      <c r="I4985" t="s">
        <v>8775</v>
      </c>
      <c r="J4985">
        <v>4.1900000000000004</v>
      </c>
      <c r="K4985" s="2" t="s">
        <v>14356</v>
      </c>
      <c r="L4985">
        <v>4.7</v>
      </c>
      <c r="M4985">
        <v>8524</v>
      </c>
      <c r="O4985" t="s">
        <v>26</v>
      </c>
      <c r="P4985" t="s">
        <v>39</v>
      </c>
      <c r="Q4985" t="s">
        <v>8777</v>
      </c>
    </row>
    <row r="4986" spans="1:17" ht="15.75" x14ac:dyDescent="0.25">
      <c r="A4986" s="3" t="str">
        <f>HYPERLINK("https://shop.sonapharmacy.com/products/similasan-kids-cold-mucus-relief%E2%84%A2-plus-echinacea", "https://shop.sonapharmacy.com/products/similasan-kids-cold-mucus-relief%E2%84%A2-plus-echinacea")</f>
        <v>https://shop.sonapharmacy.com/products/similasan-kids-cold-mucus-relief%E2%84%A2-plus-echinacea</v>
      </c>
      <c r="B4986" s="3" t="str">
        <f>HYPERLINK("https://shop.sonapharmacy.com/products/similasan-kids-cold-mucus-relief%e2%84%a2-plus-echinacea", "https://shop.sonapharmacy.com/products/similasan-kids-cold-mucus-relief%e2%84%a2-plus-echinacea")</f>
        <v>https://shop.sonapharmacy.com/products/similasan-kids-cold-mucus-relief%e2%84%a2-plus-echinacea</v>
      </c>
      <c r="C4986" t="s">
        <v>8860</v>
      </c>
      <c r="D4986" t="s">
        <v>14357</v>
      </c>
      <c r="E4986" s="3" t="str">
        <f>HYPERLINK("https://www.amazon.com/Similasan-Mucus-Relief-Syrup-Echinacea/dp/B01LYIHRD7/ref=sr_1_1?keywords=Similasan%C2%AE+Kids+Cold+%26+Mucus+Relief%E2%84%A2+Plus+Echinacea&amp;qid=1695260710&amp;sr=8-1", "https://www.amazon.com/Similasan-Mucus-Relief-Syrup-Echinacea/dp/B01LYIHRD7/ref=sr_1_1?keywords=Similasan%C2%AE+Kids+Cold+%26+Mucus+Relief%E2%84%A2+Plus+Echinacea&amp;qid=1695260710&amp;sr=8-1")</f>
        <v>https://www.amazon.com/Similasan-Mucus-Relief-Syrup-Echinacea/dp/B01LYIHRD7/ref=sr_1_1?keywords=Similasan%C2%AE+Kids+Cold+%26+Mucus+Relief%E2%84%A2+Plus+Echinacea&amp;qid=1695260710&amp;sr=8-1</v>
      </c>
      <c r="F4986" t="s">
        <v>14358</v>
      </c>
      <c r="G4986" t="e">
        <f ca="1">IMAGE("https://shop.sonapharmacy.com/cdn/shop/products/Untitled-143.jpg?v=1593020548")</f>
        <v>#NAME?</v>
      </c>
      <c r="H4986" t="e">
        <f ca="1">IMAGE("https://m.media-amazon.com/images/I/915s+QjkA-L._AC_UL320_.jpg")</f>
        <v>#NAME?</v>
      </c>
      <c r="I4986" t="s">
        <v>8863</v>
      </c>
      <c r="J4986">
        <v>7.09</v>
      </c>
      <c r="K4986" s="2" t="s">
        <v>14359</v>
      </c>
      <c r="L4986">
        <v>4.7</v>
      </c>
      <c r="M4986">
        <v>1878</v>
      </c>
      <c r="O4986" t="s">
        <v>26</v>
      </c>
      <c r="P4986" t="s">
        <v>39</v>
      </c>
      <c r="Q4986" t="s">
        <v>8865</v>
      </c>
    </row>
    <row r="4987" spans="1:17" ht="15.75" x14ac:dyDescent="0.25">
      <c r="A4987" s="3" t="str">
        <f>HYPERLINK("https://shop.sonapharmacy.com/products/good-sense-350-mg-krill-oil-90-mg-omega-3-softgels", "https://shop.sonapharmacy.com/products/good-sense-350-mg-krill-oil-90-mg-omega-3-softgels")</f>
        <v>https://shop.sonapharmacy.com/products/good-sense-350-mg-krill-oil-90-mg-omega-3-softgels</v>
      </c>
      <c r="B4987" s="3" t="str">
        <f>HYPERLINK("https://shop.sonapharmacy.com/products/good-sense-350-mg-krill-oil-90-mg-omega-3-softgels", "https://shop.sonapharmacy.com/products/good-sense-350-mg-krill-oil-90-mg-omega-3-softgels")</f>
        <v>https://shop.sonapharmacy.com/products/good-sense-350-mg-krill-oil-90-mg-omega-3-softgels</v>
      </c>
      <c r="C4987" t="s">
        <v>14027</v>
      </c>
      <c r="D4987" t="s">
        <v>14360</v>
      </c>
      <c r="E4987" s="3" t="str">
        <f>HYPERLINK("https://www.amazon.com/Omega-Supplement-Heart-Health-Phospholipids/dp/B01070FUDE/ref=sr_1_8?keywords=GoodSense%C2%AE+350+mg+Krill+Oil+90+mg+Omega-3+Softgels+60ct.&amp;qid=1695260372&amp;rdc=1&amp;sr=8-8", "https://www.amazon.com/Omega-Supplement-Heart-Health-Phospholipids/dp/B01070FUDE/ref=sr_1_8?keywords=GoodSense%C2%AE+350+mg+Krill+Oil+90+mg+Omega-3+Softgels+60ct.&amp;qid=1695260372&amp;rdc=1&amp;sr=8-8")</f>
        <v>https://www.amazon.com/Omega-Supplement-Heart-Health-Phospholipids/dp/B01070FUDE/ref=sr_1_8?keywords=GoodSense%C2%AE+350+mg+Krill+Oil+90+mg+Omega-3+Softgels+60ct.&amp;qid=1695260372&amp;rdc=1&amp;sr=8-8</v>
      </c>
      <c r="F4987" t="s">
        <v>14361</v>
      </c>
      <c r="G4987" t="e">
        <f ca="1">IMAGE("https://shop.sonapharmacy.com/cdn/shop/products/GoodSense350mgKrillOil90mgOmega-3Softgels.jpg?v=1594931107")</f>
        <v>#NAME?</v>
      </c>
      <c r="H4987" t="e">
        <f ca="1">IMAGE("https://m.media-amazon.com/images/I/811KoarXmeL._AC_UL320_.jpg")</f>
        <v>#NAME?</v>
      </c>
      <c r="I4987" t="s">
        <v>14030</v>
      </c>
      <c r="J4987">
        <v>21.9</v>
      </c>
      <c r="K4987" s="2" t="s">
        <v>14362</v>
      </c>
      <c r="L4987">
        <v>4.7</v>
      </c>
      <c r="M4987">
        <v>14203</v>
      </c>
      <c r="O4987" t="s">
        <v>26</v>
      </c>
      <c r="P4987" t="s">
        <v>39</v>
      </c>
      <c r="Q4987" t="s">
        <v>14032</v>
      </c>
    </row>
    <row r="4988" spans="1:17" ht="15.75" x14ac:dyDescent="0.25">
      <c r="A4988" s="3" t="str">
        <f>HYPERLINK("https://shop.sonapharmacy.com/products/recticare%C2%AE-anorectal-cream-30g", "https://shop.sonapharmacy.com/products/recticare%C2%AE-anorectal-cream-30g")</f>
        <v>https://shop.sonapharmacy.com/products/recticare%C2%AE-anorectal-cream-30g</v>
      </c>
      <c r="B4988" s="3" t="str">
        <f>HYPERLINK("https://shop.sonapharmacy.com/products/recticare%c2%ae-anorectal-cream-30g", "https://shop.sonapharmacy.com/products/recticare%c2%ae-anorectal-cream-30g")</f>
        <v>https://shop.sonapharmacy.com/products/recticare%c2%ae-anorectal-cream-30g</v>
      </c>
      <c r="C4988" t="s">
        <v>9949</v>
      </c>
      <c r="D4988" t="s">
        <v>14363</v>
      </c>
      <c r="E4988" s="3" t="str">
        <f>HYPERLINK("https://www.amazon.com/RectiCare-Anorectal-Lidocaine-Cream-Hemorrhoids/dp/B0085A32G6/ref=sr_1_1?keywords=RectiCare%C2%AE+Anorectal+Cream+%2830g%29&amp;qid=1695260673&amp;sr=8-1", "https://www.amazon.com/RectiCare-Anorectal-Lidocaine-Cream-Hemorrhoids/dp/B0085A32G6/ref=sr_1_1?keywords=RectiCare%C2%AE+Anorectal+Cream+%2830g%29&amp;qid=1695260673&amp;sr=8-1")</f>
        <v>https://www.amazon.com/RectiCare-Anorectal-Lidocaine-Cream-Hemorrhoids/dp/B0085A32G6/ref=sr_1_1?keywords=RectiCare%C2%AE+Anorectal+Cream+%2830g%29&amp;qid=1695260673&amp;sr=8-1</v>
      </c>
      <c r="F4988" t="s">
        <v>14364</v>
      </c>
      <c r="G4988" t="e">
        <f ca="1">IMAGE("https://shop.sonapharmacy.com/cdn/shop/products/7dba678d-15e3-4983-a688-6935abae073a.093cb4a2b30f9135eea587b7ea25886e.png?v=1610122554")</f>
        <v>#NAME?</v>
      </c>
      <c r="H4988" t="e">
        <f ca="1">IMAGE("https://m.media-amazon.com/images/I/81SOSPP229L._AC_UL320_.jpg")</f>
        <v>#NAME?</v>
      </c>
      <c r="I4988" t="s">
        <v>3566</v>
      </c>
      <c r="J4988">
        <v>28.49</v>
      </c>
      <c r="K4988" s="2" t="s">
        <v>14365</v>
      </c>
      <c r="L4988">
        <v>4.5</v>
      </c>
      <c r="M4988">
        <v>1797</v>
      </c>
      <c r="O4988" t="s">
        <v>26</v>
      </c>
      <c r="P4988" t="s">
        <v>39</v>
      </c>
      <c r="Q4988" t="s">
        <v>9953</v>
      </c>
    </row>
    <row r="4989" spans="1:17" ht="15.75" x14ac:dyDescent="0.25">
      <c r="A4989" s="3" t="str">
        <f>HYPERLINK("https://shop.sonapharmacy.com/products/crane-ultrasonic-cool-mist-humidifier", "https://shop.sonapharmacy.com/products/crane-ultrasonic-cool-mist-humidifier")</f>
        <v>https://shop.sonapharmacy.com/products/crane-ultrasonic-cool-mist-humidifier</v>
      </c>
      <c r="B4989" s="3" t="str">
        <f>HYPERLINK("https://shop.sonapharmacy.com/products/crane-ultrasonic-cool-mist-humidifier", "https://shop.sonapharmacy.com/products/crane-ultrasonic-cool-mist-humidifier")</f>
        <v>https://shop.sonapharmacy.com/products/crane-ultrasonic-cool-mist-humidifier</v>
      </c>
      <c r="C4989" t="s">
        <v>14166</v>
      </c>
      <c r="D4989" t="s">
        <v>14366</v>
      </c>
      <c r="E4989" s="3" t="str">
        <f>HYPERLINK("https://www.amazon.com/Crane-Adorables-Ultrasonic-Humidifier-Coverage/dp/B000GWHDES/ref=sr_1_4?keywords=Crane%C2%AE+Ultrasonic+Cool+Mist+Humidifier&amp;qid=1695260158&amp;sr=8-4", "https://www.amazon.com/Crane-Adorables-Ultrasonic-Humidifier-Coverage/dp/B000GWHDES/ref=sr_1_4?keywords=Crane%C2%AE+Ultrasonic+Cool+Mist+Humidifier&amp;qid=1695260158&amp;sr=8-4")</f>
        <v>https://www.amazon.com/Crane-Adorables-Ultrasonic-Humidifier-Coverage/dp/B000GWHDES/ref=sr_1_4?keywords=Crane%C2%AE+Ultrasonic+Cool+Mist+Humidifier&amp;qid=1695260158&amp;sr=8-4</v>
      </c>
      <c r="F4989" t="s">
        <v>14367</v>
      </c>
      <c r="G4989" t="e">
        <f ca="1">IMAGE("https://shop.sonapharmacy.com/cdn/shop/products/EE-5301-2000x2000-300ppi-2020-1-1-470x470.jpg?v=1607181139")</f>
        <v>#NAME?</v>
      </c>
      <c r="H4989" t="e">
        <f ca="1">IMAGE("https://m.media-amazon.com/images/I/61BnOG0cWAL._AC_UL320_.jpg")</f>
        <v>#NAME?</v>
      </c>
      <c r="I4989" t="s">
        <v>14169</v>
      </c>
      <c r="J4989">
        <v>53.49</v>
      </c>
      <c r="K4989" s="2" t="s">
        <v>14368</v>
      </c>
      <c r="L4989">
        <v>4.5999999999999996</v>
      </c>
      <c r="M4989">
        <v>8741</v>
      </c>
      <c r="O4989" t="s">
        <v>26</v>
      </c>
      <c r="P4989" t="s">
        <v>39</v>
      </c>
      <c r="Q4989" t="s">
        <v>14171</v>
      </c>
    </row>
    <row r="4990" spans="1:17" ht="15.75" x14ac:dyDescent="0.25">
      <c r="A4990" s="3" t="str">
        <f>HYPERLINK("https://shop.sonapharmacy.com/products/sudafed-sinus-pressure-pain-relief-tablets", "https://shop.sonapharmacy.com/products/sudafed-sinus-pressure-pain-relief-tablets")</f>
        <v>https://shop.sonapharmacy.com/products/sudafed-sinus-pressure-pain-relief-tablets</v>
      </c>
      <c r="B4990" s="3" t="str">
        <f>HYPERLINK("https://shop.sonapharmacy.com/products/sudafed-sinus-pressure-pain-relief-tablets", "https://shop.sonapharmacy.com/products/sudafed-sinus-pressure-pain-relief-tablets")</f>
        <v>https://shop.sonapharmacy.com/products/sudafed-sinus-pressure-pain-relief-tablets</v>
      </c>
      <c r="C4990" t="s">
        <v>10102</v>
      </c>
      <c r="D4990" t="s">
        <v>14369</v>
      </c>
      <c r="E4990" s="3" t="str">
        <f>HYPERLINK("https://www.amazon.com/Rite-Aid-Suphedrine-Headache-Caplets/dp/B001KYO7D6/ref=sr_1_5?keywords=Sudafed+Sinus+Pressure+Pain+Relief+Tablets&amp;qid=1695260732&amp;sr=8-5", "https://www.amazon.com/Rite-Aid-Suphedrine-Headache-Caplets/dp/B001KYO7D6/ref=sr_1_5?keywords=Sudafed+Sinus+Pressure+Pain+Relief+Tablets&amp;qid=1695260732&amp;sr=8-5")</f>
        <v>https://www.amazon.com/Rite-Aid-Suphedrine-Headache-Caplets/dp/B001KYO7D6/ref=sr_1_5?keywords=Sudafed+Sinus+Pressure+Pain+Relief+Tablets&amp;qid=1695260732&amp;sr=8-5</v>
      </c>
      <c r="F4990" t="s">
        <v>14370</v>
      </c>
      <c r="G4990" t="e">
        <f ca="1">IMAGE("https://shop.sonapharmacy.com/cdn/shop/products/SudafedSinusPressure_PainReliefTablets.jpg?v=1595445751")</f>
        <v>#NAME?</v>
      </c>
      <c r="H4990" t="e">
        <f ca="1">IMAGE("https://m.media-amazon.com/images/I/71XuShOl9XL._AC_UL320_.jpg")</f>
        <v>#NAME?</v>
      </c>
      <c r="I4990" t="s">
        <v>10105</v>
      </c>
      <c r="J4990">
        <v>6.99</v>
      </c>
      <c r="K4990" s="2" t="s">
        <v>14371</v>
      </c>
      <c r="L4990">
        <v>4.5</v>
      </c>
      <c r="M4990">
        <v>415</v>
      </c>
      <c r="O4990" t="s">
        <v>26</v>
      </c>
      <c r="P4990" t="s">
        <v>39</v>
      </c>
      <c r="Q4990" t="s">
        <v>10107</v>
      </c>
    </row>
    <row r="4991" spans="1:17" ht="15.75" x14ac:dyDescent="0.25">
      <c r="A4991" s="3" t="str">
        <f>HYPERLINK("https://shop.sonapharmacy.com/products/band-aid-water-block-tape", "https://shop.sonapharmacy.com/products/band-aid-water-block-tape")</f>
        <v>https://shop.sonapharmacy.com/products/band-aid-water-block-tape</v>
      </c>
      <c r="B4991" s="3" t="str">
        <f>HYPERLINK("https://shop.sonapharmacy.com/products/band-aid-water-block-tape", "https://shop.sonapharmacy.com/products/band-aid-water-block-tape")</f>
        <v>https://shop.sonapharmacy.com/products/band-aid-water-block-tape</v>
      </c>
      <c r="C4991" t="s">
        <v>12347</v>
      </c>
      <c r="D4991" t="s">
        <v>14372</v>
      </c>
      <c r="E4991" s="3" t="str">
        <f>HYPERLINK("https://www.amazon.com/Band-Aid-Tape-WP-Count/dp/B01MDT6OSK/ref=sr_1_1?keywords=BAND-AID%C2%AE+Water+Block+Tape&amp;qid=1695260057&amp;sr=8-1", "https://www.amazon.com/Band-Aid-Tape-WP-Count/dp/B01MDT6OSK/ref=sr_1_1?keywords=BAND-AID%C2%AE+Water+Block+Tape&amp;qid=1695260057&amp;sr=8-1")</f>
        <v>https://www.amazon.com/Band-Aid-Tape-WP-Count/dp/B01MDT6OSK/ref=sr_1_1?keywords=BAND-AID%C2%AE+Water+Block+Tape&amp;qid=1695260057&amp;sr=8-1</v>
      </c>
      <c r="F4991" t="s">
        <v>14373</v>
      </c>
      <c r="G4991" t="e">
        <f ca="1">IMAGE("https://shop.sonapharmacy.com/cdn/shop/products/band_aid_us_pho_pac_18_1_2677409.jpg?v=1607695885")</f>
        <v>#NAME?</v>
      </c>
      <c r="H4991" t="e">
        <f ca="1">IMAGE("https://m.media-amazon.com/images/I/71jkpfcwC6L._AC_UL320_.jpg")</f>
        <v>#NAME?</v>
      </c>
      <c r="I4991" t="s">
        <v>9241</v>
      </c>
      <c r="J4991">
        <v>4.79</v>
      </c>
      <c r="K4991" s="2" t="s">
        <v>14374</v>
      </c>
      <c r="L4991">
        <v>4.2</v>
      </c>
      <c r="M4991">
        <v>9</v>
      </c>
      <c r="O4991" t="s">
        <v>136</v>
      </c>
      <c r="P4991" t="s">
        <v>39</v>
      </c>
      <c r="Q4991" t="s">
        <v>12351</v>
      </c>
    </row>
    <row r="4992" spans="1:17" ht="15.75" x14ac:dyDescent="0.25">
      <c r="A4992" s="3" t="str">
        <f>HYPERLINK("https://shop.sonapharmacy.com/products/nature-made-vitamin-b12-500-mcg-tablets", "https://shop.sonapharmacy.com/products/nature-made-vitamin-b12-500-mcg-tablets")</f>
        <v>https://shop.sonapharmacy.com/products/nature-made-vitamin-b12-500-mcg-tablets</v>
      </c>
      <c r="B4992" s="3" t="str">
        <f>HYPERLINK("https://shop.sonapharmacy.com/products/nature-made-vitamin-b12-500-mcg-tablets", "https://shop.sonapharmacy.com/products/nature-made-vitamin-b12-500-mcg-tablets")</f>
        <v>https://shop.sonapharmacy.com/products/nature-made-vitamin-b12-500-mcg-tablets</v>
      </c>
      <c r="C4992" t="s">
        <v>14375</v>
      </c>
      <c r="D4992" t="s">
        <v>14376</v>
      </c>
      <c r="E4992" s="3" t="str">
        <f>HYPERLINK("https://www.amazon.com/Natures-Bounty-Supplement-Supports-Metabolism/dp/B002I3V8B2/ref=sr_1_2?keywords=Nature+Made%C2%AE+Vitamin+B12+500mcg+Tablets+100ct.&amp;qid=1695260571&amp;sr=8-2", "https://www.amazon.com/Natures-Bounty-Supplement-Supports-Metabolism/dp/B002I3V8B2/ref=sr_1_2?keywords=Nature+Made%C2%AE+Vitamin+B12+500mcg+Tablets+100ct.&amp;qid=1695260571&amp;sr=8-2")</f>
        <v>https://www.amazon.com/Natures-Bounty-Supplement-Supports-Metabolism/dp/B002I3V8B2/ref=sr_1_2?keywords=Nature+Made%C2%AE+Vitamin+B12+500mcg+Tablets+100ct.&amp;qid=1695260571&amp;sr=8-2</v>
      </c>
      <c r="F4992" t="s">
        <v>14377</v>
      </c>
      <c r="G4992" t="e">
        <f ca="1">IMAGE("https://shop.sonapharmacy.com/cdn/shop/products/713yMTzRpYL._AC_SL1500.jpg?v=1610039765")</f>
        <v>#NAME?</v>
      </c>
      <c r="H4992" t="e">
        <f ca="1">IMAGE("https://m.media-amazon.com/images/I/71kOYhXeVeL._AC_UL320_.jpg")</f>
        <v>#NAME?</v>
      </c>
      <c r="I4992" t="s">
        <v>14378</v>
      </c>
      <c r="J4992">
        <v>7.58</v>
      </c>
      <c r="K4992" s="2" t="s">
        <v>14379</v>
      </c>
      <c r="L4992">
        <v>4.7</v>
      </c>
      <c r="M4992">
        <v>9326</v>
      </c>
      <c r="O4992" t="s">
        <v>26</v>
      </c>
      <c r="P4992" t="s">
        <v>39</v>
      </c>
      <c r="Q4992" t="s">
        <v>14380</v>
      </c>
    </row>
    <row r="4993" spans="1:17" ht="15.75" x14ac:dyDescent="0.25">
      <c r="A4993" s="3" t="str">
        <f>HYPERLINK("https://shop.sonapharmacy.com/products/rid%C2%AE-lice-treatment-complete-kit", "https://shop.sonapharmacy.com/products/rid%C2%AE-lice-treatment-complete-kit")</f>
        <v>https://shop.sonapharmacy.com/products/rid%C2%AE-lice-treatment-complete-kit</v>
      </c>
      <c r="B4993" s="3" t="str">
        <f>HYPERLINK("https://shop.sonapharmacy.com/products/rid%c2%ae-lice-treatment-complete-kit", "https://shop.sonapharmacy.com/products/rid%c2%ae-lice-treatment-complete-kit")</f>
        <v>https://shop.sonapharmacy.com/products/rid%c2%ae-lice-treatment-complete-kit</v>
      </c>
      <c r="C4993" t="s">
        <v>12957</v>
      </c>
      <c r="D4993" t="s">
        <v>14381</v>
      </c>
      <c r="E4993" s="3" t="str">
        <f>HYPERLINK("https://www.amazon.com/Nix-Complete-Lice-Treatment-Multi/dp/B00BN7TABY/ref=sr_1_3?keywords=RID%C2%AE+Lice+Treatment+Complete+Kit&amp;qid=1695260700&amp;sr=8-3", "https://www.amazon.com/Nix-Complete-Lice-Treatment-Multi/dp/B00BN7TABY/ref=sr_1_3?keywords=RID%C2%AE+Lice+Treatment+Complete+Kit&amp;qid=1695260700&amp;sr=8-3")</f>
        <v>https://www.amazon.com/Nix-Complete-Lice-Treatment-Multi/dp/B00BN7TABY/ref=sr_1_3?keywords=RID%C2%AE+Lice+Treatment+Complete+Kit&amp;qid=1695260700&amp;sr=8-3</v>
      </c>
      <c r="F4993" t="s">
        <v>14382</v>
      </c>
      <c r="G4993" t="e">
        <f ca="1">IMAGE("https://shop.sonapharmacy.com/cdn/shop/products/f85f9910-42b0-4ec1-b8d9-5ec8ecc309b2_3.47326398bc37beb5484605a87a646c1f.jpg?v=1608138919")</f>
        <v>#NAME?</v>
      </c>
      <c r="H4993" t="e">
        <f ca="1">IMAGE("https://m.media-amazon.com/images/I/71GOHULNV0L._AC_UL320_.jpg")</f>
        <v>#NAME?</v>
      </c>
      <c r="I4993" t="s">
        <v>12960</v>
      </c>
      <c r="J4993">
        <v>19.04</v>
      </c>
      <c r="K4993" s="2" t="s">
        <v>14383</v>
      </c>
      <c r="L4993">
        <v>4.3</v>
      </c>
      <c r="M4993">
        <v>3989</v>
      </c>
      <c r="O4993" t="s">
        <v>26</v>
      </c>
      <c r="P4993" t="s">
        <v>39</v>
      </c>
      <c r="Q4993" t="s">
        <v>12962</v>
      </c>
    </row>
    <row r="4994" spans="1:17" ht="15.75" x14ac:dyDescent="0.25">
      <c r="A4994" s="3" t="str">
        <f>HYPERLINK("https://shop.sonapharmacy.com/products/refresh%C2%AE-p-m-preservative-free-lubricant-eye-ointment", "https://shop.sonapharmacy.com/products/refresh%C2%AE-p-m-preservative-free-lubricant-eye-ointment")</f>
        <v>https://shop.sonapharmacy.com/products/refresh%C2%AE-p-m-preservative-free-lubricant-eye-ointment</v>
      </c>
      <c r="B4994" s="3" t="str">
        <f>HYPERLINK("https://shop.sonapharmacy.com/products/refresh%c2%ae-p-m-preservative-free-lubricant-eye-ointment", "https://shop.sonapharmacy.com/products/refresh%c2%ae-p-m-preservative-free-lubricant-eye-ointment")</f>
        <v>https://shop.sonapharmacy.com/products/refresh%c2%ae-p-m-preservative-free-lubricant-eye-ointment</v>
      </c>
      <c r="C4994" t="s">
        <v>10384</v>
      </c>
      <c r="D4994" t="s">
        <v>14384</v>
      </c>
      <c r="E4994" s="3" t="str">
        <f>HYPERLINK("https://www.amazon.com/Refresh-P-M-Lubricant-Ointment-Sterile/dp/B000052XC0/ref=sr_1_1?keywords=Refresh%C2%AE+P.M+Preservative+Free+Lubricant+Eye+Ointment&amp;qid=1695260717&amp;sr=8-1", "https://www.amazon.com/Refresh-P-M-Lubricant-Ointment-Sterile/dp/B000052XC0/ref=sr_1_1?keywords=Refresh%C2%AE+P.M+Preservative+Free+Lubricant+Eye+Ointment&amp;qid=1695260717&amp;sr=8-1")</f>
        <v>https://www.amazon.com/Refresh-P-M-Lubricant-Ointment-Sterile/dp/B000052XC0/ref=sr_1_1?keywords=Refresh%C2%AE+P.M+Preservative+Free+Lubricant+Eye+Ointment&amp;qid=1695260717&amp;sr=8-1</v>
      </c>
      <c r="F4994" t="s">
        <v>14385</v>
      </c>
      <c r="G4994" t="e">
        <f ca="1">IMAGE("https://shop.sonapharmacy.com/cdn/shop/products/71FoyWuxXtL._AC_SL1500.jpg?v=1613749260")</f>
        <v>#NAME?</v>
      </c>
      <c r="H4994" t="e">
        <f ca="1">IMAGE("https://m.media-amazon.com/images/I/716o2Qnch4L._AC_UL320_.jpg")</f>
        <v>#NAME?</v>
      </c>
      <c r="I4994" t="s">
        <v>10387</v>
      </c>
      <c r="J4994">
        <v>11.36</v>
      </c>
      <c r="K4994" s="2" t="s">
        <v>14386</v>
      </c>
      <c r="L4994">
        <v>4.5</v>
      </c>
      <c r="M4994">
        <v>7942</v>
      </c>
      <c r="O4994" t="s">
        <v>26</v>
      </c>
      <c r="P4994" t="s">
        <v>39</v>
      </c>
      <c r="Q4994" t="s">
        <v>10389</v>
      </c>
    </row>
    <row r="4995" spans="1:17" ht="15.75" x14ac:dyDescent="0.25">
      <c r="A4995" s="3" t="str">
        <f>HYPERLINK("https://shop.sonapharmacy.com/products/rid%C2%AE-lice-treatment-complete-kit", "https://shop.sonapharmacy.com/products/rid%C2%AE-lice-treatment-complete-kit")</f>
        <v>https://shop.sonapharmacy.com/products/rid%C2%AE-lice-treatment-complete-kit</v>
      </c>
      <c r="B4995" s="3" t="str">
        <f>HYPERLINK("https://shop.sonapharmacy.com/products/rid%c2%ae-lice-treatment-complete-kit", "https://shop.sonapharmacy.com/products/rid%c2%ae-lice-treatment-complete-kit")</f>
        <v>https://shop.sonapharmacy.com/products/rid%c2%ae-lice-treatment-complete-kit</v>
      </c>
      <c r="C4995" t="s">
        <v>12957</v>
      </c>
      <c r="D4995" t="s">
        <v>14387</v>
      </c>
      <c r="E4995" s="3" t="str">
        <f>HYPERLINK("https://www.amazon.com/Licefreee-Complete-Treatment-Maintenance-Professional/dp/B0786RMP5Y/ref=sr_1_8?keywords=RID%C2%AE+Lice+Treatment+Complete+Kit&amp;qid=1695260700&amp;sr=8-8", "https://www.amazon.com/Licefreee-Complete-Treatment-Maintenance-Professional/dp/B0786RMP5Y/ref=sr_1_8?keywords=RID%C2%AE+Lice+Treatment+Complete+Kit&amp;qid=1695260700&amp;sr=8-8")</f>
        <v>https://www.amazon.com/Licefreee-Complete-Treatment-Maintenance-Professional/dp/B0786RMP5Y/ref=sr_1_8?keywords=RID%C2%AE+Lice+Treatment+Complete+Kit&amp;qid=1695260700&amp;sr=8-8</v>
      </c>
      <c r="F4995" t="s">
        <v>14388</v>
      </c>
      <c r="G4995" t="e">
        <f ca="1">IMAGE("https://shop.sonapharmacy.com/cdn/shop/products/f85f9910-42b0-4ec1-b8d9-5ec8ecc309b2_3.47326398bc37beb5484605a87a646c1f.jpg?v=1608138919")</f>
        <v>#NAME?</v>
      </c>
      <c r="H4995" t="e">
        <f ca="1">IMAGE("https://m.media-amazon.com/images/I/71vT9wtNLzS._AC_UL320_.jpg")</f>
        <v>#NAME?</v>
      </c>
      <c r="I4995" t="s">
        <v>12960</v>
      </c>
      <c r="J4995">
        <v>18.98</v>
      </c>
      <c r="K4995" s="2" t="s">
        <v>14389</v>
      </c>
      <c r="L4995">
        <v>4.5</v>
      </c>
      <c r="M4995">
        <v>3761</v>
      </c>
      <c r="O4995" t="s">
        <v>26</v>
      </c>
      <c r="P4995" t="s">
        <v>39</v>
      </c>
      <c r="Q4995" t="s">
        <v>12962</v>
      </c>
    </row>
    <row r="4996" spans="1:17" ht="15.75" x14ac:dyDescent="0.25">
      <c r="A4996" s="3" t="str">
        <f>HYPERLINK("https://shop.sonapharmacy.com/products/nature-made-100-mg-coq10-softgels", "https://shop.sonapharmacy.com/products/nature-made-100-mg-coq10-softgels")</f>
        <v>https://shop.sonapharmacy.com/products/nature-made-100-mg-coq10-softgels</v>
      </c>
      <c r="B4996" s="3" t="str">
        <f>HYPERLINK("https://shop.sonapharmacy.com/products/nature-made-100-mg-coq10-softgels", "https://shop.sonapharmacy.com/products/nature-made-100-mg-coq10-softgels")</f>
        <v>https://shop.sonapharmacy.com/products/nature-made-100-mg-coq10-softgels</v>
      </c>
      <c r="C4996" t="s">
        <v>14197</v>
      </c>
      <c r="D4996" t="s">
        <v>14390</v>
      </c>
      <c r="E4996" s="3" t="str">
        <f>HYPERLINK("https://www.amazon.com/CoQ10-100mg-Softgels-Count-Health/dp/B08XXHC754/ref=sr_1_5?keywords=Nature+Made%C2%AE+CoQ10+100mg+Softgels&amp;qid=1695260528&amp;sr=8-5", "https://www.amazon.com/CoQ10-100mg-Softgels-Count-Health/dp/B08XXHC754/ref=sr_1_5?keywords=Nature+Made%C2%AE+CoQ10+100mg+Softgels&amp;qid=1695260528&amp;sr=8-5")</f>
        <v>https://www.amazon.com/CoQ10-100mg-Softgels-Count-Health/dp/B08XXHC754/ref=sr_1_5?keywords=Nature+Made%C2%AE+CoQ10+100mg+Softgels&amp;qid=1695260528&amp;sr=8-5</v>
      </c>
      <c r="F4996" t="s">
        <v>14391</v>
      </c>
      <c r="G4996" t="e">
        <f ca="1">IMAGE("https://shop.sonapharmacy.com/cdn/shop/products/40.jpg?v=1610044938")</f>
        <v>#NAME?</v>
      </c>
      <c r="H4996" t="e">
        <f ca="1">IMAGE("https://m.media-amazon.com/images/I/716CmI-TlFL._AC_UL320_.jpg")</f>
        <v>#NAME?</v>
      </c>
      <c r="I4996" t="s">
        <v>14200</v>
      </c>
      <c r="J4996">
        <v>22.49</v>
      </c>
      <c r="K4996" s="2" t="s">
        <v>14392</v>
      </c>
      <c r="L4996">
        <v>4.7</v>
      </c>
      <c r="M4996">
        <v>18957</v>
      </c>
      <c r="O4996" t="s">
        <v>26</v>
      </c>
      <c r="P4996" t="s">
        <v>39</v>
      </c>
      <c r="Q4996" t="s">
        <v>14202</v>
      </c>
    </row>
    <row r="4997" spans="1:17" ht="15.75" x14ac:dyDescent="0.25">
      <c r="A4997" s="3" t="str">
        <f>HYPERLINK("https://shop.sonapharmacy.com/products/sona-omega-3-fish-oil", "https://shop.sonapharmacy.com/products/sona-omega-3-fish-oil")</f>
        <v>https://shop.sonapharmacy.com/products/sona-omega-3-fish-oil</v>
      </c>
      <c r="B4997" s="3" t="str">
        <f>HYPERLINK("https://shop.sonapharmacy.com/products/sona-omega-3-fish-oil", "https://shop.sonapharmacy.com/products/sona-omega-3-fish-oil")</f>
        <v>https://shop.sonapharmacy.com/products/sona-omega-3-fish-oil</v>
      </c>
      <c r="C4997" t="s">
        <v>13292</v>
      </c>
      <c r="D4997" t="s">
        <v>14393</v>
      </c>
      <c r="E4997" s="3" t="str">
        <f>HYPERLINK("https://www.amazon.com/Best-Triple-Strength-Omega-Pills/dp/B01MXZ3YD4/ref=sr_1_6?keywords=Sona+Omega-3+Fish+Oil&amp;qid=1695260728&amp;sr=8-6", "https://www.amazon.com/Best-Triple-Strength-Omega-Pills/dp/B01MXZ3YD4/ref=sr_1_6?keywords=Sona+Omega-3+Fish+Oil&amp;qid=1695260728&amp;sr=8-6")</f>
        <v>https://www.amazon.com/Best-Triple-Strength-Omega-Pills/dp/B01MXZ3YD4/ref=sr_1_6?keywords=Sona+Omega-3+Fish+Oil&amp;qid=1695260728&amp;sr=8-6</v>
      </c>
      <c r="F4997" t="s">
        <v>14394</v>
      </c>
      <c r="G4997" t="e">
        <f ca="1">IMAGE("https://shop.sonapharmacy.com/cdn/shop/files/Omega3FishOil_SonaShop.jpg?v=1692368919")</f>
        <v>#NAME?</v>
      </c>
      <c r="H4997" t="e">
        <f ca="1">IMAGE("https://m.media-amazon.com/images/I/71ae+nGDgwL._AC_UL320_.jpg")</f>
        <v>#NAME?</v>
      </c>
      <c r="I4997" t="s">
        <v>5934</v>
      </c>
      <c r="J4997">
        <v>25.95</v>
      </c>
      <c r="K4997" s="2" t="s">
        <v>14395</v>
      </c>
      <c r="L4997">
        <v>4.5</v>
      </c>
      <c r="M4997">
        <v>6991</v>
      </c>
      <c r="O4997" t="s">
        <v>26</v>
      </c>
      <c r="P4997" t="s">
        <v>39</v>
      </c>
      <c r="Q4997" t="s">
        <v>13296</v>
      </c>
    </row>
    <row r="4998" spans="1:17" ht="15.75" x14ac:dyDescent="0.25">
      <c r="A4998" s="3" t="str">
        <f>HYPERLINK("https://shop.sonapharmacy.com/products/aquaphor%C2%AE-lip-repair-tube-10ml", "https://shop.sonapharmacy.com/products/aquaphor%C2%AE-lip-repair-tube-10ml")</f>
        <v>https://shop.sonapharmacy.com/products/aquaphor%C2%AE-lip-repair-tube-10ml</v>
      </c>
      <c r="B4998" s="3" t="str">
        <f>HYPERLINK("https://shop.sonapharmacy.com/products/aquaphor%c2%ae-lip-repair-tube-10ml", "https://shop.sonapharmacy.com/products/aquaphor%c2%ae-lip-repair-tube-10ml")</f>
        <v>https://shop.sonapharmacy.com/products/aquaphor%c2%ae-lip-repair-tube-10ml</v>
      </c>
      <c r="C4998" t="s">
        <v>8831</v>
      </c>
      <c r="D4998" t="s">
        <v>14396</v>
      </c>
      <c r="E4998" s="3" t="str">
        <f>HYPERLINK("https://www.amazon.com/Aquaphor-Repair-Fluid-Ounce-Carded/dp/B004FHZKOA/ref=sr_1_3?keywords=Aquaphor+Lip+Repair+Tube+10ml&amp;qid=1695260018&amp;sr=8-3", "https://www.amazon.com/Aquaphor-Repair-Fluid-Ounce-Carded/dp/B004FHZKOA/ref=sr_1_3?keywords=Aquaphor+Lip+Repair+Tube+10ml&amp;qid=1695260018&amp;sr=8-3")</f>
        <v>https://www.amazon.com/Aquaphor-Repair-Fluid-Ounce-Carded/dp/B004FHZKOA/ref=sr_1_3?keywords=Aquaphor+Lip+Repair+Tube+10ml&amp;qid=1695260018&amp;sr=8-3</v>
      </c>
      <c r="F4998" t="s">
        <v>14397</v>
      </c>
      <c r="G4998" t="e">
        <f ca="1">IMAGE("https://shop.sonapharmacy.com/cdn/shop/products/a9273c19-1d53-4858-abb8-43a4ce27b9d6_1.52617476fb0deabe5812834a044fdaec.jpg?v=1608231857")</f>
        <v>#NAME?</v>
      </c>
      <c r="H4998" t="e">
        <f ca="1">IMAGE("https://m.media-amazon.com/images/I/71E0r7aurgL._AC_UL320_.jpg")</f>
        <v>#NAME?</v>
      </c>
      <c r="I4998" t="s">
        <v>8834</v>
      </c>
      <c r="J4998">
        <v>4.1900000000000004</v>
      </c>
      <c r="K4998" s="2" t="s">
        <v>14398</v>
      </c>
      <c r="L4998">
        <v>4.7</v>
      </c>
      <c r="M4998">
        <v>39367</v>
      </c>
      <c r="O4998" t="s">
        <v>26</v>
      </c>
      <c r="P4998" t="s">
        <v>39</v>
      </c>
      <c r="Q4998" t="s">
        <v>8836</v>
      </c>
    </row>
    <row r="4999" spans="1:17" ht="15.75" x14ac:dyDescent="0.25">
      <c r="A4999" s="3" t="str">
        <f>HYPERLINK("https://shop.sonapharmacy.com/products/sudafed-sinus-congestion-tablets-18-ct", "https://shop.sonapharmacy.com/products/sudafed-sinus-congestion-tablets-18-ct")</f>
        <v>https://shop.sonapharmacy.com/products/sudafed-sinus-congestion-tablets-18-ct</v>
      </c>
      <c r="B4999" s="3" t="str">
        <f>HYPERLINK("https://shop.sonapharmacy.com/products/sudafed-sinus-congestion-tablets-18-ct", "https://shop.sonapharmacy.com/products/sudafed-sinus-congestion-tablets-18-ct")</f>
        <v>https://shop.sonapharmacy.com/products/sudafed-sinus-congestion-tablets-18-ct</v>
      </c>
      <c r="C4999" t="s">
        <v>11453</v>
      </c>
      <c r="D4999" t="s">
        <v>14175</v>
      </c>
      <c r="E4999" s="3" t="str">
        <f>HYPERLINK("https://www.amazon.com/Sudafed-Congestion-Mucus-Tablets-Pressure/dp/B01EMZB43K/ref=sr_1_6?keywords=Sudafed+Sinus+Congestion+Tablets&amp;qid=1695260731&amp;sr=8-6", "https://www.amazon.com/Sudafed-Congestion-Mucus-Tablets-Pressure/dp/B01EMZB43K/ref=sr_1_6?keywords=Sudafed+Sinus+Congestion+Tablets&amp;qid=1695260731&amp;sr=8-6")</f>
        <v>https://www.amazon.com/Sudafed-Congestion-Mucus-Tablets-Pressure/dp/B01EMZB43K/ref=sr_1_6?keywords=Sudafed+Sinus+Congestion+Tablets&amp;qid=1695260731&amp;sr=8-6</v>
      </c>
      <c r="F4999" t="s">
        <v>14176</v>
      </c>
      <c r="G4999" t="e">
        <f ca="1">IMAGE("https://shop.sonapharmacy.com/cdn/shop/products/SudafedSinusCongestionTablets.jpg?v=1595444685")</f>
        <v>#NAME?</v>
      </c>
      <c r="H4999" t="e">
        <f ca="1">IMAGE("https://m.media-amazon.com/images/I/81vEhyKZiYL._AC_UL320_.jpg")</f>
        <v>#NAME?</v>
      </c>
      <c r="I4999" t="s">
        <v>11456</v>
      </c>
      <c r="J4999">
        <v>7.55</v>
      </c>
      <c r="K4999" s="2" t="s">
        <v>14399</v>
      </c>
      <c r="L4999">
        <v>4.7</v>
      </c>
      <c r="M4999">
        <v>558</v>
      </c>
      <c r="O4999" t="s">
        <v>26</v>
      </c>
      <c r="P4999" t="s">
        <v>39</v>
      </c>
      <c r="Q4999" t="s">
        <v>11458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Towett</cp:lastModifiedBy>
  <dcterms:created xsi:type="dcterms:W3CDTF">2023-09-21T01:10:45Z</dcterms:created>
  <dcterms:modified xsi:type="dcterms:W3CDTF">2023-09-21T19:40:02Z</dcterms:modified>
</cp:coreProperties>
</file>